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drawings/drawing5.xml" ContentType="application/vnd.openxmlformats-officedocument.drawing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3-Certel\"/>
    </mc:Choice>
  </mc:AlternateContent>
  <xr:revisionPtr revIDLastSave="0" documentId="8_{4B77588D-1BDE-4166-9BBE-B2AEF6515DAB}" xr6:coauthVersionLast="47" xr6:coauthVersionMax="47" xr10:uidLastSave="{00000000-0000-0000-0000-000000000000}"/>
  <bookViews>
    <workbookView xWindow="-120" yWindow="-120" windowWidth="29040" windowHeight="15840" tabRatio="725" firstSheet="6" activeTab="6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PIS_COFINS" sheetId="140" r:id="rId13"/>
    <sheet name="Rede Básica + Ajuste" sheetId="82" r:id="rId14"/>
    <sheet name="Conexão " sheetId="87" r:id="rId15"/>
    <sheet name="CUSD" sheetId="61" r:id="rId16"/>
    <sheet name="Encargos" sheetId="51" r:id="rId17"/>
    <sheet name="Financeiros" sheetId="50" r:id="rId18"/>
    <sheet name="ICMS" sheetId="137" r:id="rId19"/>
    <sheet name="Financeiros Mitigação" sheetId="139" r:id="rId20"/>
    <sheet name="CVE" sheetId="135" r:id="rId21"/>
    <sheet name="Conta covid" sheetId="131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BD-NET" sheetId="49" r:id="rId29"/>
    <sheet name="Sharepoint" sheetId="121" state="hidden" r:id="rId30"/>
    <sheet name="COEFICIENTES" sheetId="102" state="hidden" r:id="rId31"/>
    <sheet name="REN 473" sheetId="95" state="hidden" r:id="rId32"/>
    <sheet name="ERD" sheetId="94" state="hidden" r:id="rId33"/>
    <sheet name="Glossário Vínculos" sheetId="85" state="hidden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\zx\zx\zx\" localSheetId="12" hidden="1">{#N/A,#N/A,FALSE,"CONTROLE";#N/A,#N/A,FALSE,"CONTROLE"}</definedName>
    <definedName name="\zx\zx\zx\" hidden="1">{#N/A,#N/A,FALSE,"CONTROLE";#N/A,#N/A,FALSE,"CONTROLE"}</definedName>
    <definedName name="__________ep1" localSheetId="12" hidden="1">{#N/A,#N/A,FALSE,"CONTROLE"}</definedName>
    <definedName name="__________ep1" hidden="1">{#N/A,#N/A,FALSE,"CONTROLE"}</definedName>
    <definedName name="__________r" localSheetId="12" hidden="1">{#N/A,#N/A,FALSE,"CONTROLE"}</definedName>
    <definedName name="__________r" hidden="1">{#N/A,#N/A,FALSE,"CONTROLE"}</definedName>
    <definedName name="__________yh7" localSheetId="12" hidden="1">{#N/A,#N/A,FALSE,"CONTROLE";#N/A,#N/A,FALSE,"CONTROLE"}</definedName>
    <definedName name="__________yh7" hidden="1">{#N/A,#N/A,FALSE,"CONTROLE";#N/A,#N/A,FALSE,"CONTROLE"}</definedName>
    <definedName name="________ep1" localSheetId="12" hidden="1">{#N/A,#N/A,FALSE,"CONTROLE"}</definedName>
    <definedName name="________ep1" hidden="1">{#N/A,#N/A,FALSE,"CONTROLE"}</definedName>
    <definedName name="________r" localSheetId="12" hidden="1">{#N/A,#N/A,FALSE,"CONTROLE"}</definedName>
    <definedName name="________r" hidden="1">{#N/A,#N/A,FALSE,"CONTROLE"}</definedName>
    <definedName name="________yh7" localSheetId="12" hidden="1">{#N/A,#N/A,FALSE,"CONTROLE";#N/A,#N/A,FALSE,"CONTROLE"}</definedName>
    <definedName name="________yh7" hidden="1">{#N/A,#N/A,FALSE,"CONTROLE";#N/A,#N/A,FALSE,"CONTROLE"}</definedName>
    <definedName name="______ep1" localSheetId="12" hidden="1">{#N/A,#N/A,FALSE,"CONTROLE"}</definedName>
    <definedName name="______ep1" hidden="1">{#N/A,#N/A,FALSE,"CONTROLE"}</definedName>
    <definedName name="______r" localSheetId="12" hidden="1">{#N/A,#N/A,FALSE,"CONTROLE"}</definedName>
    <definedName name="______r" hidden="1">{#N/A,#N/A,FALSE,"CONTROLE"}</definedName>
    <definedName name="______yh7" localSheetId="12" hidden="1">{#N/A,#N/A,FALSE,"CONTROLE";#N/A,#N/A,FALSE,"CONTROLE"}</definedName>
    <definedName name="______yh7" hidden="1">{#N/A,#N/A,FALSE,"CONTROLE";#N/A,#N/A,FALSE,"CONTROLE"}</definedName>
    <definedName name="_____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2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2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2" hidden="1">{#N/A,#N/A,FALSE,"CONTROLE"}</definedName>
    <definedName name="_____r" hidden="1">{#N/A,#N/A,FALSE,"CONTROLE"}</definedName>
    <definedName name="_____yh7" localSheetId="12" hidden="1">{#N/A,#N/A,FALSE,"CONTROLE";#N/A,#N/A,FALSE,"CONTROLE"}</definedName>
    <definedName name="_____yh7" hidden="1">{#N/A,#N/A,FALSE,"CONTROLE";#N/A,#N/A,FALSE,"CONTROLE"}</definedName>
    <definedName name="____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2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2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2" hidden="1">{#N/A,#N/A,FALSE,"CONTROLE"}</definedName>
    <definedName name="____ep1" hidden="1">{#N/A,#N/A,FALSE,"CONTROLE"}</definedName>
    <definedName name="____FT08" hidden="1">"3OYHDJRF05V1IN1D1R6C32J5E"</definedName>
    <definedName name="____r" localSheetId="12" hidden="1">{#N/A,#N/A,FALSE,"CONTROLE"}</definedName>
    <definedName name="____r" hidden="1">{#N/A,#N/A,FALSE,"CONTROLE"}</definedName>
    <definedName name="____yh7" localSheetId="12" hidden="1">{#N/A,#N/A,FALSE,"CONTROLE";#N/A,#N/A,FALSE,"CONTROLE"}</definedName>
    <definedName name="____yh7" hidden="1">{#N/A,#N/A,FALSE,"CONTROLE";#N/A,#N/A,FALSE,"CONTROLE"}</definedName>
    <definedName name="___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2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2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2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2" hidden="1">[2]Mercado!#REF!</definedName>
    <definedName name="__123Graph_A" localSheetId="8" hidden="1">[2]Mercado!#REF!</definedName>
    <definedName name="__123Graph_A" hidden="1">[2]Mercado!#REF!</definedName>
    <definedName name="__123Graph_ACOMPARA" localSheetId="12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20" hidden="1">#REF!</definedName>
    <definedName name="__123Graph_APREVRCOM" localSheetId="12" hidden="1">#REF!</definedName>
    <definedName name="__123Graph_APREVRCOM" localSheetId="8" hidden="1">#REF!</definedName>
    <definedName name="__123Graph_APREVRCOM" hidden="1">#REF!</definedName>
    <definedName name="__123Graph_APREVREALI" localSheetId="20" hidden="1">#REF!</definedName>
    <definedName name="__123Graph_APREVREALI" localSheetId="8" hidden="1">#REF!</definedName>
    <definedName name="__123Graph_APREVREALI" hidden="1">#REF!</definedName>
    <definedName name="__123Graph_APREVRIND" localSheetId="20" hidden="1">#REF!</definedName>
    <definedName name="__123Graph_APREVRIND" localSheetId="8" hidden="1">#REF!</definedName>
    <definedName name="__123Graph_APREVRIND" hidden="1">#REF!</definedName>
    <definedName name="__123Graph_APREVROUT" localSheetId="20" hidden="1">[2]Mercado!#REF!</definedName>
    <definedName name="__123Graph_APREVROUT" localSheetId="12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20" hidden="1">#REF!</definedName>
    <definedName name="__123Graph_APREVRRES" localSheetId="12" hidden="1">#REF!</definedName>
    <definedName name="__123Graph_APREVRRES" localSheetId="8" hidden="1">#REF!</definedName>
    <definedName name="__123Graph_APREVRRES" hidden="1">#REF!</definedName>
    <definedName name="__123Graph_APREVRTOT" localSheetId="20" hidden="1">#REF!</definedName>
    <definedName name="__123Graph_APREVRTOT" localSheetId="8" hidden="1">#REF!</definedName>
    <definedName name="__123Graph_APREVRTOT" hidden="1">#REF!</definedName>
    <definedName name="__123Graph_B" localSheetId="20" hidden="1">#REF!</definedName>
    <definedName name="__123Graph_B" localSheetId="8" hidden="1">#REF!</definedName>
    <definedName name="__123Graph_B" hidden="1">#REF!</definedName>
    <definedName name="__123Graph_BCOMPARA" localSheetId="20" hidden="1">#REF!</definedName>
    <definedName name="__123Graph_BCOMPARA" localSheetId="8" hidden="1">#REF!</definedName>
    <definedName name="__123Graph_BCOMPARA" hidden="1">#REF!</definedName>
    <definedName name="__123Graph_BGAS" localSheetId="12" hidden="1">[6]Detail!#REF!</definedName>
    <definedName name="__123Graph_BGAS" hidden="1">[6]Detail!#REF!</definedName>
    <definedName name="__123Graph_BGERAL" localSheetId="20" hidden="1">[5]MENSAL!#REF!</definedName>
    <definedName name="__123Graph_BGERAL" localSheetId="12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20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20" hidden="1">#REF!</definedName>
    <definedName name="__123Graph_BPREVREALI" localSheetId="12" hidden="1">#REF!</definedName>
    <definedName name="__123Graph_BPREVREALI" localSheetId="8" hidden="1">#REF!</definedName>
    <definedName name="__123Graph_BPREVREALI" hidden="1">#REF!</definedName>
    <definedName name="__123Graph_C" localSheetId="20" hidden="1">[5]MENSAL!#REF!</definedName>
    <definedName name="__123Graph_C" localSheetId="12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20" hidden="1">#REF!</definedName>
    <definedName name="__123Graph_CPREVREALI" localSheetId="12" hidden="1">#REF!</definedName>
    <definedName name="__123Graph_CPREVREALI" localSheetId="8" hidden="1">#REF!</definedName>
    <definedName name="__123Graph_CPREVREALI" hidden="1">#REF!</definedName>
    <definedName name="__123Graph_D" localSheetId="20" hidden="1">#REF!</definedName>
    <definedName name="__123Graph_D" localSheetId="8" hidden="1">#REF!</definedName>
    <definedName name="__123Graph_D" hidden="1">#REF!</definedName>
    <definedName name="__123Graph_DCDI" localSheetId="20" hidden="1">[5]MENSAL!#REF!</definedName>
    <definedName name="__123Graph_DCDI" localSheetId="12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20" hidden="1">#REF!</definedName>
    <definedName name="__123Graph_DCOMPARA" localSheetId="12" hidden="1">#REF!</definedName>
    <definedName name="__123Graph_DCOMPARA" localSheetId="8" hidden="1">#REF!</definedName>
    <definedName name="__123Graph_DCOMPARA" hidden="1">#REF!</definedName>
    <definedName name="__123Graph_DGERAL" localSheetId="20" hidden="1">[5]MENSAL!#REF!</definedName>
    <definedName name="__123Graph_DGERAL" localSheetId="12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20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20" hidden="1">#REF!</definedName>
    <definedName name="__123Graph_EPREVREALI" localSheetId="12" hidden="1">#REF!</definedName>
    <definedName name="__123Graph_EPREVREALI" localSheetId="8" hidden="1">#REF!</definedName>
    <definedName name="__123Graph_EPREVREALI" hidden="1">#REF!</definedName>
    <definedName name="__123Graph_F" localSheetId="20" hidden="1">#REF!</definedName>
    <definedName name="__123Graph_F" localSheetId="8" hidden="1">#REF!</definedName>
    <definedName name="__123Graph_F" hidden="1">#REF!</definedName>
    <definedName name="__123Graph_FCDI" localSheetId="20" hidden="1">[5]MENSAL!#REF!</definedName>
    <definedName name="__123Graph_FCDI" localSheetId="12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20" hidden="1">#REF!</definedName>
    <definedName name="__123Graph_FCOMPARA" localSheetId="12" hidden="1">#REF!</definedName>
    <definedName name="__123Graph_FCOMPARA" localSheetId="8" hidden="1">#REF!</definedName>
    <definedName name="__123Graph_FCOMPARA" hidden="1">#REF!</definedName>
    <definedName name="__123Graph_FGERAL" localSheetId="20" hidden="1">[5]MENSAL!#REF!</definedName>
    <definedName name="__123Graph_FGERAL" localSheetId="12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20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2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2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2" hidden="1">{#N/A,#N/A,FALSE,"CONTROLE"}</definedName>
    <definedName name="__ep1" hidden="1">{#N/A,#N/A,FALSE,"CONTROLE"}</definedName>
    <definedName name="__FT08" hidden="1">"3OYHDJRF05V1IN1D1R6C32J5E"</definedName>
    <definedName name="__r" localSheetId="12" hidden="1">{#N/A,#N/A,FALSE,"CONTROLE"}</definedName>
    <definedName name="__r" hidden="1">{#N/A,#N/A,FALSE,"CONTROLE"}</definedName>
    <definedName name="__yh7" localSheetId="12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2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2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2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2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2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2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2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2" hidden="1">#REF!</definedName>
    <definedName name="_AMO_SingleObject_630089467_ROM_F0.SEC2.Print_1.SEC1.BDY.Data_Set_WORK_PARCELABBADNET" hidden="1">#REF!</definedName>
    <definedName name="_AMO_SingleObject_630089467_ROM_F0.SEC2.Print_1.SEC1.HDR.TXT1" localSheetId="12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2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2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2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2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2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2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2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2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0" hidden="1">#REF!</definedName>
    <definedName name="_Fill" localSheetId="12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3" hidden="1">BDCOVID!$A$1:$AH$498</definedName>
    <definedName name="_xlnm._FilterDatabase" localSheetId="28" hidden="1">'BD-NET'!$A$1:$P$185</definedName>
    <definedName name="_xlnm._FilterDatabase" localSheetId="6" hidden="1">CAPA!$A:$H</definedName>
    <definedName name="_xlnm._FilterDatabase" localSheetId="30" hidden="1">COEFICIENTES!$D$20:$M$124</definedName>
    <definedName name="_xlnm._FilterDatabase" localSheetId="15" hidden="1">CUSD!$A:$H</definedName>
    <definedName name="_xlnm._FilterDatabase" localSheetId="20" hidden="1">#REF!</definedName>
    <definedName name="_xlnm._FilterDatabase" localSheetId="11" hidden="1">Energia!$A:$H</definedName>
    <definedName name="_xlnm._FilterDatabase" localSheetId="4" hidden="1">Faturas!$AB$1:$AE$281</definedName>
    <definedName name="_xlnm._FilterDatabase" localSheetId="27" hidden="1">Índices!$B$6:$F$500</definedName>
    <definedName name="_xlnm._FilterDatabase" localSheetId="12" hidden="1">#REF!</definedName>
    <definedName name="_xlnm._FilterDatabase" localSheetId="25" hidden="1">RA0BD!$A$1:$U$205</definedName>
    <definedName name="_xlnm._FilterDatabase" localSheetId="13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20" hidden="1">#REF!</definedName>
    <definedName name="_Key1" localSheetId="12" hidden="1">#REF!</definedName>
    <definedName name="_Key1" localSheetId="8" hidden="1">#REF!</definedName>
    <definedName name="_Key1" hidden="1">#REF!</definedName>
    <definedName name="_Key2" hidden="1">#REF!</definedName>
    <definedName name="_MEN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2" hidden="1">#REF!</definedName>
    <definedName name="_p55" hidden="1">#REF!</definedName>
    <definedName name="_PP12" localSheetId="12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0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20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localSheetId="12" hidden="1">#REF!</definedName>
    <definedName name="_Regression_Y" hidden="1">#REF!</definedName>
    <definedName name="_s1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0" hidden="1">#REF!</definedName>
    <definedName name="_Sort" localSheetId="12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2" hidden="1">{#N/A,#N/A,FALSE,"CONTROLE";#N/A,#N/A,FALSE,"CONTROLE"}</definedName>
    <definedName name="_yh7" hidden="1">{#N/A,#N/A,FALSE,"CONTROLE";#N/A,#N/A,FALSE,"CONTROLE"}</definedName>
    <definedName name="A" localSheetId="20" hidden="1">{#N/A,#N/A,FALSE,"ENERGIA";#N/A,#N/A,FALSE,"PERDIDAS";#N/A,#N/A,FALSE,"CLIENTES";#N/A,#N/A,FALSE,"ESTADO";#N/A,#N/A,FALSE,"TECNICA"}</definedName>
    <definedName name="A" localSheetId="12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2" hidden="1">{#N/A,#N/A,FALSE,"CONTROLE";#N/A,#N/A,FALSE,"CONTROLE"}</definedName>
    <definedName name="a_" hidden="1">{#N/A,#N/A,FALSE,"CONTROLE";#N/A,#N/A,FALSE,"CONTROLE"}</definedName>
    <definedName name="a4e4" localSheetId="12" hidden="1">{#N/A,#N/A,FALSE,"CONTROLE"}</definedName>
    <definedName name="a4e4" hidden="1">{#N/A,#N/A,FALSE,"CONTROLE"}</definedName>
    <definedName name="abc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2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 localSheetId="12">[10]CAPA!$C$13</definedName>
    <definedName name="AnoRefTar">CAPA!$C$13</definedName>
    <definedName name="AnoRevRea" localSheetId="12">[10]CAPA!$C$13</definedName>
    <definedName name="AnoRevRea" localSheetId="8">CAPA!$C$13</definedName>
    <definedName name="AnoRevRea">CAPA!$C$13</definedName>
    <definedName name="anscount" hidden="1">3</definedName>
    <definedName name="aplicação" localSheetId="12" hidden="1">{#N/A,#N/A,FALSE,"CONTROLE"}</definedName>
    <definedName name="aplicação" hidden="1">{#N/A,#N/A,FALSE,"CONTROLE"}</definedName>
    <definedName name="aplicação_" localSheetId="12" hidden="1">{#N/A,#N/A,FALSE,"CONTROLE"}</definedName>
    <definedName name="aplicação_" hidden="1">{#N/A,#N/A,FALSE,"CONTROLE"}</definedName>
    <definedName name="_xlnm.Extract" localSheetId="4">Faturas!$O:$V</definedName>
    <definedName name="aretret" localSheetId="12" hidden="1">{#N/A,#N/A,FALSE,"CONTROLE"}</definedName>
    <definedName name="aretret" hidden="1">{#N/A,#N/A,FALSE,"CONTROLE"}</definedName>
    <definedName name="artret" localSheetId="12" hidden="1">{#N/A,#N/A,FALSE,"CONTROLE";#N/A,#N/A,FALSE,"CONTROLE"}</definedName>
    <definedName name="artret" hidden="1">{#N/A,#N/A,FALSE,"CONTROLE";#N/A,#N/A,FALSE,"CONTROLE"}</definedName>
    <definedName name="as" localSheetId="12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2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2" hidden="1">{#N/A,#N/A,FALSE,"CONTROLE"}</definedName>
    <definedName name="asdadsada" hidden="1">{#N/A,#N/A,FALSE,"CONTROLE"}</definedName>
    <definedName name="asdf" localSheetId="12" hidden="1">{#N/A,#N/A,FALSE,"CONTROLE"}</definedName>
    <definedName name="asdf" hidden="1">{#N/A,#N/A,FALSE,"CONTROLE"}</definedName>
    <definedName name="asfaf" localSheetId="12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0" hidden="1">[2]Mercado!#REF!</definedName>
    <definedName name="B" localSheetId="12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0" hidden="1">#REF!</definedName>
    <definedName name="BANCO1" localSheetId="12" hidden="1">#REF!</definedName>
    <definedName name="BANCO1" localSheetId="8" hidden="1">#REF!</definedName>
    <definedName name="BANCO1" hidden="1">#REF!</definedName>
    <definedName name="bb" localSheetId="20" hidden="1">{#N/A,#N/A,FALSE,"ENERGIA";#N/A,#N/A,FALSE,"PERDIDAS";#N/A,#N/A,FALSE,"CLIENTES";#N/A,#N/A,FALSE,"ESTADO";#N/A,#N/A,FALSE,"TECNICA"}</definedName>
    <definedName name="bb" localSheetId="12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2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2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2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2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2" hidden="1">{#N/A,#N/A,FALSE,"CONTROLE"}</definedName>
    <definedName name="cgico" hidden="1">{#N/A,#N/A,FALSE,"CONTROLE"}</definedName>
    <definedName name="Chico" localSheetId="12" hidden="1">{#N/A,#N/A,FALSE,"CONTROLE"}</definedName>
    <definedName name="Chico" hidden="1">{#N/A,#N/A,FALSE,"CONTROLE"}</definedName>
    <definedName name="Chico_" localSheetId="12" hidden="1">{#N/A,#N/A,FALSE,"CONTROLE"}</definedName>
    <definedName name="Chico_" hidden="1">{#N/A,#N/A,FALSE,"CONTROLE"}</definedName>
    <definedName name="Chico__" localSheetId="12" hidden="1">{#N/A,#N/A,FALSE,"CONTROLE"}</definedName>
    <definedName name="Chico__" hidden="1">{#N/A,#N/A,FALSE,"CONTROLE"}</definedName>
    <definedName name="Chico___" localSheetId="12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2" hidden="1">{#N/A,#N/A,FALSE,"CONTROLE";#N/A,#N/A,FALSE,"CONTROLE"}</definedName>
    <definedName name="comp.SP.pag.4.PIRA" hidden="1">{#N/A,#N/A,FALSE,"CONTROLE";#N/A,#N/A,FALSE,"CONTROLE"}</definedName>
    <definedName name="conferencia" localSheetId="12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2" hidden="1">{#N/A,#N/A,FALSE,"CONTROLE"}</definedName>
    <definedName name="COPIA" hidden="1">{#N/A,#N/A,FALSE,"CONTROLE"}</definedName>
    <definedName name="COPIA1" localSheetId="12" hidden="1">{#N/A,#N/A,FALSE,"CONTROLE"}</definedName>
    <definedName name="COPIA1" hidden="1">{#N/A,#N/A,FALSE,"CONTROLE"}</definedName>
    <definedName name="_xlnm.Criteria" localSheetId="4">Faturas!$J$1:$M$5</definedName>
    <definedName name="cust" localSheetId="12" hidden="1">{#N/A,#N/A,FALSE,"CONTROLE"}</definedName>
    <definedName name="cust" hidden="1">{#N/A,#N/A,FALSE,"CONTROLE"}</definedName>
    <definedName name="cv" localSheetId="12" hidden="1">{#N/A,#N/A,FALSE,"CONTROLE"}</definedName>
    <definedName name="cv" hidden="1">{#N/A,#N/A,FALSE,"CONTROLE"}</definedName>
    <definedName name="cvcvxvxcvxcvxcv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2" hidden="1">{#N/A,#N/A,FALSE,"CONTROLE"}</definedName>
    <definedName name="DASDA" hidden="1">{#N/A,#N/A,FALSE,"CONTROLE"}</definedName>
    <definedName name="data_adit_contratual">'[11]Encargo Uso RB'!$N$2</definedName>
    <definedName name="DataRevRea" localSheetId="12">[10]CAPA!$C$15</definedName>
    <definedName name="DataRevRea" localSheetId="8">CAPA!$C$15</definedName>
    <definedName name="DataRevRea">CAPA!$C$15</definedName>
    <definedName name="DCC" localSheetId="12" hidden="1">{#N/A,#N/A,FALSE,"CONTROLE"}</definedName>
    <definedName name="DCC" hidden="1">{#N/A,#N/A,FALSE,"CONTROLE"}</definedName>
    <definedName name="dddd" localSheetId="12" hidden="1">{#N/A,#N/A,FALSE,"CONTROLE";#N/A,#N/A,FALSE,"CONTROLE"}</definedName>
    <definedName name="dddd" hidden="1">{#N/A,#N/A,FALSE,"CONTROLE";#N/A,#N/A,FALSE,"CONTROLE"}</definedName>
    <definedName name="dddddddddddddddddddd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2" hidden="1">{#N/A,#N/A,FALSE,"CONTROLE"}</definedName>
    <definedName name="ddsds" hidden="1">{#N/A,#N/A,FALSE,"CONTROLE"}</definedName>
    <definedName name="defw" localSheetId="12" hidden="1">{#N/A,#N/A,FALSE,"CONTROLE";#N/A,#N/A,FALSE,"CONTROLE"}</definedName>
    <definedName name="defw" hidden="1">{#N/A,#N/A,FALSE,"CONTROLE";#N/A,#N/A,FALSE,"CONTROLE"}</definedName>
    <definedName name="departamentos" localSheetId="12" hidden="1">{#N/A,#N/A,FALSE,"CONTROLE";#N/A,#N/A,FALSE,"CONTROLE"}</definedName>
    <definedName name="departamentos" hidden="1">{#N/A,#N/A,FALSE,"CONTROLE";#N/A,#N/A,FALSE,"CONTROLE"}</definedName>
    <definedName name="df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2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2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0" hidden="1">[2]Mercado!#REF!</definedName>
    <definedName name="E" localSheetId="12" hidden="1">[2]Mercado!#REF!</definedName>
    <definedName name="e" hidden="1">{#N/A,#N/A,FALSE,"ENERGIA";#N/A,#N/A,FALSE,"PERDIDAS";#N/A,#N/A,FALSE,"CLIENTES";#N/A,#N/A,FALSE,"ESTADO";#N/A,#N/A,FALSE,"TECNICA"}</definedName>
    <definedName name="EAEEE" localSheetId="12" hidden="1">{#N/A,#N/A,FALSE,"CONTROLE";#N/A,#N/A,FALSE,"CONTROLE"}</definedName>
    <definedName name="EAEEE" hidden="1">{#N/A,#N/A,FALSE,"CONTROLE";#N/A,#N/A,FALSE,"CONTROLE"}</definedName>
    <definedName name="ee" localSheetId="12" hidden="1">{#N/A,#N/A,FALSE,"CONTROLE"}</definedName>
    <definedName name="ee" hidden="1">{#N/A,#N/A,FALSE,"CONTROLE"}</definedName>
    <definedName name="efi" localSheetId="12" hidden="1">{#N/A,#N/A,FALSE,"CONTROLE"}</definedName>
    <definedName name="efi" hidden="1">{#N/A,#N/A,FALSE,"CONTROLE"}</definedName>
    <definedName name="eficiencia" localSheetId="12" hidden="1">{#N/A,#N/A,FALSE,"CONTROLE"}</definedName>
    <definedName name="eficiencia" hidden="1">{#N/A,#N/A,FALSE,"CONTROLE"}</definedName>
    <definedName name="ENERTRADE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20" hidden="1">#REF!</definedName>
    <definedName name="F" localSheetId="12" hidden="1">#REF!</definedName>
    <definedName name="F" hidden="1">{#N/A,#N/A,FALSE,"ENERGIA";#N/A,#N/A,FALSE,"PERDIDAS";#N/A,#N/A,FALSE,"CLIENTES";#N/A,#N/A,FALSE,"ESTADO";#N/A,#N/A,FALSE,"TECNICA"}</definedName>
    <definedName name="fa" localSheetId="12" hidden="1">{#N/A,#N/A,FALSE,"CONTROLE"}</definedName>
    <definedName name="fa" hidden="1">{#N/A,#N/A,FALSE,"CONTROLE"}</definedName>
    <definedName name="fasdfasfasdfsd">[12]VPB1!$F$39</definedName>
    <definedName name="fdfds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2" hidden="1">{#N/A,#N/A,FALSE,"CONTROLE";#N/A,#N/A,FALSE,"CONTROLE"}</definedName>
    <definedName name="fevcpflr" hidden="1">{#N/A,#N/A,FALSE,"CONTROLE";#N/A,#N/A,FALSE,"CONTROLE"}</definedName>
    <definedName name="ff" localSheetId="20" hidden="1">{#N/A,#N/A,FALSE,"ENERGIA";#N/A,#N/A,FALSE,"PERDIDAS";#N/A,#N/A,FALSE,"CLIENTES";#N/A,#N/A,FALSE,"ESTADO";#N/A,#N/A,FALSE,"TECNICA"}</definedName>
    <definedName name="ff" localSheetId="12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2" hidden="1">{#N/A,#N/A,FALSE,"CONTROLE"}</definedName>
    <definedName name="fgfghtfhjgh" hidden="1">{#N/A,#N/A,FALSE,"CONTROLE"}</definedName>
    <definedName name="FinanceiroSuprimento" localSheetId="12">[13]Suprimento!$F$34</definedName>
    <definedName name="FinanceiroSuprimento">[14]Suprimento!$F$34</definedName>
    <definedName name="fornecimento" localSheetId="12" hidden="1">{#N/A,#N/A,FALSE,"CONTROLE"}</definedName>
    <definedName name="fornecimento" hidden="1">{#N/A,#N/A,FALSE,"CONTROLE"}</definedName>
    <definedName name="FornecimentoE" localSheetId="12">[10]Calc_Mercado!$C$8</definedName>
    <definedName name="FornecimentoE" localSheetId="8">Calc_Mercado!$C$8</definedName>
    <definedName name="FornecimentoE">Calc_Mercado!$C$8</definedName>
    <definedName name="FornecimentoE_A1" localSheetId="12">[10]Calc_Mercado!$C$9</definedName>
    <definedName name="FornecimentoE_A1" localSheetId="8">Calc_Mercado!$C$9</definedName>
    <definedName name="FornecimentoE_A1">Calc_Mercado!$C$9</definedName>
    <definedName name="FornecimentoE_BT" localSheetId="12">[10]Calc_Mercado!$C$15</definedName>
    <definedName name="FornecimentoE_BT" localSheetId="8">Calc_Mercado!$C$15</definedName>
    <definedName name="FornecimentoE_BT">Calc_Mercado!$C$15</definedName>
    <definedName name="frr" localSheetId="12" hidden="1">{#N/A,#N/A,FALSE,"CONTROLE"}</definedName>
    <definedName name="frr" hidden="1">{#N/A,#N/A,FALSE,"CONTROLE"}</definedName>
    <definedName name="fx" localSheetId="20" hidden="1">{#N/A,#N/A,FALSE,"ENERGIA";#N/A,#N/A,FALSE,"PERDIDAS";#N/A,#N/A,FALSE,"CLIENTES";#N/A,#N/A,FALSE,"ESTADO";#N/A,#N/A,FALSE,"TECNICA"}</definedName>
    <definedName name="fx" localSheetId="12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2" hidden="1">#REF!</definedName>
    <definedName name="G" hidden="1">#REF!</definedName>
    <definedName name="gbvergtrgfv" localSheetId="12" hidden="1">{#N/A,#N/A,FALSE,"CONTROLE";#N/A,#N/A,FALSE,"CONTROLE"}</definedName>
    <definedName name="gbvergtrgfv" hidden="1">{#N/A,#N/A,FALSE,"CONTROLE";#N/A,#N/A,FALSE,"CONTROLE"}</definedName>
    <definedName name="ger" localSheetId="12" hidden="1">{#N/A,#N/A,FALSE,"CONTROLE"}</definedName>
    <definedName name="ger" hidden="1">{#N/A,#N/A,FALSE,"CONTROLE"}</definedName>
    <definedName name="gerencial" localSheetId="12" hidden="1">{#N/A,#N/A,FALSE,"CONTROLE"}</definedName>
    <definedName name="gerencial" hidden="1">{#N/A,#N/A,FALSE,"CONTROLE"}</definedName>
    <definedName name="gfgsdfrytwcfrycRV" localSheetId="12" hidden="1">{#N/A,#N/A,FALSE,"CONTROLE";#N/A,#N/A,FALSE,"CONTROLE"}</definedName>
    <definedName name="gfgsdfrytwcfrycRV" hidden="1">{#N/A,#N/A,FALSE,"CONTROLE";#N/A,#N/A,FALSE,"CONTROLE"}</definedName>
    <definedName name="gjhyd" localSheetId="12" hidden="1">{#N/A,#N/A,FALSE,"CONTROLE"}</definedName>
    <definedName name="gjhyd" hidden="1">{#N/A,#N/A,FALSE,"CONTROLE"}</definedName>
    <definedName name="gkjf" localSheetId="12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2" hidden="1">{#N/A,#N/A,FALSE,"CONTROLE"}</definedName>
    <definedName name="Grafico" hidden="1">{#N/A,#N/A,FALSE,"CONTROLE"}</definedName>
    <definedName name="GraphRepasse">'Tabelas e Gráficos'!$BA$267:$BI$274</definedName>
    <definedName name="GT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 localSheetId="12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TabRIAnt,[10]BD!$S$87:$T$116,[10]BD!$S$121:$T$123,TabMercado6,TabPID,Tab_CVA_Neutralidade,[10]!TabFinanCovid[#Data],TabCVA_Neutralidade_Covid, Tab_CUSTOS_BE_FR_ONS_T</definedName>
    <definedName name="GTIFPastaBD">[14]BD!$B$8:$C$38,[14]BD!$C$40:$C$43,[14]BD!$C$45:$C$46,[14]BD!$B$47:$C$48,[14]BD!$B$50:$C$53,[14]BD!$G$8:$I$19,[14]BD!$G$24:$H$29,[14]BD!$G$36:$H$39,[14]BD!$G$43:$H$44,[14]BD!$G$47:$H$50,[14]BD!$G$53:$H$56,[14]BD!$B$59:$H$62,[14]BD!$B$67:$G$81,[14]BD!$L$8:$O$9,[14]BD!$L$12:$M$21,[14]BD!$L$23:$P$34,[14]BD!$L$37:$P$48,[14]BD!$L$51:$O$54,[14]BD!$L$57:$M$60,[14]BD!$L$67:$M$73,[14]BD!$L$63:$M$63,[14]BD!$O$67:$P$78,[14]BD!$I$87:$O$108,[14]BD!$I$112:$N$132,[14]BD!$B$86:$G$132,[14]BD!$S$8:$V$82,[14]BD!$A$141:$T$439,[14]BD!$B$442:$J$456,[14]BD!$B$553:$H$553,[14]BD!$B$459:$E$546,[14]BD!$G$459:$K$477,[14]!TabRIAnt[#Data],[14]BD!$S$87:$T$116,[14]BD!$S$121:$T$123,[14]!TabMercado6[#Data],[14]!TabPID[#Data],[14]!Tab_CVA_Neutralidade[#Data],[14]!TabFinanCovid[#Data],[14]!TabCVA_Neutralidade_Covid[#Data]</definedName>
    <definedName name="GTIFPastaCapa" localSheetId="12">[10]CAPA!$G$8,[10]CAPA!$G$16,[10]CAPA!$G$21:$G$27</definedName>
    <definedName name="GTIFPastaCapa">[14]CAPA!$G$8,[14]CAPA!$G$16,[14]CAPA!$G$21:$G$27</definedName>
    <definedName name="GTIFPastaCUSD" localSheetId="12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USD">[14]CUSD!$C$38:$C$39,[14]CUSD!$C$42:$E$43,[14]CUSD!$H$39:$R$50,[14]CUSD!$E$49,[14]CUSD!$C$53:$C$54,[14]CUSD!$C$57:$E$58,[14]CUSD!$E$64,[14]CUSD!$H$54:$R$65,[14]CUSD!$C$68:$C$69,[14]CUSD!$C$72:$E$73,[14]CUSD!$E$79,[14]CUSD!$H$69:$R$80,[14]CUSD!$C$83:$C$84,[14]CUSD!$C$87:$E$88,[14]CUSD!$E$94,[14]CUSD!$H$84:$R$95,[14]CUSD!$C$98:$C$99,[14]CUSD!$C$102:$E$103,[14]CUSD!$E$109,[14]CUSD!$H$99:$R$110,[14]CUSD!$C$113:$C$114,[14]CUSD!$C$117:$E$118,[14]CUSD!$E$124,[14]CUSD!$H$114:$R$125,[14]CUSD!$C$128:$C$129,[14]CUSD!$C$132:$E$133,[14]CUSD!$E$139,[14]CUSD!$H$129:$R$140,[14]CUSD!$C$143:$C$144,[14]CUSD!$C$147:$E$148,[14]CUSD!$E$154,[14]CUSD!$H$144:$R$155,[14]CUSD!$C$158:$C$159,[14]CUSD!$C$162:$E$163,[14]CUSD!$E$169,[14]CUSD!$H$159:$R$170,[14]CUSD!$C$173:$C$174,[14]CUSD!$C$177:$E$178,[14]CUSD!$E$184,[14]CUSD!$H$174:$R$185</definedName>
    <definedName name="GTIFPastaCVA" localSheetId="12">[13]CVA!$C$9:$E$17,[13]CVA!$I$9:$I$9,[13]CVA!$D$24:$D$32,[13]CVA!$C$42,[13]CVA!$C$46,[13]CVA!$I$11:$I$14</definedName>
    <definedName name="GTIFPastaCVA">CVE!$C$9:$E$17,CVE!$I$9:$I$9,CVE!$D$24:$D$32,CVE!$C$42,CVE!$C$46,CVE!$I$11:$I$14</definedName>
    <definedName name="GTIFPastaEnergia" localSheetId="12">[10]Energia!$B$49:$H$140,[10]Energia!$B$145:$L$191,[10]Energia!$C$35:$D$35,[10]Energia!$C$40,[10]Energia!$E$40</definedName>
    <definedName name="GTIFPastaEnergia">[14]Energia!$B$49:$H$140,[14]Energia!$B$145:$L$191,[14]Energia!$C$35:$D$35,[14]Energia!$C$40,[14]Energia!$E$40</definedName>
    <definedName name="GTIFPastaEntrada" localSheetId="12">[13]Entrada!$Q$8:$BD$29,[13]Entrada!$G$26:$G$30,[13]Entrada!$G$33:$G$34,[13]Entrada!$G$37:$G$41,[13]Entrada!$G$44:$G$54,[13]Entrada!$G$58:$G$67,[13]Entrada!$L$7:$M$7,[13]Entrada!$L$9:$M$17,[13]Entrada!$Q$32,[13]Entrada!$Q$35:$AB$43,[13]Entrada!$Q$46:$AB$47,[13]Entrada!$C$6:$C$10,[13]Entrada!$G$70:$G$74,[13]Entrada!$G$76,[13]Entrada!$G$78,[13]Entrada!$G$80,[13]Entrada!$G$82,[13]Entrada!$G$83,[13]Entrada!$G$86,[13]Entrada!$G$87,[13]Entrada!$G$91:$G$110,[13]Entrada!$L$20:$M$22,[13]Entrada!$L$25:$M$37,[13]Entrada!$L$40:$M$42,[13]Entrada!$L$45:$M$45,[13]Entrada!$L$48:$M$53,[13]Entrada!$L$56:$M$59, [13]Entrada!$Q$58:$AI$59, [13]Entrada!$Q$53, [13]Entrada!$Q$54</definedName>
    <definedName name="GTIFPastaEntrada">[14]Entrada!$Q$8:$BD$29,[14]Entrada!$G$27:$G$31,[14]Entrada!$G$33:$G$34,[14]Entrada!$G$37:$G$41,[14]Entrada!$G$44:$G$54,[14]Entrada!$G$58:$G$67,[14]Entrada!$L$7:$M$7,[14]Entrada!$L$9:$M$17,[14]Entrada!$Q$32,[14]Entrada!$Q$35:$AB$43,[14]Entrada!$Q$46:$AB$47,[14]Entrada!$C$6:$C$10,[14]Entrada!$G$70:$G$74,[14]Entrada!$G$76,[14]Entrada!$G$78,[14]Entrada!$G$80,[14]Entrada!$G$82,[14]Entrada!$G$83,[14]Entrada!$G$86,[14]Entrada!$G$87,[14]Entrada!$G$91:$G$110,[14]Entrada!$L$20:$M$22,[14]Entrada!$L$25:$M$37,[14]Entrada!$L$40:$M$42,[14]Entrada!$L$45:$M$45,[14]Entrada!$L$48:$M$53,[14]Entrada!$L$56:$M$59</definedName>
    <definedName name="GTIFPastaFinanceiros" localSheetId="12">[10]Financeiros!$D$128:$D$128,[10]Financeiros!$C$205:$D$209,[10]Financeiros!$C$222:$D$335</definedName>
    <definedName name="GTIFPastaFinanceiros">[14]Financeiros!$D$128:$D$128,[14]Financeiros!$C$194:$D$335</definedName>
    <definedName name="GTIFPastaIndexador" localSheetId="12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Indexador">[14]Indexador!$E$95:$J$95,[14]Indexador!$F$96,[14]Indexador!$H$96,[14]Indexador!$J$96,[14]Indexador!$E$97:$E$116,[14]Indexador!$G$97:$G$116,[14]Indexador!$I$97:$I$116,[14]Indexador!$F$121:$J$124,[14]Indexador!$F$126:$J$126,[14]Indexador!$C$143:$C$172</definedName>
    <definedName name="GTIFPastaSuprimento" localSheetId="12">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#REF!,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</definedName>
    <definedName name="GTIFPastaSuprimento">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#REF!,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,[14]Suprimento!#REF!</definedName>
    <definedName name="Guapore" localSheetId="12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2" hidden="1">#REF!</definedName>
    <definedName name="H" hidden="1">#REF!</definedName>
    <definedName name="hghjhhgj" localSheetId="12" hidden="1">{#N/A,#N/A,FALSE,"CONTROLE";#N/A,#N/A,FALSE,"CONTROLE"}</definedName>
    <definedName name="hghjhhgj" hidden="1">{#N/A,#N/A,FALSE,"CONTROLE";#N/A,#N/A,FALSE,"CONTROLE"}</definedName>
    <definedName name="hjawt" localSheetId="12" hidden="1">{#N/A,#N/A,FALSE,"CONTROLE"}</definedName>
    <definedName name="hjawt" hidden="1">{#N/A,#N/A,FALSE,"CONTROLE"}</definedName>
    <definedName name="ht" localSheetId="12" hidden="1">{#N/A,#N/A,FALSE,"CONTROLE"}</definedName>
    <definedName name="ht" hidden="1">{#N/A,#N/A,FALSE,"CONTROLE"}</definedName>
    <definedName name="HTML_CodePage" hidden="1">1252</definedName>
    <definedName name="HTML_Control" localSheetId="12" hidden="1">{"'1998'!$B$2:$O$16"}</definedName>
    <definedName name="HTML_Control" hidden="1">{"'1998'!$B$2:$O$16"}</definedName>
    <definedName name="HTML_Control2" localSheetId="12" hidden="1">{"'DEC ou FEC'!$A$1:$O$132"}</definedName>
    <definedName name="HTML_Control2" hidden="1">{"'DEC ou FEC'!$A$1:$O$132"}</definedName>
    <definedName name="HTML_Control3" localSheetId="12" hidden="1">{"'DEC ou FEC'!$A$1:$O$132"}</definedName>
    <definedName name="HTML_Control3" hidden="1">{"'DEC ou FEC'!$A$1:$O$132"}</definedName>
    <definedName name="HTML_Control4" localSheetId="12" hidden="1">{"'DEC ou FEC'!$A$1:$O$132"}</definedName>
    <definedName name="HTML_Control4" hidden="1">{"'DEC ou FEC'!$A$1:$O$132"}</definedName>
    <definedName name="HTML_Control5" localSheetId="12" hidden="1">{"'DEC ou FEC'!$A$1:$O$132"}</definedName>
    <definedName name="HTML_Control5" hidden="1">{"'DEC ou FEC'!$A$1:$O$132"}</definedName>
    <definedName name="HTML_Control6" localSheetId="12" hidden="1">{"'DEC ou FEC'!$A$1:$O$132"}</definedName>
    <definedName name="HTML_Control6" hidden="1">{"'DEC ou FEC'!$A$1:$O$132"}</definedName>
    <definedName name="HTML_Control7" localSheetId="12" hidden="1">{"'DEC ou FEC'!$A$1:$O$132"}</definedName>
    <definedName name="HTML_Control7" hidden="1">{"'DEC ou FEC'!$A$1:$O$132"}</definedName>
    <definedName name="HTML_Control8" localSheetId="12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2" hidden="1">[2]Mercado!#REF!</definedName>
    <definedName name="I" hidden="1">[2]Mercado!#REF!</definedName>
    <definedName name="idagente" localSheetId="12">[10]CAPA!$K$11</definedName>
    <definedName name="idagente">CAPA!$K$11</definedName>
    <definedName name="idsreag" localSheetId="12">[10]CAPA!$K$10</definedName>
    <definedName name="idsreag">CAPA!$K$10</definedName>
    <definedName name="im" localSheetId="20" hidden="1">{#N/A,#N/A,FALSE,"ENERGIA";#N/A,#N/A,FALSE,"PERDIDAS";#N/A,#N/A,FALSE,"CLIENTES";#N/A,#N/A,FALSE,"ESTADO";#N/A,#N/A,FALSE,"TECNICA"}</definedName>
    <definedName name="im" localSheetId="12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[15]Detail!#REF!</definedName>
    <definedName name="iukiikii" localSheetId="12" hidden="1">{#N/A,#N/A,FALSE,"CONTROLE"}</definedName>
    <definedName name="iukiikii" hidden="1">{#N/A,#N/A,FALSE,"CONTROLE"}</definedName>
    <definedName name="J" localSheetId="12" hidden="1">#REF!</definedName>
    <definedName name="J" hidden="1">#REF!</definedName>
    <definedName name="jd" localSheetId="12" hidden="1">{#N/A,#N/A,FALSE,"CONTROLE"}</definedName>
    <definedName name="jd" hidden="1">{#N/A,#N/A,FALSE,"CONTROLE"}</definedName>
    <definedName name="jhhgj" localSheetId="12" hidden="1">{#N/A,#N/A,FALSE,"CONTROLE"}</definedName>
    <definedName name="jhhgj" hidden="1">{#N/A,#N/A,FALSE,"CONTROLE"}</definedName>
    <definedName name="juu" localSheetId="12" hidden="1">{#N/A,#N/A,FALSE,"CONTROLE"}</definedName>
    <definedName name="juu" hidden="1">{#N/A,#N/A,FALSE,"CONTROLE"}</definedName>
    <definedName name="jyd" localSheetId="12" hidden="1">{#N/A,#N/A,FALSE,"CONTROLE"}</definedName>
    <definedName name="jyd" hidden="1">{#N/A,#N/A,FALSE,"CONTROLE"}</definedName>
    <definedName name="kico" localSheetId="12" hidden="1">{#N/A,#N/A,FALSE,"CONTROLE";#N/A,#N/A,FALSE,"CONTROLE"}</definedName>
    <definedName name="kico" hidden="1">{#N/A,#N/A,FALSE,"CONTROLE";#N/A,#N/A,FALSE,"CONTROLE"}</definedName>
    <definedName name="kiko" localSheetId="12" hidden="1">{#N/A,#N/A,FALSE,"CONTROLE";#N/A,#N/A,FALSE,"CONTROLE"}</definedName>
    <definedName name="kiko" hidden="1">{#N/A,#N/A,FALSE,"CONTROLE";#N/A,#N/A,FALSE,"CONTROLE"}</definedName>
    <definedName name="kiy" localSheetId="12" hidden="1">{#N/A,#N/A,FALSE,"CONTROLE"}</definedName>
    <definedName name="kiy" hidden="1">{#N/A,#N/A,FALSE,"CONTROLE"}</definedName>
    <definedName name="kjfhgjfj" localSheetId="12" hidden="1">{#N/A,#N/A,FALSE,"CONTROLE";#N/A,#N/A,FALSE,"CONTROLE"}</definedName>
    <definedName name="kjfhgjfj" hidden="1">{#N/A,#N/A,FALSE,"CONTROLE";#N/A,#N/A,FALSE,"CONTROLE"}</definedName>
    <definedName name="LEILA" localSheetId="12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2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 localSheetId="12">[10]BD!$C$31</definedName>
    <definedName name="LinkTXTPR">BD!$C$31</definedName>
    <definedName name="LinkTXTSaldoRTP">Indexador!$F$20</definedName>
    <definedName name="linktxttotfin">'Tabelas e Gráficos'!$AW$261</definedName>
    <definedName name="ListaDir">[16]CAPA!$Q$62:$Q$65</definedName>
    <definedName name="LivreE" localSheetId="12">[10]Calc_Mercado!$C$18</definedName>
    <definedName name="LivreE" localSheetId="8">Calc_Mercado!$C$18</definedName>
    <definedName name="LivreE">Calc_Mercado!$C$18</definedName>
    <definedName name="LivreE_A1" localSheetId="12">[10]Calc_Mercado!$C$19</definedName>
    <definedName name="LivreE_A1" localSheetId="8">Calc_Mercado!$C$19</definedName>
    <definedName name="LivreE_A1">Calc_Mercado!$C$19</definedName>
    <definedName name="Livres" localSheetId="12" hidden="1">{#N/A,#N/A,FALSE,"CONTROLE"}</definedName>
    <definedName name="Livres" hidden="1">{#N/A,#N/A,FALSE,"CONTROLE"}</definedName>
    <definedName name="LL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 localSheetId="12">[10]Financeiros!#REF!</definedName>
    <definedName name="LnkTxEfeitoSobrecontratacao">[14]Financeiros!#REF!</definedName>
    <definedName name="LnkTxTAjusteCUST" localSheetId="12">[10]Financeiros!$D$26</definedName>
    <definedName name="LnkTxTAjusteCUST">Financeiros!$D$26</definedName>
    <definedName name="LnkTXTAumfin">'Tabelas e Gráficos'!$AC$5</definedName>
    <definedName name="LnkTxtAvalEfeitoEnergia" localSheetId="12">'[13]Votos e NTs'!$BP$287</definedName>
    <definedName name="LnkTxtAvalEfeitoEnergia">'[14]Votos e NTs'!$BP$286</definedName>
    <definedName name="LnkTxtBand">Financeiros!$E$29</definedName>
    <definedName name="LnkTXTBandeira" localSheetId="12">[10]Financeiros!$D$29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 localSheetId="12">[10]Financeiros!#REF!</definedName>
    <definedName name="LnkTxtConcatenacaoCUSD">[14]Financeiros!#REF!</definedName>
    <definedName name="LnkTXTConexao">CAPA!$C$105</definedName>
    <definedName name="LnkTxtConselho" localSheetId="12">[10]Financeiros!$D$90</definedName>
    <definedName name="LnkTxtConselho">[14]Financeiros!$D$90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 localSheetId="12">[10]CUSD!$I$3</definedName>
    <definedName name="LnkTXTDescTusdAnte">CUSD!$I$3</definedName>
    <definedName name="LnkTXTDICFIC" localSheetId="12">[10]Financeiros!$D$27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 localSheetId="12">[10]CAPA!$C$10</definedName>
    <definedName name="LnkTxtDRPData">[14]CAPA!$C$10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 localSheetId="12">[10]Resultado!$L$10</definedName>
    <definedName name="LnkTXTEfeito">Resultado!$L$5</definedName>
    <definedName name="LnkTxtEfeitoAT" localSheetId="12">[10]Resultado!$L$8</definedName>
    <definedName name="LnkTXTEfeitoAT">Resultado!$L$3</definedName>
    <definedName name="LnkTxtEfeitoBT" localSheetId="12">[10]Resultado!$L$9</definedName>
    <definedName name="LnkTXTEfeitoBT">Resultado!$L$4</definedName>
    <definedName name="LnkTxtEfeitoExpSubmercados" localSheetId="12">[10]Financeiros!#REF!</definedName>
    <definedName name="LnkTxtEfeitoExpSubmercados">[14]Financeiros!#REF!</definedName>
    <definedName name="LnkTxTEfeitofimdesPor">[16]CAPA!$X$59</definedName>
    <definedName name="LnkTXTEfFinU">CAPA!$C$87</definedName>
    <definedName name="LnkTXTEfMeU">CAPA!$C$85</definedName>
    <definedName name="LnkTxtEletronuclear" localSheetId="12">[10]Financeiros!#REF!</definedName>
    <definedName name="LnkTxtEletronuclear">[14]Financeiros!#REF!</definedName>
    <definedName name="LnkTXTEM">'Tabelas e Gráficos'!$AQ$204</definedName>
    <definedName name="LnkTXTEnergia">CAPA!$C$102</definedName>
    <definedName name="LnkTXTER" localSheetId="12">[10]Energia!$C$5</definedName>
    <definedName name="LnkTXTER" localSheetId="8">Energia!$C$5</definedName>
    <definedName name="LnkTXTER">Energia!$C$5</definedName>
    <definedName name="LnkTXTERFIN" localSheetId="12">'[10]Tabelas e Gráficos'!$AW$263</definedName>
    <definedName name="LnkTXTERFIN">'Tabelas e Gráficos'!$AW$263</definedName>
    <definedName name="LnkTXTEV" localSheetId="12">[10]Energia!$C$6</definedName>
    <definedName name="LnkTXTEV" localSheetId="8">Energia!$C$6</definedName>
    <definedName name="LnkTXTEV">Energia!$C$6</definedName>
    <definedName name="LnkTXTF">Energia!$C$7</definedName>
    <definedName name="LnkTxtFatorPd">[13]VPB1!$F$40</definedName>
    <definedName name="LnkTxtFatorQ">[13]VPB1!$F$42</definedName>
    <definedName name="LnkTxtFatorT">[13]VPB1!$F$41</definedName>
    <definedName name="LnkTXTFatorX">CAPA!$C$100</definedName>
    <definedName name="LnkTXTfora">'Tabelas e Gráficos'!$X$10</definedName>
    <definedName name="LnkTxtGarantias" localSheetId="12">[10]Financeiros!#REF!</definedName>
    <definedName name="LnkTxtGarantias">[14]Financeiros!#REF!</definedName>
    <definedName name="LnkTXTGPCU" localSheetId="12">[10]Energia!$M$32</definedName>
    <definedName name="LnkTXTGPCU" localSheetId="8">Energia!$N$32</definedName>
    <definedName name="LnkTXTGPCU">Energia!$N$32</definedName>
    <definedName name="LnkTXTGPM" localSheetId="12">[10]Energia!$C$18</definedName>
    <definedName name="LnkTXTGPM" localSheetId="8">Energia!$C$18</definedName>
    <definedName name="LnkTXTGPM">Energia!$C$18</definedName>
    <definedName name="LnkTxtICMS" localSheetId="12">'[13]Votos e NTs'!$R$29</definedName>
    <definedName name="LnkTXTICMS">Calc_Mercado!$J$8</definedName>
    <definedName name="LnkTXTIGPM">'Tabelas e Gráficos'!$W$41</definedName>
    <definedName name="LnkTxtIGPMFatorX" localSheetId="12">[13]VPB1!$F$44</definedName>
    <definedName name="LnkTxtIGPMFatorX">[14]VPB1!$F$44</definedName>
    <definedName name="LnkTXTIParcelaBcomSub" localSheetId="12">[10]Resultado!$D$39</definedName>
    <definedName name="LnkTXTIParcelaBcomSub">Resultado!$D$39</definedName>
    <definedName name="LnkTXTIParcelaBsemSub">Resultado!$D$40</definedName>
    <definedName name="LnkTxtIPCA" localSheetId="12">[13]VPB1!$F$39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 localSheetId="12">[10]Resultado!$C$7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 localSheetId="12">[10]Resultado!$C$9</definedName>
    <definedName name="LnkTXTIRTTotal">Resultado!$C$9</definedName>
    <definedName name="LnkTXTISubvencaoPB" localSheetId="12">[10]CAPA!$K$32</definedName>
    <definedName name="LnkTXTISubvencaoPB">CAPA!$K$32</definedName>
    <definedName name="LnkTXTlimittrinta">'Tabelas e Gráficos'!$AF$5</definedName>
    <definedName name="LNKTXTLImPB" localSheetId="12">[10]CAPA!$K$30</definedName>
    <definedName name="LNKTXTLImPB">CAPA!$K$30</definedName>
    <definedName name="LnkTXTNeutralidade" localSheetId="12">'[10]Tabelas e Gráficos'!$AN$166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 localSheetId="12">[10]CAPA!$K$31</definedName>
    <definedName name="LnkTXTPBReq">CAPA!$K$31</definedName>
    <definedName name="LnkTxtPD" localSheetId="12">'[13]VPB e Fator X'!$C$33</definedName>
    <definedName name="LnkTXTPD">'Tabelas e Gráficos'!$Q$114</definedName>
    <definedName name="LNKTXTPercperdas" localSheetId="12">[10]Energia!$M$14</definedName>
    <definedName name="LNKTXTPercperdas">Energia!$N$14</definedName>
    <definedName name="LNKTXTPercPISCOFINS" localSheetId="12">[10]Calc_Mercado!$J$9</definedName>
    <definedName name="LNKTXTPercPISCOFINS">Calc_Mercado!$J$9</definedName>
    <definedName name="LnkTXTPerdas" localSheetId="12">[10]Energia!$C$9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 localSheetId="12">'[13]Votos e NTs'!$R$30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 localSheetId="12">[10]Energia!$E$38</definedName>
    <definedName name="LnkTxtprevisaoriscohidro">[14]Energia!$E$38</definedName>
    <definedName name="LnkTXTProinfa" localSheetId="12">[10]Energia!$C$19</definedName>
    <definedName name="LnkTXTProinfa">Energia!$C$19</definedName>
    <definedName name="LnkTXTRA0" localSheetId="12">[10]Resultado!$C$6</definedName>
    <definedName name="LnkTXTRA0">Resultado!$C$6</definedName>
    <definedName name="LnKTxTRA1" localSheetId="12">[10]Resultado!$C$5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 localSheetId="12">[10]Financeiros!#REF!</definedName>
    <definedName name="LnkTxtReversaoCDEenergia">[14]Financeiros!#REF!</definedName>
    <definedName name="LnkTxtReversaoCDEuso" localSheetId="12">[10]Financeiros!#REF!</definedName>
    <definedName name="LnkTxtReversaoCDEuso">[14]Financeiros!#REF!</definedName>
    <definedName name="LnkTxtRI" localSheetId="12">[10]Resultado!$D$39</definedName>
    <definedName name="LnkTxtRI">[14]Resultado!$D$39</definedName>
    <definedName name="LnkTXTRSub">CAPA!$C$95</definedName>
    <definedName name="LnkTXTSaldo">Indexador!$F$16</definedName>
    <definedName name="LnkTXTSaldoA">Indexador!$F$17</definedName>
    <definedName name="LnkTXTSigla" localSheetId="12">[10]CAPA!$C$91</definedName>
    <definedName name="LnkTXTSigla" localSheetId="8">CAPA!$C$91</definedName>
    <definedName name="LnkTXTSigla">CAPA!$C$91</definedName>
    <definedName name="LnkTxtSobrecontratacao" localSheetId="12">[10]Financeiros!#REF!</definedName>
    <definedName name="LnkTxtSobrecontratacao">[14]Financeiros!#REF!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12">[10]CAPA!$C$108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 localSheetId="12">[10]Resultado!$F$18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 localSheetId="12">'[13]Votos e NTs'!#REF!</definedName>
    <definedName name="LnkTxtVariacaoIGPM">'[14]Votos e NTs'!#REF!</definedName>
    <definedName name="LnkTxtVariacaoIPCA" localSheetId="12">'[13]Votos e NTs'!#REF!</definedName>
    <definedName name="LnkTxtVariacaoIPCA">'[14]Votos e NTs'!#REF!</definedName>
    <definedName name="LnkTxtVaricaoTarifa" localSheetId="12">'[13]Votos e NTs'!#REF!</definedName>
    <definedName name="LnkTxtVaricaoTarifa">'[14]Votos e NTs'!#REF!</definedName>
    <definedName name="LnkTXTVarTE">'Tabelas e Gráficos'!$AV$221</definedName>
    <definedName name="LnkTxtVarTFSEE" localSheetId="12">[10]Resultado!$F$17</definedName>
    <definedName name="LnkTxtVarTFSEE">Resultado!$F$17</definedName>
    <definedName name="M" localSheetId="12" hidden="1">#REF!</definedName>
    <definedName name="M" hidden="1">#REF!</definedName>
    <definedName name="MANU" localSheetId="12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12">[10]Calc_Mercado!$H$75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12">[10]Calc_Mercado!$F$75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12">[10]Calc_Mercado!$E$75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12">[10]Calc_Mercado!$D$75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12">[10]Calc_Mercado!$G$75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12">[10]Calc_Mercado!$I$75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12">[10]Calc_Mercado!$C$25</definedName>
    <definedName name="Mercado_RA0_MWh" localSheetId="8">Calc_Mercado!$C$25</definedName>
    <definedName name="Mercado_RA0_MWh">Calc_Mercado!$C$25</definedName>
    <definedName name="Mercado_RA0_Reais" localSheetId="12">[10]Calc_Mercado!$D$25</definedName>
    <definedName name="Mercado_RA0_Reais" localSheetId="8">Calc_Mercado!$D$25</definedName>
    <definedName name="Mercado_RA0_Reais">Calc_Mercado!$D$25</definedName>
    <definedName name="MercadoBase" localSheetId="12">[10]!dados_MercadoBase[#All]</definedName>
    <definedName name="MercadoBase">'BD MERCADO'!$A$2:$FC$3999</definedName>
    <definedName name="MercadoBase1" localSheetId="12">[10]!dados_MercadoBase[#All]</definedName>
    <definedName name="MercadoBase1">dados_MercadoBase[#All]</definedName>
    <definedName name="mov_ac" localSheetId="12" hidden="1">[17]Mercado!#REF!</definedName>
    <definedName name="mov_ac" hidden="1">[17]Mercado!#REF!</definedName>
    <definedName name="mso" localSheetId="12" hidden="1">{#N/A,#N/A,FALSE,"CONTROLE"}</definedName>
    <definedName name="mso" hidden="1">{#N/A,#N/A,FALSE,"CONTROLE"}</definedName>
    <definedName name="N" localSheetId="12" hidden="1">#REF!</definedName>
    <definedName name="N" hidden="1">#REF!</definedName>
    <definedName name="oiio" localSheetId="12" hidden="1">{#N/A,#N/A,FALSE,"CONTROLE"}</definedName>
    <definedName name="oiio" hidden="1">{#N/A,#N/A,FALSE,"CONTROLE"}</definedName>
    <definedName name="old" localSheetId="20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localSheetId="12" hidden="1">{#N/A,#N/A,FALSE,"CONTROLE"}</definedName>
    <definedName name="operação" hidden="1">{#N/A,#N/A,FALSE,"CONTROLE"}</definedName>
    <definedName name="oy" localSheetId="12" hidden="1">{#N/A,#N/A,FALSE,"CONTROLE";#N/A,#N/A,FALSE,"CONTROLE"}</definedName>
    <definedName name="oy" hidden="1">{#N/A,#N/A,FALSE,"CONTROLE";#N/A,#N/A,FALSE,"CONTROLE"}</definedName>
    <definedName name="PEDRO" localSheetId="12" hidden="1">{#N/A,#N/A,FALSE,"CONTROLE"}</definedName>
    <definedName name="PEDRO" hidden="1">{#N/A,#N/A,FALSE,"CONTROLE"}</definedName>
    <definedName name="Piratininga" localSheetId="12" hidden="1">{#N/A,#N/A,FALSE,"CONTROLE"}</definedName>
    <definedName name="Piratininga" hidden="1">{#N/A,#N/A,FALSE,"CONTROLE"}</definedName>
    <definedName name="PIRATININGAV2" localSheetId="12" hidden="1">{#N/A,#N/A,FALSE,"CONTROLE"}</definedName>
    <definedName name="PIRATININGAV2" hidden="1">{#N/A,#N/A,FALSE,"CONTROLE"}</definedName>
    <definedName name="PisCofins" localSheetId="20" hidden="1">{#N/A,#N/A,FALSE,"ENERGIA";#N/A,#N/A,FALSE,"PERDIDAS";#N/A,#N/A,FALSE,"CLIENTES";#N/A,#N/A,FALSE,"ESTADO";#N/A,#N/A,FALSE,"TECNICA"}</definedName>
    <definedName name="PisCofins" localSheetId="12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0" hidden="1">{#N/A,#N/A,FALSE,"ENERGIA";#N/A,#N/A,FALSE,"PERDIDAS";#N/A,#N/A,FALSE,"CLIENTES";#N/A,#N/A,FALSE,"ESTADO";#N/A,#N/A,FALSE,"TECNICA"}</definedName>
    <definedName name="planilha" localSheetId="12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2" hidden="1">{#N/A,#N/A,FALSE,"CONTROLE";#N/A,#N/A,FALSE,"CONTROLE"}</definedName>
    <definedName name="poiu" hidden="1">{#N/A,#N/A,FALSE,"CONTROLE";#N/A,#N/A,FALSE,"CONTROLE"}</definedName>
    <definedName name="pp" localSheetId="20" hidden="1">{#N/A,#N/A,FALSE,"ENERGIA";#N/A,#N/A,FALSE,"PERDIDAS";#N/A,#N/A,FALSE,"CLIENTES";#N/A,#N/A,FALSE,"ESTADO";#N/A,#N/A,FALSE,"TECNICA"}</definedName>
    <definedName name="pp" localSheetId="12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2" hidden="1">{#N/A,#N/A,FALSE,"CONTROLE";#N/A,#N/A,FALSE,"CONTROLE"}</definedName>
    <definedName name="q" hidden="1">{#N/A,#N/A,FALSE,"CONTROLE";#N/A,#N/A,FALSE,"CONTROLE"}</definedName>
    <definedName name="qq" localSheetId="12" hidden="1">{#N/A,#N/A,FALSE,"CONTROLE";#N/A,#N/A,FALSE,"CONTROLE"}</definedName>
    <definedName name="qq" hidden="1">{#N/A,#N/A,FALSE,"CONTROLE";#N/A,#N/A,FALSE,"CONTROLE"}</definedName>
    <definedName name="qqq" localSheetId="12" hidden="1">{#N/A,#N/A,FALSE,"CONTROLE"}</definedName>
    <definedName name="qqq" hidden="1">{#N/A,#N/A,FALSE,"CONTROLE"}</definedName>
    <definedName name="qqqq" localSheetId="12" hidden="1">{#N/A,#N/A,FALSE,"CONTROLE"}</definedName>
    <definedName name="qqqq" hidden="1">{#N/A,#N/A,FALSE,"CONTROLE"}</definedName>
    <definedName name="qtret" localSheetId="12" hidden="1">{#N/A,#N/A,FALSE,"CONTROLE"}</definedName>
    <definedName name="qtret" hidden="1">{#N/A,#N/A,FALSE,"CONTROLE"}</definedName>
    <definedName name="qtyyuu" localSheetId="12" hidden="1">{#N/A,#N/A,FALSE,"CONTROLE"}</definedName>
    <definedName name="qtyyuu" hidden="1">{#N/A,#N/A,FALSE,"CONTROLE"}</definedName>
    <definedName name="QuadroMercado">Calc_Mercado!$B$7:$D$25</definedName>
    <definedName name="qwe" localSheetId="12" hidden="1">{#N/A,#N/A,FALSE,"CONTROLE"}</definedName>
    <definedName name="qwe" hidden="1">{#N/A,#N/A,FALSE,"CONTROLE"}</definedName>
    <definedName name="qweer" localSheetId="12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2" hidden="1">{#N/A,#N/A,FALSE,"CONTROLE";#N/A,#N/A,FALSE,"CONTROLE"}</definedName>
    <definedName name="raf" hidden="1">{#N/A,#N/A,FALSE,"CONTROLE";#N/A,#N/A,FALSE,"CONTROLE"}</definedName>
    <definedName name="R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0" hidden="1">{#N/A,#N/A,FALSE,"ENERGIA";#N/A,#N/A,FALSE,"PERDIDAS";#N/A,#N/A,FALSE,"CLIENTES";#N/A,#N/A,FALSE,"ESTADO";#N/A,#N/A,FALSE,"TECNICA"}</definedName>
    <definedName name="RBTESTE" localSheetId="12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2" hidden="1">{#N/A,#N/A,FALSE,"CONTROLE"}</definedName>
    <definedName name="REAIS" hidden="1">{#N/A,#N/A,FALSE,"CONTROLE"}</definedName>
    <definedName name="REAISPREV" localSheetId="12" hidden="1">{#N/A,#N/A,FALSE,"CONTROLE"}</definedName>
    <definedName name="REAISPREV" hidden="1">{#N/A,#N/A,FALSE,"CONTROLE"}</definedName>
    <definedName name="REDE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2" hidden="1">{#N/A,#N/A,FALSE,"CONTROLE";#N/A,#N/A,FALSE,"CONTROLE"}</definedName>
    <definedName name="Relat" hidden="1">{#N/A,#N/A,FALSE,"CONTROLE";#N/A,#N/A,FALSE,"CONTROLE"}</definedName>
    <definedName name="Renato" localSheetId="12" hidden="1">{#N/A,#N/A,FALSE,"CONTROLE"}</definedName>
    <definedName name="Renato" hidden="1">{#N/A,#N/A,FALSE,"CONTROLE"}</definedName>
    <definedName name="RESUMO3" localSheetId="12" hidden="1">{#N/A,#N/A,FALSE,"CONTROLE"}</definedName>
    <definedName name="RESUMO3" hidden="1">{#N/A,#N/A,FALSE,"CONTROLE"}</definedName>
    <definedName name="rey" localSheetId="12" hidden="1">{#N/A,#N/A,FALSE,"CONTROLE"}</definedName>
    <definedName name="rey" hidden="1">{#N/A,#N/A,FALSE,"CONTROLE"}</definedName>
    <definedName name="rg" localSheetId="12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2" hidden="1">{#N/A,#N/A,FALSE,"CONTROLE"}</definedName>
    <definedName name="rr" hidden="1">{#N/A,#N/A,FALSE,"CONTROLE"}</definedName>
    <definedName name="rtet" localSheetId="12" hidden="1">{#N/A,#N/A,FALSE,"CONTROLE";#N/A,#N/A,FALSE,"CONTROLE"}</definedName>
    <definedName name="rtet" hidden="1">{#N/A,#N/A,FALSE,"CONTROLE";#N/A,#N/A,FALSE,"CONTROLE"}</definedName>
    <definedName name="rtre" localSheetId="12" hidden="1">{#N/A,#N/A,FALSE,"CONTROLE";#N/A,#N/A,FALSE,"CONTROLE"}</definedName>
    <definedName name="rtre" hidden="1">{#N/A,#N/A,FALSE,"CONTROLE";#N/A,#N/A,FALSE,"CONTROLE"}</definedName>
    <definedName name="rtt" localSheetId="12" hidden="1">{#N/A,#N/A,FALSE,"CONTROLE"}</definedName>
    <definedName name="rtt" hidden="1">{#N/A,#N/A,FALSE,"CONTROLE"}</definedName>
    <definedName name="S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2" hidden="1">{#N/A,#N/A,FALSE,"CONTROLE";#N/A,#N/A,FALSE,"CONTROLE"}</definedName>
    <definedName name="SADSSA" hidden="1">{#N/A,#N/A,FALSE,"CONTROLE";#N/A,#N/A,FALSE,"CONTROLE"}</definedName>
    <definedName name="SaldoCVA_Energia" localSheetId="12">[13]Mercado!$K$67</definedName>
    <definedName name="SaldoCVA_Energia">[14]Mercado!$K$67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12">[10]CAPA!$C$17</definedName>
    <definedName name="SAS_RA0_DataFim" localSheetId="8">CAPA!$C$17</definedName>
    <definedName name="SAS_RA0_DataFim">CAPA!$C$17</definedName>
    <definedName name="SAS_RA0_DataInicio" localSheetId="12">[10]CAPA!$C$16</definedName>
    <definedName name="SAS_RA0_DataInicio" localSheetId="8">CAPA!$C$16</definedName>
    <definedName name="SAS_RA0_DataInicio">CAPA!$C$16</definedName>
    <definedName name="se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2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5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5" hidden="1">CUSD!$M$13</definedName>
    <definedName name="solver_lhs10" localSheetId="15" hidden="1">CUSD!$M$13</definedName>
    <definedName name="solver_lhs11" localSheetId="15" hidden="1">CUSD!$M$15</definedName>
    <definedName name="solver_lhs12" localSheetId="15" hidden="1">CUSD!$M$13</definedName>
    <definedName name="solver_lhs13" localSheetId="15" hidden="1">CUSD!$M$13</definedName>
    <definedName name="solver_lhs14" localSheetId="15" hidden="1">CUSD!$M$15</definedName>
    <definedName name="solver_lhs15" localSheetId="15" hidden="1">CUSD!$M$13</definedName>
    <definedName name="solver_lhs2" localSheetId="15" hidden="1">CUSD!$M$15</definedName>
    <definedName name="solver_lhs3" localSheetId="15" hidden="1">CUSD!$M$13</definedName>
    <definedName name="solver_lhs4" localSheetId="15" hidden="1">CUSD!$M$13</definedName>
    <definedName name="solver_lhs5" localSheetId="15" hidden="1">CUSD!$M$15</definedName>
    <definedName name="solver_lhs6" localSheetId="15" hidden="1">CUSD!$M$13</definedName>
    <definedName name="solver_lhs7" localSheetId="15" hidden="1">CUSD!$M$13</definedName>
    <definedName name="solver_lhs8" localSheetId="15" hidden="1">CUSD!$M$15</definedName>
    <definedName name="solver_lhs9" localSheetId="15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5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2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2" hidden="1">{#N/A,#N/A,FALSE,"CONTROLE"}</definedName>
    <definedName name="ssss" hidden="1">{#N/A,#N/A,FALSE,"CONTROLE"}</definedName>
    <definedName name="ssssss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2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 localSheetId="12">[10]Calc_Mercado!$C$17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 localSheetId="12">[13]Mercado!$B$29:$C$38,[13]Mercado!$G$29:$H$38</definedName>
    <definedName name="TabVariaçãoRI">[14]Mercado!$B$29:$C$38,[14]Mercado!$G$29:$H$38</definedName>
    <definedName name="TabVariaRI" localSheetId="12">[13]Mercado!$B$29:$C$38,[13]Mercado!$G$29:$H$38</definedName>
    <definedName name="TabVariaRI">[14]Mercado!$B$29:$C$38,[14]Mercado!$G$29:$H$38</definedName>
    <definedName name="TarB1Valor">[14]!TabB1[Valor]</definedName>
    <definedName name="tarifas_2003" localSheetId="20" hidden="1">{#N/A,#N/A,FALSE,"ENERGIA";#N/A,#N/A,FALSE,"PERDIDAS";#N/A,#N/A,FALSE,"CLIENTES";#N/A,#N/A,FALSE,"ESTADO";#N/A,#N/A,FALSE,"TECNICA"}</definedName>
    <definedName name="tarifas_2003" localSheetId="12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[18]Mercado!#REF!</definedName>
    <definedName name="teste2" localSheetId="8" hidden="1">[18]Mercado!#REF!</definedName>
    <definedName name="teste2" hidden="1">[18]Mercado!#REF!</definedName>
    <definedName name="tg" localSheetId="12" hidden="1">{#N/A,#N/A,FALSE,"CONTROLE";#N/A,#N/A,FALSE,"CONTROLE"}</definedName>
    <definedName name="tg" hidden="1">{#N/A,#N/A,FALSE,"CONTROLE";#N/A,#N/A,FALSE,"CONTROLE"}</definedName>
    <definedName name="tiuliul" localSheetId="12" hidden="1">{#N/A,#N/A,FALSE,"CONTROLE"}</definedName>
    <definedName name="tiuliul" hidden="1">{#N/A,#N/A,FALSE,"CONTROLE"}</definedName>
    <definedName name="tr" localSheetId="12" hidden="1">{#N/A,#N/A,FALSE,"CONTROLE"}</definedName>
    <definedName name="tr" hidden="1">{#N/A,#N/A,FALSE,"CONTROLE"}</definedName>
    <definedName name="try" localSheetId="12" hidden="1">{#N/A,#N/A,FALSE,"CONTROLE"}</definedName>
    <definedName name="try" hidden="1">{#N/A,#N/A,FALSE,"CONTROLE"}</definedName>
    <definedName name="trye" localSheetId="12" hidden="1">{#N/A,#N/A,FALSE,"CONTROLE"}</definedName>
    <definedName name="trye" hidden="1">{#N/A,#N/A,FALSE,"CONTROLE"}</definedName>
    <definedName name="tttt" localSheetId="12" hidden="1">{#N/A,#N/A,FALSE,"CONTROLE"}</definedName>
    <definedName name="tttt" hidden="1">{#N/A,#N/A,FALSE,"CONTROLE"}</definedName>
    <definedName name="ttttt" localSheetId="12" hidden="1">{#N/A,#N/A,FALSE,"CONTROLE";#N/A,#N/A,FALSE,"CONTROLE"}</definedName>
    <definedName name="ttttt" hidden="1">{#N/A,#N/A,FALSE,"CONTROLE";#N/A,#N/A,FALSE,"CONTROLE"}</definedName>
    <definedName name="tttttt" localSheetId="12" hidden="1">{#N/A,#N/A,FALSE,"CONTROLE"}</definedName>
    <definedName name="tttttt" hidden="1">{#N/A,#N/A,FALSE,"CONTROLE"}</definedName>
    <definedName name="tyt" localSheetId="12" hidden="1">{#N/A,#N/A,FALSE,"CONTROLE"}</definedName>
    <definedName name="tyt" hidden="1">{#N/A,#N/A,FALSE,"CONTROLE"}</definedName>
    <definedName name="tyuttry" localSheetId="12" hidden="1">{#N/A,#N/A,FALSE,"CONTROLE";#N/A,#N/A,FALSE,"CONTROLE"}</definedName>
    <definedName name="tyuttry" hidden="1">{#N/A,#N/A,FALSE,"CONTROLE";#N/A,#N/A,FALSE,"CONTROLE"}</definedName>
    <definedName name="uiliul" localSheetId="12" hidden="1">{#N/A,#N/A,FALSE,"CONTROLE"}</definedName>
    <definedName name="uiliul" hidden="1">{#N/A,#N/A,FALSE,"CONTROLE"}</definedName>
    <definedName name="uj" localSheetId="12" hidden="1">{#N/A,#N/A,FALSE,"CONTROLE"}</definedName>
    <definedName name="uj" hidden="1">{#N/A,#N/A,FALSE,"CONTROLE"}</definedName>
    <definedName name="ujuju" localSheetId="12" hidden="1">{#N/A,#N/A,FALSE,"CONTROLE";#N/A,#N/A,FALSE,"CONTROLE"}</definedName>
    <definedName name="ujuju" hidden="1">{#N/A,#N/A,FALSE,"CONTROLE";#N/A,#N/A,FALSE,"CONTROLE"}</definedName>
    <definedName name="utkiukuy" localSheetId="12" hidden="1">{#N/A,#N/A,FALSE,"CONTROLE"}</definedName>
    <definedName name="utkiukuy" hidden="1">{#N/A,#N/A,FALSE,"CONTROLE"}</definedName>
    <definedName name="uuy" localSheetId="12" hidden="1">{#N/A,#N/A,FALSE,"CONTROLE"}</definedName>
    <definedName name="uuy" hidden="1">{#N/A,#N/A,FALSE,"CONTROLE"}</definedName>
    <definedName name="uytuytu" localSheetId="12" hidden="1">{#N/A,#N/A,FALSE,"CONTROLE"}</definedName>
    <definedName name="uytuytu" hidden="1">{#N/A,#N/A,FALSE,"CONTROLE"}</definedName>
    <definedName name="vcxbstg" localSheetId="12" hidden="1">{#N/A,#N/A,FALSE,"CONTROLE"}</definedName>
    <definedName name="vcxbstg" hidden="1">{#N/A,#N/A,FALSE,"CONTROLE"}</definedName>
    <definedName name="vfr" localSheetId="12" hidden="1">{#N/A,#N/A,FALSE,"CONTROLE"}</definedName>
    <definedName name="vfr" hidden="1">{#N/A,#N/A,FALSE,"CONTROLE"}</definedName>
    <definedName name="wdwd" localSheetId="12" hidden="1">{#N/A,#N/A,FALSE,"CONTROLE";#N/A,#N/A,FALSE,"CONTROLE"}</definedName>
    <definedName name="wdwd" hidden="1">{#N/A,#N/A,FALSE,"CONTROLE";#N/A,#N/A,FALSE,"CONTROLE"}</definedName>
    <definedName name="werrt" localSheetId="12" hidden="1">{#N/A,#N/A,FALSE,"CONTROLE";#N/A,#N/A,FALSE,"CONTROLE"}</definedName>
    <definedName name="werrt" hidden="1">{#N/A,#N/A,FALSE,"CONTROLE";#N/A,#N/A,FALSE,"CONTROLE"}</definedName>
    <definedName name="WQWQRWERW" localSheetId="12" hidden="1">{#N/A,#N/A,FALSE,"CONTROLE";#N/A,#N/A,FALSE,"CONTROLE"}</definedName>
    <definedName name="WQWQRWERW" hidden="1">{#N/A,#N/A,FALSE,"CONTROLE";#N/A,#N/A,FALSE,"CONTROLE"}</definedName>
    <definedName name="wrn.APLICAÇÃO." localSheetId="12" hidden="1">{#N/A,#N/A,FALSE,"CONTROLE"}</definedName>
    <definedName name="wrn.APLICAÇÃO." hidden="1">{#N/A,#N/A,FALSE,"CONTROLE"}</definedName>
    <definedName name="wrn.ESTADOS._.FINANCIEROS." localSheetId="12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2" hidden="1">{#N/A,#N/A,FALSE,"CONTROLE";#N/A,#N/A,FALSE,"CONTROLE"}</definedName>
    <definedName name="wrn.forneci" hidden="1">{#N/A,#N/A,FALSE,"CONTROLE";#N/A,#N/A,FALSE,"CONTROLE"}</definedName>
    <definedName name="WRN.INFMES" localSheetId="12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0" hidden="1">{#N/A,#N/A,FALSE,"ENERGIA";#N/A,#N/A,FALSE,"PERDIDAS";#N/A,#N/A,FALSE,"CLIENTES";#N/A,#N/A,FALSE,"ESTADO";#N/A,#N/A,FALSE,"TECNICA"}</definedName>
    <definedName name="wrn.INFMES." localSheetId="12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2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2" hidden="1">{#N/A,#N/A,FALSE,"CONTROLE";#N/A,#N/A,FALSE,"CONTROLE"}</definedName>
    <definedName name="wrn.RELATORIO." hidden="1">{#N/A,#N/A,FALSE,"CONTROLE";#N/A,#N/A,FALSE,"CONTROLE"}</definedName>
    <definedName name="ws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2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0" hidden="1">{#N/A,#N/A,FALSE,"ENERGIA";#N/A,#N/A,FALSE,"PERDIDAS";#N/A,#N/A,FALSE,"CLIENTES";#N/A,#N/A,FALSE,"ESTADO";#N/A,#N/A,FALSE,"TECNICA"}</definedName>
    <definedName name="xs" localSheetId="12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2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2" hidden="1">{#N/A,#N/A,FALSE,"CONTROLE"}</definedName>
    <definedName name="Xuxu" hidden="1">{#N/A,#N/A,FALSE,"CONTROLE"}</definedName>
    <definedName name="xxx" localSheetId="20" hidden="1">{#N/A,#N/A,FALSE,"ENERGIA";#N/A,#N/A,FALSE,"PERDIDAS";#N/A,#N/A,FALSE,"CLIENTES";#N/A,#N/A,FALSE,"ESTADO";#N/A,#N/A,FALSE,"TECNICA"}</definedName>
    <definedName name="xxx" localSheetId="12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2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2" hidden="1">{#N/A,#N/A,FALSE,"CONTROLE"}</definedName>
    <definedName name="yeuyu" hidden="1">{#N/A,#N/A,FALSE,"CONTROLE"}</definedName>
    <definedName name="yru6" localSheetId="12" hidden="1">{#N/A,#N/A,FALSE,"CONTROLE";#N/A,#N/A,FALSE,"CONTROLE"}</definedName>
    <definedName name="yru6" hidden="1">{#N/A,#N/A,FALSE,"CONTROLE";#N/A,#N/A,FALSE,"CONTROLE"}</definedName>
    <definedName name="ytuytuyt" localSheetId="12" hidden="1">{#N/A,#N/A,FALSE,"CONTROLE";#N/A,#N/A,FALSE,"CONTROLE"}</definedName>
    <definedName name="ytuytuyt" hidden="1">{#N/A,#N/A,FALSE,"CONTROLE";#N/A,#N/A,FALSE,"CONTROLE"}</definedName>
    <definedName name="ytytry" localSheetId="12" hidden="1">{#N/A,#N/A,FALSE,"CONTROLE"}</definedName>
    <definedName name="ytytry" hidden="1">{#N/A,#N/A,FALSE,"CONTROLE"}</definedName>
    <definedName name="yuii" localSheetId="12" hidden="1">{#N/A,#N/A,FALSE,"CONTROLE";#N/A,#N/A,FALSE,"CONTROLE"}</definedName>
    <definedName name="yuii" hidden="1">{#N/A,#N/A,FALSE,"CONTROLE";#N/A,#N/A,FALSE,"CONTROLE"}</definedName>
    <definedName name="yyy" localSheetId="12" hidden="1">{#N/A,#N/A,FALSE,"CONTROLE"}</definedName>
    <definedName name="yyy" hidden="1">{#N/A,#N/A,FALSE,"CONTROLE"}</definedName>
    <definedName name="Z_A46625B5_2B64_4741_9BD6_64D33D3699F2_.wvu.Cols" hidden="1">'[19]22.  Despesa Uso Sistema Distr '!#REF!</definedName>
    <definedName name="zx\" hidden="1">[1]Calc!$AJ$8:$AJ$19</definedName>
    <definedName name="zxcz" localSheetId="12" hidden="1">{#N/A,#N/A,FALSE,"CONTROLE"}</definedName>
    <definedName name="zxcz" hidden="1">{#N/A,#N/A,FALSE,"CONTROLE"}</definedName>
    <definedName name="zz" localSheetId="12" hidden="1">{#N/A,#N/A,FALSE,"CONTROLE"}</definedName>
    <definedName name="zz" hidden="1">{#N/A,#N/A,FALSE,"CONTROLE"}</definedName>
    <definedName name="zzzzz" localSheetId="12" hidden="1">#REF!</definedName>
    <definedName name="zzzzz" hidden="1">#REF!</definedName>
    <definedName name="zzzzzzzzzzzzzzzzzz" localSheetId="12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4" r:id="rId56"/>
    <pivotCache cacheId="5" r:id="rId5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3" i="64" l="1"/>
  <c r="G16" i="25" l="1"/>
  <c r="AH458" i="132" l="1"/>
  <c r="AH459" i="132"/>
  <c r="AH460" i="132"/>
  <c r="AH461" i="132"/>
  <c r="AH462" i="132"/>
  <c r="AH463" i="132"/>
  <c r="AH464" i="132"/>
  <c r="AH465" i="132"/>
  <c r="AH466" i="132"/>
  <c r="AH467" i="132"/>
  <c r="AH468" i="132"/>
  <c r="AH469" i="132"/>
  <c r="AH470" i="132"/>
  <c r="AH471" i="132"/>
  <c r="AH472" i="132"/>
  <c r="AH473" i="132"/>
  <c r="AH474" i="132"/>
  <c r="AH475" i="132"/>
  <c r="AH476" i="132"/>
  <c r="AH477" i="132"/>
  <c r="AH478" i="132"/>
  <c r="AH479" i="132"/>
  <c r="AH480" i="132"/>
  <c r="AH481" i="132"/>
  <c r="AH482" i="132"/>
  <c r="AS254" i="89" l="1"/>
  <c r="AS255" i="89"/>
  <c r="AS244" i="89"/>
  <c r="AS246" i="89"/>
  <c r="M39" i="25" l="1"/>
  <c r="M40" i="25"/>
  <c r="M41" i="25"/>
  <c r="M42" i="25"/>
  <c r="M43" i="25"/>
  <c r="M44" i="25"/>
  <c r="M45" i="25"/>
  <c r="M46" i="25"/>
  <c r="M47" i="25"/>
  <c r="M48" i="25"/>
  <c r="M38" i="25"/>
  <c r="M37" i="25"/>
  <c r="F249" i="49" l="1"/>
  <c r="G249" i="49"/>
  <c r="H249" i="49"/>
  <c r="I249" i="49"/>
  <c r="J249" i="49"/>
  <c r="F250" i="49"/>
  <c r="G250" i="49"/>
  <c r="H250" i="49"/>
  <c r="I250" i="49"/>
  <c r="J250" i="49"/>
  <c r="F251" i="49"/>
  <c r="G251" i="49"/>
  <c r="H251" i="49"/>
  <c r="I251" i="49"/>
  <c r="J251" i="49"/>
  <c r="F252" i="49"/>
  <c r="G252" i="49"/>
  <c r="H252" i="49"/>
  <c r="I252" i="49"/>
  <c r="J252" i="49"/>
  <c r="F253" i="49"/>
  <c r="G253" i="49"/>
  <c r="H253" i="49"/>
  <c r="I253" i="49"/>
  <c r="J253" i="49"/>
  <c r="D64" i="50"/>
  <c r="D63" i="50"/>
  <c r="D56" i="50"/>
  <c r="D50" i="50"/>
  <c r="D49" i="50"/>
  <c r="D48" i="50"/>
  <c r="C99" i="58" l="1"/>
  <c r="C100" i="58"/>
  <c r="C101" i="58"/>
  <c r="C102" i="58"/>
  <c r="C103" i="58"/>
  <c r="C98" i="58"/>
  <c r="C104" i="58" l="1"/>
  <c r="J41" i="58" s="1"/>
  <c r="AM183" i="89"/>
  <c r="AS249" i="89" s="1"/>
  <c r="F304" i="90" l="1"/>
  <c r="B64" i="64"/>
  <c r="B62" i="64"/>
  <c r="Q121" i="49" l="1"/>
  <c r="P121" i="49" s="1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C121" i="49"/>
  <c r="C122" i="49"/>
  <c r="C120" i="49"/>
  <c r="C18" i="50"/>
  <c r="H404" i="7"/>
  <c r="G404" i="7"/>
  <c r="D42" i="50" l="1"/>
  <c r="Q120" i="49" l="1"/>
  <c r="P120" i="49" s="1"/>
  <c r="C62" i="64"/>
  <c r="H4" i="140"/>
  <c r="I4" i="140"/>
  <c r="L4" i="140"/>
  <c r="N4" i="140"/>
  <c r="F9" i="140"/>
  <c r="G9" i="140"/>
  <c r="H9" i="140"/>
  <c r="F10" i="140"/>
  <c r="G10" i="140"/>
  <c r="H10" i="140"/>
  <c r="F11" i="140"/>
  <c r="G11" i="140"/>
  <c r="H11" i="140"/>
  <c r="F12" i="140"/>
  <c r="G12" i="140"/>
  <c r="H12" i="140"/>
  <c r="F13" i="140"/>
  <c r="G13" i="140"/>
  <c r="H13" i="140"/>
  <c r="F14" i="140"/>
  <c r="G14" i="140"/>
  <c r="H14" i="140"/>
  <c r="F15" i="140"/>
  <c r="G15" i="140"/>
  <c r="H15" i="140"/>
  <c r="F16" i="140"/>
  <c r="G16" i="140"/>
  <c r="H16" i="140"/>
  <c r="F17" i="140"/>
  <c r="G17" i="140"/>
  <c r="H17" i="140"/>
  <c r="F18" i="140"/>
  <c r="G18" i="140"/>
  <c r="H18" i="140"/>
  <c r="F19" i="140"/>
  <c r="G19" i="140"/>
  <c r="H19" i="140"/>
  <c r="F20" i="140"/>
  <c r="G20" i="140"/>
  <c r="H20" i="140"/>
  <c r="F21" i="140"/>
  <c r="G21" i="140"/>
  <c r="H21" i="140"/>
  <c r="F22" i="140"/>
  <c r="G22" i="140"/>
  <c r="H22" i="140"/>
  <c r="F23" i="140"/>
  <c r="G23" i="140"/>
  <c r="H23" i="140"/>
  <c r="F24" i="140"/>
  <c r="G24" i="140"/>
  <c r="H24" i="140"/>
  <c r="F25" i="140"/>
  <c r="G25" i="140"/>
  <c r="H25" i="140"/>
  <c r="C27" i="140"/>
  <c r="G26" i="140"/>
  <c r="H26" i="140"/>
  <c r="D27" i="140"/>
  <c r="E27" i="140"/>
  <c r="G27" i="140" l="1"/>
  <c r="O4" i="140" s="1"/>
  <c r="H27" i="140"/>
  <c r="F26" i="140"/>
  <c r="F27" i="140" s="1"/>
  <c r="J4" i="140" s="1"/>
  <c r="P4" i="140" l="1"/>
  <c r="Q4" i="140" s="1"/>
  <c r="R4" i="140" s="1"/>
  <c r="D12" i="139" s="1"/>
  <c r="D38" i="50" s="1"/>
  <c r="C6" i="139"/>
  <c r="F6" i="139" s="1"/>
  <c r="N6" i="139"/>
  <c r="N7" i="139" s="1"/>
  <c r="N8" i="139" s="1"/>
  <c r="N9" i="139" s="1"/>
  <c r="N10" i="139" s="1"/>
  <c r="F154" i="49" l="1"/>
  <c r="G154" i="49"/>
  <c r="H154" i="49"/>
  <c r="I154" i="49"/>
  <c r="J154" i="49"/>
  <c r="K154" i="49"/>
  <c r="C150" i="49" l="1"/>
  <c r="C151" i="49"/>
  <c r="C152" i="49"/>
  <c r="C153" i="49"/>
  <c r="C154" i="49"/>
  <c r="K53" i="58"/>
  <c r="K54" i="58"/>
  <c r="K42" i="58"/>
  <c r="J53" i="58"/>
  <c r="F15" i="25" l="1"/>
  <c r="D58" i="39"/>
  <c r="F153" i="49" l="1"/>
  <c r="G153" i="49"/>
  <c r="H153" i="49"/>
  <c r="I153" i="49"/>
  <c r="J153" i="49"/>
  <c r="K153" i="49"/>
  <c r="C155" i="49"/>
  <c r="AM182" i="89"/>
  <c r="AS248" i="89" s="1"/>
  <c r="AN183" i="89"/>
  <c r="AM184" i="89"/>
  <c r="AS250" i="89" s="1"/>
  <c r="AM185" i="89"/>
  <c r="AS251" i="89" s="1"/>
  <c r="AN185" i="89"/>
  <c r="AM186" i="89"/>
  <c r="AS252" i="89" s="1"/>
  <c r="AN186" i="89"/>
  <c r="AM187" i="89"/>
  <c r="AS253" i="89" s="1"/>
  <c r="AN187" i="89"/>
  <c r="AO183" i="89" l="1"/>
  <c r="AU249" i="89"/>
  <c r="AO187" i="89"/>
  <c r="AU253" i="89"/>
  <c r="AO186" i="89"/>
  <c r="AU252" i="89"/>
  <c r="AO185" i="89"/>
  <c r="AU251" i="89"/>
  <c r="C7" i="139"/>
  <c r="C5" i="139"/>
  <c r="AS256" i="89" l="1"/>
  <c r="AS257" i="89"/>
  <c r="AS258" i="89"/>
  <c r="AS259" i="89"/>
  <c r="AS260" i="89"/>
  <c r="AU260" i="89"/>
  <c r="AO194" i="89"/>
  <c r="AO195" i="89"/>
  <c r="AO196" i="89"/>
  <c r="M22" i="58"/>
  <c r="M23" i="58"/>
  <c r="D41" i="50" l="1"/>
  <c r="C61" i="64" s="1"/>
  <c r="F132" i="49"/>
  <c r="G132" i="49"/>
  <c r="H132" i="49"/>
  <c r="I132" i="49"/>
  <c r="J132" i="49"/>
  <c r="K132" i="49"/>
  <c r="F133" i="49"/>
  <c r="G133" i="49"/>
  <c r="H133" i="49"/>
  <c r="I133" i="49"/>
  <c r="J133" i="49"/>
  <c r="K133" i="49"/>
  <c r="K99" i="49"/>
  <c r="J99" i="49"/>
  <c r="I99" i="49"/>
  <c r="H99" i="49"/>
  <c r="G99" i="49"/>
  <c r="F99" i="49"/>
  <c r="K98" i="49"/>
  <c r="J98" i="49"/>
  <c r="I98" i="49"/>
  <c r="H98" i="49"/>
  <c r="G98" i="49"/>
  <c r="F98" i="49"/>
  <c r="L10" i="139" l="1"/>
  <c r="N11" i="139" s="1"/>
  <c r="C8" i="139"/>
  <c r="O5" i="139" s="1"/>
  <c r="O6" i="139" s="1"/>
  <c r="O7" i="139" s="1"/>
  <c r="O8" i="139" s="1"/>
  <c r="O9" i="139" s="1"/>
  <c r="O10" i="139" s="1"/>
  <c r="N12" i="139" l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O11" i="139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/>
  <c r="C20" i="50" s="1"/>
  <c r="L41" i="51"/>
  <c r="C19" i="50" s="1"/>
  <c r="I48" i="51"/>
  <c r="I49" i="51"/>
  <c r="I50" i="51"/>
  <c r="I51" i="51"/>
  <c r="I52" i="51"/>
  <c r="I53" i="51"/>
  <c r="I54" i="51"/>
  <c r="I55" i="51"/>
  <c r="I56" i="51"/>
  <c r="I57" i="51"/>
  <c r="I58" i="51"/>
  <c r="I47" i="51"/>
  <c r="C132" i="49" l="1"/>
  <c r="C98" i="49"/>
  <c r="C99" i="49"/>
  <c r="C133" i="49"/>
  <c r="H48" i="51" l="1"/>
  <c r="H49" i="51"/>
  <c r="H50" i="51"/>
  <c r="H51" i="51"/>
  <c r="H52" i="51"/>
  <c r="H53" i="51"/>
  <c r="H54" i="51"/>
  <c r="H55" i="51"/>
  <c r="H56" i="51"/>
  <c r="H57" i="51"/>
  <c r="H58" i="51"/>
  <c r="H47" i="51"/>
  <c r="Q192" i="49" l="1"/>
  <c r="Q191" i="49"/>
  <c r="F138" i="49"/>
  <c r="G138" i="49"/>
  <c r="H138" i="49"/>
  <c r="I138" i="49"/>
  <c r="J138" i="49"/>
  <c r="K138" i="49"/>
  <c r="C138" i="49"/>
  <c r="L17" i="51"/>
  <c r="I21" i="51"/>
  <c r="AU214" i="89" s="1"/>
  <c r="AV214" i="89" s="1"/>
  <c r="I20" i="51"/>
  <c r="AU213" i="89" s="1"/>
  <c r="Q279" i="49" l="1"/>
  <c r="P279" i="49" s="1"/>
  <c r="F47" i="58" l="1"/>
  <c r="E47" i="58"/>
  <c r="F46" i="58"/>
  <c r="E46" i="58"/>
  <c r="F45" i="58"/>
  <c r="E45" i="58"/>
  <c r="F44" i="58"/>
  <c r="E44" i="58"/>
  <c r="K44" i="58" s="1"/>
  <c r="F43" i="58"/>
  <c r="E43" i="58"/>
  <c r="K12" i="39"/>
  <c r="M6" i="58"/>
  <c r="K45" i="58" l="1"/>
  <c r="L45" i="58" s="1"/>
  <c r="L6" i="58"/>
  <c r="K46" i="58"/>
  <c r="L46" i="58" s="1"/>
  <c r="K43" i="58"/>
  <c r="L43" i="58" s="1"/>
  <c r="K47" i="58"/>
  <c r="L47" i="58" s="1"/>
  <c r="L44" i="58"/>
  <c r="J48" i="58"/>
  <c r="L42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Q199" i="49" l="1"/>
  <c r="Q197" i="49"/>
  <c r="C156" i="49"/>
  <c r="F156" i="49"/>
  <c r="G156" i="49"/>
  <c r="H156" i="49"/>
  <c r="I156" i="49"/>
  <c r="J156" i="49"/>
  <c r="K156" i="49"/>
  <c r="C157" i="49"/>
  <c r="F157" i="49"/>
  <c r="G157" i="49"/>
  <c r="H157" i="49"/>
  <c r="I157" i="49"/>
  <c r="J157" i="49"/>
  <c r="K157" i="49"/>
  <c r="C158" i="49"/>
  <c r="F158" i="49"/>
  <c r="G158" i="49"/>
  <c r="H158" i="49"/>
  <c r="I158" i="49"/>
  <c r="J158" i="49"/>
  <c r="K158" i="49"/>
  <c r="C147" i="49"/>
  <c r="F147" i="49"/>
  <c r="G147" i="49"/>
  <c r="H147" i="49"/>
  <c r="I147" i="49"/>
  <c r="J147" i="49"/>
  <c r="K147" i="49"/>
  <c r="C148" i="49"/>
  <c r="F148" i="49"/>
  <c r="G148" i="49"/>
  <c r="H148" i="49"/>
  <c r="I148" i="49"/>
  <c r="J148" i="49"/>
  <c r="K148" i="49"/>
  <c r="C149" i="49"/>
  <c r="F149" i="49"/>
  <c r="G149" i="49"/>
  <c r="H149" i="49"/>
  <c r="I149" i="49"/>
  <c r="J149" i="49"/>
  <c r="K149" i="49"/>
  <c r="F150" i="49"/>
  <c r="G150" i="49"/>
  <c r="H150" i="49"/>
  <c r="I150" i="49"/>
  <c r="J150" i="49"/>
  <c r="K150" i="49"/>
  <c r="F151" i="49"/>
  <c r="G151" i="49"/>
  <c r="H151" i="49"/>
  <c r="I151" i="49"/>
  <c r="J151" i="49"/>
  <c r="K151" i="49"/>
  <c r="F152" i="49"/>
  <c r="G152" i="49"/>
  <c r="H152" i="49"/>
  <c r="I152" i="49"/>
  <c r="J152" i="49"/>
  <c r="K152" i="49"/>
  <c r="F144" i="49"/>
  <c r="G144" i="49"/>
  <c r="H144" i="49"/>
  <c r="I144" i="49"/>
  <c r="J144" i="49"/>
  <c r="K144" i="49"/>
  <c r="F145" i="49"/>
  <c r="G145" i="49"/>
  <c r="H145" i="49"/>
  <c r="I145" i="49"/>
  <c r="J145" i="49"/>
  <c r="K145" i="49"/>
  <c r="F146" i="49"/>
  <c r="G146" i="49"/>
  <c r="H146" i="49"/>
  <c r="I146" i="49"/>
  <c r="J146" i="49"/>
  <c r="K146" i="49"/>
  <c r="G143" i="49"/>
  <c r="H143" i="49"/>
  <c r="I143" i="49"/>
  <c r="J143" i="49"/>
  <c r="K143" i="49"/>
  <c r="F143" i="49"/>
  <c r="F140" i="49"/>
  <c r="G140" i="49"/>
  <c r="H140" i="49"/>
  <c r="I140" i="49"/>
  <c r="J140" i="49"/>
  <c r="K140" i="49"/>
  <c r="F141" i="49"/>
  <c r="G141" i="49"/>
  <c r="H141" i="49"/>
  <c r="I141" i="49"/>
  <c r="J141" i="49"/>
  <c r="K141" i="49"/>
  <c r="F142" i="49"/>
  <c r="G142" i="49"/>
  <c r="H142" i="49"/>
  <c r="I142" i="49"/>
  <c r="J142" i="49"/>
  <c r="K142" i="49"/>
  <c r="G139" i="49"/>
  <c r="H139" i="49"/>
  <c r="I139" i="49"/>
  <c r="J139" i="49"/>
  <c r="K139" i="49"/>
  <c r="F139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F137" i="49"/>
  <c r="G137" i="49"/>
  <c r="H137" i="49"/>
  <c r="I137" i="49"/>
  <c r="J137" i="49"/>
  <c r="K137" i="49"/>
  <c r="G123" i="49"/>
  <c r="H123" i="49"/>
  <c r="I123" i="49"/>
  <c r="J123" i="49"/>
  <c r="K123" i="49"/>
  <c r="F123" i="49"/>
  <c r="C124" i="49"/>
  <c r="C123" i="49"/>
  <c r="Q119" i="49"/>
  <c r="C119" i="49"/>
  <c r="F117" i="49"/>
  <c r="G117" i="49"/>
  <c r="H117" i="49"/>
  <c r="F118" i="49"/>
  <c r="G118" i="49"/>
  <c r="H118" i="49"/>
  <c r="F119" i="49"/>
  <c r="G119" i="49"/>
  <c r="H119" i="49"/>
  <c r="I118" i="49"/>
  <c r="J118" i="49"/>
  <c r="K118" i="49"/>
  <c r="I119" i="49"/>
  <c r="J119" i="49"/>
  <c r="K119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1" i="89" l="1"/>
  <c r="AU247" i="89" s="1"/>
  <c r="AM181" i="89"/>
  <c r="AS247" i="89" s="1"/>
  <c r="AS240" i="89" l="1"/>
  <c r="AS242" i="89"/>
  <c r="AO181" i="89"/>
  <c r="AN176" i="89"/>
  <c r="AU242" i="89" s="1"/>
  <c r="AN180" i="89"/>
  <c r="AU246" i="89" s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54" i="49"/>
  <c r="O55" i="49"/>
  <c r="O56" i="49"/>
  <c r="O57" i="49"/>
  <c r="O53" i="49"/>
  <c r="J11" i="130"/>
  <c r="P282" i="49"/>
  <c r="P281" i="49"/>
  <c r="L54" i="49"/>
  <c r="L55" i="49"/>
  <c r="L56" i="49"/>
  <c r="L57" i="49"/>
  <c r="L53" i="49"/>
  <c r="C255" i="49" l="1"/>
  <c r="F255" i="49"/>
  <c r="G255" i="49"/>
  <c r="H255" i="49"/>
  <c r="I255" i="49"/>
  <c r="J255" i="49"/>
  <c r="Q258" i="49"/>
  <c r="P258" i="49" s="1"/>
  <c r="Q273" i="49"/>
  <c r="P273" i="49" s="1"/>
  <c r="Q272" i="49"/>
  <c r="P272" i="49" s="1"/>
  <c r="Q271" i="49"/>
  <c r="P271" i="49" s="1"/>
  <c r="Q270" i="49"/>
  <c r="P270" i="49" s="1"/>
  <c r="Q269" i="49"/>
  <c r="P269" i="49" s="1"/>
  <c r="Q268" i="49"/>
  <c r="P268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7" i="49"/>
  <c r="P257" i="49" s="1"/>
  <c r="Q256" i="49"/>
  <c r="P256" i="49" s="1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F243" i="49"/>
  <c r="G243" i="49"/>
  <c r="H243" i="49"/>
  <c r="I243" i="49"/>
  <c r="J243" i="49"/>
  <c r="K243" i="49"/>
  <c r="C244" i="49"/>
  <c r="F244" i="49"/>
  <c r="G244" i="49"/>
  <c r="H244" i="49"/>
  <c r="I244" i="49"/>
  <c r="J244" i="49"/>
  <c r="K244" i="49"/>
  <c r="C245" i="49"/>
  <c r="F245" i="49"/>
  <c r="G245" i="49"/>
  <c r="H245" i="49"/>
  <c r="I245" i="49"/>
  <c r="J245" i="49"/>
  <c r="K245" i="49"/>
  <c r="C246" i="49"/>
  <c r="F246" i="49"/>
  <c r="G246" i="49"/>
  <c r="H246" i="49"/>
  <c r="I246" i="49"/>
  <c r="J246" i="49"/>
  <c r="K246" i="49"/>
  <c r="C247" i="49"/>
  <c r="F247" i="49"/>
  <c r="G247" i="49"/>
  <c r="H247" i="49"/>
  <c r="I247" i="49"/>
  <c r="J247" i="49"/>
  <c r="K247" i="49"/>
  <c r="C248" i="49"/>
  <c r="F248" i="49"/>
  <c r="G248" i="49"/>
  <c r="H248" i="49"/>
  <c r="I248" i="49"/>
  <c r="J248" i="49"/>
  <c r="K248" i="49"/>
  <c r="C249" i="49"/>
  <c r="C250" i="49"/>
  <c r="C251" i="49"/>
  <c r="C252" i="49"/>
  <c r="C253" i="49"/>
  <c r="C254" i="49"/>
  <c r="G221" i="49"/>
  <c r="H221" i="49"/>
  <c r="I221" i="49"/>
  <c r="J221" i="49"/>
  <c r="K221" i="49"/>
  <c r="F221" i="49"/>
  <c r="C221" i="49"/>
  <c r="AN189" i="89"/>
  <c r="AU255" i="89" s="1"/>
  <c r="AO189" i="89" l="1"/>
  <c r="Q222" i="49"/>
  <c r="P222" i="49" s="1"/>
  <c r="C66" i="64"/>
  <c r="Q223" i="49"/>
  <c r="P223" i="49" s="1"/>
  <c r="C67" i="64"/>
  <c r="Q221" i="49"/>
  <c r="P221" i="49" s="1"/>
  <c r="C65" i="64"/>
  <c r="Q229" i="49"/>
  <c r="P229" i="49" s="1"/>
  <c r="C73" i="64"/>
  <c r="Q236" i="49"/>
  <c r="P236" i="49" s="1"/>
  <c r="C80" i="64"/>
  <c r="Q237" i="49"/>
  <c r="P237" i="49" s="1"/>
  <c r="C81" i="64"/>
  <c r="Q220" i="49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E21" i="58" l="1"/>
  <c r="F66" i="58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O65" i="135" a="1"/>
  <c r="I65" i="135" a="1"/>
  <c r="L65" i="135" a="1"/>
  <c r="U65" i="135" a="1"/>
  <c r="G65" i="135" a="1"/>
  <c r="AA65" i="135" a="1"/>
  <c r="T65" i="135" a="1"/>
  <c r="V65" i="135" a="1"/>
  <c r="Z65" i="135" a="1"/>
  <c r="D65" i="135" a="1"/>
  <c r="J65" i="135" a="1"/>
  <c r="N65" i="135" a="1"/>
  <c r="E65" i="135" a="1"/>
  <c r="AB65" i="135" a="1"/>
  <c r="W65" i="135" a="1"/>
  <c r="Q65" i="135" a="1"/>
  <c r="M65" i="135" a="1"/>
  <c r="P65" i="135" a="1"/>
  <c r="F65" i="135" a="1"/>
  <c r="S65" i="135" a="1"/>
  <c r="K65" i="135" a="1"/>
  <c r="H65" i="135" a="1"/>
  <c r="X65" i="135" a="1"/>
  <c r="Y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P64" i="135" a="1"/>
  <c r="I64" i="135" a="1"/>
  <c r="T64" i="135" a="1"/>
  <c r="W64" i="135" a="1"/>
  <c r="M64" i="135" a="1"/>
  <c r="V64" i="135" a="1"/>
  <c r="H64" i="135" a="1"/>
  <c r="Y64" i="135" a="1"/>
  <c r="D64" i="135" a="1"/>
  <c r="S64" i="135" a="1"/>
  <c r="K64" i="135" a="1"/>
  <c r="N64" i="135" a="1"/>
  <c r="O64" i="135" a="1"/>
  <c r="X64" i="135" a="1"/>
  <c r="J64" i="135" a="1"/>
  <c r="AA64" i="135" a="1"/>
  <c r="E64" i="135" a="1"/>
  <c r="L64" i="135" a="1"/>
  <c r="Q64" i="135" a="1"/>
  <c r="AB64" i="135" a="1"/>
  <c r="F64" i="135" a="1"/>
  <c r="U64" i="135" a="1"/>
  <c r="G64" i="135" a="1"/>
  <c r="Z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AA63" i="135" a="1"/>
  <c r="M63" i="135" a="1"/>
  <c r="N63" i="135" a="1"/>
  <c r="P63" i="135" a="1"/>
  <c r="W63" i="135" a="1"/>
  <c r="K63" i="135" a="1"/>
  <c r="AB63" i="135" a="1"/>
  <c r="J63" i="135" a="1"/>
  <c r="V63" i="135" a="1"/>
  <c r="E63" i="135" a="1"/>
  <c r="I63" i="135" a="1"/>
  <c r="D63" i="135" a="1"/>
  <c r="X63" i="135" a="1"/>
  <c r="H63" i="135" a="1"/>
  <c r="Z63" i="135" a="1"/>
  <c r="F63" i="135" a="1"/>
  <c r="O63" i="135" a="1"/>
  <c r="T63" i="135" a="1"/>
  <c r="U63" i="135" a="1"/>
  <c r="L63" i="135" a="1"/>
  <c r="Y63" i="135" a="1"/>
  <c r="G63" i="135" a="1"/>
  <c r="Q63" i="135" a="1"/>
  <c r="S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F62" i="135" a="1"/>
  <c r="H62" i="135" a="1"/>
  <c r="K62" i="135" a="1"/>
  <c r="O62" i="135" a="1"/>
  <c r="T62" i="135" a="1"/>
  <c r="Q62" i="135" a="1"/>
  <c r="Z62" i="135" a="1"/>
  <c r="S62" i="135" a="1"/>
  <c r="M62" i="135" a="1"/>
  <c r="L62" i="135" a="1"/>
  <c r="P62" i="135" a="1"/>
  <c r="X62" i="135" a="1"/>
  <c r="J62" i="135" a="1"/>
  <c r="E62" i="135" a="1"/>
  <c r="Y62" i="135" a="1"/>
  <c r="U62" i="135" a="1"/>
  <c r="AB62" i="135" a="1"/>
  <c r="D62" i="135" a="1"/>
  <c r="I62" i="135" a="1"/>
  <c r="V62" i="135" a="1"/>
  <c r="W62" i="135" a="1"/>
  <c r="N62" i="135" a="1"/>
  <c r="AA62" i="135" a="1"/>
  <c r="G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E61" i="135" a="1"/>
  <c r="L61" i="135" a="1"/>
  <c r="V61" i="135" a="1"/>
  <c r="F61" i="135" a="1"/>
  <c r="Q61" i="135" a="1"/>
  <c r="S61" i="135" a="1"/>
  <c r="H61" i="135" a="1"/>
  <c r="Y61" i="135" a="1"/>
  <c r="K61" i="135" a="1"/>
  <c r="X61" i="135" a="1"/>
  <c r="O61" i="135" a="1"/>
  <c r="W61" i="135" a="1"/>
  <c r="J61" i="135" a="1"/>
  <c r="M61" i="135" a="1"/>
  <c r="T61" i="135" a="1"/>
  <c r="AB61" i="135" a="1"/>
  <c r="Z61" i="135" a="1"/>
  <c r="D61" i="135" a="1"/>
  <c r="I61" i="135" a="1"/>
  <c r="P61" i="135" a="1"/>
  <c r="G61" i="135" a="1"/>
  <c r="AA61" i="135" a="1"/>
  <c r="N61" i="135" a="1"/>
  <c r="U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U60" i="135" a="1"/>
  <c r="W60" i="135" a="1"/>
  <c r="P60" i="135" a="1"/>
  <c r="M60" i="135" a="1"/>
  <c r="AA60" i="135" a="1"/>
  <c r="D60" i="135" a="1"/>
  <c r="N60" i="135" a="1"/>
  <c r="AB60" i="135" a="1"/>
  <c r="O60" i="135" a="1"/>
  <c r="Q60" i="135" a="1"/>
  <c r="E60" i="135" a="1"/>
  <c r="T60" i="135" a="1"/>
  <c r="I60" i="135" a="1"/>
  <c r="X60" i="135" a="1"/>
  <c r="F60" i="135" a="1"/>
  <c r="Y60" i="135" a="1"/>
  <c r="H60" i="135" a="1"/>
  <c r="S60" i="135" a="1"/>
  <c r="J60" i="135" a="1"/>
  <c r="L60" i="135" a="1"/>
  <c r="Z60" i="135" a="1"/>
  <c r="V60" i="135" a="1"/>
  <c r="K60" i="135" a="1"/>
  <c r="G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H59" i="135" a="1"/>
  <c r="P59" i="135" a="1"/>
  <c r="L59" i="135" a="1"/>
  <c r="T59" i="135" a="1"/>
  <c r="S59" i="135" a="1"/>
  <c r="I59" i="135" a="1"/>
  <c r="AA59" i="135" a="1"/>
  <c r="F59" i="135" a="1"/>
  <c r="U59" i="135" a="1"/>
  <c r="J59" i="135" a="1"/>
  <c r="O59" i="135" a="1"/>
  <c r="AB59" i="135" a="1"/>
  <c r="X59" i="135" a="1"/>
  <c r="Q59" i="135" a="1"/>
  <c r="M59" i="135" a="1"/>
  <c r="G59" i="135" a="1"/>
  <c r="V59" i="135" a="1"/>
  <c r="Y59" i="135" a="1"/>
  <c r="W59" i="135" a="1"/>
  <c r="E59" i="135" a="1"/>
  <c r="K59" i="135" a="1"/>
  <c r="Z59" i="135" a="1"/>
  <c r="N59" i="135" a="1"/>
  <c r="D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W58" i="135" a="1"/>
  <c r="S58" i="135" a="1"/>
  <c r="AB58" i="135" a="1"/>
  <c r="O58" i="135" a="1"/>
  <c r="Y58" i="135" a="1"/>
  <c r="H58" i="135" a="1"/>
  <c r="I58" i="135" a="1"/>
  <c r="AA58" i="135" a="1"/>
  <c r="L58" i="135" a="1"/>
  <c r="N58" i="135" a="1"/>
  <c r="K58" i="135" a="1"/>
  <c r="T58" i="135" a="1"/>
  <c r="P58" i="135" a="1"/>
  <c r="Z58" i="135" a="1"/>
  <c r="X58" i="135" a="1"/>
  <c r="E58" i="135" a="1"/>
  <c r="J58" i="135" a="1"/>
  <c r="D58" i="135" a="1"/>
  <c r="V58" i="135" a="1"/>
  <c r="F58" i="135" a="1"/>
  <c r="U58" i="135" a="1"/>
  <c r="M58" i="135" a="1"/>
  <c r="Q58" i="135" a="1"/>
  <c r="G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I57" i="135" a="1"/>
  <c r="H57" i="135" a="1"/>
  <c r="M57" i="135" a="1"/>
  <c r="O57" i="135" a="1"/>
  <c r="J57" i="135" a="1"/>
  <c r="K57" i="135" a="1"/>
  <c r="S57" i="135" a="1"/>
  <c r="V57" i="135" a="1"/>
  <c r="Q57" i="135" a="1"/>
  <c r="P57" i="135" a="1"/>
  <c r="W57" i="135" a="1"/>
  <c r="N57" i="135" a="1"/>
  <c r="D57" i="135" a="1"/>
  <c r="AB57" i="135" a="1"/>
  <c r="AA57" i="135" a="1"/>
  <c r="Z57" i="135" a="1"/>
  <c r="L57" i="135" a="1"/>
  <c r="Y57" i="135" a="1"/>
  <c r="U57" i="135" a="1"/>
  <c r="F57" i="135" a="1"/>
  <c r="T57" i="135" a="1"/>
  <c r="G57" i="135" a="1"/>
  <c r="X57" i="135" a="1"/>
  <c r="E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N56" i="135" a="1"/>
  <c r="U56" i="135" a="1"/>
  <c r="H56" i="135" a="1"/>
  <c r="X56" i="135" a="1"/>
  <c r="K56" i="135" a="1"/>
  <c r="J56" i="135" a="1"/>
  <c r="AA56" i="135" a="1"/>
  <c r="P56" i="135" a="1"/>
  <c r="T56" i="135" a="1"/>
  <c r="I56" i="135" a="1"/>
  <c r="Z56" i="135" a="1"/>
  <c r="O56" i="135" a="1"/>
  <c r="V56" i="135" a="1"/>
  <c r="W56" i="135" a="1"/>
  <c r="G56" i="135" a="1"/>
  <c r="S56" i="135" a="1"/>
  <c r="F56" i="135" a="1"/>
  <c r="E56" i="135" a="1"/>
  <c r="Y56" i="135" a="1"/>
  <c r="M56" i="135" a="1"/>
  <c r="L56" i="135" a="1"/>
  <c r="Q56" i="135" a="1"/>
  <c r="AB56" i="135" a="1"/>
  <c r="D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U55" i="135" a="1"/>
  <c r="D55" i="135" a="1"/>
  <c r="G55" i="135" a="1"/>
  <c r="N55" i="135" a="1"/>
  <c r="O55" i="135" a="1"/>
  <c r="Z55" i="135" a="1"/>
  <c r="F55" i="135" a="1"/>
  <c r="W55" i="135" a="1"/>
  <c r="E55" i="135" a="1"/>
  <c r="T55" i="135" a="1"/>
  <c r="AA55" i="135" a="1"/>
  <c r="I55" i="135" a="1"/>
  <c r="K55" i="135" a="1"/>
  <c r="Q55" i="135" a="1"/>
  <c r="AB55" i="135" a="1"/>
  <c r="X55" i="135" a="1"/>
  <c r="L55" i="135" a="1"/>
  <c r="S55" i="135" a="1"/>
  <c r="H55" i="135" a="1"/>
  <c r="P55" i="135" a="1"/>
  <c r="Y55" i="135" a="1"/>
  <c r="M55" i="135" a="1"/>
  <c r="J55" i="135" a="1"/>
  <c r="V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K54" i="135" a="1"/>
  <c r="AA54" i="135" a="1"/>
  <c r="Z54" i="135" a="1"/>
  <c r="H54" i="135" a="1"/>
  <c r="M54" i="135" a="1"/>
  <c r="U54" i="135" a="1"/>
  <c r="E54" i="135" a="1"/>
  <c r="G54" i="135" a="1"/>
  <c r="O54" i="135" a="1"/>
  <c r="F54" i="135" a="1"/>
  <c r="D54" i="135" a="1"/>
  <c r="J54" i="135" a="1"/>
  <c r="P54" i="135" a="1"/>
  <c r="W54" i="135" a="1"/>
  <c r="X54" i="135" a="1"/>
  <c r="L54" i="135" a="1"/>
  <c r="Q54" i="135" a="1"/>
  <c r="AB54" i="135" a="1"/>
  <c r="I54" i="135" a="1"/>
  <c r="S54" i="135" a="1"/>
  <c r="Y54" i="135" a="1"/>
  <c r="V54" i="135" a="1"/>
  <c r="N54" i="135" a="1"/>
  <c r="T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N104" i="89" l="1"/>
  <c r="A1" i="131" l="1"/>
  <c r="I17" i="131"/>
  <c r="E17" i="131"/>
  <c r="N13" i="131"/>
  <c r="M13" i="131"/>
  <c r="B9" i="131" l="1"/>
  <c r="C16" i="131"/>
  <c r="C9" i="131"/>
  <c r="B16" i="131"/>
  <c r="C10" i="131"/>
  <c r="B13" i="131"/>
  <c r="C14" i="131"/>
  <c r="B12" i="131"/>
  <c r="C13" i="131"/>
  <c r="B11" i="131"/>
  <c r="C12" i="131"/>
  <c r="B15" i="131"/>
  <c r="B10" i="131"/>
  <c r="C11" i="131"/>
  <c r="B14" i="131"/>
  <c r="C15" i="131"/>
  <c r="C84" i="39"/>
  <c r="D16" i="131" l="1"/>
  <c r="D14" i="131"/>
  <c r="D10" i="131"/>
  <c r="D9" i="131"/>
  <c r="D12" i="131"/>
  <c r="D11" i="131"/>
  <c r="D13" i="131"/>
  <c r="D15" i="131"/>
  <c r="B17" i="131"/>
  <c r="D22" i="64"/>
  <c r="C17" i="131" l="1"/>
  <c r="C19" i="131" s="1"/>
  <c r="Z138" i="89"/>
  <c r="D17" i="131" l="1"/>
  <c r="L195" i="122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6" i="131" l="1"/>
  <c r="F16" i="131"/>
  <c r="G10" i="131"/>
  <c r="D6" i="139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F12" i="131"/>
  <c r="F13" i="131"/>
  <c r="F11" i="131"/>
  <c r="F15" i="131"/>
  <c r="H16" i="131" l="1"/>
  <c r="J16" i="131" s="1"/>
  <c r="H9" i="131"/>
  <c r="J9" i="131" s="1"/>
  <c r="H10" i="131"/>
  <c r="D5" i="139"/>
  <c r="D7" i="139"/>
  <c r="D70" i="50"/>
  <c r="AN191" i="89" s="1"/>
  <c r="H15" i="131"/>
  <c r="J15" i="131" s="1"/>
  <c r="H13" i="131"/>
  <c r="J13" i="131" s="1"/>
  <c r="H14" i="131"/>
  <c r="J14" i="131" s="1"/>
  <c r="H11" i="131"/>
  <c r="J11" i="131" s="1"/>
  <c r="H12" i="131"/>
  <c r="J12" i="131" s="1"/>
  <c r="J10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H17" i="131" l="1"/>
  <c r="AU257" i="89"/>
  <c r="AO191" i="89"/>
  <c r="D8" i="139"/>
  <c r="J17" i="131"/>
  <c r="D35" i="50" s="1"/>
  <c r="M7" i="123"/>
  <c r="AN174" i="89" l="1"/>
  <c r="AU240" i="89" s="1"/>
  <c r="C63" i="64"/>
  <c r="O38" i="89"/>
  <c r="N38" i="89"/>
  <c r="M38" i="89"/>
  <c r="C114" i="39" l="1"/>
  <c r="C113" i="39"/>
  <c r="H22" i="61"/>
  <c r="H23" i="61"/>
  <c r="H24" i="61"/>
  <c r="H25" i="61"/>
  <c r="H26" i="61"/>
  <c r="H27" i="61"/>
  <c r="H28" i="61"/>
  <c r="H29" i="61"/>
  <c r="H30" i="61"/>
  <c r="C72" i="58" l="1"/>
  <c r="M32" i="39"/>
  <c r="H68" i="58"/>
  <c r="H33" i="58"/>
  <c r="H34" i="58"/>
  <c r="E33" i="58"/>
  <c r="E34" i="58"/>
  <c r="F33" i="58"/>
  <c r="F34" i="58"/>
  <c r="W33" i="58" l="1"/>
  <c r="V31" i="58" l="1"/>
  <c r="V30" i="58"/>
  <c r="V29" i="58"/>
  <c r="R29" i="58"/>
  <c r="F19" i="82" l="1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H18" i="82"/>
  <c r="E20" i="58" l="1"/>
  <c r="B21" i="58"/>
  <c r="B20" i="58"/>
  <c r="J64" i="58"/>
  <c r="D64" i="58"/>
  <c r="C277" i="49" l="1"/>
  <c r="C276" i="49"/>
  <c r="C275" i="49"/>
  <c r="C274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12" i="49" l="1"/>
  <c r="Q113" i="49"/>
  <c r="Q114" i="49"/>
  <c r="Q115" i="49"/>
  <c r="Q118" i="49"/>
  <c r="C113" i="49"/>
  <c r="C114" i="49"/>
  <c r="C115" i="49"/>
  <c r="C116" i="49"/>
  <c r="C117" i="49"/>
  <c r="C118" i="49"/>
  <c r="F111" i="49"/>
  <c r="G111" i="49"/>
  <c r="H111" i="49"/>
  <c r="I111" i="49"/>
  <c r="J111" i="49"/>
  <c r="K111" i="49"/>
  <c r="F112" i="49"/>
  <c r="G112" i="49"/>
  <c r="H112" i="49"/>
  <c r="I112" i="49"/>
  <c r="J112" i="49"/>
  <c r="K112" i="49"/>
  <c r="F113" i="49"/>
  <c r="G113" i="49"/>
  <c r="H113" i="49"/>
  <c r="I113" i="49"/>
  <c r="J113" i="49"/>
  <c r="K113" i="49"/>
  <c r="F114" i="49"/>
  <c r="G114" i="49"/>
  <c r="H114" i="49"/>
  <c r="I114" i="49"/>
  <c r="J114" i="49"/>
  <c r="K114" i="49"/>
  <c r="F115" i="49"/>
  <c r="G115" i="49"/>
  <c r="H115" i="49"/>
  <c r="I115" i="49"/>
  <c r="J115" i="49"/>
  <c r="K115" i="49"/>
  <c r="F116" i="49"/>
  <c r="G116" i="49"/>
  <c r="H116" i="49"/>
  <c r="I116" i="49"/>
  <c r="J116" i="49"/>
  <c r="K116" i="49"/>
  <c r="I117" i="49"/>
  <c r="J117" i="49"/>
  <c r="K117" i="49"/>
  <c r="G110" i="49"/>
  <c r="H110" i="49"/>
  <c r="I110" i="49"/>
  <c r="J110" i="49"/>
  <c r="K110" i="49"/>
  <c r="F110" i="49"/>
  <c r="H7" i="61" l="1"/>
  <c r="H8" i="61"/>
  <c r="H9" i="61"/>
  <c r="H10" i="61"/>
  <c r="H11" i="61"/>
  <c r="H12" i="61"/>
  <c r="H13" i="61"/>
  <c r="H14" i="61"/>
  <c r="H15" i="61"/>
  <c r="H16" i="61"/>
  <c r="H17" i="61"/>
  <c r="Q22" i="49" l="1"/>
  <c r="P22" i="49" s="1"/>
  <c r="Q20" i="49"/>
  <c r="P20" i="49" s="1"/>
  <c r="Q21" i="49"/>
  <c r="P21" i="49" s="1"/>
  <c r="P113" i="49"/>
  <c r="P114" i="49"/>
  <c r="P115" i="49"/>
  <c r="P118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2" i="49"/>
  <c r="G92" i="49"/>
  <c r="H92" i="49"/>
  <c r="I92" i="49"/>
  <c r="J92" i="49"/>
  <c r="K92" i="49"/>
  <c r="F93" i="49"/>
  <c r="G93" i="49"/>
  <c r="H93" i="49"/>
  <c r="I93" i="49"/>
  <c r="J93" i="49"/>
  <c r="K93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F104" i="49"/>
  <c r="G104" i="49"/>
  <c r="H104" i="49"/>
  <c r="I104" i="49"/>
  <c r="J104" i="49"/>
  <c r="K104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10" i="49" l="1"/>
  <c r="C111" i="49"/>
  <c r="C143" i="49"/>
  <c r="C144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M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F6" i="123" l="1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4" i="89"/>
  <c r="AO176" i="89"/>
  <c r="C114" i="78"/>
  <c r="C119" i="78"/>
  <c r="D119" i="78"/>
  <c r="D115" i="78"/>
  <c r="C116" i="78"/>
  <c r="D114" i="78"/>
  <c r="C117" i="78"/>
  <c r="C115" i="78"/>
  <c r="D116" i="78"/>
  <c r="D117" i="78"/>
  <c r="AO177" i="89" l="1"/>
  <c r="AU243" i="89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9" i="89"/>
  <c r="AS245" i="89" s="1"/>
  <c r="AN179" i="89"/>
  <c r="AU245" i="89" s="1"/>
  <c r="AM171" i="89"/>
  <c r="AS237" i="89" s="1"/>
  <c r="B56" i="64"/>
  <c r="C56" i="64"/>
  <c r="B57" i="64"/>
  <c r="C57" i="64"/>
  <c r="B58" i="64"/>
  <c r="B59" i="64"/>
  <c r="B60" i="64"/>
  <c r="C60" i="64"/>
  <c r="B53" i="64"/>
  <c r="B54" i="64"/>
  <c r="C54" i="64"/>
  <c r="B51" i="64"/>
  <c r="B52" i="64"/>
  <c r="B50" i="64"/>
  <c r="AO179" i="89" l="1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G22" i="25"/>
  <c r="Q194" i="49"/>
  <c r="Q186" i="49"/>
  <c r="Q187" i="49"/>
  <c r="Q278" i="49" l="1"/>
  <c r="P278" i="49" s="1"/>
  <c r="D53" i="123"/>
  <c r="C89" i="49"/>
  <c r="C90" i="49"/>
  <c r="C100" i="49"/>
  <c r="C101" i="49"/>
  <c r="C102" i="49"/>
  <c r="C103" i="49"/>
  <c r="C104" i="49"/>
  <c r="C106" i="49"/>
  <c r="C107" i="49"/>
  <c r="C108" i="49"/>
  <c r="C109" i="49"/>
  <c r="C112" i="49"/>
  <c r="Q96" i="49"/>
  <c r="Q102" i="49"/>
  <c r="Q103" i="49"/>
  <c r="F89" i="49"/>
  <c r="G89" i="49"/>
  <c r="H89" i="49"/>
  <c r="I89" i="49"/>
  <c r="J89" i="49"/>
  <c r="K89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93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6" i="49" l="1"/>
  <c r="AH147" i="89" l="1"/>
  <c r="AH148" i="89"/>
  <c r="AH149" i="89"/>
  <c r="AH150" i="89"/>
  <c r="AH151" i="89"/>
  <c r="AH152" i="89"/>
  <c r="AH153" i="89"/>
  <c r="AH146" i="89"/>
  <c r="C92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6" i="49" s="1"/>
  <c r="Q32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35" i="49" l="1"/>
  <c r="Q34" i="49"/>
  <c r="Q33" i="49"/>
  <c r="B2" i="25" l="1"/>
  <c r="Q208" i="49" l="1"/>
  <c r="P208" i="49" s="1"/>
  <c r="Q210" i="49"/>
  <c r="P210" i="49" s="1"/>
  <c r="Q213" i="49"/>
  <c r="P213" i="49" s="1"/>
  <c r="Q209" i="49"/>
  <c r="P209" i="49" s="1"/>
  <c r="Q212" i="49"/>
  <c r="P212" i="49" s="1"/>
  <c r="Q211" i="49"/>
  <c r="P211" i="49" s="1"/>
  <c r="C91" i="39"/>
  <c r="T39" i="89" l="1"/>
  <c r="U39" i="89"/>
  <c r="L7" i="64" s="1"/>
  <c r="M39" i="89"/>
  <c r="S39" i="89"/>
  <c r="P36" i="89"/>
  <c r="C110" i="39"/>
  <c r="I3" i="61"/>
  <c r="R39" i="89"/>
  <c r="Q201" i="49"/>
  <c r="C88" i="39"/>
  <c r="C83" i="39"/>
  <c r="C89" i="39"/>
  <c r="O39" i="89"/>
  <c r="N39" i="89"/>
  <c r="Q39" i="89"/>
  <c r="P39" i="89"/>
  <c r="Q195" i="49"/>
  <c r="D3" i="121"/>
  <c r="D2" i="121"/>
  <c r="B120" i="39"/>
  <c r="E109" i="39"/>
  <c r="C109" i="39" s="1"/>
  <c r="E108" i="39"/>
  <c r="C108" i="39"/>
  <c r="P1" i="39"/>
  <c r="E92" i="39"/>
  <c r="D92" i="39"/>
  <c r="AA140" i="89"/>
  <c r="AD140" i="89" s="1"/>
  <c r="F9" i="51"/>
  <c r="BO286" i="89"/>
  <c r="BG274" i="89"/>
  <c r="C112" i="39" l="1"/>
  <c r="M14" i="58"/>
  <c r="W39" i="89"/>
  <c r="M42" i="89"/>
  <c r="G3" i="61"/>
  <c r="J11" i="61" s="1"/>
  <c r="K11" i="61" s="1"/>
  <c r="M41" i="89"/>
  <c r="V40" i="89"/>
  <c r="U40" i="89"/>
  <c r="M40" i="89"/>
  <c r="S40" i="89"/>
  <c r="R40" i="89"/>
  <c r="T40" i="89"/>
  <c r="C18" i="39"/>
  <c r="B2" i="64"/>
  <c r="C111" i="39"/>
  <c r="Q161" i="49"/>
  <c r="O40" i="89"/>
  <c r="N40" i="89"/>
  <c r="Q40" i="89"/>
  <c r="P40" i="89"/>
  <c r="C120" i="39"/>
  <c r="C92" i="39"/>
  <c r="G48" i="51"/>
  <c r="G47" i="51"/>
  <c r="AC140" i="89"/>
  <c r="B9" i="64"/>
  <c r="B7" i="64"/>
  <c r="P195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D10" i="78"/>
  <c r="G11" i="78"/>
  <c r="G14" i="78"/>
  <c r="C95" i="78"/>
  <c r="D15" i="78"/>
  <c r="C97" i="78"/>
  <c r="D18" i="78"/>
  <c r="D17" i="78"/>
  <c r="G10" i="78"/>
  <c r="C90" i="78"/>
  <c r="G9" i="78"/>
  <c r="D11" i="78"/>
  <c r="C81" i="78"/>
  <c r="C14" i="78"/>
  <c r="C88" i="78"/>
  <c r="G12" i="78"/>
  <c r="G8" i="78"/>
  <c r="C19" i="78"/>
  <c r="C83" i="78"/>
  <c r="C12" i="78"/>
  <c r="D21" i="78"/>
  <c r="C13" i="78"/>
  <c r="C16" i="78"/>
  <c r="C20" i="78"/>
  <c r="C87" i="78"/>
  <c r="D16" i="78"/>
  <c r="C17" i="78"/>
  <c r="C79" i="78"/>
  <c r="C84" i="78"/>
  <c r="C91" i="78"/>
  <c r="C89" i="78"/>
  <c r="D20" i="78"/>
  <c r="C93" i="78"/>
  <c r="C94" i="78"/>
  <c r="D12" i="78"/>
  <c r="D13" i="78"/>
  <c r="C15" i="78"/>
  <c r="D9" i="78"/>
  <c r="G13" i="78"/>
  <c r="C18" i="78"/>
  <c r="C80" i="78"/>
  <c r="D14" i="78"/>
  <c r="C11" i="78"/>
  <c r="C92" i="78"/>
  <c r="C82" i="78"/>
  <c r="D19" i="78"/>
  <c r="J16" i="61" l="1"/>
  <c r="AJ156" i="89" s="1"/>
  <c r="AK156" i="89" s="1"/>
  <c r="J9" i="61"/>
  <c r="K9" i="61" s="1"/>
  <c r="Q23" i="49" s="1"/>
  <c r="P23" i="49" s="1"/>
  <c r="J21" i="61"/>
  <c r="J6" i="6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K12" i="61" s="1"/>
  <c r="J13" i="61"/>
  <c r="K13" i="61" s="1"/>
  <c r="J26" i="61"/>
  <c r="J19" i="61"/>
  <c r="AJ159" i="89" s="1"/>
  <c r="AK159" i="89" s="1"/>
  <c r="J28" i="61"/>
  <c r="J14" i="61"/>
  <c r="AJ154" i="89" s="1"/>
  <c r="AK154" i="89" s="1"/>
  <c r="J30" i="61"/>
  <c r="J10" i="61"/>
  <c r="K10" i="61" s="1"/>
  <c r="J27" i="61"/>
  <c r="J25" i="61"/>
  <c r="J15" i="61"/>
  <c r="AJ155" i="89" s="1"/>
  <c r="AK155" i="89" s="1"/>
  <c r="J17" i="61"/>
  <c r="AJ157" i="89" s="1"/>
  <c r="AK157" i="89" s="1"/>
  <c r="J8" i="61"/>
  <c r="K8" i="61" s="1"/>
  <c r="Q24" i="49" s="1"/>
  <c r="P24" i="49" s="1"/>
  <c r="J7" i="61"/>
  <c r="W40" i="89"/>
  <c r="I12" i="51"/>
  <c r="I10" i="51"/>
  <c r="I11" i="51"/>
  <c r="C25" i="64"/>
  <c r="C26" i="64"/>
  <c r="C31" i="64"/>
  <c r="Q190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Q25" i="49" l="1"/>
  <c r="P25" i="49" s="1"/>
  <c r="I19" i="5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AU212" i="89"/>
  <c r="Q14" i="49"/>
  <c r="P220" i="49"/>
  <c r="N15" i="78"/>
  <c r="F70" i="89"/>
  <c r="G70" i="89"/>
  <c r="AT226" i="89"/>
  <c r="AW214" i="89" s="1"/>
  <c r="AY214" i="89" s="1"/>
  <c r="J97" i="89"/>
  <c r="AT220" i="89"/>
  <c r="AT219" i="89" s="1"/>
  <c r="L85" i="89"/>
  <c r="N103" i="89" l="1"/>
  <c r="K76" i="89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32" i="49"/>
  <c r="P33" i="49"/>
  <c r="P34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63" i="49"/>
  <c r="Q182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66" i="85"/>
  <c r="C139" i="85"/>
  <c r="C150" i="85"/>
  <c r="C4" i="85"/>
  <c r="C57" i="85"/>
  <c r="C106" i="85"/>
  <c r="C32" i="85"/>
  <c r="C143" i="85"/>
  <c r="C8" i="85"/>
  <c r="C160" i="85"/>
  <c r="C111" i="85"/>
  <c r="C17" i="85"/>
  <c r="C87" i="85"/>
  <c r="C112" i="85"/>
  <c r="C45" i="85"/>
  <c r="C141" i="85"/>
  <c r="C113" i="85"/>
  <c r="C6" i="85"/>
  <c r="C147" i="85"/>
  <c r="C110" i="85"/>
  <c r="C129" i="85"/>
  <c r="C161" i="85"/>
  <c r="C165" i="85"/>
  <c r="C108" i="85"/>
  <c r="C71" i="85"/>
  <c r="C37" i="85"/>
  <c r="C119" i="85"/>
  <c r="C157" i="85"/>
  <c r="C16" i="85"/>
  <c r="C23" i="85"/>
  <c r="C164" i="85"/>
  <c r="C97" i="85"/>
  <c r="C10" i="85"/>
  <c r="C137" i="85"/>
  <c r="C3" i="85"/>
  <c r="C39" i="85"/>
  <c r="C100" i="85"/>
  <c r="C138" i="85"/>
  <c r="C38" i="85"/>
  <c r="C101" i="85"/>
  <c r="C155" i="85"/>
  <c r="C9" i="85"/>
  <c r="C117" i="85"/>
  <c r="C20" i="85"/>
  <c r="C103" i="85"/>
  <c r="C46" i="85"/>
  <c r="C13" i="85"/>
  <c r="C73" i="85"/>
  <c r="C11" i="85"/>
  <c r="C60" i="85"/>
  <c r="C14" i="85"/>
  <c r="C162" i="85"/>
  <c r="C152" i="85"/>
  <c r="C107" i="85"/>
  <c r="C140" i="85"/>
  <c r="C158" i="85"/>
  <c r="C127" i="85"/>
  <c r="C104" i="85"/>
  <c r="C134" i="85"/>
  <c r="C5" i="85"/>
  <c r="C121" i="85"/>
  <c r="C7" i="85"/>
  <c r="C95" i="85"/>
  <c r="C114" i="85"/>
  <c r="C146" i="85"/>
  <c r="C145" i="85"/>
  <c r="C125" i="85"/>
  <c r="C123" i="85"/>
  <c r="C96" i="85"/>
  <c r="C98" i="85"/>
  <c r="C154" i="85"/>
  <c r="C24" i="85"/>
  <c r="C131" i="85"/>
  <c r="C156" i="85"/>
  <c r="C19" i="85"/>
  <c r="C153" i="85"/>
  <c r="C90" i="85"/>
  <c r="C133" i="85"/>
  <c r="C151" i="85"/>
  <c r="C148" i="85"/>
  <c r="C163" i="85"/>
  <c r="C130" i="85"/>
  <c r="C15" i="85"/>
  <c r="C109" i="85"/>
  <c r="C142" i="85"/>
  <c r="C159" i="85"/>
  <c r="C149" i="85"/>
  <c r="C26" i="85"/>
  <c r="C144" i="85"/>
  <c r="C18" i="85"/>
  <c r="C44" i="85"/>
  <c r="C21" i="85"/>
  <c r="C77" i="85"/>
  <c r="C102" i="85"/>
  <c r="C25" i="85"/>
  <c r="C36" i="85"/>
  <c r="C105" i="85"/>
  <c r="C115" i="85"/>
  <c r="C12" i="85"/>
  <c r="C132" i="85"/>
  <c r="C167" i="85"/>
  <c r="C99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7" i="49" l="1"/>
  <c r="P186" i="49"/>
  <c r="P179" i="49"/>
  <c r="Q160" i="49"/>
  <c r="P160" i="49" s="1"/>
  <c r="C146" i="49"/>
  <c r="C145" i="49"/>
  <c r="C142" i="49"/>
  <c r="C141" i="49"/>
  <c r="C140" i="49"/>
  <c r="C139" i="49"/>
  <c r="C137" i="49"/>
  <c r="C136" i="49"/>
  <c r="C135" i="49"/>
  <c r="C134" i="49"/>
  <c r="P103" i="49"/>
  <c r="Q63" i="49"/>
  <c r="P63" i="49" s="1"/>
  <c r="P36" i="49"/>
  <c r="P1733" i="49"/>
  <c r="P1732" i="49"/>
  <c r="P1731" i="49"/>
  <c r="P1730" i="49"/>
  <c r="P1729" i="49"/>
  <c r="P1728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199" i="49"/>
  <c r="P194" i="49"/>
  <c r="P181" i="49"/>
  <c r="P180" i="49"/>
  <c r="P162" i="49"/>
  <c r="P161" i="49"/>
  <c r="P10" i="49"/>
  <c r="P9" i="49"/>
  <c r="M49" i="25" l="1"/>
  <c r="B48" i="25"/>
  <c r="C22" i="25"/>
  <c r="G14" i="25"/>
  <c r="J14" i="25" s="1"/>
  <c r="G13" i="25"/>
  <c r="H13" i="25" s="1"/>
  <c r="O24" i="50"/>
  <c r="M24" i="50" s="1"/>
  <c r="C97" i="49"/>
  <c r="O17" i="50"/>
  <c r="M17" i="50" s="1"/>
  <c r="C16" i="50"/>
  <c r="C95" i="49" s="1"/>
  <c r="C15" i="50"/>
  <c r="C94" i="49" s="1"/>
  <c r="C14" i="50"/>
  <c r="C93" i="49" s="1"/>
  <c r="C12" i="50"/>
  <c r="C91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135" i="85"/>
  <c r="C82" i="85"/>
  <c r="C22" i="85"/>
  <c r="C136" i="85"/>
  <c r="C88" i="85"/>
  <c r="C31" i="85"/>
  <c r="C70" i="85"/>
  <c r="I31" i="58" l="1"/>
  <c r="F31" i="58" s="1"/>
  <c r="I30" i="58"/>
  <c r="F30" i="58" s="1"/>
  <c r="I32" i="58"/>
  <c r="F32" i="58" s="1"/>
  <c r="I29" i="58"/>
  <c r="F29" i="58" s="1"/>
  <c r="I28" i="58"/>
  <c r="F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34" i="49"/>
  <c r="P1734" i="49" s="1"/>
  <c r="Q1735" i="49"/>
  <c r="P1735" i="49" s="1"/>
  <c r="B79" i="25"/>
  <c r="V79" i="25" s="1"/>
  <c r="B58" i="51"/>
  <c r="B73" i="51" s="1"/>
  <c r="Q47" i="49"/>
  <c r="P47" i="49" s="1"/>
  <c r="Q16" i="49"/>
  <c r="Q12" i="49"/>
  <c r="P12" i="49" s="1"/>
  <c r="F16" i="64"/>
  <c r="Q19" i="49"/>
  <c r="P19" i="49" s="1"/>
  <c r="Q159" i="49"/>
  <c r="P159" i="49" s="1"/>
  <c r="Q178" i="49"/>
  <c r="P178" i="49" s="1"/>
  <c r="C129" i="49"/>
  <c r="C130" i="49"/>
  <c r="C126" i="49"/>
  <c r="C127" i="49"/>
  <c r="C128" i="49"/>
  <c r="Q15" i="49"/>
  <c r="Q11" i="49"/>
  <c r="P11" i="49" s="1"/>
  <c r="C125" i="49"/>
  <c r="C131" i="49"/>
  <c r="K14" i="39"/>
  <c r="K16" i="39" s="1"/>
  <c r="K15" i="39"/>
  <c r="B47" i="25"/>
  <c r="F47" i="25" s="1"/>
  <c r="F15" i="64"/>
  <c r="G11" i="87"/>
  <c r="G15" i="25"/>
  <c r="G17" i="25" s="1"/>
  <c r="D25" i="50" s="1"/>
  <c r="F74" i="78"/>
  <c r="S74" i="78"/>
  <c r="H74" i="78"/>
  <c r="G74" i="78"/>
  <c r="M74" i="78"/>
  <c r="D74" i="78"/>
  <c r="C72" i="85"/>
  <c r="T74" i="78"/>
  <c r="K74" i="78"/>
  <c r="N74" i="78"/>
  <c r="P74" i="78"/>
  <c r="U74" i="78"/>
  <c r="Q74" i="78"/>
  <c r="O74" i="78"/>
  <c r="E74" i="78"/>
  <c r="J74" i="78"/>
  <c r="I74" i="78"/>
  <c r="R74" i="78"/>
  <c r="L74" i="78"/>
  <c r="J18" i="78" l="1"/>
  <c r="AN182" i="89"/>
  <c r="AU248" i="89" s="1"/>
  <c r="AN169" i="89"/>
  <c r="L53" i="58"/>
  <c r="H28" i="58"/>
  <c r="E70" i="58" s="1"/>
  <c r="I73" i="51"/>
  <c r="H73" i="51"/>
  <c r="H42" i="51" s="1"/>
  <c r="O79" i="25" s="1"/>
  <c r="P79" i="25" s="1"/>
  <c r="C73" i="51"/>
  <c r="C42" i="51" s="1"/>
  <c r="Q56" i="49"/>
  <c r="H31" i="58"/>
  <c r="Q57" i="49"/>
  <c r="H32" i="58"/>
  <c r="K9" i="130"/>
  <c r="P22" i="78"/>
  <c r="G77" i="39"/>
  <c r="X79" i="25"/>
  <c r="T79" i="25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84" i="49"/>
  <c r="P84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O47" i="25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8" i="49"/>
  <c r="P78" i="49" s="1"/>
  <c r="Q72" i="49"/>
  <c r="P72" i="49" s="1"/>
  <c r="Q68" i="49"/>
  <c r="P68" i="49" s="1"/>
  <c r="Q62" i="49"/>
  <c r="P62" i="49" s="1"/>
  <c r="M7" i="58"/>
  <c r="Q61" i="49"/>
  <c r="P61" i="49" s="1"/>
  <c r="Q80" i="49"/>
  <c r="P80" i="49" s="1"/>
  <c r="Q79" i="49"/>
  <c r="P79" i="49" s="1"/>
  <c r="Q66" i="49"/>
  <c r="P66" i="49" s="1"/>
  <c r="Q64" i="49"/>
  <c r="P64" i="49" s="1"/>
  <c r="Q76" i="49"/>
  <c r="P76" i="49" s="1"/>
  <c r="Q73" i="49"/>
  <c r="P73" i="49" s="1"/>
  <c r="Q82" i="49"/>
  <c r="P82" i="49" s="1"/>
  <c r="Q75" i="49"/>
  <c r="P75" i="49" s="1"/>
  <c r="Q69" i="49"/>
  <c r="P69" i="49" s="1"/>
  <c r="Q67" i="49"/>
  <c r="P67" i="49" s="1"/>
  <c r="Q65" i="49"/>
  <c r="P65" i="49" s="1"/>
  <c r="Q59" i="49"/>
  <c r="P59" i="49" s="1"/>
  <c r="Q77" i="49"/>
  <c r="P77" i="49" s="1"/>
  <c r="Q60" i="49"/>
  <c r="P60" i="49" s="1"/>
  <c r="M8" i="58"/>
  <c r="L8" i="58" s="1"/>
  <c r="Q74" i="49"/>
  <c r="P74" i="49" s="1"/>
  <c r="Q70" i="49"/>
  <c r="P70" i="49" s="1"/>
  <c r="M9" i="58"/>
  <c r="K17" i="39"/>
  <c r="E16" i="87"/>
  <c r="E21" i="87" s="1"/>
  <c r="D31" i="64" s="1"/>
  <c r="C21" i="87"/>
  <c r="I13" i="25"/>
  <c r="H15" i="25"/>
  <c r="H17" i="25" s="1"/>
  <c r="B46" i="25"/>
  <c r="I73" i="78"/>
  <c r="G73" i="78"/>
  <c r="P73" i="78"/>
  <c r="U73" i="78"/>
  <c r="T73" i="78"/>
  <c r="S73" i="78"/>
  <c r="H73" i="78"/>
  <c r="Q73" i="78"/>
  <c r="F73" i="78"/>
  <c r="N73" i="78"/>
  <c r="C30" i="85"/>
  <c r="E73" i="78"/>
  <c r="O73" i="78"/>
  <c r="L73" i="78"/>
  <c r="D73" i="78"/>
  <c r="R73" i="78"/>
  <c r="M73" i="78"/>
  <c r="K73" i="78"/>
  <c r="J73" i="78"/>
  <c r="O48" i="25" l="1"/>
  <c r="P48" i="25" s="1"/>
  <c r="C106" i="39"/>
  <c r="M24" i="58"/>
  <c r="L7" i="58"/>
  <c r="M16" i="58"/>
  <c r="L9" i="58"/>
  <c r="L16" i="58" s="1"/>
  <c r="AO182" i="89"/>
  <c r="Q109" i="49"/>
  <c r="P109" i="49" s="1"/>
  <c r="C53" i="64"/>
  <c r="F70" i="58"/>
  <c r="F72" i="58" s="1"/>
  <c r="D70" i="58"/>
  <c r="I42" i="51"/>
  <c r="Q79" i="25" s="1"/>
  <c r="R79" i="25" s="1"/>
  <c r="I72" i="51"/>
  <c r="H72" i="51"/>
  <c r="H41" i="51" s="1"/>
  <c r="O78" i="25" s="1"/>
  <c r="P78" i="25" s="1"/>
  <c r="C72" i="51"/>
  <c r="C41" i="51" s="1"/>
  <c r="P20" i="78"/>
  <c r="H76" i="39"/>
  <c r="P47" i="25"/>
  <c r="B41" i="51"/>
  <c r="V78" i="25"/>
  <c r="T78" i="25"/>
  <c r="H30" i="58"/>
  <c r="Q55" i="49"/>
  <c r="BW299" i="89"/>
  <c r="BW298" i="89"/>
  <c r="T31" i="58"/>
  <c r="U31" i="58" s="1"/>
  <c r="W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85" i="49"/>
  <c r="P85" i="49" s="1"/>
  <c r="CA305" i="89"/>
  <c r="CA304" i="89" s="1"/>
  <c r="P57" i="49"/>
  <c r="X133" i="89"/>
  <c r="BW302" i="89"/>
  <c r="BW303" i="89"/>
  <c r="Q193" i="49"/>
  <c r="AE15" i="89"/>
  <c r="Q173" i="49"/>
  <c r="P173" i="49" s="1"/>
  <c r="L72" i="51"/>
  <c r="K78" i="25" s="1"/>
  <c r="AC6" i="89"/>
  <c r="BM283" i="89"/>
  <c r="BN283" i="89" s="1"/>
  <c r="AU224" i="89"/>
  <c r="Q31" i="49"/>
  <c r="P31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Q83" i="49"/>
  <c r="P83" i="49" s="1"/>
  <c r="Q81" i="49"/>
  <c r="P81" i="49" s="1"/>
  <c r="Q3" i="49"/>
  <c r="P3" i="49" s="1"/>
  <c r="M11" i="25"/>
  <c r="Q58" i="49"/>
  <c r="P58" i="49" s="1"/>
  <c r="M10" i="25"/>
  <c r="J13" i="25"/>
  <c r="J15" i="25" s="1"/>
  <c r="J17" i="25" s="1"/>
  <c r="I15" i="25"/>
  <c r="I17" i="25" s="1"/>
  <c r="D44" i="50" s="1"/>
  <c r="C64" i="64" s="1"/>
  <c r="B45" i="25"/>
  <c r="P35" i="49"/>
  <c r="O72" i="78"/>
  <c r="P72" i="78"/>
  <c r="D72" i="78"/>
  <c r="I72" i="78"/>
  <c r="H72" i="78"/>
  <c r="N72" i="78"/>
  <c r="T72" i="78"/>
  <c r="S72" i="78"/>
  <c r="M72" i="78"/>
  <c r="G72" i="78"/>
  <c r="L72" i="78"/>
  <c r="R72" i="78"/>
  <c r="F72" i="78"/>
  <c r="E72" i="78"/>
  <c r="U72" i="78"/>
  <c r="J72" i="78"/>
  <c r="Q72" i="78"/>
  <c r="K72" i="78"/>
  <c r="L17" i="58" l="1"/>
  <c r="Q122" i="49"/>
  <c r="P122" i="49" s="1"/>
  <c r="AN184" i="89"/>
  <c r="AU250" i="89" s="1"/>
  <c r="I41" i="51"/>
  <c r="Q78" i="25" s="1"/>
  <c r="R78" i="25" s="1"/>
  <c r="I71" i="51"/>
  <c r="H71" i="51"/>
  <c r="H40" i="51" s="1"/>
  <c r="O77" i="25" s="1"/>
  <c r="P77" i="25" s="1"/>
  <c r="C71" i="51"/>
  <c r="C40" i="51" s="1"/>
  <c r="P18" i="78"/>
  <c r="G75" i="39"/>
  <c r="B40" i="51"/>
  <c r="V77" i="25"/>
  <c r="T77" i="25"/>
  <c r="Q47" i="25"/>
  <c r="R47" i="25" s="1"/>
  <c r="C7" i="58"/>
  <c r="N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9" i="49"/>
  <c r="P29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63" i="49"/>
  <c r="Q71" i="49"/>
  <c r="P71" i="49" s="1"/>
  <c r="C105" i="39"/>
  <c r="B44" i="25"/>
  <c r="C55" i="85"/>
  <c r="O71" i="78"/>
  <c r="R71" i="78"/>
  <c r="J71" i="78"/>
  <c r="S71" i="78"/>
  <c r="D71" i="78"/>
  <c r="H71" i="78"/>
  <c r="I71" i="78"/>
  <c r="T71" i="78"/>
  <c r="K71" i="78"/>
  <c r="G71" i="78"/>
  <c r="L71" i="78"/>
  <c r="P71" i="78"/>
  <c r="Q71" i="78"/>
  <c r="N71" i="78"/>
  <c r="F71" i="78"/>
  <c r="E71" i="78"/>
  <c r="M71" i="78"/>
  <c r="U71" i="78"/>
  <c r="O46" i="25" l="1"/>
  <c r="P46" i="25" s="1"/>
  <c r="AO184" i="89"/>
  <c r="I40" i="51"/>
  <c r="Q77" i="25" s="1"/>
  <c r="R77" i="25" s="1"/>
  <c r="I70" i="51"/>
  <c r="H70" i="51"/>
  <c r="H39" i="51" s="1"/>
  <c r="O76" i="25" s="1"/>
  <c r="P76" i="25" s="1"/>
  <c r="C70" i="51"/>
  <c r="C39" i="51" s="1"/>
  <c r="T42" i="89"/>
  <c r="U42" i="89" s="1"/>
  <c r="V42" i="89" s="1"/>
  <c r="W42" i="89" s="1"/>
  <c r="U41" i="89"/>
  <c r="P16" i="78"/>
  <c r="G74" i="39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52" i="49"/>
  <c r="P52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7" i="25"/>
  <c r="E58" i="39" s="1"/>
  <c r="E18" i="58" s="1"/>
  <c r="P182" i="49"/>
  <c r="P14" i="49"/>
  <c r="Q174" i="49"/>
  <c r="P174" i="49" s="1"/>
  <c r="C6" i="64"/>
  <c r="B43" i="25"/>
  <c r="N44" i="25"/>
  <c r="M70" i="78"/>
  <c r="G70" i="78"/>
  <c r="D70" i="78"/>
  <c r="U70" i="78"/>
  <c r="O70" i="78"/>
  <c r="K70" i="78"/>
  <c r="H70" i="78"/>
  <c r="T70" i="78"/>
  <c r="R70" i="78"/>
  <c r="N70" i="78"/>
  <c r="P70" i="78"/>
  <c r="S70" i="78"/>
  <c r="F70" i="78"/>
  <c r="Q70" i="78"/>
  <c r="J70" i="78"/>
  <c r="E70" i="78"/>
  <c r="I70" i="78"/>
  <c r="L70" i="78"/>
  <c r="O45" i="25" l="1"/>
  <c r="P45" i="25" s="1"/>
  <c r="I39" i="51"/>
  <c r="Q76" i="25" s="1"/>
  <c r="R76" i="25" s="1"/>
  <c r="I69" i="51"/>
  <c r="H69" i="51"/>
  <c r="H38" i="51" s="1"/>
  <c r="O75" i="25" s="1"/>
  <c r="P75" i="25" s="1"/>
  <c r="C69" i="51"/>
  <c r="C38" i="51" s="1"/>
  <c r="V41" i="89"/>
  <c r="W41" i="89" s="1"/>
  <c r="P14" i="78"/>
  <c r="T119" i="89"/>
  <c r="G73" i="39"/>
  <c r="N24" i="58"/>
  <c r="B38" i="51"/>
  <c r="T75" i="25"/>
  <c r="V75" i="25"/>
  <c r="D4" i="50"/>
  <c r="D63" i="64" s="1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6" i="49"/>
  <c r="P86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S69" i="78"/>
  <c r="D69" i="78"/>
  <c r="K69" i="78"/>
  <c r="E69" i="78"/>
  <c r="R69" i="78"/>
  <c r="M69" i="78"/>
  <c r="T69" i="78"/>
  <c r="H69" i="78"/>
  <c r="Q69" i="78"/>
  <c r="G69" i="78"/>
  <c r="N69" i="78"/>
  <c r="U69" i="78"/>
  <c r="L69" i="78"/>
  <c r="I69" i="78"/>
  <c r="O69" i="78"/>
  <c r="P69" i="78"/>
  <c r="J69" i="78"/>
  <c r="F69" i="78"/>
  <c r="AW246" i="89" l="1"/>
  <c r="AW247" i="89"/>
  <c r="AY247" i="89" s="1"/>
  <c r="AW245" i="89"/>
  <c r="AW249" i="89"/>
  <c r="AY249" i="89" s="1"/>
  <c r="AW248" i="89"/>
  <c r="AY248" i="89" s="1"/>
  <c r="AW250" i="89"/>
  <c r="O44" i="25"/>
  <c r="P44" i="25" s="1"/>
  <c r="E44" i="50"/>
  <c r="E43" i="50"/>
  <c r="Q154" i="49" s="1"/>
  <c r="E39" i="50"/>
  <c r="Q150" i="49" s="1"/>
  <c r="E40" i="50"/>
  <c r="Q151" i="49" s="1"/>
  <c r="E41" i="50"/>
  <c r="Q152" i="49" s="1"/>
  <c r="E42" i="50"/>
  <c r="Q153" i="49" s="1"/>
  <c r="I38" i="51"/>
  <c r="Q75" i="25" s="1"/>
  <c r="R75" i="25" s="1"/>
  <c r="AW260" i="89"/>
  <c r="AY260" i="89" s="1"/>
  <c r="AW257" i="89"/>
  <c r="AY257" i="89" s="1"/>
  <c r="I68" i="51"/>
  <c r="H68" i="51"/>
  <c r="H37" i="51" s="1"/>
  <c r="O74" i="25" s="1"/>
  <c r="P74" i="25" s="1"/>
  <c r="C68" i="51"/>
  <c r="C37" i="51" s="1"/>
  <c r="AW252" i="89"/>
  <c r="AY252" i="89" s="1"/>
  <c r="AW251" i="89"/>
  <c r="AY251" i="89" s="1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E63" i="64"/>
  <c r="D66" i="64"/>
  <c r="E66" i="64" s="1"/>
  <c r="D61" i="64"/>
  <c r="E61" i="64" s="1"/>
  <c r="P12" i="78"/>
  <c r="AW240" i="89"/>
  <c r="AW242" i="89"/>
  <c r="AW243" i="89"/>
  <c r="E36" i="50"/>
  <c r="Q147" i="49" s="1"/>
  <c r="E47" i="50"/>
  <c r="E45" i="50"/>
  <c r="Q157" i="49" s="1"/>
  <c r="E37" i="50"/>
  <c r="Q148" i="49" s="1"/>
  <c r="E48" i="50"/>
  <c r="E49" i="50"/>
  <c r="E46" i="50"/>
  <c r="E38" i="50"/>
  <c r="Q149" i="49" s="1"/>
  <c r="G72" i="39"/>
  <c r="E56" i="50"/>
  <c r="E64" i="50"/>
  <c r="E50" i="50"/>
  <c r="E63" i="50"/>
  <c r="E35" i="50"/>
  <c r="Q146" i="49" s="1"/>
  <c r="B37" i="51"/>
  <c r="V74" i="25"/>
  <c r="T74" i="25"/>
  <c r="D53" i="64"/>
  <c r="E53" i="64" s="1"/>
  <c r="D54" i="64"/>
  <c r="E54" i="64" s="1"/>
  <c r="D60" i="64"/>
  <c r="E60" i="64" s="1"/>
  <c r="E30" i="50"/>
  <c r="Q142" i="49" s="1"/>
  <c r="E34" i="50"/>
  <c r="Q145" i="49" s="1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D68" i="78"/>
  <c r="J68" i="78"/>
  <c r="U68" i="78"/>
  <c r="N68" i="78"/>
  <c r="I68" i="78"/>
  <c r="R68" i="78"/>
  <c r="Q68" i="78"/>
  <c r="E68" i="78"/>
  <c r="F68" i="78"/>
  <c r="G68" i="78"/>
  <c r="S68" i="78"/>
  <c r="H68" i="78"/>
  <c r="P68" i="78"/>
  <c r="L68" i="78"/>
  <c r="O68" i="78"/>
  <c r="M68" i="78"/>
  <c r="T68" i="78"/>
  <c r="K68" i="78"/>
  <c r="O43" i="25" l="1"/>
  <c r="P43" i="25" s="1"/>
  <c r="Q156" i="49"/>
  <c r="P156" i="49" s="1"/>
  <c r="Q155" i="49"/>
  <c r="P155" i="49" s="1"/>
  <c r="Q158" i="49"/>
  <c r="P158" i="49" s="1"/>
  <c r="P148" i="49"/>
  <c r="P150" i="49"/>
  <c r="P147" i="49"/>
  <c r="P149" i="49"/>
  <c r="P157" i="49"/>
  <c r="P151" i="49"/>
  <c r="P154" i="49"/>
  <c r="P152" i="49"/>
  <c r="I37" i="51"/>
  <c r="Q74" i="25" s="1"/>
  <c r="R74" i="25" s="1"/>
  <c r="P153" i="49"/>
  <c r="I67" i="51"/>
  <c r="H67" i="51"/>
  <c r="H36" i="51" s="1"/>
  <c r="O73" i="25" s="1"/>
  <c r="P73" i="25" s="1"/>
  <c r="C67" i="51"/>
  <c r="C36" i="51" s="1"/>
  <c r="P10" i="78"/>
  <c r="AY246" i="89"/>
  <c r="G71" i="39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E67" i="78"/>
  <c r="U67" i="78"/>
  <c r="S67" i="78"/>
  <c r="P67" i="78"/>
  <c r="G67" i="78"/>
  <c r="R67" i="78"/>
  <c r="F67" i="78"/>
  <c r="N67" i="78"/>
  <c r="K67" i="78"/>
  <c r="T67" i="78"/>
  <c r="H67" i="78"/>
  <c r="M67" i="78"/>
  <c r="O67" i="78"/>
  <c r="D67" i="78"/>
  <c r="J67" i="78"/>
  <c r="I67" i="78"/>
  <c r="Q67" i="78"/>
  <c r="L67" i="78"/>
  <c r="O42" i="25" l="1"/>
  <c r="P42" i="25" s="1"/>
  <c r="I36" i="51"/>
  <c r="Q73" i="25" s="1"/>
  <c r="R73" i="25" s="1"/>
  <c r="I66" i="51"/>
  <c r="H66" i="51"/>
  <c r="H35" i="51" s="1"/>
  <c r="O72" i="25" s="1"/>
  <c r="P72" i="25" s="1"/>
  <c r="C66" i="51"/>
  <c r="C35" i="51" s="1"/>
  <c r="P8" i="78"/>
  <c r="G70" i="39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I66" i="78"/>
  <c r="U66" i="78"/>
  <c r="O66" i="78"/>
  <c r="H66" i="78"/>
  <c r="R66" i="78"/>
  <c r="L66" i="78"/>
  <c r="J66" i="78"/>
  <c r="G66" i="78"/>
  <c r="F66" i="78"/>
  <c r="P66" i="78"/>
  <c r="Q66" i="78"/>
  <c r="D66" i="78"/>
  <c r="N66" i="78"/>
  <c r="K66" i="78"/>
  <c r="T66" i="78"/>
  <c r="E66" i="78"/>
  <c r="M66" i="78"/>
  <c r="S66" i="78"/>
  <c r="O41" i="25" l="1"/>
  <c r="P41" i="25" s="1"/>
  <c r="I35" i="51"/>
  <c r="Q72" i="25" s="1"/>
  <c r="R72" i="25" s="1"/>
  <c r="I65" i="51"/>
  <c r="H65" i="51"/>
  <c r="H34" i="51" s="1"/>
  <c r="O71" i="25" s="1"/>
  <c r="P71" i="25" s="1"/>
  <c r="C65" i="51"/>
  <c r="C34" i="51" s="1"/>
  <c r="P6" i="78"/>
  <c r="G69" i="39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O39" i="25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S65" i="78"/>
  <c r="M65" i="78"/>
  <c r="L65" i="78"/>
  <c r="Q65" i="78"/>
  <c r="G65" i="78"/>
  <c r="H65" i="78"/>
  <c r="F65" i="78"/>
  <c r="P65" i="78"/>
  <c r="D65" i="78"/>
  <c r="R65" i="78"/>
  <c r="O65" i="78"/>
  <c r="N65" i="78"/>
  <c r="T65" i="78"/>
  <c r="U65" i="78"/>
  <c r="K65" i="78"/>
  <c r="J65" i="78"/>
  <c r="I65" i="78"/>
  <c r="E65" i="78"/>
  <c r="O40" i="25" l="1"/>
  <c r="P40" i="25" s="1"/>
  <c r="I34" i="51"/>
  <c r="Q71" i="25" s="1"/>
  <c r="R71" i="25" s="1"/>
  <c r="I64" i="51"/>
  <c r="H64" i="51"/>
  <c r="H33" i="51" s="1"/>
  <c r="O70" i="25" s="1"/>
  <c r="P70" i="25" s="1"/>
  <c r="C64" i="51"/>
  <c r="C33" i="51" s="1"/>
  <c r="P4" i="78"/>
  <c r="C68" i="39"/>
  <c r="C39" i="25" s="1"/>
  <c r="D39" i="25" s="1"/>
  <c r="P39" i="25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O38" i="25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M64" i="78"/>
  <c r="S64" i="78"/>
  <c r="L64" i="78"/>
  <c r="U64" i="78"/>
  <c r="G64" i="78"/>
  <c r="Q64" i="78"/>
  <c r="K64" i="78"/>
  <c r="P64" i="78"/>
  <c r="O64" i="78"/>
  <c r="R64" i="78"/>
  <c r="N64" i="78"/>
  <c r="D64" i="78"/>
  <c r="J64" i="78"/>
  <c r="H64" i="78"/>
  <c r="F64" i="78"/>
  <c r="I64" i="78"/>
  <c r="T64" i="78"/>
  <c r="E64" i="78"/>
  <c r="I33" i="51" l="1"/>
  <c r="Q70" i="25" s="1"/>
  <c r="R70" i="25" s="1"/>
  <c r="I63" i="51"/>
  <c r="H63" i="51"/>
  <c r="H32" i="51" s="1"/>
  <c r="O69" i="25" s="1"/>
  <c r="P69" i="25" s="1"/>
  <c r="C63" i="51"/>
  <c r="C32" i="51" s="1"/>
  <c r="P2" i="78"/>
  <c r="C67" i="39"/>
  <c r="C38" i="25" s="1"/>
  <c r="D38" i="25" s="1"/>
  <c r="P38" i="25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104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R63" i="78"/>
  <c r="P63" i="78"/>
  <c r="I63" i="78"/>
  <c r="N63" i="78"/>
  <c r="K63" i="78"/>
  <c r="O63" i="78"/>
  <c r="S63" i="78"/>
  <c r="F63" i="78"/>
  <c r="E63" i="78"/>
  <c r="J63" i="78"/>
  <c r="G63" i="78"/>
  <c r="T63" i="78"/>
  <c r="U63" i="78"/>
  <c r="L63" i="78"/>
  <c r="Q63" i="78"/>
  <c r="D63" i="78"/>
  <c r="H63" i="78"/>
  <c r="M63" i="78"/>
  <c r="I32" i="51" l="1"/>
  <c r="Q69" i="25" s="1"/>
  <c r="R69" i="25" s="1"/>
  <c r="I62" i="51"/>
  <c r="U75" i="78"/>
  <c r="H62" i="51"/>
  <c r="H31" i="51" s="1"/>
  <c r="O68" i="25" s="1"/>
  <c r="C62" i="51"/>
  <c r="C31" i="51" s="1"/>
  <c r="T75" i="78"/>
  <c r="S75" i="78"/>
  <c r="AT213" i="89" s="1"/>
  <c r="R75" i="78"/>
  <c r="G66" i="39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8" i="49" s="1"/>
  <c r="P138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1" i="89" s="1"/>
  <c r="D75" i="78"/>
  <c r="C22" i="64" s="1"/>
  <c r="E75" i="78"/>
  <c r="I75" i="78"/>
  <c r="J77" i="89" s="1"/>
  <c r="F75" i="78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J78" i="89" l="1"/>
  <c r="K78" i="89" s="1"/>
  <c r="C18" i="64"/>
  <c r="O37" i="25"/>
  <c r="P37" i="25" s="1"/>
  <c r="C20" i="64"/>
  <c r="AT215" i="89"/>
  <c r="C19" i="64"/>
  <c r="AV213" i="89"/>
  <c r="I31" i="51"/>
  <c r="Q68" i="25" s="1"/>
  <c r="X67" i="25"/>
  <c r="R67" i="25"/>
  <c r="P67" i="25"/>
  <c r="P68" i="25"/>
  <c r="O80" i="25"/>
  <c r="C36" i="25"/>
  <c r="D36" i="25" s="1"/>
  <c r="E65" i="39"/>
  <c r="G36" i="25" s="1"/>
  <c r="H36" i="25" s="1"/>
  <c r="G65" i="39"/>
  <c r="D65" i="39"/>
  <c r="D67" i="25"/>
  <c r="T67" i="25"/>
  <c r="V67" i="25"/>
  <c r="T35" i="25"/>
  <c r="Q37" i="25"/>
  <c r="R37" i="25" s="1"/>
  <c r="J83" i="89"/>
  <c r="C23" i="64"/>
  <c r="J82" i="89"/>
  <c r="AT217" i="89" s="1"/>
  <c r="AY235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6" i="89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L78" i="89" l="1"/>
  <c r="AT212" i="89"/>
  <c r="AW212" i="89" s="1"/>
  <c r="AY212" i="89" s="1"/>
  <c r="O36" i="25"/>
  <c r="P36" i="25" s="1"/>
  <c r="AV215" i="89"/>
  <c r="AW216" i="89"/>
  <c r="AY216" i="89" s="1"/>
  <c r="AV216" i="89"/>
  <c r="Q80" i="25"/>
  <c r="R68" i="25"/>
  <c r="X66" i="25"/>
  <c r="R66" i="25"/>
  <c r="P66" i="25"/>
  <c r="C35" i="25"/>
  <c r="D35" i="25" s="1"/>
  <c r="E64" i="39"/>
  <c r="G35" i="25" s="1"/>
  <c r="H35" i="25" s="1"/>
  <c r="AW215" i="89"/>
  <c r="AY215" i="89" s="1"/>
  <c r="O35" i="25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18" i="89"/>
  <c r="AW218" i="89" s="1"/>
  <c r="K82" i="89"/>
  <c r="K83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H66" i="25"/>
  <c r="N66" i="25"/>
  <c r="F66" i="25"/>
  <c r="J66" i="25"/>
  <c r="B65" i="25"/>
  <c r="B63" i="39"/>
  <c r="B33" i="25"/>
  <c r="N34" i="25"/>
  <c r="AV212" i="89" l="1"/>
  <c r="X65" i="25"/>
  <c r="P65" i="25"/>
  <c r="R65" i="25"/>
  <c r="O34" i="25"/>
  <c r="P34" i="25" s="1"/>
  <c r="D63" i="39"/>
  <c r="Q34" i="25" s="1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AW222" i="89" l="1"/>
  <c r="AV222" i="89"/>
  <c r="X59" i="25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D25" i="25"/>
  <c r="D49" i="25" s="1"/>
  <c r="H25" i="25"/>
  <c r="H49" i="25" s="1"/>
  <c r="D27" i="50" s="1"/>
  <c r="AN171" i="89" s="1"/>
  <c r="AN172" i="89" l="1"/>
  <c r="AU238" i="89" s="1"/>
  <c r="AW238" i="89" s="1"/>
  <c r="I15" i="135"/>
  <c r="X56" i="25"/>
  <c r="P56" i="25"/>
  <c r="R56" i="25"/>
  <c r="D12" i="137"/>
  <c r="T56" i="25"/>
  <c r="V56" i="25"/>
  <c r="T24" i="25"/>
  <c r="V24" i="25"/>
  <c r="AN173" i="89"/>
  <c r="AO173" i="89" s="1"/>
  <c r="Q108" i="49"/>
  <c r="P108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C51" i="64"/>
  <c r="D51" i="64" s="1"/>
  <c r="E51" i="64" s="1"/>
  <c r="D9" i="50"/>
  <c r="AY240" i="89"/>
  <c r="C52" i="64"/>
  <c r="D52" i="64" s="1"/>
  <c r="E52" i="64" s="1"/>
  <c r="C50" i="64"/>
  <c r="D50" i="64" s="1"/>
  <c r="E50" i="64" s="1"/>
  <c r="Q107" i="49"/>
  <c r="P107" i="49" s="1"/>
  <c r="J56" i="25"/>
  <c r="C47" i="64"/>
  <c r="D47" i="64" s="1"/>
  <c r="E47" i="64" s="1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D10" i="50" l="1"/>
  <c r="E10" i="50" s="1"/>
  <c r="D11" i="50"/>
  <c r="D82" i="50"/>
  <c r="AN178" i="89" s="1"/>
  <c r="AO172" i="89"/>
  <c r="X55" i="25"/>
  <c r="X80" i="25" s="1"/>
  <c r="G31" i="135" s="1"/>
  <c r="R55" i="25"/>
  <c r="R80" i="25" s="1"/>
  <c r="M42" i="51" s="1"/>
  <c r="D20" i="50" s="1"/>
  <c r="AN168" i="89" s="1"/>
  <c r="AO168" i="89" s="1"/>
  <c r="P55" i="25"/>
  <c r="P80" i="25" s="1"/>
  <c r="M41" i="51" s="1"/>
  <c r="T55" i="25"/>
  <c r="T80" i="25" s="1"/>
  <c r="V55" i="25"/>
  <c r="V80" i="25" s="1"/>
  <c r="AU239" i="89"/>
  <c r="AW239" i="89" s="1"/>
  <c r="P112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40" i="49" s="1"/>
  <c r="BE273" i="89"/>
  <c r="BE270" i="89"/>
  <c r="BE271" i="89"/>
  <c r="BE272" i="89"/>
  <c r="M34" i="51"/>
  <c r="D15" i="50" s="1"/>
  <c r="M36" i="51"/>
  <c r="D18" i="50" s="1"/>
  <c r="AO178" i="89" l="1"/>
  <c r="AU244" i="89"/>
  <c r="AW244" i="89" s="1"/>
  <c r="AY244" i="89" s="1"/>
  <c r="Q255" i="49"/>
  <c r="P255" i="49" s="1"/>
  <c r="E82" i="50"/>
  <c r="C99" i="64"/>
  <c r="G27" i="135"/>
  <c r="G32" i="135"/>
  <c r="C98" i="64" s="1"/>
  <c r="D98" i="64" s="1"/>
  <c r="E98" i="64" s="1"/>
  <c r="G25" i="135"/>
  <c r="G33" i="135" s="1"/>
  <c r="G30" i="135"/>
  <c r="G28" i="135"/>
  <c r="G26" i="135"/>
  <c r="G29" i="135"/>
  <c r="M43" i="51"/>
  <c r="D19" i="50"/>
  <c r="AN167" i="89" s="1"/>
  <c r="Q99" i="49"/>
  <c r="P99" i="49" s="1"/>
  <c r="E20" i="50"/>
  <c r="Q133" i="49" s="1"/>
  <c r="P133" i="49" s="1"/>
  <c r="Q123" i="49"/>
  <c r="Q97" i="49"/>
  <c r="P97" i="49" s="1"/>
  <c r="AY250" i="89"/>
  <c r="Q254" i="49"/>
  <c r="P254" i="49" s="1"/>
  <c r="AO180" i="89"/>
  <c r="Q116" i="49"/>
  <c r="P116" i="49" s="1"/>
  <c r="C58" i="64"/>
  <c r="D58" i="64" s="1"/>
  <c r="E58" i="64" s="1"/>
  <c r="Q117" i="49"/>
  <c r="P117" i="49" s="1"/>
  <c r="C59" i="64"/>
  <c r="D59" i="64" s="1"/>
  <c r="E59" i="64" s="1"/>
  <c r="AY238" i="89"/>
  <c r="M32" i="51"/>
  <c r="Q91" i="49"/>
  <c r="P91" i="49" s="1"/>
  <c r="Q95" i="49"/>
  <c r="Q94" i="49"/>
  <c r="O12" i="50"/>
  <c r="M12" i="50" s="1"/>
  <c r="BE269" i="89"/>
  <c r="BE274" i="89" s="1"/>
  <c r="O15" i="50"/>
  <c r="M15" i="50" s="1"/>
  <c r="P104" i="49"/>
  <c r="O18" i="50"/>
  <c r="M18" i="50" s="1"/>
  <c r="O14" i="50"/>
  <c r="M14" i="50" s="1"/>
  <c r="D99" i="64" l="1"/>
  <c r="E99" i="64" s="1"/>
  <c r="AU234" i="89"/>
  <c r="AW234" i="89" s="1"/>
  <c r="AO167" i="89"/>
  <c r="Q98" i="49"/>
  <c r="P98" i="49" s="1"/>
  <c r="E19" i="50"/>
  <c r="Q132" i="49" s="1"/>
  <c r="P132" i="49" s="1"/>
  <c r="D13" i="50"/>
  <c r="AN166" i="89" s="1"/>
  <c r="M38" i="51"/>
  <c r="P96" i="49"/>
  <c r="O16" i="50"/>
  <c r="M16" i="50" s="1"/>
  <c r="P102" i="49"/>
  <c r="E17" i="50"/>
  <c r="E23" i="50"/>
  <c r="Q136" i="49" s="1"/>
  <c r="E29" i="50"/>
  <c r="Q141" i="49" s="1"/>
  <c r="E24" i="50"/>
  <c r="Q137" i="49" s="1"/>
  <c r="E15" i="50"/>
  <c r="E18" i="50"/>
  <c r="E14" i="50"/>
  <c r="E16" i="50"/>
  <c r="E12" i="50"/>
  <c r="AY239" i="89" l="1"/>
  <c r="E13" i="50"/>
  <c r="AY245" i="89"/>
  <c r="Q92" i="49"/>
  <c r="P92" i="49" s="1"/>
  <c r="O13" i="50"/>
  <c r="M13" i="50" s="1"/>
  <c r="BC273" i="89"/>
  <c r="BC268" i="89"/>
  <c r="BC269" i="89"/>
  <c r="P15" i="50"/>
  <c r="Q128" i="49"/>
  <c r="P128" i="49" s="1"/>
  <c r="N15" i="50"/>
  <c r="P12" i="50"/>
  <c r="Q125" i="49"/>
  <c r="P125" i="49" s="1"/>
  <c r="N12" i="50"/>
  <c r="P18" i="50"/>
  <c r="N18" i="50"/>
  <c r="Q131" i="49"/>
  <c r="P131" i="49" s="1"/>
  <c r="P141" i="49"/>
  <c r="P136" i="49"/>
  <c r="P23" i="50"/>
  <c r="N23" i="50"/>
  <c r="Q130" i="49"/>
  <c r="P130" i="49" s="1"/>
  <c r="N17" i="50"/>
  <c r="P17" i="50"/>
  <c r="P14" i="50"/>
  <c r="Q127" i="49"/>
  <c r="P127" i="49" s="1"/>
  <c r="N14" i="50"/>
  <c r="P24" i="50"/>
  <c r="P137" i="49"/>
  <c r="N24" i="50"/>
  <c r="P142" i="49"/>
  <c r="N16" i="50"/>
  <c r="Q129" i="49"/>
  <c r="P129" i="49" s="1"/>
  <c r="P16" i="50"/>
  <c r="AO166" i="89" l="1"/>
  <c r="AU233" i="89"/>
  <c r="N13" i="50"/>
  <c r="P13" i="50"/>
  <c r="Q126" i="49"/>
  <c r="P126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8" i="49"/>
  <c r="P188" i="49" s="1"/>
  <c r="E25" i="64"/>
  <c r="Q189" i="49"/>
  <c r="P189" i="49" s="1"/>
  <c r="P191" i="49" l="1"/>
  <c r="P192" i="49"/>
  <c r="P190" i="49" l="1"/>
  <c r="P193" i="49"/>
  <c r="C24" i="64"/>
  <c r="C34" i="64" l="1"/>
  <c r="E27" i="50"/>
  <c r="C45" i="64"/>
  <c r="D45" i="64" s="1"/>
  <c r="AF15" i="89"/>
  <c r="J86" i="89"/>
  <c r="P140" i="49" l="1"/>
  <c r="Q139" i="49"/>
  <c r="AY237" i="89"/>
  <c r="P105" i="49"/>
  <c r="E26" i="50"/>
  <c r="Q90" i="49"/>
  <c r="P90" i="49" s="1"/>
  <c r="Q89" i="49"/>
  <c r="P89" i="49" s="1"/>
  <c r="Q106" i="49"/>
  <c r="P106" i="49" s="1"/>
  <c r="O27" i="50"/>
  <c r="M27" i="50" s="1"/>
  <c r="E11" i="50"/>
  <c r="Q124" i="49" s="1"/>
  <c r="P95" i="49"/>
  <c r="O26" i="50"/>
  <c r="M26" i="50" s="1"/>
  <c r="AN170" i="89"/>
  <c r="C49" i="64"/>
  <c r="D49" i="64" s="1"/>
  <c r="E49" i="64" s="1"/>
  <c r="E9" i="50"/>
  <c r="AW232" i="89" s="1"/>
  <c r="P93" i="49"/>
  <c r="P88" i="49"/>
  <c r="P94" i="49"/>
  <c r="E45" i="64"/>
  <c r="C39" i="64"/>
  <c r="D39" i="64" s="1"/>
  <c r="J95" i="89"/>
  <c r="L86" i="89"/>
  <c r="K86" i="89"/>
  <c r="P124" i="49" l="1"/>
  <c r="AO170" i="89"/>
  <c r="AU236" i="89"/>
  <c r="P119" i="49"/>
  <c r="N27" i="50"/>
  <c r="P139" i="49"/>
  <c r="P27" i="50"/>
  <c r="N26" i="50"/>
  <c r="P26" i="50"/>
  <c r="P123" i="49"/>
  <c r="C46" i="64"/>
  <c r="AD15" i="89"/>
  <c r="K95" i="89"/>
  <c r="J96" i="89"/>
  <c r="K96" i="89" s="1"/>
  <c r="AW236" i="89" l="1"/>
  <c r="AY232" i="89"/>
  <c r="D46" i="64"/>
  <c r="E46" i="64" s="1"/>
  <c r="K97" i="89"/>
  <c r="P197" i="49" l="1"/>
  <c r="Q87" i="49"/>
  <c r="P87" i="49" s="1"/>
  <c r="Q167" i="49"/>
  <c r="P167" i="49" s="1"/>
  <c r="Q200" i="49"/>
  <c r="P200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8" i="49" l="1"/>
  <c r="P1738" i="49" s="1"/>
  <c r="E9" i="82"/>
  <c r="C10" i="82"/>
  <c r="Q1739" i="49" s="1"/>
  <c r="P1739" i="49" s="1"/>
  <c r="E10" i="82"/>
  <c r="Q1737" i="49" s="1"/>
  <c r="P1737" i="49" s="1"/>
  <c r="Q1736" i="49" l="1"/>
  <c r="P1736" i="49" s="1"/>
  <c r="D26" i="64"/>
  <c r="C27" i="95"/>
  <c r="D52" i="50" l="1"/>
  <c r="D51" i="50"/>
  <c r="D53" i="50"/>
  <c r="D55" i="50"/>
  <c r="D54" i="50"/>
  <c r="D22" i="50"/>
  <c r="D21" i="50"/>
  <c r="F26" i="64"/>
  <c r="C104" i="39"/>
  <c r="BM278" i="89"/>
  <c r="BN278" i="89" s="1"/>
  <c r="AU223" i="89"/>
  <c r="Q30" i="49"/>
  <c r="P30" i="49" s="1"/>
  <c r="E26" i="64"/>
  <c r="C30" i="95"/>
  <c r="C21" i="95"/>
  <c r="AW223" i="89" l="1"/>
  <c r="AY223" i="89" s="1"/>
  <c r="AV223" i="89"/>
  <c r="Q224" i="49"/>
  <c r="P224" i="49" s="1"/>
  <c r="C68" i="64"/>
  <c r="D68" i="64" s="1"/>
  <c r="E68" i="64" s="1"/>
  <c r="Q226" i="49"/>
  <c r="P226" i="49" s="1"/>
  <c r="C70" i="64"/>
  <c r="D70" i="64" s="1"/>
  <c r="E70" i="64" s="1"/>
  <c r="Q228" i="49"/>
  <c r="P228" i="49" s="1"/>
  <c r="C72" i="64"/>
  <c r="D72" i="64" s="1"/>
  <c r="E72" i="64" s="1"/>
  <c r="Q227" i="49"/>
  <c r="P227" i="49" s="1"/>
  <c r="C71" i="64"/>
  <c r="D71" i="64" s="1"/>
  <c r="E71" i="64" s="1"/>
  <c r="Q225" i="49"/>
  <c r="P225" i="49" s="1"/>
  <c r="C69" i="64"/>
  <c r="D69" i="64" s="1"/>
  <c r="E69" i="64" s="1"/>
  <c r="Q101" i="49"/>
  <c r="P101" i="49" s="1"/>
  <c r="E22" i="50"/>
  <c r="Q135" i="49" s="1"/>
  <c r="O22" i="50"/>
  <c r="M22" i="50" s="1"/>
  <c r="Q100" i="49"/>
  <c r="P100" i="49" s="1"/>
  <c r="O21" i="50"/>
  <c r="M21" i="50" s="1"/>
  <c r="E21" i="50"/>
  <c r="Q134" i="49" s="1"/>
  <c r="BM285" i="89"/>
  <c r="C20" i="94"/>
  <c r="C35" i="95"/>
  <c r="P134" i="49" l="1"/>
  <c r="P21" i="50"/>
  <c r="N21" i="50"/>
  <c r="P135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201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6" i="49"/>
  <c r="P26" i="49" s="1"/>
  <c r="AJ146" i="89"/>
  <c r="AK146" i="89" s="1"/>
  <c r="AJ150" i="89" l="1"/>
  <c r="AK150" i="89" s="1"/>
  <c r="Q53" i="49" l="1"/>
  <c r="P53" i="49" s="1"/>
  <c r="P56" i="49"/>
  <c r="P55" i="49" l="1"/>
  <c r="X131" i="89"/>
  <c r="X129" i="89"/>
  <c r="Q54" i="49"/>
  <c r="P54" i="49" s="1"/>
  <c r="X132" i="89"/>
  <c r="H35" i="58" l="1"/>
  <c r="K41" i="58" s="1"/>
  <c r="L41" i="58" s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6" i="49"/>
  <c r="P206" i="49" s="1"/>
  <c r="BR292" i="89"/>
  <c r="BF271" i="89"/>
  <c r="BR291" i="89"/>
  <c r="Q205" i="49"/>
  <c r="P205" i="49" s="1"/>
  <c r="G9" i="123"/>
  <c r="N9" i="123" s="1"/>
  <c r="L5" i="123"/>
  <c r="G5" i="123"/>
  <c r="D11" i="123"/>
  <c r="Q204" i="49" l="1"/>
  <c r="P204" i="49" s="1"/>
  <c r="BR290" i="89"/>
  <c r="Q216" i="49" s="1"/>
  <c r="P216" i="49" s="1"/>
  <c r="Q203" i="49"/>
  <c r="P203" i="49" s="1"/>
  <c r="BR289" i="89"/>
  <c r="BS289" i="89" s="1"/>
  <c r="BH272" i="89"/>
  <c r="BJ272" i="89" s="1"/>
  <c r="BS292" i="89"/>
  <c r="Q218" i="49"/>
  <c r="P218" i="49" s="1"/>
  <c r="BP288" i="89"/>
  <c r="BH271" i="89"/>
  <c r="BJ271" i="89" s="1"/>
  <c r="BS291" i="89"/>
  <c r="Q217" i="49"/>
  <c r="P217" i="49" s="1"/>
  <c r="N5" i="123"/>
  <c r="BS290" i="89" l="1"/>
  <c r="BH270" i="89"/>
  <c r="BJ270" i="89" s="1"/>
  <c r="BH269" i="89"/>
  <c r="BJ269" i="89" s="1"/>
  <c r="Q215" i="49"/>
  <c r="P215" i="49" s="1"/>
  <c r="BF268" i="89"/>
  <c r="BR288" i="89"/>
  <c r="Q202" i="49"/>
  <c r="P202" i="49" s="1"/>
  <c r="BH268" i="89" l="1"/>
  <c r="BS288" i="89"/>
  <c r="Q214" i="49"/>
  <c r="P214" i="49" s="1"/>
  <c r="BJ268" i="89" l="1"/>
  <c r="AO165" i="89" l="1"/>
  <c r="Q28" i="49" l="1"/>
  <c r="Q27" i="49" l="1"/>
  <c r="P27" i="49" s="1"/>
  <c r="P28" i="49"/>
  <c r="D32" i="64"/>
  <c r="AE149" i="89"/>
  <c r="AL149" i="89" s="1"/>
  <c r="AJ149" i="89"/>
  <c r="AK149" i="89" s="1"/>
  <c r="AK161" i="89" s="1"/>
  <c r="C103" i="39" l="1"/>
  <c r="AU225" i="89"/>
  <c r="AW225" i="89" s="1"/>
  <c r="AW221" i="89" s="1"/>
  <c r="E32" i="64"/>
  <c r="D24" i="64"/>
  <c r="F32" i="64"/>
  <c r="K52" i="39" s="1"/>
  <c r="AV225" i="89" l="1"/>
  <c r="AU221" i="89"/>
  <c r="Q169" i="49"/>
  <c r="P169" i="49" s="1"/>
  <c r="O8" i="51"/>
  <c r="E24" i="64"/>
  <c r="L9" i="89" s="1"/>
  <c r="F24" i="64"/>
  <c r="AF16" i="89"/>
  <c r="AY225" i="89" l="1"/>
  <c r="AY221" i="89"/>
  <c r="U10" i="89"/>
  <c r="AV221" i="89"/>
  <c r="AB141" i="89" l="1"/>
  <c r="R14" i="58" l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7" i="49" l="1"/>
  <c r="P207" i="49" s="1"/>
  <c r="BP294" i="89"/>
  <c r="BR294" i="89" s="1"/>
  <c r="BS294" i="89" s="1"/>
  <c r="BR293" i="89"/>
  <c r="BF273" i="89"/>
  <c r="BF274" i="89" s="1"/>
  <c r="Q219" i="49" l="1"/>
  <c r="P219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6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l="1"/>
  <c r="D55" i="64"/>
  <c r="E55" i="64" s="1"/>
  <c r="AU241" i="89"/>
  <c r="AW241" i="89" l="1"/>
  <c r="AY241" i="89" l="1"/>
  <c r="Q243" i="49"/>
  <c r="P243" i="49" s="1"/>
  <c r="E70" i="50"/>
  <c r="C87" i="64"/>
  <c r="D87" i="64" s="1"/>
  <c r="E87" i="64" s="1"/>
  <c r="P145" i="49" l="1"/>
  <c r="Q11" i="58" l="1"/>
  <c r="Q13" i="58" s="1"/>
  <c r="R13" i="58" s="1"/>
  <c r="R15" i="58" s="1"/>
  <c r="N13" i="58"/>
  <c r="Q43" i="49" s="1"/>
  <c r="P43" i="49" s="1"/>
  <c r="N16" i="58"/>
  <c r="N17" i="58"/>
  <c r="Q38" i="49" l="1"/>
  <c r="P38" i="49" s="1"/>
  <c r="C10" i="58"/>
  <c r="T124" i="89" s="1"/>
  <c r="U124" i="89" s="1"/>
  <c r="S15" i="58"/>
  <c r="Q15" i="58"/>
  <c r="K35" i="39"/>
  <c r="Q39" i="49"/>
  <c r="P39" i="49" s="1"/>
  <c r="N15" i="58"/>
  <c r="Q112" i="89" s="1"/>
  <c r="N14" i="58"/>
  <c r="Q113" i="89" s="1"/>
  <c r="Q114" i="89" l="1"/>
  <c r="Q42" i="49"/>
  <c r="P42" i="49" s="1"/>
  <c r="K36" i="39"/>
  <c r="C99" i="39" s="1"/>
  <c r="Q16" i="58"/>
  <c r="R16" i="58" s="1"/>
  <c r="R17" i="58" s="1"/>
  <c r="Q18" i="58" s="1"/>
  <c r="Q44" i="49"/>
  <c r="P44" i="49" s="1"/>
  <c r="Q171" i="49"/>
  <c r="P171" i="49" s="1"/>
  <c r="N19" i="58"/>
  <c r="L19" i="58" s="1"/>
  <c r="N18" i="58"/>
  <c r="L18" i="58" s="1"/>
  <c r="L35" i="58" l="1"/>
  <c r="Q280" i="49" s="1"/>
  <c r="P280" i="49" s="1"/>
  <c r="Q41" i="49"/>
  <c r="P41" i="49" s="1"/>
  <c r="C12" i="58"/>
  <c r="Q17" i="58"/>
  <c r="Q40" i="49"/>
  <c r="P40" i="49" s="1"/>
  <c r="Q172" i="49"/>
  <c r="P172" i="49" s="1"/>
  <c r="C11" i="58"/>
  <c r="C9" i="58" l="1"/>
  <c r="T123" i="89"/>
  <c r="Q185" i="49" l="1"/>
  <c r="P185" i="49" s="1"/>
  <c r="L8" i="51"/>
  <c r="C5" i="58"/>
  <c r="T122" i="89"/>
  <c r="T125" i="89" s="1"/>
  <c r="U123" i="89"/>
  <c r="D79" i="50" l="1"/>
  <c r="D80" i="50"/>
  <c r="D77" i="50"/>
  <c r="D78" i="50"/>
  <c r="D76" i="50"/>
  <c r="D61" i="50"/>
  <c r="D62" i="50"/>
  <c r="D59" i="50"/>
  <c r="D60" i="50"/>
  <c r="D57" i="50"/>
  <c r="D58" i="50"/>
  <c r="L6" i="51"/>
  <c r="L10" i="51" s="1"/>
  <c r="Q37" i="49"/>
  <c r="P37" i="49" s="1"/>
  <c r="Q164" i="49"/>
  <c r="P164" i="49" s="1"/>
  <c r="Q183" i="49"/>
  <c r="P183" i="49" s="1"/>
  <c r="D67" i="50"/>
  <c r="D65" i="50"/>
  <c r="D72" i="50"/>
  <c r="N30" i="58"/>
  <c r="D66" i="50"/>
  <c r="D71" i="50"/>
  <c r="D73" i="50"/>
  <c r="D74" i="50"/>
  <c r="D75" i="50"/>
  <c r="D69" i="50"/>
  <c r="D68" i="50"/>
  <c r="E76" i="50" l="1"/>
  <c r="AN193" i="89"/>
  <c r="AN192" i="89"/>
  <c r="AN190" i="89"/>
  <c r="C93" i="64"/>
  <c r="D93" i="64" s="1"/>
  <c r="E93" i="64" s="1"/>
  <c r="Q249" i="49"/>
  <c r="P249" i="49" s="1"/>
  <c r="L9" i="51"/>
  <c r="Q248" i="49"/>
  <c r="P248" i="49" s="1"/>
  <c r="E75" i="50"/>
  <c r="C92" i="64"/>
  <c r="D92" i="64" s="1"/>
  <c r="E92" i="64" s="1"/>
  <c r="Q244" i="49"/>
  <c r="P244" i="49" s="1"/>
  <c r="E71" i="50"/>
  <c r="C88" i="64"/>
  <c r="D88" i="64" s="1"/>
  <c r="E88" i="64" s="1"/>
  <c r="Q245" i="49"/>
  <c r="P245" i="49" s="1"/>
  <c r="E72" i="50"/>
  <c r="C89" i="64"/>
  <c r="D89" i="64" s="1"/>
  <c r="E89" i="64" s="1"/>
  <c r="Q241" i="49"/>
  <c r="P241" i="49" s="1"/>
  <c r="E68" i="50"/>
  <c r="C85" i="64"/>
  <c r="D85" i="64" s="1"/>
  <c r="E85" i="64" s="1"/>
  <c r="Q238" i="49"/>
  <c r="P238" i="49" s="1"/>
  <c r="E65" i="50"/>
  <c r="C82" i="64"/>
  <c r="D82" i="64" s="1"/>
  <c r="E82" i="64" s="1"/>
  <c r="Q247" i="49"/>
  <c r="P247" i="49" s="1"/>
  <c r="E74" i="50"/>
  <c r="C91" i="64"/>
  <c r="D91" i="64" s="1"/>
  <c r="E91" i="64" s="1"/>
  <c r="Q239" i="49"/>
  <c r="P239" i="49" s="1"/>
  <c r="E66" i="50"/>
  <c r="C83" i="64"/>
  <c r="D83" i="64" s="1"/>
  <c r="E83" i="64" s="1"/>
  <c r="Q242" i="49"/>
  <c r="P242" i="49" s="1"/>
  <c r="E69" i="50"/>
  <c r="C86" i="64"/>
  <c r="D86" i="64" s="1"/>
  <c r="E86" i="64" s="1"/>
  <c r="Q246" i="49"/>
  <c r="P246" i="49" s="1"/>
  <c r="E73" i="50"/>
  <c r="C90" i="64"/>
  <c r="D90" i="64" s="1"/>
  <c r="E90" i="64" s="1"/>
  <c r="T29" i="58"/>
  <c r="U29" i="58" s="1"/>
  <c r="O30" i="58"/>
  <c r="AA141" i="89"/>
  <c r="Q240" i="49"/>
  <c r="P240" i="49" s="1"/>
  <c r="E67" i="50"/>
  <c r="C84" i="64"/>
  <c r="D84" i="64" s="1"/>
  <c r="E84" i="64" s="1"/>
  <c r="AU259" i="89" l="1"/>
  <c r="AW259" i="89" s="1"/>
  <c r="AO193" i="89"/>
  <c r="AO192" i="89"/>
  <c r="AU258" i="89"/>
  <c r="AW258" i="89" s="1"/>
  <c r="AY258" i="89" s="1"/>
  <c r="AO190" i="89"/>
  <c r="AU256" i="89"/>
  <c r="AW256" i="89" s="1"/>
  <c r="AY256" i="89" s="1"/>
  <c r="AD141" i="89"/>
  <c r="AC141" i="89"/>
  <c r="AW255" i="89"/>
  <c r="AY255" i="89" s="1"/>
  <c r="U32" i="58"/>
  <c r="W29" i="58"/>
  <c r="W32" i="58" s="1"/>
  <c r="W34" i="58" s="1"/>
  <c r="V52" i="58" s="1"/>
  <c r="V56" i="58" s="1"/>
  <c r="C18" i="58"/>
  <c r="M58" i="58"/>
  <c r="N58" i="58" s="1"/>
  <c r="M46" i="58"/>
  <c r="N46" i="58" s="1"/>
  <c r="M53" i="58"/>
  <c r="M55" i="58"/>
  <c r="N55" i="58" s="1"/>
  <c r="C20" i="58"/>
  <c r="C22" i="58"/>
  <c r="Q48" i="49" s="1"/>
  <c r="P48" i="49" s="1"/>
  <c r="M42" i="58"/>
  <c r="N42" i="58" s="1"/>
  <c r="M44" i="58"/>
  <c r="N44" i="58" s="1"/>
  <c r="M57" i="58"/>
  <c r="N57" i="58" s="1"/>
  <c r="M59" i="58"/>
  <c r="N59" i="58" s="1"/>
  <c r="C21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C68" i="58"/>
  <c r="AY259" i="89" l="1"/>
  <c r="Q274" i="49"/>
  <c r="P274" i="49" s="1"/>
  <c r="F20" i="58"/>
  <c r="Q275" i="49" s="1"/>
  <c r="P275" i="49" s="1"/>
  <c r="N41" i="58"/>
  <c r="N48" i="58" s="1"/>
  <c r="K48" i="58"/>
  <c r="M48" i="58"/>
  <c r="Q50" i="49"/>
  <c r="P50" i="49" s="1"/>
  <c r="C23" i="58"/>
  <c r="E6" i="58" s="1"/>
  <c r="F18" i="58"/>
  <c r="R11" i="58"/>
  <c r="AA139" i="89"/>
  <c r="Q276" i="49"/>
  <c r="P276" i="49" s="1"/>
  <c r="F21" i="58"/>
  <c r="Q277" i="49" s="1"/>
  <c r="P277" i="49" s="1"/>
  <c r="K60" i="58"/>
  <c r="M60" i="58"/>
  <c r="N53" i="58"/>
  <c r="N60" i="58" s="1"/>
  <c r="E22" i="58" l="1"/>
  <c r="F22" i="58" s="1"/>
  <c r="Q49" i="49" s="1"/>
  <c r="P49" i="49" s="1"/>
  <c r="Q51" i="49"/>
  <c r="P51" i="49" s="1"/>
  <c r="L13" i="51"/>
  <c r="L14" i="51" s="1"/>
  <c r="C6" i="51" s="1"/>
  <c r="AD139" i="89"/>
  <c r="AA142" i="89"/>
  <c r="AC139" i="89"/>
  <c r="AC142" i="89" s="1"/>
  <c r="AB142" i="89" l="1"/>
  <c r="F23" i="58"/>
  <c r="D33" i="64" s="1"/>
  <c r="E23" i="58"/>
  <c r="C13" i="58" s="1"/>
  <c r="Q46" i="49" s="1"/>
  <c r="P46" i="49" s="1"/>
  <c r="O7" i="51"/>
  <c r="C13" i="51"/>
  <c r="D17" i="64"/>
  <c r="C14" i="58" l="1"/>
  <c r="Q165" i="49" s="1"/>
  <c r="P165" i="49" s="1"/>
  <c r="M73" i="39"/>
  <c r="L73" i="39"/>
  <c r="D55" i="71" s="1"/>
  <c r="C102" i="39"/>
  <c r="O9" i="51"/>
  <c r="O11" i="51" s="1"/>
  <c r="F33" i="64"/>
  <c r="C14" i="137"/>
  <c r="AE16" i="89"/>
  <c r="AU220" i="89"/>
  <c r="C13" i="137"/>
  <c r="E33" i="64"/>
  <c r="L10" i="89" s="1"/>
  <c r="Q13" i="49"/>
  <c r="P13" i="49" s="1"/>
  <c r="F17" i="64"/>
  <c r="K42" i="39" s="1"/>
  <c r="AU211" i="89"/>
  <c r="E17" i="64"/>
  <c r="D14" i="64"/>
  <c r="N102" i="89"/>
  <c r="D46" i="71" l="1"/>
  <c r="D45" i="71"/>
  <c r="D44" i="71"/>
  <c r="D42" i="71"/>
  <c r="D41" i="71"/>
  <c r="D51" i="71"/>
  <c r="D54" i="71"/>
  <c r="D53" i="71"/>
  <c r="D52" i="71"/>
  <c r="D47" i="71"/>
  <c r="D50" i="71"/>
  <c r="D49" i="71"/>
  <c r="D48" i="71"/>
  <c r="D43" i="71"/>
  <c r="Q45" i="49"/>
  <c r="P45" i="49" s="1"/>
  <c r="Q184" i="49"/>
  <c r="P184" i="49" s="1"/>
  <c r="D13" i="137"/>
  <c r="E13" i="137" s="1"/>
  <c r="D32" i="50" s="1"/>
  <c r="D14" i="137"/>
  <c r="E14" i="137" s="1"/>
  <c r="D33" i="50" s="1"/>
  <c r="AU219" i="89"/>
  <c r="AW220" i="89"/>
  <c r="AV220" i="89"/>
  <c r="Q168" i="49"/>
  <c r="P168" i="49" s="1"/>
  <c r="F14" i="64"/>
  <c r="AG16" i="89"/>
  <c r="E14" i="64"/>
  <c r="L8" i="89" s="1"/>
  <c r="N109" i="89"/>
  <c r="O102" i="89"/>
  <c r="AV211" i="89"/>
  <c r="AU208" i="89"/>
  <c r="AW211" i="89"/>
  <c r="D34" i="64"/>
  <c r="J73" i="39" l="1"/>
  <c r="Q110" i="49"/>
  <c r="P110" i="49" s="1"/>
  <c r="E32" i="50"/>
  <c r="AW208" i="89"/>
  <c r="AY211" i="89"/>
  <c r="AY220" i="89"/>
  <c r="AW219" i="89"/>
  <c r="Q111" i="49"/>
  <c r="P111" i="49" s="1"/>
  <c r="E33" i="50"/>
  <c r="Q144" i="49" s="1"/>
  <c r="P144" i="49" s="1"/>
  <c r="AV208" i="89"/>
  <c r="U11" i="89"/>
  <c r="AU227" i="89"/>
  <c r="AU226" i="89"/>
  <c r="AX208" i="89" s="1"/>
  <c r="Q166" i="49"/>
  <c r="P166" i="49" s="1"/>
  <c r="C5" i="64"/>
  <c r="F34" i="64"/>
  <c r="E34" i="64"/>
  <c r="U9" i="89"/>
  <c r="AV219" i="89"/>
  <c r="AX219" i="89" l="1"/>
  <c r="T22" i="89" s="1"/>
  <c r="U15" i="89"/>
  <c r="T11" i="89" s="1"/>
  <c r="Q170" i="49"/>
  <c r="P170" i="49" s="1"/>
  <c r="C7" i="64"/>
  <c r="C52" i="89"/>
  <c r="C54" i="89" s="1"/>
  <c r="AY219" i="89"/>
  <c r="AX215" i="89"/>
  <c r="T29" i="89" s="1"/>
  <c r="AX223" i="89"/>
  <c r="AX226" i="89"/>
  <c r="AX218" i="89"/>
  <c r="AX212" i="89"/>
  <c r="T27" i="89" s="1"/>
  <c r="AX216" i="89"/>
  <c r="T26" i="89" s="1"/>
  <c r="AX224" i="89"/>
  <c r="AX209" i="89"/>
  <c r="T24" i="89" s="1"/>
  <c r="AX213" i="89"/>
  <c r="AX217" i="89"/>
  <c r="T30" i="89" s="1"/>
  <c r="AX221" i="89"/>
  <c r="T23" i="89" s="1"/>
  <c r="AX225" i="89"/>
  <c r="AX228" i="89"/>
  <c r="AX210" i="89"/>
  <c r="T25" i="89" s="1"/>
  <c r="AX214" i="89"/>
  <c r="AX222" i="89"/>
  <c r="AX211" i="89"/>
  <c r="AX220" i="89"/>
  <c r="Q143" i="49"/>
  <c r="P143" i="49" s="1"/>
  <c r="AX227" i="89"/>
  <c r="AW227" i="89"/>
  <c r="AV227" i="89"/>
  <c r="AW229" i="89"/>
  <c r="C1357" i="85"/>
  <c r="C643" i="85"/>
  <c r="C1145" i="85"/>
  <c r="C570" i="85"/>
  <c r="C1796" i="85"/>
  <c r="C522" i="85"/>
  <c r="C1417" i="85"/>
  <c r="C1453" i="85"/>
  <c r="C1045" i="85"/>
  <c r="C335" i="85"/>
  <c r="C856" i="85"/>
  <c r="C459" i="85"/>
  <c r="C1814" i="85"/>
  <c r="C324" i="85"/>
  <c r="C1176" i="85"/>
  <c r="C969" i="85"/>
  <c r="C1053" i="85"/>
  <c r="C1260" i="85"/>
  <c r="C815" i="85"/>
  <c r="C557" i="85"/>
  <c r="C1606" i="85"/>
  <c r="C1136" i="85"/>
  <c r="C1271" i="85"/>
  <c r="C64" i="85"/>
  <c r="C1082" i="85"/>
  <c r="C833" i="85"/>
  <c r="C1196" i="85"/>
  <c r="C973" i="85"/>
  <c r="C447" i="85"/>
  <c r="C1075" i="85"/>
  <c r="C1207" i="85"/>
  <c r="C555" i="85"/>
  <c r="C466" i="85"/>
  <c r="C1482" i="85"/>
  <c r="C1881" i="85"/>
  <c r="C828" i="85"/>
  <c r="C629" i="85"/>
  <c r="C1521" i="85"/>
  <c r="C855" i="85"/>
  <c r="C449" i="85"/>
  <c r="C1989" i="85"/>
  <c r="C445" i="85"/>
  <c r="C569" i="85"/>
  <c r="C624" i="85"/>
  <c r="C1004" i="85"/>
  <c r="C437" i="85"/>
  <c r="C503" i="85"/>
  <c r="C1968" i="85"/>
  <c r="C899" i="85"/>
  <c r="C1020" i="85"/>
  <c r="C1716" i="85"/>
  <c r="C310" i="85"/>
  <c r="C1493" i="85"/>
  <c r="C1743" i="85"/>
  <c r="C1645" i="85"/>
  <c r="C1342" i="85"/>
  <c r="C1972" i="85"/>
  <c r="C1699" i="85"/>
  <c r="C371" i="85"/>
  <c r="C1778" i="85"/>
  <c r="C1328" i="85"/>
  <c r="C1017" i="85"/>
  <c r="C1256" i="85"/>
  <c r="C286" i="85"/>
  <c r="C1718" i="85"/>
  <c r="C1087" i="85"/>
  <c r="C1621" i="85"/>
  <c r="C1926" i="85"/>
  <c r="C653" i="85"/>
  <c r="C303" i="85"/>
  <c r="C1950" i="85"/>
  <c r="C368" i="85"/>
  <c r="C1187" i="85"/>
  <c r="C195" i="85"/>
  <c r="C1264" i="85"/>
  <c r="C1859" i="85"/>
  <c r="C1294" i="85"/>
  <c r="C794" i="85"/>
  <c r="C1129" i="85"/>
  <c r="C1846" i="85"/>
  <c r="C1391" i="85"/>
  <c r="C1287" i="85"/>
  <c r="C1413" i="85"/>
  <c r="C1394" i="85"/>
  <c r="C1652" i="85"/>
  <c r="C305" i="85"/>
  <c r="C1197" i="85"/>
  <c r="C1978" i="85"/>
  <c r="C965" i="85"/>
  <c r="C778" i="85"/>
  <c r="C1720" i="85"/>
  <c r="C1126" i="85"/>
  <c r="C639" i="85"/>
  <c r="C1649" i="85"/>
  <c r="C1654" i="85"/>
  <c r="C1773" i="85"/>
  <c r="C1467" i="85"/>
  <c r="C281" i="85"/>
  <c r="C903" i="85"/>
  <c r="C1872" i="85"/>
  <c r="C708" i="85"/>
  <c r="C663" i="85"/>
  <c r="C1643" i="85"/>
  <c r="C1894" i="85"/>
  <c r="C734" i="85"/>
  <c r="C1883" i="85"/>
  <c r="C911" i="85"/>
  <c r="C796" i="85"/>
  <c r="C1673" i="85"/>
  <c r="C1646" i="85"/>
  <c r="C326" i="85"/>
  <c r="C1502" i="85"/>
  <c r="C1031" i="85"/>
  <c r="C1575" i="85"/>
  <c r="C726" i="85"/>
  <c r="C1475" i="85"/>
  <c r="C1307" i="85"/>
  <c r="C692" i="85"/>
  <c r="C1473" i="85"/>
  <c r="C1747" i="85"/>
  <c r="C1353" i="85"/>
  <c r="C1035" i="85"/>
  <c r="C680" i="85"/>
  <c r="C370" i="85"/>
  <c r="C864" i="85"/>
  <c r="C1173" i="85"/>
  <c r="C1799" i="85"/>
  <c r="C968" i="85"/>
  <c r="C1753" i="85"/>
  <c r="C581" i="85"/>
  <c r="C54" i="85"/>
  <c r="C1891" i="85"/>
  <c r="C1520" i="85"/>
  <c r="C1714" i="85"/>
  <c r="C1351" i="85"/>
  <c r="C1934" i="85"/>
  <c r="C439" i="85"/>
  <c r="C1125" i="85"/>
  <c r="C406" i="85"/>
  <c r="C1043" i="85"/>
  <c r="C1669" i="85"/>
  <c r="C1945" i="85"/>
  <c r="C58" i="85"/>
  <c r="C239" i="85"/>
  <c r="C278" i="85"/>
  <c r="C1041" i="85"/>
  <c r="C291" i="85"/>
  <c r="C1722" i="85"/>
  <c r="C1620" i="85"/>
  <c r="C792" i="85"/>
  <c r="C718" i="85"/>
  <c r="C301" i="85"/>
  <c r="C351" i="85"/>
  <c r="C1021" i="85"/>
  <c r="C1877" i="85"/>
  <c r="C327" i="85"/>
  <c r="C1426" i="85"/>
  <c r="C1546" i="85"/>
  <c r="C876" i="85"/>
  <c r="C1289" i="85"/>
  <c r="C1386" i="85"/>
  <c r="C1274" i="85"/>
  <c r="C887" i="85"/>
  <c r="C585" i="85"/>
  <c r="C1992" i="85"/>
  <c r="C1024" i="85"/>
  <c r="C211" i="85"/>
  <c r="C443" i="85"/>
  <c r="C392" i="85"/>
  <c r="C59" i="85"/>
  <c r="C1844" i="85"/>
  <c r="C801" i="85"/>
  <c r="C1177" i="85"/>
  <c r="C620" i="85"/>
  <c r="C660" i="85"/>
  <c r="C642" i="85"/>
  <c r="C890" i="85"/>
  <c r="C1912" i="85"/>
  <c r="C1181" i="85"/>
  <c r="C1060" i="85"/>
  <c r="C217" i="85"/>
  <c r="C1311" i="85"/>
  <c r="C1457" i="85"/>
  <c r="C294" i="85"/>
  <c r="C84" i="85"/>
  <c r="C1229" i="85"/>
  <c r="C1355" i="85"/>
  <c r="C41" i="85"/>
  <c r="C1272" i="85"/>
  <c r="C229" i="85"/>
  <c r="C976" i="85"/>
  <c r="C1986" i="85"/>
  <c r="C1549" i="85"/>
  <c r="C1936" i="85"/>
  <c r="C1638" i="85"/>
  <c r="C417" i="85"/>
  <c r="C342" i="85"/>
  <c r="C1003" i="85"/>
  <c r="C908" i="85"/>
  <c r="C1474" i="85"/>
  <c r="C930" i="85"/>
  <c r="C414" i="85"/>
  <c r="C1088" i="85"/>
  <c r="C385" i="85"/>
  <c r="C1559" i="85"/>
  <c r="C1399" i="85"/>
  <c r="C1144" i="85"/>
  <c r="C1523" i="85"/>
  <c r="C1789" i="85"/>
  <c r="C499" i="85"/>
  <c r="C1951" i="85"/>
  <c r="C285" i="85"/>
  <c r="C397" i="85"/>
  <c r="C641" i="85"/>
  <c r="C1227" i="85"/>
  <c r="C463" i="85"/>
  <c r="C1078" i="85"/>
  <c r="C1251" i="85"/>
  <c r="C1824" i="85"/>
  <c r="C80" i="85"/>
  <c r="C892" i="85"/>
  <c r="C1554" i="85"/>
  <c r="C1993" i="85"/>
  <c r="C940" i="85"/>
  <c r="C539" i="85"/>
  <c r="C299" i="85"/>
  <c r="C608" i="85"/>
  <c r="C1332" i="85"/>
  <c r="C1644" i="85"/>
  <c r="C455" i="85"/>
  <c r="C1275" i="85"/>
  <c r="C853" i="85"/>
  <c r="C52" i="85"/>
  <c r="C1352" i="85"/>
  <c r="C1398" i="85"/>
  <c r="C1825" i="85"/>
  <c r="C679" i="85"/>
  <c r="C944" i="85"/>
  <c r="C1235" i="85"/>
  <c r="C1300" i="85"/>
  <c r="C535" i="85"/>
  <c r="C1137" i="85"/>
  <c r="C275" i="85"/>
  <c r="C1396" i="85"/>
  <c r="C1185" i="85"/>
  <c r="C516" i="85"/>
  <c r="C1668" i="85"/>
  <c r="C1346" i="85"/>
  <c r="C1767" i="85"/>
  <c r="C1898" i="85"/>
  <c r="C434" i="85"/>
  <c r="C338" i="85"/>
  <c r="C379" i="85"/>
  <c r="C1488" i="85"/>
  <c r="C1268" i="85"/>
  <c r="C1010" i="85"/>
  <c r="C1265" i="85"/>
  <c r="C612" i="85"/>
  <c r="C984" i="85"/>
  <c r="C1666" i="85"/>
  <c r="C1080" i="85"/>
  <c r="C470" i="85"/>
  <c r="C1783" i="85"/>
  <c r="C1262" i="85"/>
  <c r="C1920" i="85"/>
  <c r="C1781" i="85"/>
  <c r="C731" i="85"/>
  <c r="C1320" i="85"/>
  <c r="C1512" i="85"/>
  <c r="C415" i="85"/>
  <c r="C1640" i="85"/>
  <c r="C1420" i="85"/>
  <c r="C966" i="85"/>
  <c r="C391" i="85"/>
  <c r="C1863" i="85"/>
  <c r="C1189" i="85"/>
  <c r="C868" i="85"/>
  <c r="C1459" i="85"/>
  <c r="C687" i="85"/>
  <c r="C519" i="85"/>
  <c r="C1341" i="85"/>
  <c r="C1757" i="85"/>
  <c r="C1741" i="85"/>
  <c r="C867" i="85"/>
  <c r="C1366" i="85"/>
  <c r="C611" i="85"/>
  <c r="C306" i="85"/>
  <c r="C1214" i="85"/>
  <c r="C857" i="85"/>
  <c r="C1560" i="85"/>
  <c r="C717" i="85"/>
  <c r="C1072" i="85"/>
  <c r="C1237" i="85"/>
  <c r="C1853" i="85"/>
  <c r="C120" i="85"/>
  <c r="C752" i="85"/>
  <c r="C435" i="85"/>
  <c r="C1312" i="85"/>
  <c r="C1776" i="85"/>
  <c r="C1831" i="85"/>
  <c r="C1682" i="85"/>
  <c r="C1119" i="85"/>
  <c r="C1627" i="85"/>
  <c r="C1124" i="85"/>
  <c r="C988" i="85"/>
  <c r="C1499" i="85"/>
  <c r="C875" i="85"/>
  <c r="C1861" i="85"/>
  <c r="C1689" i="85"/>
  <c r="C920" i="85"/>
  <c r="C813" i="85"/>
  <c r="C497" i="85"/>
  <c r="C541" i="85"/>
  <c r="C677" i="85"/>
  <c r="C835" i="85"/>
  <c r="C1681" i="85"/>
  <c r="C1982" i="85"/>
  <c r="C1726" i="85"/>
  <c r="C1963" i="85"/>
  <c r="C1693" i="85"/>
  <c r="C947" i="85"/>
  <c r="C1550" i="85"/>
  <c r="C1943" i="85"/>
  <c r="C380" i="85"/>
  <c r="C465" i="85"/>
  <c r="C971" i="85"/>
  <c r="C1924" i="85"/>
  <c r="C632" i="85"/>
  <c r="C1458" i="85"/>
  <c r="C1539" i="85"/>
  <c r="C977" i="85"/>
  <c r="C1882" i="85"/>
  <c r="C573" i="85"/>
  <c r="C1286" i="85"/>
  <c r="C1236" i="85"/>
  <c r="C1061" i="85"/>
  <c r="C523" i="85"/>
  <c r="C758" i="85"/>
  <c r="C1331" i="85"/>
  <c r="C1735" i="85"/>
  <c r="C408" i="85"/>
  <c r="C588" i="85"/>
  <c r="C1069" i="85"/>
  <c r="C978" i="85"/>
  <c r="C625" i="85"/>
  <c r="C1715" i="85"/>
  <c r="C1758" i="85"/>
  <c r="C453" i="85"/>
  <c r="C1979" i="85"/>
  <c r="C1429" i="85"/>
  <c r="C1730" i="85"/>
  <c r="C1345" i="85"/>
  <c r="C233" i="85"/>
  <c r="C1971" i="85"/>
  <c r="C821" i="85"/>
  <c r="C846" i="85"/>
  <c r="C1447" i="85"/>
  <c r="C420" i="85"/>
  <c r="C1791" i="85"/>
  <c r="C1918" i="85"/>
  <c r="C982" i="85"/>
  <c r="C1211" i="85"/>
  <c r="C652" i="85"/>
  <c r="C690" i="85"/>
  <c r="C1059" i="85"/>
  <c r="C1590" i="85"/>
  <c r="C881" i="85"/>
  <c r="C714" i="85"/>
  <c r="C712" i="85"/>
  <c r="C325" i="85"/>
  <c r="C1120" i="85"/>
  <c r="C1374" i="85"/>
  <c r="C962" i="85"/>
  <c r="C313" i="85"/>
  <c r="C559" i="85"/>
  <c r="C1822" i="85"/>
  <c r="C1385" i="85"/>
  <c r="C238" i="85"/>
  <c r="C1191" i="85"/>
  <c r="C548" i="85"/>
  <c r="C1973" i="85"/>
  <c r="C462" i="85"/>
  <c r="C1680" i="85"/>
  <c r="C1901" i="85"/>
  <c r="C1795" i="85"/>
  <c r="C1248" i="85"/>
  <c r="C1101" i="85"/>
  <c r="C711" i="85"/>
  <c r="C1030" i="85"/>
  <c r="C766" i="85"/>
  <c r="C287" i="85"/>
  <c r="C505" i="85"/>
  <c r="C816" i="85"/>
  <c r="C667" i="85"/>
  <c r="C316" i="85"/>
  <c r="C1875" i="85"/>
  <c r="C646" i="85"/>
  <c r="C806" i="85"/>
  <c r="C219" i="85"/>
  <c r="C94" i="85"/>
  <c r="C590" i="85"/>
  <c r="C471" i="85"/>
  <c r="C831" i="85"/>
  <c r="C1584" i="85"/>
  <c r="C1702" i="85"/>
  <c r="C1073" i="85"/>
  <c r="C448" i="85"/>
  <c r="C1821" i="85"/>
  <c r="C1736" i="85"/>
  <c r="C1152" i="85"/>
  <c r="C1070" i="85"/>
  <c r="C227" i="85"/>
  <c r="C1204" i="85"/>
  <c r="C917" i="85"/>
  <c r="C184" i="85"/>
  <c r="C237" i="85"/>
  <c r="C513" i="85"/>
  <c r="C1826" i="85"/>
  <c r="C798" i="85"/>
  <c r="C1409" i="85"/>
  <c r="C670" i="85"/>
  <c r="C263" i="85"/>
  <c r="C1545" i="85"/>
  <c r="C1931" i="85"/>
  <c r="C1438" i="85"/>
  <c r="C1029" i="85"/>
  <c r="C1626" i="85"/>
  <c r="C336" i="85"/>
  <c r="C1308" i="85"/>
  <c r="C1756" i="85"/>
  <c r="C843" i="85"/>
  <c r="C1106" i="85"/>
  <c r="C375" i="85"/>
  <c r="C1683" i="85"/>
  <c r="C779" i="85"/>
  <c r="C533" i="85"/>
  <c r="C599" i="85"/>
  <c r="C1313" i="85"/>
  <c r="C1857" i="85"/>
  <c r="C960" i="85"/>
  <c r="C339" i="85"/>
  <c r="C575" i="85"/>
  <c r="C1893" i="85"/>
  <c r="C1908" i="85"/>
  <c r="C1631" i="85"/>
  <c r="C451" i="85"/>
  <c r="C936" i="85"/>
  <c r="C1448" i="85"/>
  <c r="C891" i="85"/>
  <c r="C1566" i="85"/>
  <c r="C1905" i="85"/>
  <c r="C315" i="85"/>
  <c r="C355" i="85"/>
  <c r="C1956" i="85"/>
  <c r="C1255" i="85"/>
  <c r="C317" i="85"/>
  <c r="C1697" i="85"/>
  <c r="C1772" i="85"/>
  <c r="C666" i="85"/>
  <c r="C1198" i="85"/>
  <c r="C309" i="85"/>
  <c r="C411" i="85"/>
  <c r="C1302" i="85"/>
  <c r="C1325" i="85"/>
  <c r="C1902" i="85"/>
  <c r="C456" i="85"/>
  <c r="C431" i="85"/>
  <c r="C901" i="85"/>
  <c r="C1408" i="85"/>
  <c r="C1266" i="85"/>
  <c r="C383" i="85"/>
  <c r="C775" i="85"/>
  <c r="C1490" i="85"/>
  <c r="C331" i="85"/>
  <c r="C1897" i="85"/>
  <c r="C1483" i="85"/>
  <c r="C1494" i="85"/>
  <c r="C1884" i="85"/>
  <c r="C421" i="85"/>
  <c r="C1807" i="85"/>
  <c r="C1647" i="85"/>
  <c r="C1161" i="85"/>
  <c r="C1536" i="85"/>
  <c r="C1981" i="85"/>
  <c r="C1290" i="85"/>
  <c r="C1466" i="85"/>
  <c r="C1449" i="85"/>
  <c r="C1648" i="85"/>
  <c r="C1465" i="85"/>
  <c r="C1086" i="85"/>
  <c r="C1050" i="85"/>
  <c r="C206" i="85"/>
  <c r="C1679" i="85"/>
  <c r="C935" i="85"/>
  <c r="C1657" i="85"/>
  <c r="C399" i="85"/>
  <c r="C496" i="85"/>
  <c r="C1215" i="85"/>
  <c r="C589" i="85"/>
  <c r="C1338" i="85"/>
  <c r="C1625" i="85"/>
  <c r="C742" i="85"/>
  <c r="C1206" i="85"/>
  <c r="C1282" i="85"/>
  <c r="C1637" i="85"/>
  <c r="C1983" i="85"/>
  <c r="C255" i="85"/>
  <c r="C980" i="85"/>
  <c r="C1298" i="85"/>
  <c r="C1690" i="85"/>
  <c r="C1220" i="85"/>
  <c r="C1258" i="85"/>
  <c r="C931" i="85"/>
  <c r="C941" i="85"/>
  <c r="C1843" i="85"/>
  <c r="C264" i="85"/>
  <c r="C1147" i="85"/>
  <c r="C1095" i="85"/>
  <c r="C314" i="85"/>
  <c r="C196" i="85"/>
  <c r="C1182" i="85"/>
  <c r="C1405" i="85"/>
  <c r="C1257" i="85"/>
  <c r="C907" i="85"/>
  <c r="C1263" i="85"/>
  <c r="C349" i="85"/>
  <c r="C334" i="85"/>
  <c r="C897" i="85"/>
  <c r="C1787" i="85"/>
  <c r="C1984" i="85"/>
  <c r="C1965" i="85"/>
  <c r="C591" i="85"/>
  <c r="C832" i="85"/>
  <c r="C489" i="85"/>
  <c r="C1816" i="85"/>
  <c r="C1511" i="85"/>
  <c r="C1118" i="85"/>
  <c r="C1867" i="85"/>
  <c r="C1424" i="85"/>
  <c r="C1019" i="85"/>
  <c r="C1326" i="85"/>
  <c r="C1571" i="85"/>
  <c r="C357" i="85"/>
  <c r="C295" i="85"/>
  <c r="C1146" i="85"/>
  <c r="C1798" i="85"/>
  <c r="C341" i="85"/>
  <c r="C83" i="85"/>
  <c r="C235" i="85"/>
  <c r="C1864" i="85"/>
  <c r="C705" i="85"/>
  <c r="C1574" i="85"/>
  <c r="C1948" i="85"/>
  <c r="C124" i="85"/>
  <c r="C849" i="85"/>
  <c r="C566" i="85"/>
  <c r="C693" i="85"/>
  <c r="C1492" i="85"/>
  <c r="C1038" i="85"/>
  <c r="C1013" i="85"/>
  <c r="C1242" i="85"/>
  <c r="C1873" i="85"/>
  <c r="C683" i="85"/>
  <c r="C441" i="85"/>
  <c r="C1700" i="85"/>
  <c r="C1469" i="85"/>
  <c r="C1158" i="85"/>
  <c r="C1858" i="85"/>
  <c r="C789" i="85"/>
  <c r="C1509" i="85"/>
  <c r="C1321" i="85"/>
  <c r="C403" i="85"/>
  <c r="C925" i="85"/>
  <c r="C1151" i="85"/>
  <c r="C272" i="85"/>
  <c r="C633" i="85"/>
  <c r="C1684" i="85"/>
  <c r="C580" i="85"/>
  <c r="C852" i="85"/>
  <c r="C561" i="85"/>
  <c r="C1428" i="85"/>
  <c r="C1565" i="85"/>
  <c r="C840" i="85"/>
  <c r="C1532" i="85"/>
  <c r="C721" i="85"/>
  <c r="C1040" i="85"/>
  <c r="C804" i="85"/>
  <c r="C1966" i="85"/>
  <c r="C433" i="85"/>
  <c r="C848" i="85"/>
  <c r="C1435" i="85"/>
  <c r="C1953" i="85"/>
  <c r="C837" i="85"/>
  <c r="C635" i="85"/>
  <c r="C1949" i="85"/>
  <c r="C1558" i="85"/>
  <c r="C1958" i="85"/>
  <c r="C427" i="85"/>
  <c r="C423" i="85"/>
  <c r="C627" i="85"/>
  <c r="C1678" i="85"/>
  <c r="C614" i="85"/>
  <c r="C1107" i="85"/>
  <c r="C1464" i="85"/>
  <c r="C1141" i="85"/>
  <c r="C688" i="85"/>
  <c r="C812" i="85"/>
  <c r="C1604" i="85"/>
  <c r="C648" i="85"/>
  <c r="C656" i="85"/>
  <c r="C1707" i="85"/>
  <c r="C765" i="85"/>
  <c r="C1292" i="85"/>
  <c r="C350" i="85"/>
  <c r="C1660" i="85"/>
  <c r="C1624" i="85"/>
  <c r="C201" i="85"/>
  <c r="C199" i="85"/>
  <c r="C312" i="85"/>
  <c r="C1226" i="85"/>
  <c r="C122" i="85"/>
  <c r="C1155" i="85"/>
  <c r="C703" i="85"/>
  <c r="C1246" i="85"/>
  <c r="C1513" i="85"/>
  <c r="C1932" i="85"/>
  <c r="C729" i="85"/>
  <c r="C1044" i="85"/>
  <c r="C128" i="85"/>
  <c r="C69" i="85"/>
  <c r="C709" i="85"/>
  <c r="C1188" i="85"/>
  <c r="C1769" i="85"/>
  <c r="C551" i="85"/>
  <c r="C999" i="85"/>
  <c r="C1371" i="85"/>
  <c r="C190" i="85"/>
  <c r="C1018" i="85"/>
  <c r="C1416" i="85"/>
  <c r="C1389" i="85"/>
  <c r="C1596" i="85"/>
  <c r="C739" i="85"/>
  <c r="C461" i="85"/>
  <c r="C737" i="85"/>
  <c r="C469" i="85"/>
  <c r="C809" i="85"/>
  <c r="C605" i="85"/>
  <c r="C606" i="85"/>
  <c r="C600" i="85"/>
  <c r="C1476" i="85"/>
  <c r="C1526" i="85"/>
  <c r="C262" i="85"/>
  <c r="C1779" i="85"/>
  <c r="C1478" i="85"/>
  <c r="C1496" i="85"/>
  <c r="C240" i="85"/>
  <c r="C1344" i="85"/>
  <c r="C1390" i="85"/>
  <c r="C1497" i="85"/>
  <c r="C296" i="85"/>
  <c r="C662" i="85"/>
  <c r="C1434" i="85"/>
  <c r="C1048" i="85"/>
  <c r="C474" i="85"/>
  <c r="C902" i="85"/>
  <c r="C916" i="85"/>
  <c r="C1380" i="85"/>
  <c r="C719" i="85"/>
  <c r="C486" i="85"/>
  <c r="C1592" i="85"/>
  <c r="C1676" i="85"/>
  <c r="C808" i="85"/>
  <c r="C1698" i="85"/>
  <c r="C1042" i="85"/>
  <c r="C343" i="85"/>
  <c r="C1749" i="85"/>
  <c r="C1244" i="85"/>
  <c r="C1724" i="85"/>
  <c r="C29" i="85"/>
  <c r="C1547" i="85"/>
  <c r="C1817" i="85"/>
  <c r="C1909" i="85"/>
  <c r="C1217" i="85"/>
  <c r="C1892" i="85"/>
  <c r="C707" i="85"/>
  <c r="C468" i="85"/>
  <c r="C365" i="85"/>
  <c r="C311" i="85"/>
  <c r="C426" i="85"/>
  <c r="C1194" i="85"/>
  <c r="C786" i="85"/>
  <c r="C1582" i="85"/>
  <c r="C1445" i="85"/>
  <c r="C906" i="85"/>
  <c r="C866" i="85"/>
  <c r="C774" i="85"/>
  <c r="C1165" i="85"/>
  <c r="C1876" i="85"/>
  <c r="C1922" i="85"/>
  <c r="C1303" i="85"/>
  <c r="C1507" i="85"/>
  <c r="C1451" i="85"/>
  <c r="C1777" i="85"/>
  <c r="C378" i="85"/>
  <c r="C250" i="85"/>
  <c r="C1838" i="85"/>
  <c r="C1037" i="85"/>
  <c r="C1868" i="85"/>
  <c r="C601" i="85"/>
  <c r="C1639" i="85"/>
  <c r="C222" i="85"/>
  <c r="C176" i="85"/>
  <c r="C1685" i="85"/>
  <c r="C1578" i="85"/>
  <c r="C1618" i="85"/>
  <c r="C1895" i="85"/>
  <c r="C1223" i="85"/>
  <c r="C826" i="85"/>
  <c r="C464" i="85"/>
  <c r="C491" i="85"/>
  <c r="C410" i="85"/>
  <c r="C200" i="85"/>
  <c r="C880" i="85"/>
  <c r="C366" i="85"/>
  <c r="C1415" i="85"/>
  <c r="C1878" i="85"/>
  <c r="C1569" i="85"/>
  <c r="C436" i="85"/>
  <c r="C1081" i="85"/>
  <c r="C192" i="85"/>
  <c r="C1785" i="85"/>
  <c r="C1132" i="85"/>
  <c r="C1007" i="85"/>
  <c r="C1367" i="85"/>
  <c r="C249" i="85"/>
  <c r="C603" i="85"/>
  <c r="C205" i="85"/>
  <c r="C838" i="85"/>
  <c r="C1254" i="85"/>
  <c r="C1491" i="85"/>
  <c r="C198" i="85"/>
  <c r="C407" i="85"/>
  <c r="C1860" i="85"/>
  <c r="C972" i="85"/>
  <c r="C1906" i="85"/>
  <c r="C1593" i="85"/>
  <c r="C824" i="85"/>
  <c r="C1886" i="85"/>
  <c r="C610" i="85"/>
  <c r="C995" i="85"/>
  <c r="C1324" i="85"/>
  <c r="C845" i="85"/>
  <c r="C1046" i="85"/>
  <c r="C597" i="85"/>
  <c r="C1000" i="85"/>
  <c r="C1694" i="85"/>
  <c r="C1200" i="85"/>
  <c r="C381" i="85"/>
  <c r="C556" i="85"/>
  <c r="C996" i="85"/>
  <c r="C1208" i="85"/>
  <c r="C1067" i="85"/>
  <c r="C1622" i="85"/>
  <c r="C889" i="85"/>
  <c r="C851" i="85"/>
  <c r="C1706" i="85"/>
  <c r="C1360" i="85"/>
  <c r="C975" i="85"/>
  <c r="C1552" i="85"/>
  <c r="C1388" i="85"/>
  <c r="C1347" i="85"/>
  <c r="C1598" i="85"/>
  <c r="C232" i="85"/>
  <c r="C518" i="85"/>
  <c r="C1160" i="85"/>
  <c r="C1957" i="85"/>
  <c r="C834" i="85"/>
  <c r="C1589" i="85"/>
  <c r="C1203" i="85"/>
  <c r="C896" i="85"/>
  <c r="C1505" i="85"/>
  <c r="C886" i="85"/>
  <c r="C579" i="85"/>
  <c r="C1970" i="85"/>
  <c r="C787" i="85"/>
  <c r="C546" i="85"/>
  <c r="C672" i="85"/>
  <c r="C1343" i="85"/>
  <c r="C953" i="85"/>
  <c r="C1830" i="85"/>
  <c r="C216" i="85"/>
  <c r="C472" i="85"/>
  <c r="C1665" i="85"/>
  <c r="C223" i="85"/>
  <c r="C430" i="85"/>
  <c r="C1425" i="85"/>
  <c r="C1052" i="85"/>
  <c r="C484" i="85"/>
  <c r="C1110" i="85"/>
  <c r="C332" i="85"/>
  <c r="C1083" i="85"/>
  <c r="C1471" i="85"/>
  <c r="C221" i="85"/>
  <c r="C700" i="85"/>
  <c r="C353" i="85"/>
  <c r="C1121" i="85"/>
  <c r="C322" i="85"/>
  <c r="C1744" i="85"/>
  <c r="C246" i="85"/>
  <c r="C1562" i="85"/>
  <c r="C773" i="85"/>
  <c r="C797" i="85"/>
  <c r="C1959" i="85"/>
  <c r="C1463" i="85"/>
  <c r="C354" i="85"/>
  <c r="C1852" i="85"/>
  <c r="C377" i="85"/>
  <c r="C638" i="85"/>
  <c r="C945" i="85"/>
  <c r="C1159" i="85"/>
  <c r="C623" i="85"/>
  <c r="C807" i="85"/>
  <c r="C885" i="85"/>
  <c r="C961" i="85"/>
  <c r="C1006" i="85"/>
  <c r="C1942" i="85"/>
  <c r="C1486" i="85"/>
  <c r="C526" i="85"/>
  <c r="C822" i="85"/>
  <c r="C1793" i="85"/>
  <c r="C637" i="85"/>
  <c r="C358" i="85"/>
  <c r="C933" i="85"/>
  <c r="C1533" i="85"/>
  <c r="C1273" i="85"/>
  <c r="C1677" i="85"/>
  <c r="C791" i="85"/>
  <c r="C203" i="85"/>
  <c r="C1568" i="85"/>
  <c r="C369" i="85"/>
  <c r="C1974" i="85"/>
  <c r="C457" i="85"/>
  <c r="C1563" i="85"/>
  <c r="C1797" i="85"/>
  <c r="C500" i="85"/>
  <c r="C1423" i="85"/>
  <c r="C823" i="85"/>
  <c r="C1916" i="85"/>
  <c r="C1058" i="85"/>
  <c r="C647" i="85"/>
  <c r="C1609" i="85"/>
  <c r="C882" i="85"/>
  <c r="C1074" i="85"/>
  <c r="C1180" i="85"/>
  <c r="C1845" i="85"/>
  <c r="C783" i="85"/>
  <c r="C735" i="85"/>
  <c r="C1696" i="85"/>
  <c r="C1564" i="85"/>
  <c r="C1703" i="85"/>
  <c r="C552" i="85"/>
  <c r="C446" i="85"/>
  <c r="C1455" i="85"/>
  <c r="C1011" i="85"/>
  <c r="C776" i="85"/>
  <c r="C553" i="85"/>
  <c r="C1213" i="85"/>
  <c r="C373" i="85"/>
  <c r="C1169" i="85"/>
  <c r="C1770" i="85"/>
  <c r="C81" i="85"/>
  <c r="C1026" i="85"/>
  <c r="C722" i="85"/>
  <c r="C669" i="85"/>
  <c r="C1788" i="85"/>
  <c r="C1686" i="85"/>
  <c r="C1933" i="85"/>
  <c r="C79" i="85"/>
  <c r="C398" i="85"/>
  <c r="C1508" i="85"/>
  <c r="C1667" i="85"/>
  <c r="C329" i="85"/>
  <c r="C1150" i="85"/>
  <c r="C170" i="85"/>
  <c r="C1636" i="85"/>
  <c r="C1174" i="85"/>
  <c r="C1829" i="85"/>
  <c r="C772" i="85"/>
  <c r="C1049" i="85"/>
  <c r="C168" i="85"/>
  <c r="C1334" i="85"/>
  <c r="C1193" i="85"/>
  <c r="C1656" i="85"/>
  <c r="C1608" i="85"/>
  <c r="C1117" i="85"/>
  <c r="C425" i="85"/>
  <c r="C924" i="85"/>
  <c r="C1001" i="85"/>
  <c r="C429" i="85"/>
  <c r="C242" i="85"/>
  <c r="C514" i="85"/>
  <c r="C364" i="85"/>
  <c r="C1514" i="85"/>
  <c r="C1228" i="85"/>
  <c r="C1400" i="85"/>
  <c r="C943" i="85"/>
  <c r="C992" i="85"/>
  <c r="C346" i="85"/>
  <c r="C1135" i="85"/>
  <c r="C1148" i="85"/>
  <c r="C302" i="85"/>
  <c r="C1172" i="85"/>
  <c r="C1468" i="85"/>
  <c r="C1375" i="85"/>
  <c r="C728" i="85"/>
  <c r="C1442" i="85"/>
  <c r="C554" i="85"/>
  <c r="C651" i="85"/>
  <c r="C1318" i="85"/>
  <c r="C1524" i="85"/>
  <c r="C1944" i="85"/>
  <c r="C2000" i="85"/>
  <c r="C1250" i="85"/>
  <c r="C1100" i="85"/>
  <c r="C1337" i="85"/>
  <c r="C186" i="85"/>
  <c r="C487" i="85"/>
  <c r="C1850" i="85"/>
  <c r="C1249" i="85"/>
  <c r="C1937" i="85"/>
  <c r="C545" i="85"/>
  <c r="C572" i="85"/>
  <c r="C1759" i="85"/>
  <c r="C1186" i="85"/>
  <c r="C530" i="85"/>
  <c r="C586" i="85"/>
  <c r="C678" i="85"/>
  <c r="C1099" i="85"/>
  <c r="C234" i="85"/>
  <c r="C1387" i="85"/>
  <c r="C1616" i="85"/>
  <c r="C458" i="85"/>
  <c r="C626" i="85"/>
  <c r="C1602" i="85"/>
  <c r="C1518" i="85"/>
  <c r="C428" i="85"/>
  <c r="C592" i="85"/>
  <c r="C1350" i="85"/>
  <c r="C1233" i="85"/>
  <c r="C400" i="85"/>
  <c r="C330" i="85"/>
  <c r="C1553" i="85"/>
  <c r="C909" i="85"/>
  <c r="C1036" i="85"/>
  <c r="C938" i="85"/>
  <c r="C540" i="85"/>
  <c r="C207" i="85"/>
  <c r="C502" i="85"/>
  <c r="C657" i="85"/>
  <c r="C536" i="85"/>
  <c r="C212" i="85"/>
  <c r="C1349" i="85"/>
  <c r="C1170" i="85"/>
  <c r="C900" i="85"/>
  <c r="C1276" i="85"/>
  <c r="C767" i="85"/>
  <c r="C236" i="85"/>
  <c r="C744" i="85"/>
  <c r="C277" i="85"/>
  <c r="C1742" i="85"/>
  <c r="C1784" i="85"/>
  <c r="C1028" i="85"/>
  <c r="C1314" i="85"/>
  <c r="C1990" i="85"/>
  <c r="C957" i="85"/>
  <c r="C1739" i="85"/>
  <c r="C1280" i="85"/>
  <c r="C1764" i="85"/>
  <c r="C1288" i="85"/>
  <c r="C258" i="85"/>
  <c r="C795" i="85"/>
  <c r="C1062" i="85"/>
  <c r="C1576" i="85"/>
  <c r="C243" i="85"/>
  <c r="C560" i="85"/>
  <c r="C1130" i="85"/>
  <c r="C1939" i="85"/>
  <c r="C970" i="85"/>
  <c r="C1811" i="85"/>
  <c r="C1607" i="85"/>
  <c r="C1365" i="85"/>
  <c r="C1587" i="85"/>
  <c r="C777" i="85"/>
  <c r="C1066" i="85"/>
  <c r="C1531" i="85"/>
  <c r="C511" i="85"/>
  <c r="C298" i="85"/>
  <c r="C827" i="85"/>
  <c r="C179" i="85"/>
  <c r="C619" i="85"/>
  <c r="C785" i="85"/>
  <c r="C689" i="85"/>
  <c r="C706" i="85"/>
  <c r="C1610" i="85"/>
  <c r="C1567" i="85"/>
  <c r="C658" i="85"/>
  <c r="C959" i="85"/>
  <c r="C1481" i="85"/>
  <c r="C215" i="85"/>
  <c r="C34" i="85"/>
  <c r="C1723" i="85"/>
  <c r="C1247" i="85"/>
  <c r="C893" i="85"/>
  <c r="C1810" i="85"/>
  <c r="C1397" i="85"/>
  <c r="C395" i="85"/>
  <c r="C1377" i="85"/>
  <c r="C781" i="85"/>
  <c r="C1134" i="85"/>
  <c r="C1241" i="85"/>
  <c r="C337" i="85"/>
  <c r="C583" i="85"/>
  <c r="C1047" i="85"/>
  <c r="C749" i="85"/>
  <c r="C189" i="85"/>
  <c r="C1489" i="85"/>
  <c r="C1440" i="85"/>
  <c r="C438" i="85"/>
  <c r="C1480" i="85"/>
  <c r="C1653" i="85"/>
  <c r="C613" i="85"/>
  <c r="C1340" i="85"/>
  <c r="C1112" i="85"/>
  <c r="C1102" i="85"/>
  <c r="C494" i="85"/>
  <c r="C1617" i="85"/>
  <c r="C1727" i="85"/>
  <c r="C609" i="85"/>
  <c r="C1306" i="85"/>
  <c r="C1284" i="85"/>
  <c r="C1719" i="85"/>
  <c r="C863" i="85"/>
  <c r="C1888" i="85"/>
  <c r="C1252" i="85"/>
  <c r="C209" i="85"/>
  <c r="C35" i="85"/>
  <c r="C1084" i="85"/>
  <c r="C1515" i="85"/>
  <c r="C1763" i="85"/>
  <c r="C1662" i="85"/>
  <c r="C1092" i="85"/>
  <c r="C914" i="85"/>
  <c r="C1133" i="85"/>
  <c r="C919" i="85"/>
  <c r="C698" i="85"/>
  <c r="C1401" i="85"/>
  <c r="C1164" i="85"/>
  <c r="C829" i="85"/>
  <c r="C682" i="85"/>
  <c r="C1516" i="85"/>
  <c r="C1414" i="85"/>
  <c r="C1812" i="85"/>
  <c r="C842" i="85"/>
  <c r="C1184" i="85"/>
  <c r="C1977" i="85"/>
  <c r="C888" i="85"/>
  <c r="C645" i="85"/>
  <c r="C894" i="85"/>
  <c r="C616" i="85"/>
  <c r="C1823" i="85"/>
  <c r="C825" i="85"/>
  <c r="C528" i="85"/>
  <c r="C490" i="85"/>
  <c r="C1297" i="85"/>
  <c r="C1441" i="85"/>
  <c r="C1418" i="85"/>
  <c r="C1219" i="85"/>
  <c r="C333" i="85"/>
  <c r="C1628" i="85"/>
  <c r="C655" i="85"/>
  <c r="C1917" i="85"/>
  <c r="C538" i="85"/>
  <c r="C1695" i="85"/>
  <c r="C839" i="85"/>
  <c r="C802" i="85"/>
  <c r="C1243" i="85"/>
  <c r="C1600" i="85"/>
  <c r="C1840" i="85"/>
  <c r="C549" i="85"/>
  <c r="C256" i="85"/>
  <c r="C650" i="85"/>
  <c r="C1427" i="85"/>
  <c r="C321" i="85"/>
  <c r="C1964" i="85"/>
  <c r="C800" i="85"/>
  <c r="C1055" i="85"/>
  <c r="C1054" i="85"/>
  <c r="C1269" i="85"/>
  <c r="C432" i="85"/>
  <c r="C476" i="85"/>
  <c r="C1661" i="85"/>
  <c r="C1034" i="85"/>
  <c r="C515" i="85"/>
  <c r="C512" i="85"/>
  <c r="C1510" i="85"/>
  <c r="C1460" i="85"/>
  <c r="C1842" i="85"/>
  <c r="C524" i="85"/>
  <c r="C1500" i="85"/>
  <c r="C1433" i="85"/>
  <c r="C509" i="85"/>
  <c r="C671" i="85"/>
  <c r="C874" i="85"/>
  <c r="C659" i="85"/>
  <c r="C1614" i="85"/>
  <c r="C685" i="85"/>
  <c r="C1586" i="85"/>
  <c r="C1199" i="85"/>
  <c r="C994" i="85"/>
  <c r="C1792" i="85"/>
  <c r="C817" i="85"/>
  <c r="C1456" i="85"/>
  <c r="C1705" i="85"/>
  <c r="C247" i="85"/>
  <c r="C1368" i="85"/>
  <c r="C743" i="85"/>
  <c r="C1725" i="85"/>
  <c r="C300" i="85"/>
  <c r="C730" i="85"/>
  <c r="C1348" i="85"/>
  <c r="C810" i="85"/>
  <c r="C621" i="85"/>
  <c r="C751" i="85"/>
  <c r="C568" i="85"/>
  <c r="C1032" i="85"/>
  <c r="C1261" i="85"/>
  <c r="C696" i="85"/>
  <c r="C1713" i="85"/>
  <c r="C1629" i="85"/>
  <c r="C372" i="85"/>
  <c r="C1980" i="85"/>
  <c r="C1890" i="85"/>
  <c r="C1085" i="85"/>
  <c r="C769" i="85"/>
  <c r="C1740" i="85"/>
  <c r="C248" i="85"/>
  <c r="C910" i="85"/>
  <c r="C1802" i="85"/>
  <c r="C1819" i="85"/>
  <c r="C1597" i="85"/>
  <c r="C756" i="85"/>
  <c r="C1581" i="85"/>
  <c r="C1362" i="85"/>
  <c r="C578" i="85"/>
  <c r="C746" i="85"/>
  <c r="C724" i="85"/>
  <c r="C1517" i="85"/>
  <c r="C674" i="85"/>
  <c r="C1114" i="85"/>
  <c r="C1967" i="85"/>
  <c r="C473" i="85"/>
  <c r="C1305" i="85"/>
  <c r="C922" i="85"/>
  <c r="C1782" i="85"/>
  <c r="C1987" i="85"/>
  <c r="C1849" i="85"/>
  <c r="C1889" i="85"/>
  <c r="C1079" i="85"/>
  <c r="C178" i="85"/>
  <c r="C1304" i="85"/>
  <c r="C1369" i="85"/>
  <c r="C1231" i="85"/>
  <c r="C1786" i="85"/>
  <c r="C1407" i="85"/>
  <c r="C1525" i="85"/>
  <c r="C517" i="85"/>
  <c r="C562" i="85"/>
  <c r="C1153" i="85"/>
  <c r="C293" i="85"/>
  <c r="C1033" i="85"/>
  <c r="C1687" i="85"/>
  <c r="C615" i="85"/>
  <c r="C820" i="85"/>
  <c r="C118" i="85"/>
  <c r="C814" i="85"/>
  <c r="C673" i="85"/>
  <c r="C271" i="85"/>
  <c r="C1446" i="85"/>
  <c r="C942" i="85"/>
  <c r="C450" i="85"/>
  <c r="C1733" i="85"/>
  <c r="C668" i="85"/>
  <c r="C1855" i="85"/>
  <c r="C850" i="85"/>
  <c r="C1065" i="85"/>
  <c r="C1395" i="85"/>
  <c r="C61" i="85"/>
  <c r="C1880" i="85"/>
  <c r="C534" i="85"/>
  <c r="C67" i="85"/>
  <c r="C363" i="85"/>
  <c r="C1734" i="85"/>
  <c r="C979" i="85"/>
  <c r="C860" i="85"/>
  <c r="C475" i="85"/>
  <c r="C1143" i="85"/>
  <c r="C1664" i="85"/>
  <c r="C1709" i="85"/>
  <c r="C1717" i="85"/>
  <c r="C1879" i="85"/>
  <c r="C898" i="85"/>
  <c r="C1103" i="85"/>
  <c r="C1731" i="85"/>
  <c r="C1929" i="85"/>
  <c r="C1573" i="85"/>
  <c r="C1299" i="85"/>
  <c r="C1519" i="85"/>
  <c r="C998" i="85"/>
  <c r="C1940" i="85"/>
  <c r="C1127" i="85"/>
  <c r="C1836" i="85"/>
  <c r="C218" i="85"/>
  <c r="C1285" i="85"/>
  <c r="C1376" i="85"/>
  <c r="C879" i="85"/>
  <c r="C1222" i="85"/>
  <c r="C268" i="85"/>
  <c r="C1232" i="85"/>
  <c r="C1866" i="85"/>
  <c r="C748" i="85"/>
  <c r="C182" i="85"/>
  <c r="C967" i="85"/>
  <c r="C374" i="85"/>
  <c r="C1820" i="85"/>
  <c r="C681" i="85"/>
  <c r="C1885" i="85"/>
  <c r="C1619" i="85"/>
  <c r="C396" i="85"/>
  <c r="C442" i="85"/>
  <c r="C762" i="85"/>
  <c r="C1403" i="85"/>
  <c r="C231" i="85"/>
  <c r="C76" i="85"/>
  <c r="C1701" i="85"/>
  <c r="C1833" i="85"/>
  <c r="C1923" i="85"/>
  <c r="C1098" i="85"/>
  <c r="C740" i="85"/>
  <c r="C1039" i="85"/>
  <c r="C266" i="85"/>
  <c r="C1315" i="85"/>
  <c r="C1404" i="85"/>
  <c r="C927" i="85"/>
  <c r="C1224" i="85"/>
  <c r="C1801" i="85"/>
  <c r="C485" i="85"/>
  <c r="C1259" i="85"/>
  <c r="C1157" i="85"/>
  <c r="C547" i="85"/>
  <c r="C1710" i="85"/>
  <c r="C948" i="85"/>
  <c r="C1278" i="85"/>
  <c r="C1530" i="85"/>
  <c r="C1588" i="85"/>
  <c r="C467" i="85"/>
  <c r="C1109" i="85"/>
  <c r="C1506" i="85"/>
  <c r="C644" i="85"/>
  <c r="C1615" i="85"/>
  <c r="C990" i="85"/>
  <c r="C713" i="85"/>
  <c r="C1670" i="85"/>
  <c r="C702" i="85"/>
  <c r="C1319" i="85"/>
  <c r="C413" i="85"/>
  <c r="C1851" i="85"/>
  <c r="C736" i="85"/>
  <c r="C1113" i="85"/>
  <c r="C56" i="85"/>
  <c r="C989" i="85"/>
  <c r="C292" i="85"/>
  <c r="C1806" i="85"/>
  <c r="C1295" i="85"/>
  <c r="C1928" i="85"/>
  <c r="C819" i="85"/>
  <c r="C1671" i="85"/>
  <c r="C587" i="85"/>
  <c r="C93" i="85"/>
  <c r="C1754" i="85"/>
  <c r="C1209" i="85"/>
  <c r="C1748" i="85"/>
  <c r="C418" i="85"/>
  <c r="C1871" i="85"/>
  <c r="C747" i="85"/>
  <c r="C1283" i="85"/>
  <c r="C1008" i="85"/>
  <c r="C47" i="85"/>
  <c r="C1470" i="85"/>
  <c r="C1056" i="85"/>
  <c r="C1156" i="85"/>
  <c r="C987" i="85"/>
  <c r="C951" i="85"/>
  <c r="C858" i="85"/>
  <c r="C344" i="85"/>
  <c r="C1538" i="85"/>
  <c r="C1611" i="85"/>
  <c r="C177" i="85"/>
  <c r="C1477" i="85"/>
  <c r="C818" i="85"/>
  <c r="C1378" i="85"/>
  <c r="C1358" i="85"/>
  <c r="C252" i="85"/>
  <c r="C323" i="85"/>
  <c r="C710" i="85"/>
  <c r="C872" i="85"/>
  <c r="C697" i="85"/>
  <c r="C955" i="85"/>
  <c r="C226" i="85"/>
  <c r="C946" i="85"/>
  <c r="C48" i="85"/>
  <c r="C958" i="85"/>
  <c r="C1761" i="85"/>
  <c r="C1642" i="85"/>
  <c r="C861" i="85"/>
  <c r="C1815" i="85"/>
  <c r="C1751" i="85"/>
  <c r="C390" i="85"/>
  <c r="C1865" i="85"/>
  <c r="C254" i="85"/>
  <c r="C1541" i="85"/>
  <c r="C763" i="85"/>
  <c r="C1323" i="85"/>
  <c r="C1790" i="85"/>
  <c r="C602" i="85"/>
  <c r="C1479" i="85"/>
  <c r="C444" i="85"/>
  <c r="C304" i="85"/>
  <c r="C1601" i="85"/>
  <c r="C1178" i="85"/>
  <c r="C1655" i="85"/>
  <c r="C1634" i="85"/>
  <c r="C1692" i="85"/>
  <c r="C520" i="85"/>
  <c r="C1975" i="85"/>
  <c r="C191" i="85"/>
  <c r="C1688" i="85"/>
  <c r="C1412" i="85"/>
  <c r="C699" i="85"/>
  <c r="C261" i="85"/>
  <c r="C865" i="85"/>
  <c r="C950" i="85"/>
  <c r="C1310" i="85"/>
  <c r="C1911" i="85"/>
  <c r="C1672" i="85"/>
  <c r="C695" i="85"/>
  <c r="C1839" i="85"/>
  <c r="C755" i="85"/>
  <c r="C847" i="85"/>
  <c r="C738" i="85"/>
  <c r="C1835" i="85"/>
  <c r="C1411" i="85"/>
  <c r="C1089" i="85"/>
  <c r="C1015" i="85"/>
  <c r="C1504" i="85"/>
  <c r="C308" i="85"/>
  <c r="C1641" i="85"/>
  <c r="C1808" i="85"/>
  <c r="C245" i="85"/>
  <c r="C803" i="85"/>
  <c r="C1183" i="85"/>
  <c r="C1577" i="85"/>
  <c r="C1111" i="85"/>
  <c r="C1279" i="85"/>
  <c r="C1027" i="85"/>
  <c r="C1755" i="85"/>
  <c r="C1658" i="85"/>
  <c r="C1774" i="85"/>
  <c r="C1154" i="85"/>
  <c r="C288" i="85"/>
  <c r="C926" i="85"/>
  <c r="C276" i="85"/>
  <c r="C174" i="85"/>
  <c r="C1585" i="85"/>
  <c r="C558" i="85"/>
  <c r="C1534" i="85"/>
  <c r="C1960" i="85"/>
  <c r="C1422" i="85"/>
  <c r="C1805" i="85"/>
  <c r="C1999" i="85"/>
  <c r="C1335" i="85"/>
  <c r="C1841" i="85"/>
  <c r="C367" i="85"/>
  <c r="C1580" i="85"/>
  <c r="C1105" i="85"/>
  <c r="C937" i="85"/>
  <c r="C508" i="85"/>
  <c r="C1594" i="85"/>
  <c r="C1605" i="85"/>
  <c r="C956" i="85"/>
  <c r="C1382" i="85"/>
  <c r="C1093" i="85"/>
  <c r="C1485" i="85"/>
  <c r="C565" i="85"/>
  <c r="C1128" i="85"/>
  <c r="C172" i="85"/>
  <c r="C1728" i="85"/>
  <c r="C563" i="85"/>
  <c r="C1745" i="85"/>
  <c r="C1862" i="85"/>
  <c r="C1995" i="85"/>
  <c r="C53" i="85"/>
  <c r="C1579" i="85"/>
  <c r="C576" i="85"/>
  <c r="C1149" i="85"/>
  <c r="C675" i="85"/>
  <c r="C1356" i="85"/>
  <c r="C723" i="85"/>
  <c r="C419" i="85"/>
  <c r="C1022" i="85"/>
  <c r="C394" i="85"/>
  <c r="C51" i="85"/>
  <c r="C913" i="85"/>
  <c r="C607" i="85"/>
  <c r="C1832" i="85"/>
  <c r="C1317" i="85"/>
  <c r="C691" i="85"/>
  <c r="C1238" i="85"/>
  <c r="C770" i="85"/>
  <c r="C279" i="85"/>
  <c r="C859" i="85"/>
  <c r="C1444" i="85"/>
  <c r="C283" i="85"/>
  <c r="C1691" i="85"/>
  <c r="C1915" i="85"/>
  <c r="C1595" i="85"/>
  <c r="C1991" i="85"/>
  <c r="C1847" i="85"/>
  <c r="C1327" i="85"/>
  <c r="C1057" i="85"/>
  <c r="C952" i="85"/>
  <c r="C871" i="85"/>
  <c r="C1800" i="85"/>
  <c r="C1002" i="85"/>
  <c r="C1450" i="85"/>
  <c r="C1014" i="85"/>
  <c r="C280" i="85"/>
  <c r="C544" i="85"/>
  <c r="C259" i="85"/>
  <c r="C1635" i="85"/>
  <c r="C260" i="85"/>
  <c r="C1818" i="85"/>
  <c r="C985" i="85"/>
  <c r="C1461" i="85"/>
  <c r="C704" i="85"/>
  <c r="C1205" i="85"/>
  <c r="C1837" i="85"/>
  <c r="C454" i="85"/>
  <c r="C197" i="85"/>
  <c r="C1383" i="85"/>
  <c r="C289" i="85"/>
  <c r="C1632" i="85"/>
  <c r="C360" i="85"/>
  <c r="C1935" i="85"/>
  <c r="C1712" i="85"/>
  <c r="C384" i="85"/>
  <c r="C634" i="85"/>
  <c r="C320" i="85"/>
  <c r="C811" i="85"/>
  <c r="C630" i="85"/>
  <c r="C701" i="85"/>
  <c r="C386" i="85"/>
  <c r="C1104" i="85"/>
  <c r="C1225" i="85"/>
  <c r="C274" i="85"/>
  <c r="C1218" i="85"/>
  <c r="C1361" i="85"/>
  <c r="C405" i="85"/>
  <c r="C1623" i="85"/>
  <c r="C1570" i="85"/>
  <c r="C1834" i="85"/>
  <c r="C393" i="85"/>
  <c r="C183" i="85"/>
  <c r="C1430" i="85"/>
  <c r="C1870" i="85"/>
  <c r="C918" i="85"/>
  <c r="C424" i="85"/>
  <c r="C208" i="85"/>
  <c r="C1762" i="85"/>
  <c r="C594" i="85"/>
  <c r="C878" i="85"/>
  <c r="C923" i="85"/>
  <c r="C1527" i="85"/>
  <c r="C483" i="85"/>
  <c r="C297" i="85"/>
  <c r="C169" i="85"/>
  <c r="C764" i="85"/>
  <c r="C1874" i="85"/>
  <c r="C949" i="85"/>
  <c r="C1896" i="85"/>
  <c r="C1583" i="85"/>
  <c r="C1803" i="85"/>
  <c r="C171" i="85"/>
  <c r="C284" i="85"/>
  <c r="C382" i="85"/>
  <c r="C66" i="85"/>
  <c r="C251" i="85"/>
  <c r="C1291" i="85"/>
  <c r="C1162" i="85"/>
  <c r="C181" i="85"/>
  <c r="C905" i="85"/>
  <c r="C510" i="85"/>
  <c r="C1016" i="85"/>
  <c r="C725" i="85"/>
  <c r="C507" i="85"/>
  <c r="C1809" i="85"/>
  <c r="C307" i="85"/>
  <c r="C1234" i="85"/>
  <c r="C241" i="85"/>
  <c r="C757" i="85"/>
  <c r="C877" i="85"/>
  <c r="C376" i="85"/>
  <c r="C799" i="85"/>
  <c r="C1068" i="85"/>
  <c r="C527" i="85"/>
  <c r="C477" i="85"/>
  <c r="C1985" i="85"/>
  <c r="C537" i="85"/>
  <c r="C504" i="85"/>
  <c r="C1651" i="85"/>
  <c r="C793" i="85"/>
  <c r="C328" i="85"/>
  <c r="C904" i="85"/>
  <c r="C501" i="85"/>
  <c r="C402" i="85"/>
  <c r="C1301" i="85"/>
  <c r="C347" i="85"/>
  <c r="C1336" i="85"/>
  <c r="C1201" i="85"/>
  <c r="C1711" i="85"/>
  <c r="C694" i="85"/>
  <c r="C750" i="85"/>
  <c r="C1760" i="85"/>
  <c r="C521" i="85"/>
  <c r="C356" i="85"/>
  <c r="C1663" i="85"/>
  <c r="C1316" i="85"/>
  <c r="C1167" i="85"/>
  <c r="C1005" i="85"/>
  <c r="C745" i="85"/>
  <c r="C1454" i="85"/>
  <c r="C805" i="85"/>
  <c r="C1096" i="85"/>
  <c r="C1354" i="85"/>
  <c r="C915" i="85"/>
  <c r="C1501" i="85"/>
  <c r="C1543" i="85"/>
  <c r="C1556" i="85"/>
  <c r="C727" i="85"/>
  <c r="C1392" i="85"/>
  <c r="C1954" i="85"/>
  <c r="C1293" i="85"/>
  <c r="C1828" i="85"/>
  <c r="C1732" i="85"/>
  <c r="C440" i="85"/>
  <c r="C543" i="85"/>
  <c r="C1704" i="85"/>
  <c r="C715" i="85"/>
  <c r="C267" i="85"/>
  <c r="C598" i="85"/>
  <c r="C584" i="85"/>
  <c r="C1768" i="85"/>
  <c r="C1708" i="85"/>
  <c r="C981" i="85"/>
  <c r="C1557" i="85"/>
  <c r="C1436" i="85"/>
  <c r="C1131" i="85"/>
  <c r="C27" i="85"/>
  <c r="C1372" i="85"/>
  <c r="C1675" i="85"/>
  <c r="C1914" i="85"/>
  <c r="C684" i="85"/>
  <c r="C928" i="85"/>
  <c r="C1746" i="85"/>
  <c r="C1253" i="85"/>
  <c r="C1921" i="85"/>
  <c r="C1138" i="85"/>
  <c r="C640" i="85"/>
  <c r="C631" i="85"/>
  <c r="C836" i="85"/>
  <c r="C1270" i="85"/>
  <c r="C362" i="85"/>
  <c r="C1421" i="85"/>
  <c r="C1171" i="85"/>
  <c r="C91" i="85"/>
  <c r="C1230" i="85"/>
  <c r="C1051" i="85"/>
  <c r="C1077" i="85"/>
  <c r="C974" i="85"/>
  <c r="C452" i="85"/>
  <c r="C1780" i="85"/>
  <c r="C761" i="85"/>
  <c r="C493" i="85"/>
  <c r="C1484" i="85"/>
  <c r="C676" i="85"/>
  <c r="C649" i="85"/>
  <c r="C389" i="85"/>
  <c r="C348" i="85"/>
  <c r="C404" i="85"/>
  <c r="C220" i="85"/>
  <c r="C78" i="85"/>
  <c r="C1537" i="85"/>
  <c r="C854" i="85"/>
  <c r="C1443" i="85"/>
  <c r="C340" i="85"/>
  <c r="C361" i="85"/>
  <c r="C1633" i="85"/>
  <c r="C1364" i="85"/>
  <c r="C1765" i="85"/>
  <c r="C318" i="85"/>
  <c r="C595" i="85"/>
  <c r="C1452" i="85"/>
  <c r="C1168" i="85"/>
  <c r="C1750" i="85"/>
  <c r="C214" i="85"/>
  <c r="C1212" i="85"/>
  <c r="C869" i="85"/>
  <c r="C830" i="85"/>
  <c r="C290" i="85"/>
  <c r="C1139" i="85"/>
  <c r="C1498" i="85"/>
  <c r="C1175" i="85"/>
  <c r="C1487" i="85"/>
  <c r="C1996" i="85"/>
  <c r="C1603" i="85"/>
  <c r="C654" i="85"/>
  <c r="C1329" i="85"/>
  <c r="C1419" i="85"/>
  <c r="C760" i="85"/>
  <c r="C912" i="85"/>
  <c r="C1969" i="85"/>
  <c r="C754" i="85"/>
  <c r="C49" i="85"/>
  <c r="C1122" i="85"/>
  <c r="C1856" i="85"/>
  <c r="C1437" i="85"/>
  <c r="C932" i="85"/>
  <c r="C954" i="85"/>
  <c r="C628" i="85"/>
  <c r="C986" i="85"/>
  <c r="C1179" i="85"/>
  <c r="C1076" i="85"/>
  <c r="C934" i="85"/>
  <c r="C188" i="85"/>
  <c r="C387" i="85"/>
  <c r="C1025" i="85"/>
  <c r="C257" i="85"/>
  <c r="C1887" i="85"/>
  <c r="C1869" i="85"/>
  <c r="C1221" i="85"/>
  <c r="C1123" i="85"/>
  <c r="C921" i="85"/>
  <c r="C1650" i="85"/>
  <c r="C574" i="85"/>
  <c r="C1994" i="85"/>
  <c r="C1495" i="85"/>
  <c r="C1976" i="85"/>
  <c r="C269" i="85"/>
  <c r="C1988" i="85"/>
  <c r="C784" i="85"/>
  <c r="C1277" i="85"/>
  <c r="C1140" i="85"/>
  <c r="C1899" i="85"/>
  <c r="C525" i="85"/>
  <c r="C1910" i="85"/>
  <c r="C1239" i="85"/>
  <c r="C841" i="85"/>
  <c r="C244" i="85"/>
  <c r="C488" i="85"/>
  <c r="C1296" i="85"/>
  <c r="C1961" i="85"/>
  <c r="C964" i="85"/>
  <c r="C1904" i="85"/>
  <c r="C1907" i="85"/>
  <c r="C1804" i="85"/>
  <c r="C1115" i="85"/>
  <c r="C1766" i="85"/>
  <c r="C460" i="85"/>
  <c r="C1962" i="85"/>
  <c r="C661" i="85"/>
  <c r="C1330" i="85"/>
  <c r="C194" i="85"/>
  <c r="C1210" i="85"/>
  <c r="C1947" i="85"/>
  <c r="C564" i="85"/>
  <c r="C495" i="85"/>
  <c r="C352" i="85"/>
  <c r="C92" i="85"/>
  <c r="C1738" i="85"/>
  <c r="C1946" i="85"/>
  <c r="C478" i="85"/>
  <c r="C873" i="85"/>
  <c r="C1240" i="85"/>
  <c r="C1721" i="85"/>
  <c r="C224" i="85"/>
  <c r="C1012" i="85"/>
  <c r="C265" i="85"/>
  <c r="C187" i="85"/>
  <c r="C1190" i="85"/>
  <c r="C771" i="85"/>
  <c r="C844" i="85"/>
  <c r="C1794" i="85"/>
  <c r="C1472" i="85"/>
  <c r="C1091" i="85"/>
  <c r="C983" i="85"/>
  <c r="C28" i="85"/>
  <c r="C1166" i="85"/>
  <c r="C582" i="85"/>
  <c r="C1142" i="85"/>
  <c r="C1410" i="85"/>
  <c r="C42" i="85"/>
  <c r="C1116" i="85"/>
  <c r="C1267" i="85"/>
  <c r="C1393" i="85"/>
  <c r="C1431" i="85"/>
  <c r="C622" i="85"/>
  <c r="C185" i="85"/>
  <c r="C422" i="85"/>
  <c r="C204" i="85"/>
  <c r="C1544" i="85"/>
  <c r="C1384" i="85"/>
  <c r="C1202" i="85"/>
  <c r="C1630" i="85"/>
  <c r="C1938" i="85"/>
  <c r="C550" i="85"/>
  <c r="C359" i="85"/>
  <c r="C43" i="85"/>
  <c r="C1192" i="85"/>
  <c r="C1402" i="85"/>
  <c r="C86" i="85"/>
  <c r="C210" i="85"/>
  <c r="C732" i="85"/>
  <c r="C617" i="85"/>
  <c r="C1245" i="85"/>
  <c r="C759" i="85"/>
  <c r="C1612" i="85"/>
  <c r="C228" i="85"/>
  <c r="C862" i="85"/>
  <c r="C180" i="85"/>
  <c r="C1023" i="85"/>
  <c r="C532" i="85"/>
  <c r="C1381" i="85"/>
  <c r="C1955" i="85"/>
  <c r="C1528" i="85"/>
  <c r="C768" i="85"/>
  <c r="C116" i="85"/>
  <c r="C664" i="85"/>
  <c r="C1848" i="85"/>
  <c r="C345" i="85"/>
  <c r="C782" i="85"/>
  <c r="C997" i="85"/>
  <c r="C416" i="85"/>
  <c r="C1997" i="85"/>
  <c r="C686" i="85"/>
  <c r="C1854" i="85"/>
  <c r="C1373" i="85"/>
  <c r="C883" i="85"/>
  <c r="C1090" i="85"/>
  <c r="C1529" i="85"/>
  <c r="C85" i="85"/>
  <c r="C963" i="85"/>
  <c r="C1322" i="85"/>
  <c r="C1535" i="85"/>
  <c r="C1903" i="85"/>
  <c r="C401" i="85"/>
  <c r="C230" i="85"/>
  <c r="C481" i="85"/>
  <c r="C1919" i="85"/>
  <c r="C193" i="85"/>
  <c r="C790" i="85"/>
  <c r="C1432" i="85"/>
  <c r="C173" i="85"/>
  <c r="C63" i="85"/>
  <c r="C1094" i="85"/>
  <c r="C1333" i="85"/>
  <c r="C1462" i="85"/>
  <c r="C593" i="85"/>
  <c r="C1913" i="85"/>
  <c r="C498" i="85"/>
  <c r="C1281" i="85"/>
  <c r="C175" i="85"/>
  <c r="C939" i="85"/>
  <c r="C1216" i="85"/>
  <c r="C1813" i="85"/>
  <c r="C1009" i="85"/>
  <c r="C1439" i="85"/>
  <c r="C1925" i="85"/>
  <c r="C482" i="85"/>
  <c r="C596" i="85"/>
  <c r="C895" i="85"/>
  <c r="C1548" i="85"/>
  <c r="C1064" i="85"/>
  <c r="C126" i="85"/>
  <c r="C1379" i="85"/>
  <c r="C716" i="85"/>
  <c r="C1775" i="85"/>
  <c r="C319" i="85"/>
  <c r="C225" i="85"/>
  <c r="C1561" i="85"/>
  <c r="C273" i="85"/>
  <c r="C733" i="85"/>
  <c r="C780" i="85"/>
  <c r="C1827" i="85"/>
  <c r="C636" i="85"/>
  <c r="C741" i="85"/>
  <c r="C577" i="85"/>
  <c r="C1927" i="85"/>
  <c r="C884" i="85"/>
  <c r="C1941" i="85"/>
  <c r="C202" i="85"/>
  <c r="C993" i="85"/>
  <c r="C753" i="85"/>
  <c r="C618" i="85"/>
  <c r="C1752" i="85"/>
  <c r="C1674" i="85"/>
  <c r="C1551" i="85"/>
  <c r="C1737" i="85"/>
  <c r="C720" i="85"/>
  <c r="C270" i="85"/>
  <c r="C388" i="85"/>
  <c r="C571" i="85"/>
  <c r="C1613" i="85"/>
  <c r="C1729" i="85"/>
  <c r="C1363" i="85"/>
  <c r="C604" i="85"/>
  <c r="C1998" i="85"/>
  <c r="C1503" i="85"/>
  <c r="C529" i="85"/>
  <c r="C1540" i="85"/>
  <c r="C506" i="85"/>
  <c r="C1370" i="85"/>
  <c r="C1659" i="85"/>
  <c r="C1542" i="85"/>
  <c r="C40" i="85"/>
  <c r="C213" i="85"/>
  <c r="C1572" i="85"/>
  <c r="C492" i="85"/>
  <c r="C1071" i="85"/>
  <c r="C1063" i="85"/>
  <c r="C253" i="85"/>
  <c r="C1555" i="85"/>
  <c r="C567" i="85"/>
  <c r="C480" i="85"/>
  <c r="C1359" i="85"/>
  <c r="C1930" i="85"/>
  <c r="C1406" i="85"/>
  <c r="C1163" i="85"/>
  <c r="C870" i="85"/>
  <c r="C991" i="85"/>
  <c r="C409" i="85"/>
  <c r="C1195" i="85"/>
  <c r="C282" i="85"/>
  <c r="C788" i="85"/>
  <c r="C929" i="85"/>
  <c r="C1599" i="85"/>
  <c r="C1771" i="85"/>
  <c r="C1522" i="85"/>
  <c r="C542" i="85"/>
  <c r="C1108" i="85"/>
  <c r="C33" i="85"/>
  <c r="C1309" i="85"/>
  <c r="C1952" i="85"/>
  <c r="C479" i="85"/>
  <c r="C531" i="85"/>
  <c r="C1900" i="85"/>
  <c r="C1591" i="85"/>
  <c r="C412" i="85"/>
  <c r="C1339" i="85"/>
  <c r="C1097" i="85"/>
  <c r="C665" i="85"/>
  <c r="C75" i="85"/>
  <c r="C62" i="85"/>
  <c r="C74" i="85"/>
  <c r="C65" i="85"/>
  <c r="T28" i="89" l="1"/>
  <c r="AY227" i="89"/>
  <c r="T21" i="89"/>
  <c r="U12" i="89"/>
  <c r="U13" i="89"/>
  <c r="T10" i="89"/>
  <c r="T8" i="89"/>
  <c r="F1" i="71"/>
  <c r="H1" i="87"/>
  <c r="I1" i="51"/>
  <c r="Q6" i="49"/>
  <c r="P6" i="49" s="1"/>
  <c r="H1" i="78"/>
  <c r="H1" i="61"/>
  <c r="H1" i="50"/>
  <c r="G1" i="58"/>
  <c r="H1" i="25"/>
  <c r="H1" i="82"/>
  <c r="T9" i="89"/>
  <c r="T31" i="89" l="1"/>
  <c r="U14" i="89"/>
  <c r="T15" i="89"/>
  <c r="E77" i="50" l="1"/>
  <c r="E78" i="50"/>
  <c r="C95" i="64" l="1"/>
  <c r="D95" i="64" s="1"/>
  <c r="E95" i="64" s="1"/>
  <c r="Q251" i="49"/>
  <c r="P251" i="49" s="1"/>
  <c r="C94" i="64"/>
  <c r="D94" i="64" s="1"/>
  <c r="E94" i="64" s="1"/>
  <c r="Q250" i="49"/>
  <c r="P250" i="49" s="1"/>
  <c r="E80" i="50" l="1"/>
  <c r="E79" i="50"/>
  <c r="C96" i="64" l="1"/>
  <c r="D96" i="64" s="1"/>
  <c r="E96" i="64" s="1"/>
  <c r="Q252" i="49"/>
  <c r="P252" i="49" s="1"/>
  <c r="Q253" i="49"/>
  <c r="P253" i="49" s="1"/>
  <c r="C97" i="64"/>
  <c r="D97" i="64" s="1"/>
  <c r="E97" i="64" s="1"/>
  <c r="Q233" i="49" l="1"/>
  <c r="P233" i="49" s="1"/>
  <c r="E60" i="50"/>
  <c r="C77" i="64"/>
  <c r="D77" i="64" s="1"/>
  <c r="E77" i="64" s="1"/>
  <c r="C79" i="64"/>
  <c r="D79" i="64" s="1"/>
  <c r="E79" i="64" s="1"/>
  <c r="Q235" i="49"/>
  <c r="P235" i="49" s="1"/>
  <c r="E62" i="50"/>
  <c r="C78" i="64"/>
  <c r="D78" i="64" s="1"/>
  <c r="E78" i="64" s="1"/>
  <c r="E61" i="50"/>
  <c r="Q234" i="49"/>
  <c r="P234" i="49" s="1"/>
  <c r="E58" i="50"/>
  <c r="Q231" i="49"/>
  <c r="P231" i="49" s="1"/>
  <c r="C75" i="64"/>
  <c r="D75" i="64" s="1"/>
  <c r="E75" i="64" s="1"/>
  <c r="Q232" i="49"/>
  <c r="P232" i="49" s="1"/>
  <c r="E59" i="50"/>
  <c r="C76" i="64"/>
  <c r="D76" i="64" s="1"/>
  <c r="E76" i="64" s="1"/>
  <c r="Q230" i="49"/>
  <c r="P230" i="49" s="1"/>
  <c r="E57" i="50"/>
  <c r="C74" i="64"/>
  <c r="AN188" i="89"/>
  <c r="D7" i="50"/>
  <c r="E7" i="50" l="1"/>
  <c r="C8" i="64" s="1"/>
  <c r="AU254" i="89"/>
  <c r="AW254" i="89" s="1"/>
  <c r="AY254" i="89" s="1"/>
  <c r="C44" i="64"/>
  <c r="D44" i="64" s="1"/>
  <c r="E44" i="64" s="1"/>
  <c r="O12" i="51"/>
  <c r="O13" i="51" s="1"/>
  <c r="D5" i="50"/>
  <c r="D10" i="64" s="1"/>
  <c r="Q177" i="49"/>
  <c r="P177" i="49" s="1"/>
  <c r="AN199" i="89"/>
  <c r="Q175" i="49"/>
  <c r="P175" i="49" s="1"/>
  <c r="AN197" i="89"/>
  <c r="AO188" i="89"/>
  <c r="D74" i="64"/>
  <c r="E74" i="64" s="1"/>
  <c r="AU261" i="89" l="1"/>
  <c r="Q176" i="49"/>
  <c r="P176" i="49" s="1"/>
  <c r="AW253" i="89"/>
  <c r="AW261" i="89" s="1"/>
  <c r="C9" i="64"/>
  <c r="Q7" i="49"/>
  <c r="P7" i="49" s="1"/>
  <c r="C55" i="89"/>
  <c r="C56" i="89" s="1"/>
  <c r="L12" i="89"/>
  <c r="AN200" i="89"/>
  <c r="C68" i="85"/>
  <c r="Q8" i="49" l="1"/>
  <c r="P8" i="49" s="1"/>
  <c r="C10" i="64"/>
  <c r="H2" i="87"/>
  <c r="G2" i="58"/>
  <c r="I2" i="51"/>
  <c r="H2" i="25"/>
  <c r="H2" i="50"/>
  <c r="H2" i="82"/>
  <c r="H2" i="78"/>
  <c r="H2" i="61"/>
  <c r="F2" i="71"/>
  <c r="AY253" i="89"/>
  <c r="AW262" i="89"/>
  <c r="AC5" i="89" l="1"/>
  <c r="AW263" i="89"/>
  <c r="C50" i="85"/>
  <c r="L13" i="8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C28" authorId="1" shapeId="0" xr:uid="{1B5EDA81-1AB1-4F90-BB1F-8E3E5F8E0509}">
      <text>
        <r>
          <rPr>
            <b/>
            <sz val="9"/>
            <color indexed="81"/>
            <rFont val="Segoe UI"/>
            <family val="2"/>
          </rPr>
          <t>Administrador:</t>
        </r>
        <r>
          <rPr>
            <sz val="9"/>
            <color indexed="81"/>
            <rFont val="Segoe UI"/>
            <family val="2"/>
          </rPr>
          <t xml:space="preserve">
sicnet 48513.017454/2022-00
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<sst xmlns="http://schemas.openxmlformats.org/spreadsheetml/2006/main" count="26514" uniqueCount="2391">
  <si>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</si>
  <si>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</si>
  <si>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</si>
  <si>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</si>
  <si>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</si>
  <si>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</si>
  <si>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</si>
  <si>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</si>
  <si>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</si>
  <si>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</si>
  <si>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</si>
  <si>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</si>
  <si>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</si>
  <si>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</si>
  <si>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</si>
  <si>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</si>
  <si>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</si>
  <si>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</si>
  <si>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</si>
  <si>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</si>
  <si>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</si>
  <si>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</si>
  <si>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</si>
  <si>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</si>
  <si>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</si>
  <si>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</si>
  <si>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</si>
  <si>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</si>
  <si>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</si>
  <si>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</si>
  <si>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</si>
  <si>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</si>
  <si>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</si>
  <si>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</si>
  <si>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</si>
  <si>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</si>
  <si>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</si>
  <si>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</si>
  <si>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</si>
  <si>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</si>
  <si>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</si>
  <si>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</si>
  <si>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</si>
  <si>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</si>
  <si>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</si>
  <si>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</si>
  <si>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</si>
  <si>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</si>
  <si>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</si>
  <si>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</si>
  <si>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</si>
  <si>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</si>
  <si>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</si>
  <si>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</si>
  <si>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</si>
  <si>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</si>
  <si>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</si>
  <si>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</si>
  <si>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</si>
  <si>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</si>
  <si>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</si>
  <si>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</si>
  <si>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</si>
  <si>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</si>
  <si>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</si>
  <si>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</si>
  <si>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</si>
  <si>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</si>
  <si>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</si>
  <si>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</si>
  <si>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</si>
  <si>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</si>
  <si>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</si>
  <si>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</si>
  <si>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</si>
  <si>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</si>
  <si>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</si>
  <si>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</si>
  <si>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</si>
  <si>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</si>
  <si>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</si>
  <si>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</si>
  <si>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</si>
  <si>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</si>
  <si>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</si>
  <si>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</si>
  <si>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</si>
  <si>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</si>
  <si>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</si>
  <si>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</si>
  <si>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</si>
  <si>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</si>
  <si>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</si>
  <si>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</si>
  <si>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</si>
  <si>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</si>
  <si>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</si>
  <si>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</si>
  <si>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</si>
  <si>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</si>
  <si>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</si>
  <si>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</si>
  <si>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</si>
  <si>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</si>
  <si>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</si>
  <si>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</si>
  <si>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</si>
  <si>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</si>
  <si>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</si>
  <si>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</si>
  <si>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</si>
  <si>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</si>
  <si>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</si>
  <si>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</si>
  <si>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</si>
  <si>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</si>
  <si>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</si>
  <si>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</si>
  <si>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</si>
  <si>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</si>
  <si>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</si>
  <si>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</si>
  <si>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</si>
  <si>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</si>
  <si>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</si>
  <si>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</si>
  <si>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</si>
  <si>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</si>
  <si>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</si>
  <si>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</si>
  <si>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</si>
  <si>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</si>
  <si>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</si>
  <si>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</si>
  <si>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</si>
  <si>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</si>
  <si>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</si>
  <si>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</si>
  <si>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</si>
  <si>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</si>
  <si>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</si>
  <si>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</si>
  <si>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</si>
  <si>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</si>
  <si>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</si>
  <si>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</si>
  <si>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</si>
  <si>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</si>
  <si>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</si>
  <si>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</si>
  <si>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</si>
  <si>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</si>
  <si>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</si>
  <si>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</si>
  <si>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</si>
  <si>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</si>
  <si>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</si>
  <si>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</si>
  <si>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</si>
  <si>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</si>
  <si>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</si>
  <si>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</si>
  <si>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</si>
  <si>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</si>
  <si>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</si>
  <si>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</si>
  <si>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</si>
  <si>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</si>
  <si>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</si>
  <si>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</si>
  <si>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</si>
  <si>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</si>
  <si>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</si>
  <si>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</si>
  <si>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</si>
  <si>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</si>
  <si>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</si>
  <si>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</si>
  <si>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</si>
  <si>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</si>
  <si>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</si>
  <si>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</si>
  <si>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</si>
  <si>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</si>
  <si>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</si>
  <si>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</si>
  <si>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</si>
  <si>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</si>
  <si>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</si>
  <si>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</si>
  <si>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</si>
  <si>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</si>
  <si>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</si>
  <si>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</si>
  <si>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</si>
  <si>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</si>
  <si>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</si>
  <si>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</si>
  <si>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</si>
  <si>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</si>
  <si>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</si>
  <si>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</si>
  <si>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</si>
  <si>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</si>
  <si>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</si>
  <si>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</si>
  <si>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</si>
  <si>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</si>
  <si>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</si>
  <si>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</si>
  <si>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</si>
  <si>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</si>
  <si>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</si>
  <si>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</si>
  <si>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</si>
  <si>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A3 ( 69 kV)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</si>
  <si>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</si>
  <si>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</si>
  <si>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</si>
  <si>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</si>
  <si>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</si>
  <si>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</si>
  <si>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</si>
  <si>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</si>
  <si>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</si>
  <si>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</si>
  <si>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</si>
  <si>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</si>
  <si>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</si>
  <si>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</si>
  <si>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</si>
  <si>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</si>
  <si>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</si>
  <si>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</si>
  <si>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</si>
  <si>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</si>
  <si>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</si>
  <si>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</si>
  <si>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</si>
  <si>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</si>
  <si>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</si>
  <si>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</si>
  <si>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</si>
  <si>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</si>
  <si>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</si>
  <si>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</si>
  <si>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</si>
  <si>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</si>
  <si>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</si>
  <si>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</si>
  <si>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</si>
  <si>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</si>
  <si>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</si>
  <si>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</si>
  <si>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</si>
  <si>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</si>
  <si>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</si>
  <si>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</si>
  <si>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</si>
  <si>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</si>
  <si>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</si>
  <si>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</si>
  <si>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</si>
  <si>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</si>
  <si>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</si>
  <si>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</si>
  <si>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</si>
  <si>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</si>
  <si>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</si>
  <si>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</si>
  <si>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</si>
  <si>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</si>
  <si>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</si>
  <si>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</si>
  <si>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</si>
  <si>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</si>
  <si>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</si>
  <si>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</si>
  <si>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</si>
  <si>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</si>
  <si>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</si>
  <si>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</si>
  <si>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</si>
  <si>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</si>
  <si>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</si>
  <si>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</si>
  <si>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</si>
  <si>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</si>
  <si>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</si>
  <si>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</si>
  <si>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</si>
  <si>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</si>
  <si>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</si>
  <si>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</si>
  <si>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</si>
  <si>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</si>
  <si>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</si>
  <si>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</si>
  <si>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</si>
  <si>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</si>
  <si>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</si>
  <si>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</si>
  <si>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</si>
  <si>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</si>
  <si>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</si>
  <si>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</si>
  <si>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</si>
  <si>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</si>
  <si>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</si>
  <si>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</si>
  <si>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</si>
  <si>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</si>
  <si>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</si>
  <si>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</si>
  <si>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</si>
  <si>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</si>
  <si>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</si>
  <si>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</si>
  <si>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</si>
  <si>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</si>
  <si>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</si>
  <si>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</si>
  <si>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</si>
  <si>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</si>
  <si>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</si>
  <si>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</si>
  <si>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</si>
  <si>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</si>
  <si>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</si>
  <si>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</si>
  <si>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</si>
  <si>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</si>
  <si>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</si>
  <si>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</si>
  <si>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</si>
  <si>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</si>
  <si>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</si>
  <si>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</si>
  <si>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</si>
  <si>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</si>
  <si>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</si>
  <si>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</si>
  <si>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</si>
  <si>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</si>
  <si>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</si>
  <si>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</si>
  <si>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</si>
  <si>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</si>
  <si>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</si>
  <si>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</si>
  <si>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</si>
  <si>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</si>
  <si>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</si>
  <si>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</si>
  <si>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</si>
  <si>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</si>
  <si>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</si>
  <si>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</si>
  <si>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</si>
  <si>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</si>
  <si>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</si>
  <si>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</si>
  <si>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</si>
  <si>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</si>
  <si>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</si>
  <si>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</si>
  <si>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</si>
  <si>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</si>
  <si>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</si>
  <si>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</si>
  <si>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</si>
  <si>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</si>
  <si>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</si>
  <si>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</si>
  <si>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</si>
  <si>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</si>
  <si>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</si>
  <si>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</si>
  <si>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</si>
  <si>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</si>
  <si>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</si>
  <si>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</si>
  <si>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</si>
  <si>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</si>
  <si>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</si>
  <si>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</si>
  <si>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</si>
  <si>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</si>
  <si>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</si>
  <si>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</si>
  <si>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</si>
  <si>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</si>
  <si>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</si>
  <si>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</si>
  <si>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</si>
  <si>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</si>
  <si>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</si>
  <si>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</si>
  <si>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</si>
  <si>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</si>
  <si>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</si>
  <si>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</si>
  <si>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</si>
  <si>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</si>
  <si>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</si>
  <si>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</si>
  <si>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</si>
  <si>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</si>
  <si>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</si>
  <si>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</si>
  <si>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</si>
  <si>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</si>
  <si>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</si>
  <si>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</si>
  <si>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</si>
  <si>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</si>
  <si>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</si>
  <si>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</si>
  <si>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</si>
  <si>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</si>
  <si>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</si>
  <si>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</si>
  <si>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</si>
  <si>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</si>
  <si>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</si>
  <si>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</si>
  <si>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</si>
  <si>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</si>
  <si>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</si>
  <si>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</si>
  <si>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</si>
  <si>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</si>
  <si>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</si>
  <si>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</si>
  <si>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</si>
  <si>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</si>
  <si>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</si>
  <si>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</si>
  <si>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</si>
  <si>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</si>
  <si>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</si>
  <si>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</si>
  <si>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</si>
  <si>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</si>
  <si>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</si>
  <si>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</si>
  <si>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</si>
  <si>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</si>
  <si>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</si>
  <si>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</si>
  <si>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</si>
  <si>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</si>
  <si>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</si>
  <si>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</si>
  <si>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</si>
  <si>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</si>
  <si>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</si>
  <si>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</si>
  <si>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</si>
  <si>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</si>
  <si>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</si>
  <si>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</si>
  <si>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</si>
  <si>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</si>
  <si>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</si>
  <si>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</si>
  <si>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</si>
  <si>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</si>
  <si>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</si>
  <si>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</si>
  <si>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</si>
  <si>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</si>
  <si>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</si>
  <si>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</si>
  <si>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</si>
  <si>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</si>
  <si>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</si>
  <si>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</si>
  <si>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</si>
  <si>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</si>
  <si>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</si>
  <si>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</si>
  <si>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</si>
  <si>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</si>
  <si>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</si>
  <si>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</si>
  <si>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</si>
  <si>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</si>
  <si>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</si>
  <si>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</si>
  <si>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</si>
  <si>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</si>
  <si>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</si>
  <si>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</si>
  <si>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</si>
  <si>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</si>
  <si>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</si>
  <si>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</si>
  <si>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</si>
  <si>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</si>
  <si>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</si>
  <si>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</si>
  <si>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</si>
  <si>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</si>
  <si>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</si>
  <si>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</si>
  <si>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</si>
  <si>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</si>
  <si>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</si>
  <si>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</si>
  <si>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</si>
  <si>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</si>
  <si>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</si>
  <si>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</si>
  <si>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</si>
  <si>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</si>
  <si>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</si>
  <si>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</si>
  <si>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</si>
  <si>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</si>
  <si>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</si>
  <si>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</si>
  <si>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</si>
  <si>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</si>
  <si>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</si>
  <si>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</si>
  <si>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</si>
  <si>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</si>
  <si>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</si>
  <si>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</si>
  <si>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</si>
  <si>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</si>
  <si>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</si>
  <si>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</si>
  <si>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</si>
  <si>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</si>
  <si>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</si>
  <si>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</si>
  <si>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</si>
  <si>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</si>
  <si>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</si>
  <si>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</si>
  <si>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</si>
  <si>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</si>
  <si>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</si>
  <si>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</si>
  <si>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</si>
  <si>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</si>
  <si>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</si>
  <si>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</si>
  <si>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</si>
  <si>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</si>
  <si>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</si>
  <si>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</si>
  <si>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</si>
  <si>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</si>
  <si>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</si>
  <si>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</si>
  <si>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</si>
  <si>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</si>
  <si>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</si>
  <si>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</si>
  <si>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</si>
  <si>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</si>
  <si>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</si>
  <si>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</si>
  <si>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</si>
  <si>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</si>
  <si>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</si>
  <si>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</si>
  <si>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</si>
  <si>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</si>
  <si>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</si>
  <si>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</si>
  <si>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</si>
  <si>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</si>
  <si>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</si>
  <si>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</si>
  <si>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</si>
  <si>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</si>
  <si>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</si>
  <si>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</si>
  <si>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</si>
  <si>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</si>
  <si>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</si>
  <si>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</si>
  <si>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</si>
  <si>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</si>
  <si>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</si>
  <si>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</si>
  <si>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</si>
  <si>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</si>
  <si>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</si>
  <si>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</si>
  <si>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</si>
  <si>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</si>
  <si>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</si>
  <si>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</si>
  <si>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</si>
  <si>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</si>
  <si>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</si>
  <si>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</si>
  <si>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</si>
  <si>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</si>
  <si>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</si>
  <si>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</si>
  <si>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</si>
  <si>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</si>
  <si>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</si>
  <si>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</si>
  <si>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</si>
  <si>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</si>
  <si>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</si>
  <si>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</si>
  <si>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</si>
  <si>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</si>
  <si>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</si>
  <si>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</si>
  <si>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</si>
  <si>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</si>
  <si>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</si>
  <si>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</si>
  <si>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</si>
  <si>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</si>
  <si>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</si>
  <si>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</si>
  <si>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</si>
  <si>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</si>
  <si>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</si>
  <si>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</si>
  <si>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</si>
  <si>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</si>
  <si>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</si>
  <si>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</si>
  <si>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</si>
  <si>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</si>
  <si>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</si>
  <si>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</si>
  <si>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</si>
  <si>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</si>
  <si>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</si>
  <si>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</si>
  <si>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</si>
  <si>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</si>
  <si>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</si>
  <si>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</si>
  <si>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</si>
  <si>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</si>
  <si>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</si>
  <si>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</si>
  <si>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</si>
  <si>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</si>
  <si>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</si>
  <si>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</si>
  <si>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</si>
  <si>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</si>
  <si>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</si>
  <si>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</si>
  <si>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</si>
  <si>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</si>
  <si>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</si>
  <si>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</si>
  <si>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</si>
  <si>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</si>
  <si>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</si>
  <si>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</si>
  <si>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</si>
  <si>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</si>
  <si>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</si>
  <si>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</si>
  <si>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</si>
  <si>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</si>
  <si>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</si>
  <si>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</si>
  <si>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</si>
  <si>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</si>
  <si>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</si>
  <si>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</si>
  <si>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</si>
  <si>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</si>
  <si>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</si>
  <si>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</si>
  <si>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</si>
  <si>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</si>
  <si>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</si>
  <si>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</si>
  <si>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</si>
  <si>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</si>
  <si>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</si>
  <si>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</si>
  <si>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</si>
  <si>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</si>
  <si>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</si>
  <si>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</si>
  <si>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</si>
  <si>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</si>
  <si>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</si>
  <si>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</si>
  <si>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</si>
  <si>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</si>
  <si>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</si>
  <si>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</si>
  <si>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</si>
  <si>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</si>
  <si>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</si>
  <si>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</si>
  <si>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</si>
  <si>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</si>
  <si>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</si>
  <si>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</si>
  <si>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</si>
  <si>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</si>
  <si>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</si>
  <si>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</si>
  <si>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</si>
  <si>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</si>
  <si>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</si>
  <si>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</si>
  <si>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</si>
  <si>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</si>
  <si>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</si>
  <si>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</si>
  <si>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</si>
  <si>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</si>
  <si>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</si>
  <si>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</si>
  <si>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</si>
  <si>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</si>
  <si>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</si>
  <si>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</si>
  <si>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</si>
  <si>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</si>
  <si>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</si>
  <si>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</si>
  <si>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</si>
  <si>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</si>
  <si>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</si>
  <si>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</si>
  <si>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</si>
  <si>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</si>
  <si>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</si>
  <si>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</si>
  <si>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</si>
  <si>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</si>
  <si>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</si>
  <si>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</si>
  <si>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</si>
  <si>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</si>
  <si>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</si>
  <si>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</si>
  <si>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</si>
  <si>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</si>
  <si>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</si>
  <si>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</si>
  <si>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</si>
  <si>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</si>
  <si>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</si>
  <si>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</si>
  <si>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</si>
  <si>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</si>
  <si>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</si>
  <si>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</si>
  <si>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</si>
  <si>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</si>
  <si>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</si>
  <si>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</si>
  <si>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</si>
  <si>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</si>
  <si>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</si>
  <si>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</si>
  <si>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</si>
  <si>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</si>
  <si>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</si>
  <si>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</si>
  <si>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</si>
  <si>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</si>
  <si>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</si>
  <si>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</si>
  <si>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</si>
  <si>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</si>
  <si>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</si>
  <si>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</si>
  <si>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</si>
  <si>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</si>
  <si>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</si>
  <si>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</si>
  <si>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</si>
  <si>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</si>
  <si>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</si>
  <si>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</si>
  <si>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</si>
  <si>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</si>
  <si>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</si>
  <si>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</si>
  <si>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</si>
  <si>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</si>
  <si>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</si>
  <si>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</si>
  <si>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</si>
  <si>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</si>
  <si>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</si>
  <si>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</si>
  <si>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</si>
  <si>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</si>
  <si>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</si>
  <si>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</si>
  <si>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</si>
  <si>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</si>
  <si>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</si>
  <si>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</si>
  <si>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</si>
  <si>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</si>
  <si>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</si>
  <si>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</si>
  <si>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</si>
  <si>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</si>
  <si>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</si>
  <si>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</si>
  <si>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</si>
  <si>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</si>
  <si>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</si>
  <si>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</si>
  <si>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</si>
  <si>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</si>
  <si>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</si>
  <si>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</si>
  <si>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</si>
  <si>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</si>
  <si>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</si>
  <si>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</si>
  <si>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</si>
  <si>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</si>
  <si>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</si>
  <si>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</si>
  <si>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</si>
  <si>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</si>
  <si>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</si>
  <si>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</si>
  <si>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</si>
  <si>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</si>
  <si>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</si>
  <si>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</si>
  <si>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</si>
  <si>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</si>
  <si>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</si>
  <si>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</si>
  <si>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</si>
  <si>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</si>
  <si>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</si>
  <si>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</si>
  <si>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</si>
  <si>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</si>
  <si>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</si>
  <si>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</si>
  <si>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</si>
  <si>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</si>
  <si>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</si>
  <si>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</si>
  <si>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</si>
  <si>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</si>
  <si>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</si>
  <si>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</si>
  <si>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</si>
  <si>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</si>
  <si>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</si>
  <si>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</si>
  <si>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</si>
  <si>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</si>
  <si>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</si>
  <si>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</si>
  <si>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</si>
  <si>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</si>
  <si>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</si>
  <si>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</si>
  <si>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</si>
  <si>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</si>
  <si>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</si>
  <si>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</si>
  <si>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</si>
  <si>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</si>
  <si>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</si>
  <si>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</si>
  <si>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</si>
  <si>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</si>
  <si>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</si>
  <si>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</si>
  <si>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</si>
  <si>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</si>
  <si>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</si>
  <si>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</si>
  <si>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</si>
  <si>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</si>
  <si>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</si>
  <si>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</si>
  <si>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</si>
  <si>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</si>
  <si>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</si>
  <si>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</si>
  <si>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</si>
  <si>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</si>
  <si>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</si>
  <si>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</si>
  <si>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</si>
  <si>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</si>
  <si>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</si>
  <si>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</si>
  <si>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</si>
  <si>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</si>
  <si>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</si>
  <si>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</si>
  <si>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</si>
  <si>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</si>
  <si>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</si>
  <si>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</si>
  <si>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</si>
  <si>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</si>
  <si>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</si>
  <si>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</si>
  <si>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</si>
  <si>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</si>
  <si>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</si>
  <si>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</si>
  <si>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</si>
  <si>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</si>
  <si>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</si>
  <si>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</si>
  <si>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</si>
  <si>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</si>
  <si>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</si>
  <si>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</si>
  <si>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</si>
  <si>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</si>
  <si>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</si>
  <si>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</si>
  <si>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</si>
  <si>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</si>
  <si>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</si>
  <si>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</si>
  <si>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</si>
  <si>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</si>
  <si>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</si>
  <si>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</si>
  <si>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</si>
  <si>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</si>
  <si>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</si>
  <si>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</si>
  <si>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</si>
  <si>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</si>
  <si>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</si>
  <si>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</si>
  <si>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</si>
  <si>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</si>
  <si>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</si>
  <si>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</si>
  <si>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</si>
  <si>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</si>
  <si>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</si>
  <si>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</si>
  <si>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</si>
  <si>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</si>
  <si>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</si>
  <si>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</si>
  <si>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</si>
  <si>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</si>
  <si>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</si>
  <si>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</si>
  <si>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</si>
  <si>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</si>
  <si>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</si>
  <si>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</si>
  <si>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</si>
  <si>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</si>
  <si>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</si>
  <si>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</si>
  <si>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</si>
  <si>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</si>
  <si>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</si>
  <si>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</si>
  <si>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</si>
  <si>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</si>
  <si>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</si>
  <si>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</si>
  <si>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</si>
  <si>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</si>
  <si>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</si>
  <si>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</si>
  <si>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</si>
  <si>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</si>
  <si>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</si>
  <si>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</si>
  <si>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</si>
  <si>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</si>
  <si>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</si>
  <si>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</si>
  <si>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</si>
  <si>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</si>
  <si>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</si>
  <si>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</si>
  <si>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</si>
  <si>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</si>
  <si>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</si>
  <si>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</si>
  <si>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</si>
  <si>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</si>
  <si>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</si>
  <si>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</si>
  <si>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</si>
  <si>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</si>
  <si>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</si>
  <si>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</si>
  <si>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</si>
  <si>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</si>
  <si>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</si>
  <si>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</si>
  <si>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</si>
  <si>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</si>
  <si>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</si>
  <si>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</si>
  <si>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</si>
  <si>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</si>
  <si>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</si>
  <si>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</si>
  <si>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</si>
  <si>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</si>
  <si>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</si>
  <si>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</si>
  <si>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</si>
  <si>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</si>
  <si>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</si>
  <si>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</si>
  <si>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</si>
  <si>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</si>
  <si>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</si>
  <si>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</si>
  <si>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</si>
  <si>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</si>
  <si>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</si>
  <si>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</si>
  <si>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</si>
  <si>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</si>
  <si>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</si>
  <si>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</si>
  <si>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</si>
  <si>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</si>
  <si>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</si>
  <si>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</si>
  <si>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</si>
  <si>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</si>
  <si>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</si>
  <si>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</si>
  <si>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</si>
  <si>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</si>
  <si>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</si>
  <si>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</si>
  <si>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</si>
  <si>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</si>
  <si>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</si>
  <si>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</si>
  <si>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</si>
  <si>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</si>
  <si>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</si>
  <si>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</si>
  <si>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</si>
  <si>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</si>
  <si>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</si>
  <si>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</si>
  <si>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</si>
  <si>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</si>
  <si>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</si>
  <si>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</si>
  <si>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</si>
  <si>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</si>
  <si>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</si>
  <si>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</si>
  <si>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</si>
  <si>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</si>
  <si>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</si>
  <si>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</si>
  <si>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</si>
  <si>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</si>
  <si>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</si>
  <si>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</si>
  <si>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</si>
  <si>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</si>
  <si>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</si>
  <si>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</si>
  <si>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</si>
  <si>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</si>
  <si>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</si>
  <si>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</si>
  <si>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</si>
  <si>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</si>
  <si>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</si>
  <si>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</si>
  <si>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</si>
  <si>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</si>
  <si>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</si>
  <si>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</si>
  <si>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</si>
  <si>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</si>
  <si>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</si>
  <si>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</si>
  <si>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</si>
  <si>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</si>
  <si>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</si>
  <si>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</si>
  <si>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</si>
  <si>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</si>
  <si>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</si>
  <si>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</si>
  <si>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</si>
  <si>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</si>
  <si>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</si>
  <si>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</si>
  <si>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</si>
  <si>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</si>
  <si>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</si>
  <si>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</si>
  <si>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</si>
  <si>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</si>
  <si>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</si>
  <si>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</si>
  <si>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</si>
  <si>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</si>
  <si>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</si>
  <si>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</si>
  <si>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</si>
  <si>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</si>
  <si>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</si>
  <si>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</si>
  <si>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</si>
  <si>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</si>
  <si>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</si>
  <si>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</si>
  <si>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</si>
  <si>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</si>
  <si>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</si>
  <si>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</si>
  <si>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</si>
  <si>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</si>
  <si>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</si>
  <si>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</si>
  <si>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</si>
  <si>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</si>
  <si>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</si>
  <si>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</si>
  <si>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</si>
  <si>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</si>
  <si>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</si>
  <si>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</si>
  <si>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</si>
  <si>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</si>
  <si>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</si>
  <si>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</si>
  <si>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</si>
  <si>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</si>
  <si>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</si>
  <si>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</si>
  <si>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</si>
  <si>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</si>
  <si>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</si>
  <si>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</si>
  <si>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</si>
  <si>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</si>
  <si>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</si>
  <si>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</si>
  <si>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</si>
  <si>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</si>
  <si>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</si>
  <si>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</si>
  <si>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</si>
  <si>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</si>
  <si>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</si>
  <si>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</si>
  <si>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</si>
  <si>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</si>
  <si>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</si>
  <si>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</si>
  <si>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</si>
  <si>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</si>
  <si>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</si>
  <si>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</si>
  <si>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</si>
  <si>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</si>
  <si>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</si>
  <si>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</si>
  <si>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</si>
  <si>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</si>
  <si>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</si>
  <si>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</si>
  <si>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</si>
  <si>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</si>
  <si>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</si>
  <si>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</si>
  <si>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</si>
  <si>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</si>
  <si>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</si>
  <si>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</si>
  <si>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</si>
  <si>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</si>
  <si>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</si>
  <si>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</si>
  <si>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</si>
  <si>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</si>
  <si>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</si>
  <si>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</si>
  <si>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</si>
  <si>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</si>
  <si>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</si>
  <si>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</si>
  <si>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</si>
  <si>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</si>
  <si>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</si>
  <si>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</si>
  <si>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</si>
  <si>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</si>
  <si>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</si>
  <si>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</si>
  <si>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</si>
  <si>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</si>
  <si>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</si>
  <si>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</si>
  <si>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</si>
  <si>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</si>
  <si>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</si>
  <si>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</si>
  <si>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</si>
  <si>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</si>
  <si>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</si>
  <si>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</si>
  <si>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</si>
  <si>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</si>
  <si>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</si>
  <si>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</si>
  <si>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</si>
  <si>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</si>
  <si>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</si>
  <si>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</si>
  <si>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</si>
  <si>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</si>
  <si>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</si>
  <si>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</si>
  <si>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</si>
  <si>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</si>
  <si>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</si>
  <si>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</si>
  <si>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</si>
  <si>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</si>
  <si>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</si>
  <si>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</si>
  <si>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</si>
  <si>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</si>
  <si>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</si>
  <si>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</si>
  <si>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</si>
  <si>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</si>
  <si>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</si>
  <si>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</si>
  <si>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</si>
  <si>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</si>
  <si>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</si>
  <si>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</si>
  <si>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</si>
  <si>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</si>
  <si>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</si>
  <si>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</si>
  <si>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</si>
  <si>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</si>
  <si>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</si>
  <si>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</si>
  <si>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</si>
  <si>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</si>
  <si>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</si>
  <si>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</si>
  <si>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</si>
  <si>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</si>
  <si>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</si>
  <si>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</si>
  <si>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</si>
  <si>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</si>
  <si>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</si>
  <si>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</si>
  <si>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</si>
  <si>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</si>
  <si>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</si>
  <si>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</si>
  <si>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</si>
  <si>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</si>
  <si>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</si>
  <si>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</si>
  <si>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</si>
  <si>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</si>
  <si>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</si>
  <si>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</si>
  <si>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</si>
  <si>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</si>
  <si>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</si>
  <si>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</si>
  <si>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</si>
  <si>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</si>
  <si>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</si>
  <si>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</si>
  <si>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</si>
  <si>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</si>
  <si>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</si>
  <si>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</si>
  <si>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</si>
  <si>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</si>
  <si>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</si>
  <si>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</si>
  <si>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</si>
  <si>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</si>
  <si>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</si>
  <si>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</si>
  <si>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</si>
  <si>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</si>
  <si>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</si>
  <si>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</si>
  <si>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</si>
  <si>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</si>
  <si>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</si>
  <si>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</si>
  <si>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</si>
  <si>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</si>
  <si>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</si>
  <si>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</si>
  <si>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</si>
  <si>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</si>
  <si>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</si>
  <si>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</si>
  <si>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</si>
  <si>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</si>
  <si>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</si>
  <si>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</si>
  <si>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</si>
  <si>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</si>
  <si>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</si>
  <si>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</si>
  <si>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</si>
  <si>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</si>
  <si>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</si>
  <si>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</si>
  <si>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</si>
  <si>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</si>
  <si>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</si>
  <si>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</si>
  <si>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</si>
  <si>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</si>
  <si>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</si>
  <si>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</si>
  <si>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</si>
  <si>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</si>
  <si>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</si>
  <si>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</si>
  <si>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</si>
  <si>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</si>
  <si>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</si>
  <si>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</si>
  <si>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</si>
  <si>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</si>
  <si>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</si>
  <si>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</si>
  <si>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</si>
  <si>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</si>
  <si>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</si>
  <si>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</si>
  <si>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</si>
  <si>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</si>
  <si>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</si>
  <si>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</si>
  <si>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</si>
  <si>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</si>
  <si>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</si>
  <si>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</si>
  <si>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</si>
  <si>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</si>
  <si>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</si>
  <si>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</si>
  <si>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</si>
  <si>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</si>
  <si>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</si>
  <si>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</si>
  <si>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</si>
  <si>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</si>
  <si>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</si>
  <si>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</si>
  <si>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</si>
  <si>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</si>
  <si>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</si>
  <si>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</si>
  <si>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</si>
  <si>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</si>
  <si>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</si>
  <si>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</si>
  <si>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</si>
  <si>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</si>
  <si>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</si>
  <si>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</si>
  <si>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</si>
  <si>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 xml:space="preserve"> Dados da CVA em Processamento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</si>
  <si>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</si>
  <si>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</si>
  <si>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</si>
  <si>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</si>
  <si>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</si>
  <si>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</si>
  <si>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</si>
  <si>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</si>
  <si>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</si>
  <si>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</si>
  <si>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</si>
  <si>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</si>
  <si>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</si>
  <si>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</si>
  <si>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</si>
  <si>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</si>
  <si>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</si>
  <si>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</si>
  <si>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</si>
  <si>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</si>
  <si>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</si>
  <si>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</si>
  <si>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</si>
  <si>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</si>
  <si>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</si>
  <si>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</si>
  <si>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</si>
  <si>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</si>
  <si>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</si>
  <si>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</si>
  <si>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</si>
  <si>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</si>
  <si>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</si>
  <si>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</si>
  <si>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</si>
  <si>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</si>
  <si>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</si>
  <si>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</si>
  <si>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</si>
  <si>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</si>
  <si>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</si>
  <si>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</si>
  <si>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</si>
  <si>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</si>
  <si>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</si>
  <si>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</si>
  <si>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</si>
  <si>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</si>
  <si>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</si>
  <si>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</si>
  <si>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</si>
  <si>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</si>
  <si>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</si>
  <si>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</si>
  <si>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</si>
  <si>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</si>
  <si>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</si>
  <si>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</si>
  <si>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</si>
  <si>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</si>
  <si>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</si>
  <si>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</si>
  <si>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</si>
  <si>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</si>
  <si>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</si>
  <si>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</si>
  <si>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</si>
  <si>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</si>
  <si>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</si>
  <si>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</si>
  <si>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</si>
  <si>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</si>
  <si>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</si>
  <si>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</si>
  <si>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</si>
  <si>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</si>
  <si>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</si>
  <si>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</si>
  <si>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</si>
  <si>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</si>
  <si>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</si>
  <si>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</si>
  <si>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</si>
  <si>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</si>
  <si>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</si>
  <si>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</si>
  <si>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</si>
  <si>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</si>
  <si>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</si>
  <si>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</si>
  <si>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</si>
  <si>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</si>
  <si>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</si>
  <si>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</si>
  <si>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</si>
  <si>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</si>
  <si>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</si>
  <si>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</si>
  <si>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</si>
  <si>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</si>
  <si>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</si>
  <si>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</si>
  <si>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</si>
  <si>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</si>
  <si>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</si>
  <si>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</si>
  <si>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</si>
  <si>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</si>
  <si>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</si>
  <si>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</si>
  <si>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</si>
  <si>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</si>
  <si>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</si>
  <si>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</si>
  <si>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</si>
  <si>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</si>
  <si>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</si>
  <si>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</si>
  <si>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</si>
  <si>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</si>
  <si>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</si>
  <si>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</si>
  <si>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</si>
  <si>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</si>
  <si>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</si>
  <si>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</si>
  <si>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</si>
  <si>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</si>
  <si>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</si>
  <si>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</si>
  <si>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</si>
  <si>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</si>
  <si>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</si>
  <si>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</si>
  <si>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</si>
  <si>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</si>
  <si>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</si>
  <si>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</si>
  <si>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</si>
  <si>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</si>
  <si>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</si>
  <si>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</si>
  <si>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</si>
  <si>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</si>
  <si>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</si>
  <si>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</si>
  <si>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</si>
  <si>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</si>
  <si>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</si>
  <si>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</si>
  <si>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</si>
  <si>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</si>
  <si>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</si>
  <si>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</si>
  <si>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</si>
  <si>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</si>
  <si>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</si>
  <si>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</si>
  <si>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</si>
  <si>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</si>
  <si>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</si>
  <si>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</si>
  <si>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</si>
  <si>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</si>
  <si>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</si>
  <si>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</si>
  <si>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</si>
  <si>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</si>
  <si>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</si>
  <si>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</si>
  <si>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</si>
  <si>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</si>
  <si>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</si>
  <si>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</si>
  <si>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</si>
  <si>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</si>
  <si>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</si>
  <si>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</si>
  <si>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</si>
  <si>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</si>
  <si>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</si>
  <si>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</si>
  <si>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</si>
  <si>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</si>
  <si>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</si>
  <si>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</si>
  <si>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</si>
  <si>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</si>
  <si>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</si>
  <si>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</si>
  <si>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</si>
  <si>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</si>
  <si>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</si>
  <si>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</si>
  <si>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</si>
  <si>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</si>
  <si>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</si>
  <si>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</si>
  <si>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</si>
  <si>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</si>
  <si>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</si>
  <si>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</si>
  <si>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</si>
  <si>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</si>
  <si>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</si>
  <si>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</si>
  <si>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</si>
  <si>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</si>
  <si>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</si>
  <si>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</si>
  <si>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</si>
  <si>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</si>
  <si>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</si>
  <si>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</si>
  <si>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</si>
  <si>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</si>
  <si>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</si>
  <si>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</si>
  <si>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</si>
  <si>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</si>
  <si>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</si>
  <si>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</si>
  <si>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</si>
  <si>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</si>
  <si>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</si>
  <si>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</si>
  <si>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</si>
  <si>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</si>
  <si>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</si>
  <si>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</si>
  <si>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</si>
  <si>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</si>
  <si>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</si>
  <si>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</si>
  <si>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</si>
  <si>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</si>
  <si>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</si>
  <si>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</si>
  <si>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</si>
  <si>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</si>
  <si>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</si>
  <si>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</si>
  <si>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</si>
  <si>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</si>
  <si>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</si>
  <si>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</si>
  <si>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</si>
  <si>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</si>
  <si>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</si>
  <si>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</si>
  <si>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</si>
  <si>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</si>
  <si>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</si>
  <si>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</si>
  <si>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</si>
  <si>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</si>
  <si>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</si>
  <si>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</si>
  <si>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</si>
  <si>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</si>
  <si>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</si>
  <si>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</si>
  <si>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</si>
  <si>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</si>
  <si>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</si>
  <si>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</si>
  <si>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</si>
  <si>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</si>
  <si>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</si>
  <si>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</si>
  <si>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</si>
  <si>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</si>
  <si>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</si>
  <si>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</si>
  <si>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</si>
  <si>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</si>
  <si>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</si>
  <si>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</si>
  <si>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</si>
  <si>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</si>
  <si>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</si>
  <si>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</si>
  <si>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</si>
  <si>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</si>
  <si>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</si>
  <si>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</si>
  <si>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</si>
  <si>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</si>
  <si>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</si>
  <si>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</si>
  <si>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</si>
  <si>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</si>
  <si>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</si>
  <si>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</si>
  <si>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</si>
  <si>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</si>
  <si>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</si>
  <si>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</si>
  <si>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</si>
  <si>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</si>
  <si>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</si>
  <si>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</si>
  <si>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</si>
  <si>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</si>
  <si>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</si>
  <si>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</si>
  <si>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</si>
  <si>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</si>
  <si>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</si>
  <si>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</si>
  <si>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</si>
  <si>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</si>
  <si>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</si>
  <si>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</si>
  <si>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</si>
  <si>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</si>
  <si>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</si>
  <si>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</si>
  <si>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</si>
  <si>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</si>
  <si>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</si>
  <si>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</si>
  <si>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</si>
  <si>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</si>
  <si>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</si>
  <si>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</si>
  <si>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</si>
  <si>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</si>
  <si>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</si>
  <si>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</si>
  <si>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</si>
  <si>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</si>
  <si>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</si>
  <si>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</si>
  <si>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</si>
  <si>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</si>
  <si>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</si>
  <si>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</si>
  <si>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</si>
  <si>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</si>
  <si>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</si>
  <si>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</si>
  <si>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</si>
  <si>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</si>
  <si>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</si>
  <si>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</si>
  <si>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</si>
  <si>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</si>
  <si>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</si>
  <si>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</si>
  <si>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</si>
  <si>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</si>
  <si>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</si>
  <si>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</si>
  <si>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</si>
  <si>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</si>
  <si>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</si>
  <si>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</si>
  <si>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</si>
  <si>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</si>
  <si>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</si>
  <si>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</si>
  <si>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</si>
  <si>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</si>
  <si>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</si>
  <si>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</si>
  <si>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</si>
  <si>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</si>
  <si>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</si>
  <si>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</si>
  <si>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</si>
  <si>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</si>
  <si>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</si>
  <si>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</si>
  <si>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</si>
  <si>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</si>
  <si>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</si>
  <si>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</si>
  <si>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</si>
  <si>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</si>
  <si>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</si>
  <si>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</si>
  <si>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</si>
  <si>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</si>
  <si>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</si>
  <si>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</si>
  <si>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</si>
  <si>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</si>
  <si>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</si>
  <si>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</si>
  <si>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</si>
  <si>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</si>
  <si>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</si>
  <si>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</si>
  <si>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</si>
  <si>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</si>
  <si>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</si>
  <si>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</si>
  <si>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</si>
  <si>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</si>
  <si>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</si>
  <si>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</si>
  <si>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</si>
  <si>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</si>
  <si>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</si>
  <si>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</si>
  <si>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</si>
  <si>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</si>
  <si>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</si>
  <si>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</si>
  <si>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</si>
  <si>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</si>
  <si>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</si>
  <si>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</si>
  <si>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</si>
  <si>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</si>
  <si>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</si>
  <si>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</si>
  <si>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</si>
  <si>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</si>
  <si>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</si>
  <si>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</si>
  <si>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</si>
  <si>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</si>
  <si>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</si>
  <si>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</si>
  <si>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</si>
  <si>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</si>
  <si>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</si>
  <si>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</si>
  <si>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</si>
  <si>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</si>
  <si>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</si>
  <si>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</si>
  <si>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</si>
  <si>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</si>
  <si>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</si>
  <si>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</si>
  <si>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</si>
  <si>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</si>
  <si>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</si>
  <si>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</si>
  <si>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</si>
  <si>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</si>
  <si>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</si>
  <si>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</si>
  <si>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</si>
  <si>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</si>
  <si>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</si>
  <si>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</si>
  <si>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</si>
  <si>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</si>
  <si>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</si>
  <si>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</si>
  <si>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</si>
  <si>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</si>
  <si>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</si>
  <si>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</si>
  <si>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</si>
  <si>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</si>
  <si>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</si>
  <si>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</si>
  <si>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</si>
  <si>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</si>
  <si>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</si>
  <si>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</si>
  <si>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</si>
  <si>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</si>
  <si>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</si>
  <si>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</si>
  <si>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</si>
  <si>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</si>
  <si>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</si>
  <si>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</si>
  <si>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</si>
  <si>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</si>
  <si>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</si>
  <si>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</si>
  <si>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</si>
  <si>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</si>
  <si>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</si>
  <si>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</si>
  <si>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</si>
  <si>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</si>
  <si>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</si>
  <si>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</si>
  <si>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</si>
  <si>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</si>
  <si>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</si>
  <si>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</si>
  <si>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</si>
  <si>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</si>
  <si>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</si>
  <si>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</si>
  <si>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</si>
  <si>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</si>
  <si>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</si>
  <si>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</si>
  <si>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</si>
  <si>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</si>
  <si>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</si>
  <si>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</si>
  <si>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</si>
  <si>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</si>
  <si>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</si>
  <si>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</si>
  <si>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</si>
  <si>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</si>
  <si>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</si>
  <si>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</si>
  <si>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</si>
  <si>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</si>
  <si>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</si>
  <si>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</si>
  <si>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</si>
  <si>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</si>
  <si>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</si>
  <si>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</si>
  <si>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</si>
  <si>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</si>
  <si>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</si>
  <si>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</si>
  <si>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</si>
  <si>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</si>
  <si>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</si>
  <si>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</si>
  <si>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</si>
  <si>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</si>
  <si>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</si>
  <si>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</si>
  <si>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</si>
  <si>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</si>
  <si>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</si>
  <si>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</si>
  <si>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</si>
  <si>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</si>
  <si>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</si>
  <si>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</si>
  <si>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</si>
  <si>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</si>
  <si>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</si>
  <si>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</si>
  <si>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</si>
  <si>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</si>
  <si>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</si>
  <si>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</si>
  <si>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</si>
  <si>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</si>
  <si>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</si>
  <si>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</si>
  <si>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</si>
  <si>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</si>
  <si>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</si>
  <si>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</si>
  <si>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</si>
  <si>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</si>
  <si>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</si>
  <si>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</si>
  <si>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</si>
  <si>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</si>
  <si>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</si>
  <si>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</si>
  <si>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</si>
  <si>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</si>
  <si>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</si>
  <si>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</si>
  <si>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</si>
  <si>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</si>
  <si>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</si>
  <si>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</si>
  <si>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</si>
  <si>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</si>
  <si>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</si>
  <si>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</si>
  <si>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</si>
  <si>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</si>
  <si>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</si>
  <si>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</si>
  <si>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</si>
  <si>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</si>
  <si>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</si>
  <si>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</si>
  <si>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</si>
  <si>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</si>
  <si>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</si>
  <si>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</si>
  <si>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</si>
  <si>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</si>
  <si>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</si>
  <si>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</si>
  <si>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</si>
  <si>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</si>
  <si>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</si>
  <si>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</si>
  <si>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</si>
  <si>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</si>
  <si>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</si>
  <si>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</si>
  <si>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</si>
  <si>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</si>
  <si>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</si>
  <si>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</si>
  <si>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</si>
  <si>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</si>
  <si>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</si>
  <si>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</si>
  <si>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</si>
  <si>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</si>
  <si>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</si>
  <si>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</si>
  <si>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</si>
  <si>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</si>
  <si>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</si>
  <si>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</si>
  <si>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</si>
  <si>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</si>
  <si>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</si>
  <si>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</si>
  <si>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</si>
  <si>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</si>
  <si>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</si>
  <si>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</si>
  <si>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</si>
  <si>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</si>
  <si>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</si>
  <si>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</si>
  <si>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</si>
  <si>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</si>
  <si>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</si>
  <si>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</si>
  <si>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</si>
  <si>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</si>
  <si>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</si>
  <si>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</si>
  <si>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</si>
  <si>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</si>
  <si>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</si>
  <si>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</si>
  <si>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</si>
  <si>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</si>
  <si>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</si>
  <si>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</si>
  <si>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</si>
  <si>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</si>
  <si>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</si>
  <si>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</si>
  <si>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</si>
  <si>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</si>
  <si>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</si>
  <si>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</si>
  <si>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</si>
  <si>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</si>
  <si>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</si>
  <si>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</si>
  <si>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</si>
  <si>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</si>
  <si>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</si>
  <si>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</si>
  <si>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</si>
  <si>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</si>
  <si>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</si>
  <si>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</si>
  <si>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</si>
  <si>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</si>
  <si>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</si>
  <si>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</si>
  <si>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</si>
  <si>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</si>
  <si>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</si>
  <si>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</si>
  <si>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</si>
  <si>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</si>
  <si>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</si>
  <si>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</si>
  <si>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</si>
  <si>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</si>
  <si>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</si>
  <si>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</si>
  <si>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</si>
  <si>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</si>
  <si>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</si>
  <si>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</si>
  <si>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</si>
  <si>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</si>
  <si>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</si>
  <si>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</si>
  <si>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</si>
  <si>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</si>
  <si>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</si>
  <si>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</si>
  <si>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</si>
  <si>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</si>
  <si>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</si>
  <si>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</si>
  <si>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</si>
  <si>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</si>
  <si>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</si>
  <si>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</si>
  <si>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</si>
  <si>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</si>
  <si>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</si>
  <si>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</si>
  <si>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</si>
  <si>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</si>
  <si>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</si>
  <si>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</si>
  <si>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</si>
  <si>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</si>
  <si>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</si>
  <si>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</si>
  <si>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</si>
  <si>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</si>
  <si>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</si>
  <si>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</si>
  <si>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</si>
  <si>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</si>
  <si>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</si>
  <si>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</si>
  <si>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</si>
  <si>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</si>
  <si>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</si>
  <si>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</si>
  <si>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</si>
  <si>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</si>
  <si>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</si>
  <si>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</si>
  <si>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</si>
  <si>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</si>
  <si>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</si>
  <si>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</si>
  <si>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</si>
  <si>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</si>
  <si>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</si>
  <si>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</si>
  <si>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</si>
  <si>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</si>
  <si>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</si>
  <si>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</si>
  <si>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</si>
  <si>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</si>
  <si>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</si>
  <si>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</si>
  <si>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</si>
  <si>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</si>
  <si>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</si>
  <si>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</si>
  <si>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</si>
  <si>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</si>
  <si>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</si>
  <si>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</si>
  <si>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</si>
  <si>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</si>
  <si>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</si>
  <si>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</si>
  <si>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</si>
  <si>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</si>
  <si>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</si>
  <si>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</si>
  <si>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</si>
  <si>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</si>
  <si>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</si>
  <si>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</si>
  <si>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</si>
  <si>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</si>
  <si>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</si>
  <si>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</si>
  <si>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</si>
  <si>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</si>
  <si>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</si>
  <si>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</si>
  <si>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</si>
  <si>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</si>
  <si>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</si>
  <si>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</si>
  <si>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</si>
  <si>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</si>
  <si>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</si>
  <si>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</si>
  <si>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</si>
  <si>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</si>
  <si>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</si>
  <si>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</si>
  <si>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</si>
  <si>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</si>
  <si>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</si>
  <si>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</si>
  <si>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</si>
  <si>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</si>
  <si>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</si>
  <si>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</si>
  <si>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</si>
  <si>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</si>
  <si>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</si>
  <si>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</si>
  <si>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</si>
  <si>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</si>
  <si>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</si>
  <si>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</si>
  <si>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</si>
  <si>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DSP 1.708/2022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</si>
  <si>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</si>
  <si>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</si>
  <si>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</si>
  <si>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</si>
  <si>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</si>
  <si>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</si>
  <si>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</si>
  <si>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</si>
  <si>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</si>
  <si>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</si>
  <si>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</si>
  <si>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</si>
  <si>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</si>
  <si>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</si>
  <si>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</si>
  <si>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</si>
  <si>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</si>
  <si>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Previsão-SGT-2022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</si>
  <si>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</si>
  <si>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</si>
  <si>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</si>
  <si>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</si>
  <si>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</si>
  <si>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</si>
  <si>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</si>
  <si>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</si>
  <si>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</si>
  <si>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</si>
  <si>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</si>
  <si>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</si>
  <si>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</si>
  <si>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</si>
  <si>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Previsão-2022</t>
  </si>
  <si>
    <t>Covid Demais Componentes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</si>
  <si>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</si>
  <si>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</si>
  <si>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</si>
  <si>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</si>
  <si>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</si>
  <si>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</si>
  <si>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</si>
  <si>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</si>
  <si>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</si>
  <si>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</si>
  <si>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</si>
  <si>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</si>
  <si>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</si>
  <si>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Azul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</si>
  <si>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</si>
  <si>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</si>
  <si>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</si>
  <si>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</si>
  <si>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</si>
  <si>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</si>
  <si>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</si>
  <si>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</si>
  <si>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GERAÇÃO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</si>
  <si>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</si>
  <si>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</si>
  <si>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</si>
  <si>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</si>
  <si>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</si>
  <si>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</si>
  <si>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</si>
  <si>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</si>
  <si>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</si>
  <si>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</si>
  <si>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</si>
  <si>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</si>
  <si>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</si>
  <si>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</si>
  <si>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</si>
  <si>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</si>
  <si>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</si>
  <si>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</si>
  <si>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</si>
  <si>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</si>
  <si>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</si>
  <si>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</si>
  <si>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</si>
  <si>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</si>
  <si>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</si>
  <si>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</si>
  <si>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</si>
  <si>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</si>
  <si>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</si>
  <si>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</si>
  <si>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</si>
  <si>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</si>
  <si>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</si>
  <si>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</si>
  <si>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</si>
  <si>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</si>
  <si>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</si>
  <si>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</si>
  <si>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</si>
  <si>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</si>
  <si>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</si>
  <si>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</si>
  <si>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</si>
  <si>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</si>
  <si>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</si>
  <si>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</si>
  <si>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</si>
  <si>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</si>
  <si>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Importação de Energia</t>
  </si>
  <si>
    <t>Bônus de redução voluntária</t>
  </si>
  <si>
    <t>Financeiros Mitigação</t>
  </si>
  <si>
    <t>EUST - FR</t>
  </si>
  <si>
    <t>EUST - RB</t>
  </si>
  <si>
    <t>RGE Uni</t>
  </si>
  <si>
    <t>RESOLUÇÃO HOMOLOGATÓRIA Nº 3.045, DE 21 DE JUNHO DE 2022</t>
  </si>
  <si>
    <t>Energia suprimento permissionária</t>
  </si>
  <si>
    <t>7371</t>
  </si>
  <si>
    <t>396</t>
  </si>
  <si>
    <t>RGE SUL DISTRIBUIDORA DE ENERGIA S.A.</t>
  </si>
  <si>
    <t>Branca</t>
  </si>
  <si>
    <t>Intermediário</t>
  </si>
  <si>
    <t>Fonte incentivada</t>
  </si>
  <si>
    <t>LIVRE</t>
  </si>
  <si>
    <t>RASTRO DE AUTO</t>
  </si>
  <si>
    <t>LAJEADO 3 - 69 kV (A)</t>
  </si>
  <si>
    <t>69</t>
  </si>
  <si>
    <t>CEEE-T</t>
  </si>
  <si>
    <t>055/2001</t>
  </si>
  <si>
    <t>VINEYARDS</t>
  </si>
  <si>
    <t>031/2017</t>
  </si>
  <si>
    <t>CVE</t>
  </si>
  <si>
    <t>CDE Conta Covid</t>
  </si>
  <si>
    <t>Carta ENER/051/2022 de 29/06/2022</t>
  </si>
  <si>
    <t>Financeiro GP</t>
  </si>
  <si>
    <t>ELECTRA Comercializadora</t>
  </si>
  <si>
    <t xml:space="preserve"> 48500.004968/2021-33</t>
  </si>
  <si>
    <t>Efrain Pereira da Cruz</t>
  </si>
  <si>
    <t>Custo Distribuidora - Conta Covid - Art 4º - REN 952/2021</t>
  </si>
  <si>
    <t>CUSD A4DP</t>
  </si>
  <si>
    <t>CUSD A4DFP</t>
  </si>
  <si>
    <t>CUSD A4E</t>
  </si>
  <si>
    <t>Crédito de Pis cofins sobre ICMS</t>
  </si>
  <si>
    <t>IR/CSLL
Atualizados</t>
  </si>
  <si>
    <t>Tributos Incidentes
Atualizados</t>
  </si>
  <si>
    <t>Compensações Atualizadas
(SELIC mês)</t>
  </si>
  <si>
    <t>IR/CSLL</t>
  </si>
  <si>
    <t>Tributos Incidentes
(PIS/COFINS sobre atualização financeira)</t>
  </si>
  <si>
    <t>Compensações COFINS e PIS e levantamento de depósitos judiciais</t>
  </si>
  <si>
    <t xml:space="preserve">Previsão mensal </t>
  </si>
  <si>
    <t>Trânsito em Julgado habilitado</t>
  </si>
  <si>
    <t>Valor Disponível + 
Previsão 12 meses
(A + B)</t>
  </si>
  <si>
    <t xml:space="preserve">Previsão 12 meses pós IRT
(B) </t>
  </si>
  <si>
    <t>Valor Disponível para IRT
(A)</t>
  </si>
  <si>
    <t>Tributos e demais descontos</t>
  </si>
  <si>
    <t>Valores 2021
Atualizados</t>
  </si>
  <si>
    <t>Valores revertidos
PIS/COFINS
IRT 2021</t>
  </si>
  <si>
    <t>Valores 2020
Atualizados</t>
  </si>
  <si>
    <t>Valores revertidos PIS/COFINS
IRT 2020</t>
  </si>
  <si>
    <t>Creditos já aproveitados
(inclui depósitos judiciais, se for o caso)</t>
  </si>
  <si>
    <t>Aproveitamento Mensal Estimado</t>
  </si>
  <si>
    <t>Valor total</t>
  </si>
  <si>
    <t>Valor
Ação 2</t>
  </si>
  <si>
    <t>Situação
Ação 2</t>
  </si>
  <si>
    <t>Valor Ação
(inclui depósitos judiciais, se for o caso)</t>
  </si>
  <si>
    <t>Situação
Ação</t>
  </si>
  <si>
    <t>Ajustes Processos anteriores - Geração Propria</t>
  </si>
  <si>
    <t>Encargo de Conexão 2020</t>
  </si>
  <si>
    <t>Encargo de Conexão 2021</t>
  </si>
  <si>
    <t>Ajustes Processos anteriores - Encargo de Conexão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</si>
  <si>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</si>
  <si>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</si>
  <si>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</si>
  <si>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</si>
  <si>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</si>
  <si>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</si>
  <si>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</si>
  <si>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</si>
  <si>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</si>
  <si>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CVE em Processamento e Saldo a Compensar</t>
  </si>
  <si>
    <t>Informações para o cálculo da Sobrecontratação</t>
  </si>
  <si>
    <t>Perdas DRA realizadas</t>
  </si>
  <si>
    <t>Risco Hidrológico</t>
  </si>
  <si>
    <t>Soma de TE_E</t>
  </si>
  <si>
    <t>Sobrecontratação/Reversão de Energia - Energia de Revenda</t>
  </si>
  <si>
    <t>Sobrecontratação/Reversão de Energia - Perda Não Técnica</t>
  </si>
  <si>
    <t>Sobrecontratação/Reversão de Energia - Perda Técnica</t>
  </si>
  <si>
    <t>Sobrecontratação/Reversão de Energia - Perda Rede Básica sobre Dist.</t>
  </si>
  <si>
    <t>Sobrecontratação/Reversão de Energia - Perda Rede Básica sobre mercado Cat.</t>
  </si>
  <si>
    <t xml:space="preserve">Conta Escassez H. - Importação julho- agosto/2021 - RTA 2022 </t>
  </si>
  <si>
    <t>Conta Escassez H. - Diferimento de energia - RTA 2022</t>
  </si>
  <si>
    <t>Sobrecontratação/Reversão de Energia</t>
  </si>
  <si>
    <t>Neutralidade Crédito Pis cofins</t>
  </si>
  <si>
    <t>NT 139/2022-SGT/ANEEL</t>
  </si>
  <si>
    <t>21 de julho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</si>
</sst>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2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  <numFmt numFmtId="282" formatCode="mmm/yyyy"/>
  </numFmts>
  <fonts count="326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9"/>
      <color indexed="81"/>
      <name val="Segoe UI"/>
      <family val="2"/>
    </font>
    <font>
      <b/>
      <sz val="10"/>
      <color theme="1"/>
      <name val="Calibri"/>
      <family val="2"/>
      <scheme val="minor"/>
    </font>
    <font>
      <sz val="12"/>
      <color rgb="FFFF0000"/>
      <name val="Arial Narrow"/>
      <family val="2"/>
    </font>
  </fonts>
  <fills count="142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darkGray">
        <bgColor indexed="9"/>
      </patternFill>
    </fill>
    <fill>
      <patternFill patternType="darkGray">
        <bgColor theme="4" tint="-0.499984740745262"/>
      </patternFill>
    </fill>
    <fill>
      <patternFill patternType="darkGray"/>
    </fill>
    <fill>
      <patternFill patternType="darkGray">
        <bgColor theme="0"/>
      </patternFill>
    </fill>
    <fill>
      <patternFill patternType="darkGray">
        <bgColor indexed="22"/>
      </patternFill>
    </fill>
    <fill>
      <patternFill patternType="darkGray">
        <bgColor theme="3" tint="0.79998168889431442"/>
      </patternFill>
    </fill>
    <fill>
      <patternFill patternType="darkGray">
        <bgColor indexed="56"/>
      </patternFill>
    </fill>
    <fill>
      <patternFill patternType="darkGray">
        <bgColor theme="8" tint="0.59996337778862885"/>
      </patternFill>
    </fill>
    <fill>
      <patternFill patternType="darkGray">
        <bgColor theme="0" tint="-0.249977111117893"/>
      </patternFill>
    </fill>
  </fills>
  <borders count="2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theme="1" tint="0.499984740745262"/>
      </left>
      <right/>
      <top/>
      <bottom/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</borders>
  <cellStyleXfs count="43442">
    <xf numFmtId="0" fontId="0" fillId="0" borderId="0"/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2" fillId="0" borderId="0"/>
    <xf numFmtId="0" fontId="32" fillId="0" borderId="0"/>
    <xf numFmtId="0" fontId="32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2" fillId="0" borderId="0"/>
    <xf numFmtId="0" fontId="32" fillId="0" borderId="0"/>
    <xf numFmtId="0" fontId="32" fillId="0" borderId="0"/>
    <xf numFmtId="3" fontId="49" fillId="2" borderId="0">
      <alignment horizontal="left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3" fontId="51" fillId="9" borderId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3" fillId="0" borderId="0"/>
    <xf numFmtId="0" fontId="54" fillId="0" borderId="0"/>
    <xf numFmtId="0" fontId="54" fillId="0" borderId="0"/>
    <xf numFmtId="37" fontId="55" fillId="0" borderId="0"/>
    <xf numFmtId="0" fontId="55" fillId="0" borderId="1" applyBorder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7" fontId="33" fillId="22" borderId="2">
      <alignment horizontal="center" vertical="center"/>
    </xf>
    <xf numFmtId="0" fontId="42" fillId="0" borderId="0"/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3" fontId="56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58" fillId="4" borderId="0" applyNumberFormat="0" applyBorder="0" applyAlignment="0" applyProtection="0"/>
    <xf numFmtId="0" fontId="59" fillId="0" borderId="0" applyNumberFormat="0" applyFill="0" applyBorder="0" applyAlignment="0" applyProtection="0"/>
    <xf numFmtId="0" fontId="32" fillId="0" borderId="0" applyNumberFormat="0" applyFill="0" applyBorder="0" applyAlignment="0"/>
    <xf numFmtId="178" fontId="60" fillId="0" borderId="0">
      <alignment vertical="top"/>
    </xf>
    <xf numFmtId="179" fontId="61" fillId="0" borderId="3"/>
    <xf numFmtId="0" fontId="62" fillId="5" borderId="0" applyNumberFormat="0" applyBorder="0" applyAlignment="0" applyProtection="0"/>
    <xf numFmtId="0" fontId="63" fillId="0" borderId="0">
      <protection locked="0"/>
    </xf>
    <xf numFmtId="0" fontId="63" fillId="0" borderId="0">
      <protection locked="0"/>
    </xf>
    <xf numFmtId="14" fontId="64" fillId="24" borderId="4" applyBorder="0" applyAlignment="0">
      <alignment horizontal="center" vertical="center"/>
    </xf>
    <xf numFmtId="0" fontId="64" fillId="25" borderId="4" applyNumberFormat="0" applyBorder="0" applyAlignment="0">
      <alignment horizontal="center" vertical="center"/>
    </xf>
    <xf numFmtId="180" fontId="42" fillId="0" borderId="0" applyFill="0" applyBorder="0" applyAlignment="0"/>
    <xf numFmtId="178" fontId="65" fillId="0" borderId="0" applyFill="0" applyBorder="0" applyAlignment="0"/>
    <xf numFmtId="174" fontId="65" fillId="0" borderId="0" applyFill="0" applyBorder="0" applyAlignment="0"/>
    <xf numFmtId="175" fontId="47" fillId="0" borderId="0" applyFill="0" applyBorder="0" applyAlignment="0"/>
    <xf numFmtId="181" fontId="32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6" fillId="26" borderId="5" applyNumberFormat="0" applyAlignment="0" applyProtection="0"/>
    <xf numFmtId="0" fontId="66" fillId="26" borderId="5" applyNumberFormat="0" applyAlignment="0" applyProtection="0"/>
    <xf numFmtId="40" fontId="65" fillId="23" borderId="6">
      <alignment vertical="center"/>
    </xf>
    <xf numFmtId="0" fontId="67" fillId="27" borderId="7" applyNumberFormat="0" applyAlignment="0" applyProtection="0"/>
    <xf numFmtId="0" fontId="68" fillId="0" borderId="8" applyNumberFormat="0" applyFill="0" applyAlignment="0" applyProtection="0"/>
    <xf numFmtId="0" fontId="67" fillId="27" borderId="7" applyNumberFormat="0" applyAlignment="0" applyProtection="0"/>
    <xf numFmtId="0" fontId="69" fillId="28" borderId="9" applyFont="0" applyFill="0" applyBorder="0"/>
    <xf numFmtId="0" fontId="44" fillId="0" borderId="10"/>
    <xf numFmtId="0" fontId="70" fillId="0" borderId="11"/>
    <xf numFmtId="41" fontId="114" fillId="0" borderId="0" applyFont="0" applyFill="0" applyBorder="0" applyAlignment="0" applyProtection="0"/>
    <xf numFmtId="180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43" fontId="114" fillId="0" borderId="0" applyFont="0" applyFill="0" applyBorder="0" applyAlignment="0" applyProtection="0"/>
    <xf numFmtId="3" fontId="71" fillId="0" borderId="0" applyFont="0" applyFill="0" applyBorder="0" applyAlignment="0" applyProtection="0"/>
    <xf numFmtId="168" fontId="32" fillId="29" borderId="0" applyNumberFormat="0" applyFont="0" applyBorder="0" applyAlignment="0" applyProtection="0"/>
    <xf numFmtId="0" fontId="70" fillId="0" borderId="11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198" fontId="114" fillId="0" borderId="0" applyFont="0" applyFill="0" applyBorder="0" applyAlignment="0" applyProtection="0"/>
    <xf numFmtId="178" fontId="65" fillId="0" borderId="0" applyFont="0" applyFill="0" applyBorder="0" applyAlignment="0" applyProtection="0"/>
    <xf numFmtId="199" fontId="114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63" fillId="0" borderId="0">
      <protection locked="0"/>
    </xf>
    <xf numFmtId="169" fontId="73" fillId="0" borderId="0">
      <protection locked="0"/>
    </xf>
    <xf numFmtId="14" fontId="41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39" fontId="70" fillId="0" borderId="0" applyFont="0" applyFill="0" applyBorder="0" applyAlignment="0" applyProtection="0"/>
    <xf numFmtId="0" fontId="72" fillId="0" borderId="0" applyFont="0" applyFill="0" applyBorder="0" applyAlignment="0"/>
    <xf numFmtId="183" fontId="4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74" fillId="8" borderId="5" applyNumberFormat="0" applyAlignment="0" applyProtection="0"/>
    <xf numFmtId="0" fontId="46" fillId="0" borderId="0">
      <alignment vertical="center"/>
    </xf>
    <xf numFmtId="184" fontId="32" fillId="0" borderId="0" applyFont="0" applyFill="0" applyBorder="0" applyAlignment="0" applyProtection="0"/>
    <xf numFmtId="3" fontId="40" fillId="0" borderId="13" applyFill="0" applyBorder="0"/>
    <xf numFmtId="0" fontId="75" fillId="0" borderId="0" applyNumberFormat="0" applyFill="0" applyBorder="0" applyAlignment="0" applyProtection="0"/>
    <xf numFmtId="37" fontId="76" fillId="0" borderId="0" applyBorder="0" applyAlignment="0"/>
    <xf numFmtId="185" fontId="32" fillId="0" borderId="0">
      <protection locked="0"/>
    </xf>
    <xf numFmtId="186" fontId="63" fillId="0" borderId="0">
      <protection locked="0"/>
    </xf>
    <xf numFmtId="0" fontId="115" fillId="0" borderId="0" applyNumberFormat="0" applyFill="0" applyBorder="0" applyAlignment="0" applyProtection="0">
      <alignment vertical="top"/>
      <protection locked="0"/>
    </xf>
    <xf numFmtId="0" fontId="77" fillId="23" borderId="0" applyNumberFormat="0" applyFont="0" applyBorder="0" applyAlignment="0" applyProtection="0">
      <alignment horizontal="centerContinuous"/>
    </xf>
    <xf numFmtId="0" fontId="77" fillId="30" borderId="0" applyNumberFormat="0" applyFont="0" applyBorder="0" applyAlignment="0" applyProtection="0">
      <alignment horizontal="centerContinuous"/>
    </xf>
    <xf numFmtId="0" fontId="78" fillId="9" borderId="14" applyNumberFormat="0" applyFont="0" applyBorder="0" applyAlignment="0"/>
    <xf numFmtId="0" fontId="42" fillId="23" borderId="15" applyNumberFormat="0" applyFont="0" applyBorder="0" applyAlignment="0" applyProtection="0"/>
    <xf numFmtId="10" fontId="32" fillId="23" borderId="0" applyNumberFormat="0" applyFont="0" applyBorder="0" applyAlignment="0"/>
    <xf numFmtId="0" fontId="62" fillId="5" borderId="0" applyNumberFormat="0" applyBorder="0" applyAlignment="0" applyProtection="0"/>
    <xf numFmtId="38" fontId="79" fillId="9" borderId="0" applyNumberFormat="0" applyBorder="0" applyAlignment="0" applyProtection="0"/>
    <xf numFmtId="0" fontId="80" fillId="0" borderId="0" applyNumberFormat="0" applyFill="0" applyBorder="0" applyAlignment="0" applyProtection="0"/>
    <xf numFmtId="0" fontId="81" fillId="0" borderId="16" applyNumberFormat="0" applyAlignment="0" applyProtection="0">
      <alignment horizontal="left" vertical="center"/>
    </xf>
    <xf numFmtId="0" fontId="81" fillId="0" borderId="17">
      <alignment horizontal="left" vertical="center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0" fontId="85" fillId="0" borderId="19" applyNumberFormat="0" applyFill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46" fillId="0" borderId="0"/>
    <xf numFmtId="37" fontId="86" fillId="0" borderId="0" applyFill="0" applyBorder="0" applyAlignment="0">
      <protection locked="0"/>
    </xf>
    <xf numFmtId="0" fontId="86" fillId="0" borderId="20" applyFill="0" applyBorder="0" applyAlignment="0">
      <alignment horizontal="center"/>
      <protection locked="0"/>
    </xf>
    <xf numFmtId="10" fontId="79" fillId="23" borderId="6" applyNumberFormat="0" applyBorder="0" applyAlignment="0" applyProtection="0"/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8" fillId="0" borderId="8" applyNumberFormat="0" applyFill="0" applyAlignment="0" applyProtection="0"/>
    <xf numFmtId="167" fontId="30" fillId="0" borderId="0" applyFont="0" applyFill="0" applyBorder="0" applyAlignment="0" applyProtection="0"/>
    <xf numFmtId="188" fontId="63" fillId="0" borderId="0">
      <protection locked="0"/>
    </xf>
    <xf numFmtId="0" fontId="32" fillId="0" borderId="0" applyFont="0" applyFill="0" applyBorder="0" applyAlignment="0" applyProtection="0"/>
    <xf numFmtId="3" fontId="87" fillId="2" borderId="1">
      <alignment horizontal="center"/>
    </xf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37" fontId="89" fillId="0" borderId="0"/>
    <xf numFmtId="189" fontId="90" fillId="0" borderId="0"/>
    <xf numFmtId="190" fontId="91" fillId="0" borderId="0"/>
    <xf numFmtId="191" fontId="91" fillId="0" borderId="0"/>
    <xf numFmtId="0" fontId="32" fillId="0" borderId="0" applyFill="0" applyBorder="0" applyAlignment="0"/>
    <xf numFmtId="0" fontId="32" fillId="0" borderId="0">
      <alignment vertical="top"/>
    </xf>
    <xf numFmtId="0" fontId="42" fillId="0" borderId="0"/>
    <xf numFmtId="0" fontId="42" fillId="0" borderId="0"/>
    <xf numFmtId="0" fontId="32" fillId="0" borderId="0"/>
    <xf numFmtId="0" fontId="42" fillId="0" borderId="0"/>
    <xf numFmtId="0" fontId="32" fillId="0" borderId="0"/>
    <xf numFmtId="0" fontId="42" fillId="0" borderId="0"/>
    <xf numFmtId="0" fontId="42" fillId="0" borderId="0"/>
    <xf numFmtId="0" fontId="32" fillId="0" borderId="0" applyProtection="0"/>
    <xf numFmtId="0" fontId="42" fillId="32" borderId="21" applyNumberFormat="0" applyFont="0" applyAlignment="0" applyProtection="0"/>
    <xf numFmtId="0" fontId="32" fillId="32" borderId="21" applyNumberFormat="0" applyFont="0" applyAlignment="0" applyProtection="0"/>
    <xf numFmtId="0" fontId="92" fillId="26" borderId="22" applyNumberFormat="0" applyAlignment="0" applyProtection="0"/>
    <xf numFmtId="0" fontId="93" fillId="33" borderId="0"/>
    <xf numFmtId="0" fontId="32" fillId="0" borderId="23" applyFont="0" applyFill="0" applyBorder="0" applyAlignment="0" applyProtection="0">
      <alignment horizontal="right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4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0" fillId="22" borderId="24" applyNumberFormat="0" applyFon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14" fontId="64" fillId="34" borderId="19" applyNumberFormat="0" applyFont="0" applyBorder="0" applyAlignment="0" applyProtection="0">
      <alignment horizontal="center" vertical="center"/>
    </xf>
    <xf numFmtId="3" fontId="94" fillId="0" borderId="0" applyFill="0" applyBorder="0" applyAlignment="0" applyProtection="0"/>
    <xf numFmtId="3" fontId="45" fillId="0" borderId="0" applyFill="0" applyBorder="0" applyAlignment="0" applyProtection="0"/>
    <xf numFmtId="3" fontId="94" fillId="0" borderId="0" applyFill="0" applyBorder="0" applyAlignment="0" applyProtection="0"/>
    <xf numFmtId="0" fontId="92" fillId="26" borderId="22" applyNumberFormat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68" fontId="3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4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3" fontId="96" fillId="36" borderId="0">
      <alignment horizontal="left"/>
    </xf>
    <xf numFmtId="0" fontId="48" fillId="0" borderId="0">
      <alignment vertical="top"/>
    </xf>
    <xf numFmtId="0" fontId="97" fillId="0" borderId="0"/>
    <xf numFmtId="0" fontId="97" fillId="0" borderId="0"/>
    <xf numFmtId="0" fontId="97" fillId="0" borderId="0"/>
    <xf numFmtId="0" fontId="97" fillId="0" borderId="0"/>
    <xf numFmtId="38" fontId="98" fillId="0" borderId="0" applyFill="0" applyBorder="0" applyAlignment="0" applyProtection="0"/>
    <xf numFmtId="0" fontId="32" fillId="0" borderId="0" applyFill="0" applyBorder="0" applyAlignment="0" applyProtection="0"/>
    <xf numFmtId="49" fontId="41" fillId="0" borderId="0" applyFill="0" applyBorder="0" applyAlignment="0"/>
    <xf numFmtId="0" fontId="42" fillId="0" borderId="0" applyFill="0" applyBorder="0" applyAlignment="0"/>
    <xf numFmtId="0" fontId="4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" fontId="100" fillId="0" borderId="0" applyFont="0" applyFill="0" applyBorder="0" applyAlignment="0" applyProtection="0">
      <alignment horizontal="left"/>
    </xf>
    <xf numFmtId="0" fontId="101" fillId="0" borderId="0" applyNumberFormat="0" applyFill="0" applyBorder="0" applyAlignment="0" applyProtection="0"/>
    <xf numFmtId="3" fontId="102" fillId="36" borderId="0">
      <alignment horizontal="center"/>
    </xf>
    <xf numFmtId="0" fontId="101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3" fontId="106" fillId="36" borderId="0">
      <alignment horizontal="left"/>
    </xf>
    <xf numFmtId="187" fontId="32" fillId="0" borderId="27">
      <protection locked="0"/>
    </xf>
    <xf numFmtId="3" fontId="51" fillId="37" borderId="0">
      <alignment horizontal="right"/>
    </xf>
    <xf numFmtId="10" fontId="107" fillId="0" borderId="28" applyNumberFormat="0" applyFont="0" applyFill="0" applyAlignment="0" applyProtection="0"/>
    <xf numFmtId="37" fontId="79" fillId="29" borderId="0" applyNumberFormat="0" applyBorder="0" applyAlignment="0" applyProtection="0"/>
    <xf numFmtId="37" fontId="44" fillId="0" borderId="0"/>
    <xf numFmtId="3" fontId="108" fillId="0" borderId="19" applyProtection="0"/>
    <xf numFmtId="193" fontId="63" fillId="0" borderId="0">
      <protection locked="0"/>
    </xf>
    <xf numFmtId="194" fontId="63" fillId="0" borderId="0">
      <protection locked="0"/>
    </xf>
    <xf numFmtId="0" fontId="99" fillId="0" borderId="0" applyNumberFormat="0" applyFill="0" applyBorder="0" applyAlignment="0" applyProtection="0"/>
    <xf numFmtId="0" fontId="32" fillId="0" borderId="17" applyFont="0" applyFill="0" applyBorder="0" applyAlignment="0" applyProtection="0"/>
    <xf numFmtId="167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0" fontId="37" fillId="0" borderId="0">
      <alignment vertical="top"/>
    </xf>
    <xf numFmtId="0" fontId="32" fillId="0" borderId="0"/>
    <xf numFmtId="9" fontId="32" fillId="0" borderId="0" applyFont="0" applyFill="0" applyBorder="0" applyAlignment="0" applyProtection="0"/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5" fillId="0" borderId="30" applyBorder="0"/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0" fontId="32" fillId="0" borderId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31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80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84" fillId="0" borderId="0" applyNumberFormat="0" applyFill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31" applyNumberFormat="0" applyAlignment="0" applyProtection="0"/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0" fontId="32" fillId="23" borderId="33" applyNumberFormat="0" applyFon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3" fontId="87" fillId="2" borderId="30">
      <alignment horizontal="center"/>
    </xf>
    <xf numFmtId="0" fontId="88" fillId="31" borderId="0" applyNumberFormat="0" applyBorder="0" applyAlignment="0" applyProtection="0"/>
    <xf numFmtId="203" fontId="32" fillId="0" borderId="0"/>
    <xf numFmtId="203" fontId="32" fillId="0" borderId="0"/>
    <xf numFmtId="203" fontId="32" fillId="0" borderId="0"/>
    <xf numFmtId="203" fontId="32" fillId="0" borderId="0"/>
    <xf numFmtId="190" fontId="118" fillId="0" borderId="0"/>
    <xf numFmtId="191" fontId="118" fillId="0" borderId="0"/>
    <xf numFmtId="0" fontId="72" fillId="0" borderId="0"/>
    <xf numFmtId="0" fontId="37" fillId="0" borderId="0"/>
    <xf numFmtId="0" fontId="32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9" fillId="0" borderId="0"/>
    <xf numFmtId="0" fontId="119" fillId="0" borderId="0"/>
    <xf numFmtId="0" fontId="119" fillId="0" borderId="0"/>
    <xf numFmtId="0" fontId="119" fillId="0" borderId="0"/>
    <xf numFmtId="0" fontId="32" fillId="0" borderId="0"/>
    <xf numFmtId="0" fontId="32" fillId="0" borderId="0"/>
    <xf numFmtId="184" fontId="72" fillId="0" borderId="0"/>
    <xf numFmtId="184" fontId="7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70" fontId="32" fillId="0" borderId="0"/>
    <xf numFmtId="0" fontId="120" fillId="0" borderId="0"/>
    <xf numFmtId="0" fontId="32" fillId="0" borderId="0"/>
    <xf numFmtId="0" fontId="29" fillId="0" borderId="0"/>
    <xf numFmtId="17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50" fillId="0" borderId="0"/>
    <xf numFmtId="0" fontId="50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0" borderId="23" applyFont="0" applyFill="0" applyBorder="0" applyAlignment="0" applyProtection="0">
      <alignment horizontal="right"/>
    </xf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21" fillId="0" borderId="0" applyNumberFormat="0" applyFill="0" applyBorder="0" applyAlignment="0" applyProtection="0"/>
    <xf numFmtId="0" fontId="92" fillId="26" borderId="37" applyNumberFormat="0" applyAlignment="0" applyProtection="0"/>
    <xf numFmtId="0" fontId="92" fillId="26" borderId="37" applyNumberFormat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72" fillId="0" borderId="0" applyFont="0" applyFill="0" applyBorder="0" applyAlignment="0" applyProtection="0"/>
    <xf numFmtId="0" fontId="122" fillId="0" borderId="38" applyProtection="0">
      <alignment horizontal="centerContinuous"/>
    </xf>
    <xf numFmtId="0" fontId="45" fillId="0" borderId="0"/>
    <xf numFmtId="0" fontId="45" fillId="0" borderId="0"/>
    <xf numFmtId="0" fontId="45" fillId="0" borderId="0"/>
    <xf numFmtId="0" fontId="45" fillId="0" borderId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39" applyNumberFormat="0" applyFill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53" fillId="0" borderId="0"/>
    <xf numFmtId="0" fontId="53" fillId="0" borderId="0"/>
    <xf numFmtId="0" fontId="28" fillId="0" borderId="0"/>
    <xf numFmtId="168" fontId="43" fillId="0" borderId="0" applyFont="0" applyFill="0" applyBorder="0" applyAlignment="0" applyProtection="0"/>
    <xf numFmtId="0" fontId="43" fillId="0" borderId="0"/>
    <xf numFmtId="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206" fontId="126" fillId="0" borderId="0" applyFill="0" applyBorder="0" applyProtection="0">
      <alignment horizontal="right"/>
      <protection locked="0"/>
    </xf>
    <xf numFmtId="207" fontId="126" fillId="0" borderId="0" applyFill="0" applyBorder="0" applyProtection="0">
      <alignment horizontal="right"/>
      <protection locked="0"/>
    </xf>
    <xf numFmtId="208" fontId="126" fillId="0" borderId="0" applyFill="0" applyBorder="0" applyProtection="0">
      <alignment horizontal="right"/>
      <protection locked="0"/>
    </xf>
    <xf numFmtId="207" fontId="126" fillId="0" borderId="0" applyFont="0" applyFill="0" applyBorder="0" applyAlignment="0"/>
    <xf numFmtId="208" fontId="126" fillId="0" borderId="0" applyFont="0" applyFill="0" applyBorder="0" applyAlignment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209" fontId="118" fillId="0" borderId="0" applyFill="0" applyBorder="0" applyProtection="0">
      <alignment horizontal="right"/>
      <protection locked="0"/>
    </xf>
    <xf numFmtId="210" fontId="126" fillId="0" borderId="41" applyFont="0" applyFill="0" applyBorder="0" applyAlignment="0"/>
    <xf numFmtId="211" fontId="126" fillId="0" borderId="0" applyFill="0" applyBorder="0" applyProtection="0">
      <alignment horizontal="right"/>
      <protection locked="0"/>
    </xf>
    <xf numFmtId="212" fontId="118" fillId="0" borderId="0" applyFill="0" applyBorder="0" applyProtection="0">
      <alignment horizontal="right"/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32" fillId="0" borderId="0"/>
    <xf numFmtId="168" fontId="32" fillId="0" borderId="0" applyFont="0" applyFill="0" applyBorder="0" applyAlignment="0" applyProtection="0">
      <alignment wrapText="1"/>
    </xf>
    <xf numFmtId="17" fontId="69" fillId="0" borderId="0" applyFill="0" applyBorder="0">
      <alignment horizontal="right"/>
    </xf>
    <xf numFmtId="169" fontId="73" fillId="0" borderId="0">
      <protection locked="0"/>
    </xf>
    <xf numFmtId="0" fontId="127" fillId="47" borderId="0" applyNumberFormat="0" applyBorder="0" applyProtection="0">
      <alignment horizontal="center"/>
      <protection locked="0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3" fontId="129" fillId="0" borderId="42" applyFill="0" applyBorder="0" applyAlignment="0">
      <alignment horizontal="center"/>
    </xf>
    <xf numFmtId="167" fontId="27" fillId="0" borderId="0" applyFont="0" applyFill="0" applyBorder="0" applyAlignment="0" applyProtection="0"/>
    <xf numFmtId="0" fontId="46" fillId="0" borderId="0"/>
    <xf numFmtId="0" fontId="32" fillId="0" borderId="0"/>
    <xf numFmtId="0" fontId="32" fillId="0" borderId="0"/>
    <xf numFmtId="0" fontId="32" fillId="0" borderId="0">
      <alignment vertical="top"/>
    </xf>
    <xf numFmtId="0" fontId="32" fillId="0" borderId="0"/>
    <xf numFmtId="0" fontId="32" fillId="0" borderId="0"/>
    <xf numFmtId="0" fontId="32" fillId="0" borderId="0"/>
    <xf numFmtId="0" fontId="27" fillId="0" borderId="0">
      <alignment vertical="center"/>
    </xf>
    <xf numFmtId="213" fontId="69" fillId="0" borderId="0" applyNumberFormat="0" applyFill="0" applyBorder="0" applyAlignment="0" applyProtection="0"/>
    <xf numFmtId="9" fontId="4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0" fillId="40" borderId="43">
      <alignment horizontal="left"/>
    </xf>
    <xf numFmtId="4" fontId="51" fillId="0" borderId="44" applyNumberFormat="0" applyProtection="0">
      <alignment vertical="center"/>
    </xf>
    <xf numFmtId="4" fontId="131" fillId="29" borderId="44" applyNumberFormat="0" applyProtection="0">
      <alignment vertical="center"/>
    </xf>
    <xf numFmtId="4" fontId="51" fillId="0" borderId="44" applyNumberFormat="0" applyProtection="0">
      <alignment horizontal="left" vertical="center" indent="1"/>
    </xf>
    <xf numFmtId="0" fontId="51" fillId="0" borderId="44" applyNumberFormat="0" applyProtection="0">
      <alignment horizontal="left" vertical="top" indent="1"/>
    </xf>
    <xf numFmtId="4" fontId="51" fillId="0" borderId="0" applyNumberFormat="0" applyProtection="0">
      <alignment horizontal="left" vertical="center" indent="1"/>
    </xf>
    <xf numFmtId="4" fontId="37" fillId="4" borderId="44" applyNumberFormat="0" applyProtection="0">
      <alignment horizontal="right" vertical="center"/>
    </xf>
    <xf numFmtId="4" fontId="37" fillId="11" borderId="44" applyNumberFormat="0" applyProtection="0">
      <alignment horizontal="right" vertical="center"/>
    </xf>
    <xf numFmtId="4" fontId="37" fillId="19" borderId="44" applyNumberFormat="0" applyProtection="0">
      <alignment horizontal="right" vertical="center"/>
    </xf>
    <xf numFmtId="4" fontId="37" fillId="13" borderId="44" applyNumberFormat="0" applyProtection="0">
      <alignment horizontal="right" vertical="center"/>
    </xf>
    <xf numFmtId="4" fontId="37" fillId="17" borderId="44" applyNumberFormat="0" applyProtection="0">
      <alignment horizontal="right" vertical="center"/>
    </xf>
    <xf numFmtId="4" fontId="37" fillId="21" borderId="44" applyNumberFormat="0" applyProtection="0">
      <alignment horizontal="right" vertical="center"/>
    </xf>
    <xf numFmtId="4" fontId="37" fillId="20" borderId="44" applyNumberFormat="0" applyProtection="0">
      <alignment horizontal="right" vertical="center"/>
    </xf>
    <xf numFmtId="4" fontId="37" fillId="48" borderId="44" applyNumberFormat="0" applyProtection="0">
      <alignment horizontal="right" vertical="center"/>
    </xf>
    <xf numFmtId="4" fontId="37" fillId="12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49" borderId="0" applyNumberFormat="0" applyProtection="0">
      <alignment horizontal="left" vertical="center" indent="1"/>
    </xf>
    <xf numFmtId="4" fontId="37" fillId="50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0" borderId="41" applyNumberFormat="0" applyProtection="0">
      <alignment horizontal="left" vertical="center" indent="1"/>
    </xf>
    <xf numFmtId="0" fontId="32" fillId="49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51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22" borderId="44" applyNumberFormat="0" applyProtection="0">
      <alignment horizontal="left" vertical="top" indent="1"/>
    </xf>
    <xf numFmtId="0" fontId="32" fillId="52" borderId="44" applyNumberFormat="0" applyProtection="0">
      <alignment horizontal="left" vertical="center" indent="1"/>
    </xf>
    <xf numFmtId="0" fontId="32" fillId="52" borderId="44" applyNumberFormat="0" applyProtection="0">
      <alignment horizontal="left" vertical="top" indent="1"/>
    </xf>
    <xf numFmtId="4" fontId="37" fillId="23" borderId="44" applyNumberFormat="0" applyProtection="0">
      <alignment vertical="center"/>
    </xf>
    <xf numFmtId="4" fontId="133" fillId="23" borderId="44" applyNumberFormat="0" applyProtection="0">
      <alignment vertical="center"/>
    </xf>
    <xf numFmtId="4" fontId="37" fillId="23" borderId="44" applyNumberFormat="0" applyProtection="0">
      <alignment horizontal="left" vertical="center" indent="1"/>
    </xf>
    <xf numFmtId="0" fontId="37" fillId="23" borderId="44" applyNumberFormat="0" applyProtection="0">
      <alignment horizontal="left" vertical="top" indent="1"/>
    </xf>
    <xf numFmtId="4" fontId="37" fillId="0" borderId="41" applyNumberFormat="0" applyProtection="0">
      <alignment horizontal="right" vertical="center"/>
    </xf>
    <xf numFmtId="4" fontId="133" fillId="0" borderId="44" applyNumberFormat="0" applyProtection="0">
      <alignment horizontal="right" vertical="center"/>
    </xf>
    <xf numFmtId="4" fontId="37" fillId="0" borderId="45" applyNumberFormat="0" applyProtection="0">
      <alignment horizontal="left" vertical="center" indent="1"/>
    </xf>
    <xf numFmtId="0" fontId="51" fillId="0" borderId="41" applyNumberFormat="0" applyProtection="0">
      <alignment horizontal="left" vertical="top" indent="1"/>
    </xf>
    <xf numFmtId="4" fontId="122" fillId="0" borderId="0" applyNumberFormat="0" applyProtection="0">
      <alignment horizontal="left" vertical="center" indent="1"/>
    </xf>
    <xf numFmtId="4" fontId="32" fillId="0" borderId="44" applyNumberFormat="0" applyProtection="0">
      <alignment horizontal="right" vertical="center"/>
    </xf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213" fontId="44" fillId="53" borderId="0" applyNumberFormat="0" applyFont="0" applyBorder="0" applyAlignment="0">
      <protection hidden="1"/>
    </xf>
    <xf numFmtId="0" fontId="134" fillId="0" borderId="0" applyFill="0" applyBorder="0" applyAlignment="0" applyProtection="0">
      <protection locked="0"/>
    </xf>
    <xf numFmtId="0" fontId="135" fillId="0" borderId="0" applyBorder="0" applyAlignment="0" applyProtection="0">
      <protection locked="0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26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6" fillId="0" borderId="0">
      <alignment vertical="center"/>
    </xf>
    <xf numFmtId="168" fontId="30" fillId="0" borderId="0" applyFont="0" applyFill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46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46" applyNumberFormat="0" applyAlignment="0" applyProtection="0"/>
    <xf numFmtId="0" fontId="74" fillId="8" borderId="46" applyNumberFormat="0" applyAlignment="0" applyProtection="0"/>
    <xf numFmtId="0" fontId="58" fillId="4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7" fontId="26" fillId="0" borderId="0" applyFont="0" applyFill="0" applyBorder="0" applyAlignment="0" applyProtection="0"/>
    <xf numFmtId="0" fontId="88" fillId="31" borderId="0" applyNumberFormat="0" applyBorder="0" applyAlignment="0" applyProtection="0"/>
    <xf numFmtId="190" fontId="118" fillId="0" borderId="0"/>
    <xf numFmtId="190" fontId="118" fillId="0" borderId="0"/>
    <xf numFmtId="191" fontId="118" fillId="0" borderId="0"/>
    <xf numFmtId="191" fontId="118" fillId="0" borderId="0"/>
    <xf numFmtId="0" fontId="32" fillId="0" borderId="0">
      <alignment vertical="top"/>
    </xf>
    <xf numFmtId="0" fontId="32" fillId="0" borderId="0">
      <alignment vertical="top"/>
    </xf>
    <xf numFmtId="0" fontId="30" fillId="0" borderId="0"/>
    <xf numFmtId="0" fontId="50" fillId="32" borderId="47" applyNumberFormat="0" applyFon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92" fillId="26" borderId="48" applyNumberFormat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49" applyNumberFormat="0" applyFill="0" applyAlignment="0" applyProtection="0"/>
    <xf numFmtId="0" fontId="123" fillId="0" borderId="49" applyNumberFormat="0" applyFill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2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2" fillId="0" borderId="0"/>
    <xf numFmtId="0" fontId="37" fillId="0" borderId="0">
      <alignment vertical="top"/>
    </xf>
    <xf numFmtId="0" fontId="140" fillId="0" borderId="0" applyNumberFormat="0" applyFill="0" applyBorder="0" applyAlignment="0" applyProtection="0"/>
    <xf numFmtId="0" fontId="74" fillId="8" borderId="31" applyNumberFormat="0" applyAlignment="0" applyProtection="0"/>
    <xf numFmtId="0" fontId="66" fillId="26" borderId="31" applyNumberFormat="0" applyAlignment="0" applyProtection="0"/>
    <xf numFmtId="0" fontId="67" fillId="27" borderId="32" applyNumberFormat="0" applyAlignment="0" applyProtection="0"/>
    <xf numFmtId="218" fontId="44" fillId="0" borderId="0" applyFont="0" applyFill="0" applyBorder="0" applyAlignment="0" applyProtection="0"/>
    <xf numFmtId="0" fontId="141" fillId="0" borderId="0" applyNumberFormat="0" applyFill="0" applyBorder="0" applyAlignment="0" applyProtection="0">
      <alignment vertical="top"/>
      <protection locked="0"/>
    </xf>
    <xf numFmtId="0" fontId="74" fillId="8" borderId="31" applyNumberFormat="0" applyAlignment="0" applyProtection="0"/>
    <xf numFmtId="0" fontId="142" fillId="32" borderId="35" applyNumberFormat="0" applyFont="0" applyAlignment="0" applyProtection="0"/>
    <xf numFmtId="0" fontId="92" fillId="26" borderId="48" applyNumberFormat="0" applyAlignment="0" applyProtection="0"/>
    <xf numFmtId="0" fontId="25" fillId="0" borderId="0"/>
    <xf numFmtId="0" fontId="74" fillId="8" borderId="31" applyNumberFormat="0" applyAlignment="0" applyProtection="0"/>
    <xf numFmtId="0" fontId="74" fillId="8" borderId="31" applyNumberFormat="0" applyAlignment="0" applyProtection="0"/>
    <xf numFmtId="0" fontId="25" fillId="0" borderId="0"/>
    <xf numFmtId="0" fontId="25" fillId="0" borderId="0"/>
    <xf numFmtId="0" fontId="30" fillId="0" borderId="0"/>
    <xf numFmtId="0" fontId="55" fillId="0" borderId="55" applyBorder="0"/>
    <xf numFmtId="0" fontId="66" fillId="26" borderId="46" applyNumberFormat="0" applyAlignment="0" applyProtection="0"/>
    <xf numFmtId="40" fontId="65" fillId="23" borderId="56">
      <alignment vertical="center"/>
    </xf>
    <xf numFmtId="0" fontId="81" fillId="0" borderId="52">
      <alignment horizontal="left" vertical="center"/>
    </xf>
    <xf numFmtId="10" fontId="44" fillId="23" borderId="56" applyNumberFormat="0" applyBorder="0" applyAlignment="0" applyProtection="0"/>
    <xf numFmtId="3" fontId="87" fillId="2" borderId="55">
      <alignment horizontal="center"/>
    </xf>
    <xf numFmtId="0" fontId="32" fillId="32" borderId="35" applyNumberFormat="0" applyFont="0" applyAlignment="0" applyProtection="0"/>
    <xf numFmtId="0" fontId="32" fillId="0" borderId="54" applyFont="0" applyFill="0" applyBorder="0" applyAlignment="0" applyProtection="0">
      <alignment horizontal="right"/>
    </xf>
    <xf numFmtId="9" fontId="32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187" fontId="32" fillId="0" borderId="51">
      <protection locked="0"/>
    </xf>
    <xf numFmtId="0" fontId="32" fillId="0" borderId="52" applyFont="0" applyFill="0" applyBorder="0" applyAlignment="0" applyProtection="0"/>
    <xf numFmtId="0" fontId="55" fillId="0" borderId="55" applyBorder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3" fontId="87" fillId="2" borderId="55">
      <alignment horizontal="center"/>
    </xf>
    <xf numFmtId="0" fontId="24" fillId="0" borderId="0"/>
    <xf numFmtId="0" fontId="24" fillId="0" borderId="0"/>
    <xf numFmtId="0" fontId="32" fillId="0" borderId="54" applyFont="0" applyFill="0" applyBorder="0" applyAlignment="0" applyProtection="0">
      <alignment horizontal="right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0" fontId="92" fillId="26" borderId="48" applyNumberFormat="0" applyAlignment="0" applyProtection="0"/>
    <xf numFmtId="0" fontId="92" fillId="26" borderId="4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2" fillId="0" borderId="50" applyProtection="0">
      <alignment horizontal="centerContinuous"/>
    </xf>
    <xf numFmtId="0" fontId="123" fillId="0" borderId="49" applyNumberFormat="0" applyFill="0" applyAlignment="0" applyProtection="0"/>
    <xf numFmtId="0" fontId="24" fillId="0" borderId="0"/>
    <xf numFmtId="210" fontId="126" fillId="0" borderId="56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4" fontId="37" fillId="0" borderId="56" applyNumberFormat="0" applyProtection="0">
      <alignment horizontal="right" vertical="center"/>
    </xf>
    <xf numFmtId="4" fontId="37" fillId="0" borderId="58" applyNumberFormat="0" applyProtection="0">
      <alignment horizontal="left" vertical="center" indent="1"/>
    </xf>
    <xf numFmtId="0" fontId="51" fillId="0" borderId="56" applyNumberFormat="0" applyProtection="0">
      <alignment horizontal="left" vertical="top" indent="1"/>
    </xf>
    <xf numFmtId="0" fontId="24" fillId="0" borderId="0"/>
    <xf numFmtId="0" fontId="67" fillId="27" borderId="57" applyNumberFormat="0" applyAlignment="0" applyProtection="0"/>
    <xf numFmtId="167" fontId="24" fillId="0" borderId="0" applyFont="0" applyFill="0" applyBorder="0" applyAlignment="0" applyProtection="0"/>
    <xf numFmtId="0" fontId="50" fillId="32" borderId="35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4" fillId="8" borderId="46" applyNumberFormat="0" applyAlignment="0" applyProtection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0" fontId="24" fillId="0" borderId="0"/>
    <xf numFmtId="0" fontId="74" fillId="8" borderId="46" applyNumberFormat="0" applyAlignment="0" applyProtection="0"/>
    <xf numFmtId="0" fontId="74" fillId="8" borderId="46" applyNumberFormat="0" applyAlignment="0" applyProtection="0"/>
    <xf numFmtId="0" fontId="24" fillId="0" borderId="0"/>
    <xf numFmtId="0" fontId="24" fillId="0" borderId="0"/>
    <xf numFmtId="0" fontId="30" fillId="0" borderId="0"/>
    <xf numFmtId="9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0" fillId="0" borderId="0"/>
    <xf numFmtId="0" fontId="30" fillId="0" borderId="0"/>
    <xf numFmtId="4" fontId="32" fillId="0" borderId="72" applyNumberFormat="0" applyProtection="0">
      <alignment horizontal="right" vertical="center"/>
    </xf>
    <xf numFmtId="4" fontId="133" fillId="0" borderId="72" applyNumberFormat="0" applyProtection="0">
      <alignment horizontal="right" vertical="center"/>
    </xf>
    <xf numFmtId="4" fontId="37" fillId="23" borderId="72" applyNumberFormat="0" applyProtection="0">
      <alignment horizontal="left" vertical="center" indent="1"/>
    </xf>
    <xf numFmtId="4" fontId="37" fillId="23" borderId="72" applyNumberFormat="0" applyProtection="0">
      <alignment vertical="center"/>
    </xf>
    <xf numFmtId="0" fontId="32" fillId="52" borderId="72" applyNumberFormat="0" applyProtection="0">
      <alignment horizontal="left" vertical="top" indent="1"/>
    </xf>
    <xf numFmtId="0" fontId="32" fillId="49" borderId="72" applyNumberFormat="0" applyProtection="0">
      <alignment horizontal="left" vertical="top" indent="1"/>
    </xf>
    <xf numFmtId="4" fontId="37" fillId="12" borderId="72" applyNumberFormat="0" applyProtection="0">
      <alignment horizontal="right" vertical="center"/>
    </xf>
    <xf numFmtId="4" fontId="37" fillId="20" borderId="72" applyNumberFormat="0" applyProtection="0">
      <alignment horizontal="right" vertical="center"/>
    </xf>
    <xf numFmtId="4" fontId="37" fillId="17" borderId="72" applyNumberFormat="0" applyProtection="0">
      <alignment horizontal="right" vertical="center"/>
    </xf>
    <xf numFmtId="4" fontId="37" fillId="13" borderId="72" applyNumberFormat="0" applyProtection="0">
      <alignment horizontal="right" vertical="center"/>
    </xf>
    <xf numFmtId="0" fontId="51" fillId="0" borderId="72" applyNumberFormat="0" applyProtection="0">
      <alignment horizontal="left" vertical="top" indent="1"/>
    </xf>
    <xf numFmtId="4" fontId="51" fillId="0" borderId="72" applyNumberFormat="0" applyProtection="0">
      <alignment horizontal="left" vertical="center" indent="1"/>
    </xf>
    <xf numFmtId="4" fontId="51" fillId="0" borderId="72" applyNumberFormat="0" applyProtection="0">
      <alignment vertical="center"/>
    </xf>
    <xf numFmtId="0" fontId="66" fillId="26" borderId="65" applyNumberFormat="0" applyAlignment="0" applyProtection="0"/>
    <xf numFmtId="0" fontId="66" fillId="26" borderId="65" applyNumberFormat="0" applyAlignment="0" applyProtection="0"/>
    <xf numFmtId="40" fontId="65" fillId="23" borderId="62">
      <alignment vertical="center"/>
    </xf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0" fontId="81" fillId="0" borderId="59">
      <alignment horizontal="left" vertical="center"/>
    </xf>
    <xf numFmtId="10" fontId="44" fillId="23" borderId="62" applyNumberFormat="0" applyBorder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0" fontId="30" fillId="0" borderId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50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4" fontId="37" fillId="0" borderId="73" applyNumberFormat="0" applyProtection="0">
      <alignment horizontal="left" vertical="center" indent="1"/>
    </xf>
    <xf numFmtId="4" fontId="133" fillId="23" borderId="72" applyNumberFormat="0" applyProtection="0">
      <alignment vertical="center"/>
    </xf>
    <xf numFmtId="4" fontId="37" fillId="50" borderId="72" applyNumberFormat="0" applyProtection="0">
      <alignment horizontal="right" vertical="center"/>
    </xf>
    <xf numFmtId="4" fontId="37" fillId="21" borderId="72" applyNumberFormat="0" applyProtection="0">
      <alignment horizontal="right" vertical="center"/>
    </xf>
    <xf numFmtId="4" fontId="131" fillId="29" borderId="72" applyNumberFormat="0" applyProtection="0">
      <alignment vertical="center"/>
    </xf>
    <xf numFmtId="0" fontId="23" fillId="0" borderId="0"/>
    <xf numFmtId="0" fontId="37" fillId="23" borderId="72" applyNumberFormat="0" applyProtection="0">
      <alignment horizontal="left" vertical="top" indent="1"/>
    </xf>
    <xf numFmtId="0" fontId="32" fillId="52" borderId="72" applyNumberFormat="0" applyProtection="0">
      <alignment horizontal="left" vertical="center" indent="1"/>
    </xf>
    <xf numFmtId="0" fontId="32" fillId="22" borderId="72" applyNumberFormat="0" applyProtection="0">
      <alignment horizontal="left" vertical="top" indent="1"/>
    </xf>
    <xf numFmtId="0" fontId="32" fillId="51" borderId="72" applyNumberFormat="0" applyProtection="0">
      <alignment horizontal="left" vertical="top" indent="1"/>
    </xf>
    <xf numFmtId="4" fontId="37" fillId="48" borderId="72" applyNumberFormat="0" applyProtection="0">
      <alignment horizontal="right" vertical="center"/>
    </xf>
    <xf numFmtId="4" fontId="37" fillId="19" borderId="72" applyNumberFormat="0" applyProtection="0">
      <alignment horizontal="right" vertical="center"/>
    </xf>
    <xf numFmtId="4" fontId="37" fillId="11" borderId="72" applyNumberFormat="0" applyProtection="0">
      <alignment horizontal="right" vertical="center"/>
    </xf>
    <xf numFmtId="4" fontId="37" fillId="4" borderId="72" applyNumberFormat="0" applyProtection="0">
      <alignment horizontal="right" vertical="center"/>
    </xf>
    <xf numFmtId="210" fontId="126" fillId="0" borderId="62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51" fillId="0" borderId="70" applyNumberFormat="0" applyProtection="0">
      <alignment vertical="center"/>
    </xf>
    <xf numFmtId="4" fontId="131" fillId="29" borderId="70" applyNumberFormat="0" applyProtection="0">
      <alignment vertical="center"/>
    </xf>
    <xf numFmtId="4" fontId="51" fillId="0" borderId="70" applyNumberFormat="0" applyProtection="0">
      <alignment horizontal="left" vertical="center" indent="1"/>
    </xf>
    <xf numFmtId="0" fontId="51" fillId="0" borderId="70" applyNumberFormat="0" applyProtection="0">
      <alignment horizontal="left" vertical="top" indent="1"/>
    </xf>
    <xf numFmtId="4" fontId="37" fillId="4" borderId="70" applyNumberFormat="0" applyProtection="0">
      <alignment horizontal="right" vertical="center"/>
    </xf>
    <xf numFmtId="4" fontId="37" fillId="11" borderId="70" applyNumberFormat="0" applyProtection="0">
      <alignment horizontal="right" vertical="center"/>
    </xf>
    <xf numFmtId="4" fontId="37" fillId="19" borderId="70" applyNumberFormat="0" applyProtection="0">
      <alignment horizontal="right" vertical="center"/>
    </xf>
    <xf numFmtId="4" fontId="37" fillId="13" borderId="70" applyNumberFormat="0" applyProtection="0">
      <alignment horizontal="right" vertical="center"/>
    </xf>
    <xf numFmtId="4" fontId="37" fillId="17" borderId="70" applyNumberFormat="0" applyProtection="0">
      <alignment horizontal="right" vertical="center"/>
    </xf>
    <xf numFmtId="4" fontId="37" fillId="21" borderId="70" applyNumberFormat="0" applyProtection="0">
      <alignment horizontal="right" vertical="center"/>
    </xf>
    <xf numFmtId="4" fontId="37" fillId="20" borderId="70" applyNumberFormat="0" applyProtection="0">
      <alignment horizontal="right" vertical="center"/>
    </xf>
    <xf numFmtId="4" fontId="37" fillId="48" borderId="70" applyNumberFormat="0" applyProtection="0">
      <alignment horizontal="right" vertical="center"/>
    </xf>
    <xf numFmtId="4" fontId="37" fillId="12" borderId="70" applyNumberFormat="0" applyProtection="0">
      <alignment horizontal="right" vertical="center"/>
    </xf>
    <xf numFmtId="4" fontId="37" fillId="50" borderId="70" applyNumberFormat="0" applyProtection="0">
      <alignment horizontal="right" vertical="center"/>
    </xf>
    <xf numFmtId="0" fontId="32" fillId="0" borderId="62" applyNumberFormat="0" applyProtection="0">
      <alignment horizontal="left" vertical="center" indent="1"/>
    </xf>
    <xf numFmtId="0" fontId="32" fillId="49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51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22" borderId="70" applyNumberFormat="0" applyProtection="0">
      <alignment horizontal="left" vertical="top" indent="1"/>
    </xf>
    <xf numFmtId="0" fontId="32" fillId="52" borderId="70" applyNumberFormat="0" applyProtection="0">
      <alignment horizontal="left" vertical="center" indent="1"/>
    </xf>
    <xf numFmtId="0" fontId="32" fillId="52" borderId="70" applyNumberFormat="0" applyProtection="0">
      <alignment horizontal="left" vertical="top" indent="1"/>
    </xf>
    <xf numFmtId="4" fontId="37" fillId="23" borderId="70" applyNumberFormat="0" applyProtection="0">
      <alignment vertical="center"/>
    </xf>
    <xf numFmtId="4" fontId="133" fillId="23" borderId="70" applyNumberFormat="0" applyProtection="0">
      <alignment vertical="center"/>
    </xf>
    <xf numFmtId="4" fontId="37" fillId="23" borderId="70" applyNumberFormat="0" applyProtection="0">
      <alignment horizontal="left" vertical="center" indent="1"/>
    </xf>
    <xf numFmtId="0" fontId="37" fillId="23" borderId="70" applyNumberFormat="0" applyProtection="0">
      <alignment horizontal="left" vertical="top" indent="1"/>
    </xf>
    <xf numFmtId="4" fontId="37" fillId="0" borderId="62" applyNumberFormat="0" applyProtection="0">
      <alignment horizontal="right" vertical="center"/>
    </xf>
    <xf numFmtId="4" fontId="133" fillId="0" borderId="70" applyNumberFormat="0" applyProtection="0">
      <alignment horizontal="right" vertical="center"/>
    </xf>
    <xf numFmtId="4" fontId="37" fillId="0" borderId="71" applyNumberFormat="0" applyProtection="0">
      <alignment horizontal="left" vertical="center" indent="1"/>
    </xf>
    <xf numFmtId="0" fontId="51" fillId="0" borderId="62" applyNumberFormat="0" applyProtection="0">
      <alignment horizontal="left" vertical="top" indent="1"/>
    </xf>
    <xf numFmtId="4" fontId="32" fillId="0" borderId="70" applyNumberFormat="0" applyProtection="0">
      <alignment horizontal="right" vertical="center"/>
    </xf>
    <xf numFmtId="0" fontId="23" fillId="0" borderId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92" fillId="26" borderId="68" applyNumberFormat="0" applyAlignment="0" applyProtection="0"/>
    <xf numFmtId="0" fontId="123" fillId="0" borderId="69" applyNumberFormat="0" applyFill="0" applyAlignment="0" applyProtection="0"/>
    <xf numFmtId="0" fontId="123" fillId="0" borderId="69" applyNumberFormat="0" applyFill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142" fillId="32" borderId="67" applyNumberFormat="0" applyFont="0" applyAlignment="0" applyProtection="0"/>
    <xf numFmtId="0" fontId="92" fillId="26" borderId="68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65" applyNumberFormat="0" applyAlignment="0" applyProtection="0"/>
    <xf numFmtId="0" fontId="81" fillId="0" borderId="59">
      <alignment horizontal="left" vertical="center"/>
    </xf>
    <xf numFmtId="0" fontId="32" fillId="32" borderId="67" applyNumberFormat="0" applyFont="0" applyAlignment="0" applyProtection="0"/>
    <xf numFmtId="0" fontId="33" fillId="22" borderId="36" applyNumberFormat="0" applyFont="0" applyBorder="0" applyAlignment="0" applyProtection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7" fillId="0" borderId="71" applyNumberFormat="0" applyProtection="0">
      <alignment horizontal="left" vertical="center" indent="1"/>
    </xf>
    <xf numFmtId="0" fontId="23" fillId="0" borderId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50" fillId="32" borderId="76" applyNumberFormat="0" applyFont="0" applyAlignment="0" applyProtection="0"/>
    <xf numFmtId="0" fontId="92" fillId="26" borderId="77" applyNumberFormat="0" applyAlignment="0" applyProtection="0"/>
    <xf numFmtId="0" fontId="123" fillId="0" borderId="78" applyNumberFormat="0" applyFill="0" applyAlignment="0" applyProtection="0"/>
    <xf numFmtId="0" fontId="123" fillId="0" borderId="78" applyNumberFormat="0" applyFill="0" applyAlignment="0" applyProtection="0"/>
    <xf numFmtId="0" fontId="92" fillId="26" borderId="77" applyNumberFormat="0" applyAlignment="0" applyProtection="0"/>
    <xf numFmtId="0" fontId="66" fillId="26" borderId="75" applyNumberFormat="0" applyAlignment="0" applyProtection="0"/>
    <xf numFmtId="40" fontId="65" fillId="23" borderId="74">
      <alignment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87" fontId="32" fillId="0" borderId="80">
      <protection locked="0"/>
    </xf>
    <xf numFmtId="0" fontId="32" fillId="0" borderId="81" applyFont="0" applyFill="0" applyBorder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92" fillId="26" borderId="77" applyNumberFormat="0" applyAlignment="0" applyProtection="0"/>
    <xf numFmtId="0" fontId="92" fillId="26" borderId="77" applyNumberFormat="0" applyAlignment="0" applyProtection="0"/>
    <xf numFmtId="0" fontId="122" fillId="0" borderId="79" applyProtection="0">
      <alignment horizontal="centerContinuous"/>
    </xf>
    <xf numFmtId="0" fontId="123" fillId="0" borderId="78" applyNumberFormat="0" applyFill="0" applyAlignment="0" applyProtection="0"/>
    <xf numFmtId="210" fontId="126" fillId="0" borderId="74" applyFont="0" applyFill="0" applyBorder="0" applyAlignment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4" fontId="37" fillId="0" borderId="73" applyNumberFormat="0" applyProtection="0">
      <alignment horizontal="left" vertical="center" indent="1"/>
    </xf>
    <xf numFmtId="0" fontId="51" fillId="0" borderId="74" applyNumberFormat="0" applyProtection="0">
      <alignment horizontal="left" vertical="top" indent="1"/>
    </xf>
    <xf numFmtId="0" fontId="67" fillId="27" borderId="82" applyNumberFormat="0" applyAlignment="0" applyProtection="0"/>
    <xf numFmtId="0" fontId="74" fillId="8" borderId="75" applyNumberFormat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30" fillId="0" borderId="0"/>
    <xf numFmtId="0" fontId="74" fillId="8" borderId="86" applyNumberFormat="0" applyAlignment="0" applyProtection="0"/>
    <xf numFmtId="0" fontId="66" fillId="26" borderId="86" applyNumberFormat="0" applyAlignment="0" applyProtection="0"/>
    <xf numFmtId="0" fontId="32" fillId="0" borderId="92" applyFont="0" applyFill="0" applyBorder="0" applyAlignment="0" applyProtection="0"/>
    <xf numFmtId="10" fontId="44" fillId="23" borderId="85" applyNumberFormat="0" applyBorder="0" applyAlignment="0" applyProtection="0"/>
    <xf numFmtId="0" fontId="81" fillId="0" borderId="92">
      <alignment horizontal="left" vertical="center"/>
    </xf>
    <xf numFmtId="0" fontId="51" fillId="0" borderId="94" applyNumberFormat="0" applyProtection="0">
      <alignment horizontal="left" vertical="top" indent="1"/>
    </xf>
    <xf numFmtId="0" fontId="123" fillId="0" borderId="89" applyNumberFormat="0" applyFill="0" applyAlignment="0" applyProtection="0"/>
    <xf numFmtId="0" fontId="123" fillId="0" borderId="89" applyNumberFormat="0" applyFill="0" applyAlignment="0" applyProtection="0"/>
    <xf numFmtId="0" fontId="92" fillId="26" borderId="88" applyNumberFormat="0" applyAlignment="0" applyProtection="0"/>
    <xf numFmtId="0" fontId="50" fillId="32" borderId="87" applyNumberFormat="0" applyFont="0" applyAlignment="0" applyProtection="0"/>
    <xf numFmtId="0" fontId="74" fillId="8" borderId="86" applyNumberFormat="0" applyAlignment="0" applyProtection="0"/>
    <xf numFmtId="0" fontId="92" fillId="26" borderId="98" applyNumberFormat="0" applyAlignment="0" applyProtection="0"/>
    <xf numFmtId="4" fontId="37" fillId="23" borderId="83" applyNumberFormat="0" applyProtection="0">
      <alignment horizontal="left" vertical="center" indent="1"/>
    </xf>
    <xf numFmtId="4" fontId="133" fillId="23" borderId="83" applyNumberFormat="0" applyProtection="0">
      <alignment vertical="center"/>
    </xf>
    <xf numFmtId="4" fontId="37" fillId="23" borderId="83" applyNumberFormat="0" applyProtection="0">
      <alignment vertical="center"/>
    </xf>
    <xf numFmtId="0" fontId="32" fillId="52" borderId="83" applyNumberFormat="0" applyProtection="0">
      <alignment horizontal="left" vertical="center" indent="1"/>
    </xf>
    <xf numFmtId="0" fontId="32" fillId="51" borderId="83" applyNumberFormat="0" applyProtection="0">
      <alignment horizontal="left" vertical="top" indent="1"/>
    </xf>
    <xf numFmtId="0" fontId="32" fillId="49" borderId="83" applyNumberFormat="0" applyProtection="0">
      <alignment horizontal="left" vertical="top" indent="1"/>
    </xf>
    <xf numFmtId="4" fontId="37" fillId="50" borderId="83" applyNumberFormat="0" applyProtection="0">
      <alignment horizontal="right" vertical="center"/>
    </xf>
    <xf numFmtId="4" fontId="37" fillId="12" borderId="83" applyNumberFormat="0" applyProtection="0">
      <alignment horizontal="right" vertical="center"/>
    </xf>
    <xf numFmtId="4" fontId="37" fillId="48" borderId="83" applyNumberFormat="0" applyProtection="0">
      <alignment horizontal="right" vertical="center"/>
    </xf>
    <xf numFmtId="4" fontId="37" fillId="21" borderId="83" applyNumberFormat="0" applyProtection="0">
      <alignment horizontal="right" vertical="center"/>
    </xf>
    <xf numFmtId="4" fontId="37" fillId="17" borderId="83" applyNumberFormat="0" applyProtection="0">
      <alignment horizontal="right" vertical="center"/>
    </xf>
    <xf numFmtId="4" fontId="37" fillId="13" borderId="83" applyNumberFormat="0" applyProtection="0">
      <alignment horizontal="right" vertical="center"/>
    </xf>
    <xf numFmtId="4" fontId="37" fillId="11" borderId="83" applyNumberFormat="0" applyProtection="0">
      <alignment horizontal="right" vertical="center"/>
    </xf>
    <xf numFmtId="4" fontId="37" fillId="4" borderId="83" applyNumberFormat="0" applyProtection="0">
      <alignment horizontal="right" vertical="center"/>
    </xf>
    <xf numFmtId="4" fontId="51" fillId="0" borderId="83" applyNumberFormat="0" applyProtection="0">
      <alignment horizontal="left" vertical="center" indent="1"/>
    </xf>
    <xf numFmtId="4" fontId="131" fillId="29" borderId="83" applyNumberFormat="0" applyProtection="0">
      <alignment vertical="center"/>
    </xf>
    <xf numFmtId="4" fontId="51" fillId="0" borderId="83" applyNumberFormat="0" applyProtection="0">
      <alignment vertical="center"/>
    </xf>
    <xf numFmtId="0" fontId="92" fillId="26" borderId="98" applyNumberFormat="0" applyAlignment="0" applyProtection="0"/>
    <xf numFmtId="4" fontId="37" fillId="13" borderId="102" applyNumberFormat="0" applyProtection="0">
      <alignment horizontal="right" vertical="center"/>
    </xf>
    <xf numFmtId="0" fontId="66" fillId="26" borderId="93" applyNumberFormat="0" applyAlignment="0" applyProtection="0"/>
    <xf numFmtId="0" fontId="74" fillId="8" borderId="93" applyNumberFormat="0" applyAlignment="0" applyProtection="0"/>
    <xf numFmtId="0" fontId="122" fillId="0" borderId="100" applyProtection="0">
      <alignment horizontal="centerContinuous"/>
    </xf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32" fillId="32" borderId="97" applyNumberFormat="0" applyFont="0" applyAlignment="0" applyProtection="0"/>
    <xf numFmtId="0" fontId="122" fillId="0" borderId="100" applyProtection="0">
      <alignment horizontal="centerContinuous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32" fillId="0" borderId="94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7" fillId="23" borderId="102" applyNumberFormat="0" applyProtection="0">
      <alignment horizontal="left" vertical="top" indent="1"/>
    </xf>
    <xf numFmtId="0" fontId="51" fillId="0" borderId="94" applyNumberFormat="0" applyProtection="0">
      <alignment horizontal="left" vertical="top" indent="1"/>
    </xf>
    <xf numFmtId="0" fontId="74" fillId="8" borderId="93" applyNumberFormat="0" applyAlignment="0" applyProtection="0"/>
    <xf numFmtId="0" fontId="92" fillId="26" borderId="98" applyNumberFormat="0" applyAlignment="0" applyProtection="0"/>
    <xf numFmtId="0" fontId="123" fillId="0" borderId="101" applyNumberFormat="0" applyFill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74" fillId="8" borderId="93" applyNumberFormat="0" applyAlignment="0" applyProtection="0"/>
    <xf numFmtId="10" fontId="44" fillId="23" borderId="94" applyNumberFormat="0" applyBorder="0" applyAlignment="0" applyProtection="0"/>
    <xf numFmtId="187" fontId="32" fillId="0" borderId="99">
      <protection locked="0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0" fillId="0" borderId="0"/>
    <xf numFmtId="40" fontId="65" fillId="23" borderId="94">
      <alignment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4" fontId="51" fillId="0" borderId="102" applyNumberFormat="0" applyProtection="0">
      <alignment horizontal="left" vertical="center" indent="1"/>
    </xf>
    <xf numFmtId="4" fontId="37" fillId="19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0" fontId="32" fillId="0" borderId="94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0" borderId="94" applyNumberFormat="0" applyProtection="0">
      <alignment horizontal="left" vertical="center" indent="1"/>
    </xf>
    <xf numFmtId="4" fontId="37" fillId="23" borderId="102" applyNumberFormat="0" applyProtection="0">
      <alignment vertical="center"/>
    </xf>
    <xf numFmtId="0" fontId="32" fillId="0" borderId="94" applyNumberFormat="0" applyProtection="0">
      <alignment horizontal="left" vertical="center" indent="1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66" fillId="26" borderId="93" applyNumberFormat="0" applyAlignment="0" applyProtection="0"/>
    <xf numFmtId="210" fontId="126" fillId="0" borderId="94" applyFont="0" applyFill="0" applyBorder="0" applyAlignment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122" fillId="0" borderId="100" applyProtection="0">
      <alignment horizontal="centerContinuous"/>
    </xf>
    <xf numFmtId="0" fontId="74" fillId="8" borderId="93" applyNumberFormat="0" applyAlignment="0" applyProtection="0"/>
    <xf numFmtId="0" fontId="66" fillId="26" borderId="93" applyNumberFormat="0" applyAlignment="0" applyProtection="0"/>
    <xf numFmtId="187" fontId="32" fillId="0" borderId="99">
      <protection locked="0"/>
    </xf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22" fillId="0" borderId="0"/>
    <xf numFmtId="0" fontId="22" fillId="0" borderId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210" fontId="126" fillId="0" borderId="94" applyFont="0" applyFill="0" applyBorder="0" applyAlignment="0"/>
    <xf numFmtId="9" fontId="22" fillId="0" borderId="0" applyFont="0" applyFill="0" applyBorder="0" applyAlignment="0" applyProtection="0"/>
    <xf numFmtId="0" fontId="51" fillId="0" borderId="102" applyNumberFormat="0" applyProtection="0">
      <alignment horizontal="left" vertical="top" indent="1"/>
    </xf>
    <xf numFmtId="4" fontId="37" fillId="21" borderId="102" applyNumberFormat="0" applyProtection="0">
      <alignment horizontal="right" vertical="center"/>
    </xf>
    <xf numFmtId="0" fontId="32" fillId="52" borderId="102" applyNumberFormat="0" applyProtection="0">
      <alignment horizontal="left" vertical="center" indent="1"/>
    </xf>
    <xf numFmtId="4" fontId="133" fillId="23" borderId="102" applyNumberFormat="0" applyProtection="0">
      <alignment vertical="center"/>
    </xf>
    <xf numFmtId="4" fontId="133" fillId="0" borderId="102" applyNumberFormat="0" applyProtection="0">
      <alignment horizontal="right" vertical="center"/>
    </xf>
    <xf numFmtId="0" fontId="123" fillId="0" borderId="101" applyNumberFormat="0" applyFill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74" fillId="8" borderId="93" applyNumberFormat="0" applyAlignment="0" applyProtection="0"/>
    <xf numFmtId="0" fontId="142" fillId="32" borderId="97" applyNumberFormat="0" applyFont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0" borderId="103" applyNumberFormat="0" applyProtection="0">
      <alignment horizontal="left" vertical="center" indent="1"/>
    </xf>
    <xf numFmtId="0" fontId="74" fillId="8" borderId="93" applyNumberFormat="0" applyAlignment="0" applyProtection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1">
      <protection locked="0"/>
    </xf>
    <xf numFmtId="0" fontId="92" fillId="26" borderId="88" applyNumberFormat="0" applyAlignment="0" applyProtection="0"/>
    <xf numFmtId="0" fontId="74" fillId="8" borderId="86" applyNumberFormat="0" applyAlignment="0" applyProtection="0"/>
    <xf numFmtId="0" fontId="32" fillId="32" borderId="97" applyNumberFormat="0" applyFont="0" applyAlignment="0" applyProtection="0"/>
    <xf numFmtId="4" fontId="32" fillId="0" borderId="83" applyNumberFormat="0" applyProtection="0">
      <alignment horizontal="right" vertical="center"/>
    </xf>
    <xf numFmtId="0" fontId="37" fillId="23" borderId="83" applyNumberFormat="0" applyProtection="0">
      <alignment horizontal="left" vertical="top" indent="1"/>
    </xf>
    <xf numFmtId="0" fontId="32" fillId="52" borderId="83" applyNumberFormat="0" applyProtection="0">
      <alignment horizontal="left" vertical="top" indent="1"/>
    </xf>
    <xf numFmtId="0" fontId="32" fillId="22" borderId="83" applyNumberFormat="0" applyProtection="0">
      <alignment horizontal="left" vertical="top" indent="1"/>
    </xf>
    <xf numFmtId="4" fontId="37" fillId="20" borderId="83" applyNumberFormat="0" applyProtection="0">
      <alignment horizontal="right" vertical="center"/>
    </xf>
    <xf numFmtId="4" fontId="37" fillId="19" borderId="83" applyNumberFormat="0" applyProtection="0">
      <alignment horizontal="right" vertical="center"/>
    </xf>
    <xf numFmtId="0" fontId="51" fillId="0" borderId="83" applyNumberFormat="0" applyProtection="0">
      <alignment horizontal="left" vertical="top" indent="1"/>
    </xf>
    <xf numFmtId="210" fontId="126" fillId="0" borderId="94" applyFont="0" applyFill="0" applyBorder="0" applyAlignment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11" borderId="102" applyNumberFormat="0" applyProtection="0">
      <alignment horizontal="right" vertical="center"/>
    </xf>
    <xf numFmtId="0" fontId="32" fillId="22" borderId="102" applyNumberFormat="0" applyProtection="0">
      <alignment horizontal="left" vertical="top" indent="1"/>
    </xf>
    <xf numFmtId="0" fontId="66" fillId="26" borderId="93" applyNumberFormat="0" applyAlignment="0" applyProtection="0"/>
    <xf numFmtId="0" fontId="32" fillId="32" borderId="97" applyNumberFormat="0" applyFon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210" fontId="126" fillId="0" borderId="94" applyFont="0" applyFill="0" applyBorder="0" applyAlignment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22" fillId="0" borderId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74" fillId="8" borderId="86" applyNumberFormat="0" applyAlignment="0" applyProtection="0"/>
    <xf numFmtId="40" fontId="65" fillId="23" borderId="85">
      <alignment vertical="center"/>
    </xf>
    <xf numFmtId="0" fontId="66" fillId="26" borderId="86" applyNumberFormat="0" applyAlignment="0" applyProtection="0"/>
    <xf numFmtId="0" fontId="66" fillId="26" borderId="86" applyNumberFormat="0" applyAlignment="0" applyProtection="0"/>
    <xf numFmtId="4" fontId="37" fillId="0" borderId="84" applyNumberFormat="0" applyProtection="0">
      <alignment horizontal="left" vertical="center" indent="1"/>
    </xf>
    <xf numFmtId="4" fontId="133" fillId="0" borderId="83" applyNumberFormat="0" applyProtection="0">
      <alignment horizontal="right" vertical="center"/>
    </xf>
    <xf numFmtId="0" fontId="50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0" fontId="66" fillId="26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4" fontId="131" fillId="29" borderId="102" applyNumberFormat="0" applyProtection="0">
      <alignment vertical="center"/>
    </xf>
    <xf numFmtId="4" fontId="37" fillId="20" borderId="102" applyNumberFormat="0" applyProtection="0">
      <alignment horizontal="right" vertical="center"/>
    </xf>
    <xf numFmtId="0" fontId="32" fillId="23" borderId="95" applyNumberFormat="0" applyFont="0" applyBorder="0" applyAlignment="0" applyProtection="0"/>
    <xf numFmtId="0" fontId="32" fillId="32" borderId="97" applyNumberFormat="0" applyFont="0" applyAlignment="0" applyProtection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2" fillId="0" borderId="102" applyNumberFormat="0" applyProtection="0">
      <alignment horizontal="right"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22" fillId="0" borderId="0"/>
    <xf numFmtId="0" fontId="66" fillId="26" borderId="93" applyNumberFormat="0" applyAlignment="0" applyProtection="0"/>
    <xf numFmtId="0" fontId="66" fillId="26" borderId="93" applyNumberFormat="0" applyAlignment="0" applyProtection="0"/>
    <xf numFmtId="0" fontId="32" fillId="23" borderId="95" applyNumberFormat="0" applyFont="0" applyBorder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122" fillId="0" borderId="100" applyProtection="0">
      <alignment horizontal="centerContinuous"/>
    </xf>
    <xf numFmtId="167" fontId="22" fillId="0" borderId="0" applyFont="0" applyFill="0" applyBorder="0" applyAlignment="0" applyProtection="0"/>
    <xf numFmtId="4" fontId="37" fillId="4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50" borderId="102" applyNumberFormat="0" applyProtection="0">
      <alignment horizontal="right" vertical="center"/>
    </xf>
    <xf numFmtId="4" fontId="37" fillId="0" borderId="94" applyNumberFormat="0" applyProtection="0">
      <alignment horizontal="right" vertical="center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0" borderId="94" applyNumberFormat="0" applyProtection="0">
      <alignment horizontal="left" vertical="center" indent="1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42" fillId="32" borderId="76" applyNumberFormat="0" applyFont="0" applyAlignment="0" applyProtection="0"/>
    <xf numFmtId="0" fontId="22" fillId="0" borderId="0"/>
    <xf numFmtId="0" fontId="22" fillId="0" borderId="0"/>
    <xf numFmtId="0" fontId="22" fillId="0" borderId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32" fillId="32" borderId="76" applyNumberFormat="0" applyFont="0" applyAlignment="0" applyProtection="0"/>
    <xf numFmtId="0" fontId="50" fillId="32" borderId="97" applyNumberFormat="0" applyFont="0" applyAlignment="0" applyProtection="0"/>
    <xf numFmtId="0" fontId="30" fillId="0" borderId="0"/>
    <xf numFmtId="0" fontId="74" fillId="8" borderId="93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" fontId="37" fillId="23" borderId="102" applyNumberFormat="0" applyProtection="0">
      <alignment horizontal="left" vertical="center" indent="1"/>
    </xf>
    <xf numFmtId="4" fontId="37" fillId="0" borderId="103" applyNumberFormat="0" applyProtection="0">
      <alignment horizontal="left" vertical="center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0" fontId="65" fillId="23" borderId="94">
      <alignment vertical="center"/>
    </xf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0" fontId="66" fillId="26" borderId="93" applyNumberFormat="0" applyAlignment="0" applyProtection="0"/>
    <xf numFmtId="0" fontId="50" fillId="32" borderId="97" applyNumberFormat="0" applyFont="0" applyAlignment="0" applyProtection="0"/>
    <xf numFmtId="0" fontId="22" fillId="0" borderId="0"/>
    <xf numFmtId="167" fontId="22" fillId="0" borderId="0" applyFont="0" applyFill="0" applyBorder="0" applyAlignment="0" applyProtection="0"/>
    <xf numFmtId="0" fontId="50" fillId="32" borderId="76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0" fontId="44" fillId="23" borderId="94" applyNumberFormat="0" applyBorder="0" applyAlignment="0" applyProtection="0"/>
    <xf numFmtId="0" fontId="2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210" fontId="126" fillId="0" borderId="74" applyFont="0" applyFill="0" applyBorder="0" applyAlignment="0"/>
    <xf numFmtId="40" fontId="65" fillId="23" borderId="74">
      <alignment vertical="center"/>
    </xf>
    <xf numFmtId="0" fontId="74" fillId="8" borderId="93" applyNumberFormat="0" applyAlignment="0" applyProtection="0"/>
    <xf numFmtId="0" fontId="81" fillId="0" borderId="81">
      <alignment horizontal="left"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0" fontId="51" fillId="0" borderId="74" applyNumberFormat="0" applyProtection="0">
      <alignment horizontal="left" vertical="top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2" fillId="0" borderId="79" applyProtection="0">
      <alignment horizontal="centerContinuous"/>
    </xf>
    <xf numFmtId="0" fontId="122" fillId="0" borderId="79" applyProtection="0">
      <alignment horizontal="centerContinuous"/>
    </xf>
    <xf numFmtId="0" fontId="32" fillId="0" borderId="81" applyFont="0" applyFill="0" applyBorder="0" applyAlignment="0" applyProtection="0"/>
    <xf numFmtId="0" fontId="32" fillId="0" borderId="81" applyFont="0" applyFill="0" applyBorder="0" applyAlignment="0" applyProtection="0"/>
    <xf numFmtId="209" fontId="91" fillId="0" borderId="0" applyFill="0" applyBorder="0" applyProtection="0">
      <alignment horizontal="right"/>
      <protection locked="0"/>
    </xf>
    <xf numFmtId="212" fontId="91" fillId="0" borderId="0" applyFill="0" applyBorder="0" applyProtection="0">
      <alignment horizontal="right"/>
      <protection locked="0"/>
    </xf>
    <xf numFmtId="0" fontId="55" fillId="0" borderId="55" applyBorder="0"/>
    <xf numFmtId="0" fontId="55" fillId="0" borderId="55" applyBorder="0"/>
    <xf numFmtId="0" fontId="55" fillId="0" borderId="55" applyBorder="0"/>
    <xf numFmtId="0" fontId="55" fillId="0" borderId="55" applyBorder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167" fontId="3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0" fontId="43" fillId="0" borderId="0"/>
    <xf numFmtId="0" fontId="22" fillId="0" borderId="0"/>
    <xf numFmtId="0" fontId="2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0" fillId="0" borderId="0"/>
    <xf numFmtId="0" fontId="30" fillId="0" borderId="0"/>
    <xf numFmtId="0" fontId="3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2" fillId="0" borderId="0"/>
    <xf numFmtId="0" fontId="32" fillId="0" borderId="0">
      <alignment vertical="top"/>
    </xf>
    <xf numFmtId="0" fontId="22" fillId="0" borderId="0"/>
    <xf numFmtId="0" fontId="3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0" fontId="22" fillId="0" borderId="0"/>
    <xf numFmtId="0" fontId="32" fillId="0" borderId="0">
      <alignment vertical="top"/>
    </xf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4" fontId="51" fillId="0" borderId="102" applyNumberForma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87" fontId="32" fillId="0" borderId="80">
      <protection locked="0"/>
    </xf>
    <xf numFmtId="0" fontId="92" fillId="26" borderId="88" applyNumberFormat="0" applyAlignment="0" applyProtection="0"/>
    <xf numFmtId="0" fontId="92" fillId="26" borderId="88" applyNumberFormat="0" applyAlignment="0" applyProtection="0"/>
    <xf numFmtId="0" fontId="122" fillId="0" borderId="90" applyProtection="0">
      <alignment horizontal="centerContinuous"/>
    </xf>
    <xf numFmtId="0" fontId="123" fillId="0" borderId="89" applyNumberFormat="0" applyFill="0" applyAlignment="0" applyProtection="0"/>
    <xf numFmtId="210" fontId="126" fillId="0" borderId="85" applyFont="0" applyFill="0" applyBorder="0" applyAlignment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4" applyNumberFormat="0" applyProtection="0">
      <alignment horizontal="left" vertical="center" indent="1"/>
    </xf>
    <xf numFmtId="0" fontId="51" fillId="0" borderId="85" applyNumberFormat="0" applyProtection="0">
      <alignment horizontal="left" vertical="top" indent="1"/>
    </xf>
    <xf numFmtId="0" fontId="74" fillId="8" borderId="86" applyNumberFormat="0" applyAlignment="0" applyProtection="0"/>
    <xf numFmtId="0" fontId="66" fillId="26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210" fontId="126" fillId="0" borderId="85" applyFont="0" applyFill="0" applyBorder="0" applyAlignment="0"/>
    <xf numFmtId="210" fontId="126" fillId="0" borderId="85" applyFont="0" applyFill="0" applyBorder="0" applyAlignment="0"/>
    <xf numFmtId="40" fontId="65" fillId="23" borderId="85">
      <alignment vertical="center"/>
    </xf>
    <xf numFmtId="40" fontId="65" fillId="23" borderId="85">
      <alignment vertical="center"/>
    </xf>
    <xf numFmtId="0" fontId="81" fillId="0" borderId="92">
      <alignment horizontal="left" vertical="center"/>
    </xf>
    <xf numFmtId="0" fontId="81" fillId="0" borderId="92">
      <alignment horizontal="left" vertical="center"/>
    </xf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5" applyNumberFormat="0" applyProtection="0">
      <alignment horizontal="right" vertical="center"/>
    </xf>
    <xf numFmtId="0" fontId="51" fillId="0" borderId="85" applyNumberFormat="0" applyProtection="0">
      <alignment horizontal="left" vertical="top" indent="1"/>
    </xf>
    <xf numFmtId="0" fontId="51" fillId="0" borderId="85" applyNumberFormat="0" applyProtection="0">
      <alignment horizontal="left" vertical="top" indent="1"/>
    </xf>
    <xf numFmtId="0" fontId="122" fillId="0" borderId="90" applyProtection="0">
      <alignment horizontal="centerContinuous"/>
    </xf>
    <xf numFmtId="0" fontId="122" fillId="0" borderId="90" applyProtection="0">
      <alignment horizontal="centerContinuous"/>
    </xf>
    <xf numFmtId="0" fontId="32" fillId="0" borderId="92" applyFont="0" applyFill="0" applyBorder="0" applyAlignment="0" applyProtection="0"/>
    <xf numFmtId="0" fontId="32" fillId="0" borderId="92" applyFont="0" applyFill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32" borderId="87" applyNumberFormat="0" applyFont="0" applyAlignment="0" applyProtection="0"/>
    <xf numFmtId="187" fontId="32" fillId="0" borderId="91">
      <protection locked="0"/>
    </xf>
    <xf numFmtId="0" fontId="50" fillId="32" borderId="97" applyNumberFormat="0" applyFon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9">
      <protection locked="0"/>
    </xf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47" fillId="0" borderId="0" applyNumberForma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37" fontId="55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70" fillId="0" borderId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7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140" fillId="0" borderId="0" applyFont="0" applyFill="0" applyBorder="0" applyAlignment="0" applyProtection="0"/>
    <xf numFmtId="0" fontId="140" fillId="0" borderId="0" applyFont="0" applyFill="0" applyBorder="0" applyAlignment="0" applyProtection="0"/>
    <xf numFmtId="9" fontId="32" fillId="53" borderId="0"/>
    <xf numFmtId="9" fontId="32" fillId="53" borderId="0"/>
    <xf numFmtId="9" fontId="32" fillId="53" borderId="0"/>
    <xf numFmtId="9" fontId="32" fillId="53" borderId="0"/>
    <xf numFmtId="192" fontId="63" fillId="0" borderId="0">
      <protection locked="0"/>
    </xf>
    <xf numFmtId="192" fontId="63" fillId="0" borderId="0">
      <protection locked="0"/>
    </xf>
    <xf numFmtId="192" fontId="63" fillId="0" borderId="0">
      <protection locked="0"/>
    </xf>
    <xf numFmtId="0" fontId="32" fillId="0" borderId="0"/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149" fillId="0" borderId="0">
      <alignment horizontal="left"/>
    </xf>
    <xf numFmtId="3" fontId="49" fillId="2" borderId="0">
      <alignment horizontal="left"/>
    </xf>
    <xf numFmtId="3" fontId="49" fillId="2" borderId="0">
      <alignment horizontal="left"/>
    </xf>
    <xf numFmtId="0" fontId="150" fillId="3" borderId="0" applyNumberFormat="0" applyBorder="0" applyAlignment="0" applyProtection="0"/>
    <xf numFmtId="0" fontId="150" fillId="4" borderId="0" applyNumberFormat="0" applyBorder="0" applyAlignment="0" applyProtection="0"/>
    <xf numFmtId="0" fontId="150" fillId="5" borderId="0" applyNumberFormat="0" applyBorder="0" applyAlignment="0" applyProtection="0"/>
    <xf numFmtId="0" fontId="150" fillId="6" borderId="0" applyNumberFormat="0" applyBorder="0" applyAlignment="0" applyProtection="0"/>
    <xf numFmtId="0" fontId="150" fillId="7" borderId="0" applyNumberFormat="0" applyBorder="0" applyAlignment="0" applyProtection="0"/>
    <xf numFmtId="0" fontId="150" fillId="8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0" fontId="150" fillId="10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6" borderId="0" applyNumberFormat="0" applyBorder="0" applyAlignment="0" applyProtection="0"/>
    <xf numFmtId="0" fontId="150" fillId="10" borderId="0" applyNumberFormat="0" applyBorder="0" applyAlignment="0" applyProtection="0"/>
    <xf numFmtId="0" fontId="150" fillId="13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0" fontId="151" fillId="14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5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4" borderId="0" applyNumberFormat="0" applyBorder="0" applyAlignment="0" applyProtection="0"/>
    <xf numFmtId="221" fontId="52" fillId="11" borderId="0" applyNumberFormat="0" applyBorder="0" applyAlignment="0" applyProtection="0"/>
    <xf numFmtId="221" fontId="52" fillId="12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17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5" borderId="0" applyNumberFormat="0" applyBorder="0" applyAlignment="0" applyProtection="0"/>
    <xf numFmtId="0" fontId="151" fillId="18" borderId="0" applyNumberFormat="0" applyBorder="0" applyAlignment="0" applyProtection="0"/>
    <xf numFmtId="0" fontId="52" fillId="66" borderId="0" applyNumberFormat="0" applyBorder="0" applyAlignment="0" applyProtection="0"/>
    <xf numFmtId="0" fontId="50" fillId="67" borderId="0" applyNumberFormat="0" applyBorder="0" applyAlignment="0" applyProtection="0"/>
    <xf numFmtId="0" fontId="50" fillId="68" borderId="0" applyNumberFormat="0" applyBorder="0" applyAlignment="0" applyProtection="0"/>
    <xf numFmtId="0" fontId="52" fillId="69" borderId="0" applyNumberFormat="0" applyBorder="0" applyAlignment="0" applyProtection="0"/>
    <xf numFmtId="184" fontId="138" fillId="70" borderId="0" applyNumberFormat="0" applyBorder="0" applyAlignment="0" applyProtection="0"/>
    <xf numFmtId="0" fontId="151" fillId="19" borderId="0" applyNumberFormat="0" applyBorder="0" applyAlignment="0" applyProtection="0"/>
    <xf numFmtId="0" fontId="52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3" borderId="0" applyNumberFormat="0" applyBorder="0" applyAlignment="0" applyProtection="0"/>
    <xf numFmtId="0" fontId="52" fillId="74" borderId="0" applyNumberFormat="0" applyBorder="0" applyAlignment="0" applyProtection="0"/>
    <xf numFmtId="184" fontId="138" fillId="75" borderId="0" applyNumberFormat="0" applyBorder="0" applyAlignment="0" applyProtection="0"/>
    <xf numFmtId="0" fontId="151" fillId="20" borderId="0" applyNumberFormat="0" applyBorder="0" applyAlignment="0" applyProtection="0"/>
    <xf numFmtId="0" fontId="52" fillId="69" borderId="0" applyNumberFormat="0" applyBorder="0" applyAlignment="0" applyProtection="0"/>
    <xf numFmtId="0" fontId="50" fillId="73" borderId="0" applyNumberFormat="0" applyBorder="0" applyAlignment="0" applyProtection="0"/>
    <xf numFmtId="0" fontId="50" fillId="74" borderId="0" applyNumberFormat="0" applyBorder="0" applyAlignment="0" applyProtection="0"/>
    <xf numFmtId="0" fontId="52" fillId="74" borderId="0" applyNumberFormat="0" applyBorder="0" applyAlignment="0" applyProtection="0"/>
    <xf numFmtId="0" fontId="151" fillId="15" borderId="0" applyNumberFormat="0" applyBorder="0" applyAlignment="0" applyProtection="0"/>
    <xf numFmtId="0" fontId="52" fillId="76" borderId="0" applyNumberFormat="0" applyBorder="0" applyAlignment="0" applyProtection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4" borderId="0" applyNumberFormat="0" applyBorder="0" applyAlignment="0" applyProtection="0"/>
    <xf numFmtId="0" fontId="151" fillId="16" borderId="0" applyNumberFormat="0" applyBorder="0" applyAlignment="0" applyProtection="0"/>
    <xf numFmtId="0" fontId="52" fillId="77" borderId="0" applyNumberFormat="0" applyBorder="0" applyAlignment="0" applyProtection="0"/>
    <xf numFmtId="0" fontId="50" fillId="78" borderId="0" applyNumberFormat="0" applyBorder="0" applyAlignment="0" applyProtection="0"/>
    <xf numFmtId="0" fontId="50" fillId="68" borderId="0" applyNumberFormat="0" applyBorder="0" applyAlignment="0" applyProtection="0"/>
    <xf numFmtId="0" fontId="52" fillId="79" borderId="0" applyNumberFormat="0" applyBorder="0" applyAlignment="0" applyProtection="0"/>
    <xf numFmtId="0" fontId="151" fillId="21" borderId="0" applyNumberFormat="0" applyBorder="0" applyAlignment="0" applyProtection="0"/>
    <xf numFmtId="0" fontId="52" fillId="80" borderId="0" applyNumberFormat="0" applyBorder="0" applyAlignment="0" applyProtection="0"/>
    <xf numFmtId="177" fontId="33" fillId="22" borderId="2">
      <alignment horizontal="center"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4" fontId="32" fillId="0" borderId="0"/>
    <xf numFmtId="181" fontId="32" fillId="0" borderId="0"/>
    <xf numFmtId="0" fontId="32" fillId="0" borderId="0"/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3" fontId="49" fillId="0" borderId="0" applyNumberFormat="0" applyFill="0" applyBorder="0" applyAlignment="0" applyProtection="0"/>
    <xf numFmtId="0" fontId="152" fillId="0" borderId="10">
      <protection hidden="1"/>
    </xf>
    <xf numFmtId="0" fontId="149" fillId="26" borderId="10" applyNumberFormat="0" applyFont="0" applyBorder="0" applyAlignment="0" applyProtection="0">
      <protection hidden="1"/>
    </xf>
    <xf numFmtId="0" fontId="152" fillId="0" borderId="10">
      <protection hidden="1"/>
    </xf>
    <xf numFmtId="0" fontId="153" fillId="81" borderId="0"/>
    <xf numFmtId="0" fontId="154" fillId="4" borderId="0" applyNumberFormat="0" applyBorder="0" applyAlignment="0" applyProtection="0"/>
    <xf numFmtId="0" fontId="155" fillId="0" borderId="0" applyFont="0" applyFill="0" applyBorder="0" applyAlignment="0" applyProtection="0">
      <alignment horizontal="right"/>
    </xf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156" fillId="0" borderId="55" applyNumberFormat="0" applyFill="0" applyAlignment="0" applyProtection="0"/>
    <xf numFmtId="178" fontId="157" fillId="0" borderId="0">
      <alignment horizontal="right"/>
    </xf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2" fontId="121" fillId="0" borderId="63" applyAlignment="0" applyProtection="0"/>
    <xf numFmtId="221" fontId="62" fillId="5" borderId="0" applyNumberFormat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220" fontId="66" fillId="26" borderId="93" applyNumberFormat="0" applyAlignment="0" applyProtection="0"/>
    <xf numFmtId="221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3" fontId="32" fillId="0" borderId="0" applyFont="0" applyFill="0" applyBorder="0" applyAlignment="0" applyProtection="0"/>
    <xf numFmtId="224" fontId="32" fillId="0" borderId="0" applyFont="0" applyFill="0" applyBorder="0" applyAlignment="0" applyProtection="0"/>
    <xf numFmtId="0" fontId="67" fillId="27" borderId="82" applyNumberFormat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37" fontId="158" fillId="29" borderId="94" applyProtection="0">
      <alignment horizontal="center"/>
    </xf>
    <xf numFmtId="0" fontId="67" fillId="69" borderId="82" applyNumberFormat="0" applyAlignment="0" applyProtection="0"/>
    <xf numFmtId="0" fontId="69" fillId="28" borderId="9" applyFont="0" applyFill="0" applyBorder="0"/>
    <xf numFmtId="0" fontId="44" fillId="0" borderId="10"/>
    <xf numFmtId="0" fontId="44" fillId="0" borderId="10"/>
    <xf numFmtId="0" fontId="44" fillId="0" borderId="10"/>
    <xf numFmtId="0" fontId="31" fillId="0" borderId="0" applyNumberFormat="0" applyFill="0" applyBorder="0" applyAlignment="0" applyProtection="0">
      <alignment vertical="top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225" fontId="160" fillId="0" borderId="0"/>
    <xf numFmtId="225" fontId="160" fillId="0" borderId="0"/>
    <xf numFmtId="213" fontId="126" fillId="0" borderId="0" applyFill="0" applyBorder="0" applyAlignment="0" applyProtection="0"/>
    <xf numFmtId="40" fontId="126" fillId="0" borderId="0" applyFill="0" applyBorder="0" applyAlignment="0" applyProtection="0"/>
    <xf numFmtId="226" fontId="126" fillId="82" borderId="0" applyFill="0" applyBorder="0" applyAlignment="0">
      <alignment vertical="top"/>
    </xf>
    <xf numFmtId="227" fontId="126" fillId="0" borderId="0" applyFill="0" applyBorder="0" applyAlignment="0" applyProtection="0"/>
    <xf numFmtId="18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6" fontId="37" fillId="0" borderId="0" applyProtection="0"/>
    <xf numFmtId="223" fontId="37" fillId="0" borderId="0" applyProtection="0"/>
    <xf numFmtId="168" fontId="37" fillId="0" borderId="0" applyProtection="0"/>
    <xf numFmtId="166" fontId="85" fillId="0" borderId="0" applyProtection="0"/>
    <xf numFmtId="223" fontId="85" fillId="0" borderId="0" applyProtection="0"/>
    <xf numFmtId="168" fontId="85" fillId="0" borderId="0" applyProtection="0"/>
    <xf numFmtId="0" fontId="70" fillId="0" borderId="0"/>
    <xf numFmtId="0" fontId="55" fillId="0" borderId="0"/>
    <xf numFmtId="0" fontId="162" fillId="0" borderId="0"/>
    <xf numFmtId="0" fontId="70" fillId="0" borderId="0"/>
    <xf numFmtId="3" fontId="71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55" fillId="0" borderId="0"/>
    <xf numFmtId="0" fontId="162" fillId="0" borderId="0"/>
    <xf numFmtId="0" fontId="70" fillId="0" borderId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228" fontId="126" fillId="82" borderId="99" applyFill="0" applyBorder="0" applyAlignment="0">
      <alignment horizontal="right"/>
    </xf>
    <xf numFmtId="0" fontId="161" fillId="0" borderId="0" applyFont="0" applyFill="0" applyBorder="0" applyAlignment="0" applyProtection="0">
      <alignment horizontal="right"/>
    </xf>
    <xf numFmtId="0" fontId="161" fillId="0" borderId="0" applyFont="0" applyFill="0" applyBorder="0" applyAlignment="0" applyProtection="0">
      <alignment horizontal="right"/>
    </xf>
    <xf numFmtId="182" fontId="71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161" fillId="0" borderId="0" applyFont="0" applyFill="0" applyBorder="0" applyAlignment="0" applyProtection="0"/>
    <xf numFmtId="14" fontId="37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72" fillId="0" borderId="0" applyFont="0" applyFill="0" applyBorder="0" applyAlignment="0"/>
    <xf numFmtId="183" fontId="32" fillId="0" borderId="12">
      <alignment vertical="center"/>
    </xf>
    <xf numFmtId="0" fontId="163" fillId="9" borderId="64" applyNumberFormat="0" applyBorder="0" applyAlignment="0">
      <alignment horizontal="center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0" fontId="63" fillId="0" borderId="0">
      <protection locked="0"/>
    </xf>
    <xf numFmtId="0" fontId="161" fillId="0" borderId="105" applyNumberFormat="0" applyFont="0" applyFill="0" applyAlignment="0" applyProtection="0"/>
    <xf numFmtId="0" fontId="126" fillId="0" borderId="0" applyNumberFormat="0" applyFill="0" applyBorder="0" applyAlignment="0" applyProtection="0"/>
    <xf numFmtId="0" fontId="123" fillId="83" borderId="0" applyNumberFormat="0" applyBorder="0" applyAlignment="0" applyProtection="0"/>
    <xf numFmtId="0" fontId="123" fillId="84" borderId="0" applyNumberFormat="0" applyBorder="0" applyAlignment="0" applyProtection="0"/>
    <xf numFmtId="0" fontId="123" fillId="85" borderId="0" applyNumberFormat="0" applyBorder="0" applyAlignment="0" applyProtection="0"/>
    <xf numFmtId="0" fontId="164" fillId="0" borderId="0">
      <protection locked="0"/>
    </xf>
    <xf numFmtId="0" fontId="164" fillId="0" borderId="0">
      <protection locked="0"/>
    </xf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18" borderId="0" applyNumberFormat="0" applyBorder="0" applyAlignment="0" applyProtection="0"/>
    <xf numFmtId="221" fontId="52" fillId="19" borderId="0" applyNumberFormat="0" applyBorder="0" applyAlignment="0" applyProtection="0"/>
    <xf numFmtId="221" fontId="52" fillId="20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184" fontId="32" fillId="0" borderId="0" applyFont="0" applyFill="0" applyBorder="0" applyAlignment="0" applyProtection="0"/>
    <xf numFmtId="220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229" fontId="32" fillId="0" borderId="0" applyFill="0" applyBorder="0" applyAlignment="0" applyProtection="0"/>
    <xf numFmtId="0" fontId="165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7" fontId="76" fillId="0" borderId="0" applyBorder="0" applyAlignment="0"/>
    <xf numFmtId="37" fontId="76" fillId="0" borderId="0" applyBorder="0" applyAlignment="0"/>
    <xf numFmtId="0" fontId="63" fillId="0" borderId="0">
      <protection locked="0"/>
    </xf>
    <xf numFmtId="3" fontId="71" fillId="0" borderId="0" applyFont="0" applyFill="0" applyBorder="0" applyAlignment="0" applyProtection="0"/>
    <xf numFmtId="0" fontId="63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6" fontId="63" fillId="0" borderId="0">
      <protection locked="0"/>
    </xf>
    <xf numFmtId="186" fontId="63" fillId="0" borderId="0">
      <protection locked="0"/>
    </xf>
    <xf numFmtId="0" fontId="166" fillId="0" borderId="0" applyFill="0" applyBorder="0" applyProtection="0">
      <alignment horizontal="left"/>
    </xf>
    <xf numFmtId="0" fontId="139" fillId="0" borderId="0"/>
    <xf numFmtId="38" fontId="163" fillId="0" borderId="10" applyBorder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2" fontId="32" fillId="0" borderId="0"/>
    <xf numFmtId="2" fontId="32" fillId="0" borderId="0"/>
    <xf numFmtId="2" fontId="32" fillId="0" borderId="0"/>
    <xf numFmtId="2" fontId="32" fillId="0" borderId="0"/>
    <xf numFmtId="0" fontId="167" fillId="5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61" fillId="0" borderId="0" applyFont="0" applyFill="0" applyBorder="0" applyAlignment="0" applyProtection="0">
      <alignment horizontal="right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68" fillId="0" borderId="0" applyProtection="0">
      <alignment horizontal="left"/>
    </xf>
    <xf numFmtId="184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230" fontId="126" fillId="0" borderId="0" applyFill="0" applyBorder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169" fillId="0" borderId="0" applyNumberFormat="0" applyFill="0" applyBorder="0" applyAlignment="0" applyProtection="0">
      <alignment vertical="top"/>
      <protection locked="0"/>
    </xf>
    <xf numFmtId="0" fontId="16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0" fontId="46" fillId="0" borderId="0"/>
    <xf numFmtId="231" fontId="32" fillId="0" borderId="0" applyNumberFormat="0" applyFill="0" applyBorder="0" applyAlignment="0" applyProtection="0"/>
    <xf numFmtId="231" fontId="32" fillId="0" borderId="0" applyNumberFormat="0" applyFill="0" applyBorder="0" applyAlignment="0" applyProtection="0"/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232" fontId="140" fillId="0" borderId="0"/>
    <xf numFmtId="232" fontId="140" fillId="0" borderId="0"/>
    <xf numFmtId="232" fontId="140" fillId="0" borderId="0"/>
    <xf numFmtId="233" fontId="140" fillId="0" borderId="0"/>
    <xf numFmtId="233" fontId="140" fillId="0" borderId="0"/>
    <xf numFmtId="233" fontId="140" fillId="0" borderId="0"/>
    <xf numFmtId="234" fontId="140" fillId="0" borderId="0"/>
    <xf numFmtId="234" fontId="140" fillId="0" borderId="0"/>
    <xf numFmtId="234" fontId="140" fillId="0" borderId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0" fontId="170" fillId="86" borderId="0" applyNumberFormat="0" applyBorder="0" applyAlignment="0">
      <protection locked="0"/>
    </xf>
    <xf numFmtId="0" fontId="74" fillId="8" borderId="93" applyNumberFormat="0" applyAlignment="0" applyProtection="0"/>
    <xf numFmtId="235" fontId="171" fillId="0" borderId="0"/>
    <xf numFmtId="0" fontId="31" fillId="0" borderId="0" applyNumberFormat="0" applyFill="0" applyBorder="0" applyAlignment="0" applyProtection="0">
      <alignment vertical="top"/>
      <protection locked="0"/>
    </xf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72" fillId="0" borderId="8" applyNumberFormat="0" applyFill="0" applyAlignment="0" applyProtection="0"/>
    <xf numFmtId="0" fontId="173" fillId="0" borderId="10">
      <alignment horizontal="left"/>
      <protection locked="0"/>
    </xf>
    <xf numFmtId="236" fontId="174" fillId="0" borderId="0" applyFont="0" applyFill="0" applyBorder="0" applyAlignment="0" applyProtection="0"/>
    <xf numFmtId="38" fontId="72" fillId="0" borderId="0" applyFont="0" applyFill="0" applyBorder="0" applyAlignment="0" applyProtection="0"/>
    <xf numFmtId="40" fontId="72" fillId="0" borderId="0" applyFont="0" applyFill="0" applyBorder="0" applyAlignment="0" applyProtection="0"/>
    <xf numFmtId="0" fontId="175" fillId="0" borderId="0" applyBorder="0"/>
    <xf numFmtId="237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88" fontId="63" fillId="0" borderId="0">
      <protection locked="0"/>
    </xf>
    <xf numFmtId="188" fontId="63" fillId="0" borderId="0">
      <protection locked="0"/>
    </xf>
    <xf numFmtId="239" fontId="32" fillId="0" borderId="0" applyFont="0" applyFill="0" applyBorder="0" applyAlignment="0" applyProtection="0"/>
    <xf numFmtId="24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3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9" fontId="146" fillId="0" borderId="0" applyProtection="0"/>
    <xf numFmtId="241" fontId="146" fillId="0" borderId="0" applyProtection="0"/>
    <xf numFmtId="242" fontId="146" fillId="0" borderId="0" applyProtection="0"/>
    <xf numFmtId="169" fontId="146" fillId="0" borderId="0" applyProtection="0"/>
    <xf numFmtId="241" fontId="146" fillId="0" borderId="0" applyProtection="0"/>
    <xf numFmtId="242" fontId="146" fillId="0" borderId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0" fontId="176" fillId="31" borderId="0" applyNumberFormat="0" applyBorder="0" applyAlignment="0" applyProtection="0"/>
    <xf numFmtId="0" fontId="32" fillId="0" borderId="0" applyNumberFormat="0" applyFill="0" applyBorder="0" applyAlignment="0" applyProtection="0"/>
    <xf numFmtId="37" fontId="89" fillId="0" borderId="0"/>
    <xf numFmtId="37" fontId="89" fillId="0" borderId="0"/>
    <xf numFmtId="0" fontId="46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33" fontId="140" fillId="0" borderId="0"/>
    <xf numFmtId="233" fontId="140" fillId="0" borderId="0"/>
    <xf numFmtId="233" fontId="140" fillId="0" borderId="0"/>
    <xf numFmtId="244" fontId="140" fillId="0" borderId="0">
      <alignment horizontal="right"/>
    </xf>
    <xf numFmtId="244" fontId="140" fillId="0" borderId="0">
      <alignment horizontal="right"/>
    </xf>
    <xf numFmtId="244" fontId="140" fillId="0" borderId="0">
      <alignment horizontal="right"/>
    </xf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0" fontId="30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 applyFill="0" applyBorder="0" applyAlignment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32" fillId="0" borderId="0"/>
    <xf numFmtId="221" fontId="32" fillId="0" borderId="0"/>
    <xf numFmtId="221" fontId="32" fillId="0" borderId="0"/>
    <xf numFmtId="221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1" fillId="0" borderId="0"/>
    <xf numFmtId="0" fontId="21" fillId="0" borderId="0"/>
    <xf numFmtId="0" fontId="3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0" fontId="32" fillId="0" borderId="0"/>
    <xf numFmtId="0" fontId="32" fillId="0" borderId="0"/>
    <xf numFmtId="221" fontId="32" fillId="0" borderId="0"/>
    <xf numFmtId="0" fontId="32" fillId="0" borderId="0"/>
    <xf numFmtId="0" fontId="32" fillId="0" borderId="0"/>
    <xf numFmtId="220" fontId="32" fillId="0" borderId="0"/>
    <xf numFmtId="221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32" fillId="0" borderId="0">
      <alignment vertical="top"/>
    </xf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72" fillId="0" borderId="0"/>
    <xf numFmtId="221" fontId="72" fillId="0" borderId="0"/>
    <xf numFmtId="220" fontId="32" fillId="0" borderId="0"/>
    <xf numFmtId="0" fontId="32" fillId="0" borderId="0"/>
    <xf numFmtId="221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184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8" fillId="0" borderId="0"/>
    <xf numFmtId="0" fontId="146" fillId="0" borderId="0"/>
    <xf numFmtId="0" fontId="174" fillId="0" borderId="0"/>
    <xf numFmtId="0" fontId="148" fillId="0" borderId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1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0" fontId="179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0" fillId="33" borderId="29"/>
    <xf numFmtId="1" fontId="181" fillId="0" borderId="0" applyProtection="0">
      <alignment horizontal="right" vertical="center"/>
    </xf>
    <xf numFmtId="178" fontId="182" fillId="0" borderId="55">
      <alignment vertical="center"/>
    </xf>
    <xf numFmtId="0" fontId="70" fillId="0" borderId="0"/>
    <xf numFmtId="0" fontId="55" fillId="0" borderId="0"/>
    <xf numFmtId="0" fontId="32" fillId="0" borderId="54" applyFont="0" applyFill="0" applyBorder="0" applyAlignment="0" applyProtection="0">
      <alignment horizontal="right"/>
    </xf>
    <xf numFmtId="245" fontId="126" fillId="82" borderId="0" applyFill="0" applyBorder="0" applyAlignment="0" applyProtection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46" fontId="126" fillId="82" borderId="0" applyFill="0" applyBorder="0" applyAlignment="0" applyProtection="0">
      <alignment vertical="top"/>
    </xf>
    <xf numFmtId="247" fontId="126" fillId="0" borderId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10" fontId="71" fillId="0" borderId="0" applyFont="0" applyFill="0" applyBorder="0" applyAlignment="0" applyProtection="0"/>
    <xf numFmtId="250" fontId="63" fillId="0" borderId="0">
      <protection locked="0"/>
    </xf>
    <xf numFmtId="193" fontId="63" fillId="0" borderId="0">
      <protection locked="0"/>
    </xf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63" fillId="0" borderId="0">
      <protection locked="0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0" fontId="71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83" fillId="0" borderId="0" applyNumberFormat="0">
      <alignment horizontal="left"/>
    </xf>
    <xf numFmtId="231" fontId="32" fillId="0" borderId="0" applyNumberFormat="0" applyAlignment="0">
      <alignment horizontal="left"/>
    </xf>
    <xf numFmtId="0" fontId="72" fillId="0" borderId="0" applyNumberFormat="0" applyFont="0" applyFill="0" applyBorder="0" applyAlignment="0" applyProtection="0">
      <alignment horizontal="left"/>
    </xf>
    <xf numFmtId="15" fontId="72" fillId="0" borderId="0" applyFont="0" applyFill="0" applyBorder="0" applyAlignment="0" applyProtection="0"/>
    <xf numFmtId="4" fontId="72" fillId="0" borderId="0" applyFont="0" applyFill="0" applyBorder="0" applyAlignment="0" applyProtection="0"/>
    <xf numFmtId="0" fontId="121" fillId="0" borderId="106">
      <alignment horizontal="center"/>
    </xf>
    <xf numFmtId="3" fontId="72" fillId="0" borderId="0" applyFont="0" applyFill="0" applyBorder="0" applyAlignment="0" applyProtection="0"/>
    <xf numFmtId="0" fontId="72" fillId="28" borderId="0" applyNumberFormat="0" applyFont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0" fontId="184" fillId="0" borderId="94">
      <alignment horizontal="center" vertical="center"/>
    </xf>
    <xf numFmtId="0" fontId="185" fillId="0" borderId="107" applyBorder="0">
      <alignment vertical="top"/>
      <protection locked="0"/>
    </xf>
    <xf numFmtId="3" fontId="45" fillId="0" borderId="0" applyFill="0" applyBorder="0" applyAlignment="0" applyProtection="0"/>
    <xf numFmtId="3" fontId="45" fillId="0" borderId="0" applyFill="0" applyBorder="0" applyAlignment="0" applyProtection="0"/>
    <xf numFmtId="0" fontId="186" fillId="0" borderId="10" applyNumberFormat="0" applyFill="0" applyBorder="0" applyAlignment="0" applyProtection="0">
      <protection hidden="1"/>
    </xf>
    <xf numFmtId="38" fontId="183" fillId="0" borderId="0"/>
    <xf numFmtId="220" fontId="92" fillId="26" borderId="98" applyNumberFormat="0" applyAlignment="0" applyProtection="0"/>
    <xf numFmtId="221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4" fontId="51" fillId="0" borderId="102" applyNumberFormat="0" applyProtection="0">
      <alignment vertical="center"/>
    </xf>
    <xf numFmtId="4" fontId="131" fillId="29" borderId="102" applyNumberFormat="0" applyProtection="0">
      <alignment vertical="center"/>
    </xf>
    <xf numFmtId="4" fontId="51" fillId="0" borderId="102" applyNumberFormat="0" applyProtection="0">
      <alignment horizontal="left" vertical="center" indent="1"/>
    </xf>
    <xf numFmtId="0" fontId="51" fillId="0" borderId="102" applyNumberFormat="0" applyProtection="0">
      <alignment horizontal="left" vertical="top" indent="1"/>
    </xf>
    <xf numFmtId="0" fontId="32" fillId="87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4" fontId="51" fillId="50" borderId="0" applyNumberFormat="0" applyProtection="0">
      <alignment horizontal="left" vertical="center" indent="1"/>
    </xf>
    <xf numFmtId="4" fontId="37" fillId="4" borderId="102" applyNumberFormat="0" applyProtection="0">
      <alignment horizontal="right" vertical="center"/>
    </xf>
    <xf numFmtId="4" fontId="37" fillId="11" borderId="102" applyNumberFormat="0" applyProtection="0">
      <alignment horizontal="right" vertical="center"/>
    </xf>
    <xf numFmtId="4" fontId="37" fillId="19" borderId="102" applyNumberFormat="0" applyProtection="0">
      <alignment horizontal="right" vertical="center"/>
    </xf>
    <xf numFmtId="4" fontId="37" fillId="13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21" borderId="102" applyNumberFormat="0" applyProtection="0">
      <alignment horizontal="right" vertical="center"/>
    </xf>
    <xf numFmtId="4" fontId="37" fillId="20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88" borderId="0" applyNumberFormat="0" applyProtection="0">
      <alignment horizontal="left" vertical="center" indent="1"/>
    </xf>
    <xf numFmtId="4" fontId="37" fillId="50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89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22" borderId="102" applyNumberFormat="0" applyProtection="0">
      <alignment horizontal="left" vertical="top" indent="1"/>
    </xf>
    <xf numFmtId="0" fontId="32" fillId="52" borderId="102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2" fillId="82" borderId="94" applyNumberFormat="0">
      <protection locked="0"/>
    </xf>
    <xf numFmtId="4" fontId="37" fillId="23" borderId="102" applyNumberFormat="0" applyProtection="0">
      <alignment vertical="center"/>
    </xf>
    <xf numFmtId="4" fontId="133" fillId="23" borderId="102" applyNumberFormat="0" applyProtection="0">
      <alignment vertical="center"/>
    </xf>
    <xf numFmtId="4" fontId="37" fillId="23" borderId="102" applyNumberFormat="0" applyProtection="0">
      <alignment horizontal="left" vertical="center" indent="1"/>
    </xf>
    <xf numFmtId="0" fontId="37" fillId="23" borderId="102" applyNumberFormat="0" applyProtection="0">
      <alignment horizontal="left" vertical="top" indent="1"/>
    </xf>
    <xf numFmtId="4" fontId="133" fillId="0" borderId="102" applyNumberFormat="0" applyProtection="0">
      <alignment horizontal="right" vertical="center"/>
    </xf>
    <xf numFmtId="0" fontId="187" fillId="0" borderId="0"/>
    <xf numFmtId="4" fontId="122" fillId="0" borderId="0" applyNumberFormat="0" applyProtection="0">
      <alignment horizontal="left" vertical="center" indent="1"/>
    </xf>
    <xf numFmtId="4" fontId="188" fillId="90" borderId="98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188" fillId="90" borderId="98" applyNumberFormat="0" applyProtection="0">
      <alignment horizontal="right" vertical="center"/>
    </xf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92" fontId="95" fillId="0" borderId="0">
      <protection locked="0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119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0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0" fontId="105" fillId="0" borderId="0" applyNumberFormat="0" applyFill="0" applyBorder="0" applyAlignment="0" applyProtection="0"/>
    <xf numFmtId="0" fontId="32" fillId="0" borderId="108"/>
    <xf numFmtId="0" fontId="37" fillId="0" borderId="0">
      <alignment vertical="top"/>
    </xf>
    <xf numFmtId="0" fontId="37" fillId="0" borderId="0">
      <alignment vertical="top"/>
    </xf>
    <xf numFmtId="0" fontId="32" fillId="0" borderId="94" applyNumberFormat="0" applyFont="0" applyFill="0" applyProtection="0">
      <alignment horizontal="center"/>
    </xf>
    <xf numFmtId="22" fontId="32" fillId="0" borderId="94" applyFont="0" applyFill="0" applyProtection="0">
      <alignment horizontal="center"/>
    </xf>
    <xf numFmtId="0" fontId="33" fillId="9" borderId="94" applyNumberFormat="0" applyProtection="0">
      <alignment horizontal="center"/>
    </xf>
    <xf numFmtId="0" fontId="189" fillId="38" borderId="94" applyNumberFormat="0" applyProtection="0">
      <alignment horizontal="right"/>
    </xf>
    <xf numFmtId="4" fontId="32" fillId="0" borderId="94" applyFont="0" applyFill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2" fillId="91" borderId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166" fontId="32" fillId="0" borderId="0"/>
    <xf numFmtId="0" fontId="32" fillId="0" borderId="109"/>
    <xf numFmtId="0" fontId="190" fillId="0" borderId="0" applyBorder="0" applyProtection="0">
      <alignment vertical="center"/>
    </xf>
    <xf numFmtId="0" fontId="146" fillId="0" borderId="53" applyBorder="0" applyProtection="0">
      <alignment horizontal="right" vertical="center"/>
    </xf>
    <xf numFmtId="0" fontId="191" fillId="92" borderId="0" applyBorder="0" applyProtection="0">
      <alignment horizontal="centerContinuous" vertical="center"/>
    </xf>
    <xf numFmtId="0" fontId="191" fillId="93" borderId="53" applyBorder="0" applyProtection="0">
      <alignment horizontal="centerContinuous" vertical="center"/>
    </xf>
    <xf numFmtId="0" fontId="192" fillId="0" borderId="0" applyFill="0" applyBorder="0" applyProtection="0">
      <alignment horizontal="left"/>
    </xf>
    <xf numFmtId="0" fontId="166" fillId="0" borderId="20" applyFill="0" applyBorder="0" applyProtection="0">
      <alignment horizontal="left" vertical="top"/>
    </xf>
    <xf numFmtId="0" fontId="193" fillId="0" borderId="0"/>
    <xf numFmtId="0" fontId="46" fillId="0" borderId="0"/>
    <xf numFmtId="0" fontId="194" fillId="0" borderId="0" applyNumberFormat="0" applyFill="0" applyBorder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40" fontId="195" fillId="0" borderId="0"/>
    <xf numFmtId="184" fontId="101" fillId="0" borderId="0" applyNumberFormat="0" applyFill="0" applyBorder="0" applyAlignment="0" applyProtection="0"/>
    <xf numFmtId="220" fontId="103" fillId="0" borderId="25" applyNumberFormat="0" applyFill="0" applyAlignment="0" applyProtection="0"/>
    <xf numFmtId="221" fontId="103" fillId="0" borderId="25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5" applyNumberFormat="0" applyFill="0" applyAlignment="0" applyProtection="0"/>
    <xf numFmtId="221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4" fillId="0" borderId="26" applyNumberFormat="0" applyFill="0" applyAlignment="0" applyProtection="0"/>
    <xf numFmtId="221" fontId="104" fillId="0" borderId="26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6" applyNumberFormat="0" applyFill="0" applyAlignment="0" applyProtection="0"/>
    <xf numFmtId="221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192" fontId="164" fillId="0" borderId="0">
      <protection locked="0"/>
    </xf>
    <xf numFmtId="192" fontId="164" fillId="0" borderId="0">
      <protection locked="0"/>
    </xf>
    <xf numFmtId="0" fontId="32" fillId="91" borderId="0"/>
    <xf numFmtId="0" fontId="183" fillId="26" borderId="10"/>
    <xf numFmtId="178" fontId="196" fillId="0" borderId="0">
      <alignment horizontal="left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3" fontId="33" fillId="0" borderId="63" applyFont="0" applyFill="0" applyBorder="0" applyProtection="0">
      <alignment horizontal="center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0" borderId="0"/>
    <xf numFmtId="37" fontId="44" fillId="0" borderId="0"/>
    <xf numFmtId="37" fontId="44" fillId="0" borderId="0"/>
    <xf numFmtId="37" fontId="44" fillId="29" borderId="0" applyNumberFormat="0" applyBorder="0" applyAlignment="0" applyProtection="0"/>
    <xf numFmtId="0" fontId="197" fillId="0" borderId="0">
      <alignment vertical="top"/>
    </xf>
    <xf numFmtId="37" fontId="198" fillId="0" borderId="0">
      <protection locked="0"/>
    </xf>
    <xf numFmtId="193" fontId="63" fillId="0" borderId="0">
      <protection locked="0"/>
    </xf>
    <xf numFmtId="193" fontId="63" fillId="0" borderId="0">
      <protection locked="0"/>
    </xf>
    <xf numFmtId="194" fontId="63" fillId="0" borderId="0">
      <protection locked="0"/>
    </xf>
    <xf numFmtId="194" fontId="63" fillId="0" borderId="0">
      <protection locked="0"/>
    </xf>
    <xf numFmtId="189" fontId="146" fillId="0" borderId="0" applyFont="0" applyFill="0" applyBorder="0" applyAlignment="0" applyProtection="0"/>
    <xf numFmtId="189" fontId="146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50" fillId="0" borderId="0" applyFont="0" applyFill="0" applyBorder="0" applyAlignment="0" applyProtection="0"/>
    <xf numFmtId="3" fontId="32" fillId="0" borderId="0" applyFont="0" applyFill="0" applyBorder="0" applyAlignment="0" applyProtection="0"/>
    <xf numFmtId="2" fontId="71" fillId="0" borderId="0" applyFont="0" applyFill="0" applyBorder="0" applyAlignment="0" applyProtection="0"/>
    <xf numFmtId="235" fontId="118" fillId="0" borderId="0" applyFill="0"/>
    <xf numFmtId="0" fontId="199" fillId="0" borderId="0" applyNumberForma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1" fillId="0" borderId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202" fillId="0" borderId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5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2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204" fillId="0" borderId="0"/>
    <xf numFmtId="0" fontId="19" fillId="0" borderId="0"/>
    <xf numFmtId="0" fontId="113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7" fillId="0" borderId="0"/>
    <xf numFmtId="0" fontId="30" fillId="0" borderId="0"/>
    <xf numFmtId="0" fontId="16" fillId="0" borderId="0"/>
    <xf numFmtId="210" fontId="126" fillId="0" borderId="110" applyFont="0" applyFill="0" applyBorder="0" applyAlignment="0"/>
    <xf numFmtId="210" fontId="126" fillId="0" borderId="110" applyFont="0" applyFill="0" applyBorder="0" applyAlignment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40" fontId="65" fillId="23" borderId="110">
      <alignment vertical="center"/>
    </xf>
    <xf numFmtId="40" fontId="65" fillId="23" borderId="110">
      <alignment vertical="center"/>
    </xf>
    <xf numFmtId="43" fontId="32" fillId="0" borderId="0" applyFont="0" applyFill="0" applyBorder="0" applyAlignment="0" applyProtection="0">
      <alignment wrapText="1"/>
    </xf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29" borderId="0" applyNumberFormat="0" applyFont="0" applyBorder="0" applyAlignment="0" applyProtection="0"/>
    <xf numFmtId="0" fontId="81" fillId="0" borderId="112">
      <alignment horizontal="left" vertical="center"/>
    </xf>
    <xf numFmtId="0" fontId="81" fillId="0" borderId="112">
      <alignment horizontal="left" vertical="center"/>
    </xf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43" fontId="3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4" fontId="37" fillId="0" borderId="110" applyNumberFormat="0" applyProtection="0">
      <alignment horizontal="right" vertical="center"/>
    </xf>
    <xf numFmtId="4" fontId="37" fillId="0" borderId="110" applyNumberFormat="0" applyProtection="0">
      <alignment horizontal="right" vertical="center"/>
    </xf>
    <xf numFmtId="0" fontId="51" fillId="0" borderId="110" applyNumberFormat="0" applyProtection="0">
      <alignment horizontal="left" vertical="top" indent="1"/>
    </xf>
    <xf numFmtId="0" fontId="51" fillId="0" borderId="110" applyNumberFormat="0" applyProtection="0">
      <alignment horizontal="left" vertical="top" indent="1"/>
    </xf>
    <xf numFmtId="43" fontId="3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122" fillId="0" borderId="111" applyProtection="0">
      <alignment horizontal="centerContinuous"/>
    </xf>
    <xf numFmtId="0" fontId="122" fillId="0" borderId="111" applyProtection="0">
      <alignment horizontal="centerContinuous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0" fillId="0" borderId="0"/>
    <xf numFmtId="0" fontId="32" fillId="0" borderId="112" applyFont="0" applyFill="0" applyBorder="0" applyAlignment="0" applyProtection="0"/>
    <xf numFmtId="0" fontId="32" fillId="0" borderId="112" applyFont="0" applyFill="0" applyBorder="0" applyAlignment="0" applyProtection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/>
    <xf numFmtId="0" fontId="15" fillId="0" borderId="0"/>
    <xf numFmtId="43" fontId="15" fillId="0" borderId="0" applyFont="0" applyFill="0" applyBorder="0" applyAlignment="0" applyProtection="0"/>
    <xf numFmtId="0" fontId="14" fillId="0" borderId="0"/>
    <xf numFmtId="43" fontId="30" fillId="0" borderId="0" applyFont="0" applyFill="0" applyBorder="0" applyAlignment="0" applyProtection="0"/>
    <xf numFmtId="0" fontId="13" fillId="0" borderId="0"/>
    <xf numFmtId="0" fontId="12" fillId="0" borderId="0"/>
    <xf numFmtId="0" fontId="266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270" fillId="112" borderId="158" applyNumberFormat="0" applyAlignment="0" applyProtection="0"/>
    <xf numFmtId="9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00" fillId="0" borderId="0" applyNumberFormat="0" applyFill="0" applyBorder="0" applyAlignment="0" applyProtection="0"/>
    <xf numFmtId="0" fontId="301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2" fillId="0" borderId="0"/>
    <xf numFmtId="0" fontId="32" fillId="0" borderId="0"/>
    <xf numFmtId="168" fontId="3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869">
    <xf numFmtId="0" fontId="0" fillId="0" borderId="0" xfId="0"/>
    <xf numFmtId="0" fontId="32" fillId="0" borderId="0" xfId="831"/>
    <xf numFmtId="0" fontId="32" fillId="33" borderId="0" xfId="831" applyFill="1"/>
    <xf numFmtId="0" fontId="31" fillId="33" borderId="0" xfId="801" applyFill="1" applyBorder="1" applyAlignment="1" applyProtection="1">
      <alignment horizontal="right"/>
    </xf>
    <xf numFmtId="14" fontId="32" fillId="0" borderId="0" xfId="831" applyNumberFormat="1"/>
    <xf numFmtId="0" fontId="35" fillId="33" borderId="0" xfId="831" applyFont="1" applyFill="1" applyAlignment="1">
      <alignment horizontal="left"/>
    </xf>
    <xf numFmtId="0" fontId="39" fillId="39" borderId="29" xfId="831" applyFont="1" applyFill="1" applyBorder="1" applyAlignment="1">
      <alignment horizontal="center" vertical="center"/>
    </xf>
    <xf numFmtId="14" fontId="109" fillId="0" borderId="0" xfId="831" applyNumberFormat="1" applyFont="1"/>
    <xf numFmtId="14" fontId="0" fillId="0" borderId="0" xfId="0" applyNumberFormat="1"/>
    <xf numFmtId="0" fontId="30" fillId="0" borderId="0" xfId="0" applyFont="1"/>
    <xf numFmtId="168" fontId="32" fillId="0" borderId="0" xfId="863" applyFont="1"/>
    <xf numFmtId="10" fontId="32" fillId="0" borderId="0" xfId="847" applyNumberFormat="1" applyFont="1"/>
    <xf numFmtId="0" fontId="0" fillId="41" borderId="0" xfId="0" applyFill="1"/>
    <xf numFmtId="0" fontId="43" fillId="0" borderId="0" xfId="0" applyFont="1" applyAlignment="1">
      <alignment vertical="center"/>
    </xf>
    <xf numFmtId="0" fontId="125" fillId="0" borderId="0" xfId="0" applyFont="1"/>
    <xf numFmtId="0" fontId="116" fillId="41" borderId="0" xfId="0" applyFont="1" applyFill="1"/>
    <xf numFmtId="0" fontId="30" fillId="0" borderId="0" xfId="1891" applyAlignment="1">
      <alignment vertical="top"/>
    </xf>
    <xf numFmtId="14" fontId="30" fillId="0" borderId="0" xfId="0" applyNumberFormat="1" applyFont="1"/>
    <xf numFmtId="0" fontId="30" fillId="0" borderId="0" xfId="2697"/>
    <xf numFmtId="10" fontId="43" fillId="41" borderId="0" xfId="847" applyNumberFormat="1" applyFont="1" applyFill="1" applyBorder="1"/>
    <xf numFmtId="10" fontId="43" fillId="0" borderId="0" xfId="847" applyNumberFormat="1" applyFont="1"/>
    <xf numFmtId="10" fontId="144" fillId="41" borderId="0" xfId="847" applyNumberFormat="1" applyFont="1" applyFill="1" applyBorder="1" applyAlignment="1">
      <alignment horizontal="center" vertical="center"/>
    </xf>
    <xf numFmtId="3" fontId="43" fillId="41" borderId="0" xfId="907" applyNumberFormat="1" applyFont="1" applyFill="1" applyAlignment="1">
      <alignment horizontal="center"/>
    </xf>
    <xf numFmtId="0" fontId="43" fillId="41" borderId="0" xfId="907" applyFont="1" applyFill="1"/>
    <xf numFmtId="4" fontId="43" fillId="41" borderId="0" xfId="907" applyNumberFormat="1" applyFont="1" applyFill="1"/>
    <xf numFmtId="10" fontId="43" fillId="41" borderId="0" xfId="907" applyNumberFormat="1" applyFont="1" applyFill="1"/>
    <xf numFmtId="167" fontId="43" fillId="41" borderId="0" xfId="907" applyNumberFormat="1" applyFont="1" applyFill="1"/>
    <xf numFmtId="167" fontId="137" fillId="41" borderId="0" xfId="1033" applyFont="1" applyFill="1" applyBorder="1"/>
    <xf numFmtId="167" fontId="43" fillId="41" borderId="0" xfId="815" applyFont="1" applyFill="1" applyBorder="1"/>
    <xf numFmtId="0" fontId="143" fillId="41" borderId="0" xfId="907" applyFont="1" applyFill="1"/>
    <xf numFmtId="0" fontId="110" fillId="41" borderId="0" xfId="907" applyFont="1" applyFill="1"/>
    <xf numFmtId="167" fontId="43" fillId="41" borderId="0" xfId="815" applyFont="1" applyFill="1" applyBorder="1" applyAlignment="1" applyProtection="1"/>
    <xf numFmtId="167" fontId="38" fillId="41" borderId="0" xfId="907" applyNumberFormat="1" applyFont="1" applyFill="1" applyProtection="1">
      <protection hidden="1"/>
    </xf>
    <xf numFmtId="167" fontId="38" fillId="41" borderId="0" xfId="907" applyNumberFormat="1" applyFont="1" applyFill="1" applyAlignment="1" applyProtection="1">
      <alignment horizontal="center"/>
      <protection hidden="1"/>
    </xf>
    <xf numFmtId="10" fontId="38" fillId="41" borderId="0" xfId="847" applyNumberFormat="1" applyFont="1" applyFill="1" applyBorder="1" applyAlignment="1" applyProtection="1">
      <alignment horizontal="center"/>
      <protection hidden="1"/>
    </xf>
    <xf numFmtId="0" fontId="43" fillId="41" borderId="0" xfId="43187" quotePrefix="1" applyFont="1" applyFill="1" applyAlignment="1">
      <alignment horizontal="left"/>
    </xf>
    <xf numFmtId="10" fontId="43" fillId="41" borderId="0" xfId="847" applyNumberFormat="1" applyFont="1" applyFill="1" applyBorder="1" applyAlignment="1" applyProtection="1">
      <alignment horizontal="center"/>
    </xf>
    <xf numFmtId="0" fontId="43" fillId="41" borderId="0" xfId="43187" applyFont="1" applyFill="1" applyAlignment="1">
      <alignment horizontal="left"/>
    </xf>
    <xf numFmtId="0" fontId="117" fillId="41" borderId="0" xfId="907" applyFont="1" applyFill="1" applyAlignment="1">
      <alignment horizontal="center"/>
    </xf>
    <xf numFmtId="167" fontId="143" fillId="41" borderId="0" xfId="815" applyFont="1" applyFill="1" applyBorder="1"/>
    <xf numFmtId="0" fontId="203" fillId="41" borderId="0" xfId="907" applyFont="1" applyFill="1"/>
    <xf numFmtId="10" fontId="203" fillId="41" borderId="0" xfId="847" applyNumberFormat="1" applyFont="1" applyFill="1" applyBorder="1" applyAlignment="1" applyProtection="1">
      <alignment horizontal="center"/>
      <protection hidden="1"/>
    </xf>
    <xf numFmtId="167" fontId="43" fillId="41" borderId="0" xfId="815" applyFont="1" applyFill="1" applyBorder="1" applyAlignment="1">
      <alignment horizontal="left"/>
    </xf>
    <xf numFmtId="10" fontId="110" fillId="41" borderId="0" xfId="847" applyNumberFormat="1" applyFont="1" applyFill="1" applyBorder="1" applyAlignment="1">
      <alignment horizontal="center"/>
    </xf>
    <xf numFmtId="0" fontId="43" fillId="41" borderId="0" xfId="43187" applyFont="1" applyFill="1"/>
    <xf numFmtId="10" fontId="43" fillId="41" borderId="0" xfId="847" applyNumberFormat="1" applyFont="1" applyFill="1" applyBorder="1" applyAlignment="1">
      <alignment horizontal="right"/>
    </xf>
    <xf numFmtId="167" fontId="43" fillId="41" borderId="0" xfId="815" applyFont="1" applyFill="1" applyBorder="1" applyAlignment="1">
      <alignment horizontal="left" indent="1"/>
    </xf>
    <xf numFmtId="0" fontId="43" fillId="33" borderId="0" xfId="776" applyFont="1" applyFill="1" applyAlignment="1">
      <alignment wrapText="1"/>
    </xf>
    <xf numFmtId="10" fontId="43" fillId="33" borderId="0" xfId="847" applyNumberFormat="1" applyFont="1" applyFill="1" applyBorder="1" applyAlignment="1">
      <alignment horizontal="center" wrapText="1"/>
    </xf>
    <xf numFmtId="0" fontId="43" fillId="0" borderId="0" xfId="907" applyFont="1"/>
    <xf numFmtId="0" fontId="110" fillId="0" borderId="0" xfId="907" applyFont="1" applyAlignment="1">
      <alignment horizontal="center"/>
    </xf>
    <xf numFmtId="9" fontId="38" fillId="0" borderId="0" xfId="1823" applyFont="1" applyFill="1" applyBorder="1" applyAlignment="1">
      <alignment horizontal="center" vertical="center" wrapText="1"/>
    </xf>
    <xf numFmtId="9" fontId="43" fillId="41" borderId="0" xfId="1823" applyFont="1" applyFill="1" applyBorder="1" applyAlignment="1">
      <alignment horizontal="left" vertical="center" wrapText="1"/>
    </xf>
    <xf numFmtId="37" fontId="43" fillId="41" borderId="0" xfId="905" applyNumberFormat="1" applyFont="1" applyFill="1" applyAlignment="1">
      <alignment horizontal="left"/>
    </xf>
    <xf numFmtId="167" fontId="110" fillId="41" borderId="0" xfId="815" applyFont="1" applyFill="1" applyBorder="1"/>
    <xf numFmtId="217" fontId="43" fillId="33" borderId="0" xfId="1095" applyNumberFormat="1" applyFont="1" applyFill="1" applyBorder="1" applyAlignment="1">
      <alignment horizontal="center"/>
    </xf>
    <xf numFmtId="167" fontId="43" fillId="33" borderId="0" xfId="815" applyFont="1" applyFill="1" applyBorder="1"/>
    <xf numFmtId="217" fontId="43" fillId="33" borderId="0" xfId="1718" applyNumberFormat="1" applyFont="1" applyFill="1" applyBorder="1" applyAlignment="1">
      <alignment horizontal="center"/>
    </xf>
    <xf numFmtId="10" fontId="43" fillId="33" borderId="0" xfId="1718" applyNumberFormat="1" applyFont="1" applyFill="1" applyBorder="1" applyAlignment="1">
      <alignment horizontal="center"/>
    </xf>
    <xf numFmtId="0" fontId="43" fillId="0" borderId="0" xfId="2544" applyFont="1"/>
    <xf numFmtId="167" fontId="38" fillId="38" borderId="0" xfId="815" applyFont="1" applyFill="1" applyBorder="1" applyAlignment="1">
      <alignment horizontal="center" vertical="center" wrapText="1"/>
    </xf>
    <xf numFmtId="0" fontId="43" fillId="0" borderId="0" xfId="776" applyFont="1" applyAlignment="1">
      <alignment wrapText="1"/>
    </xf>
    <xf numFmtId="217" fontId="43" fillId="0" borderId="0" xfId="1718" applyNumberFormat="1" applyFont="1" applyFill="1" applyBorder="1" applyAlignment="1">
      <alignment horizontal="center"/>
    </xf>
    <xf numFmtId="0" fontId="31" fillId="0" borderId="0" xfId="801" applyAlignment="1" applyProtection="1"/>
    <xf numFmtId="0" fontId="31" fillId="0" borderId="0" xfId="801" quotePrefix="1" applyAlignment="1" applyProtection="1"/>
    <xf numFmtId="0" fontId="43" fillId="0" borderId="0" xfId="2697" applyFont="1" applyAlignment="1">
      <alignment vertical="center"/>
    </xf>
    <xf numFmtId="172" fontId="32" fillId="0" borderId="0" xfId="863" applyNumberFormat="1" applyFont="1"/>
    <xf numFmtId="255" fontId="32" fillId="0" borderId="0" xfId="863" applyNumberFormat="1" applyFont="1"/>
    <xf numFmtId="0" fontId="205" fillId="0" borderId="0" xfId="0" applyFont="1"/>
    <xf numFmtId="168" fontId="205" fillId="0" borderId="0" xfId="863" applyFont="1"/>
    <xf numFmtId="0" fontId="205" fillId="33" borderId="0" xfId="829" applyFont="1" applyFill="1"/>
    <xf numFmtId="0" fontId="208" fillId="0" borderId="0" xfId="0" applyFont="1"/>
    <xf numFmtId="0" fontId="205" fillId="41" borderId="0" xfId="0" applyFont="1" applyFill="1"/>
    <xf numFmtId="0" fontId="209" fillId="0" borderId="0" xfId="0" applyFont="1" applyAlignment="1">
      <alignment horizontal="center"/>
    </xf>
    <xf numFmtId="0" fontId="209" fillId="0" borderId="0" xfId="0" applyFont="1"/>
    <xf numFmtId="0" fontId="211" fillId="0" borderId="0" xfId="0" applyFont="1" applyAlignment="1">
      <alignment horizontal="right" vertical="center"/>
    </xf>
    <xf numFmtId="0" fontId="205" fillId="60" borderId="0" xfId="0" applyFont="1" applyFill="1" applyAlignment="1" applyProtection="1">
      <alignment horizontal="left" wrapText="1"/>
      <protection hidden="1"/>
    </xf>
    <xf numFmtId="167" fontId="205" fillId="0" borderId="0" xfId="815" applyFont="1" applyBorder="1"/>
    <xf numFmtId="0" fontId="205" fillId="0" borderId="0" xfId="0" applyFont="1" applyAlignment="1">
      <alignment horizontal="left" indent="1"/>
    </xf>
    <xf numFmtId="10" fontId="205" fillId="0" borderId="0" xfId="847" applyNumberFormat="1" applyFont="1"/>
    <xf numFmtId="167" fontId="205" fillId="0" borderId="0" xfId="815" applyFont="1" applyFill="1" applyBorder="1"/>
    <xf numFmtId="0" fontId="205" fillId="0" borderId="0" xfId="907" applyFont="1" applyAlignment="1">
      <alignment horizontal="left" indent="1"/>
    </xf>
    <xf numFmtId="37" fontId="205" fillId="0" borderId="0" xfId="0" applyNumberFormat="1" applyFont="1"/>
    <xf numFmtId="37" fontId="205" fillId="0" borderId="0" xfId="0" applyNumberFormat="1" applyFont="1" applyAlignment="1">
      <alignment horizontal="left"/>
    </xf>
    <xf numFmtId="0" fontId="206" fillId="33" borderId="0" xfId="829" applyFont="1" applyFill="1" applyAlignment="1">
      <alignment vertical="top"/>
    </xf>
    <xf numFmtId="10" fontId="211" fillId="0" borderId="0" xfId="0" applyNumberFormat="1" applyFont="1" applyAlignment="1">
      <alignment horizontal="right" vertical="top"/>
    </xf>
    <xf numFmtId="174" fontId="211" fillId="0" borderId="0" xfId="0" applyNumberFormat="1" applyFont="1" applyAlignment="1">
      <alignment horizontal="right"/>
    </xf>
    <xf numFmtId="10" fontId="211" fillId="0" borderId="0" xfId="0" applyNumberFormat="1" applyFont="1" applyAlignment="1">
      <alignment horizontal="right"/>
    </xf>
    <xf numFmtId="168" fontId="205" fillId="45" borderId="0" xfId="863" applyFont="1" applyFill="1" applyBorder="1"/>
    <xf numFmtId="168" fontId="205" fillId="41" borderId="0" xfId="863" applyFont="1" applyFill="1" applyBorder="1"/>
    <xf numFmtId="168" fontId="205" fillId="41" borderId="0" xfId="863" applyFont="1" applyFill="1" applyBorder="1" applyAlignment="1">
      <alignment horizontal="center"/>
    </xf>
    <xf numFmtId="0" fontId="209" fillId="41" borderId="0" xfId="0" applyFont="1" applyFill="1"/>
    <xf numFmtId="0" fontId="205" fillId="41" borderId="0" xfId="0" applyFont="1" applyFill="1" applyAlignment="1">
      <alignment horizontal="center"/>
    </xf>
    <xf numFmtId="168" fontId="205" fillId="0" borderId="0" xfId="0" applyNumberFormat="1" applyFont="1"/>
    <xf numFmtId="0" fontId="205" fillId="41" borderId="0" xfId="0" applyFont="1" applyFill="1" applyAlignment="1" applyProtection="1">
      <alignment horizontal="left"/>
      <protection hidden="1"/>
    </xf>
    <xf numFmtId="0" fontId="205" fillId="0" borderId="0" xfId="2697" applyFont="1"/>
    <xf numFmtId="0" fontId="214" fillId="0" borderId="0" xfId="801" applyFont="1" applyAlignment="1" applyProtection="1"/>
    <xf numFmtId="0" fontId="205" fillId="41" borderId="0" xfId="2697" applyFont="1" applyFill="1"/>
    <xf numFmtId="0" fontId="205" fillId="33" borderId="0" xfId="2697" applyFont="1" applyFill="1"/>
    <xf numFmtId="168" fontId="205" fillId="41" borderId="0" xfId="43185" applyNumberFormat="1" applyFont="1" applyFill="1" applyBorder="1" applyAlignment="1" applyProtection="1">
      <alignment horizontal="right"/>
      <protection locked="0"/>
    </xf>
    <xf numFmtId="167" fontId="205" fillId="41" borderId="29" xfId="815" applyFont="1" applyFill="1" applyBorder="1"/>
    <xf numFmtId="0" fontId="205" fillId="0" borderId="0" xfId="907" applyFont="1"/>
    <xf numFmtId="0" fontId="208" fillId="58" borderId="20" xfId="834" applyFont="1" applyFill="1" applyBorder="1" applyAlignment="1" applyProtection="1">
      <alignment horizontal="left" vertical="center"/>
    </xf>
    <xf numFmtId="0" fontId="208" fillId="58" borderId="29" xfId="834" applyFont="1" applyFill="1" applyBorder="1" applyAlignment="1" applyProtection="1">
      <alignment horizontal="left" vertical="center"/>
    </xf>
    <xf numFmtId="165" fontId="205" fillId="0" borderId="0" xfId="43184" applyFont="1" applyBorder="1"/>
    <xf numFmtId="43" fontId="205" fillId="0" borderId="0" xfId="2697" applyNumberFormat="1" applyFont="1"/>
    <xf numFmtId="165" fontId="205" fillId="0" borderId="0" xfId="2697" applyNumberFormat="1" applyFont="1"/>
    <xf numFmtId="165" fontId="209" fillId="0" borderId="0" xfId="2697" applyNumberFormat="1" applyFont="1"/>
    <xf numFmtId="167" fontId="205" fillId="0" borderId="0" xfId="815" applyFont="1"/>
    <xf numFmtId="167" fontId="205" fillId="0" borderId="0" xfId="815" applyFont="1" applyAlignment="1">
      <alignment horizontal="right"/>
    </xf>
    <xf numFmtId="10" fontId="205" fillId="0" borderId="0" xfId="847" applyNumberFormat="1" applyFont="1" applyAlignment="1">
      <alignment horizontal="right"/>
    </xf>
    <xf numFmtId="167" fontId="205" fillId="0" borderId="0" xfId="2697" applyNumberFormat="1" applyFont="1"/>
    <xf numFmtId="0" fontId="208" fillId="0" borderId="0" xfId="907" applyFont="1" applyAlignment="1">
      <alignment horizontal="left"/>
    </xf>
    <xf numFmtId="0" fontId="205" fillId="41" borderId="0" xfId="834" applyFont="1" applyFill="1" applyAlignment="1" applyProtection="1">
      <alignment horizontal="left" vertical="center" indent="2"/>
    </xf>
    <xf numFmtId="165" fontId="205" fillId="41" borderId="0" xfId="43184" applyFont="1" applyFill="1" applyBorder="1" applyAlignment="1" applyProtection="1">
      <alignment horizontal="right"/>
      <protection locked="0"/>
    </xf>
    <xf numFmtId="0" fontId="215" fillId="41" borderId="0" xfId="834" applyFont="1" applyFill="1" applyAlignment="1" applyProtection="1">
      <alignment horizontal="left" vertical="center" indent="1"/>
    </xf>
    <xf numFmtId="167" fontId="205" fillId="41" borderId="0" xfId="815" applyFont="1" applyFill="1" applyBorder="1"/>
    <xf numFmtId="10" fontId="205" fillId="0" borderId="0" xfId="847" applyNumberFormat="1" applyFont="1" applyFill="1" applyBorder="1"/>
    <xf numFmtId="0" fontId="205" fillId="97" borderId="0" xfId="0" applyFont="1" applyFill="1" applyAlignment="1" applyProtection="1">
      <alignment horizontal="left"/>
      <protection hidden="1"/>
    </xf>
    <xf numFmtId="14" fontId="205" fillId="0" borderId="0" xfId="2697" applyNumberFormat="1" applyFont="1" applyAlignment="1">
      <alignment horizontal="left"/>
    </xf>
    <xf numFmtId="165" fontId="205" fillId="45" borderId="0" xfId="863" applyNumberFormat="1" applyFont="1" applyFill="1" applyBorder="1"/>
    <xf numFmtId="0" fontId="206" fillId="33" borderId="0" xfId="829" applyFont="1" applyFill="1" applyAlignment="1">
      <alignment horizontal="right" vertical="top"/>
    </xf>
    <xf numFmtId="10" fontId="211" fillId="0" borderId="0" xfId="0" applyNumberFormat="1" applyFont="1" applyAlignment="1">
      <alignment horizontal="left" vertical="top"/>
    </xf>
    <xf numFmtId="43" fontId="205" fillId="41" borderId="0" xfId="863" applyNumberFormat="1" applyFont="1" applyFill="1" applyBorder="1" applyAlignment="1">
      <alignment horizontal="right"/>
    </xf>
    <xf numFmtId="0" fontId="205" fillId="0" borderId="0" xfId="0" applyFont="1" applyAlignment="1">
      <alignment horizontal="right"/>
    </xf>
    <xf numFmtId="0" fontId="219" fillId="0" borderId="0" xfId="0" applyFont="1"/>
    <xf numFmtId="9" fontId="207" fillId="0" borderId="0" xfId="847" applyFont="1" applyFill="1" applyBorder="1" applyAlignment="1">
      <alignment horizontal="right"/>
    </xf>
    <xf numFmtId="0" fontId="219" fillId="41" borderId="0" xfId="0" applyFont="1" applyFill="1"/>
    <xf numFmtId="43" fontId="205" fillId="41" borderId="0" xfId="0" applyNumberFormat="1" applyFont="1" applyFill="1" applyAlignment="1">
      <alignment horizontal="center"/>
    </xf>
    <xf numFmtId="10" fontId="205" fillId="41" borderId="0" xfId="847" applyNumberFormat="1" applyFont="1" applyFill="1" applyAlignment="1">
      <alignment horizontal="center"/>
    </xf>
    <xf numFmtId="0" fontId="208" fillId="0" borderId="0" xfId="907" applyFont="1"/>
    <xf numFmtId="170" fontId="205" fillId="0" borderId="0" xfId="863" applyNumberFormat="1" applyFont="1" applyBorder="1"/>
    <xf numFmtId="43" fontId="205" fillId="57" borderId="0" xfId="863" applyNumberFormat="1" applyFont="1" applyFill="1" applyBorder="1"/>
    <xf numFmtId="167" fontId="205" fillId="0" borderId="29" xfId="815" applyFont="1" applyBorder="1"/>
    <xf numFmtId="2" fontId="208" fillId="0" borderId="0" xfId="0" applyNumberFormat="1" applyFont="1"/>
    <xf numFmtId="9" fontId="205" fillId="41" borderId="0" xfId="847" applyFont="1" applyFill="1"/>
    <xf numFmtId="256" fontId="208" fillId="0" borderId="0" xfId="907" applyNumberFormat="1" applyFont="1"/>
    <xf numFmtId="168" fontId="219" fillId="0" borderId="0" xfId="0" applyNumberFormat="1" applyFont="1"/>
    <xf numFmtId="0" fontId="208" fillId="33" borderId="0" xfId="829" applyFont="1" applyFill="1" applyAlignment="1">
      <alignment horizontal="left" vertical="top"/>
    </xf>
    <xf numFmtId="0" fontId="208" fillId="0" borderId="0" xfId="0" applyFont="1" applyAlignment="1">
      <alignment horizontal="left" indent="1"/>
    </xf>
    <xf numFmtId="0" fontId="211" fillId="41" borderId="0" xfId="0" applyFont="1" applyFill="1" applyAlignment="1">
      <alignment horizontal="right" vertical="center"/>
    </xf>
    <xf numFmtId="168" fontId="205" fillId="0" borderId="0" xfId="863" applyFont="1" applyBorder="1"/>
    <xf numFmtId="43" fontId="205" fillId="0" borderId="0" xfId="0" applyNumberFormat="1" applyFont="1"/>
    <xf numFmtId="165" fontId="205" fillId="0" borderId="0" xfId="0" applyNumberFormat="1" applyFont="1"/>
    <xf numFmtId="167" fontId="205" fillId="0" borderId="0" xfId="0" applyNumberFormat="1" applyFont="1"/>
    <xf numFmtId="0" fontId="205" fillId="0" borderId="0" xfId="907" applyFont="1" applyAlignment="1">
      <alignment horizontal="left" indent="2"/>
    </xf>
    <xf numFmtId="219" fontId="218" fillId="41" borderId="0" xfId="863" applyNumberFormat="1" applyFont="1" applyFill="1" applyBorder="1"/>
    <xf numFmtId="0" fontId="210" fillId="43" borderId="0" xfId="0" applyFont="1" applyFill="1"/>
    <xf numFmtId="10" fontId="211" fillId="0" borderId="0" xfId="0" applyNumberFormat="1" applyFont="1" applyAlignment="1">
      <alignment horizontal="center" vertical="top"/>
    </xf>
    <xf numFmtId="168" fontId="205" fillId="45" borderId="0" xfId="863" applyFont="1" applyFill="1" applyBorder="1" applyAlignment="1"/>
    <xf numFmtId="10" fontId="205" fillId="41" borderId="0" xfId="847" applyNumberFormat="1" applyFont="1" applyFill="1" applyBorder="1" applyAlignment="1">
      <alignment horizontal="center"/>
    </xf>
    <xf numFmtId="0" fontId="205" fillId="33" borderId="0" xfId="831" applyFont="1" applyFill="1" applyAlignment="1">
      <alignment vertical="center"/>
    </xf>
    <xf numFmtId="10" fontId="211" fillId="0" borderId="0" xfId="2697" applyNumberFormat="1" applyFont="1" applyAlignment="1">
      <alignment horizontal="right" vertical="top"/>
    </xf>
    <xf numFmtId="0" fontId="206" fillId="33" borderId="0" xfId="831" applyFont="1" applyFill="1" applyAlignment="1">
      <alignment horizontal="left" vertical="center"/>
    </xf>
    <xf numFmtId="170" fontId="205" fillId="33" borderId="0" xfId="863" applyNumberFormat="1" applyFont="1" applyFill="1" applyAlignment="1">
      <alignment vertical="center"/>
    </xf>
    <xf numFmtId="170" fontId="205" fillId="33" borderId="0" xfId="863" applyNumberFormat="1" applyFont="1" applyFill="1" applyBorder="1" applyAlignment="1">
      <alignment vertical="center"/>
    </xf>
    <xf numFmtId="0" fontId="223" fillId="33" borderId="0" xfId="831" applyFont="1" applyFill="1" applyAlignment="1">
      <alignment horizontal="left" vertical="center"/>
    </xf>
    <xf numFmtId="0" fontId="205" fillId="33" borderId="0" xfId="831" applyFont="1" applyFill="1" applyAlignment="1">
      <alignment vertical="center" wrapText="1"/>
    </xf>
    <xf numFmtId="0" fontId="205" fillId="0" borderId="0" xfId="831" applyFont="1" applyAlignment="1">
      <alignment vertical="center"/>
    </xf>
    <xf numFmtId="176" fontId="205" fillId="0" borderId="0" xfId="863" applyNumberFormat="1" applyFont="1" applyFill="1" applyBorder="1" applyAlignment="1">
      <alignment vertical="center"/>
    </xf>
    <xf numFmtId="168" fontId="208" fillId="33" borderId="0" xfId="831" applyNumberFormat="1" applyFont="1" applyFill="1" applyAlignment="1">
      <alignment vertical="center"/>
    </xf>
    <xf numFmtId="170" fontId="208" fillId="33" borderId="0" xfId="863" applyNumberFormat="1" applyFont="1" applyFill="1" applyBorder="1" applyAlignment="1">
      <alignment vertical="center"/>
    </xf>
    <xf numFmtId="168" fontId="208" fillId="33" borderId="0" xfId="863" applyFont="1" applyFill="1" applyBorder="1" applyAlignment="1">
      <alignment vertical="center"/>
    </xf>
    <xf numFmtId="176" fontId="205" fillId="33" borderId="0" xfId="831" applyNumberFormat="1" applyFont="1" applyFill="1" applyAlignment="1">
      <alignment vertical="center"/>
    </xf>
    <xf numFmtId="0" fontId="223" fillId="0" borderId="0" xfId="831" applyFont="1" applyAlignment="1">
      <alignment horizontal="left" vertical="center"/>
    </xf>
    <xf numFmtId="0" fontId="208" fillId="0" borderId="0" xfId="831" applyFont="1" applyAlignment="1">
      <alignment horizontal="center" vertical="center"/>
    </xf>
    <xf numFmtId="4" fontId="208" fillId="0" borderId="0" xfId="831" applyNumberFormat="1" applyFont="1" applyAlignment="1">
      <alignment horizontal="right" vertical="center"/>
    </xf>
    <xf numFmtId="0" fontId="205" fillId="41" borderId="0" xfId="831" applyFont="1" applyFill="1" applyAlignment="1">
      <alignment vertical="center"/>
    </xf>
    <xf numFmtId="170" fontId="205" fillId="41" borderId="0" xfId="863" applyNumberFormat="1" applyFont="1" applyFill="1" applyBorder="1" applyAlignment="1">
      <alignment vertical="center"/>
    </xf>
    <xf numFmtId="0" fontId="205" fillId="61" borderId="0" xfId="831" applyFont="1" applyFill="1" applyAlignment="1">
      <alignment vertical="center"/>
    </xf>
    <xf numFmtId="0" fontId="224" fillId="95" borderId="113" xfId="2697" applyFont="1" applyFill="1" applyBorder="1" applyAlignment="1">
      <alignment vertical="top"/>
    </xf>
    <xf numFmtId="0" fontId="224" fillId="95" borderId="114" xfId="2697" applyFont="1" applyFill="1" applyBorder="1" applyAlignment="1">
      <alignment horizontal="right" vertical="top"/>
    </xf>
    <xf numFmtId="0" fontId="224" fillId="95" borderId="115" xfId="2697" applyFont="1" applyFill="1" applyBorder="1" applyAlignment="1">
      <alignment vertical="top"/>
    </xf>
    <xf numFmtId="0" fontId="224" fillId="95" borderId="116" xfId="2697" applyFont="1" applyFill="1" applyBorder="1" applyAlignment="1">
      <alignment vertical="top"/>
    </xf>
    <xf numFmtId="0" fontId="224" fillId="95" borderId="117" xfId="2697" applyFont="1" applyFill="1" applyBorder="1" applyAlignment="1">
      <alignment horizontal="right" vertical="top"/>
    </xf>
    <xf numFmtId="0" fontId="224" fillId="95" borderId="118" xfId="2697" applyFont="1" applyFill="1" applyBorder="1" applyAlignment="1">
      <alignment vertical="top"/>
    </xf>
    <xf numFmtId="0" fontId="208" fillId="41" borderId="0" xfId="2697" applyFont="1" applyFill="1"/>
    <xf numFmtId="2" fontId="205" fillId="41" borderId="0" xfId="0" applyNumberFormat="1" applyFont="1" applyFill="1"/>
    <xf numFmtId="170" fontId="205" fillId="41" borderId="0" xfId="863" applyNumberFormat="1" applyFont="1" applyFill="1" applyBorder="1"/>
    <xf numFmtId="0" fontId="205" fillId="41" borderId="0" xfId="0" applyFont="1" applyFill="1" applyAlignment="1">
      <alignment vertical="center"/>
    </xf>
    <xf numFmtId="168" fontId="208" fillId="41" borderId="0" xfId="863" applyFont="1" applyFill="1" applyBorder="1"/>
    <xf numFmtId="168" fontId="205" fillId="33" borderId="0" xfId="863" applyFont="1" applyFill="1" applyBorder="1" applyAlignment="1" applyProtection="1">
      <alignment horizontal="center" vertical="center"/>
      <protection locked="0"/>
    </xf>
    <xf numFmtId="0" fontId="205" fillId="0" borderId="0" xfId="831" applyFont="1"/>
    <xf numFmtId="170" fontId="225" fillId="0" borderId="0" xfId="863" applyNumberFormat="1" applyFont="1" applyAlignment="1">
      <alignment horizontal="right"/>
    </xf>
    <xf numFmtId="0" fontId="224" fillId="95" borderId="0" xfId="2697" applyFont="1" applyFill="1" applyAlignment="1">
      <alignment vertical="top"/>
    </xf>
    <xf numFmtId="0" fontId="224" fillId="95" borderId="0" xfId="2697" applyFont="1" applyFill="1" applyAlignment="1">
      <alignment horizontal="right" vertical="top"/>
    </xf>
    <xf numFmtId="0" fontId="224" fillId="95" borderId="119" xfId="2697" applyFont="1" applyFill="1" applyBorder="1" applyAlignment="1">
      <alignment vertical="top"/>
    </xf>
    <xf numFmtId="0" fontId="224" fillId="95" borderId="120" xfId="2697" applyFont="1" applyFill="1" applyBorder="1" applyAlignment="1">
      <alignment horizontal="right" vertical="top"/>
    </xf>
    <xf numFmtId="0" fontId="224" fillId="95" borderId="121" xfId="2697" applyFont="1" applyFill="1" applyBorder="1" applyAlignment="1">
      <alignment vertical="top"/>
    </xf>
    <xf numFmtId="14" fontId="205" fillId="33" borderId="0" xfId="831" applyNumberFormat="1" applyFont="1" applyFill="1" applyAlignment="1">
      <alignment vertical="center"/>
    </xf>
    <xf numFmtId="168" fontId="208" fillId="33" borderId="0" xfId="863" applyFont="1" applyFill="1" applyBorder="1" applyAlignment="1">
      <alignment horizontal="center" vertical="center"/>
    </xf>
    <xf numFmtId="4" fontId="205" fillId="33" borderId="0" xfId="831" applyNumberFormat="1" applyFont="1" applyFill="1" applyAlignment="1">
      <alignment horizontal="center" vertical="center"/>
    </xf>
    <xf numFmtId="4" fontId="205" fillId="46" borderId="0" xfId="831" applyNumberFormat="1" applyFont="1" applyFill="1" applyAlignment="1">
      <alignment horizontal="center" vertical="center"/>
    </xf>
    <xf numFmtId="168" fontId="208" fillId="54" borderId="0" xfId="903" applyFont="1" applyFill="1" applyBorder="1" applyAlignment="1">
      <alignment horizontal="right"/>
    </xf>
    <xf numFmtId="168" fontId="208" fillId="54" borderId="0" xfId="903" applyFont="1" applyFill="1" applyBorder="1" applyAlignment="1">
      <alignment horizontal="left" vertical="top" wrapText="1"/>
    </xf>
    <xf numFmtId="0" fontId="214" fillId="0" borderId="0" xfId="801" applyFont="1" applyFill="1" applyBorder="1" applyAlignment="1" applyProtection="1">
      <alignment horizontal="right" vertical="center"/>
    </xf>
    <xf numFmtId="0" fontId="214" fillId="33" borderId="0" xfId="801" applyFont="1" applyFill="1" applyBorder="1" applyAlignment="1" applyProtection="1">
      <alignment horizontal="right" vertical="center"/>
    </xf>
    <xf numFmtId="0" fontId="205" fillId="33" borderId="0" xfId="0" applyFont="1" applyFill="1" applyAlignment="1">
      <alignment vertical="center"/>
    </xf>
    <xf numFmtId="14" fontId="205" fillId="0" borderId="0" xfId="0" applyNumberFormat="1" applyFont="1"/>
    <xf numFmtId="0" fontId="205" fillId="0" borderId="20" xfId="0" applyFont="1" applyBorder="1"/>
    <xf numFmtId="167" fontId="205" fillId="0" borderId="0" xfId="815" applyFont="1" applyFill="1"/>
    <xf numFmtId="168" fontId="205" fillId="54" borderId="0" xfId="903" applyFont="1" applyFill="1" applyBorder="1" applyAlignment="1">
      <alignment horizontal="left" vertical="top"/>
    </xf>
    <xf numFmtId="215" fontId="205" fillId="54" borderId="0" xfId="903" applyNumberFormat="1" applyFont="1" applyFill="1" applyBorder="1" applyAlignment="1">
      <alignment horizontal="right"/>
    </xf>
    <xf numFmtId="168" fontId="205" fillId="41" borderId="0" xfId="903" applyFont="1" applyFill="1" applyBorder="1" applyAlignment="1">
      <alignment horizontal="left" vertical="top" wrapText="1"/>
    </xf>
    <xf numFmtId="167" fontId="205" fillId="0" borderId="0" xfId="815" applyFont="1" applyFill="1" applyBorder="1" applyAlignment="1">
      <alignment horizontal="right"/>
    </xf>
    <xf numFmtId="167" fontId="205" fillId="41" borderId="0" xfId="815" applyFont="1" applyFill="1" applyBorder="1" applyAlignment="1">
      <alignment horizontal="right"/>
    </xf>
    <xf numFmtId="0" fontId="205" fillId="0" borderId="0" xfId="832" applyFont="1"/>
    <xf numFmtId="0" fontId="206" fillId="33" borderId="0" xfId="0" applyFont="1" applyFill="1" applyAlignment="1">
      <alignment horizontal="left"/>
    </xf>
    <xf numFmtId="167" fontId="205" fillId="0" borderId="0" xfId="815" applyFont="1" applyAlignment="1">
      <alignment vertical="center"/>
    </xf>
    <xf numFmtId="167" fontId="205" fillId="41" borderId="20" xfId="815" applyFont="1" applyFill="1" applyBorder="1"/>
    <xf numFmtId="197" fontId="205" fillId="0" borderId="0" xfId="0" applyNumberFormat="1" applyFont="1"/>
    <xf numFmtId="0" fontId="211" fillId="33" borderId="0" xfId="0" applyFont="1" applyFill="1" applyAlignment="1">
      <alignment horizontal="right"/>
    </xf>
    <xf numFmtId="9" fontId="205" fillId="0" borderId="0" xfId="847" applyFont="1"/>
    <xf numFmtId="0" fontId="205" fillId="33" borderId="0" xfId="0" applyFont="1" applyFill="1"/>
    <xf numFmtId="0" fontId="205" fillId="33" borderId="20" xfId="789" applyFont="1" applyFill="1" applyBorder="1"/>
    <xf numFmtId="0" fontId="205" fillId="33" borderId="29" xfId="789" applyFont="1" applyFill="1" applyBorder="1"/>
    <xf numFmtId="10" fontId="205" fillId="33" borderId="29" xfId="847" applyNumberFormat="1" applyFont="1" applyFill="1" applyBorder="1"/>
    <xf numFmtId="17" fontId="205" fillId="0" borderId="29" xfId="0" applyNumberFormat="1" applyFont="1" applyBorder="1"/>
    <xf numFmtId="0" fontId="211" fillId="0" borderId="0" xfId="0" applyFont="1" applyAlignment="1">
      <alignment horizontal="right"/>
    </xf>
    <xf numFmtId="168" fontId="205" fillId="41" borderId="0" xfId="863" applyFont="1" applyFill="1"/>
    <xf numFmtId="168" fontId="205" fillId="41" borderId="0" xfId="863" applyFont="1" applyFill="1" applyAlignment="1">
      <alignment vertical="center"/>
    </xf>
    <xf numFmtId="167" fontId="205" fillId="41" borderId="0" xfId="815" applyFont="1" applyFill="1"/>
    <xf numFmtId="43" fontId="205" fillId="41" borderId="0" xfId="0" applyNumberFormat="1" applyFont="1" applyFill="1"/>
    <xf numFmtId="10" fontId="205" fillId="0" borderId="20" xfId="847" applyNumberFormat="1" applyFont="1" applyBorder="1" applyAlignment="1">
      <alignment horizontal="right"/>
    </xf>
    <xf numFmtId="10" fontId="205" fillId="0" borderId="20" xfId="847" applyNumberFormat="1" applyFont="1" applyFill="1" applyBorder="1" applyAlignment="1">
      <alignment horizontal="right"/>
    </xf>
    <xf numFmtId="167" fontId="205" fillId="0" borderId="20" xfId="815" applyFont="1" applyBorder="1"/>
    <xf numFmtId="167" fontId="205" fillId="0" borderId="20" xfId="815" applyFont="1" applyFill="1" applyBorder="1"/>
    <xf numFmtId="167" fontId="205" fillId="0" borderId="29" xfId="815" applyFont="1" applyFill="1" applyBorder="1"/>
    <xf numFmtId="0" fontId="208" fillId="0" borderId="0" xfId="2697" applyFont="1"/>
    <xf numFmtId="0" fontId="229" fillId="0" borderId="0" xfId="2697" applyFont="1"/>
    <xf numFmtId="10" fontId="43" fillId="41" borderId="0" xfId="847" applyNumberFormat="1" applyFont="1" applyFill="1" applyBorder="1" applyAlignment="1">
      <alignment horizontal="center"/>
    </xf>
    <xf numFmtId="0" fontId="38" fillId="55" borderId="0" xfId="834" applyFont="1" applyFill="1" applyAlignment="1" applyProtection="1">
      <alignment horizontal="center" vertical="center"/>
    </xf>
    <xf numFmtId="0" fontId="205" fillId="46" borderId="0" xfId="2697" applyFont="1" applyFill="1"/>
    <xf numFmtId="165" fontId="205" fillId="46" borderId="0" xfId="2697" applyNumberFormat="1" applyFont="1" applyFill="1"/>
    <xf numFmtId="168" fontId="0" fillId="0" borderId="0" xfId="863" applyFont="1"/>
    <xf numFmtId="168" fontId="30" fillId="0" borderId="0" xfId="863" applyFont="1"/>
    <xf numFmtId="168" fontId="231" fillId="0" borderId="0" xfId="863" applyFont="1"/>
    <xf numFmtId="0" fontId="232" fillId="0" borderId="122" xfId="0" applyFont="1" applyBorder="1"/>
    <xf numFmtId="168" fontId="232" fillId="0" borderId="122" xfId="863" applyFont="1" applyBorder="1"/>
    <xf numFmtId="14" fontId="232" fillId="0" borderId="122" xfId="0" applyNumberFormat="1" applyFont="1" applyBorder="1"/>
    <xf numFmtId="0" fontId="232" fillId="62" borderId="122" xfId="0" applyFont="1" applyFill="1" applyBorder="1"/>
    <xf numFmtId="168" fontId="232" fillId="62" borderId="122" xfId="863" applyFont="1" applyFill="1" applyBorder="1"/>
    <xf numFmtId="14" fontId="232" fillId="62" borderId="122" xfId="0" applyNumberFormat="1" applyFont="1" applyFill="1" applyBorder="1"/>
    <xf numFmtId="168" fontId="233" fillId="0" borderId="0" xfId="863" applyFont="1"/>
    <xf numFmtId="0" fontId="233" fillId="0" borderId="0" xfId="0" applyFont="1"/>
    <xf numFmtId="0" fontId="233" fillId="41" borderId="0" xfId="0" applyFont="1" applyFill="1"/>
    <xf numFmtId="0" fontId="234" fillId="41" borderId="0" xfId="0" applyFont="1" applyFill="1"/>
    <xf numFmtId="168" fontId="233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5" fillId="0" borderId="0" xfId="847" applyNumberFormat="1" applyFont="1" applyAlignment="1">
      <alignment horizontal="left"/>
    </xf>
    <xf numFmtId="257" fontId="205" fillId="0" borderId="0" xfId="847" applyNumberFormat="1" applyFont="1" applyAlignment="1">
      <alignment horizontal="left"/>
    </xf>
    <xf numFmtId="170" fontId="205" fillId="0" borderId="0" xfId="863" applyNumberFormat="1" applyFont="1" applyAlignment="1">
      <alignment horizontal="left" vertical="top"/>
    </xf>
    <xf numFmtId="167" fontId="208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5" fillId="41" borderId="0" xfId="863" applyNumberFormat="1" applyFont="1" applyFill="1" applyBorder="1" applyAlignment="1">
      <alignment horizontal="right"/>
    </xf>
    <xf numFmtId="262" fontId="205" fillId="0" borderId="0" xfId="847" applyNumberFormat="1" applyFont="1" applyBorder="1"/>
    <xf numFmtId="262" fontId="205" fillId="0" borderId="0" xfId="847" applyNumberFormat="1" applyFont="1" applyFill="1" applyBorder="1" applyAlignment="1">
      <alignment horizontal="right"/>
    </xf>
    <xf numFmtId="262" fontId="205" fillId="0" borderId="0" xfId="847" applyNumberFormat="1" applyFont="1" applyBorder="1" applyAlignment="1">
      <alignment horizontal="right"/>
    </xf>
    <xf numFmtId="0" fontId="30" fillId="0" borderId="0" xfId="0" applyFont="1" applyAlignment="1">
      <alignment horizontal="right" vertical="center"/>
    </xf>
    <xf numFmtId="0" fontId="237" fillId="0" borderId="0" xfId="0" applyFont="1" applyAlignment="1">
      <alignment horizontal="right" vertical="center"/>
    </xf>
    <xf numFmtId="0" fontId="205" fillId="0" borderId="0" xfId="0" applyFont="1" applyAlignment="1">
      <alignment horizontal="left"/>
    </xf>
    <xf numFmtId="0" fontId="229" fillId="0" borderId="0" xfId="832" applyFont="1"/>
    <xf numFmtId="253" fontId="116" fillId="0" borderId="0" xfId="0" applyNumberFormat="1" applyFont="1"/>
    <xf numFmtId="4" fontId="116" fillId="0" borderId="0" xfId="0" applyNumberFormat="1" applyFont="1"/>
    <xf numFmtId="0" fontId="116" fillId="0" borderId="0" xfId="0" applyFont="1"/>
    <xf numFmtId="167" fontId="205" fillId="0" borderId="0" xfId="801" applyNumberFormat="1" applyFont="1" applyBorder="1" applyAlignment="1" applyProtection="1"/>
    <xf numFmtId="167" fontId="205" fillId="0" borderId="0" xfId="815" applyFont="1" applyFill="1" applyBorder="1" applyAlignment="1">
      <alignment horizontal="right" indent="2"/>
    </xf>
    <xf numFmtId="167" fontId="205" fillId="0" borderId="0" xfId="815" applyFont="1" applyFill="1" applyBorder="1" applyAlignment="1">
      <alignment horizontal="right" indent="5"/>
    </xf>
    <xf numFmtId="167" fontId="205" fillId="0" borderId="0" xfId="801" applyNumberFormat="1" applyFont="1" applyFill="1" applyBorder="1" applyAlignment="1" applyProtection="1"/>
    <xf numFmtId="0" fontId="208" fillId="0" borderId="0" xfId="0" applyFont="1" applyAlignment="1">
      <alignment horizontal="center"/>
    </xf>
    <xf numFmtId="171" fontId="205" fillId="0" borderId="0" xfId="0" applyNumberFormat="1" applyFont="1"/>
    <xf numFmtId="0" fontId="212" fillId="0" borderId="0" xfId="0" applyFont="1" applyAlignment="1">
      <alignment horizontal="center" vertical="center" wrapText="1"/>
    </xf>
    <xf numFmtId="167" fontId="208" fillId="0" borderId="0" xfId="0" applyNumberFormat="1" applyFont="1"/>
    <xf numFmtId="0" fontId="30" fillId="0" borderId="0" xfId="907"/>
    <xf numFmtId="171" fontId="30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9" fillId="0" borderId="0" xfId="905" applyNumberFormat="1" applyFont="1" applyAlignment="1">
      <alignment horizontal="center" vertical="center" wrapText="1"/>
    </xf>
    <xf numFmtId="0" fontId="33" fillId="0" borderId="0" xfId="907" applyFont="1"/>
    <xf numFmtId="167" fontId="33" fillId="0" borderId="0" xfId="815" applyFont="1" applyFill="1" applyBorder="1" applyAlignment="1">
      <alignment horizontal="right"/>
    </xf>
    <xf numFmtId="17" fontId="39" fillId="0" borderId="0" xfId="905" applyNumberFormat="1" applyFont="1" applyAlignment="1">
      <alignment horizontal="left" vertical="center" indent="6"/>
    </xf>
    <xf numFmtId="17" fontId="39" fillId="38" borderId="29" xfId="905" applyNumberFormat="1" applyFont="1" applyFill="1" applyBorder="1" applyAlignment="1">
      <alignment horizontal="center" vertical="center" wrapText="1"/>
    </xf>
    <xf numFmtId="0" fontId="36" fillId="0" borderId="0" xfId="907" applyFont="1"/>
    <xf numFmtId="168" fontId="30" fillId="0" borderId="10" xfId="863" applyBorder="1"/>
    <xf numFmtId="0" fontId="224" fillId="0" borderId="0" xfId="2697" applyFont="1" applyAlignment="1">
      <alignment vertical="top"/>
    </xf>
    <xf numFmtId="0" fontId="224" fillId="0" borderId="0" xfId="2697" applyFont="1" applyAlignment="1">
      <alignment horizontal="right" vertical="top"/>
    </xf>
    <xf numFmtId="17" fontId="39" fillId="0" borderId="0" xfId="905" applyNumberFormat="1" applyFont="1" applyAlignment="1">
      <alignment horizontal="left" vertical="center" indent="11"/>
    </xf>
    <xf numFmtId="167" fontId="33" fillId="0" borderId="0" xfId="815" applyFont="1" applyFill="1" applyBorder="1"/>
    <xf numFmtId="171" fontId="33" fillId="0" borderId="0" xfId="907" applyNumberFormat="1" applyFont="1"/>
    <xf numFmtId="0" fontId="146" fillId="41" borderId="0" xfId="907" applyFont="1" applyFill="1"/>
    <xf numFmtId="168" fontId="116" fillId="0" borderId="0" xfId="863" applyFont="1"/>
    <xf numFmtId="168" fontId="205" fillId="0" borderId="0" xfId="863" applyFont="1" applyFill="1" applyBorder="1"/>
    <xf numFmtId="0" fontId="228" fillId="0" borderId="0" xfId="830" applyFont="1"/>
    <xf numFmtId="0" fontId="226" fillId="0" borderId="0" xfId="831" applyFont="1"/>
    <xf numFmtId="0" fontId="205" fillId="0" borderId="0" xfId="0" applyFont="1" applyAlignment="1">
      <alignment horizontal="center"/>
    </xf>
    <xf numFmtId="14" fontId="205" fillId="0" borderId="0" xfId="0" applyNumberFormat="1" applyFont="1" applyAlignment="1">
      <alignment horizontal="center"/>
    </xf>
    <xf numFmtId="0" fontId="225" fillId="0" borderId="0" xfId="0" applyFont="1"/>
    <xf numFmtId="167" fontId="205" fillId="0" borderId="10" xfId="815" applyFont="1" applyFill="1" applyBorder="1"/>
    <xf numFmtId="0" fontId="241" fillId="33" borderId="0" xfId="831" applyFont="1" applyFill="1" applyAlignment="1">
      <alignment horizontal="right" vertical="center"/>
    </xf>
    <xf numFmtId="0" fontId="110" fillId="41" borderId="0" xfId="907" applyFont="1" applyFill="1" applyAlignment="1">
      <alignment horizontal="center"/>
    </xf>
    <xf numFmtId="9" fontId="38" fillId="38" borderId="0" xfId="1823" applyFont="1" applyFill="1" applyBorder="1" applyAlignment="1">
      <alignment horizontal="center" vertical="center" wrapText="1"/>
    </xf>
    <xf numFmtId="0" fontId="43" fillId="41" borderId="0" xfId="907" applyFont="1" applyFill="1" applyAlignment="1">
      <alignment horizontal="left" indent="1"/>
    </xf>
    <xf numFmtId="0" fontId="242" fillId="41" borderId="106" xfId="831" applyFont="1" applyFill="1" applyBorder="1" applyAlignment="1">
      <alignment horizontal="left"/>
    </xf>
    <xf numFmtId="0" fontId="31" fillId="41" borderId="0" xfId="801" applyFill="1" applyBorder="1" applyAlignment="1" applyProtection="1">
      <alignment horizontal="left"/>
    </xf>
    <xf numFmtId="0" fontId="43" fillId="41" borderId="0" xfId="2697" applyFont="1" applyFill="1"/>
    <xf numFmtId="0" fontId="31" fillId="41" borderId="0" xfId="801" applyFill="1" applyBorder="1" applyAlignment="1" applyProtection="1"/>
    <xf numFmtId="0" fontId="243" fillId="41" borderId="0" xfId="907" applyFont="1" applyFill="1" applyAlignment="1">
      <alignment horizontal="left"/>
    </xf>
    <xf numFmtId="0" fontId="31" fillId="41" borderId="0" xfId="801" applyFill="1" applyBorder="1" applyAlignment="1" applyProtection="1">
      <alignment horizontal="right"/>
    </xf>
    <xf numFmtId="0" fontId="117" fillId="101" borderId="0" xfId="2697" applyFont="1" applyFill="1" applyAlignment="1">
      <alignment horizontal="center" vertical="center" wrapText="1"/>
    </xf>
    <xf numFmtId="0" fontId="43" fillId="41" borderId="0" xfId="2697" applyFont="1" applyFill="1" applyAlignment="1">
      <alignment horizontal="left" vertical="center"/>
    </xf>
    <xf numFmtId="43" fontId="43" fillId="41" borderId="0" xfId="43199" applyFont="1" applyFill="1" applyBorder="1" applyAlignment="1"/>
    <xf numFmtId="43" fontId="43" fillId="41" borderId="0" xfId="43199" applyFont="1" applyFill="1" applyBorder="1"/>
    <xf numFmtId="167" fontId="43" fillId="41" borderId="0" xfId="815" quotePrefix="1" applyFont="1" applyFill="1" applyBorder="1"/>
    <xf numFmtId="10" fontId="43" fillId="41" borderId="0" xfId="847" applyNumberFormat="1" applyFont="1" applyFill="1" applyBorder="1" applyAlignment="1">
      <alignment horizontal="right" vertical="center"/>
    </xf>
    <xf numFmtId="43" fontId="43" fillId="41" borderId="0" xfId="907" applyNumberFormat="1" applyFont="1" applyFill="1"/>
    <xf numFmtId="167" fontId="110" fillId="41" borderId="0" xfId="815" applyFont="1" applyFill="1" applyBorder="1" applyAlignment="1"/>
    <xf numFmtId="43" fontId="110" fillId="41" borderId="0" xfId="907" applyNumberFormat="1" applyFont="1" applyFill="1"/>
    <xf numFmtId="0" fontId="30" fillId="41" borderId="0" xfId="2697" applyFill="1" applyAlignment="1">
      <alignment horizontal="center"/>
    </xf>
    <xf numFmtId="167" fontId="243" fillId="41" borderId="0" xfId="815" applyFont="1" applyFill="1" applyBorder="1" applyAlignment="1"/>
    <xf numFmtId="43" fontId="43" fillId="41" borderId="0" xfId="43200" applyFont="1" applyFill="1" applyBorder="1" applyAlignment="1" applyProtection="1">
      <alignment horizontal="center"/>
    </xf>
    <xf numFmtId="43" fontId="203" fillId="41" borderId="0" xfId="43199" applyFont="1" applyFill="1" applyBorder="1"/>
    <xf numFmtId="43" fontId="110" fillId="41" borderId="0" xfId="43199" applyFont="1" applyFill="1" applyBorder="1"/>
    <xf numFmtId="0" fontId="43" fillId="41" borderId="0" xfId="907" applyFont="1" applyFill="1" applyAlignment="1">
      <alignment horizontal="center"/>
    </xf>
    <xf numFmtId="0" fontId="232" fillId="41" borderId="123" xfId="2697" applyFont="1" applyFill="1" applyBorder="1" applyAlignment="1">
      <alignment horizontal="center"/>
    </xf>
    <xf numFmtId="0" fontId="232" fillId="41" borderId="124" xfId="2697" applyFont="1" applyFill="1" applyBorder="1" applyAlignment="1">
      <alignment horizontal="center"/>
    </xf>
    <xf numFmtId="0" fontId="243" fillId="41" borderId="0" xfId="907" applyFont="1" applyFill="1"/>
    <xf numFmtId="170" fontId="43" fillId="33" borderId="0" xfId="43199" applyNumberFormat="1" applyFont="1" applyFill="1" applyBorder="1" applyAlignment="1">
      <alignment horizontal="center" wrapText="1"/>
    </xf>
    <xf numFmtId="43" fontId="43" fillId="41" borderId="0" xfId="43199" applyFont="1" applyFill="1" applyBorder="1" applyAlignment="1">
      <alignment horizontal="center"/>
    </xf>
    <xf numFmtId="0" fontId="43" fillId="41" borderId="0" xfId="2697" applyFont="1" applyFill="1" applyAlignment="1">
      <alignment horizontal="center" vertical="center"/>
    </xf>
    <xf numFmtId="2" fontId="43" fillId="41" borderId="0" xfId="2697" applyNumberFormat="1" applyFont="1" applyFill="1" applyAlignment="1">
      <alignment horizontal="center"/>
    </xf>
    <xf numFmtId="43" fontId="43" fillId="41" borderId="0" xfId="2697" applyNumberFormat="1" applyFont="1" applyFill="1" applyAlignment="1">
      <alignment horizontal="left"/>
    </xf>
    <xf numFmtId="0" fontId="43" fillId="41" borderId="0" xfId="2697" applyFont="1" applyFill="1" applyAlignment="1">
      <alignment horizontal="center"/>
    </xf>
    <xf numFmtId="0" fontId="43" fillId="41" borderId="0" xfId="2697" applyFont="1" applyFill="1" applyAlignment="1">
      <alignment horizontal="left"/>
    </xf>
    <xf numFmtId="0" fontId="143" fillId="41" borderId="125" xfId="907" applyFont="1" applyFill="1" applyBorder="1" applyAlignment="1">
      <alignment horizontal="center"/>
    </xf>
    <xf numFmtId="3" fontId="43" fillId="41" borderId="0" xfId="43199" applyNumberFormat="1" applyFont="1" applyFill="1" applyBorder="1" applyAlignment="1">
      <alignment horizontal="right"/>
    </xf>
    <xf numFmtId="43" fontId="43" fillId="41" borderId="0" xfId="43199" applyFont="1" applyFill="1" applyBorder="1" applyAlignment="1">
      <alignment horizontal="right"/>
    </xf>
    <xf numFmtId="43" fontId="43" fillId="41" borderId="0" xfId="43199" applyFont="1" applyFill="1" applyBorder="1" applyAlignment="1">
      <alignment horizontal="left"/>
    </xf>
    <xf numFmtId="0" fontId="244" fillId="41" borderId="123" xfId="907" applyFont="1" applyFill="1" applyBorder="1" applyAlignment="1">
      <alignment horizontal="center"/>
    </xf>
    <xf numFmtId="43" fontId="43" fillId="0" borderId="0" xfId="43199" applyFont="1" applyFill="1" applyBorder="1" applyAlignment="1">
      <alignment horizontal="left"/>
    </xf>
    <xf numFmtId="0" fontId="244" fillId="41" borderId="124" xfId="907" applyFont="1" applyFill="1" applyBorder="1" applyAlignment="1">
      <alignment horizontal="center"/>
    </xf>
    <xf numFmtId="43" fontId="110" fillId="0" borderId="0" xfId="43199" applyFont="1" applyFill="1" applyBorder="1" applyAlignment="1">
      <alignment horizontal="left"/>
    </xf>
    <xf numFmtId="43" fontId="43" fillId="0" borderId="0" xfId="2697" applyNumberFormat="1" applyFont="1"/>
    <xf numFmtId="43" fontId="110" fillId="0" borderId="0" xfId="2697" applyNumberFormat="1" applyFont="1" applyAlignment="1">
      <alignment horizontal="left"/>
    </xf>
    <xf numFmtId="43" fontId="110" fillId="41" borderId="0" xfId="43199" quotePrefix="1" applyFont="1" applyFill="1" applyBorder="1" applyAlignment="1">
      <alignment horizontal="left"/>
    </xf>
    <xf numFmtId="10" fontId="43" fillId="41" borderId="0" xfId="43199" applyNumberFormat="1" applyFont="1" applyFill="1" applyBorder="1"/>
    <xf numFmtId="0" fontId="145" fillId="41" borderId="0" xfId="2697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 wrapText="1"/>
    </xf>
    <xf numFmtId="0" fontId="144" fillId="41" borderId="0" xfId="2697" applyFont="1" applyFill="1" applyAlignment="1">
      <alignment vertical="center"/>
    </xf>
    <xf numFmtId="3" fontId="144" fillId="41" borderId="0" xfId="2697" applyNumberFormat="1" applyFont="1" applyFill="1" applyAlignment="1">
      <alignment horizontal="center" vertical="center"/>
    </xf>
    <xf numFmtId="10" fontId="144" fillId="41" borderId="0" xfId="2697" applyNumberFormat="1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/>
    </xf>
    <xf numFmtId="3" fontId="144" fillId="41" borderId="0" xfId="2697" applyNumberFormat="1" applyFont="1" applyFill="1" applyAlignment="1">
      <alignment vertical="center"/>
    </xf>
    <xf numFmtId="10" fontId="144" fillId="41" borderId="0" xfId="2697" applyNumberFormat="1" applyFont="1" applyFill="1" applyAlignment="1">
      <alignment horizontal="right" vertical="center"/>
    </xf>
    <xf numFmtId="0" fontId="146" fillId="41" borderId="0" xfId="2697" applyFont="1" applyFill="1"/>
    <xf numFmtId="9" fontId="38" fillId="38" borderId="0" xfId="1095" applyFont="1" applyFill="1" applyBorder="1" applyAlignment="1">
      <alignment horizontal="center" vertical="center" wrapText="1"/>
    </xf>
    <xf numFmtId="0" fontId="143" fillId="41" borderId="0" xfId="2697" applyFont="1" applyFill="1" applyAlignment="1">
      <alignment horizontal="center" vertical="center"/>
    </xf>
    <xf numFmtId="43" fontId="43" fillId="0" borderId="0" xfId="43199" applyFont="1" applyAlignment="1">
      <alignment vertical="center"/>
    </xf>
    <xf numFmtId="0" fontId="43" fillId="0" borderId="0" xfId="2697" applyFont="1"/>
    <xf numFmtId="0" fontId="110" fillId="0" borderId="0" xfId="2697" applyFont="1"/>
    <xf numFmtId="43" fontId="43" fillId="0" borderId="0" xfId="43201" applyFont="1" applyFill="1" applyBorder="1" applyAlignment="1">
      <alignment horizontal="right" vertical="center"/>
    </xf>
    <xf numFmtId="0" fontId="146" fillId="0" borderId="0" xfId="2697" applyFont="1" applyAlignment="1">
      <alignment vertical="center"/>
    </xf>
    <xf numFmtId="0" fontId="146" fillId="0" borderId="0" xfId="2697" applyFont="1"/>
    <xf numFmtId="43" fontId="146" fillId="41" borderId="0" xfId="43199" applyFont="1" applyFill="1" applyBorder="1"/>
    <xf numFmtId="43" fontId="143" fillId="41" borderId="0" xfId="2697" applyNumberFormat="1" applyFont="1" applyFill="1" applyAlignment="1">
      <alignment horizontal="center" vertical="center"/>
    </xf>
    <xf numFmtId="9" fontId="43" fillId="0" borderId="0" xfId="2697" applyNumberFormat="1" applyFont="1"/>
    <xf numFmtId="10" fontId="43" fillId="0" borderId="0" xfId="2697" applyNumberFormat="1" applyFont="1"/>
    <xf numFmtId="0" fontId="43" fillId="41" borderId="0" xfId="2697" applyFont="1" applyFill="1" applyAlignment="1">
      <alignment vertical="center"/>
    </xf>
    <xf numFmtId="43" fontId="43" fillId="41" borderId="0" xfId="43199" applyFont="1" applyFill="1" applyBorder="1" applyAlignment="1">
      <alignment vertical="center"/>
    </xf>
    <xf numFmtId="217" fontId="43" fillId="33" borderId="0" xfId="2697" applyNumberFormat="1" applyFont="1" applyFill="1" applyAlignment="1">
      <alignment horizontal="center"/>
    </xf>
    <xf numFmtId="0" fontId="124" fillId="41" borderId="0" xfId="43202" applyFont="1" applyFill="1" applyAlignment="1">
      <alignment horizontal="center" wrapText="1"/>
    </xf>
    <xf numFmtId="0" fontId="124" fillId="41" borderId="0" xfId="43202" applyFont="1" applyFill="1" applyAlignment="1">
      <alignment horizontal="center"/>
    </xf>
    <xf numFmtId="0" fontId="137" fillId="41" borderId="0" xfId="43202" applyFont="1" applyFill="1"/>
    <xf numFmtId="43" fontId="137" fillId="41" borderId="0" xfId="43199" applyFont="1" applyFill="1" applyBorder="1"/>
    <xf numFmtId="167" fontId="30" fillId="0" borderId="0" xfId="815" applyFont="1" applyFill="1" applyBorder="1" applyAlignment="1">
      <alignment horizontal="left"/>
    </xf>
    <xf numFmtId="3" fontId="30" fillId="0" borderId="0" xfId="0" applyNumberFormat="1" applyFont="1"/>
    <xf numFmtId="49" fontId="30" fillId="0" borderId="0" xfId="847" applyNumberFormat="1" applyFont="1" applyFill="1" applyBorder="1" applyAlignment="1">
      <alignment horizontal="center"/>
    </xf>
    <xf numFmtId="168" fontId="205" fillId="0" borderId="0" xfId="863" applyFont="1" applyFill="1" applyBorder="1" applyAlignment="1"/>
    <xf numFmtId="168" fontId="205" fillId="0" borderId="0" xfId="863" applyFont="1" applyFill="1" applyBorder="1" applyAlignment="1">
      <alignment horizontal="left"/>
    </xf>
    <xf numFmtId="0" fontId="110" fillId="102" borderId="0" xfId="0" applyFont="1" applyFill="1"/>
    <xf numFmtId="0" fontId="32" fillId="45" borderId="0" xfId="10225" applyFill="1" applyAlignment="1"/>
    <xf numFmtId="0" fontId="43" fillId="0" borderId="0" xfId="0" applyFont="1"/>
    <xf numFmtId="174" fontId="0" fillId="0" borderId="0" xfId="0" applyNumberFormat="1"/>
    <xf numFmtId="0" fontId="110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3" fillId="0" borderId="0" xfId="0" applyFont="1" applyAlignment="1">
      <alignment wrapText="1"/>
    </xf>
    <xf numFmtId="0" fontId="43" fillId="0" borderId="0" xfId="2697" applyFont="1" applyAlignment="1">
      <alignment horizontal="center" vertical="center"/>
    </xf>
    <xf numFmtId="170" fontId="38" fillId="55" borderId="137" xfId="863" applyNumberFormat="1" applyFont="1" applyFill="1" applyBorder="1" applyAlignment="1">
      <alignment horizontal="center" vertical="center"/>
    </xf>
    <xf numFmtId="170" fontId="38" fillId="55" borderId="138" xfId="863" applyNumberFormat="1" applyFont="1" applyFill="1" applyBorder="1" applyAlignment="1">
      <alignment horizontal="center" vertical="center"/>
    </xf>
    <xf numFmtId="170" fontId="38" fillId="55" borderId="139" xfId="863" applyNumberFormat="1" applyFont="1" applyFill="1" applyBorder="1" applyAlignment="1">
      <alignment horizontal="center" vertical="center"/>
    </xf>
    <xf numFmtId="17" fontId="38" fillId="55" borderId="140" xfId="905" applyNumberFormat="1" applyFont="1" applyFill="1" applyBorder="1" applyAlignment="1">
      <alignment horizontal="center" vertical="center"/>
    </xf>
    <xf numFmtId="17" fontId="38" fillId="55" borderId="138" xfId="905" applyNumberFormat="1" applyFont="1" applyFill="1" applyBorder="1" applyAlignment="1">
      <alignment horizontal="center" vertical="center"/>
    </xf>
    <xf numFmtId="17" fontId="38" fillId="55" borderId="141" xfId="905" applyNumberFormat="1" applyFont="1" applyFill="1" applyBorder="1" applyAlignment="1">
      <alignment horizontal="center" vertical="center"/>
    </xf>
    <xf numFmtId="168" fontId="208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vertical="center"/>
    </xf>
    <xf numFmtId="10" fontId="43" fillId="33" borderId="0" xfId="2697" applyNumberFormat="1" applyFont="1" applyFill="1" applyAlignment="1">
      <alignment horizontal="center"/>
    </xf>
    <xf numFmtId="10" fontId="205" fillId="0" borderId="0" xfId="0" applyNumberFormat="1" applyFont="1"/>
    <xf numFmtId="168" fontId="205" fillId="100" borderId="0" xfId="863" applyFont="1" applyFill="1" applyBorder="1"/>
    <xf numFmtId="49" fontId="30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5" fillId="104" borderId="0" xfId="847" applyNumberFormat="1" applyFont="1" applyFill="1" applyBorder="1" applyAlignment="1">
      <alignment horizontal="right"/>
    </xf>
    <xf numFmtId="167" fontId="205" fillId="100" borderId="29" xfId="815" applyFont="1" applyFill="1" applyBorder="1"/>
    <xf numFmtId="170" fontId="43" fillId="0" borderId="0" xfId="43199" applyNumberFormat="1" applyFont="1" applyFill="1" applyBorder="1" applyAlignment="1">
      <alignment horizontal="right"/>
    </xf>
    <xf numFmtId="2" fontId="43" fillId="0" borderId="0" xfId="2697" applyNumberFormat="1" applyFont="1" applyAlignment="1">
      <alignment horizontal="center"/>
    </xf>
    <xf numFmtId="0" fontId="43" fillId="0" borderId="0" xfId="907" applyFont="1" applyAlignment="1">
      <alignment horizontal="center"/>
    </xf>
    <xf numFmtId="4" fontId="0" fillId="0" borderId="0" xfId="0" applyNumberFormat="1"/>
    <xf numFmtId="9" fontId="43" fillId="41" borderId="0" xfId="847" applyFont="1" applyFill="1" applyBorder="1"/>
    <xf numFmtId="43" fontId="43" fillId="0" borderId="0" xfId="43199" applyFont="1" applyFill="1" applyBorder="1" applyAlignment="1">
      <alignment horizontal="left" vertical="center"/>
    </xf>
    <xf numFmtId="43" fontId="43" fillId="41" borderId="0" xfId="43199" applyFont="1" applyFill="1" applyBorder="1" applyAlignment="1">
      <alignment horizontal="center" vertical="center"/>
    </xf>
    <xf numFmtId="0" fontId="117" fillId="41" borderId="142" xfId="907" applyFont="1" applyFill="1" applyBorder="1" applyAlignment="1">
      <alignment horizontal="center"/>
    </xf>
    <xf numFmtId="0" fontId="146" fillId="41" borderId="0" xfId="907" applyFont="1" applyFill="1" applyProtection="1">
      <protection locked="0"/>
    </xf>
    <xf numFmtId="43" fontId="146" fillId="41" borderId="0" xfId="43199" applyFont="1" applyFill="1" applyBorder="1" applyProtection="1">
      <protection locked="0"/>
    </xf>
    <xf numFmtId="0" fontId="43" fillId="0" borderId="0" xfId="2697" applyFont="1" applyProtection="1">
      <protection locked="0"/>
    </xf>
    <xf numFmtId="167" fontId="205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4" fillId="41" borderId="125" xfId="907" applyFont="1" applyFill="1" applyBorder="1" applyAlignment="1">
      <alignment horizontal="center"/>
    </xf>
    <xf numFmtId="0" fontId="30" fillId="61" borderId="0" xfId="0" applyFont="1" applyFill="1"/>
    <xf numFmtId="168" fontId="43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20" fillId="0" borderId="0" xfId="0" applyFont="1"/>
    <xf numFmtId="168" fontId="43" fillId="41" borderId="0" xfId="863" applyFont="1" applyFill="1" applyBorder="1"/>
    <xf numFmtId="0" fontId="247" fillId="0" borderId="0" xfId="0" applyFont="1" applyAlignment="1">
      <alignment horizontal="right" vertical="center"/>
    </xf>
    <xf numFmtId="43" fontId="43" fillId="0" borderId="0" xfId="43185" applyFont="1" applyFill="1" applyBorder="1" applyAlignment="1" applyProtection="1">
      <alignment horizontal="right"/>
      <protection locked="0"/>
    </xf>
    <xf numFmtId="0" fontId="212" fillId="43" borderId="0" xfId="0" applyFont="1" applyFill="1" applyAlignment="1">
      <alignment horizontal="center"/>
    </xf>
    <xf numFmtId="0" fontId="117" fillId="0" borderId="0" xfId="907" applyFont="1"/>
    <xf numFmtId="0" fontId="43" fillId="0" borderId="0" xfId="2697" applyFont="1" applyAlignment="1">
      <alignment horizontal="left" vertical="center"/>
    </xf>
    <xf numFmtId="43" fontId="43" fillId="0" borderId="0" xfId="43199" applyFont="1" applyFill="1" applyBorder="1" applyAlignment="1"/>
    <xf numFmtId="10" fontId="43" fillId="41" borderId="0" xfId="43199" applyNumberFormat="1" applyFont="1" applyFill="1" applyBorder="1" applyAlignment="1"/>
    <xf numFmtId="0" fontId="244" fillId="0" borderId="0" xfId="43405" applyFont="1"/>
    <xf numFmtId="10" fontId="244" fillId="0" borderId="0" xfId="847" applyNumberFormat="1" applyFont="1" applyFill="1" applyBorder="1"/>
    <xf numFmtId="0" fontId="250" fillId="0" borderId="0" xfId="7308" applyFont="1"/>
    <xf numFmtId="0" fontId="251" fillId="0" borderId="0" xfId="7308" applyFont="1" applyAlignment="1">
      <alignment horizontal="center"/>
    </xf>
    <xf numFmtId="2" fontId="250" fillId="0" borderId="0" xfId="7308" applyNumberFormat="1" applyFont="1"/>
    <xf numFmtId="0" fontId="251" fillId="0" borderId="0" xfId="7308" applyFont="1"/>
    <xf numFmtId="0" fontId="252" fillId="0" borderId="0" xfId="7308" applyFont="1" applyAlignment="1">
      <alignment horizontal="center"/>
    </xf>
    <xf numFmtId="0" fontId="253" fillId="0" borderId="0" xfId="7308" applyFont="1"/>
    <xf numFmtId="168" fontId="252" fillId="0" borderId="0" xfId="43165" applyFont="1"/>
    <xf numFmtId="0" fontId="250" fillId="42" borderId="0" xfId="7308" applyFont="1" applyFill="1"/>
    <xf numFmtId="0" fontId="259" fillId="41" borderId="0" xfId="831" applyFont="1" applyFill="1" applyAlignment="1">
      <alignment horizontal="left"/>
    </xf>
    <xf numFmtId="0" fontId="250" fillId="0" borderId="20" xfId="7308" applyFont="1" applyBorder="1"/>
    <xf numFmtId="10" fontId="250" fillId="41" borderId="10" xfId="1095" applyNumberFormat="1" applyFont="1" applyFill="1" applyBorder="1"/>
    <xf numFmtId="0" fontId="260" fillId="55" borderId="0" xfId="834" applyFont="1" applyFill="1" applyAlignment="1" applyProtection="1">
      <alignment horizontal="left" vertical="center"/>
    </xf>
    <xf numFmtId="0" fontId="260" fillId="55" borderId="0" xfId="834" applyFont="1" applyFill="1" applyAlignment="1" applyProtection="1">
      <alignment horizontal="center" vertical="center"/>
    </xf>
    <xf numFmtId="0" fontId="250" fillId="0" borderId="0" xfId="2697" applyFont="1" applyAlignment="1">
      <alignment vertical="center"/>
    </xf>
    <xf numFmtId="191" fontId="250" fillId="0" borderId="0" xfId="1095" applyNumberFormat="1" applyFont="1" applyBorder="1" applyAlignment="1">
      <alignment horizontal="right" vertical="center"/>
    </xf>
    <xf numFmtId="167" fontId="250" fillId="41" borderId="10" xfId="902" applyFont="1" applyFill="1" applyBorder="1"/>
    <xf numFmtId="10" fontId="250" fillId="0" borderId="0" xfId="1095" applyNumberFormat="1" applyFont="1" applyBorder="1" applyAlignment="1">
      <alignment horizontal="right" vertical="center"/>
    </xf>
    <xf numFmtId="43" fontId="250" fillId="0" borderId="0" xfId="7308" applyNumberFormat="1" applyFont="1"/>
    <xf numFmtId="168" fontId="250" fillId="0" borderId="0" xfId="43165" applyFont="1" applyAlignment="1">
      <alignment horizontal="center"/>
    </xf>
    <xf numFmtId="0" fontId="264" fillId="0" borderId="0" xfId="7308" applyFont="1" applyAlignment="1">
      <alignment horizontal="center"/>
    </xf>
    <xf numFmtId="168" fontId="250" fillId="0" borderId="0" xfId="43165" applyFont="1" applyAlignment="1"/>
    <xf numFmtId="168" fontId="250" fillId="0" borderId="0" xfId="43165" applyFont="1" applyAlignment="1">
      <alignment horizontal="left" vertical="center"/>
    </xf>
    <xf numFmtId="168" fontId="251" fillId="0" borderId="0" xfId="43165" applyFont="1" applyAlignment="1"/>
    <xf numFmtId="168" fontId="251" fillId="0" borderId="0" xfId="43165" applyFont="1" applyAlignment="1">
      <alignment horizontal="center"/>
    </xf>
    <xf numFmtId="165" fontId="205" fillId="0" borderId="0" xfId="815" applyNumberFormat="1" applyFont="1" applyBorder="1" applyAlignment="1">
      <alignment horizontal="left"/>
    </xf>
    <xf numFmtId="0" fontId="243" fillId="0" borderId="0" xfId="831" applyFont="1" applyAlignment="1">
      <alignment horizontal="left"/>
    </xf>
    <xf numFmtId="0" fontId="38" fillId="0" borderId="0" xfId="834" applyFont="1" applyAlignment="1" applyProtection="1">
      <alignment horizontal="center" vertical="center"/>
    </xf>
    <xf numFmtId="191" fontId="43" fillId="0" borderId="0" xfId="1095" applyNumberFormat="1" applyFont="1" applyFill="1" applyBorder="1" applyAlignment="1">
      <alignment horizontal="right" vertical="center"/>
    </xf>
    <xf numFmtId="0" fontId="263" fillId="0" borderId="0" xfId="7308" applyFont="1"/>
    <xf numFmtId="168" fontId="250" fillId="0" borderId="0" xfId="43165" applyFont="1" applyFill="1" applyBorder="1" applyAlignment="1">
      <alignment horizontal="center"/>
    </xf>
    <xf numFmtId="168" fontId="250" fillId="0" borderId="0" xfId="43165" applyFont="1" applyFill="1" applyBorder="1" applyAlignment="1"/>
    <xf numFmtId="0" fontId="110" fillId="0" borderId="0" xfId="2697" applyFont="1" applyAlignment="1">
      <alignment vertical="center"/>
    </xf>
    <xf numFmtId="4" fontId="110" fillId="0" borderId="0" xfId="2697" applyNumberFormat="1" applyFont="1" applyAlignment="1">
      <alignment vertical="center"/>
    </xf>
    <xf numFmtId="168" fontId="251" fillId="0" borderId="0" xfId="43165" applyFont="1" applyFill="1" applyBorder="1" applyAlignment="1"/>
    <xf numFmtId="10" fontId="261" fillId="61" borderId="150" xfId="1095" applyNumberFormat="1" applyFont="1" applyFill="1" applyBorder="1" applyAlignment="1">
      <alignment vertical="center"/>
    </xf>
    <xf numFmtId="0" fontId="251" fillId="0" borderId="151" xfId="7308" applyFont="1" applyBorder="1" applyAlignment="1">
      <alignment horizontal="center"/>
    </xf>
    <xf numFmtId="167" fontId="250" fillId="102" borderId="10" xfId="902" applyFont="1" applyFill="1" applyBorder="1"/>
    <xf numFmtId="0" fontId="210" fillId="41" borderId="0" xfId="0" applyFont="1" applyFill="1"/>
    <xf numFmtId="0" fontId="203" fillId="41" borderId="125" xfId="907" applyFont="1" applyFill="1" applyBorder="1" applyAlignment="1">
      <alignment horizontal="center"/>
    </xf>
    <xf numFmtId="10" fontId="30" fillId="0" borderId="0" xfId="847" applyNumberFormat="1" applyFont="1" applyFill="1" applyBorder="1" applyAlignment="1">
      <alignment horizontal="right"/>
    </xf>
    <xf numFmtId="10" fontId="205" fillId="108" borderId="0" xfId="847" applyNumberFormat="1" applyFont="1" applyFill="1" applyBorder="1"/>
    <xf numFmtId="168" fontId="205" fillId="108" borderId="0" xfId="863" applyFont="1" applyFill="1" applyBorder="1"/>
    <xf numFmtId="10" fontId="205" fillId="0" borderId="0" xfId="847" applyNumberFormat="1" applyFont="1" applyFill="1" applyBorder="1" applyAlignment="1">
      <alignment horizontal="right"/>
    </xf>
    <xf numFmtId="0" fontId="113" fillId="0" borderId="0" xfId="0" applyFont="1"/>
    <xf numFmtId="0" fontId="43" fillId="0" borderId="20" xfId="0" applyFont="1" applyBorder="1"/>
    <xf numFmtId="0" fontId="0" fillId="0" borderId="0" xfId="0" applyAlignment="1">
      <alignment horizontal="center"/>
    </xf>
    <xf numFmtId="0" fontId="265" fillId="0" borderId="0" xfId="43410" applyFont="1"/>
    <xf numFmtId="0" fontId="266" fillId="0" borderId="0" xfId="43411"/>
    <xf numFmtId="10" fontId="211" fillId="0" borderId="0" xfId="847" applyNumberFormat="1" applyFont="1" applyBorder="1" applyAlignment="1">
      <alignment horizontal="right" vertical="center"/>
    </xf>
    <xf numFmtId="168" fontId="30" fillId="0" borderId="0" xfId="863" applyFont="1" applyFill="1" applyBorder="1"/>
    <xf numFmtId="10" fontId="30" fillId="0" borderId="0" xfId="847" applyNumberFormat="1" applyFont="1"/>
    <xf numFmtId="0" fontId="30" fillId="0" borderId="0" xfId="0" applyFont="1" applyAlignment="1">
      <alignment horizontal="center"/>
    </xf>
    <xf numFmtId="10" fontId="30" fillId="0" borderId="0" xfId="0" applyNumberFormat="1" applyFont="1"/>
    <xf numFmtId="14" fontId="36" fillId="0" borderId="0" xfId="0" applyNumberFormat="1" applyFont="1" applyAlignment="1">
      <alignment horizontal="center"/>
    </xf>
    <xf numFmtId="260" fontId="30" fillId="0" borderId="0" xfId="0" applyNumberFormat="1" applyFont="1"/>
    <xf numFmtId="168" fontId="30" fillId="0" borderId="0" xfId="863" applyFont="1" applyFill="1"/>
    <xf numFmtId="171" fontId="30" fillId="0" borderId="0" xfId="0" applyNumberFormat="1" applyFont="1"/>
    <xf numFmtId="0" fontId="36" fillId="0" borderId="0" xfId="0" applyFont="1"/>
    <xf numFmtId="0" fontId="36" fillId="45" borderId="152" xfId="907" applyFont="1" applyFill="1" applyBorder="1" applyAlignment="1">
      <alignment horizontal="center" vertical="center" wrapText="1"/>
    </xf>
    <xf numFmtId="0" fontId="205" fillId="0" borderId="20" xfId="0" applyFont="1" applyBorder="1" applyAlignment="1">
      <alignment horizontal="right"/>
    </xf>
    <xf numFmtId="0" fontId="205" fillId="0" borderId="29" xfId="832" applyFont="1" applyBorder="1" applyAlignment="1">
      <alignment horizontal="left"/>
    </xf>
    <xf numFmtId="0" fontId="205" fillId="41" borderId="20" xfId="0" applyFont="1" applyFill="1" applyBorder="1" applyAlignment="1">
      <alignment horizontal="right"/>
    </xf>
    <xf numFmtId="14" fontId="116" fillId="0" borderId="0" xfId="0" applyNumberFormat="1" applyFont="1"/>
    <xf numFmtId="164" fontId="211" fillId="0" borderId="0" xfId="0" applyNumberFormat="1" applyFont="1" applyAlignment="1">
      <alignment horizontal="right" vertical="center"/>
    </xf>
    <xf numFmtId="168" fontId="30" fillId="44" borderId="0" xfId="863" applyFont="1" applyFill="1" applyBorder="1" applyAlignment="1">
      <alignment horizontal="right"/>
    </xf>
    <xf numFmtId="10" fontId="211" fillId="0" borderId="0" xfId="847" applyNumberFormat="1" applyFont="1" applyFill="1" applyBorder="1" applyAlignment="1">
      <alignment horizontal="right" vertical="center"/>
    </xf>
    <xf numFmtId="10" fontId="205" fillId="0" borderId="0" xfId="847" applyNumberFormat="1" applyFont="1" applyFill="1" applyBorder="1" applyAlignment="1">
      <alignment horizontal="right" vertical="center"/>
    </xf>
    <xf numFmtId="0" fontId="30" fillId="104" borderId="0" xfId="0" applyFont="1" applyFill="1"/>
    <xf numFmtId="14" fontId="32" fillId="0" borderId="0" xfId="831" applyNumberFormat="1" applyAlignment="1">
      <alignment horizontal="center"/>
    </xf>
    <xf numFmtId="10" fontId="205" fillId="0" borderId="0" xfId="847" applyNumberFormat="1" applyFont="1" applyFill="1"/>
    <xf numFmtId="0" fontId="6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7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7" fillId="103" borderId="154" xfId="0" applyFont="1" applyFill="1" applyBorder="1" applyAlignment="1">
      <alignment horizontal="center" vertical="distributed"/>
    </xf>
    <xf numFmtId="14" fontId="267" fillId="103" borderId="154" xfId="0" applyNumberFormat="1" applyFont="1" applyFill="1" applyBorder="1" applyAlignment="1">
      <alignment horizontal="center" vertical="distributed"/>
    </xf>
    <xf numFmtId="0" fontId="267" fillId="103" borderId="10" xfId="0" applyFont="1" applyFill="1" applyBorder="1" applyAlignment="1">
      <alignment horizontal="center"/>
    </xf>
    <xf numFmtId="168" fontId="30" fillId="61" borderId="0" xfId="863" applyFont="1" applyFill="1"/>
    <xf numFmtId="168" fontId="43" fillId="41" borderId="0" xfId="903" applyFont="1" applyFill="1" applyBorder="1" applyAlignment="1">
      <alignment horizontal="left" vertical="top" wrapText="1"/>
    </xf>
    <xf numFmtId="0" fontId="30" fillId="111" borderId="0" xfId="0" applyFont="1" applyFill="1" applyAlignment="1">
      <alignment horizontal="center"/>
    </xf>
    <xf numFmtId="0" fontId="30" fillId="111" borderId="0" xfId="0" applyFont="1" applyFill="1"/>
    <xf numFmtId="14" fontId="30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5" fillId="111" borderId="0" xfId="847" applyNumberFormat="1" applyFont="1" applyFill="1" applyBorder="1"/>
    <xf numFmtId="168" fontId="205" fillId="111" borderId="0" xfId="863" applyFont="1" applyFill="1" applyBorder="1"/>
    <xf numFmtId="168" fontId="205" fillId="111" borderId="0" xfId="0" applyNumberFormat="1" applyFont="1" applyFill="1"/>
    <xf numFmtId="2" fontId="237" fillId="0" borderId="0" xfId="0" applyNumberFormat="1" applyFont="1" applyAlignment="1">
      <alignment horizontal="center" vertical="center" wrapText="1"/>
    </xf>
    <xf numFmtId="168" fontId="237" fillId="0" borderId="0" xfId="863" applyFont="1" applyFill="1" applyBorder="1" applyAlignment="1">
      <alignment horizontal="right" vertical="center" wrapText="1"/>
    </xf>
    <xf numFmtId="168" fontId="237" fillId="0" borderId="0" xfId="863" applyFont="1" applyFill="1" applyBorder="1" applyAlignment="1">
      <alignment horizontal="center" vertical="center" wrapText="1"/>
    </xf>
    <xf numFmtId="0" fontId="248" fillId="0" borderId="0" xfId="0" applyFont="1" applyAlignment="1">
      <alignment horizontal="center" vertical="center" wrapText="1"/>
    </xf>
    <xf numFmtId="0" fontId="125" fillId="0" borderId="0" xfId="0" applyFont="1" applyAlignment="1">
      <alignment horizontal="justify" vertical="center" wrapText="1"/>
    </xf>
    <xf numFmtId="264" fontId="125" fillId="0" borderId="0" xfId="907" applyNumberFormat="1" applyFont="1" applyAlignment="1">
      <alignment horizontal="center"/>
    </xf>
    <xf numFmtId="0" fontId="125" fillId="0" borderId="0" xfId="0" applyFont="1" applyAlignment="1">
      <alignment horizontal="center" vertical="center" wrapText="1"/>
    </xf>
    <xf numFmtId="167" fontId="43" fillId="0" borderId="0" xfId="815" applyFont="1" applyFill="1" applyBorder="1" applyAlignment="1">
      <alignment horizontal="left"/>
    </xf>
    <xf numFmtId="167" fontId="43" fillId="113" borderId="16" xfId="815" applyFont="1" applyFill="1" applyBorder="1" applyAlignment="1">
      <alignment horizontal="left"/>
    </xf>
    <xf numFmtId="3" fontId="30" fillId="113" borderId="16" xfId="0" applyNumberFormat="1" applyFont="1" applyFill="1" applyBorder="1"/>
    <xf numFmtId="167" fontId="30" fillId="42" borderId="0" xfId="815" applyFont="1" applyFill="1" applyBorder="1" applyAlignment="1">
      <alignment horizontal="left"/>
    </xf>
    <xf numFmtId="4" fontId="30" fillId="0" borderId="0" xfId="0" applyNumberFormat="1" applyFont="1"/>
    <xf numFmtId="230" fontId="30" fillId="111" borderId="0" xfId="863" applyNumberFormat="1" applyFont="1" applyFill="1" applyBorder="1" applyAlignment="1">
      <alignment horizontal="left"/>
    </xf>
    <xf numFmtId="230" fontId="30" fillId="111" borderId="0" xfId="0" applyNumberFormat="1" applyFont="1" applyFill="1"/>
    <xf numFmtId="230" fontId="30" fillId="111" borderId="0" xfId="0" applyNumberFormat="1" applyFont="1" applyFill="1" applyAlignment="1">
      <alignment horizontal="left"/>
    </xf>
    <xf numFmtId="230" fontId="116" fillId="111" borderId="0" xfId="0" applyNumberFormat="1" applyFont="1" applyFill="1" applyAlignment="1">
      <alignment horizontal="left"/>
    </xf>
    <xf numFmtId="0" fontId="271" fillId="113" borderId="16" xfId="0" applyFont="1" applyFill="1" applyBorder="1"/>
    <xf numFmtId="165" fontId="30" fillId="0" borderId="0" xfId="863" applyNumberFormat="1" applyFont="1" applyFill="1" applyBorder="1"/>
    <xf numFmtId="168" fontId="30" fillId="111" borderId="0" xfId="863" applyFont="1" applyFill="1" applyBorder="1"/>
    <xf numFmtId="0" fontId="268" fillId="0" borderId="0" xfId="0" applyFont="1"/>
    <xf numFmtId="0" fontId="43" fillId="0" borderId="29" xfId="0" applyFont="1" applyBorder="1"/>
    <xf numFmtId="0" fontId="271" fillId="0" borderId="0" xfId="0" applyFont="1"/>
    <xf numFmtId="0" fontId="43" fillId="33" borderId="0" xfId="829" applyFont="1" applyFill="1"/>
    <xf numFmtId="0" fontId="274" fillId="0" borderId="0" xfId="0" applyFont="1"/>
    <xf numFmtId="0" fontId="263" fillId="0" borderId="0" xfId="0" applyFont="1"/>
    <xf numFmtId="0" fontId="125" fillId="0" borderId="20" xfId="0" applyFont="1" applyBorder="1" applyAlignment="1">
      <alignment horizontal="left"/>
    </xf>
    <xf numFmtId="0" fontId="43" fillId="113" borderId="159" xfId="0" applyFont="1" applyFill="1" applyBorder="1"/>
    <xf numFmtId="0" fontId="43" fillId="113" borderId="16" xfId="0" applyFont="1" applyFill="1" applyBorder="1"/>
    <xf numFmtId="0" fontId="43" fillId="113" borderId="16" xfId="907" applyFont="1" applyFill="1" applyBorder="1"/>
    <xf numFmtId="10" fontId="43" fillId="113" borderId="16" xfId="847" applyNumberFormat="1" applyFont="1" applyFill="1" applyBorder="1" applyAlignment="1"/>
    <xf numFmtId="14" fontId="43" fillId="113" borderId="16" xfId="0" applyNumberFormat="1" applyFont="1" applyFill="1" applyBorder="1"/>
    <xf numFmtId="0" fontId="275" fillId="113" borderId="151" xfId="0" applyFont="1" applyFill="1" applyBorder="1"/>
    <xf numFmtId="0" fontId="125" fillId="0" borderId="0" xfId="0" applyFont="1" applyAlignment="1">
      <alignment horizontal="left"/>
    </xf>
    <xf numFmtId="0" fontId="275" fillId="0" borderId="0" xfId="0" applyFont="1"/>
    <xf numFmtId="0" fontId="276" fillId="0" borderId="0" xfId="0" applyFont="1"/>
    <xf numFmtId="0" fontId="275" fillId="0" borderId="29" xfId="0" applyFont="1" applyBorder="1"/>
    <xf numFmtId="10" fontId="43" fillId="0" borderId="0" xfId="847" applyNumberFormat="1" applyFont="1" applyFill="1" applyBorder="1" applyAlignment="1"/>
    <xf numFmtId="14" fontId="43" fillId="0" borderId="0" xfId="0" applyNumberFormat="1" applyFont="1"/>
    <xf numFmtId="4" fontId="144" fillId="0" borderId="0" xfId="0" applyNumberFormat="1" applyFont="1"/>
    <xf numFmtId="0" fontId="43" fillId="0" borderId="0" xfId="0" quotePrefix="1" applyFont="1"/>
    <xf numFmtId="43" fontId="268" fillId="0" borderId="0" xfId="0" applyNumberFormat="1" applyFont="1"/>
    <xf numFmtId="168" fontId="43" fillId="0" borderId="0" xfId="863" applyFont="1"/>
    <xf numFmtId="0" fontId="30" fillId="0" borderId="29" xfId="0" applyFont="1" applyBorder="1"/>
    <xf numFmtId="0" fontId="275" fillId="0" borderId="153" xfId="0" applyFont="1" applyBorder="1"/>
    <xf numFmtId="168" fontId="43" fillId="0" borderId="0" xfId="863" applyFont="1" applyBorder="1"/>
    <xf numFmtId="0" fontId="43" fillId="0" borderId="0" xfId="0" applyFont="1" applyAlignment="1">
      <alignment horizontal="center"/>
    </xf>
    <xf numFmtId="0" fontId="43" fillId="0" borderId="20" xfId="0" applyFont="1" applyBorder="1" applyAlignment="1">
      <alignment horizontal="left"/>
    </xf>
    <xf numFmtId="168" fontId="43" fillId="0" borderId="0" xfId="863" applyFont="1" applyBorder="1" applyAlignment="1">
      <alignment horizontal="center"/>
    </xf>
    <xf numFmtId="0" fontId="237" fillId="0" borderId="0" xfId="0" applyFont="1" applyAlignment="1">
      <alignment horizontal="center" vertical="center"/>
    </xf>
    <xf numFmtId="0" fontId="237" fillId="0" borderId="20" xfId="0" applyFont="1" applyBorder="1" applyAlignment="1">
      <alignment horizontal="center" vertical="center"/>
    </xf>
    <xf numFmtId="43" fontId="43" fillId="0" borderId="0" xfId="0" applyNumberFormat="1" applyFont="1"/>
    <xf numFmtId="14" fontId="237" fillId="0" borderId="20" xfId="0" applyNumberFormat="1" applyFont="1" applyBorder="1" applyAlignment="1">
      <alignment horizontal="center" vertical="center"/>
    </xf>
    <xf numFmtId="0" fontId="271" fillId="113" borderId="159" xfId="0" applyFont="1" applyFill="1" applyBorder="1"/>
    <xf numFmtId="0" fontId="271" fillId="113" borderId="151" xfId="0" applyFont="1" applyFill="1" applyBorder="1"/>
    <xf numFmtId="14" fontId="237" fillId="0" borderId="0" xfId="0" applyNumberFormat="1" applyFont="1" applyAlignment="1">
      <alignment horizontal="center" vertical="center"/>
    </xf>
    <xf numFmtId="0" fontId="278" fillId="0" borderId="0" xfId="0" applyFont="1"/>
    <xf numFmtId="171" fontId="43" fillId="0" borderId="0" xfId="907" applyNumberFormat="1" applyFont="1"/>
    <xf numFmtId="0" fontId="30" fillId="59" borderId="0" xfId="907" applyFill="1"/>
    <xf numFmtId="43" fontId="30" fillId="0" borderId="0" xfId="0" applyNumberFormat="1" applyFont="1"/>
    <xf numFmtId="0" fontId="30" fillId="0" borderId="0" xfId="907" applyAlignment="1">
      <alignment horizontal="center"/>
    </xf>
    <xf numFmtId="0" fontId="272" fillId="43" borderId="149" xfId="0" applyFont="1" applyFill="1" applyBorder="1" applyAlignment="1">
      <alignment horizontal="center" vertical="center" wrapText="1"/>
    </xf>
    <xf numFmtId="0" fontId="272" fillId="43" borderId="148" xfId="0" applyFont="1" applyFill="1" applyBorder="1" applyAlignment="1">
      <alignment horizontal="center" vertical="center" wrapText="1"/>
    </xf>
    <xf numFmtId="0" fontId="30" fillId="59" borderId="144" xfId="907" applyFill="1" applyBorder="1"/>
    <xf numFmtId="0" fontId="272" fillId="59" borderId="144" xfId="0" applyFont="1" applyFill="1" applyBorder="1"/>
    <xf numFmtId="10" fontId="30" fillId="0" borderId="0" xfId="847" applyNumberFormat="1" applyFont="1" applyFill="1" applyBorder="1" applyAlignment="1"/>
    <xf numFmtId="0" fontId="30" fillId="0" borderId="0" xfId="907" applyAlignment="1">
      <alignment horizontal="left"/>
    </xf>
    <xf numFmtId="10" fontId="30" fillId="0" borderId="0" xfId="847" applyNumberFormat="1" applyFont="1" applyFill="1" applyBorder="1" applyAlignment="1">
      <alignment horizontal="left"/>
    </xf>
    <xf numFmtId="10" fontId="30" fillId="0" borderId="144" xfId="847" applyNumberFormat="1" applyFont="1" applyFill="1" applyBorder="1" applyAlignment="1"/>
    <xf numFmtId="0" fontId="36" fillId="42" borderId="0" xfId="0" applyFont="1" applyFill="1"/>
    <xf numFmtId="0" fontId="30" fillId="42" borderId="0" xfId="0" applyFont="1" applyFill="1"/>
    <xf numFmtId="165" fontId="30" fillId="0" borderId="0" xfId="0" applyNumberFormat="1" applyFont="1"/>
    <xf numFmtId="167" fontId="30" fillId="111" borderId="0" xfId="815" applyFont="1" applyFill="1" applyBorder="1" applyAlignment="1"/>
    <xf numFmtId="10" fontId="30" fillId="111" borderId="0" xfId="847" applyNumberFormat="1" applyFont="1" applyFill="1" applyBorder="1" applyAlignment="1">
      <alignment horizontal="right"/>
    </xf>
    <xf numFmtId="168" fontId="30" fillId="0" borderId="0" xfId="863" applyFont="1" applyFill="1" applyBorder="1" applyAlignment="1"/>
    <xf numFmtId="170" fontId="30" fillId="0" borderId="0" xfId="0" applyNumberFormat="1" applyFont="1"/>
    <xf numFmtId="0" fontId="279" fillId="96" borderId="147" xfId="0" applyFont="1" applyFill="1" applyBorder="1" applyAlignment="1">
      <alignment vertical="center"/>
    </xf>
    <xf numFmtId="0" fontId="279" fillId="96" borderId="29" xfId="0" applyFont="1" applyFill="1" applyBorder="1" applyAlignment="1">
      <alignment vertical="center"/>
    </xf>
    <xf numFmtId="14" fontId="30" fillId="0" borderId="0" xfId="0" applyNumberFormat="1" applyFont="1" applyAlignment="1">
      <alignment horizontal="right"/>
    </xf>
    <xf numFmtId="14" fontId="30" fillId="41" borderId="0" xfId="0" applyNumberFormat="1" applyFont="1" applyFill="1" applyAlignment="1">
      <alignment horizontal="right"/>
    </xf>
    <xf numFmtId="14" fontId="30" fillId="41" borderId="0" xfId="0" applyNumberFormat="1" applyFont="1" applyFill="1"/>
    <xf numFmtId="14" fontId="30" fillId="0" borderId="0" xfId="0" applyNumberFormat="1" applyFont="1" applyAlignment="1">
      <alignment horizontal="center"/>
    </xf>
    <xf numFmtId="0" fontId="116" fillId="0" borderId="0" xfId="0" applyFont="1" applyAlignment="1">
      <alignment horizontal="center"/>
    </xf>
    <xf numFmtId="14" fontId="30" fillId="0" borderId="10" xfId="0" applyNumberFormat="1" applyFont="1" applyBorder="1" applyAlignment="1">
      <alignment horizontal="center"/>
    </xf>
    <xf numFmtId="14" fontId="116" fillId="0" borderId="0" xfId="0" applyNumberFormat="1" applyFont="1" applyAlignment="1">
      <alignment horizontal="center"/>
    </xf>
    <xf numFmtId="0" fontId="116" fillId="98" borderId="152" xfId="0" applyFont="1" applyFill="1" applyBorder="1"/>
    <xf numFmtId="0" fontId="30" fillId="98" borderId="152" xfId="0" applyFont="1" applyFill="1" applyBorder="1"/>
    <xf numFmtId="263" fontId="116" fillId="98" borderId="152" xfId="0" applyNumberFormat="1" applyFont="1" applyFill="1" applyBorder="1"/>
    <xf numFmtId="0" fontId="30" fillId="0" borderId="10" xfId="0" applyFont="1" applyBorder="1"/>
    <xf numFmtId="1" fontId="30" fillId="0" borderId="0" xfId="815" applyNumberFormat="1" applyFont="1" applyFill="1" applyBorder="1" applyAlignment="1"/>
    <xf numFmtId="3" fontId="30" fillId="42" borderId="144" xfId="0" applyNumberFormat="1" applyFont="1" applyFill="1" applyBorder="1"/>
    <xf numFmtId="10" fontId="205" fillId="44" borderId="0" xfId="847" applyNumberFormat="1" applyFont="1" applyFill="1" applyBorder="1"/>
    <xf numFmtId="0" fontId="30" fillId="111" borderId="0" xfId="863" applyNumberFormat="1" applyFont="1" applyFill="1" applyBorder="1" applyAlignment="1">
      <alignment horizontal="left"/>
    </xf>
    <xf numFmtId="10" fontId="30" fillId="111" borderId="0" xfId="847" applyNumberFormat="1" applyFont="1" applyFill="1" applyBorder="1" applyAlignment="1">
      <alignment horizontal="left"/>
    </xf>
    <xf numFmtId="260" fontId="30" fillId="111" borderId="0" xfId="0" applyNumberFormat="1" applyFont="1" applyFill="1" applyAlignment="1">
      <alignment horizontal="left"/>
    </xf>
    <xf numFmtId="260" fontId="30" fillId="111" borderId="0" xfId="0" applyNumberFormat="1" applyFont="1" applyFill="1"/>
    <xf numFmtId="257" fontId="30" fillId="111" borderId="0" xfId="863" applyNumberFormat="1" applyFont="1" applyFill="1" applyBorder="1" applyAlignment="1">
      <alignment horizontal="left"/>
    </xf>
    <xf numFmtId="258" fontId="30" fillId="111" borderId="0" xfId="847" applyNumberFormat="1" applyFont="1" applyFill="1" applyBorder="1" applyAlignment="1">
      <alignment horizontal="left"/>
    </xf>
    <xf numFmtId="259" fontId="30" fillId="111" borderId="0" xfId="0" applyNumberFormat="1" applyFont="1" applyFill="1" applyAlignment="1">
      <alignment horizontal="left"/>
    </xf>
    <xf numFmtId="230" fontId="30" fillId="111" borderId="0" xfId="2697" applyNumberFormat="1" applyFill="1"/>
    <xf numFmtId="257" fontId="30" fillId="111" borderId="0" xfId="847" applyNumberFormat="1" applyFont="1" applyFill="1" applyBorder="1" applyAlignment="1">
      <alignment horizontal="left"/>
    </xf>
    <xf numFmtId="4" fontId="30" fillId="111" borderId="0" xfId="863" applyNumberFormat="1" applyFont="1" applyFill="1" applyBorder="1" applyAlignment="1">
      <alignment horizontal="left"/>
    </xf>
    <xf numFmtId="0" fontId="30" fillId="111" borderId="0" xfId="0" applyFont="1" applyFill="1" applyAlignment="1">
      <alignment horizontal="left"/>
    </xf>
    <xf numFmtId="0" fontId="275" fillId="0" borderId="160" xfId="0" applyFont="1" applyBorder="1"/>
    <xf numFmtId="0" fontId="30" fillId="0" borderId="0" xfId="0" applyFont="1" applyAlignment="1">
      <alignment horizontal="center" vertical="distributed"/>
    </xf>
    <xf numFmtId="0" fontId="212" fillId="0" borderId="0" xfId="0" applyFont="1" applyAlignment="1">
      <alignment horizontal="center"/>
    </xf>
    <xf numFmtId="0" fontId="205" fillId="0" borderId="0" xfId="908" applyFont="1">
      <alignment vertical="top"/>
    </xf>
    <xf numFmtId="0" fontId="212" fillId="0" borderId="0" xfId="0" applyFont="1" applyAlignment="1">
      <alignment horizontal="left"/>
    </xf>
    <xf numFmtId="0" fontId="205" fillId="0" borderId="0" xfId="0" applyFont="1" applyAlignment="1" applyProtection="1">
      <alignment horizontal="left"/>
      <protection hidden="1"/>
    </xf>
    <xf numFmtId="168" fontId="205" fillId="0" borderId="0" xfId="43185" applyNumberFormat="1" applyFont="1" applyFill="1" applyBorder="1" applyAlignment="1" applyProtection="1">
      <alignment horizontal="right"/>
      <protection locked="0"/>
    </xf>
    <xf numFmtId="168" fontId="208" fillId="0" borderId="0" xfId="43183" applyNumberFormat="1" applyFont="1" applyFill="1" applyBorder="1" applyAlignment="1" applyProtection="1">
      <alignment vertical="center"/>
    </xf>
    <xf numFmtId="0" fontId="282" fillId="33" borderId="0" xfId="829" applyFont="1" applyFill="1" applyAlignment="1">
      <alignment horizontal="left" vertical="top"/>
    </xf>
    <xf numFmtId="0" fontId="276" fillId="33" borderId="0" xfId="829" applyFont="1" applyFill="1"/>
    <xf numFmtId="0" fontId="283" fillId="33" borderId="0" xfId="829" applyFont="1" applyFill="1"/>
    <xf numFmtId="0" fontId="283" fillId="0" borderId="0" xfId="0" applyFont="1"/>
    <xf numFmtId="0" fontId="284" fillId="33" borderId="0" xfId="829" applyFont="1" applyFill="1" applyAlignment="1">
      <alignment horizontal="right" vertical="top"/>
    </xf>
    <xf numFmtId="10" fontId="285" fillId="0" borderId="0" xfId="0" applyNumberFormat="1" applyFont="1" applyAlignment="1">
      <alignment horizontal="left" vertical="top"/>
    </xf>
    <xf numFmtId="0" fontId="284" fillId="33" borderId="0" xfId="829" applyFont="1" applyFill="1" applyAlignment="1">
      <alignment horizontal="left" vertical="top"/>
    </xf>
    <xf numFmtId="168" fontId="283" fillId="0" borderId="0" xfId="863" applyFont="1"/>
    <xf numFmtId="168" fontId="283" fillId="0" borderId="0" xfId="0" applyNumberFormat="1" applyFont="1"/>
    <xf numFmtId="0" fontId="288" fillId="0" borderId="0" xfId="0" applyFont="1"/>
    <xf numFmtId="0" fontId="283" fillId="117" borderId="0" xfId="0" applyFont="1" applyFill="1"/>
    <xf numFmtId="165" fontId="283" fillId="117" borderId="0" xfId="815" applyNumberFormat="1" applyFont="1" applyFill="1" applyBorder="1"/>
    <xf numFmtId="167" fontId="289" fillId="43" borderId="0" xfId="0" applyNumberFormat="1" applyFont="1" applyFill="1"/>
    <xf numFmtId="10" fontId="289" fillId="43" borderId="0" xfId="0" applyNumberFormat="1" applyFont="1" applyFill="1"/>
    <xf numFmtId="0" fontId="290" fillId="0" borderId="0" xfId="0" applyFont="1"/>
    <xf numFmtId="0" fontId="283" fillId="1" borderId="0" xfId="0" applyFont="1" applyFill="1"/>
    <xf numFmtId="0" fontId="283" fillId="42" borderId="0" xfId="0" applyFont="1" applyFill="1"/>
    <xf numFmtId="167" fontId="283" fillId="42" borderId="0" xfId="815" applyFont="1" applyFill="1" applyBorder="1"/>
    <xf numFmtId="167" fontId="282" fillId="42" borderId="0" xfId="815" applyFont="1" applyFill="1" applyBorder="1"/>
    <xf numFmtId="0" fontId="280" fillId="0" borderId="0" xfId="0" applyFont="1"/>
    <xf numFmtId="0" fontId="30" fillId="0" borderId="0" xfId="0" applyFont="1" applyAlignment="1">
      <alignment horizontal="center" vertical="center"/>
    </xf>
    <xf numFmtId="0" fontId="30" fillId="115" borderId="161" xfId="0" applyFont="1" applyFill="1" applyBorder="1" applyAlignment="1">
      <alignment horizontal="center" vertical="distributed"/>
    </xf>
    <xf numFmtId="0" fontId="30" fillId="116" borderId="161" xfId="0" applyFont="1" applyFill="1" applyBorder="1" applyAlignment="1">
      <alignment horizontal="center" vertical="distributed"/>
    </xf>
    <xf numFmtId="0" fontId="30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0" fillId="42" borderId="0" xfId="847" applyNumberFormat="1" applyFont="1" applyFill="1" applyBorder="1" applyAlignment="1">
      <alignment horizontal="left"/>
    </xf>
    <xf numFmtId="230" fontId="30" fillId="42" borderId="0" xfId="863" applyNumberFormat="1" applyFont="1" applyFill="1" applyBorder="1" applyAlignment="1">
      <alignment horizontal="left"/>
    </xf>
    <xf numFmtId="0" fontId="116" fillId="99" borderId="0" xfId="907" applyFont="1" applyFill="1" applyAlignment="1">
      <alignment horizontal="center"/>
    </xf>
    <xf numFmtId="167" fontId="110" fillId="94" borderId="0" xfId="815" applyFont="1" applyFill="1" applyBorder="1" applyAlignment="1">
      <alignment horizontal="center" vertical="center" wrapText="1"/>
    </xf>
    <xf numFmtId="0" fontId="117" fillId="0" borderId="0" xfId="2697" applyFont="1" applyAlignment="1">
      <alignment horizontal="center" vertical="center" wrapText="1"/>
    </xf>
    <xf numFmtId="167" fontId="38" fillId="0" borderId="0" xfId="815" applyFont="1" applyFill="1" applyBorder="1" applyAlignment="1">
      <alignment horizontal="center" vertical="center" wrapText="1"/>
    </xf>
    <xf numFmtId="167" fontId="43" fillId="0" borderId="0" xfId="815" applyFont="1" applyFill="1" applyBorder="1" applyAlignment="1">
      <alignment wrapText="1"/>
    </xf>
    <xf numFmtId="167" fontId="43" fillId="0" borderId="0" xfId="815" applyFont="1" applyFill="1" applyBorder="1" applyAlignment="1"/>
    <xf numFmtId="9" fontId="110" fillId="0" borderId="0" xfId="1823" applyFont="1" applyFill="1" applyBorder="1" applyAlignment="1">
      <alignment horizontal="left" vertical="center" wrapText="1"/>
    </xf>
    <xf numFmtId="217" fontId="110" fillId="0" borderId="0" xfId="1823" applyNumberFormat="1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wrapText="1"/>
    </xf>
    <xf numFmtId="9" fontId="110" fillId="0" borderId="0" xfId="1823" applyFont="1" applyFill="1" applyBorder="1" applyAlignment="1">
      <alignment horizontal="center" vertical="center" wrapText="1"/>
    </xf>
    <xf numFmtId="0" fontId="43" fillId="41" borderId="106" xfId="907" applyFont="1" applyFill="1" applyBorder="1"/>
    <xf numFmtId="0" fontId="43" fillId="41" borderId="106" xfId="2697" applyFont="1" applyFill="1" applyBorder="1"/>
    <xf numFmtId="0" fontId="43" fillId="0" borderId="106" xfId="907" applyFont="1" applyBorder="1"/>
    <xf numFmtId="43" fontId="43" fillId="41" borderId="106" xfId="907" applyNumberFormat="1" applyFont="1" applyFill="1" applyBorder="1"/>
    <xf numFmtId="0" fontId="263" fillId="0" borderId="0" xfId="2697" applyFont="1"/>
    <xf numFmtId="0" fontId="146" fillId="41" borderId="0" xfId="36379" applyFont="1" applyFill="1" applyProtection="1">
      <protection locked="0"/>
    </xf>
    <xf numFmtId="0" fontId="43" fillId="41" borderId="0" xfId="36379" applyFont="1" applyFill="1"/>
    <xf numFmtId="0" fontId="291" fillId="41" borderId="0" xfId="36379" applyFont="1" applyFill="1" applyProtection="1">
      <protection locked="0"/>
    </xf>
    <xf numFmtId="10" fontId="30" fillId="0" borderId="0" xfId="847" applyNumberFormat="1" applyFont="1" applyAlignment="1">
      <alignment horizontal="center"/>
    </xf>
    <xf numFmtId="0" fontId="212" fillId="43" borderId="0" xfId="0" applyFont="1" applyFill="1" applyAlignment="1">
      <alignment horizontal="left"/>
    </xf>
    <xf numFmtId="10" fontId="205" fillId="45" borderId="0" xfId="847" applyNumberFormat="1" applyFont="1" applyFill="1" applyBorder="1"/>
    <xf numFmtId="262" fontId="205" fillId="0" borderId="152" xfId="847" applyNumberFormat="1" applyFont="1" applyFill="1" applyBorder="1"/>
    <xf numFmtId="0" fontId="213" fillId="0" borderId="0" xfId="907" applyFont="1" applyAlignment="1">
      <alignment horizontal="left"/>
    </xf>
    <xf numFmtId="22" fontId="43" fillId="0" borderId="0" xfId="0" applyNumberFormat="1" applyFont="1" applyAlignment="1">
      <alignment horizontal="right"/>
    </xf>
    <xf numFmtId="0" fontId="43" fillId="0" borderId="144" xfId="907" applyFont="1" applyBorder="1"/>
    <xf numFmtId="0" fontId="205" fillId="0" borderId="152" xfId="0" applyFont="1" applyBorder="1" applyAlignment="1">
      <alignment horizontal="center"/>
    </xf>
    <xf numFmtId="0" fontId="212" fillId="43" borderId="144" xfId="0" applyFont="1" applyFill="1" applyBorder="1" applyAlignment="1">
      <alignment horizontal="center"/>
    </xf>
    <xf numFmtId="0" fontId="208" fillId="56" borderId="156" xfId="834" applyFont="1" applyFill="1" applyBorder="1" applyAlignment="1" applyProtection="1">
      <alignment horizontal="left" vertical="center"/>
    </xf>
    <xf numFmtId="0" fontId="208" fillId="56" borderId="155" xfId="834" applyFont="1" applyFill="1" applyBorder="1" applyAlignment="1" applyProtection="1">
      <alignment horizontal="left" vertical="center"/>
    </xf>
    <xf numFmtId="10" fontId="205" fillId="0" borderId="152" xfId="847" applyNumberFormat="1" applyFont="1" applyFill="1" applyBorder="1"/>
    <xf numFmtId="0" fontId="242" fillId="41" borderId="0" xfId="831" applyFont="1" applyFill="1" applyAlignment="1">
      <alignment horizontal="left"/>
    </xf>
    <xf numFmtId="0" fontId="248" fillId="41" borderId="106" xfId="831" applyFont="1" applyFill="1" applyBorder="1" applyAlignment="1">
      <alignment horizontal="left"/>
    </xf>
    <xf numFmtId="0" fontId="243" fillId="41" borderId="0" xfId="831" applyFont="1" applyFill="1" applyAlignment="1">
      <alignment horizontal="left"/>
    </xf>
    <xf numFmtId="0" fontId="43" fillId="0" borderId="0" xfId="2697" applyFont="1" applyAlignment="1">
      <alignment horizontal="center"/>
    </xf>
    <xf numFmtId="0" fontId="117" fillId="55" borderId="163" xfId="2697" applyFont="1" applyFill="1" applyBorder="1" applyAlignment="1">
      <alignment horizontal="center" vertical="center" wrapText="1"/>
    </xf>
    <xf numFmtId="0" fontId="117" fillId="55" borderId="164" xfId="2697" applyFont="1" applyFill="1" applyBorder="1" applyAlignment="1">
      <alignment horizontal="center" vertical="center" wrapText="1"/>
    </xf>
    <xf numFmtId="269" fontId="43" fillId="0" borderId="20" xfId="43183" applyNumberFormat="1" applyFont="1" applyBorder="1" applyAlignment="1">
      <alignment vertical="center"/>
    </xf>
    <xf numFmtId="0" fontId="43" fillId="0" borderId="29" xfId="2697" applyFont="1" applyBorder="1" applyAlignment="1">
      <alignment vertical="center"/>
    </xf>
    <xf numFmtId="269" fontId="43" fillId="0" borderId="20" xfId="2697" applyNumberFormat="1" applyFont="1" applyBorder="1" applyAlignment="1">
      <alignment vertical="center"/>
    </xf>
    <xf numFmtId="269" fontId="43" fillId="0" borderId="10" xfId="2697" applyNumberFormat="1" applyFont="1" applyBorder="1" applyAlignment="1">
      <alignment vertical="center"/>
    </xf>
    <xf numFmtId="0" fontId="43" fillId="0" borderId="155" xfId="2697" applyFont="1" applyBorder="1" applyAlignment="1">
      <alignment vertical="center"/>
    </xf>
    <xf numFmtId="269" fontId="43" fillId="0" borderId="156" xfId="2697" applyNumberFormat="1" applyFont="1" applyBorder="1" applyAlignment="1">
      <alignment vertical="center"/>
    </xf>
    <xf numFmtId="0" fontId="117" fillId="55" borderId="0" xfId="2697" applyFont="1" applyFill="1" applyAlignment="1">
      <alignment horizontal="center" vertical="center" wrapText="1"/>
    </xf>
    <xf numFmtId="171" fontId="117" fillId="43" borderId="0" xfId="2697" applyNumberFormat="1" applyFont="1" applyFill="1" applyAlignment="1">
      <alignment horizontal="center" vertical="center" wrapText="1"/>
    </xf>
    <xf numFmtId="171" fontId="117" fillId="55" borderId="0" xfId="2697" applyNumberFormat="1" applyFont="1" applyFill="1" applyAlignment="1">
      <alignment horizontal="center" vertical="center" wrapText="1"/>
    </xf>
    <xf numFmtId="0" fontId="43" fillId="0" borderId="29" xfId="2697" applyFont="1" applyBorder="1"/>
    <xf numFmtId="0" fontId="43" fillId="0" borderId="10" xfId="2697" applyFont="1" applyBorder="1" applyAlignment="1">
      <alignment vertical="center"/>
    </xf>
    <xf numFmtId="270" fontId="43" fillId="0" borderId="0" xfId="2697" applyNumberFormat="1" applyFont="1" applyAlignment="1">
      <alignment vertical="center"/>
    </xf>
    <xf numFmtId="0" fontId="43" fillId="0" borderId="155" xfId="2697" applyFont="1" applyBorder="1"/>
    <xf numFmtId="0" fontId="43" fillId="0" borderId="20" xfId="2697" applyFont="1" applyBorder="1" applyAlignment="1">
      <alignment vertical="center"/>
    </xf>
    <xf numFmtId="270" fontId="43" fillId="118" borderId="20" xfId="2697" applyNumberFormat="1" applyFont="1" applyFill="1" applyBorder="1" applyAlignment="1">
      <alignment vertical="center"/>
    </xf>
    <xf numFmtId="270" fontId="43" fillId="118" borderId="0" xfId="2697" applyNumberFormat="1" applyFont="1" applyFill="1" applyAlignment="1">
      <alignment vertical="center"/>
    </xf>
    <xf numFmtId="270" fontId="43" fillId="118" borderId="156" xfId="2697" applyNumberFormat="1" applyFont="1" applyFill="1" applyBorder="1" applyAlignment="1">
      <alignment vertical="center"/>
    </xf>
    <xf numFmtId="0" fontId="43" fillId="0" borderId="152" xfId="0" applyFont="1" applyBorder="1"/>
    <xf numFmtId="0" fontId="268" fillId="0" borderId="152" xfId="0" applyFont="1" applyBorder="1"/>
    <xf numFmtId="0" fontId="268" fillId="99" borderId="152" xfId="0" applyFont="1" applyFill="1" applyBorder="1"/>
    <xf numFmtId="14" fontId="30" fillId="111" borderId="0" xfId="0" applyNumberFormat="1" applyFont="1" applyFill="1" applyAlignment="1">
      <alignment horizontal="right"/>
    </xf>
    <xf numFmtId="168" fontId="43" fillId="0" borderId="10" xfId="863" applyFont="1" applyBorder="1" applyAlignment="1">
      <alignment vertical="center"/>
    </xf>
    <xf numFmtId="0" fontId="292" fillId="0" borderId="152" xfId="907" applyFont="1" applyBorder="1" applyAlignment="1">
      <alignment horizontal="left"/>
    </xf>
    <xf numFmtId="10" fontId="43" fillId="0" borderId="152" xfId="907" applyNumberFormat="1" applyFont="1" applyBorder="1"/>
    <xf numFmtId="0" fontId="43" fillId="0" borderId="152" xfId="907" applyFont="1" applyBorder="1"/>
    <xf numFmtId="0" fontId="110" fillId="0" borderId="152" xfId="907" applyFont="1" applyBorder="1" applyAlignment="1">
      <alignment horizontal="left"/>
    </xf>
    <xf numFmtId="0" fontId="293" fillId="0" borderId="152" xfId="907" applyFont="1" applyBorder="1"/>
    <xf numFmtId="168" fontId="293" fillId="0" borderId="152" xfId="863" applyFont="1" applyFill="1" applyBorder="1"/>
    <xf numFmtId="0" fontId="43" fillId="41" borderId="152" xfId="907" applyFont="1" applyFill="1" applyBorder="1"/>
    <xf numFmtId="0" fontId="43" fillId="0" borderId="152" xfId="907" applyFont="1" applyBorder="1" applyAlignment="1">
      <alignment horizontal="center"/>
    </xf>
    <xf numFmtId="4" fontId="43" fillId="0" borderId="152" xfId="815" applyNumberFormat="1" applyFont="1" applyFill="1" applyBorder="1"/>
    <xf numFmtId="22" fontId="43" fillId="0" borderId="0" xfId="907" applyNumberFormat="1" applyFont="1"/>
    <xf numFmtId="22" fontId="43" fillId="0" borderId="152" xfId="907" applyNumberFormat="1" applyFont="1" applyBorder="1"/>
    <xf numFmtId="168" fontId="211" fillId="0" borderId="0" xfId="863" applyFont="1" applyBorder="1" applyAlignment="1">
      <alignment horizontal="right" vertical="center"/>
    </xf>
    <xf numFmtId="43" fontId="283" fillId="0" borderId="0" xfId="0" applyNumberFormat="1" applyFont="1"/>
    <xf numFmtId="0" fontId="205" fillId="0" borderId="166" xfId="0" applyFont="1" applyBorder="1"/>
    <xf numFmtId="0" fontId="212" fillId="0" borderId="166" xfId="0" applyFont="1" applyBorder="1" applyAlignment="1">
      <alignment horizontal="center"/>
    </xf>
    <xf numFmtId="167" fontId="208" fillId="0" borderId="166" xfId="0" applyNumberFormat="1" applyFont="1" applyBorder="1" applyProtection="1">
      <protection hidden="1"/>
    </xf>
    <xf numFmtId="0" fontId="240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0" fillId="0" borderId="0" xfId="0" applyNumberFormat="1" applyFont="1" applyAlignment="1">
      <alignment horizontal="center" vertical="distributed"/>
    </xf>
    <xf numFmtId="0" fontId="235" fillId="42" borderId="0" xfId="0" applyFont="1" applyFill="1"/>
    <xf numFmtId="171" fontId="30" fillId="110" borderId="167" xfId="907" applyNumberFormat="1" applyFill="1" applyBorder="1"/>
    <xf numFmtId="171" fontId="30" fillId="110" borderId="170" xfId="907" applyNumberFormat="1" applyFill="1" applyBorder="1"/>
    <xf numFmtId="171" fontId="30" fillId="59" borderId="170" xfId="907" applyNumberFormat="1" applyFill="1" applyBorder="1"/>
    <xf numFmtId="171" fontId="30" fillId="59" borderId="172" xfId="907" applyNumberFormat="1" applyFill="1" applyBorder="1"/>
    <xf numFmtId="0" fontId="272" fillId="43" borderId="167" xfId="0" applyFont="1" applyFill="1" applyBorder="1" applyAlignment="1">
      <alignment horizontal="center" vertical="center" wrapText="1"/>
    </xf>
    <xf numFmtId="0" fontId="272" fillId="43" borderId="174" xfId="0" applyFont="1" applyFill="1" applyBorder="1" applyAlignment="1">
      <alignment horizontal="center" vertical="center" wrapText="1"/>
    </xf>
    <xf numFmtId="0" fontId="272" fillId="43" borderId="169" xfId="0" applyFont="1" applyFill="1" applyBorder="1" applyAlignment="1">
      <alignment vertical="center" wrapText="1"/>
    </xf>
    <xf numFmtId="171" fontId="30" fillId="110" borderId="172" xfId="907" applyNumberFormat="1" applyFill="1" applyBorder="1"/>
    <xf numFmtId="167" fontId="30" fillId="111" borderId="171" xfId="815" applyFont="1" applyFill="1" applyBorder="1" applyAlignment="1">
      <alignment horizontal="center" vertical="center"/>
    </xf>
    <xf numFmtId="168" fontId="233" fillId="0" borderId="0" xfId="863" quotePrefix="1" applyFont="1"/>
    <xf numFmtId="0" fontId="36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8" fillId="41" borderId="178" xfId="863" applyFont="1" applyFill="1" applyBorder="1"/>
    <xf numFmtId="272" fontId="208" fillId="41" borderId="178" xfId="863" applyNumberFormat="1" applyFont="1" applyFill="1" applyBorder="1"/>
    <xf numFmtId="167" fontId="30" fillId="44" borderId="173" xfId="815" applyFont="1" applyFill="1" applyBorder="1" applyAlignment="1">
      <alignment horizontal="center" vertical="center"/>
    </xf>
    <xf numFmtId="167" fontId="30" fillId="44" borderId="176" xfId="815" applyFont="1" applyFill="1" applyBorder="1" applyAlignment="1">
      <alignment horizontal="center" vertical="center"/>
    </xf>
    <xf numFmtId="0" fontId="208" fillId="41" borderId="178" xfId="0" applyFont="1" applyFill="1" applyBorder="1" applyAlignment="1">
      <alignment horizontal="right"/>
    </xf>
    <xf numFmtId="0" fontId="208" fillId="41" borderId="178" xfId="0" applyFont="1" applyFill="1" applyBorder="1" applyAlignment="1">
      <alignment horizontal="left"/>
    </xf>
    <xf numFmtId="0" fontId="205" fillId="41" borderId="178" xfId="0" applyFont="1" applyFill="1" applyBorder="1" applyAlignment="1">
      <alignment horizontal="right"/>
    </xf>
    <xf numFmtId="168" fontId="208" fillId="41" borderId="178" xfId="0" applyNumberFormat="1" applyFont="1" applyFill="1" applyBorder="1"/>
    <xf numFmtId="167" fontId="30" fillId="44" borderId="179" xfId="815" applyFont="1" applyFill="1" applyBorder="1" applyAlignment="1">
      <alignment horizontal="center" vertical="center"/>
    </xf>
    <xf numFmtId="167" fontId="30" fillId="44" borderId="180" xfId="815" applyFont="1" applyFill="1" applyBorder="1" applyAlignment="1">
      <alignment horizontal="center" vertical="center"/>
    </xf>
    <xf numFmtId="167" fontId="30" fillId="59" borderId="179" xfId="815" applyFont="1" applyFill="1" applyBorder="1" applyAlignment="1">
      <alignment horizontal="center" vertical="center"/>
    </xf>
    <xf numFmtId="167" fontId="30" fillId="59" borderId="173" xfId="815" applyFont="1" applyFill="1" applyBorder="1" applyAlignment="1">
      <alignment horizontal="center" vertical="center"/>
    </xf>
    <xf numFmtId="167" fontId="30" fillId="59" borderId="180" xfId="815" applyFont="1" applyFill="1" applyBorder="1" applyAlignment="1">
      <alignment horizontal="center" vertical="center"/>
    </xf>
    <xf numFmtId="0" fontId="43" fillId="0" borderId="160" xfId="0" applyFont="1" applyBorder="1"/>
    <xf numFmtId="0" fontId="43" fillId="0" borderId="153" xfId="0" applyFont="1" applyBorder="1"/>
    <xf numFmtId="4" fontId="237" fillId="0" borderId="20" xfId="0" applyNumberFormat="1" applyFont="1" applyBorder="1" applyAlignment="1">
      <alignment horizontal="right" vertical="center"/>
    </xf>
    <xf numFmtId="167" fontId="30" fillId="111" borderId="180" xfId="815" applyFont="1" applyFill="1" applyBorder="1" applyAlignment="1">
      <alignment horizontal="center" vertical="center"/>
    </xf>
    <xf numFmtId="0" fontId="30" fillId="59" borderId="166" xfId="907" applyFill="1" applyBorder="1"/>
    <xf numFmtId="0" fontId="30" fillId="59" borderId="178" xfId="907" applyFill="1" applyBorder="1"/>
    <xf numFmtId="217" fontId="43" fillId="41" borderId="0" xfId="847" applyNumberFormat="1" applyFont="1" applyFill="1" applyBorder="1" applyAlignment="1">
      <alignment horizontal="center"/>
    </xf>
    <xf numFmtId="0" fontId="30" fillId="111" borderId="166" xfId="0" applyFont="1" applyFill="1" applyBorder="1" applyAlignment="1">
      <alignment horizontal="left" wrapText="1"/>
    </xf>
    <xf numFmtId="14" fontId="30" fillId="111" borderId="178" xfId="0" applyNumberFormat="1" applyFont="1" applyFill="1" applyBorder="1" applyAlignment="1">
      <alignment horizontal="left" wrapText="1"/>
    </xf>
    <xf numFmtId="0" fontId="30" fillId="111" borderId="144" xfId="0" applyFont="1" applyFill="1" applyBorder="1" applyAlignment="1">
      <alignment horizontal="left" wrapText="1"/>
    </xf>
    <xf numFmtId="0" fontId="205" fillId="0" borderId="0" xfId="863" applyNumberFormat="1" applyFont="1" applyFill="1" applyBorder="1"/>
    <xf numFmtId="0" fontId="205" fillId="0" borderId="0" xfId="815" applyNumberFormat="1" applyFont="1" applyFill="1" applyBorder="1"/>
    <xf numFmtId="273" fontId="205" fillId="119" borderId="0" xfId="847" applyNumberFormat="1" applyFont="1" applyFill="1"/>
    <xf numFmtId="168" fontId="0" fillId="0" borderId="0" xfId="0" applyNumberFormat="1"/>
    <xf numFmtId="0" fontId="195" fillId="0" borderId="0" xfId="0" applyFont="1" applyAlignment="1">
      <alignment vertical="center"/>
    </xf>
    <xf numFmtId="0" fontId="30" fillId="0" borderId="178" xfId="0" applyFont="1" applyBorder="1"/>
    <xf numFmtId="167" fontId="30" fillId="42" borderId="178" xfId="815" applyFont="1" applyFill="1" applyBorder="1" applyAlignment="1">
      <alignment horizontal="left"/>
    </xf>
    <xf numFmtId="168" fontId="43" fillId="0" borderId="0" xfId="0" applyNumberFormat="1" applyFont="1"/>
    <xf numFmtId="0" fontId="30" fillId="0" borderId="0" xfId="0" applyFont="1" applyAlignment="1">
      <alignment horizontal="right"/>
    </xf>
    <xf numFmtId="168" fontId="43" fillId="41" borderId="0" xfId="863" applyFont="1" applyFill="1" applyBorder="1" applyAlignment="1"/>
    <xf numFmtId="14" fontId="30" fillId="0" borderId="106" xfId="0" applyNumberFormat="1" applyFont="1" applyBorder="1"/>
    <xf numFmtId="14" fontId="43" fillId="0" borderId="0" xfId="847" applyNumberFormat="1" applyFont="1"/>
    <xf numFmtId="14" fontId="275" fillId="113" borderId="16" xfId="0" applyNumberFormat="1" applyFont="1" applyFill="1" applyBorder="1"/>
    <xf numFmtId="14" fontId="237" fillId="0" borderId="0" xfId="863" applyNumberFormat="1" applyFont="1" applyFill="1" applyBorder="1" applyAlignment="1">
      <alignment horizontal="center" vertical="center" wrapText="1"/>
    </xf>
    <xf numFmtId="14" fontId="246" fillId="0" borderId="0" xfId="43183" applyNumberFormat="1" applyFont="1" applyFill="1" applyBorder="1"/>
    <xf numFmtId="9" fontId="283" fillId="0" borderId="0" xfId="847" applyFont="1"/>
    <xf numFmtId="4" fontId="0" fillId="0" borderId="0" xfId="0" applyNumberFormat="1" applyAlignment="1">
      <alignment horizontal="center" vertical="center"/>
    </xf>
    <xf numFmtId="274" fontId="205" fillId="41" borderId="0" xfId="863" applyNumberFormat="1" applyFont="1" applyFill="1" applyBorder="1" applyAlignment="1">
      <alignment horizontal="right"/>
    </xf>
    <xf numFmtId="168" fontId="216" fillId="0" borderId="0" xfId="863" applyFont="1"/>
    <xf numFmtId="168" fontId="219" fillId="0" borderId="0" xfId="863" applyFont="1"/>
    <xf numFmtId="10" fontId="208" fillId="0" borderId="0" xfId="847" applyNumberFormat="1" applyFont="1"/>
    <xf numFmtId="0" fontId="0" fillId="0" borderId="181" xfId="0" applyBorder="1"/>
    <xf numFmtId="0" fontId="0" fillId="0" borderId="182" xfId="0" applyBorder="1"/>
    <xf numFmtId="14" fontId="30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3" fillId="41" borderId="0" xfId="847" applyNumberFormat="1" applyFont="1" applyFill="1" applyBorder="1"/>
    <xf numFmtId="168" fontId="210" fillId="0" borderId="0" xfId="831" applyNumberFormat="1" applyFont="1" applyAlignment="1">
      <alignment vertical="center"/>
    </xf>
    <xf numFmtId="10" fontId="43" fillId="103" borderId="0" xfId="907" applyNumberFormat="1" applyFont="1" applyFill="1"/>
    <xf numFmtId="0" fontId="272" fillId="0" borderId="144" xfId="0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distributed"/>
    </xf>
    <xf numFmtId="10" fontId="116" fillId="0" borderId="0" xfId="847" applyNumberFormat="1" applyFont="1" applyAlignment="1">
      <alignment horizontal="center"/>
    </xf>
    <xf numFmtId="0" fontId="267" fillId="103" borderId="152" xfId="0" applyFont="1" applyFill="1" applyBorder="1" applyAlignment="1">
      <alignment horizontal="center" vertical="distributed"/>
    </xf>
    <xf numFmtId="168" fontId="116" fillId="0" borderId="0" xfId="863" quotePrefix="1" applyFont="1"/>
    <xf numFmtId="2" fontId="30" fillId="0" borderId="0" xfId="0" applyNumberFormat="1" applyFont="1" applyAlignment="1">
      <alignment horizontal="center"/>
    </xf>
    <xf numFmtId="10" fontId="30" fillId="0" borderId="0" xfId="847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/>
    </xf>
    <xf numFmtId="10" fontId="30" fillId="0" borderId="0" xfId="847" applyNumberFormat="1" applyFont="1" applyBorder="1" applyAlignment="1">
      <alignment horizontal="center" vertical="distributed"/>
    </xf>
    <xf numFmtId="0" fontId="30" fillId="0" borderId="152" xfId="0" applyFont="1" applyBorder="1" applyAlignment="1">
      <alignment horizontal="center" vertical="distributed"/>
    </xf>
    <xf numFmtId="0" fontId="30" fillId="0" borderId="0" xfId="0" quotePrefix="1" applyFont="1"/>
    <xf numFmtId="168" fontId="30" fillId="61" borderId="144" xfId="863" applyFont="1" applyFill="1" applyBorder="1" applyAlignment="1">
      <alignment horizontal="right"/>
    </xf>
    <xf numFmtId="168" fontId="30" fillId="61" borderId="0" xfId="863" applyFont="1" applyFill="1" applyBorder="1" applyAlignment="1">
      <alignment horizontal="right"/>
    </xf>
    <xf numFmtId="168" fontId="30" fillId="0" borderId="0" xfId="0" applyNumberFormat="1" applyFont="1"/>
    <xf numFmtId="0" fontId="36" fillId="0" borderId="178" xfId="0" applyFont="1" applyBorder="1"/>
    <xf numFmtId="0" fontId="205" fillId="0" borderId="178" xfId="0" applyFont="1" applyBorder="1"/>
    <xf numFmtId="0" fontId="295" fillId="121" borderId="156" xfId="907" applyFont="1" applyFill="1" applyBorder="1"/>
    <xf numFmtId="0" fontId="296" fillId="59" borderId="0" xfId="0" applyFont="1" applyFill="1" applyAlignment="1">
      <alignment horizontal="left"/>
    </xf>
    <xf numFmtId="43" fontId="295" fillId="118" borderId="0" xfId="43408" applyFont="1" applyFill="1"/>
    <xf numFmtId="205" fontId="0" fillId="0" borderId="0" xfId="0" applyNumberFormat="1"/>
    <xf numFmtId="168" fontId="205" fillId="42" borderId="0" xfId="863" applyFont="1" applyFill="1"/>
    <xf numFmtId="167" fontId="205" fillId="111" borderId="0" xfId="815" applyFont="1" applyFill="1"/>
    <xf numFmtId="168" fontId="208" fillId="59" borderId="0" xfId="863" applyFont="1" applyFill="1"/>
    <xf numFmtId="0" fontId="295" fillId="0" borderId="0" xfId="907" applyFont="1"/>
    <xf numFmtId="43" fontId="296" fillId="0" borderId="0" xfId="43408" applyFont="1" applyFill="1" applyBorder="1"/>
    <xf numFmtId="43" fontId="295" fillId="0" borderId="0" xfId="43408" applyFont="1" applyFill="1" applyBorder="1"/>
    <xf numFmtId="167" fontId="296" fillId="0" borderId="0" xfId="815" applyFont="1" applyFill="1" applyBorder="1"/>
    <xf numFmtId="0" fontId="296" fillId="0" borderId="0" xfId="0" applyFont="1"/>
    <xf numFmtId="0" fontId="296" fillId="0" borderId="0" xfId="0" applyFont="1" applyAlignment="1">
      <alignment horizontal="left"/>
    </xf>
    <xf numFmtId="275" fontId="296" fillId="0" borderId="0" xfId="815" applyNumberFormat="1" applyFont="1" applyFill="1" applyBorder="1"/>
    <xf numFmtId="168" fontId="205" fillId="111" borderId="0" xfId="863" applyFont="1" applyFill="1"/>
    <xf numFmtId="0" fontId="295" fillId="0" borderId="20" xfId="907" applyFont="1" applyBorder="1"/>
    <xf numFmtId="217" fontId="296" fillId="0" borderId="0" xfId="847" applyNumberFormat="1" applyFont="1" applyFill="1"/>
    <xf numFmtId="43" fontId="295" fillId="0" borderId="0" xfId="43408" applyFont="1" applyFill="1"/>
    <xf numFmtId="43" fontId="295" fillId="0" borderId="29" xfId="43408" applyFont="1" applyFill="1" applyBorder="1"/>
    <xf numFmtId="0" fontId="295" fillId="0" borderId="156" xfId="907" applyFont="1" applyBorder="1"/>
    <xf numFmtId="43" fontId="205" fillId="0" borderId="0" xfId="907" applyNumberFormat="1" applyFont="1"/>
    <xf numFmtId="170" fontId="205" fillId="42" borderId="0" xfId="863" applyNumberFormat="1" applyFont="1" applyFill="1" applyBorder="1" applyAlignment="1">
      <alignment horizontal="right"/>
    </xf>
    <xf numFmtId="43" fontId="205" fillId="42" borderId="0" xfId="863" applyNumberFormat="1" applyFont="1" applyFill="1" applyAlignment="1">
      <alignment horizontal="right"/>
    </xf>
    <xf numFmtId="275" fontId="296" fillId="42" borderId="0" xfId="815" applyNumberFormat="1" applyFont="1" applyFill="1"/>
    <xf numFmtId="168" fontId="208" fillId="0" borderId="0" xfId="863" applyFont="1"/>
    <xf numFmtId="14" fontId="30" fillId="0" borderId="29" xfId="0" applyNumberFormat="1" applyFont="1" applyBorder="1"/>
    <xf numFmtId="167" fontId="205" fillId="42" borderId="0" xfId="815" applyFont="1" applyFill="1" applyBorder="1"/>
    <xf numFmtId="40" fontId="120" fillId="0" borderId="152" xfId="0" applyNumberFormat="1" applyFont="1" applyBorder="1" applyAlignment="1">
      <alignment horizontal="center" vertical="center"/>
    </xf>
    <xf numFmtId="0" fontId="30" fillId="0" borderId="156" xfId="0" applyFont="1" applyBorder="1" applyAlignment="1">
      <alignment horizontal="right"/>
    </xf>
    <xf numFmtId="0" fontId="43" fillId="0" borderId="152" xfId="43433" quotePrefix="1" applyFont="1" applyBorder="1"/>
    <xf numFmtId="43" fontId="244" fillId="0" borderId="152" xfId="43431" applyFont="1" applyBorder="1"/>
    <xf numFmtId="43" fontId="244" fillId="113" borderId="152" xfId="43431" applyFont="1" applyFill="1" applyBorder="1"/>
    <xf numFmtId="4" fontId="43" fillId="42" borderId="152" xfId="815" applyNumberFormat="1" applyFont="1" applyFill="1" applyBorder="1"/>
    <xf numFmtId="167" fontId="205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2" fillId="0" borderId="0" xfId="0" applyFont="1"/>
    <xf numFmtId="168" fontId="30" fillId="111" borderId="178" xfId="863" applyFont="1" applyFill="1" applyBorder="1"/>
    <xf numFmtId="168" fontId="30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30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4" fillId="0" borderId="152" xfId="43431" applyFont="1" applyFill="1" applyBorder="1"/>
    <xf numFmtId="167" fontId="30" fillId="111" borderId="183" xfId="815" applyFont="1" applyFill="1" applyBorder="1" applyAlignment="1">
      <alignment horizontal="center" vertical="center"/>
    </xf>
    <xf numFmtId="168" fontId="283" fillId="0" borderId="0" xfId="863" applyFont="1" applyFill="1" applyBorder="1"/>
    <xf numFmtId="168" fontId="283" fillId="117" borderId="0" xfId="863" applyFont="1" applyFill="1" applyBorder="1"/>
    <xf numFmtId="197" fontId="205" fillId="61" borderId="0" xfId="0" applyNumberFormat="1" applyFont="1" applyFill="1"/>
    <xf numFmtId="171" fontId="205" fillId="61" borderId="0" xfId="0" applyNumberFormat="1" applyFont="1" applyFill="1"/>
    <xf numFmtId="167" fontId="205" fillId="61" borderId="10" xfId="815" applyFont="1" applyFill="1" applyBorder="1"/>
    <xf numFmtId="167" fontId="205" fillId="61" borderId="29" xfId="815" applyFont="1" applyFill="1" applyBorder="1"/>
    <xf numFmtId="167" fontId="205" fillId="61" borderId="20" xfId="815" applyFont="1" applyFill="1" applyBorder="1"/>
    <xf numFmtId="167" fontId="205" fillId="61" borderId="0" xfId="815" applyFont="1" applyFill="1" applyBorder="1"/>
    <xf numFmtId="0" fontId="205" fillId="61" borderId="0" xfId="0" applyFont="1" applyFill="1"/>
    <xf numFmtId="167" fontId="30" fillId="59" borderId="183" xfId="815" applyFont="1" applyFill="1" applyBorder="1" applyAlignment="1">
      <alignment horizontal="center" vertical="center"/>
    </xf>
    <xf numFmtId="0" fontId="36" fillId="0" borderId="0" xfId="2697" applyFont="1"/>
    <xf numFmtId="9" fontId="36" fillId="103" borderId="0" xfId="2697" applyNumberFormat="1" applyFont="1" applyFill="1"/>
    <xf numFmtId="0" fontId="272" fillId="101" borderId="0" xfId="2697" applyFont="1" applyFill="1"/>
    <xf numFmtId="168" fontId="30" fillId="0" borderId="0" xfId="2697" applyNumberFormat="1"/>
    <xf numFmtId="0" fontId="2" fillId="0" borderId="0" xfId="43435"/>
    <xf numFmtId="43" fontId="0" fillId="0" borderId="0" xfId="43436" applyFont="1"/>
    <xf numFmtId="277" fontId="2" fillId="0" borderId="0" xfId="43435" applyNumberFormat="1"/>
    <xf numFmtId="167" fontId="283" fillId="0" borderId="0" xfId="815" applyFont="1" applyFill="1" applyBorder="1"/>
    <xf numFmtId="168" fontId="43" fillId="41" borderId="0" xfId="863" applyFont="1" applyFill="1" applyBorder="1" applyAlignment="1">
      <alignment horizontal="right" vertical="center" wrapText="1"/>
    </xf>
    <xf numFmtId="168" fontId="43" fillId="0" borderId="0" xfId="863" applyFont="1" applyFill="1" applyBorder="1" applyAlignment="1">
      <alignment horizontal="right" vertical="center" wrapText="1"/>
    </xf>
    <xf numFmtId="0" fontId="30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3" fillId="41" borderId="0" xfId="863" applyNumberFormat="1" applyFont="1" applyFill="1" applyBorder="1"/>
    <xf numFmtId="4" fontId="205" fillId="0" borderId="0" xfId="0" applyNumberFormat="1" applyFont="1"/>
    <xf numFmtId="171" fontId="117" fillId="0" borderId="0" xfId="2697" applyNumberFormat="1" applyFont="1" applyAlignment="1">
      <alignment horizontal="center" vertical="center" wrapText="1"/>
    </xf>
    <xf numFmtId="0" fontId="304" fillId="0" borderId="0" xfId="0" applyFont="1"/>
    <xf numFmtId="270" fontId="43" fillId="118" borderId="178" xfId="2697" applyNumberFormat="1" applyFont="1" applyFill="1" applyBorder="1" applyAlignment="1">
      <alignment vertical="center"/>
    </xf>
    <xf numFmtId="0" fontId="303" fillId="0" borderId="0" xfId="2697" applyFont="1" applyAlignment="1">
      <alignment horizontal="center" vertical="center" wrapText="1"/>
    </xf>
    <xf numFmtId="168" fontId="43" fillId="0" borderId="0" xfId="863" applyFont="1" applyFill="1" applyBorder="1"/>
    <xf numFmtId="269" fontId="43" fillId="0" borderId="0" xfId="2697" applyNumberFormat="1" applyFont="1" applyAlignment="1">
      <alignment vertical="center"/>
    </xf>
    <xf numFmtId="271" fontId="43" fillId="0" borderId="0" xfId="2697" applyNumberFormat="1" applyFont="1" applyAlignment="1">
      <alignment vertical="center"/>
    </xf>
    <xf numFmtId="270" fontId="110" fillId="0" borderId="0" xfId="43183" applyNumberFormat="1" applyFont="1" applyFill="1" applyBorder="1" applyAlignment="1">
      <alignment vertical="center"/>
    </xf>
    <xf numFmtId="0" fontId="250" fillId="0" borderId="0" xfId="0" applyFont="1"/>
    <xf numFmtId="0" fontId="250" fillId="0" borderId="0" xfId="0" applyFont="1" applyAlignment="1">
      <alignment vertical="center"/>
    </xf>
    <xf numFmtId="0" fontId="250" fillId="118" borderId="0" xfId="0" applyFont="1" applyFill="1" applyAlignment="1">
      <alignment vertical="center"/>
    </xf>
    <xf numFmtId="174" fontId="250" fillId="118" borderId="0" xfId="0" applyNumberFormat="1" applyFont="1" applyFill="1" applyAlignment="1">
      <alignment vertical="center"/>
    </xf>
    <xf numFmtId="0" fontId="250" fillId="0" borderId="0" xfId="907" applyFont="1"/>
    <xf numFmtId="168" fontId="250" fillId="0" borderId="0" xfId="863" applyFont="1"/>
    <xf numFmtId="0" fontId="251" fillId="0" borderId="0" xfId="907" applyFont="1"/>
    <xf numFmtId="0" fontId="205" fillId="0" borderId="0" xfId="0" applyFont="1" applyAlignment="1">
      <alignment vertical="center"/>
    </xf>
    <xf numFmtId="14" fontId="250" fillId="118" borderId="0" xfId="0" applyNumberFormat="1" applyFont="1" applyFill="1" applyAlignment="1">
      <alignment vertical="center"/>
    </xf>
    <xf numFmtId="0" fontId="43" fillId="33" borderId="0" xfId="43437" applyFont="1" applyFill="1" applyAlignment="1">
      <alignment vertical="center"/>
    </xf>
    <xf numFmtId="0" fontId="43" fillId="33" borderId="0" xfId="43437" applyFont="1" applyFill="1" applyAlignment="1">
      <alignment vertical="center" wrapText="1"/>
    </xf>
    <xf numFmtId="0" fontId="305" fillId="33" borderId="178" xfId="43437" applyFont="1" applyFill="1" applyBorder="1" applyAlignment="1">
      <alignment horizontal="left" vertical="center"/>
    </xf>
    <xf numFmtId="0" fontId="250" fillId="33" borderId="178" xfId="43437" applyFont="1" applyFill="1" applyBorder="1" applyAlignment="1">
      <alignment vertical="center" wrapText="1"/>
    </xf>
    <xf numFmtId="0" fontId="43" fillId="33" borderId="178" xfId="43437" applyFont="1" applyFill="1" applyBorder="1" applyAlignment="1">
      <alignment vertical="center"/>
    </xf>
    <xf numFmtId="0" fontId="250" fillId="33" borderId="178" xfId="43437" applyFont="1" applyFill="1" applyBorder="1" applyAlignment="1">
      <alignment horizontal="right" vertical="center"/>
    </xf>
    <xf numFmtId="10" fontId="250" fillId="33" borderId="178" xfId="847" applyNumberFormat="1" applyFont="1" applyFill="1" applyBorder="1" applyAlignment="1">
      <alignment vertical="center"/>
    </xf>
    <xf numFmtId="0" fontId="250" fillId="33" borderId="0" xfId="43437" applyFont="1" applyFill="1" applyAlignment="1">
      <alignment vertical="center"/>
    </xf>
    <xf numFmtId="0" fontId="306" fillId="0" borderId="0" xfId="2697" applyFont="1" applyAlignment="1">
      <alignment vertical="center"/>
    </xf>
    <xf numFmtId="0" fontId="250" fillId="33" borderId="0" xfId="43437" applyFont="1" applyFill="1" applyAlignment="1">
      <alignment vertical="center" wrapText="1"/>
    </xf>
    <xf numFmtId="0" fontId="250" fillId="33" borderId="0" xfId="43437" applyFont="1" applyFill="1" applyAlignment="1">
      <alignment horizontal="right" vertical="center"/>
    </xf>
    <xf numFmtId="10" fontId="250" fillId="33" borderId="0" xfId="847" applyNumberFormat="1" applyFont="1" applyFill="1" applyAlignment="1">
      <alignment vertical="center"/>
    </xf>
    <xf numFmtId="0" fontId="307" fillId="33" borderId="0" xfId="43437" applyFont="1" applyFill="1" applyAlignment="1">
      <alignment horizontal="right" vertical="center"/>
    </xf>
    <xf numFmtId="168" fontId="250" fillId="33" borderId="0" xfId="43437" applyNumberFormat="1" applyFont="1" applyFill="1" applyAlignment="1">
      <alignment vertical="center" wrapText="1"/>
    </xf>
    <xf numFmtId="0" fontId="308" fillId="33" borderId="0" xfId="43437" applyFont="1" applyFill="1" applyAlignment="1">
      <alignment horizontal="right" vertical="center"/>
    </xf>
    <xf numFmtId="0" fontId="309" fillId="33" borderId="0" xfId="43437" applyFont="1" applyFill="1" applyAlignment="1">
      <alignment vertical="center"/>
    </xf>
    <xf numFmtId="0" fontId="309" fillId="33" borderId="0" xfId="43437" applyFont="1" applyFill="1" applyAlignment="1">
      <alignment vertical="center" wrapText="1"/>
    </xf>
    <xf numFmtId="0" fontId="310" fillId="33" borderId="0" xfId="43437" applyFont="1" applyFill="1" applyAlignment="1">
      <alignment vertical="center"/>
    </xf>
    <xf numFmtId="0" fontId="311" fillId="33" borderId="0" xfId="43437" applyFont="1" applyFill="1" applyAlignment="1">
      <alignment vertical="center"/>
    </xf>
    <xf numFmtId="0" fontId="309" fillId="33" borderId="0" xfId="43437" applyFont="1" applyFill="1" applyAlignment="1">
      <alignment horizontal="center" vertical="center" wrapText="1"/>
    </xf>
    <xf numFmtId="0" fontId="309" fillId="33" borderId="0" xfId="43437" applyFont="1" applyFill="1" applyAlignment="1">
      <alignment horizontal="right" vertical="center"/>
    </xf>
    <xf numFmtId="0" fontId="260" fillId="101" borderId="178" xfId="43438" applyFont="1" applyFill="1" applyBorder="1" applyAlignment="1">
      <alignment horizontal="center" vertical="center" wrapText="1"/>
    </xf>
    <xf numFmtId="170" fontId="250" fillId="33" borderId="0" xfId="863" applyNumberFormat="1" applyFont="1" applyFill="1" applyAlignment="1">
      <alignment vertical="center"/>
    </xf>
    <xf numFmtId="0" fontId="250" fillId="0" borderId="0" xfId="43437" quotePrefix="1" applyFont="1" applyAlignment="1">
      <alignment horizontal="left" vertical="center"/>
    </xf>
    <xf numFmtId="278" fontId="250" fillId="41" borderId="0" xfId="43439" applyNumberFormat="1" applyFont="1" applyFill="1" applyBorder="1" applyAlignment="1">
      <alignment vertical="center" wrapText="1"/>
    </xf>
    <xf numFmtId="0" fontId="250" fillId="0" borderId="10" xfId="43437" quotePrefix="1" applyFont="1" applyBorder="1" applyAlignment="1">
      <alignment horizontal="left" vertical="center"/>
    </xf>
    <xf numFmtId="170" fontId="250" fillId="41" borderId="10" xfId="863" applyNumberFormat="1" applyFont="1" applyFill="1" applyBorder="1" applyAlignment="1">
      <alignment vertical="center"/>
    </xf>
    <xf numFmtId="170" fontId="250" fillId="42" borderId="10" xfId="863" applyNumberFormat="1" applyFont="1" applyFill="1" applyBorder="1" applyAlignment="1">
      <alignment vertical="center"/>
    </xf>
    <xf numFmtId="0" fontId="251" fillId="60" borderId="178" xfId="43437" quotePrefix="1" applyFont="1" applyFill="1" applyBorder="1" applyAlignment="1">
      <alignment horizontal="left" vertical="center"/>
    </xf>
    <xf numFmtId="278" fontId="251" fillId="60" borderId="178" xfId="43439" applyNumberFormat="1" applyFont="1" applyFill="1" applyBorder="1" applyAlignment="1">
      <alignment vertical="center" wrapText="1"/>
    </xf>
    <xf numFmtId="170" fontId="250" fillId="41" borderId="0" xfId="863" applyNumberFormat="1" applyFont="1" applyFill="1" applyBorder="1" applyAlignment="1">
      <alignment vertical="center"/>
    </xf>
    <xf numFmtId="170" fontId="250" fillId="0" borderId="0" xfId="863" applyNumberFormat="1" applyFont="1" applyFill="1" applyBorder="1" applyAlignment="1">
      <alignment vertical="center"/>
    </xf>
    <xf numFmtId="0" fontId="43" fillId="0" borderId="0" xfId="2697" applyFont="1" applyAlignment="1">
      <alignment vertical="center" wrapText="1"/>
    </xf>
    <xf numFmtId="0" fontId="313" fillId="0" borderId="0" xfId="0" applyFont="1"/>
    <xf numFmtId="0" fontId="314" fillId="55" borderId="186" xfId="0" applyFont="1" applyFill="1" applyBorder="1" applyAlignment="1">
      <alignment vertical="center"/>
    </xf>
    <xf numFmtId="14" fontId="250" fillId="0" borderId="20" xfId="0" applyNumberFormat="1" applyFont="1" applyBorder="1" applyAlignment="1">
      <alignment horizontal="left" vertical="center"/>
    </xf>
    <xf numFmtId="167" fontId="250" fillId="0" borderId="0" xfId="815" applyFont="1" applyBorder="1" applyAlignment="1">
      <alignment vertical="center"/>
    </xf>
    <xf numFmtId="170" fontId="250" fillId="0" borderId="10" xfId="863" applyNumberFormat="1" applyFont="1" applyBorder="1" applyAlignment="1">
      <alignment vertical="center"/>
    </xf>
    <xf numFmtId="272" fontId="250" fillId="0" borderId="10" xfId="863" applyNumberFormat="1" applyFont="1" applyBorder="1" applyAlignment="1">
      <alignment vertical="center"/>
    </xf>
    <xf numFmtId="14" fontId="251" fillId="56" borderId="156" xfId="834" applyNumberFormat="1" applyFont="1" applyFill="1" applyBorder="1" applyAlignment="1" applyProtection="1">
      <alignment horizontal="left" vertical="center"/>
    </xf>
    <xf numFmtId="170" fontId="251" fillId="41" borderId="0" xfId="863" applyNumberFormat="1" applyFont="1" applyFill="1" applyBorder="1" applyAlignment="1">
      <alignment vertical="center"/>
    </xf>
    <xf numFmtId="170" fontId="250" fillId="33" borderId="0" xfId="863" applyNumberFormat="1" applyFont="1" applyFill="1" applyBorder="1" applyAlignment="1">
      <alignment vertical="center"/>
    </xf>
    <xf numFmtId="170" fontId="250" fillId="0" borderId="20" xfId="863" applyNumberFormat="1" applyFont="1" applyBorder="1" applyAlignment="1">
      <alignment vertical="center"/>
    </xf>
    <xf numFmtId="170" fontId="250" fillId="0" borderId="156" xfId="863" applyNumberFormat="1" applyFont="1" applyBorder="1" applyAlignment="1">
      <alignment vertical="center"/>
    </xf>
    <xf numFmtId="170" fontId="250" fillId="0" borderId="29" xfId="863" applyNumberFormat="1" applyFont="1" applyBorder="1" applyAlignment="1">
      <alignment vertical="center"/>
    </xf>
    <xf numFmtId="272" fontId="250" fillId="0" borderId="0" xfId="863" applyNumberFormat="1" applyFont="1" applyBorder="1" applyAlignment="1">
      <alignment vertical="center"/>
    </xf>
    <xf numFmtId="14" fontId="313" fillId="118" borderId="0" xfId="0" applyNumberFormat="1" applyFont="1" applyFill="1" applyAlignment="1">
      <alignment vertical="center"/>
    </xf>
    <xf numFmtId="174" fontId="313" fillId="118" borderId="0" xfId="0" applyNumberFormat="1" applyFont="1" applyFill="1" applyAlignment="1">
      <alignment vertical="center"/>
    </xf>
    <xf numFmtId="0" fontId="249" fillId="0" borderId="0" xfId="0" applyFont="1"/>
    <xf numFmtId="14" fontId="249" fillId="118" borderId="0" xfId="0" applyNumberFormat="1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43" fontId="296" fillId="59" borderId="0" xfId="0" applyNumberFormat="1" applyFont="1" applyFill="1"/>
    <xf numFmtId="0" fontId="212" fillId="122" borderId="0" xfId="0" applyFont="1" applyFill="1"/>
    <xf numFmtId="3" fontId="0" fillId="0" borderId="0" xfId="43169" applyFont="1"/>
    <xf numFmtId="0" fontId="30" fillId="0" borderId="152" xfId="0" applyFont="1" applyBorder="1" applyAlignment="1">
      <alignment horizontal="center" vertical="center"/>
    </xf>
    <xf numFmtId="170" fontId="250" fillId="0" borderId="0" xfId="863" applyNumberFormat="1" applyFont="1" applyAlignment="1">
      <alignment vertical="center"/>
    </xf>
    <xf numFmtId="170" fontId="250" fillId="0" borderId="0" xfId="863" applyNumberFormat="1" applyFont="1" applyBorder="1" applyAlignment="1">
      <alignment vertical="center"/>
    </xf>
    <xf numFmtId="0" fontId="283" fillId="33" borderId="0" xfId="829" applyFont="1" applyFill="1" applyAlignment="1">
      <alignment horizontal="center"/>
    </xf>
    <xf numFmtId="168" fontId="283" fillId="0" borderId="0" xfId="863" applyFont="1" applyAlignment="1">
      <alignment horizontal="center"/>
    </xf>
    <xf numFmtId="10" fontId="283" fillId="0" borderId="0" xfId="847" applyNumberFormat="1" applyFont="1" applyAlignment="1">
      <alignment horizontal="center"/>
    </xf>
    <xf numFmtId="0" fontId="283" fillId="0" borderId="0" xfId="0" applyFont="1" applyAlignment="1">
      <alignment horizontal="center"/>
    </xf>
    <xf numFmtId="10" fontId="283" fillId="117" borderId="0" xfId="847" applyNumberFormat="1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10" fontId="205" fillId="0" borderId="0" xfId="847" applyNumberFormat="1" applyFont="1" applyAlignment="1">
      <alignment horizontal="center"/>
    </xf>
    <xf numFmtId="167" fontId="282" fillId="123" borderId="0" xfId="5583" applyNumberFormat="1" applyFont="1" applyFill="1" applyBorder="1" applyAlignment="1">
      <alignment vertical="center"/>
    </xf>
    <xf numFmtId="167" fontId="282" fillId="0" borderId="0" xfId="5583" applyNumberFormat="1" applyFont="1" applyFill="1" applyBorder="1" applyAlignment="1">
      <alignment vertical="center"/>
    </xf>
    <xf numFmtId="3" fontId="250" fillId="0" borderId="0" xfId="43169" applyFont="1"/>
    <xf numFmtId="174" fontId="250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4" borderId="0" xfId="0" applyNumberFormat="1" applyFill="1"/>
    <xf numFmtId="0" fontId="30" fillId="0" borderId="0" xfId="0" applyFont="1" applyAlignment="1">
      <alignment horizontal="center" vertical="center" wrapText="1"/>
    </xf>
    <xf numFmtId="281" fontId="315" fillId="0" borderId="187" xfId="863" applyNumberFormat="1" applyFont="1" applyFill="1" applyBorder="1" applyAlignment="1">
      <alignment vertical="center"/>
    </xf>
    <xf numFmtId="0" fontId="43" fillId="41" borderId="0" xfId="36379" applyFont="1" applyFill="1" applyAlignment="1">
      <alignment horizontal="center"/>
    </xf>
    <xf numFmtId="9" fontId="43" fillId="0" borderId="0" xfId="847" applyFont="1" applyFill="1"/>
    <xf numFmtId="10" fontId="205" fillId="0" borderId="178" xfId="847" applyNumberFormat="1" applyFont="1" applyFill="1" applyBorder="1" applyAlignment="1">
      <alignment horizontal="right"/>
    </xf>
    <xf numFmtId="165" fontId="205" fillId="0" borderId="166" xfId="815" applyNumberFormat="1" applyFont="1" applyBorder="1" applyAlignment="1">
      <alignment horizontal="left"/>
    </xf>
    <xf numFmtId="10" fontId="205" fillId="0" borderId="166" xfId="847" applyNumberFormat="1" applyFont="1" applyFill="1" applyBorder="1" applyAlignment="1">
      <alignment horizontal="right"/>
    </xf>
    <xf numFmtId="0" fontId="316" fillId="41" borderId="0" xfId="36379" applyFont="1" applyFill="1"/>
    <xf numFmtId="0" fontId="316" fillId="41" borderId="0" xfId="36379" applyFont="1" applyFill="1" applyAlignment="1">
      <alignment horizontal="center"/>
    </xf>
    <xf numFmtId="9" fontId="260" fillId="38" borderId="0" xfId="1823" applyFont="1" applyFill="1" applyBorder="1" applyAlignment="1">
      <alignment horizontal="center" vertical="center" wrapText="1"/>
    </xf>
    <xf numFmtId="9" fontId="250" fillId="41" borderId="0" xfId="1823" applyFont="1" applyFill="1" applyBorder="1" applyAlignment="1">
      <alignment horizontal="left" vertical="center" wrapText="1"/>
    </xf>
    <xf numFmtId="43" fontId="250" fillId="41" borderId="0" xfId="43199" applyFont="1" applyFill="1" applyBorder="1" applyAlignment="1">
      <alignment horizontal="center" vertical="center" wrapText="1"/>
    </xf>
    <xf numFmtId="262" fontId="250" fillId="41" borderId="0" xfId="1823" applyNumberFormat="1" applyFont="1" applyFill="1" applyBorder="1" applyAlignment="1">
      <alignment horizontal="center" vertical="center" wrapText="1"/>
    </xf>
    <xf numFmtId="0" fontId="250" fillId="33" borderId="0" xfId="905" applyFont="1" applyFill="1"/>
    <xf numFmtId="262" fontId="250" fillId="41" borderId="0" xfId="907" applyNumberFormat="1" applyFont="1" applyFill="1"/>
    <xf numFmtId="262" fontId="250" fillId="33" borderId="0" xfId="905" applyNumberFormat="1" applyFont="1" applyFill="1"/>
    <xf numFmtId="37" fontId="250" fillId="41" borderId="0" xfId="905" applyNumberFormat="1" applyFont="1" applyFill="1" applyAlignment="1">
      <alignment horizontal="left"/>
    </xf>
    <xf numFmtId="168" fontId="250" fillId="41" borderId="0" xfId="863" applyFont="1" applyFill="1" applyBorder="1" applyAlignment="1">
      <alignment horizontal="center" vertical="center" wrapText="1"/>
    </xf>
    <xf numFmtId="262" fontId="250" fillId="41" borderId="0" xfId="847" applyNumberFormat="1" applyFont="1" applyFill="1" applyBorder="1" applyAlignment="1">
      <alignment horizontal="center" vertical="center" wrapText="1"/>
    </xf>
    <xf numFmtId="0" fontId="250" fillId="41" borderId="0" xfId="907" applyFont="1" applyFill="1"/>
    <xf numFmtId="168" fontId="250" fillId="41" borderId="0" xfId="863" applyFont="1" applyFill="1" applyBorder="1"/>
    <xf numFmtId="9" fontId="260" fillId="38" borderId="0" xfId="1095" applyFont="1" applyFill="1" applyBorder="1" applyAlignment="1">
      <alignment horizontal="center" vertical="center" wrapText="1"/>
    </xf>
    <xf numFmtId="43" fontId="250" fillId="0" borderId="0" xfId="43199" applyFont="1" applyAlignment="1">
      <alignment vertical="center"/>
    </xf>
    <xf numFmtId="168" fontId="250" fillId="0" borderId="0" xfId="863" applyFont="1" applyAlignment="1">
      <alignment vertical="center"/>
    </xf>
    <xf numFmtId="270" fontId="43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2" fillId="0" borderId="178" xfId="907" applyFont="1" applyBorder="1" applyAlignment="1">
      <alignment horizontal="left"/>
    </xf>
    <xf numFmtId="0" fontId="205" fillId="33" borderId="178" xfId="829" applyFont="1" applyFill="1" applyBorder="1"/>
    <xf numFmtId="174" fontId="211" fillId="0" borderId="178" xfId="0" applyNumberFormat="1" applyFont="1" applyBorder="1" applyAlignment="1">
      <alignment horizontal="left"/>
    </xf>
    <xf numFmtId="10" fontId="211" fillId="0" borderId="178" xfId="0" applyNumberFormat="1" applyFont="1" applyBorder="1" applyAlignment="1">
      <alignment horizontal="right"/>
    </xf>
    <xf numFmtId="0" fontId="208" fillId="0" borderId="178" xfId="0" applyFont="1" applyBorder="1"/>
    <xf numFmtId="0" fontId="212" fillId="43" borderId="144" xfId="0" applyFont="1" applyFill="1" applyBorder="1" applyAlignment="1">
      <alignment horizontal="left"/>
    </xf>
    <xf numFmtId="168" fontId="208" fillId="45" borderId="144" xfId="863" applyFont="1" applyFill="1" applyBorder="1"/>
    <xf numFmtId="0" fontId="30" fillId="111" borderId="166" xfId="0" applyFont="1" applyFill="1" applyBorder="1" applyAlignment="1">
      <alignment horizontal="center"/>
    </xf>
    <xf numFmtId="0" fontId="30" fillId="111" borderId="166" xfId="0" applyFont="1" applyFill="1" applyBorder="1"/>
    <xf numFmtId="14" fontId="30" fillId="111" borderId="166" xfId="0" applyNumberFormat="1" applyFont="1" applyFill="1" applyBorder="1"/>
    <xf numFmtId="0" fontId="205" fillId="41" borderId="166" xfId="0" applyFont="1" applyFill="1" applyBorder="1" applyAlignment="1" applyProtection="1">
      <alignment horizontal="left"/>
      <protection hidden="1"/>
    </xf>
    <xf numFmtId="165" fontId="205" fillId="45" borderId="166" xfId="863" applyNumberFormat="1" applyFont="1" applyFill="1" applyBorder="1"/>
    <xf numFmtId="0" fontId="205" fillId="41" borderId="178" xfId="0" applyFont="1" applyFill="1" applyBorder="1" applyAlignment="1" applyProtection="1">
      <alignment horizontal="left"/>
      <protection hidden="1"/>
    </xf>
    <xf numFmtId="165" fontId="205" fillId="45" borderId="178" xfId="863" applyNumberFormat="1" applyFont="1" applyFill="1" applyBorder="1"/>
    <xf numFmtId="165" fontId="212" fillId="43" borderId="144" xfId="863" applyNumberFormat="1" applyFont="1" applyFill="1" applyBorder="1"/>
    <xf numFmtId="165" fontId="208" fillId="45" borderId="144" xfId="863" applyNumberFormat="1" applyFont="1" applyFill="1" applyBorder="1"/>
    <xf numFmtId="168" fontId="208" fillId="0" borderId="178" xfId="863" applyFont="1" applyBorder="1"/>
    <xf numFmtId="0" fontId="212" fillId="43" borderId="166" xfId="0" applyFont="1" applyFill="1" applyBorder="1" applyAlignment="1">
      <alignment horizontal="left"/>
    </xf>
    <xf numFmtId="10" fontId="205" fillId="45" borderId="166" xfId="847" applyNumberFormat="1" applyFont="1" applyFill="1" applyBorder="1"/>
    <xf numFmtId="0" fontId="212" fillId="43" borderId="178" xfId="0" applyFont="1" applyFill="1" applyBorder="1" applyAlignment="1">
      <alignment horizontal="left"/>
    </xf>
    <xf numFmtId="10" fontId="205" fillId="61" borderId="178" xfId="847" applyNumberFormat="1" applyFont="1" applyFill="1" applyBorder="1"/>
    <xf numFmtId="168" fontId="205" fillId="45" borderId="166" xfId="863" applyFont="1" applyFill="1" applyBorder="1"/>
    <xf numFmtId="168" fontId="205" fillId="45" borderId="178" xfId="863" applyFont="1" applyFill="1" applyBorder="1"/>
    <xf numFmtId="14" fontId="30" fillId="0" borderId="166" xfId="0" applyNumberFormat="1" applyFont="1" applyBorder="1"/>
    <xf numFmtId="14" fontId="30" fillId="111" borderId="178" xfId="0" applyNumberFormat="1" applyFont="1" applyFill="1" applyBorder="1"/>
    <xf numFmtId="0" fontId="30" fillId="111" borderId="178" xfId="0" applyFont="1" applyFill="1" applyBorder="1" applyAlignment="1">
      <alignment horizontal="center"/>
    </xf>
    <xf numFmtId="0" fontId="30" fillId="111" borderId="178" xfId="0" applyFont="1" applyFill="1" applyBorder="1"/>
    <xf numFmtId="14" fontId="30" fillId="111" borderId="166" xfId="0" applyNumberFormat="1" applyFont="1" applyFill="1" applyBorder="1" applyAlignment="1">
      <alignment horizontal="right"/>
    </xf>
    <xf numFmtId="14" fontId="30" fillId="111" borderId="178" xfId="0" applyNumberFormat="1" applyFont="1" applyFill="1" applyBorder="1" applyAlignment="1">
      <alignment horizontal="right"/>
    </xf>
    <xf numFmtId="0" fontId="273" fillId="0" borderId="178" xfId="907" applyFont="1" applyBorder="1" applyAlignment="1">
      <alignment horizontal="left"/>
    </xf>
    <xf numFmtId="0" fontId="43" fillId="33" borderId="178" xfId="829" applyFont="1" applyFill="1" applyBorder="1"/>
    <xf numFmtId="0" fontId="36" fillId="33" borderId="152" xfId="834" applyFont="1" applyFill="1" applyBorder="1" applyAlignment="1" applyProtection="1">
      <alignment horizontal="center" vertical="center" wrapText="1"/>
    </xf>
    <xf numFmtId="171" fontId="30" fillId="0" borderId="152" xfId="863" applyNumberFormat="1" applyFont="1" applyFill="1" applyBorder="1" applyAlignment="1">
      <alignment horizontal="center"/>
    </xf>
    <xf numFmtId="171" fontId="30" fillId="0" borderId="152" xfId="863" applyNumberFormat="1" applyFont="1" applyBorder="1" applyAlignment="1">
      <alignment horizontal="center"/>
    </xf>
    <xf numFmtId="171" fontId="30" fillId="103" borderId="152" xfId="863" applyNumberFormat="1" applyFont="1" applyFill="1" applyBorder="1" applyAlignment="1">
      <alignment horizontal="center"/>
    </xf>
    <xf numFmtId="0" fontId="36" fillId="61" borderId="152" xfId="907" applyFont="1" applyFill="1" applyBorder="1" applyAlignment="1">
      <alignment horizontal="center" vertical="center"/>
    </xf>
    <xf numFmtId="0" fontId="36" fillId="61" borderId="152" xfId="907" applyFont="1" applyFill="1" applyBorder="1" applyAlignment="1">
      <alignment horizontal="center" vertical="center" wrapText="1"/>
    </xf>
    <xf numFmtId="0" fontId="30" fillId="60" borderId="166" xfId="0" applyFont="1" applyFill="1" applyBorder="1" applyAlignment="1">
      <alignment horizontal="right"/>
    </xf>
    <xf numFmtId="0" fontId="279" fillId="96" borderId="155" xfId="0" applyFont="1" applyFill="1" applyBorder="1" applyAlignment="1">
      <alignment vertical="center"/>
    </xf>
    <xf numFmtId="14" fontId="30" fillId="0" borderId="178" xfId="0" applyNumberFormat="1" applyFont="1" applyBorder="1" applyAlignment="1">
      <alignment horizontal="right"/>
    </xf>
    <xf numFmtId="0" fontId="30" fillId="0" borderId="146" xfId="0" applyFont="1" applyBorder="1" applyAlignment="1">
      <alignment horizontal="center"/>
    </xf>
    <xf numFmtId="1" fontId="30" fillId="0" borderId="166" xfId="815" applyNumberFormat="1" applyFont="1" applyFill="1" applyBorder="1" applyAlignment="1"/>
    <xf numFmtId="170" fontId="30" fillId="0" borderId="166" xfId="863" applyNumberFormat="1" applyFont="1" applyFill="1" applyBorder="1" applyAlignment="1">
      <alignment horizontal="left"/>
    </xf>
    <xf numFmtId="0" fontId="30" fillId="0" borderId="154" xfId="0" applyFont="1" applyBorder="1"/>
    <xf numFmtId="10" fontId="30" fillId="0" borderId="178" xfId="847" applyNumberFormat="1" applyFont="1" applyFill="1" applyBorder="1" applyAlignment="1"/>
    <xf numFmtId="0" fontId="276" fillId="0" borderId="178" xfId="0" applyFont="1" applyBorder="1"/>
    <xf numFmtId="0" fontId="43" fillId="0" borderId="178" xfId="0" applyFont="1" applyBorder="1"/>
    <xf numFmtId="43" fontId="43" fillId="0" borderId="178" xfId="0" applyNumberFormat="1" applyFont="1" applyBorder="1"/>
    <xf numFmtId="43" fontId="277" fillId="0" borderId="178" xfId="0" applyNumberFormat="1" applyFont="1" applyBorder="1"/>
    <xf numFmtId="2" fontId="276" fillId="0" borderId="178" xfId="0" applyNumberFormat="1" applyFont="1" applyBorder="1"/>
    <xf numFmtId="14" fontId="276" fillId="0" borderId="178" xfId="0" applyNumberFormat="1" applyFont="1" applyBorder="1"/>
    <xf numFmtId="10" fontId="30" fillId="61" borderId="166" xfId="847" applyNumberFormat="1" applyFont="1" applyFill="1" applyBorder="1" applyAlignment="1">
      <alignment horizontal="right"/>
    </xf>
    <xf numFmtId="167" fontId="30" fillId="111" borderId="166" xfId="815" applyFont="1" applyFill="1" applyBorder="1" applyAlignment="1"/>
    <xf numFmtId="10" fontId="30" fillId="44" borderId="178" xfId="847" applyNumberFormat="1" applyFont="1" applyFill="1" applyBorder="1" applyAlignment="1">
      <alignment horizontal="right"/>
    </xf>
    <xf numFmtId="0" fontId="30" fillId="42" borderId="166" xfId="907" applyFill="1" applyBorder="1"/>
    <xf numFmtId="10" fontId="30" fillId="42" borderId="166" xfId="847" applyNumberFormat="1" applyFont="1" applyFill="1" applyBorder="1" applyAlignment="1">
      <alignment horizontal="right"/>
    </xf>
    <xf numFmtId="167" fontId="30" fillId="111" borderId="178" xfId="815" applyFont="1" applyFill="1" applyBorder="1" applyAlignment="1"/>
    <xf numFmtId="0" fontId="30" fillId="0" borderId="166" xfId="0" applyFont="1" applyBorder="1" applyAlignment="1">
      <alignment horizontal="left"/>
    </xf>
    <xf numFmtId="0" fontId="36" fillId="42" borderId="178" xfId="0" applyFont="1" applyFill="1" applyBorder="1"/>
    <xf numFmtId="0" fontId="30" fillId="42" borderId="178" xfId="0" applyFont="1" applyFill="1" applyBorder="1"/>
    <xf numFmtId="168" fontId="30" fillId="41" borderId="166" xfId="863" applyFont="1" applyFill="1" applyBorder="1" applyAlignment="1"/>
    <xf numFmtId="168" fontId="30" fillId="41" borderId="178" xfId="863" applyFont="1" applyFill="1" applyBorder="1" applyAlignment="1"/>
    <xf numFmtId="0" fontId="30" fillId="0" borderId="178" xfId="0" applyFont="1" applyBorder="1" applyAlignment="1">
      <alignment horizontal="left"/>
    </xf>
    <xf numFmtId="168" fontId="30" fillId="0" borderId="178" xfId="863" applyFont="1" applyFill="1" applyBorder="1" applyAlignment="1"/>
    <xf numFmtId="168" fontId="30" fillId="44" borderId="178" xfId="863" applyFont="1" applyFill="1" applyBorder="1" applyAlignment="1">
      <alignment horizontal="right"/>
    </xf>
    <xf numFmtId="10" fontId="30" fillId="111" borderId="166" xfId="847" applyNumberFormat="1" applyFont="1" applyFill="1" applyBorder="1" applyAlignment="1">
      <alignment horizontal="right"/>
    </xf>
    <xf numFmtId="170" fontId="30" fillId="0" borderId="166" xfId="0" applyNumberFormat="1" applyFont="1" applyBorder="1"/>
    <xf numFmtId="168" fontId="30" fillId="0" borderId="166" xfId="863" applyFont="1" applyFill="1" applyBorder="1" applyAlignment="1"/>
    <xf numFmtId="10" fontId="30" fillId="111" borderId="178" xfId="847" applyNumberFormat="1" applyFont="1" applyFill="1" applyBorder="1" applyAlignment="1">
      <alignment horizontal="right"/>
    </xf>
    <xf numFmtId="168" fontId="30" fillId="0" borderId="144" xfId="863" applyFont="1" applyFill="1" applyBorder="1" applyAlignment="1">
      <alignment horizontal="left"/>
    </xf>
    <xf numFmtId="268" fontId="30" fillId="0" borderId="166" xfId="847" applyNumberFormat="1" applyFont="1" applyFill="1" applyBorder="1" applyAlignment="1">
      <alignment horizontal="left"/>
    </xf>
    <xf numFmtId="10" fontId="30" fillId="0" borderId="166" xfId="847" applyNumberFormat="1" applyFont="1" applyFill="1" applyBorder="1" applyAlignment="1"/>
    <xf numFmtId="10" fontId="30" fillId="0" borderId="178" xfId="847" applyNumberFormat="1" applyFont="1" applyFill="1" applyBorder="1" applyAlignment="1">
      <alignment horizontal="left"/>
    </xf>
    <xf numFmtId="167" fontId="30" fillId="0" borderId="166" xfId="815" applyFont="1" applyFill="1" applyBorder="1" applyAlignment="1">
      <alignment horizontal="left"/>
    </xf>
    <xf numFmtId="167" fontId="30" fillId="0" borderId="178" xfId="815" applyFont="1" applyFill="1" applyBorder="1" applyAlignment="1">
      <alignment horizontal="left"/>
    </xf>
    <xf numFmtId="165" fontId="30" fillId="0" borderId="144" xfId="863" applyNumberFormat="1" applyFont="1" applyFill="1" applyBorder="1"/>
    <xf numFmtId="0" fontId="272" fillId="43" borderId="152" xfId="0" applyFont="1" applyFill="1" applyBorder="1" applyAlignment="1">
      <alignment horizontal="center" vertical="center" wrapText="1"/>
    </xf>
    <xf numFmtId="0" fontId="36" fillId="59" borderId="144" xfId="907" applyFont="1" applyFill="1" applyBorder="1"/>
    <xf numFmtId="0" fontId="30" fillId="59" borderId="144" xfId="907" applyFill="1" applyBorder="1" applyAlignment="1">
      <alignment horizontal="center"/>
    </xf>
    <xf numFmtId="171" fontId="30" fillId="111" borderId="144" xfId="907" applyNumberFormat="1" applyFill="1" applyBorder="1" applyAlignment="1">
      <alignment horizontal="left"/>
    </xf>
    <xf numFmtId="168" fontId="36" fillId="59" borderId="149" xfId="863" applyFont="1" applyFill="1" applyBorder="1"/>
    <xf numFmtId="14" fontId="30" fillId="59" borderId="152" xfId="863" applyNumberFormat="1" applyFont="1" applyFill="1" applyBorder="1"/>
    <xf numFmtId="14" fontId="30" fillId="59" borderId="152" xfId="847" applyNumberFormat="1" applyFont="1" applyFill="1" applyBorder="1" applyAlignment="1">
      <alignment horizontal="center"/>
    </xf>
    <xf numFmtId="168" fontId="30" fillId="111" borderId="144" xfId="863" applyFont="1" applyFill="1" applyBorder="1" applyAlignment="1">
      <alignment horizontal="left"/>
    </xf>
    <xf numFmtId="230" fontId="30" fillId="111" borderId="144" xfId="863" applyNumberFormat="1" applyFont="1" applyFill="1" applyBorder="1" applyAlignment="1">
      <alignment horizontal="left"/>
    </xf>
    <xf numFmtId="3" fontId="30" fillId="111" borderId="166" xfId="863" applyNumberFormat="1" applyFont="1" applyFill="1" applyBorder="1" applyAlignment="1">
      <alignment horizontal="left"/>
    </xf>
    <xf numFmtId="230" fontId="30" fillId="111" borderId="166" xfId="0" applyNumberFormat="1" applyFont="1" applyFill="1" applyBorder="1"/>
    <xf numFmtId="10" fontId="30" fillId="42" borderId="166" xfId="847" applyNumberFormat="1" applyFont="1" applyFill="1" applyBorder="1" applyAlignment="1">
      <alignment horizontal="left"/>
    </xf>
    <xf numFmtId="230" fontId="30" fillId="42" borderId="166" xfId="863" applyNumberFormat="1" applyFont="1" applyFill="1" applyBorder="1" applyAlignment="1">
      <alignment horizontal="left"/>
    </xf>
    <xf numFmtId="10" fontId="30" fillId="42" borderId="178" xfId="847" applyNumberFormat="1" applyFont="1" applyFill="1" applyBorder="1" applyAlignment="1">
      <alignment horizontal="left"/>
    </xf>
    <xf numFmtId="230" fontId="30" fillId="42" borderId="178" xfId="863" applyNumberFormat="1" applyFont="1" applyFill="1" applyBorder="1" applyAlignment="1">
      <alignment horizontal="left"/>
    </xf>
    <xf numFmtId="0" fontId="30" fillId="111" borderId="178" xfId="0" applyFont="1" applyFill="1" applyBorder="1" applyAlignment="1">
      <alignment horizontal="left"/>
    </xf>
    <xf numFmtId="230" fontId="30" fillId="111" borderId="178" xfId="0" applyNumberFormat="1" applyFont="1" applyFill="1" applyBorder="1"/>
    <xf numFmtId="0" fontId="110" fillId="58" borderId="149" xfId="834" applyFont="1" applyFill="1" applyBorder="1" applyAlignment="1" applyProtection="1">
      <alignment horizontal="left" vertical="center"/>
    </xf>
    <xf numFmtId="0" fontId="110" fillId="56" borderId="149" xfId="834" applyFont="1" applyFill="1" applyBorder="1" applyAlignment="1" applyProtection="1">
      <alignment horizontal="left" vertical="center"/>
    </xf>
    <xf numFmtId="14" fontId="110" fillId="56" borderId="148" xfId="834" applyNumberFormat="1" applyFont="1" applyFill="1" applyBorder="1" applyAlignment="1" applyProtection="1">
      <alignment horizontal="left" vertical="center"/>
    </xf>
    <xf numFmtId="0" fontId="281" fillId="0" borderId="178" xfId="907" applyFont="1" applyBorder="1" applyAlignment="1">
      <alignment horizontal="left"/>
    </xf>
    <xf numFmtId="0" fontId="229" fillId="33" borderId="178" xfId="829" applyFont="1" applyFill="1" applyBorder="1"/>
    <xf numFmtId="0" fontId="205" fillId="60" borderId="166" xfId="0" applyFont="1" applyFill="1" applyBorder="1" applyAlignment="1" applyProtection="1">
      <alignment horizontal="left" wrapText="1"/>
      <protection hidden="1"/>
    </xf>
    <xf numFmtId="167" fontId="205" fillId="0" borderId="166" xfId="815" applyFont="1" applyBorder="1"/>
    <xf numFmtId="0" fontId="208" fillId="114" borderId="178" xfId="0" applyFont="1" applyFill="1" applyBorder="1" applyAlignment="1" applyProtection="1">
      <alignment horizontal="left" wrapText="1"/>
      <protection hidden="1"/>
    </xf>
    <xf numFmtId="262" fontId="208" fillId="0" borderId="178" xfId="847" applyNumberFormat="1" applyFont="1" applyBorder="1"/>
    <xf numFmtId="0" fontId="208" fillId="114" borderId="144" xfId="0" applyFont="1" applyFill="1" applyBorder="1" applyAlignment="1" applyProtection="1">
      <alignment horizontal="left" wrapText="1"/>
      <protection hidden="1"/>
    </xf>
    <xf numFmtId="262" fontId="208" fillId="0" borderId="144" xfId="847" applyNumberFormat="1" applyFont="1" applyBorder="1"/>
    <xf numFmtId="0" fontId="211" fillId="0" borderId="178" xfId="0" applyFont="1" applyBorder="1" applyAlignment="1">
      <alignment horizontal="right" vertical="center"/>
    </xf>
    <xf numFmtId="0" fontId="211" fillId="0" borderId="166" xfId="0" applyFont="1" applyBorder="1" applyAlignment="1">
      <alignment horizontal="right" vertical="center"/>
    </xf>
    <xf numFmtId="0" fontId="212" fillId="43" borderId="166" xfId="0" applyFont="1" applyFill="1" applyBorder="1" applyAlignment="1">
      <alignment horizontal="center"/>
    </xf>
    <xf numFmtId="0" fontId="212" fillId="43" borderId="145" xfId="0" applyFont="1" applyFill="1" applyBorder="1" applyAlignment="1">
      <alignment horizontal="center"/>
    </xf>
    <xf numFmtId="0" fontId="212" fillId="43" borderId="147" xfId="0" applyFont="1" applyFill="1" applyBorder="1" applyAlignment="1">
      <alignment horizontal="center"/>
    </xf>
    <xf numFmtId="0" fontId="213" fillId="59" borderId="144" xfId="907" applyFont="1" applyFill="1" applyBorder="1"/>
    <xf numFmtId="167" fontId="208" fillId="59" borderId="149" xfId="0" applyNumberFormat="1" applyFont="1" applyFill="1" applyBorder="1" applyProtection="1">
      <protection hidden="1"/>
    </xf>
    <xf numFmtId="167" fontId="208" fillId="59" borderId="148" xfId="0" applyNumberFormat="1" applyFont="1" applyFill="1" applyBorder="1" applyProtection="1">
      <protection hidden="1"/>
    </xf>
    <xf numFmtId="10" fontId="208" fillId="59" borderId="149" xfId="847" applyNumberFormat="1" applyFont="1" applyFill="1" applyBorder="1" applyAlignment="1" applyProtection="1">
      <alignment horizontal="right"/>
      <protection hidden="1"/>
    </xf>
    <xf numFmtId="262" fontId="208" fillId="59" borderId="144" xfId="847" applyNumberFormat="1" applyFont="1" applyFill="1" applyBorder="1" applyAlignment="1" applyProtection="1">
      <alignment horizontal="right"/>
      <protection hidden="1"/>
    </xf>
    <xf numFmtId="0" fontId="208" fillId="59" borderId="144" xfId="0" applyFont="1" applyFill="1" applyBorder="1" applyAlignment="1" applyProtection="1">
      <alignment horizontal="left"/>
      <protection hidden="1"/>
    </xf>
    <xf numFmtId="0" fontId="208" fillId="59" borderId="178" xfId="0" applyFont="1" applyFill="1" applyBorder="1" applyAlignment="1">
      <alignment horizontal="left"/>
    </xf>
    <xf numFmtId="167" fontId="208" fillId="59" borderId="156" xfId="0" applyNumberFormat="1" applyFont="1" applyFill="1" applyBorder="1" applyProtection="1">
      <protection hidden="1"/>
    </xf>
    <xf numFmtId="167" fontId="208" fillId="59" borderId="155" xfId="0" applyNumberFormat="1" applyFont="1" applyFill="1" applyBorder="1" applyProtection="1">
      <protection hidden="1"/>
    </xf>
    <xf numFmtId="10" fontId="208" fillId="59" borderId="156" xfId="847" applyNumberFormat="1" applyFont="1" applyFill="1" applyBorder="1" applyAlignment="1" applyProtection="1">
      <alignment horizontal="right"/>
      <protection hidden="1"/>
    </xf>
    <xf numFmtId="262" fontId="208" fillId="59" borderId="178" xfId="847" applyNumberFormat="1" applyFont="1" applyFill="1" applyBorder="1" applyAlignment="1" applyProtection="1">
      <alignment horizontal="right"/>
      <protection hidden="1"/>
    </xf>
    <xf numFmtId="0" fontId="212" fillId="43" borderId="149" xfId="0" applyFont="1" applyFill="1" applyBorder="1" applyAlignment="1">
      <alignment horizontal="center"/>
    </xf>
    <xf numFmtId="0" fontId="208" fillId="59" borderId="178" xfId="0" applyFont="1" applyFill="1" applyBorder="1" applyAlignment="1" applyProtection="1">
      <alignment horizontal="left"/>
      <protection hidden="1"/>
    </xf>
    <xf numFmtId="167" fontId="208" fillId="59" borderId="178" xfId="0" applyNumberFormat="1" applyFont="1" applyFill="1" applyBorder="1" applyProtection="1">
      <protection hidden="1"/>
    </xf>
    <xf numFmtId="167" fontId="208" fillId="114" borderId="178" xfId="0" applyNumberFormat="1" applyFont="1" applyFill="1" applyBorder="1" applyProtection="1">
      <protection hidden="1"/>
    </xf>
    <xf numFmtId="262" fontId="208" fillId="59" borderId="156" xfId="847" applyNumberFormat="1" applyFont="1" applyFill="1" applyBorder="1" applyAlignment="1" applyProtection="1">
      <alignment horizontal="center"/>
      <protection hidden="1"/>
    </xf>
    <xf numFmtId="262" fontId="208" fillId="59" borderId="178" xfId="847" applyNumberFormat="1" applyFont="1" applyFill="1" applyBorder="1" applyAlignment="1" applyProtection="1">
      <alignment horizontal="center"/>
      <protection hidden="1"/>
    </xf>
    <xf numFmtId="0" fontId="208" fillId="59" borderId="166" xfId="0" applyFont="1" applyFill="1" applyBorder="1" applyProtection="1">
      <protection hidden="1"/>
    </xf>
    <xf numFmtId="167" fontId="208" fillId="59" borderId="166" xfId="815" applyFont="1" applyFill="1" applyBorder="1" applyAlignment="1" applyProtection="1">
      <protection hidden="1"/>
    </xf>
    <xf numFmtId="10" fontId="208" fillId="59" borderId="166" xfId="847" applyNumberFormat="1" applyFont="1" applyFill="1" applyBorder="1" applyAlignment="1" applyProtection="1">
      <alignment horizontal="right"/>
      <protection hidden="1"/>
    </xf>
    <xf numFmtId="9" fontId="38" fillId="38" borderId="149" xfId="1823" applyFont="1" applyFill="1" applyBorder="1" applyAlignment="1">
      <alignment horizontal="center" vertical="center" wrapText="1"/>
    </xf>
    <xf numFmtId="9" fontId="110" fillId="94" borderId="144" xfId="1823" applyFont="1" applyFill="1" applyBorder="1" applyAlignment="1">
      <alignment horizontal="center" vertical="center" wrapText="1"/>
    </xf>
    <xf numFmtId="10" fontId="110" fillId="94" borderId="144" xfId="1823" applyNumberFormat="1" applyFont="1" applyFill="1" applyBorder="1" applyAlignment="1">
      <alignment horizontal="center" vertical="center" wrapText="1"/>
    </xf>
    <xf numFmtId="0" fontId="43" fillId="33" borderId="178" xfId="776" applyFont="1" applyFill="1" applyBorder="1" applyAlignment="1">
      <alignment wrapText="1"/>
    </xf>
    <xf numFmtId="217" fontId="43" fillId="33" borderId="178" xfId="2697" applyNumberFormat="1" applyFont="1" applyFill="1" applyBorder="1" applyAlignment="1">
      <alignment horizontal="center"/>
    </xf>
    <xf numFmtId="167" fontId="43" fillId="33" borderId="178" xfId="815" applyFont="1" applyFill="1" applyBorder="1"/>
    <xf numFmtId="217" fontId="110" fillId="94" borderId="144" xfId="1823" applyNumberFormat="1" applyFont="1" applyFill="1" applyBorder="1" applyAlignment="1">
      <alignment horizontal="center" vertical="center" wrapText="1"/>
    </xf>
    <xf numFmtId="167" fontId="110" fillId="94" borderId="144" xfId="815" applyFont="1" applyFill="1" applyBorder="1" applyAlignment="1">
      <alignment horizontal="center" vertical="center" wrapText="1"/>
    </xf>
    <xf numFmtId="0" fontId="43" fillId="94" borderId="144" xfId="776" applyFont="1" applyFill="1" applyBorder="1" applyAlignment="1">
      <alignment wrapText="1"/>
    </xf>
    <xf numFmtId="217" fontId="43" fillId="94" borderId="144" xfId="2697" applyNumberFormat="1" applyFont="1" applyFill="1" applyBorder="1" applyAlignment="1">
      <alignment horizontal="center"/>
    </xf>
    <xf numFmtId="171" fontId="30" fillId="0" borderId="152" xfId="907" applyNumberFormat="1" applyBorder="1" applyAlignment="1">
      <alignment horizontal="center"/>
    </xf>
    <xf numFmtId="14" fontId="30" fillId="41" borderId="152" xfId="907" applyNumberFormat="1" applyFill="1" applyBorder="1"/>
    <xf numFmtId="9" fontId="38" fillId="38" borderId="144" xfId="1823" applyFont="1" applyFill="1" applyBorder="1" applyAlignment="1">
      <alignment horizontal="center" vertical="center" wrapText="1"/>
    </xf>
    <xf numFmtId="171" fontId="38" fillId="38" borderId="144" xfId="847" applyNumberFormat="1" applyFont="1" applyFill="1" applyBorder="1" applyAlignment="1">
      <alignment horizontal="center" vertical="center" wrapText="1"/>
    </xf>
    <xf numFmtId="0" fontId="43" fillId="0" borderId="178" xfId="2697" applyFont="1" applyBorder="1" applyAlignment="1">
      <alignment vertical="center"/>
    </xf>
    <xf numFmtId="43" fontId="43" fillId="41" borderId="178" xfId="43199" applyFont="1" applyFill="1" applyBorder="1" applyAlignment="1">
      <alignment vertical="center"/>
    </xf>
    <xf numFmtId="43" fontId="43" fillId="41" borderId="178" xfId="43199" applyFont="1" applyFill="1" applyBorder="1" applyAlignment="1">
      <alignment horizontal="center" vertical="center"/>
    </xf>
    <xf numFmtId="0" fontId="110" fillId="59" borderId="144" xfId="2697" applyFont="1" applyFill="1" applyBorder="1" applyAlignment="1">
      <alignment vertical="center"/>
    </xf>
    <xf numFmtId="10" fontId="110" fillId="59" borderId="144" xfId="847" applyNumberFormat="1" applyFont="1" applyFill="1" applyBorder="1" applyAlignment="1">
      <alignment vertical="center"/>
    </xf>
    <xf numFmtId="43" fontId="110" fillId="59" borderId="144" xfId="43199" applyFont="1" applyFill="1" applyBorder="1" applyAlignment="1">
      <alignment vertical="center"/>
    </xf>
    <xf numFmtId="0" fontId="110" fillId="42" borderId="144" xfId="2697" applyFont="1" applyFill="1" applyBorder="1" applyAlignment="1">
      <alignment vertical="center"/>
    </xf>
    <xf numFmtId="43" fontId="110" fillId="42" borderId="144" xfId="43199" applyFont="1" applyFill="1" applyBorder="1" applyAlignment="1">
      <alignment vertical="center"/>
    </xf>
    <xf numFmtId="10" fontId="110" fillId="42" borderId="144" xfId="847" applyNumberFormat="1" applyFont="1" applyFill="1" applyBorder="1" applyAlignment="1">
      <alignment horizontal="center" vertical="center"/>
    </xf>
    <xf numFmtId="10" fontId="110" fillId="59" borderId="144" xfId="847" applyNumberFormat="1" applyFont="1" applyFill="1" applyBorder="1" applyAlignment="1">
      <alignment horizontal="center" vertical="center"/>
    </xf>
    <xf numFmtId="10" fontId="43" fillId="41" borderId="178" xfId="847" applyNumberFormat="1" applyFont="1" applyFill="1" applyBorder="1" applyAlignment="1">
      <alignment horizontal="center"/>
    </xf>
    <xf numFmtId="0" fontId="43" fillId="42" borderId="144" xfId="776" applyFont="1" applyFill="1" applyBorder="1" applyAlignment="1">
      <alignment wrapText="1"/>
    </xf>
    <xf numFmtId="170" fontId="43" fillId="42" borderId="144" xfId="43199" applyNumberFormat="1" applyFont="1" applyFill="1" applyBorder="1" applyAlignment="1">
      <alignment horizontal="center" wrapText="1"/>
    </xf>
    <xf numFmtId="170" fontId="43" fillId="42" borderId="144" xfId="847" applyNumberFormat="1" applyFont="1" applyFill="1" applyBorder="1" applyAlignment="1">
      <alignment horizontal="center" wrapText="1"/>
    </xf>
    <xf numFmtId="170" fontId="110" fillId="59" borderId="144" xfId="863" applyNumberFormat="1" applyFont="1" applyFill="1" applyBorder="1" applyAlignment="1">
      <alignment vertical="center"/>
    </xf>
    <xf numFmtId="0" fontId="243" fillId="41" borderId="178" xfId="907" applyFont="1" applyFill="1" applyBorder="1" applyAlignment="1">
      <alignment horizontal="left"/>
    </xf>
    <xf numFmtId="9" fontId="38" fillId="38" borderId="144" xfId="1823" applyFont="1" applyFill="1" applyBorder="1" applyAlignment="1">
      <alignment horizontal="left" vertical="center" wrapText="1"/>
    </xf>
    <xf numFmtId="0" fontId="43" fillId="41" borderId="178" xfId="2697" applyFont="1" applyFill="1" applyBorder="1" applyAlignment="1">
      <alignment horizontal="center" vertical="center"/>
    </xf>
    <xf numFmtId="0" fontId="43" fillId="41" borderId="166" xfId="2697" applyFont="1" applyFill="1" applyBorder="1" applyAlignment="1">
      <alignment horizontal="center"/>
    </xf>
    <xf numFmtId="0" fontId="43" fillId="41" borderId="166" xfId="2697" applyFont="1" applyFill="1" applyBorder="1" applyAlignment="1">
      <alignment horizontal="left"/>
    </xf>
    <xf numFmtId="2" fontId="43" fillId="41" borderId="166" xfId="2697" applyNumberFormat="1" applyFont="1" applyFill="1" applyBorder="1" applyAlignment="1">
      <alignment horizontal="center"/>
    </xf>
    <xf numFmtId="3" fontId="43" fillId="41" borderId="178" xfId="43199" applyNumberFormat="1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left"/>
    </xf>
    <xf numFmtId="3" fontId="43" fillId="42" borderId="144" xfId="847" applyNumberFormat="1" applyFont="1" applyFill="1" applyBorder="1" applyAlignment="1">
      <alignment horizontal="right" wrapText="1"/>
    </xf>
    <xf numFmtId="43" fontId="43" fillId="42" borderId="178" xfId="43199" applyFont="1" applyFill="1" applyBorder="1" applyAlignment="1">
      <alignment horizontal="right"/>
    </xf>
    <xf numFmtId="3" fontId="110" fillId="59" borderId="144" xfId="2697" applyNumberFormat="1" applyFont="1" applyFill="1" applyBorder="1" applyAlignment="1">
      <alignment horizontal="right" vertical="center"/>
    </xf>
    <xf numFmtId="43" fontId="110" fillId="59" borderId="144" xfId="43199" applyFont="1" applyFill="1" applyBorder="1" applyAlignment="1">
      <alignment horizontal="right" vertical="center"/>
    </xf>
    <xf numFmtId="0" fontId="243" fillId="0" borderId="178" xfId="907" applyFont="1" applyBorder="1" applyAlignment="1">
      <alignment horizontal="left"/>
    </xf>
    <xf numFmtId="170" fontId="110" fillId="59" borderId="144" xfId="43199" applyNumberFormat="1" applyFont="1" applyFill="1" applyBorder="1" applyAlignment="1">
      <alignment horizontal="right"/>
    </xf>
    <xf numFmtId="9" fontId="38" fillId="38" borderId="144" xfId="1823" applyFont="1" applyFill="1" applyBorder="1" applyAlignment="1">
      <alignment vertical="center" wrapText="1"/>
    </xf>
    <xf numFmtId="168" fontId="110" fillId="59" borderId="144" xfId="863" applyFont="1" applyFill="1" applyBorder="1" applyAlignment="1">
      <alignment vertical="center"/>
    </xf>
    <xf numFmtId="9" fontId="250" fillId="42" borderId="144" xfId="1823" applyFont="1" applyFill="1" applyBorder="1" applyAlignment="1">
      <alignment horizontal="left" vertical="center" wrapText="1"/>
    </xf>
    <xf numFmtId="43" fontId="250" fillId="42" borderId="144" xfId="43199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left" vertical="center" wrapText="1"/>
    </xf>
    <xf numFmtId="37" fontId="250" fillId="42" borderId="144" xfId="905" quotePrefix="1" applyNumberFormat="1" applyFont="1" applyFill="1" applyBorder="1" applyAlignment="1">
      <alignment horizontal="left"/>
    </xf>
    <xf numFmtId="43" fontId="250" fillId="42" borderId="144" xfId="43199" applyFont="1" applyFill="1" applyBorder="1" applyAlignment="1">
      <alignment horizontal="center"/>
    </xf>
    <xf numFmtId="262" fontId="250" fillId="42" borderId="144" xfId="1823" applyNumberFormat="1" applyFont="1" applyFill="1" applyBorder="1" applyAlignment="1">
      <alignment horizontal="center"/>
    </xf>
    <xf numFmtId="0" fontId="251" fillId="59" borderId="144" xfId="905" applyFont="1" applyFill="1" applyBorder="1" applyAlignment="1">
      <alignment horizontal="left"/>
    </xf>
    <xf numFmtId="262" fontId="251" fillId="59" borderId="144" xfId="905" applyNumberFormat="1" applyFont="1" applyFill="1" applyBorder="1" applyAlignment="1">
      <alignment horizontal="left"/>
    </xf>
    <xf numFmtId="262" fontId="251" fillId="59" borderId="144" xfId="847" applyNumberFormat="1" applyFont="1" applyFill="1" applyBorder="1" applyAlignment="1">
      <alignment horizontal="center"/>
    </xf>
    <xf numFmtId="9" fontId="251" fillId="42" borderId="144" xfId="1823" applyFont="1" applyFill="1" applyBorder="1" applyAlignment="1">
      <alignment horizontal="left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43" fontId="251" fillId="59" borderId="144" xfId="905" applyNumberFormat="1" applyFont="1" applyFill="1" applyBorder="1" applyAlignment="1">
      <alignment horizontal="left"/>
    </xf>
    <xf numFmtId="262" fontId="251" fillId="59" borderId="144" xfId="43200" applyNumberFormat="1" applyFont="1" applyFill="1" applyBorder="1" applyAlignment="1">
      <alignment horizontal="center"/>
    </xf>
    <xf numFmtId="9" fontId="317" fillId="55" borderId="144" xfId="1823" applyFont="1" applyFill="1" applyBorder="1" applyAlignment="1">
      <alignment horizontal="left" vertical="center" wrapText="1"/>
    </xf>
    <xf numFmtId="262" fontId="317" fillId="55" borderId="144" xfId="1823" applyNumberFormat="1" applyFont="1" applyFill="1" applyBorder="1" applyAlignment="1">
      <alignment horizontal="center" vertical="center" wrapText="1"/>
    </xf>
    <xf numFmtId="262" fontId="251" fillId="59" borderId="144" xfId="905" applyNumberFormat="1" applyFont="1" applyFill="1" applyBorder="1" applyAlignment="1">
      <alignment horizontal="center" vertical="center" wrapText="1"/>
    </xf>
    <xf numFmtId="0" fontId="251" fillId="59" borderId="144" xfId="905" applyFont="1" applyFill="1" applyBorder="1" applyAlignment="1">
      <alignment wrapText="1"/>
    </xf>
    <xf numFmtId="10" fontId="251" fillId="59" borderId="144" xfId="847" applyNumberFormat="1" applyFont="1" applyFill="1" applyBorder="1" applyAlignment="1">
      <alignment horizontal="center" vertical="center" wrapText="1"/>
    </xf>
    <xf numFmtId="261" fontId="251" fillId="59" borderId="144" xfId="905" applyNumberFormat="1" applyFont="1" applyFill="1" applyBorder="1" applyAlignment="1">
      <alignment horizontal="center" vertical="center" wrapText="1"/>
    </xf>
    <xf numFmtId="172" fontId="251" fillId="59" borderId="144" xfId="43199" applyNumberFormat="1" applyFont="1" applyFill="1" applyBorder="1" applyAlignment="1">
      <alignment vertical="center"/>
    </xf>
    <xf numFmtId="168" fontId="251" fillId="59" borderId="144" xfId="863" applyFont="1" applyFill="1" applyBorder="1" applyAlignment="1">
      <alignment vertical="center"/>
    </xf>
    <xf numFmtId="172" fontId="110" fillId="59" borderId="144" xfId="43199" applyNumberFormat="1" applyFont="1" applyFill="1" applyBorder="1" applyAlignment="1">
      <alignment vertical="center"/>
    </xf>
    <xf numFmtId="0" fontId="117" fillId="101" borderId="188" xfId="2697" applyFont="1" applyFill="1" applyBorder="1" applyAlignment="1">
      <alignment horizontal="center" vertical="center" wrapText="1"/>
    </xf>
    <xf numFmtId="0" fontId="110" fillId="59" borderId="189" xfId="905" applyFont="1" applyFill="1" applyBorder="1" applyAlignment="1">
      <alignment horizontal="left"/>
    </xf>
    <xf numFmtId="0" fontId="146" fillId="0" borderId="190" xfId="2697" applyFont="1" applyBorder="1" applyAlignment="1">
      <alignment horizontal="center" vertical="center" wrapText="1"/>
    </xf>
    <xf numFmtId="0" fontId="146" fillId="0" borderId="191" xfId="2697" applyFont="1" applyBorder="1" applyAlignment="1">
      <alignment horizontal="center" vertical="center" wrapText="1"/>
    </xf>
    <xf numFmtId="0" fontId="146" fillId="0" borderId="190" xfId="2697" applyFont="1" applyBorder="1" applyAlignment="1">
      <alignment vertical="center"/>
    </xf>
    <xf numFmtId="4" fontId="146" fillId="0" borderId="190" xfId="43199" applyNumberFormat="1" applyFont="1" applyBorder="1" applyAlignment="1">
      <alignment horizontal="right" vertical="center" wrapText="1"/>
    </xf>
    <xf numFmtId="4" fontId="146" fillId="0" borderId="191" xfId="43199" applyNumberFormat="1" applyFont="1" applyBorder="1" applyAlignment="1">
      <alignment horizontal="right" vertical="center" wrapText="1"/>
    </xf>
    <xf numFmtId="0" fontId="146" fillId="41" borderId="190" xfId="907" applyFont="1" applyFill="1" applyBorder="1"/>
    <xf numFmtId="0" fontId="143" fillId="43" borderId="166" xfId="43405" applyFont="1" applyFill="1" applyBorder="1" applyAlignment="1">
      <alignment horizontal="left" wrapText="1"/>
    </xf>
    <xf numFmtId="10" fontId="143" fillId="43" borderId="166" xfId="847" applyNumberFormat="1" applyFont="1" applyFill="1" applyBorder="1" applyAlignment="1">
      <alignment horizontal="right"/>
    </xf>
    <xf numFmtId="0" fontId="244" fillId="0" borderId="178" xfId="43405" applyFont="1" applyBorder="1"/>
    <xf numFmtId="10" fontId="244" fillId="0" borderId="178" xfId="847" applyNumberFormat="1" applyFont="1" applyFill="1" applyBorder="1"/>
    <xf numFmtId="174" fontId="211" fillId="0" borderId="178" xfId="0" applyNumberFormat="1" applyFont="1" applyBorder="1" applyAlignment="1">
      <alignment horizontal="right"/>
    </xf>
    <xf numFmtId="10" fontId="211" fillId="0" borderId="178" xfId="0" applyNumberFormat="1" applyFont="1" applyBorder="1" applyAlignment="1">
      <alignment horizontal="left"/>
    </xf>
    <xf numFmtId="0" fontId="208" fillId="58" borderId="192" xfId="834" applyFont="1" applyFill="1" applyBorder="1" applyAlignment="1" applyProtection="1">
      <alignment horizontal="left" vertical="center"/>
    </xf>
    <xf numFmtId="0" fontId="208" fillId="58" borderId="193" xfId="834" applyFont="1" applyFill="1" applyBorder="1" applyAlignment="1" applyProtection="1">
      <alignment horizontal="left" vertical="center"/>
    </xf>
    <xf numFmtId="4" fontId="208" fillId="58" borderId="192" xfId="834" applyNumberFormat="1" applyFont="1" applyFill="1" applyBorder="1" applyAlignment="1" applyProtection="1">
      <alignment horizontal="left" vertical="center"/>
    </xf>
    <xf numFmtId="14" fontId="208" fillId="56" borderId="156" xfId="834" applyNumberFormat="1" applyFont="1" applyFill="1" applyBorder="1" applyAlignment="1" applyProtection="1">
      <alignment horizontal="left" vertical="center"/>
    </xf>
    <xf numFmtId="0" fontId="212" fillId="43" borderId="189" xfId="0" applyFont="1" applyFill="1" applyBorder="1" applyAlignment="1">
      <alignment horizontal="center"/>
    </xf>
    <xf numFmtId="0" fontId="212" fillId="43" borderId="194" xfId="0" applyFont="1" applyFill="1" applyBorder="1" applyAlignment="1">
      <alignment horizontal="center"/>
    </xf>
    <xf numFmtId="0" fontId="208" fillId="41" borderId="189" xfId="0" applyFont="1" applyFill="1" applyBorder="1" applyAlignment="1" applyProtection="1">
      <alignment horizontal="left"/>
      <protection hidden="1"/>
    </xf>
    <xf numFmtId="170" fontId="208" fillId="41" borderId="189" xfId="43183" applyNumberFormat="1" applyFont="1" applyFill="1" applyBorder="1" applyAlignment="1" applyProtection="1">
      <alignment horizontal="center" vertical="center"/>
    </xf>
    <xf numFmtId="165" fontId="208" fillId="41" borderId="189" xfId="43184" applyFont="1" applyFill="1" applyBorder="1" applyAlignment="1" applyProtection="1">
      <alignment horizontal="center" vertical="center"/>
    </xf>
    <xf numFmtId="0" fontId="205" fillId="41" borderId="194" xfId="2697" applyFont="1" applyFill="1" applyBorder="1"/>
    <xf numFmtId="43" fontId="110" fillId="0" borderId="194" xfId="43185" applyFont="1" applyFill="1" applyBorder="1" applyAlignment="1" applyProtection="1">
      <alignment vertical="center"/>
    </xf>
    <xf numFmtId="167" fontId="205" fillId="41" borderId="194" xfId="815" applyFont="1" applyFill="1" applyBorder="1"/>
    <xf numFmtId="0" fontId="229" fillId="0" borderId="178" xfId="2697" applyFont="1" applyBorder="1"/>
    <xf numFmtId="10" fontId="205" fillId="0" borderId="178" xfId="847" applyNumberFormat="1" applyFont="1" applyFill="1" applyBorder="1"/>
    <xf numFmtId="0" fontId="229" fillId="41" borderId="194" xfId="2697" applyFont="1" applyFill="1" applyBorder="1" applyAlignment="1">
      <alignment vertical="center" wrapText="1"/>
    </xf>
    <xf numFmtId="170" fontId="205" fillId="0" borderId="194" xfId="43183" applyNumberFormat="1" applyFont="1" applyFill="1" applyBorder="1" applyAlignment="1">
      <alignment vertical="center" wrapText="1"/>
    </xf>
    <xf numFmtId="0" fontId="230" fillId="0" borderId="178" xfId="2697" applyFont="1" applyBorder="1"/>
    <xf numFmtId="10" fontId="208" fillId="0" borderId="178" xfId="2697" applyNumberFormat="1" applyFont="1" applyBorder="1"/>
    <xf numFmtId="0" fontId="205" fillId="41" borderId="178" xfId="2697" applyFont="1" applyFill="1" applyBorder="1"/>
    <xf numFmtId="43" fontId="43" fillId="0" borderId="178" xfId="43185" applyFont="1" applyFill="1" applyBorder="1" applyAlignment="1" applyProtection="1">
      <alignment horizontal="right"/>
      <protection locked="0"/>
    </xf>
    <xf numFmtId="167" fontId="205" fillId="41" borderId="178" xfId="815" applyFont="1" applyFill="1" applyBorder="1"/>
    <xf numFmtId="168" fontId="208" fillId="41" borderId="189" xfId="43185" applyNumberFormat="1" applyFont="1" applyFill="1" applyBorder="1" applyAlignment="1" applyProtection="1">
      <alignment horizontal="right"/>
      <protection locked="0"/>
    </xf>
    <xf numFmtId="165" fontId="208" fillId="41" borderId="189" xfId="43184" applyFont="1" applyFill="1" applyBorder="1" applyAlignment="1" applyProtection="1">
      <alignment horizontal="right"/>
      <protection locked="0"/>
    </xf>
    <xf numFmtId="0" fontId="208" fillId="97" borderId="189" xfId="2697" applyFont="1" applyFill="1" applyBorder="1"/>
    <xf numFmtId="167" fontId="208" fillId="97" borderId="189" xfId="2697" applyNumberFormat="1" applyFont="1" applyFill="1" applyBorder="1"/>
    <xf numFmtId="0" fontId="230" fillId="0" borderId="189" xfId="2697" applyFont="1" applyBorder="1"/>
    <xf numFmtId="170" fontId="205" fillId="0" borderId="189" xfId="43183" applyNumberFormat="1" applyFont="1" applyFill="1" applyBorder="1" applyAlignment="1">
      <alignment vertical="center" wrapText="1"/>
    </xf>
    <xf numFmtId="170" fontId="208" fillId="41" borderId="189" xfId="43183" applyNumberFormat="1" applyFont="1" applyFill="1" applyBorder="1" applyAlignment="1" applyProtection="1">
      <alignment vertical="center"/>
    </xf>
    <xf numFmtId="165" fontId="208" fillId="0" borderId="189" xfId="43184" applyFont="1" applyFill="1" applyBorder="1" applyAlignment="1" applyProtection="1">
      <alignment vertical="center"/>
    </xf>
    <xf numFmtId="0" fontId="208" fillId="97" borderId="189" xfId="0" applyFont="1" applyFill="1" applyBorder="1" applyAlignment="1" applyProtection="1">
      <alignment horizontal="left"/>
      <protection hidden="1"/>
    </xf>
    <xf numFmtId="43" fontId="208" fillId="97" borderId="189" xfId="43183" applyFont="1" applyFill="1" applyBorder="1" applyAlignment="1" applyProtection="1">
      <alignment vertical="center"/>
    </xf>
    <xf numFmtId="165" fontId="208" fillId="97" borderId="189" xfId="43184" applyFont="1" applyFill="1" applyBorder="1" applyAlignment="1" applyProtection="1">
      <alignment vertical="center"/>
    </xf>
    <xf numFmtId="0" fontId="110" fillId="58" borderId="191" xfId="834" applyFont="1" applyFill="1" applyBorder="1" applyAlignment="1" applyProtection="1">
      <alignment horizontal="left" vertical="center"/>
    </xf>
    <xf numFmtId="0" fontId="110" fillId="58" borderId="195" xfId="834" applyFont="1" applyFill="1" applyBorder="1" applyAlignment="1" applyProtection="1">
      <alignment horizontal="left" vertical="center"/>
    </xf>
    <xf numFmtId="0" fontId="110" fillId="56" borderId="191" xfId="834" applyFont="1" applyFill="1" applyBorder="1" applyAlignment="1" applyProtection="1">
      <alignment horizontal="left" vertical="center"/>
    </xf>
    <xf numFmtId="0" fontId="110" fillId="56" borderId="195" xfId="834" applyFont="1" applyFill="1" applyBorder="1" applyAlignment="1" applyProtection="1">
      <alignment horizontal="left" vertical="center"/>
    </xf>
    <xf numFmtId="0" fontId="208" fillId="97" borderId="194" xfId="0" applyFont="1" applyFill="1" applyBorder="1" applyAlignment="1" applyProtection="1">
      <alignment horizontal="left"/>
      <protection hidden="1"/>
    </xf>
    <xf numFmtId="0" fontId="208" fillId="0" borderId="189" xfId="2697" applyFont="1" applyBorder="1" applyAlignment="1">
      <alignment horizontal="left"/>
    </xf>
    <xf numFmtId="165" fontId="208" fillId="0" borderId="189" xfId="2697" applyNumberFormat="1" applyFont="1" applyBorder="1"/>
    <xf numFmtId="168" fontId="205" fillId="0" borderId="196" xfId="863" applyFont="1" applyBorder="1"/>
    <xf numFmtId="0" fontId="205" fillId="97" borderId="194" xfId="0" applyFont="1" applyFill="1" applyBorder="1" applyAlignment="1" applyProtection="1">
      <alignment horizontal="left"/>
      <protection hidden="1"/>
    </xf>
    <xf numFmtId="165" fontId="205" fillId="0" borderId="194" xfId="43184" applyFont="1" applyBorder="1"/>
    <xf numFmtId="168" fontId="205" fillId="0" borderId="190" xfId="863" applyFont="1" applyBorder="1"/>
    <xf numFmtId="0" fontId="205" fillId="97" borderId="178" xfId="0" applyFont="1" applyFill="1" applyBorder="1" applyAlignment="1" applyProtection="1">
      <alignment horizontal="left"/>
      <protection hidden="1"/>
    </xf>
    <xf numFmtId="165" fontId="205" fillId="0" borderId="178" xfId="43184" applyFont="1" applyBorder="1"/>
    <xf numFmtId="14" fontId="110" fillId="56" borderId="195" xfId="834" applyNumberFormat="1" applyFont="1" applyFill="1" applyBorder="1" applyAlignment="1" applyProtection="1">
      <alignment horizontal="left" vertical="center"/>
    </xf>
    <xf numFmtId="0" fontId="217" fillId="43" borderId="189" xfId="0" applyFont="1" applyFill="1" applyBorder="1" applyAlignment="1">
      <alignment horizontal="center"/>
    </xf>
    <xf numFmtId="0" fontId="213" fillId="59" borderId="189" xfId="907" applyFont="1" applyFill="1" applyBorder="1"/>
    <xf numFmtId="219" fontId="213" fillId="59" borderId="189" xfId="863" applyNumberFormat="1" applyFont="1" applyFill="1" applyBorder="1"/>
    <xf numFmtId="0" fontId="205" fillId="0" borderId="189" xfId="907" applyFont="1" applyBorder="1" applyAlignment="1">
      <alignment horizontal="left" indent="1"/>
    </xf>
    <xf numFmtId="219" fontId="218" fillId="41" borderId="189" xfId="863" applyNumberFormat="1" applyFont="1" applyFill="1" applyBorder="1"/>
    <xf numFmtId="168" fontId="205" fillId="0" borderId="178" xfId="863" applyFont="1" applyBorder="1"/>
    <xf numFmtId="0" fontId="210" fillId="43" borderId="178" xfId="0" applyFont="1" applyFill="1" applyBorder="1"/>
    <xf numFmtId="0" fontId="210" fillId="43" borderId="178" xfId="0" applyFont="1" applyFill="1" applyBorder="1" applyAlignment="1">
      <alignment horizontal="center"/>
    </xf>
    <xf numFmtId="0" fontId="205" fillId="0" borderId="194" xfId="0" applyFont="1" applyBorder="1"/>
    <xf numFmtId="44" fontId="205" fillId="0" borderId="194" xfId="863" applyNumberFormat="1" applyFont="1" applyBorder="1"/>
    <xf numFmtId="0" fontId="208" fillId="0" borderId="178" xfId="907" applyFont="1" applyBorder="1"/>
    <xf numFmtId="214" fontId="208" fillId="0" borderId="178" xfId="0" applyNumberFormat="1" applyFont="1" applyBorder="1"/>
    <xf numFmtId="168" fontId="205" fillId="0" borderId="194" xfId="863" applyFont="1" applyBorder="1"/>
    <xf numFmtId="168" fontId="205" fillId="100" borderId="178" xfId="863" applyFont="1" applyFill="1" applyBorder="1"/>
    <xf numFmtId="0" fontId="208" fillId="59" borderId="189" xfId="907" applyFont="1" applyFill="1" applyBorder="1"/>
    <xf numFmtId="170" fontId="208" fillId="59" borderId="189" xfId="907" applyNumberFormat="1" applyFont="1" applyFill="1" applyBorder="1"/>
    <xf numFmtId="168" fontId="208" fillId="59" borderId="189" xfId="863" applyFont="1" applyFill="1" applyBorder="1"/>
    <xf numFmtId="167" fontId="208" fillId="59" borderId="189" xfId="907" applyNumberFormat="1" applyFont="1" applyFill="1" applyBorder="1"/>
    <xf numFmtId="0" fontId="205" fillId="0" borderId="194" xfId="907" applyFont="1" applyBorder="1"/>
    <xf numFmtId="168" fontId="205" fillId="61" borderId="194" xfId="863" applyFont="1" applyFill="1" applyBorder="1"/>
    <xf numFmtId="168" fontId="205" fillId="0" borderId="194" xfId="863" applyFont="1" applyFill="1" applyBorder="1"/>
    <xf numFmtId="168" fontId="205" fillId="44" borderId="194" xfId="863" applyFont="1" applyFill="1" applyBorder="1"/>
    <xf numFmtId="0" fontId="217" fillId="43" borderId="194" xfId="0" applyFont="1" applyFill="1" applyBorder="1" applyAlignment="1">
      <alignment horizontal="center" vertical="center" wrapText="1"/>
    </xf>
    <xf numFmtId="0" fontId="217" fillId="43" borderId="189" xfId="0" applyFont="1" applyFill="1" applyBorder="1" applyAlignment="1">
      <alignment horizontal="center" vertical="center" wrapText="1"/>
    </xf>
    <xf numFmtId="0" fontId="297" fillId="43" borderId="192" xfId="907" applyFont="1" applyFill="1" applyBorder="1"/>
    <xf numFmtId="0" fontId="297" fillId="43" borderId="194" xfId="907" applyFont="1" applyFill="1" applyBorder="1"/>
    <xf numFmtId="0" fontId="297" fillId="43" borderId="193" xfId="907" applyFont="1" applyFill="1" applyBorder="1"/>
    <xf numFmtId="0" fontId="294" fillId="43" borderId="191" xfId="907" applyFont="1" applyFill="1" applyBorder="1"/>
    <xf numFmtId="0" fontId="294" fillId="43" borderId="189" xfId="907" applyFont="1" applyFill="1" applyBorder="1"/>
    <xf numFmtId="0" fontId="294" fillId="43" borderId="190" xfId="907" applyFont="1" applyFill="1" applyBorder="1"/>
    <xf numFmtId="0" fontId="208" fillId="97" borderId="189" xfId="0" applyFont="1" applyFill="1" applyBorder="1"/>
    <xf numFmtId="0" fontId="298" fillId="97" borderId="189" xfId="0" applyFont="1" applyFill="1" applyBorder="1"/>
    <xf numFmtId="0" fontId="216" fillId="97" borderId="189" xfId="0" applyFont="1" applyFill="1" applyBorder="1"/>
    <xf numFmtId="168" fontId="208" fillId="97" borderId="189" xfId="0" applyNumberFormat="1" applyFont="1" applyFill="1" applyBorder="1"/>
    <xf numFmtId="272" fontId="208" fillId="97" borderId="189" xfId="863" applyNumberFormat="1" applyFont="1" applyFill="1" applyBorder="1"/>
    <xf numFmtId="43" fontId="208" fillId="97" borderId="189" xfId="0" applyNumberFormat="1" applyFont="1" applyFill="1" applyBorder="1"/>
    <xf numFmtId="0" fontId="294" fillId="43" borderId="191" xfId="907" applyFont="1" applyFill="1" applyBorder="1" applyAlignment="1">
      <alignment vertical="center"/>
    </xf>
    <xf numFmtId="0" fontId="294" fillId="43" borderId="189" xfId="907" applyFont="1" applyFill="1" applyBorder="1" applyAlignment="1">
      <alignment horizontal="center" vertical="center"/>
    </xf>
    <xf numFmtId="0" fontId="294" fillId="43" borderId="190" xfId="907" applyFont="1" applyFill="1" applyBorder="1" applyAlignment="1">
      <alignment vertical="center"/>
    </xf>
    <xf numFmtId="0" fontId="294" fillId="43" borderId="189" xfId="907" applyFont="1" applyFill="1" applyBorder="1" applyAlignment="1">
      <alignment vertical="center"/>
    </xf>
    <xf numFmtId="0" fontId="294" fillId="120" borderId="192" xfId="907" applyFont="1" applyFill="1" applyBorder="1"/>
    <xf numFmtId="0" fontId="294" fillId="120" borderId="194" xfId="907" applyFont="1" applyFill="1" applyBorder="1" applyAlignment="1">
      <alignment horizontal="center" wrapText="1"/>
    </xf>
    <xf numFmtId="0" fontId="294" fillId="120" borderId="194" xfId="907" applyFont="1" applyFill="1" applyBorder="1" applyAlignment="1">
      <alignment horizontal="center"/>
    </xf>
    <xf numFmtId="0" fontId="294" fillId="120" borderId="193" xfId="907" applyFont="1" applyFill="1" applyBorder="1" applyAlignment="1">
      <alignment horizontal="center"/>
    </xf>
    <xf numFmtId="0" fontId="295" fillId="0" borderId="192" xfId="907" applyFont="1" applyBorder="1"/>
    <xf numFmtId="217" fontId="296" fillId="0" borderId="194" xfId="847" applyNumberFormat="1" applyFont="1" applyFill="1" applyBorder="1"/>
    <xf numFmtId="43" fontId="296" fillId="0" borderId="194" xfId="43408" applyFont="1" applyFill="1" applyBorder="1"/>
    <xf numFmtId="43" fontId="295" fillId="0" borderId="193" xfId="43408" applyFont="1" applyFill="1" applyBorder="1"/>
    <xf numFmtId="219" fontId="295" fillId="121" borderId="189" xfId="43408" applyNumberFormat="1" applyFont="1" applyFill="1" applyBorder="1"/>
    <xf numFmtId="43" fontId="296" fillId="121" borderId="189" xfId="43408" applyFont="1" applyFill="1" applyBorder="1"/>
    <xf numFmtId="167" fontId="296" fillId="121" borderId="195" xfId="815" applyFont="1" applyFill="1" applyBorder="1"/>
    <xf numFmtId="0" fontId="296" fillId="0" borderId="194" xfId="0" applyFont="1" applyBorder="1"/>
    <xf numFmtId="0" fontId="238" fillId="0" borderId="178" xfId="907" applyFont="1" applyBorder="1" applyAlignment="1">
      <alignment horizontal="left"/>
    </xf>
    <xf numFmtId="0" fontId="233" fillId="33" borderId="178" xfId="829" applyFont="1" applyFill="1" applyBorder="1"/>
    <xf numFmtId="0" fontId="205" fillId="33" borderId="178" xfId="831" applyFont="1" applyFill="1" applyBorder="1" applyAlignment="1">
      <alignment vertical="center"/>
    </xf>
    <xf numFmtId="170" fontId="205" fillId="33" borderId="178" xfId="863" applyNumberFormat="1" applyFont="1" applyFill="1" applyBorder="1" applyAlignment="1">
      <alignment vertical="center"/>
    </xf>
    <xf numFmtId="10" fontId="211" fillId="0" borderId="178" xfId="0" applyNumberFormat="1" applyFont="1" applyBorder="1" applyAlignment="1">
      <alignment horizontal="center"/>
    </xf>
    <xf numFmtId="0" fontId="223" fillId="33" borderId="197" xfId="831" applyFont="1" applyFill="1" applyBorder="1" applyAlignment="1">
      <alignment horizontal="left" vertical="center"/>
    </xf>
    <xf numFmtId="0" fontId="212" fillId="43" borderId="189" xfId="0" applyFont="1" applyFill="1" applyBorder="1" applyAlignment="1">
      <alignment horizontal="center" vertical="center" wrapText="1"/>
    </xf>
    <xf numFmtId="0" fontId="205" fillId="0" borderId="178" xfId="831" applyFont="1" applyBorder="1" applyAlignment="1">
      <alignment vertical="center"/>
    </xf>
    <xf numFmtId="168" fontId="205" fillId="33" borderId="178" xfId="863" applyFont="1" applyFill="1" applyBorder="1" applyAlignment="1" applyProtection="1">
      <alignment horizontal="center" vertical="center"/>
      <protection locked="0"/>
    </xf>
    <xf numFmtId="0" fontId="207" fillId="38" borderId="191" xfId="905" applyFont="1" applyFill="1" applyBorder="1" applyAlignment="1">
      <alignment horizontal="center" vertical="center"/>
    </xf>
    <xf numFmtId="0" fontId="207" fillId="38" borderId="189" xfId="905" applyFont="1" applyFill="1" applyBorder="1" applyAlignment="1">
      <alignment vertical="center"/>
    </xf>
    <xf numFmtId="0" fontId="207" fillId="38" borderId="195" xfId="905" applyFont="1" applyFill="1" applyBorder="1" applyAlignment="1">
      <alignment vertical="center"/>
    </xf>
    <xf numFmtId="176" fontId="43" fillId="41" borderId="199" xfId="863" applyNumberFormat="1" applyFont="1" applyFill="1" applyBorder="1" applyAlignment="1">
      <alignment vertical="center"/>
    </xf>
    <xf numFmtId="176" fontId="205" fillId="0" borderId="190" xfId="863" applyNumberFormat="1" applyFont="1" applyFill="1" applyBorder="1" applyAlignment="1">
      <alignment vertical="center"/>
    </xf>
    <xf numFmtId="168" fontId="208" fillId="33" borderId="190" xfId="831" applyNumberFormat="1" applyFont="1" applyFill="1" applyBorder="1" applyAlignment="1">
      <alignment vertical="center"/>
    </xf>
    <xf numFmtId="168" fontId="208" fillId="33" borderId="190" xfId="863" applyFont="1" applyFill="1" applyBorder="1" applyAlignment="1">
      <alignment vertical="center"/>
    </xf>
    <xf numFmtId="168" fontId="212" fillId="0" borderId="178" xfId="863" applyFont="1" applyFill="1" applyBorder="1" applyAlignment="1">
      <alignment horizontal="center" vertical="center"/>
    </xf>
    <xf numFmtId="17" fontId="207" fillId="38" borderId="190" xfId="905" applyNumberFormat="1" applyFont="1" applyFill="1" applyBorder="1" applyAlignment="1">
      <alignment horizontal="center" vertical="center"/>
    </xf>
    <xf numFmtId="0" fontId="33" fillId="33" borderId="190" xfId="907" applyFont="1" applyFill="1" applyBorder="1" applyAlignment="1">
      <alignment horizontal="center" vertical="center"/>
    </xf>
    <xf numFmtId="4" fontId="208" fillId="33" borderId="190" xfId="831" applyNumberFormat="1" applyFont="1" applyFill="1" applyBorder="1" applyAlignment="1">
      <alignment horizontal="right" vertical="center"/>
    </xf>
    <xf numFmtId="4" fontId="205" fillId="33" borderId="190" xfId="863" applyNumberFormat="1" applyFont="1" applyFill="1" applyBorder="1" applyAlignment="1">
      <alignment horizontal="right" vertical="center"/>
    </xf>
    <xf numFmtId="17" fontId="39" fillId="38" borderId="190" xfId="905" applyNumberFormat="1" applyFont="1" applyFill="1" applyBorder="1" applyAlignment="1">
      <alignment horizontal="center" vertical="center"/>
    </xf>
    <xf numFmtId="17" fontId="39" fillId="38" borderId="190" xfId="905" applyNumberFormat="1" applyFont="1" applyFill="1" applyBorder="1" applyAlignment="1">
      <alignment horizontal="center" vertical="center" wrapText="1"/>
    </xf>
    <xf numFmtId="17" fontId="39" fillId="38" borderId="199" xfId="905" applyNumberFormat="1" applyFont="1" applyFill="1" applyBorder="1" applyAlignment="1">
      <alignment horizontal="center" vertical="center" wrapText="1"/>
    </xf>
    <xf numFmtId="176" fontId="33" fillId="0" borderId="190" xfId="907" applyNumberFormat="1" applyFont="1" applyBorder="1" applyAlignment="1">
      <alignment horizontal="center" vertical="center"/>
    </xf>
    <xf numFmtId="171" fontId="30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0" fillId="0" borderId="196" xfId="863" applyBorder="1"/>
    <xf numFmtId="17" fontId="38" fillId="38" borderId="195" xfId="905" applyNumberFormat="1" applyFont="1" applyFill="1" applyBorder="1" applyAlignment="1">
      <alignment horizontal="center" vertical="center" wrapText="1"/>
    </xf>
    <xf numFmtId="17" fontId="38" fillId="38" borderId="190" xfId="905" applyNumberFormat="1" applyFont="1" applyFill="1" applyBorder="1" applyAlignment="1">
      <alignment horizontal="center" vertical="center" wrapText="1"/>
    </xf>
    <xf numFmtId="0" fontId="30" fillId="0" borderId="190" xfId="907" applyBorder="1"/>
    <xf numFmtId="168" fontId="30" fillId="0" borderId="190" xfId="863" applyFont="1" applyFill="1" applyBorder="1" applyAlignment="1"/>
    <xf numFmtId="171" fontId="30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30" fillId="0" borderId="199" xfId="863" applyBorder="1"/>
    <xf numFmtId="0" fontId="33" fillId="0" borderId="190" xfId="907" applyFont="1" applyBorder="1" applyAlignment="1">
      <alignment horizontal="center" vertical="center"/>
    </xf>
    <xf numFmtId="0" fontId="208" fillId="97" borderId="189" xfId="831" applyFont="1" applyFill="1" applyBorder="1" applyAlignment="1">
      <alignment horizontal="center"/>
    </xf>
    <xf numFmtId="4" fontId="208" fillId="97" borderId="189" xfId="831" applyNumberFormat="1" applyFont="1" applyFill="1" applyBorder="1" applyAlignment="1">
      <alignment horizontal="right"/>
    </xf>
    <xf numFmtId="170" fontId="208" fillId="97" borderId="189" xfId="863" applyNumberFormat="1" applyFont="1" applyFill="1" applyBorder="1" applyAlignment="1">
      <alignment horizontal="right"/>
    </xf>
    <xf numFmtId="0" fontId="205" fillId="33" borderId="189" xfId="831" applyFont="1" applyFill="1" applyBorder="1" applyAlignment="1">
      <alignment vertical="center"/>
    </xf>
    <xf numFmtId="170" fontId="208" fillId="97" borderId="189" xfId="863" applyNumberFormat="1" applyFont="1" applyFill="1" applyBorder="1" applyAlignment="1">
      <alignment horizontal="center"/>
    </xf>
    <xf numFmtId="4" fontId="208" fillId="0" borderId="189" xfId="831" applyNumberFormat="1" applyFont="1" applyBorder="1" applyAlignment="1">
      <alignment vertical="center"/>
    </xf>
    <xf numFmtId="14" fontId="208" fillId="42" borderId="189" xfId="863" applyNumberFormat="1" applyFont="1" applyFill="1" applyBorder="1" applyAlignment="1">
      <alignment horizontal="center" vertical="top" wrapText="1"/>
    </xf>
    <xf numFmtId="216" fontId="208" fillId="97" borderId="189" xfId="863" applyNumberFormat="1" applyFont="1" applyFill="1" applyBorder="1" applyAlignment="1">
      <alignment horizontal="center"/>
    </xf>
    <xf numFmtId="0" fontId="239" fillId="33" borderId="178" xfId="829" applyFont="1" applyFill="1" applyBorder="1"/>
    <xf numFmtId="0" fontId="0" fillId="0" borderId="178" xfId="0" applyBorder="1"/>
    <xf numFmtId="0" fontId="212" fillId="43" borderId="189" xfId="0" applyFont="1" applyFill="1" applyBorder="1"/>
    <xf numFmtId="167" fontId="208" fillId="0" borderId="189" xfId="815" applyFont="1" applyBorder="1"/>
    <xf numFmtId="10" fontId="205" fillId="44" borderId="189" xfId="847" applyNumberFormat="1" applyFont="1" applyFill="1" applyBorder="1" applyAlignment="1">
      <alignment horizontal="right"/>
    </xf>
    <xf numFmtId="10" fontId="205" fillId="45" borderId="189" xfId="847" applyNumberFormat="1" applyFont="1" applyFill="1" applyBorder="1" applyAlignment="1">
      <alignment horizontal="right"/>
    </xf>
    <xf numFmtId="0" fontId="236" fillId="43" borderId="189" xfId="0" applyFont="1" applyFill="1" applyBorder="1" applyAlignment="1">
      <alignment horizontal="center" vertical="center" wrapText="1"/>
    </xf>
    <xf numFmtId="168" fontId="205" fillId="54" borderId="178" xfId="903" applyFont="1" applyFill="1" applyBorder="1" applyAlignment="1">
      <alignment horizontal="left" vertical="top" wrapText="1"/>
    </xf>
    <xf numFmtId="276" fontId="205" fillId="111" borderId="178" xfId="863" applyNumberFormat="1" applyFont="1" applyFill="1" applyBorder="1" applyAlignment="1">
      <alignment horizontal="right"/>
    </xf>
    <xf numFmtId="168" fontId="205" fillId="54" borderId="194" xfId="903" applyFont="1" applyFill="1" applyBorder="1" applyAlignment="1">
      <alignment horizontal="left" vertical="top"/>
    </xf>
    <xf numFmtId="168" fontId="205" fillId="54" borderId="194" xfId="903" applyFont="1" applyFill="1" applyBorder="1" applyAlignment="1">
      <alignment horizontal="right"/>
    </xf>
    <xf numFmtId="0" fontId="208" fillId="0" borderId="189" xfId="0" applyFont="1" applyBorder="1"/>
    <xf numFmtId="167" fontId="208" fillId="0" borderId="189" xfId="0" applyNumberFormat="1" applyFont="1" applyBorder="1"/>
    <xf numFmtId="0" fontId="205" fillId="0" borderId="194" xfId="0" applyFont="1" applyBorder="1" applyAlignment="1">
      <alignment horizontal="left"/>
    </xf>
    <xf numFmtId="167" fontId="205" fillId="111" borderId="194" xfId="815" applyFont="1" applyFill="1" applyBorder="1"/>
    <xf numFmtId="168" fontId="43" fillId="41" borderId="178" xfId="903" applyFont="1" applyFill="1" applyBorder="1" applyAlignment="1">
      <alignment horizontal="left" vertical="top" wrapText="1"/>
    </xf>
    <xf numFmtId="168" fontId="43" fillId="41" borderId="178" xfId="863" applyFont="1" applyFill="1" applyBorder="1" applyAlignment="1">
      <alignment horizontal="right"/>
    </xf>
    <xf numFmtId="168" fontId="205" fillId="41" borderId="178" xfId="903" applyFont="1" applyFill="1" applyBorder="1" applyAlignment="1">
      <alignment horizontal="left" vertical="top" wrapText="1"/>
    </xf>
    <xf numFmtId="167" fontId="205" fillId="41" borderId="178" xfId="815" applyFont="1" applyFill="1" applyBorder="1" applyAlignment="1">
      <alignment horizontal="right"/>
    </xf>
    <xf numFmtId="167" fontId="205" fillId="0" borderId="194" xfId="815" applyFont="1" applyFill="1" applyBorder="1"/>
    <xf numFmtId="168" fontId="110" fillId="41" borderId="178" xfId="903" applyFont="1" applyFill="1" applyBorder="1" applyAlignment="1">
      <alignment horizontal="left" vertical="top" wrapText="1"/>
    </xf>
    <xf numFmtId="167" fontId="110" fillId="41" borderId="178" xfId="815" applyFont="1" applyFill="1" applyBorder="1" applyAlignment="1">
      <alignment horizontal="right"/>
    </xf>
    <xf numFmtId="0" fontId="205" fillId="0" borderId="178" xfId="0" applyFont="1" applyBorder="1" applyAlignment="1">
      <alignment horizontal="left"/>
    </xf>
    <xf numFmtId="167" fontId="205" fillId="111" borderId="178" xfId="815" applyFont="1" applyFill="1" applyBorder="1"/>
    <xf numFmtId="167" fontId="205" fillId="0" borderId="178" xfId="815" applyFont="1" applyFill="1" applyBorder="1"/>
    <xf numFmtId="0" fontId="205" fillId="0" borderId="189" xfId="0" applyFont="1" applyBorder="1"/>
    <xf numFmtId="4" fontId="205" fillId="0" borderId="189" xfId="0" applyNumberFormat="1" applyFont="1" applyBorder="1"/>
    <xf numFmtId="43" fontId="205" fillId="0" borderId="194" xfId="0" applyNumberFormat="1" applyFont="1" applyBorder="1"/>
    <xf numFmtId="167" fontId="205" fillId="0" borderId="194" xfId="0" applyNumberFormat="1" applyFont="1" applyBorder="1"/>
    <xf numFmtId="43" fontId="205" fillId="0" borderId="178" xfId="0" applyNumberFormat="1" applyFont="1" applyBorder="1"/>
    <xf numFmtId="167" fontId="205" fillId="0" borderId="178" xfId="0" applyNumberFormat="1" applyFont="1" applyBorder="1"/>
    <xf numFmtId="165" fontId="205" fillId="0" borderId="194" xfId="0" applyNumberFormat="1" applyFont="1" applyBorder="1"/>
    <xf numFmtId="165" fontId="205" fillId="0" borderId="178" xfId="0" applyNumberFormat="1" applyFont="1" applyBorder="1"/>
    <xf numFmtId="10" fontId="233" fillId="0" borderId="178" xfId="0" applyNumberFormat="1" applyFont="1" applyBorder="1" applyAlignment="1">
      <alignment horizontal="left"/>
    </xf>
    <xf numFmtId="0" fontId="205" fillId="33" borderId="178" xfId="829" applyFont="1" applyFill="1" applyBorder="1" applyAlignment="1">
      <alignment horizontal="center"/>
    </xf>
    <xf numFmtId="0" fontId="286" fillId="43" borderId="194" xfId="832" applyFont="1" applyFill="1" applyBorder="1" applyAlignment="1">
      <alignment horizontal="center"/>
    </xf>
    <xf numFmtId="167" fontId="282" fillId="0" borderId="194" xfId="815" applyFont="1" applyBorder="1"/>
    <xf numFmtId="0" fontId="286" fillId="43" borderId="178" xfId="832" applyFont="1" applyFill="1" applyBorder="1" applyAlignment="1">
      <alignment horizontal="center"/>
    </xf>
    <xf numFmtId="167" fontId="282" fillId="0" borderId="178" xfId="815" applyFont="1" applyFill="1" applyBorder="1"/>
    <xf numFmtId="4" fontId="110" fillId="0" borderId="189" xfId="43199" applyNumberFormat="1" applyFont="1" applyFill="1" applyBorder="1" applyAlignment="1">
      <alignment vertical="center"/>
    </xf>
    <xf numFmtId="0" fontId="287" fillId="43" borderId="192" xfId="0" applyFont="1" applyFill="1" applyBorder="1"/>
    <xf numFmtId="167" fontId="282" fillId="0" borderId="194" xfId="815" applyFont="1" applyFill="1" applyBorder="1"/>
    <xf numFmtId="10" fontId="282" fillId="0" borderId="193" xfId="847" applyNumberFormat="1" applyFont="1" applyFill="1" applyBorder="1" applyAlignment="1">
      <alignment horizontal="center"/>
    </xf>
    <xf numFmtId="0" fontId="287" fillId="43" borderId="189" xfId="0" applyFont="1" applyFill="1" applyBorder="1"/>
    <xf numFmtId="40" fontId="289" fillId="43" borderId="189" xfId="0" applyNumberFormat="1" applyFont="1" applyFill="1" applyBorder="1"/>
    <xf numFmtId="10" fontId="289" fillId="43" borderId="189" xfId="0" applyNumberFormat="1" applyFont="1" applyFill="1" applyBorder="1" applyAlignment="1">
      <alignment horizontal="center"/>
    </xf>
    <xf numFmtId="0" fontId="205" fillId="0" borderId="190" xfId="0" applyFont="1" applyBorder="1"/>
    <xf numFmtId="10" fontId="283" fillId="0" borderId="0" xfId="2578" applyNumberFormat="1" applyFont="1" applyFill="1" applyBorder="1" applyAlignment="1">
      <alignment horizontal="center" vertical="center"/>
    </xf>
    <xf numFmtId="170" fontId="283" fillId="0" borderId="0" xfId="863" applyNumberFormat="1" applyFont="1" applyBorder="1" applyAlignment="1">
      <alignment vertical="center"/>
    </xf>
    <xf numFmtId="0" fontId="251" fillId="58" borderId="192" xfId="834" applyFont="1" applyFill="1" applyBorder="1" applyAlignment="1" applyProtection="1">
      <alignment horizontal="left" vertical="center"/>
    </xf>
    <xf numFmtId="0" fontId="250" fillId="0" borderId="194" xfId="43437" quotePrefix="1" applyFont="1" applyBorder="1" applyAlignment="1">
      <alignment horizontal="left" vertical="center"/>
    </xf>
    <xf numFmtId="278" fontId="250" fillId="41" borderId="194" xfId="43439" applyNumberFormat="1" applyFont="1" applyFill="1" applyBorder="1" applyAlignment="1">
      <alignment vertical="center" wrapText="1"/>
    </xf>
    <xf numFmtId="0" fontId="250" fillId="0" borderId="196" xfId="43437" quotePrefix="1" applyFont="1" applyBorder="1" applyAlignment="1">
      <alignment horizontal="left" vertical="center"/>
    </xf>
    <xf numFmtId="170" fontId="312" fillId="42" borderId="196" xfId="863" applyNumberFormat="1" applyFont="1" applyFill="1" applyBorder="1" applyAlignment="1">
      <alignment vertical="center"/>
    </xf>
    <xf numFmtId="170" fontId="309" fillId="42" borderId="199" xfId="863" applyNumberFormat="1" applyFont="1" applyFill="1" applyBorder="1" applyAlignment="1">
      <alignment vertical="center"/>
    </xf>
    <xf numFmtId="170" fontId="250" fillId="42" borderId="196" xfId="863" applyNumberFormat="1" applyFont="1" applyFill="1" applyBorder="1" applyAlignment="1">
      <alignment vertical="center"/>
    </xf>
    <xf numFmtId="0" fontId="250" fillId="0" borderId="199" xfId="43437" quotePrefix="1" applyFont="1" applyBorder="1" applyAlignment="1">
      <alignment horizontal="left" vertical="center"/>
    </xf>
    <xf numFmtId="170" fontId="250" fillId="33" borderId="199" xfId="863" applyNumberFormat="1" applyFont="1" applyFill="1" applyBorder="1" applyAlignment="1">
      <alignment vertical="center"/>
    </xf>
    <xf numFmtId="0" fontId="314" fillId="55" borderId="192" xfId="0" applyFont="1" applyFill="1" applyBorder="1" applyAlignment="1">
      <alignment vertical="center"/>
    </xf>
    <xf numFmtId="0" fontId="314" fillId="55" borderId="202" xfId="0" applyFont="1" applyFill="1" applyBorder="1" applyAlignment="1">
      <alignment vertical="center"/>
    </xf>
    <xf numFmtId="170" fontId="250" fillId="0" borderId="196" xfId="863" applyNumberFormat="1" applyFont="1" applyBorder="1" applyAlignment="1">
      <alignment vertical="center"/>
    </xf>
    <xf numFmtId="170" fontId="250" fillId="0" borderId="192" xfId="863" applyNumberFormat="1" applyFont="1" applyBorder="1" applyAlignment="1">
      <alignment vertical="center"/>
    </xf>
    <xf numFmtId="272" fontId="250" fillId="0" borderId="196" xfId="863" applyNumberFormat="1" applyFont="1" applyBorder="1" applyAlignment="1">
      <alignment vertical="center"/>
    </xf>
    <xf numFmtId="170" fontId="250" fillId="0" borderId="193" xfId="863" applyNumberFormat="1" applyFont="1" applyBorder="1" applyAlignment="1">
      <alignment vertical="center"/>
    </xf>
    <xf numFmtId="170" fontId="250" fillId="0" borderId="199" xfId="863" applyNumberFormat="1" applyFont="1" applyBorder="1" applyAlignment="1">
      <alignment vertical="center"/>
    </xf>
    <xf numFmtId="272" fontId="250" fillId="0" borderId="199" xfId="863" applyNumberFormat="1" applyFont="1" applyBorder="1" applyAlignment="1">
      <alignment vertical="center"/>
    </xf>
    <xf numFmtId="0" fontId="250" fillId="0" borderId="191" xfId="0" applyFont="1" applyBorder="1" applyAlignment="1">
      <alignment horizontal="left" vertical="center"/>
    </xf>
    <xf numFmtId="279" fontId="250" fillId="0" borderId="189" xfId="0" applyNumberFormat="1" applyFont="1" applyBorder="1" applyAlignment="1">
      <alignment vertical="center"/>
    </xf>
    <xf numFmtId="170" fontId="250" fillId="0" borderId="190" xfId="863" applyNumberFormat="1" applyFont="1" applyBorder="1" applyAlignment="1">
      <alignment vertical="center"/>
    </xf>
    <xf numFmtId="0" fontId="251" fillId="0" borderId="191" xfId="0" applyFont="1" applyBorder="1" applyAlignment="1">
      <alignment vertical="center"/>
    </xf>
    <xf numFmtId="0" fontId="251" fillId="0" borderId="189" xfId="0" applyFont="1" applyBorder="1" applyAlignment="1">
      <alignment vertical="center"/>
    </xf>
    <xf numFmtId="170" fontId="251" fillId="0" borderId="190" xfId="863" applyNumberFormat="1" applyFont="1" applyFill="1" applyBorder="1" applyAlignment="1">
      <alignment vertical="center"/>
    </xf>
    <xf numFmtId="170" fontId="251" fillId="0" borderId="195" xfId="863" applyNumberFormat="1" applyFont="1" applyFill="1" applyBorder="1" applyAlignment="1">
      <alignment vertical="center"/>
    </xf>
    <xf numFmtId="170" fontId="251" fillId="0" borderId="199" xfId="863" applyNumberFormat="1" applyFont="1" applyFill="1" applyBorder="1" applyAlignment="1">
      <alignment vertical="center"/>
    </xf>
    <xf numFmtId="0" fontId="272" fillId="101" borderId="190" xfId="2697" applyFont="1" applyFill="1" applyBorder="1"/>
    <xf numFmtId="14" fontId="30" fillId="0" borderId="190" xfId="2697" applyNumberFormat="1" applyBorder="1"/>
    <xf numFmtId="0" fontId="30" fillId="0" borderId="190" xfId="2697" applyBorder="1"/>
    <xf numFmtId="43" fontId="30" fillId="0" borderId="190" xfId="2697" applyNumberFormat="1" applyBorder="1"/>
    <xf numFmtId="168" fontId="0" fillId="0" borderId="190" xfId="863" applyFont="1" applyBorder="1"/>
    <xf numFmtId="0" fontId="272" fillId="97" borderId="190" xfId="2697" applyFont="1" applyFill="1" applyBorder="1"/>
    <xf numFmtId="168" fontId="272" fillId="97" borderId="190" xfId="863" applyFont="1" applyFill="1" applyBorder="1"/>
    <xf numFmtId="0" fontId="117" fillId="55" borderId="189" xfId="2697" applyFont="1" applyFill="1" applyBorder="1" applyAlignment="1">
      <alignment horizontal="left" vertical="center" wrapText="1"/>
    </xf>
    <xf numFmtId="0" fontId="117" fillId="55" borderId="203" xfId="2697" applyFont="1" applyFill="1" applyBorder="1" applyAlignment="1">
      <alignment horizontal="center" vertical="center" wrapText="1"/>
    </xf>
    <xf numFmtId="0" fontId="43" fillId="0" borderId="194" xfId="2697" applyFont="1" applyBorder="1" applyAlignment="1">
      <alignment vertical="center"/>
    </xf>
    <xf numFmtId="0" fontId="43" fillId="0" borderId="193" xfId="2697" applyFont="1" applyBorder="1" applyAlignment="1">
      <alignment vertical="center"/>
    </xf>
    <xf numFmtId="269" fontId="43" fillId="0" borderId="192" xfId="2697" applyNumberFormat="1" applyFont="1" applyBorder="1" applyAlignment="1">
      <alignment vertical="center"/>
    </xf>
    <xf numFmtId="168" fontId="43" fillId="0" borderId="196" xfId="863" applyFont="1" applyBorder="1" applyAlignment="1">
      <alignment vertical="center"/>
    </xf>
    <xf numFmtId="269" fontId="43" fillId="0" borderId="196" xfId="2697" applyNumberFormat="1" applyFont="1" applyBorder="1" applyAlignment="1">
      <alignment vertical="center"/>
    </xf>
    <xf numFmtId="168" fontId="43" fillId="0" borderId="199" xfId="863" applyFont="1" applyBorder="1" applyAlignment="1">
      <alignment vertical="center"/>
    </xf>
    <xf numFmtId="269" fontId="43" fillId="0" borderId="199" xfId="2697" applyNumberFormat="1" applyFont="1" applyBorder="1" applyAlignment="1">
      <alignment vertical="center"/>
    </xf>
    <xf numFmtId="0" fontId="110" fillId="59" borderId="178" xfId="2697" applyFont="1" applyFill="1" applyBorder="1" applyAlignment="1">
      <alignment vertical="center"/>
    </xf>
    <xf numFmtId="270" fontId="110" fillId="59" borderId="190" xfId="43183" applyNumberFormat="1" applyFont="1" applyFill="1" applyBorder="1" applyAlignment="1">
      <alignment vertical="center"/>
    </xf>
    <xf numFmtId="270" fontId="110" fillId="59" borderId="191" xfId="43183" applyNumberFormat="1" applyFont="1" applyFill="1" applyBorder="1" applyAlignment="1">
      <alignment vertical="center"/>
    </xf>
    <xf numFmtId="0" fontId="43" fillId="60" borderId="195" xfId="905" applyFont="1" applyFill="1" applyBorder="1" applyAlignment="1">
      <alignment horizontal="left" vertical="center"/>
    </xf>
    <xf numFmtId="0" fontId="43" fillId="98" borderId="190" xfId="2697" applyFont="1" applyFill="1" applyBorder="1" applyAlignment="1">
      <alignment vertical="center"/>
    </xf>
    <xf numFmtId="271" fontId="43" fillId="60" borderId="189" xfId="2697" applyNumberFormat="1" applyFont="1" applyFill="1" applyBorder="1" applyAlignment="1">
      <alignment vertical="center"/>
    </xf>
    <xf numFmtId="0" fontId="110" fillId="60" borderId="195" xfId="905" applyFont="1" applyFill="1" applyBorder="1" applyAlignment="1">
      <alignment horizontal="left" vertical="center"/>
    </xf>
    <xf numFmtId="0" fontId="43" fillId="98" borderId="190" xfId="2697" applyFont="1" applyFill="1" applyBorder="1"/>
    <xf numFmtId="270" fontId="110" fillId="98" borderId="189" xfId="2697" applyNumberFormat="1" applyFont="1" applyFill="1" applyBorder="1" applyAlignment="1">
      <alignment vertical="center"/>
    </xf>
    <xf numFmtId="270" fontId="110" fillId="60" borderId="189" xfId="2697" applyNumberFormat="1" applyFont="1" applyFill="1" applyBorder="1" applyAlignment="1">
      <alignment vertical="center"/>
    </xf>
    <xf numFmtId="271" fontId="43" fillId="98" borderId="189" xfId="2697" applyNumberFormat="1" applyFont="1" applyFill="1" applyBorder="1" applyAlignment="1">
      <alignment vertical="center"/>
    </xf>
    <xf numFmtId="0" fontId="43" fillId="0" borderId="194" xfId="2697" applyFont="1" applyBorder="1"/>
    <xf numFmtId="171" fontId="117" fillId="43" borderId="192" xfId="2697" applyNumberFormat="1" applyFont="1" applyFill="1" applyBorder="1" applyAlignment="1">
      <alignment horizontal="center" vertical="center" wrapText="1"/>
    </xf>
    <xf numFmtId="0" fontId="30" fillId="0" borderId="190" xfId="0" applyFont="1" applyBorder="1"/>
    <xf numFmtId="0" fontId="0" fillId="0" borderId="190" xfId="0" applyBorder="1"/>
    <xf numFmtId="171" fontId="117" fillId="55" borderId="192" xfId="2697" applyNumberFormat="1" applyFont="1" applyFill="1" applyBorder="1" applyAlignment="1">
      <alignment horizontal="center" vertical="center" wrapText="1"/>
    </xf>
    <xf numFmtId="171" fontId="117" fillId="55" borderId="194" xfId="2697" applyNumberFormat="1" applyFont="1" applyFill="1" applyBorder="1" applyAlignment="1">
      <alignment horizontal="center" vertical="center" wrapText="1"/>
    </xf>
    <xf numFmtId="171" fontId="117" fillId="55" borderId="193" xfId="2697" applyNumberFormat="1" applyFont="1" applyFill="1" applyBorder="1" applyAlignment="1">
      <alignment horizontal="center" vertical="center" wrapText="1"/>
    </xf>
    <xf numFmtId="0" fontId="221" fillId="0" borderId="178" xfId="0" applyFont="1" applyBorder="1" applyAlignment="1">
      <alignment horizontal="right"/>
    </xf>
    <xf numFmtId="0" fontId="205" fillId="0" borderId="204" xfId="832" applyFont="1" applyBorder="1"/>
    <xf numFmtId="0" fontId="205" fillId="33" borderId="204" xfId="0" applyFont="1" applyFill="1" applyBorder="1"/>
    <xf numFmtId="0" fontId="208" fillId="33" borderId="191" xfId="831" applyFont="1" applyFill="1" applyBorder="1" applyAlignment="1">
      <alignment vertical="center"/>
    </xf>
    <xf numFmtId="0" fontId="208" fillId="33" borderId="195" xfId="831" applyFont="1" applyFill="1" applyBorder="1" applyAlignment="1">
      <alignment vertical="center"/>
    </xf>
    <xf numFmtId="0" fontId="208" fillId="0" borderId="190" xfId="832" applyFont="1" applyBorder="1" applyAlignment="1">
      <alignment horizontal="center"/>
    </xf>
    <xf numFmtId="0" fontId="208" fillId="44" borderId="190" xfId="832" applyFont="1" applyFill="1" applyBorder="1" applyAlignment="1">
      <alignment horizontal="center"/>
    </xf>
    <xf numFmtId="0" fontId="208" fillId="44" borderId="190" xfId="0" applyFont="1" applyFill="1" applyBorder="1"/>
    <xf numFmtId="0" fontId="205" fillId="0" borderId="190" xfId="832" applyFont="1" applyBorder="1" applyAlignment="1">
      <alignment horizontal="center"/>
    </xf>
    <xf numFmtId="0" fontId="205" fillId="33" borderId="192" xfId="789" applyFont="1" applyFill="1" applyBorder="1"/>
    <xf numFmtId="17" fontId="205" fillId="0" borderId="193" xfId="0" applyNumberFormat="1" applyFont="1" applyBorder="1"/>
    <xf numFmtId="195" fontId="205" fillId="0" borderId="190" xfId="832" applyNumberFormat="1" applyFont="1" applyBorder="1"/>
    <xf numFmtId="0" fontId="205" fillId="0" borderId="156" xfId="0" applyFont="1" applyBorder="1"/>
    <xf numFmtId="17" fontId="205" fillId="0" borderId="155" xfId="0" applyNumberFormat="1" applyFont="1" applyBorder="1"/>
    <xf numFmtId="172" fontId="215" fillId="0" borderId="190" xfId="863" applyNumberFormat="1" applyFont="1" applyFill="1" applyBorder="1" applyAlignment="1">
      <alignment vertical="top"/>
    </xf>
    <xf numFmtId="165" fontId="227" fillId="44" borderId="190" xfId="863" applyNumberFormat="1" applyFont="1" applyFill="1" applyBorder="1" applyAlignment="1">
      <alignment vertical="top"/>
    </xf>
    <xf numFmtId="165" fontId="215" fillId="0" borderId="190" xfId="863" applyNumberFormat="1" applyFont="1" applyFill="1" applyBorder="1" applyAlignment="1">
      <alignment vertical="top"/>
    </xf>
    <xf numFmtId="0" fontId="207" fillId="0" borderId="189" xfId="832" applyFont="1" applyBorder="1"/>
    <xf numFmtId="0" fontId="205" fillId="0" borderId="189" xfId="832" applyFont="1" applyBorder="1"/>
    <xf numFmtId="0" fontId="205" fillId="0" borderId="191" xfId="0" applyFont="1" applyBorder="1" applyAlignment="1">
      <alignment horizontal="right"/>
    </xf>
    <xf numFmtId="0" fontId="205" fillId="0" borderId="195" xfId="832" applyFont="1" applyBorder="1" applyAlignment="1">
      <alignment horizontal="left"/>
    </xf>
    <xf numFmtId="0" fontId="205" fillId="41" borderId="191" xfId="0" applyFont="1" applyFill="1" applyBorder="1" applyAlignment="1">
      <alignment horizontal="right"/>
    </xf>
    <xf numFmtId="0" fontId="205" fillId="41" borderId="195" xfId="832" applyFont="1" applyFill="1" applyBorder="1" applyAlignment="1">
      <alignment horizontal="left"/>
    </xf>
    <xf numFmtId="171" fontId="205" fillId="0" borderId="194" xfId="0" applyNumberFormat="1" applyFont="1" applyBorder="1"/>
    <xf numFmtId="171" fontId="205" fillId="0" borderId="178" xfId="0" applyNumberFormat="1" applyFont="1" applyBorder="1"/>
    <xf numFmtId="167" fontId="208" fillId="0" borderId="191" xfId="815" applyFont="1" applyFill="1" applyBorder="1"/>
    <xf numFmtId="167" fontId="208" fillId="0" borderId="195" xfId="815" applyFont="1" applyFill="1" applyBorder="1"/>
    <xf numFmtId="167" fontId="208" fillId="0" borderId="189" xfId="815" applyFont="1" applyFill="1" applyBorder="1"/>
    <xf numFmtId="167" fontId="205" fillId="0" borderId="191" xfId="815" applyFont="1" applyFill="1" applyBorder="1"/>
    <xf numFmtId="167" fontId="205" fillId="0" borderId="195" xfId="815" applyFont="1" applyFill="1" applyBorder="1"/>
    <xf numFmtId="167" fontId="208" fillId="0" borderId="191" xfId="815" applyFont="1" applyBorder="1"/>
    <xf numFmtId="167" fontId="208" fillId="0" borderId="195" xfId="815" applyFont="1" applyBorder="1"/>
    <xf numFmtId="0" fontId="205" fillId="41" borderId="195" xfId="832" applyFont="1" applyFill="1" applyBorder="1" applyAlignment="1">
      <alignment horizontal="center"/>
    </xf>
    <xf numFmtId="167" fontId="208" fillId="0" borderId="190" xfId="815" applyFont="1" applyBorder="1"/>
    <xf numFmtId="0" fontId="34" fillId="33" borderId="197" xfId="831" applyFont="1" applyFill="1" applyBorder="1" applyAlignment="1">
      <alignment horizontal="left"/>
    </xf>
    <xf numFmtId="0" fontId="39" fillId="39" borderId="190" xfId="831" applyFont="1" applyFill="1" applyBorder="1" applyAlignment="1">
      <alignment horizontal="center" vertical="center"/>
    </xf>
    <xf numFmtId="14" fontId="33" fillId="0" borderId="0" xfId="831" applyNumberFormat="1" applyFont="1"/>
    <xf numFmtId="17" fontId="43" fillId="0" borderId="190" xfId="831" applyNumberFormat="1" applyFont="1" applyBorder="1" applyAlignment="1">
      <alignment horizontal="center"/>
    </xf>
    <xf numFmtId="172" fontId="43" fillId="0" borderId="190" xfId="863" applyNumberFormat="1" applyFont="1" applyBorder="1" applyAlignment="1">
      <alignment horizontal="center"/>
    </xf>
    <xf numFmtId="196" fontId="43" fillId="0" borderId="190" xfId="863" applyNumberFormat="1" applyFont="1" applyBorder="1" applyAlignment="1">
      <alignment horizontal="center"/>
    </xf>
    <xf numFmtId="0" fontId="2" fillId="0" borderId="0" xfId="43418" applyFont="1"/>
    <xf numFmtId="0" fontId="2" fillId="0" borderId="0" xfId="43418" quotePrefix="1" applyFont="1"/>
    <xf numFmtId="0" fontId="2" fillId="0" borderId="0" xfId="43418" applyFont="1" applyAlignment="1">
      <alignment horizontal="center" vertical="center"/>
    </xf>
    <xf numFmtId="40" fontId="120" fillId="0" borderId="190" xfId="43410" applyNumberFormat="1" applyFont="1" applyBorder="1" applyAlignment="1">
      <alignment vertical="center"/>
    </xf>
    <xf numFmtId="40" fontId="120" fillId="42" borderId="190" xfId="43410" applyNumberFormat="1" applyFont="1" applyFill="1" applyBorder="1" applyAlignment="1">
      <alignment vertical="center"/>
    </xf>
    <xf numFmtId="0" fontId="50" fillId="109" borderId="205" xfId="43411" applyFont="1" applyFill="1" applyBorder="1" applyAlignment="1">
      <alignment horizontal="center"/>
    </xf>
    <xf numFmtId="0" fontId="50" fillId="0" borderId="206" xfId="43411" applyFont="1" applyBorder="1" applyAlignment="1">
      <alignment horizontal="right" wrapText="1"/>
    </xf>
    <xf numFmtId="0" fontId="50" fillId="0" borderId="206" xfId="43411" applyFont="1" applyBorder="1" applyAlignment="1">
      <alignment wrapText="1"/>
    </xf>
    <xf numFmtId="14" fontId="50" fillId="0" borderId="206" xfId="43411" applyNumberFormat="1" applyFont="1" applyBorder="1" applyAlignment="1">
      <alignment horizontal="right" wrapText="1"/>
    </xf>
    <xf numFmtId="267" fontId="50" fillId="0" borderId="206" xfId="43411" applyNumberFormat="1" applyFont="1" applyBorder="1" applyAlignment="1">
      <alignment horizontal="right" wrapText="1"/>
    </xf>
    <xf numFmtId="0" fontId="251" fillId="0" borderId="190" xfId="7308" applyFont="1" applyBorder="1"/>
    <xf numFmtId="214" fontId="250" fillId="0" borderId="190" xfId="7308" applyNumberFormat="1" applyFont="1" applyBorder="1"/>
    <xf numFmtId="0" fontId="261" fillId="0" borderId="190" xfId="7308" applyFont="1" applyBorder="1" applyAlignment="1">
      <alignment vertical="center"/>
    </xf>
    <xf numFmtId="0" fontId="250" fillId="42" borderId="190" xfId="7308" applyFont="1" applyFill="1" applyBorder="1" applyAlignment="1">
      <alignment horizontal="center"/>
    </xf>
    <xf numFmtId="0" fontId="250" fillId="0" borderId="190" xfId="7308" applyFont="1" applyBorder="1"/>
    <xf numFmtId="174" fontId="250" fillId="0" borderId="190" xfId="7308" applyNumberFormat="1" applyFont="1" applyBorder="1"/>
    <xf numFmtId="266" fontId="250" fillId="0" borderId="190" xfId="7308" applyNumberFormat="1" applyFont="1" applyBorder="1"/>
    <xf numFmtId="10" fontId="255" fillId="0" borderId="190" xfId="7308" applyNumberFormat="1" applyFont="1" applyBorder="1" applyAlignment="1">
      <alignment horizontal="right" vertical="center"/>
    </xf>
    <xf numFmtId="214" fontId="250" fillId="0" borderId="190" xfId="43165" applyNumberFormat="1" applyFont="1" applyBorder="1"/>
    <xf numFmtId="167" fontId="258" fillId="41" borderId="190" xfId="902" applyFont="1" applyFill="1" applyBorder="1" applyAlignment="1">
      <alignment horizontal="center"/>
    </xf>
    <xf numFmtId="0" fontId="250" fillId="0" borderId="190" xfId="7308" applyFont="1" applyBorder="1" applyAlignment="1">
      <alignment horizontal="right"/>
    </xf>
    <xf numFmtId="0" fontId="250" fillId="0" borderId="190" xfId="7308" applyFont="1" applyBorder="1" applyAlignment="1">
      <alignment horizontal="center"/>
    </xf>
    <xf numFmtId="10" fontId="257" fillId="0" borderId="190" xfId="7308" applyNumberFormat="1" applyFont="1" applyBorder="1" applyAlignment="1">
      <alignment horizontal="center"/>
    </xf>
    <xf numFmtId="167" fontId="261" fillId="0" borderId="190" xfId="7308" applyNumberFormat="1" applyFont="1" applyBorder="1" applyAlignment="1">
      <alignment vertical="center"/>
    </xf>
    <xf numFmtId="0" fontId="261" fillId="0" borderId="196" xfId="7308" applyFont="1" applyBorder="1" applyAlignment="1">
      <alignment vertical="center"/>
    </xf>
    <xf numFmtId="43" fontId="261" fillId="0" borderId="190" xfId="7308" applyNumberFormat="1" applyFont="1" applyBorder="1" applyAlignment="1">
      <alignment vertical="center"/>
    </xf>
    <xf numFmtId="43" fontId="261" fillId="0" borderId="191" xfId="7308" applyNumberFormat="1" applyFont="1" applyBorder="1" applyAlignment="1">
      <alignment vertical="center"/>
    </xf>
    <xf numFmtId="10" fontId="262" fillId="0" borderId="199" xfId="1095" applyNumberFormat="1" applyFont="1" applyFill="1" applyBorder="1" applyAlignment="1">
      <alignment vertical="center"/>
    </xf>
    <xf numFmtId="10" fontId="262" fillId="0" borderId="190" xfId="1095" applyNumberFormat="1" applyFont="1" applyFill="1" applyBorder="1" applyAlignment="1">
      <alignment vertical="center"/>
    </xf>
    <xf numFmtId="10" fontId="262" fillId="0" borderId="190" xfId="1095" applyNumberFormat="1" applyFont="1" applyBorder="1" applyAlignment="1">
      <alignment vertical="center"/>
    </xf>
    <xf numFmtId="10" fontId="261" fillId="0" borderId="190" xfId="7308" applyNumberFormat="1" applyFont="1" applyBorder="1" applyAlignment="1">
      <alignment vertical="center"/>
    </xf>
    <xf numFmtId="0" fontId="251" fillId="107" borderId="191" xfId="7308" applyFont="1" applyFill="1" applyBorder="1"/>
    <xf numFmtId="167" fontId="251" fillId="41" borderId="190" xfId="902" applyFont="1" applyFill="1" applyBorder="1"/>
    <xf numFmtId="0" fontId="250" fillId="0" borderId="207" xfId="7308" applyFont="1" applyBorder="1"/>
    <xf numFmtId="167" fontId="250" fillId="41" borderId="199" xfId="902" applyFont="1" applyFill="1" applyBorder="1"/>
    <xf numFmtId="0" fontId="254" fillId="0" borderId="190" xfId="7308" applyFont="1" applyBorder="1" applyAlignment="1">
      <alignment horizontal="center" vertical="center"/>
    </xf>
    <xf numFmtId="0" fontId="251" fillId="0" borderId="190" xfId="7308" applyFont="1" applyBorder="1" applyAlignment="1">
      <alignment horizontal="center"/>
    </xf>
    <xf numFmtId="0" fontId="254" fillId="0" borderId="190" xfId="7308" applyFont="1" applyBorder="1" applyAlignment="1">
      <alignment vertical="center"/>
    </xf>
    <xf numFmtId="2" fontId="255" fillId="0" borderId="190" xfId="7308" applyNumberFormat="1" applyFont="1" applyBorder="1" applyAlignment="1">
      <alignment horizontal="center" vertical="center"/>
    </xf>
    <xf numFmtId="0" fontId="256" fillId="42" borderId="190" xfId="7308" applyFont="1" applyFill="1" applyBorder="1" applyAlignment="1">
      <alignment horizontal="center" vertical="center"/>
    </xf>
    <xf numFmtId="10" fontId="255" fillId="42" borderId="190" xfId="7308" applyNumberFormat="1" applyFont="1" applyFill="1" applyBorder="1" applyAlignment="1">
      <alignment horizontal="center" vertical="center"/>
    </xf>
    <xf numFmtId="0" fontId="257" fillId="61" borderId="190" xfId="7308" applyFont="1" applyFill="1" applyBorder="1"/>
    <xf numFmtId="2" fontId="250" fillId="42" borderId="190" xfId="7308" applyNumberFormat="1" applyFont="1" applyFill="1" applyBorder="1" applyAlignment="1">
      <alignment horizontal="center"/>
    </xf>
    <xf numFmtId="2" fontId="255" fillId="42" borderId="190" xfId="7308" applyNumberFormat="1" applyFont="1" applyFill="1" applyBorder="1" applyAlignment="1">
      <alignment horizontal="center" vertical="center"/>
    </xf>
    <xf numFmtId="167" fontId="258" fillId="42" borderId="190" xfId="902" applyFont="1" applyFill="1" applyBorder="1"/>
    <xf numFmtId="0" fontId="250" fillId="46" borderId="190" xfId="7308" applyFont="1" applyFill="1" applyBorder="1"/>
    <xf numFmtId="265" fontId="250" fillId="0" borderId="190" xfId="7308" applyNumberFormat="1" applyFont="1" applyBorder="1"/>
    <xf numFmtId="2" fontId="250" fillId="0" borderId="190" xfId="7308" applyNumberFormat="1" applyFont="1" applyBorder="1"/>
    <xf numFmtId="10" fontId="250" fillId="0" borderId="190" xfId="7308" applyNumberFormat="1" applyFont="1" applyBorder="1"/>
    <xf numFmtId="173" fontId="250" fillId="0" borderId="190" xfId="7308" applyNumberFormat="1" applyFont="1" applyBorder="1"/>
    <xf numFmtId="167" fontId="251" fillId="102" borderId="190" xfId="902" applyFont="1" applyFill="1" applyBorder="1"/>
    <xf numFmtId="0" fontId="251" fillId="59" borderId="189" xfId="2697" applyFont="1" applyFill="1" applyBorder="1" applyAlignment="1">
      <alignment vertical="center"/>
    </xf>
    <xf numFmtId="4" fontId="251" fillId="59" borderId="189" xfId="2697" applyNumberFormat="1" applyFont="1" applyFill="1" applyBorder="1" applyAlignment="1">
      <alignment vertical="center"/>
    </xf>
    <xf numFmtId="167" fontId="250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6" fillId="97" borderId="152" xfId="0" applyFont="1" applyFill="1" applyBorder="1" applyAlignment="1">
      <alignment vertical="center"/>
    </xf>
    <xf numFmtId="0" fontId="36" fillId="97" borderId="152" xfId="0" applyFont="1" applyFill="1" applyBorder="1" applyAlignment="1">
      <alignment horizontal="center" vertical="center" wrapText="1"/>
    </xf>
    <xf numFmtId="0" fontId="36" fillId="97" borderId="152" xfId="0" applyFont="1" applyFill="1" applyBorder="1" applyAlignment="1">
      <alignment horizontal="center" vertical="center"/>
    </xf>
    <xf numFmtId="168" fontId="283" fillId="42" borderId="0" xfId="863" applyFont="1" applyFill="1" applyBorder="1"/>
    <xf numFmtId="0" fontId="113" fillId="42" borderId="0" xfId="0" applyFont="1" applyFill="1"/>
    <xf numFmtId="167" fontId="205" fillId="41" borderId="166" xfId="815" applyFont="1" applyFill="1" applyBorder="1"/>
    <xf numFmtId="0" fontId="212" fillId="43" borderId="166" xfId="0" applyFont="1" applyFill="1" applyBorder="1" applyAlignment="1">
      <alignment horizontal="center" vertical="center" wrapText="1"/>
    </xf>
    <xf numFmtId="0" fontId="205" fillId="0" borderId="0" xfId="847" applyNumberFormat="1" applyFont="1"/>
    <xf numFmtId="168" fontId="205" fillId="44" borderId="0" xfId="863" applyFont="1" applyFill="1"/>
    <xf numFmtId="2" fontId="205" fillId="44" borderId="0" xfId="863" applyNumberFormat="1" applyFont="1" applyFill="1"/>
    <xf numFmtId="14" fontId="205" fillId="44" borderId="0" xfId="847" applyNumberFormat="1" applyFont="1" applyFill="1"/>
    <xf numFmtId="14" fontId="205" fillId="44" borderId="0" xfId="0" applyNumberFormat="1" applyFont="1" applyFill="1"/>
    <xf numFmtId="2" fontId="205" fillId="44" borderId="0" xfId="0" applyNumberFormat="1" applyFont="1" applyFill="1"/>
    <xf numFmtId="167" fontId="205" fillId="44" borderId="0" xfId="815" applyFont="1" applyFill="1"/>
    <xf numFmtId="0" fontId="205" fillId="44" borderId="0" xfId="0" applyFont="1" applyFill="1"/>
    <xf numFmtId="10" fontId="205" fillId="108" borderId="178" xfId="0" applyNumberFormat="1" applyFont="1" applyFill="1" applyBorder="1"/>
    <xf numFmtId="0" fontId="205" fillId="108" borderId="178" xfId="847" applyNumberFormat="1" applyFont="1" applyFill="1" applyBorder="1"/>
    <xf numFmtId="168" fontId="205" fillId="108" borderId="178" xfId="863" applyFont="1" applyFill="1" applyBorder="1"/>
    <xf numFmtId="3" fontId="30" fillId="0" borderId="0" xfId="0" applyNumberFormat="1" applyFont="1" applyAlignment="1">
      <alignment horizontal="center" vertical="distributed"/>
    </xf>
    <xf numFmtId="257" fontId="30" fillId="0" borderId="0" xfId="0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 vertical="distributed"/>
    </xf>
    <xf numFmtId="9" fontId="30" fillId="0" borderId="0" xfId="0" applyNumberFormat="1" applyFont="1"/>
    <xf numFmtId="14" fontId="30" fillId="0" borderId="0" xfId="863" applyNumberFormat="1" applyFont="1" applyFill="1" applyAlignment="1">
      <alignment horizontal="center"/>
    </xf>
    <xf numFmtId="168" fontId="30" fillId="0" borderId="0" xfId="863" applyFont="1" applyFill="1" applyAlignment="1">
      <alignment horizontal="center" vertical="distributed"/>
    </xf>
    <xf numFmtId="168" fontId="30" fillId="0" borderId="0" xfId="0" applyNumberFormat="1" applyFont="1" applyAlignment="1">
      <alignment horizontal="center" vertical="distributed"/>
    </xf>
    <xf numFmtId="168" fontId="30" fillId="0" borderId="0" xfId="863" applyFont="1" applyFill="1" applyBorder="1" applyAlignment="1">
      <alignment horizontal="center" vertical="distributed"/>
    </xf>
    <xf numFmtId="9" fontId="30" fillId="0" borderId="0" xfId="847" applyFont="1" applyFill="1" applyAlignment="1">
      <alignment horizontal="center" vertical="distributed"/>
    </xf>
    <xf numFmtId="9" fontId="30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30" fillId="0" borderId="0" xfId="863" applyNumberFormat="1" applyFont="1" applyFill="1" applyAlignment="1">
      <alignment horizontal="center" vertical="distributed"/>
    </xf>
    <xf numFmtId="10" fontId="30" fillId="0" borderId="0" xfId="847" applyNumberFormat="1" applyFont="1" applyFill="1" applyAlignment="1">
      <alignment horizontal="center" vertical="distributed"/>
    </xf>
    <xf numFmtId="4" fontId="30" fillId="0" borderId="0" xfId="0" applyNumberFormat="1" applyFont="1" applyAlignment="1">
      <alignment vertical="center"/>
    </xf>
    <xf numFmtId="49" fontId="30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8" fillId="125" borderId="208" xfId="0" applyFont="1" applyFill="1" applyBorder="1"/>
    <xf numFmtId="0" fontId="318" fillId="125" borderId="209" xfId="0" applyFont="1" applyFill="1" applyBorder="1"/>
    <xf numFmtId="0" fontId="318" fillId="125" borderId="0" xfId="0" applyFont="1" applyFill="1"/>
    <xf numFmtId="168" fontId="212" fillId="43" borderId="189" xfId="0" applyNumberFormat="1" applyFont="1" applyFill="1" applyBorder="1" applyAlignment="1">
      <alignment horizontal="center" vertical="center" wrapText="1"/>
    </xf>
    <xf numFmtId="0" fontId="250" fillId="0" borderId="0" xfId="0" applyFont="1" applyAlignment="1">
      <alignment horizontal="left" vertical="center"/>
    </xf>
    <xf numFmtId="0" fontId="250" fillId="0" borderId="0" xfId="0" applyFont="1" applyAlignment="1">
      <alignment horizontal="right" vertical="center"/>
    </xf>
    <xf numFmtId="168" fontId="250" fillId="118" borderId="0" xfId="863" applyFont="1" applyFill="1" applyBorder="1" applyAlignment="1">
      <alignment vertical="center"/>
    </xf>
    <xf numFmtId="168" fontId="205" fillId="126" borderId="0" xfId="863" applyFont="1" applyFill="1"/>
    <xf numFmtId="0" fontId="205" fillId="126" borderId="0" xfId="0" applyFont="1" applyFill="1" applyAlignment="1">
      <alignment horizontal="left"/>
    </xf>
    <xf numFmtId="0" fontId="0" fillId="0" borderId="0" xfId="863" applyNumberFormat="1" applyFont="1" applyFill="1"/>
    <xf numFmtId="0" fontId="212" fillId="43" borderId="144" xfId="0" applyFont="1" applyFill="1" applyBorder="1" applyAlignment="1">
      <alignment horizontal="center" vertical="center" wrapText="1"/>
    </xf>
    <xf numFmtId="167" fontId="205" fillId="0" borderId="166" xfId="815" applyFont="1" applyFill="1" applyBorder="1"/>
    <xf numFmtId="167" fontId="282" fillId="114" borderId="0" xfId="5583" applyNumberFormat="1" applyFont="1" applyFill="1" applyBorder="1" applyAlignment="1">
      <alignment vertical="center"/>
    </xf>
    <xf numFmtId="0" fontId="250" fillId="42" borderId="210" xfId="0" applyFont="1" applyFill="1" applyBorder="1" applyAlignment="1">
      <alignment vertical="center"/>
    </xf>
    <xf numFmtId="0" fontId="260" fillId="39" borderId="149" xfId="831" applyFont="1" applyFill="1" applyBorder="1" applyAlignment="1">
      <alignment horizontal="left" vertical="center"/>
    </xf>
    <xf numFmtId="0" fontId="260" fillId="39" borderId="186" xfId="831" applyFont="1" applyFill="1" applyBorder="1" applyAlignment="1">
      <alignment horizontal="left" vertical="center"/>
    </xf>
    <xf numFmtId="168" fontId="260" fillId="39" borderId="186" xfId="863" applyFont="1" applyFill="1" applyBorder="1" applyAlignment="1">
      <alignment horizontal="left" vertical="center"/>
    </xf>
    <xf numFmtId="0" fontId="260" fillId="39" borderId="148" xfId="831" applyFont="1" applyFill="1" applyBorder="1" applyAlignment="1">
      <alignment horizontal="left" vertical="center"/>
    </xf>
    <xf numFmtId="14" fontId="250" fillId="0" borderId="152" xfId="831" applyNumberFormat="1" applyFont="1" applyBorder="1" applyAlignment="1">
      <alignment horizontal="center" vertical="center"/>
    </xf>
    <xf numFmtId="0" fontId="250" fillId="0" borderId="152" xfId="831" applyFont="1" applyBorder="1" applyAlignment="1">
      <alignment vertical="center"/>
    </xf>
    <xf numFmtId="168" fontId="250" fillId="0" borderId="152" xfId="863" applyFont="1" applyBorder="1" applyAlignment="1">
      <alignment vertical="center"/>
    </xf>
    <xf numFmtId="272" fontId="250" fillId="0" borderId="152" xfId="863" applyNumberFormat="1" applyFont="1" applyBorder="1" applyAlignment="1">
      <alignment vertical="center"/>
    </xf>
    <xf numFmtId="0" fontId="250" fillId="0" borderId="0" xfId="831" applyFont="1"/>
    <xf numFmtId="0" fontId="319" fillId="0" borderId="0" xfId="0" applyFont="1"/>
    <xf numFmtId="0" fontId="317" fillId="0" borderId="0" xfId="43418" applyFont="1" applyAlignment="1">
      <alignment horizontal="center" vertical="center" wrapText="1"/>
    </xf>
    <xf numFmtId="214" fontId="250" fillId="0" borderId="0" xfId="0" applyNumberFormat="1" applyFont="1" applyAlignment="1">
      <alignment horizontal="center"/>
    </xf>
    <xf numFmtId="214" fontId="251" fillId="0" borderId="0" xfId="0" applyNumberFormat="1" applyFont="1" applyAlignment="1">
      <alignment horizontal="center"/>
    </xf>
    <xf numFmtId="43" fontId="205" fillId="108" borderId="0" xfId="863" applyNumberFormat="1" applyFont="1" applyFill="1" applyBorder="1"/>
    <xf numFmtId="43" fontId="205" fillId="108" borderId="178" xfId="863" applyNumberFormat="1" applyFont="1" applyFill="1" applyBorder="1"/>
    <xf numFmtId="0" fontId="317" fillId="129" borderId="144" xfId="0" applyFont="1" applyFill="1" applyBorder="1"/>
    <xf numFmtId="0" fontId="317" fillId="101" borderId="144" xfId="0" applyFont="1" applyFill="1" applyBorder="1" applyAlignment="1">
      <alignment horizontal="center"/>
    </xf>
    <xf numFmtId="0" fontId="317" fillId="101" borderId="178" xfId="0" applyFont="1" applyFill="1" applyBorder="1" applyAlignment="1">
      <alignment horizontal="center"/>
    </xf>
    <xf numFmtId="0" fontId="251" fillId="128" borderId="144" xfId="0" applyFont="1" applyFill="1" applyBorder="1"/>
    <xf numFmtId="17" fontId="315" fillId="127" borderId="144" xfId="0" applyNumberFormat="1" applyFont="1" applyFill="1" applyBorder="1" applyAlignment="1">
      <alignment horizontal="center"/>
    </xf>
    <xf numFmtId="214" fontId="262" fillId="0" borderId="0" xfId="863" applyNumberFormat="1" applyFont="1" applyFill="1" applyBorder="1" applyAlignment="1">
      <alignment horizontal="center"/>
    </xf>
    <xf numFmtId="0" fontId="317" fillId="0" borderId="0" xfId="0" applyFont="1" applyAlignment="1">
      <alignment horizontal="center"/>
    </xf>
    <xf numFmtId="17" fontId="315" fillId="0" borderId="0" xfId="0" applyNumberFormat="1" applyFont="1" applyAlignment="1">
      <alignment horizontal="center"/>
    </xf>
    <xf numFmtId="0" fontId="322" fillId="0" borderId="0" xfId="0" applyFont="1"/>
    <xf numFmtId="167" fontId="250" fillId="0" borderId="0" xfId="815" applyFont="1"/>
    <xf numFmtId="167" fontId="250" fillId="59" borderId="144" xfId="815" applyFont="1" applyFill="1" applyBorder="1"/>
    <xf numFmtId="0" fontId="317" fillId="0" borderId="0" xfId="43418" applyFont="1" applyAlignment="1">
      <alignment horizontal="center" vertical="center"/>
    </xf>
    <xf numFmtId="17" fontId="320" fillId="0" borderId="0" xfId="43418" applyNumberFormat="1" applyFont="1" applyAlignment="1">
      <alignment horizontal="center"/>
    </xf>
    <xf numFmtId="0" fontId="320" fillId="0" borderId="0" xfId="43418" applyFont="1" applyAlignment="1">
      <alignment horizontal="center"/>
    </xf>
    <xf numFmtId="0" fontId="320" fillId="0" borderId="0" xfId="43418" applyFont="1" applyAlignment="1">
      <alignment horizontal="center" vertical="center"/>
    </xf>
    <xf numFmtId="214" fontId="320" fillId="0" borderId="0" xfId="43418" applyNumberFormat="1" applyFont="1" applyAlignment="1">
      <alignment horizontal="center"/>
    </xf>
    <xf numFmtId="17" fontId="257" fillId="0" borderId="0" xfId="43418" applyNumberFormat="1" applyFont="1" applyAlignment="1">
      <alignment horizontal="center"/>
    </xf>
    <xf numFmtId="0" fontId="257" fillId="0" borderId="0" xfId="43418" applyFont="1" applyAlignment="1">
      <alignment horizontal="center"/>
    </xf>
    <xf numFmtId="0" fontId="251" fillId="0" borderId="0" xfId="0" applyFont="1" applyAlignment="1">
      <alignment horizontal="center"/>
    </xf>
    <xf numFmtId="0" fontId="250" fillId="61" borderId="0" xfId="0" applyFont="1" applyFill="1" applyAlignment="1">
      <alignment vertical="center"/>
    </xf>
    <xf numFmtId="174" fontId="250" fillId="61" borderId="0" xfId="0" applyNumberFormat="1" applyFont="1" applyFill="1" applyAlignment="1">
      <alignment vertical="center"/>
    </xf>
    <xf numFmtId="168" fontId="205" fillId="61" borderId="0" xfId="863" applyFont="1" applyFill="1"/>
    <xf numFmtId="1" fontId="205" fillId="44" borderId="0" xfId="863" applyNumberFormat="1" applyFont="1" applyFill="1"/>
    <xf numFmtId="1" fontId="205" fillId="44" borderId="0" xfId="847" applyNumberFormat="1" applyFont="1" applyFill="1"/>
    <xf numFmtId="168" fontId="208" fillId="61" borderId="0" xfId="863" applyFont="1" applyFill="1" applyBorder="1" applyAlignment="1">
      <alignment horizontal="center" vertical="center"/>
    </xf>
    <xf numFmtId="168" fontId="205" fillId="61" borderId="0" xfId="863" applyFont="1" applyFill="1" applyBorder="1" applyAlignment="1">
      <alignment horizontal="center" vertical="center"/>
    </xf>
    <xf numFmtId="168" fontId="205" fillId="61" borderId="0" xfId="863" applyFont="1" applyFill="1" applyBorder="1" applyAlignment="1">
      <alignment vertical="center"/>
    </xf>
    <xf numFmtId="167" fontId="283" fillId="42" borderId="0" xfId="5583" applyNumberFormat="1" applyFont="1" applyFill="1" applyBorder="1"/>
    <xf numFmtId="0" fontId="205" fillId="0" borderId="0" xfId="0" pivotButton="1" applyFont="1"/>
    <xf numFmtId="205" fontId="205" fillId="0" borderId="0" xfId="0" applyNumberFormat="1" applyFont="1" applyAlignment="1">
      <alignment horizontal="left"/>
    </xf>
    <xf numFmtId="0" fontId="317" fillId="55" borderId="106" xfId="0" applyFont="1" applyFill="1" applyBorder="1"/>
    <xf numFmtId="168" fontId="321" fillId="130" borderId="148" xfId="863" applyFont="1" applyFill="1" applyBorder="1" applyAlignment="1">
      <alignment horizontal="center"/>
    </xf>
    <xf numFmtId="168" fontId="250" fillId="59" borderId="144" xfId="863" applyFont="1" applyFill="1" applyBorder="1"/>
    <xf numFmtId="176" fontId="43" fillId="61" borderId="199" xfId="863" applyNumberFormat="1" applyFont="1" applyFill="1" applyBorder="1" applyAlignment="1">
      <alignment vertical="center"/>
    </xf>
    <xf numFmtId="0" fontId="315" fillId="0" borderId="0" xfId="43440" applyFont="1" applyAlignment="1">
      <alignment vertical="center"/>
    </xf>
    <xf numFmtId="168" fontId="324" fillId="0" borderId="190" xfId="863" applyFont="1" applyBorder="1" applyAlignment="1">
      <alignment vertical="center"/>
    </xf>
    <xf numFmtId="282" fontId="324" fillId="0" borderId="149" xfId="43440" applyNumberFormat="1" applyFont="1" applyBorder="1" applyAlignment="1">
      <alignment horizontal="center" vertical="center"/>
    </xf>
    <xf numFmtId="43" fontId="250" fillId="0" borderId="10" xfId="43441" applyFont="1" applyBorder="1" applyAlignment="1">
      <alignment vertical="center"/>
    </xf>
    <xf numFmtId="0" fontId="315" fillId="131" borderId="10" xfId="43440" applyFont="1" applyFill="1" applyBorder="1" applyAlignment="1">
      <alignment vertical="center"/>
    </xf>
    <xf numFmtId="0" fontId="315" fillId="131" borderId="0" xfId="43440" applyFont="1" applyFill="1" applyAlignment="1">
      <alignment vertical="center"/>
    </xf>
    <xf numFmtId="4" fontId="262" fillId="131" borderId="10" xfId="43440" applyNumberFormat="1" applyFont="1" applyFill="1" applyBorder="1" applyAlignment="1">
      <alignment vertical="center"/>
    </xf>
    <xf numFmtId="282" fontId="315" fillId="0" borderId="211" xfId="43440" applyNumberFormat="1" applyFont="1" applyBorder="1" applyAlignment="1">
      <alignment horizontal="center" vertical="center"/>
    </xf>
    <xf numFmtId="43" fontId="250" fillId="131" borderId="0" xfId="43441" applyFont="1" applyFill="1" applyAlignment="1">
      <alignment vertical="center"/>
    </xf>
    <xf numFmtId="43" fontId="250" fillId="131" borderId="10" xfId="43441" applyFont="1" applyFill="1" applyBorder="1" applyAlignment="1">
      <alignment vertical="center"/>
    </xf>
    <xf numFmtId="43" fontId="250" fillId="0" borderId="0" xfId="43441" applyFont="1" applyAlignment="1">
      <alignment vertical="center"/>
    </xf>
    <xf numFmtId="168" fontId="250" fillId="0" borderId="146" xfId="863" applyFont="1" applyBorder="1" applyAlignment="1">
      <alignment vertical="center"/>
    </xf>
    <xf numFmtId="0" fontId="315" fillId="131" borderId="146" xfId="43440" applyFont="1" applyFill="1" applyBorder="1" applyAlignment="1">
      <alignment vertical="center"/>
    </xf>
    <xf numFmtId="43" fontId="250" fillId="131" borderId="146" xfId="43441" applyFont="1" applyFill="1" applyBorder="1" applyAlignment="1">
      <alignment vertical="center"/>
    </xf>
    <xf numFmtId="4" fontId="317" fillId="122" borderId="186" xfId="43440" applyNumberFormat="1" applyFont="1" applyFill="1" applyBorder="1" applyAlignment="1">
      <alignment horizontal="center" vertical="center" wrapText="1"/>
    </xf>
    <xf numFmtId="0" fontId="317" fillId="122" borderId="149" xfId="43440" applyFont="1" applyFill="1" applyBorder="1" applyAlignment="1">
      <alignment horizontal="center" vertical="center" wrapText="1"/>
    </xf>
    <xf numFmtId="168" fontId="315" fillId="0" borderId="0" xfId="863" applyFont="1" applyAlignment="1">
      <alignment vertical="center"/>
    </xf>
    <xf numFmtId="43" fontId="250" fillId="42" borderId="190" xfId="43441" applyFont="1" applyFill="1" applyBorder="1" applyAlignment="1">
      <alignment horizontal="right" vertical="center"/>
    </xf>
    <xf numFmtId="0" fontId="315" fillId="0" borderId="148" xfId="43440" applyFont="1" applyBorder="1" applyAlignment="1">
      <alignment vertical="center"/>
    </xf>
    <xf numFmtId="0" fontId="315" fillId="0" borderId="149" xfId="43440" applyFont="1" applyBorder="1" applyAlignment="1">
      <alignment vertical="center"/>
    </xf>
    <xf numFmtId="168" fontId="324" fillId="132" borderId="199" xfId="863" applyFont="1" applyFill="1" applyBorder="1" applyAlignment="1">
      <alignment vertical="center"/>
    </xf>
    <xf numFmtId="168" fontId="315" fillId="0" borderId="199" xfId="863" applyFont="1" applyFill="1" applyBorder="1" applyAlignment="1">
      <alignment vertical="center"/>
    </xf>
    <xf numFmtId="168" fontId="315" fillId="131" borderId="199" xfId="863" applyFont="1" applyFill="1" applyBorder="1" applyAlignment="1">
      <alignment vertical="center"/>
    </xf>
    <xf numFmtId="4" fontId="315" fillId="0" borderId="199" xfId="43440" applyNumberFormat="1" applyFont="1" applyBorder="1" applyAlignment="1">
      <alignment vertical="center"/>
    </xf>
    <xf numFmtId="4" fontId="315" fillId="131" borderId="199" xfId="43440" applyNumberFormat="1" applyFont="1" applyFill="1" applyBorder="1" applyAlignment="1">
      <alignment vertical="center"/>
    </xf>
    <xf numFmtId="168" fontId="250" fillId="0" borderId="199" xfId="863" applyFont="1" applyFill="1" applyBorder="1" applyAlignment="1">
      <alignment horizontal="right" vertical="center"/>
    </xf>
    <xf numFmtId="168" fontId="315" fillId="131" borderId="148" xfId="863" applyFont="1" applyFill="1" applyBorder="1" applyAlignment="1">
      <alignment vertical="center"/>
    </xf>
    <xf numFmtId="168" fontId="315" fillId="131" borderId="149" xfId="863" applyFont="1" applyFill="1" applyBorder="1" applyAlignment="1">
      <alignment vertical="center"/>
    </xf>
    <xf numFmtId="4" fontId="317" fillId="122" borderId="212" xfId="43440" applyNumberFormat="1" applyFont="1" applyFill="1" applyBorder="1" applyAlignment="1">
      <alignment horizontal="center" vertical="center" wrapText="1"/>
    </xf>
    <xf numFmtId="0" fontId="317" fillId="122" borderId="213" xfId="43440" applyFont="1" applyFill="1" applyBorder="1" applyAlignment="1">
      <alignment horizontal="center" vertical="center" wrapText="1"/>
    </xf>
    <xf numFmtId="0" fontId="317" fillId="122" borderId="214" xfId="43440" applyFont="1" applyFill="1" applyBorder="1" applyAlignment="1">
      <alignment horizontal="center" vertical="center" wrapText="1"/>
    </xf>
    <xf numFmtId="168" fontId="0" fillId="0" borderId="0" xfId="863" applyFont="1" applyAlignment="1">
      <alignment horizontal="center" vertical="center"/>
    </xf>
    <xf numFmtId="167" fontId="205" fillId="0" borderId="0" xfId="815" applyFont="1" applyBorder="1" applyAlignment="1">
      <alignment horizontal="left"/>
    </xf>
    <xf numFmtId="168" fontId="43" fillId="41" borderId="0" xfId="863" applyFont="1" applyFill="1"/>
    <xf numFmtId="168" fontId="110" fillId="41" borderId="0" xfId="863" quotePrefix="1" applyFont="1" applyFill="1" applyBorder="1" applyAlignment="1">
      <alignment horizontal="left"/>
    </xf>
    <xf numFmtId="168" fontId="251" fillId="59" borderId="144" xfId="863" applyFont="1" applyFill="1" applyBorder="1" applyAlignment="1">
      <alignment horizontal="left"/>
    </xf>
    <xf numFmtId="0" fontId="325" fillId="0" borderId="0" xfId="0" applyFont="1"/>
    <xf numFmtId="0" fontId="251" fillId="0" borderId="0" xfId="907" applyFont="1" applyAlignment="1">
      <alignment vertical="center"/>
    </xf>
    <xf numFmtId="0" fontId="250" fillId="0" borderId="0" xfId="907" applyFont="1" applyAlignment="1">
      <alignment vertical="center"/>
    </xf>
    <xf numFmtId="0" fontId="314" fillId="43" borderId="190" xfId="907" applyFont="1" applyFill="1" applyBorder="1" applyAlignment="1">
      <alignment vertical="center"/>
    </xf>
    <xf numFmtId="10" fontId="250" fillId="0" borderId="190" xfId="847" applyNumberFormat="1" applyFont="1" applyBorder="1" applyAlignment="1">
      <alignment vertical="center"/>
    </xf>
    <xf numFmtId="168" fontId="205" fillId="0" borderId="178" xfId="0" applyNumberFormat="1" applyFont="1" applyBorder="1"/>
    <xf numFmtId="10" fontId="205" fillId="0" borderId="178" xfId="847" applyNumberFormat="1" applyFont="1" applyBorder="1"/>
    <xf numFmtId="17" fontId="205" fillId="0" borderId="0" xfId="0" applyNumberFormat="1" applyFont="1"/>
    <xf numFmtId="2" fontId="205" fillId="0" borderId="0" xfId="0" applyNumberFormat="1" applyFont="1" applyAlignment="1">
      <alignment horizontal="right"/>
    </xf>
    <xf numFmtId="2" fontId="205" fillId="0" borderId="0" xfId="0" applyNumberFormat="1" applyFont="1"/>
    <xf numFmtId="0" fontId="308" fillId="133" borderId="0" xfId="43437" applyFont="1" applyFill="1" applyAlignment="1">
      <alignment horizontal="right" vertical="center"/>
    </xf>
    <xf numFmtId="0" fontId="309" fillId="133" borderId="0" xfId="43437" applyFont="1" applyFill="1" applyAlignment="1">
      <alignment vertical="center"/>
    </xf>
    <xf numFmtId="0" fontId="309" fillId="133" borderId="0" xfId="43437" applyFont="1" applyFill="1" applyAlignment="1">
      <alignment vertical="center" wrapText="1"/>
    </xf>
    <xf numFmtId="0" fontId="310" fillId="133" borderId="0" xfId="43437" applyFont="1" applyFill="1" applyAlignment="1">
      <alignment vertical="center"/>
    </xf>
    <xf numFmtId="0" fontId="43" fillId="133" borderId="0" xfId="43437" applyFont="1" applyFill="1" applyAlignment="1">
      <alignment vertical="center"/>
    </xf>
    <xf numFmtId="0" fontId="311" fillId="133" borderId="0" xfId="43437" applyFont="1" applyFill="1" applyAlignment="1">
      <alignment vertical="center"/>
    </xf>
    <xf numFmtId="0" fontId="250" fillId="133" borderId="0" xfId="43437" applyFont="1" applyFill="1" applyAlignment="1">
      <alignment vertical="center" wrapText="1"/>
    </xf>
    <xf numFmtId="0" fontId="250" fillId="133" borderId="0" xfId="43437" applyFont="1" applyFill="1" applyAlignment="1">
      <alignment vertical="center"/>
    </xf>
    <xf numFmtId="0" fontId="260" fillId="134" borderId="189" xfId="43438" applyFont="1" applyFill="1" applyBorder="1" applyAlignment="1">
      <alignment horizontal="center" vertical="center" wrapText="1"/>
    </xf>
    <xf numFmtId="0" fontId="250" fillId="135" borderId="200" xfId="43437" quotePrefix="1" applyFont="1" applyFill="1" applyBorder="1" applyAlignment="1">
      <alignment horizontal="left" vertical="center"/>
    </xf>
    <xf numFmtId="170" fontId="250" fillId="136" borderId="201" xfId="863" applyNumberFormat="1" applyFont="1" applyFill="1" applyBorder="1" applyAlignment="1">
      <alignment vertical="center" wrapText="1"/>
    </xf>
    <xf numFmtId="170" fontId="257" fillId="137" borderId="0" xfId="863" applyNumberFormat="1" applyFont="1" applyFill="1" applyBorder="1" applyAlignment="1">
      <alignment vertical="center" wrapText="1"/>
    </xf>
    <xf numFmtId="170" fontId="250" fillId="136" borderId="194" xfId="863" applyNumberFormat="1" applyFont="1" applyFill="1" applyBorder="1" applyAlignment="1">
      <alignment vertical="center" wrapText="1"/>
    </xf>
    <xf numFmtId="170" fontId="250" fillId="136" borderId="194" xfId="863" applyNumberFormat="1" applyFont="1" applyFill="1" applyBorder="1" applyAlignment="1">
      <alignment vertical="center"/>
    </xf>
    <xf numFmtId="0" fontId="250" fillId="133" borderId="0" xfId="43437" applyFont="1" applyFill="1" applyAlignment="1">
      <alignment horizontal="right" vertical="center"/>
    </xf>
    <xf numFmtId="170" fontId="250" fillId="136" borderId="0" xfId="863" applyNumberFormat="1" applyFont="1" applyFill="1" applyBorder="1" applyAlignment="1">
      <alignment vertical="center"/>
    </xf>
    <xf numFmtId="0" fontId="250" fillId="135" borderId="126" xfId="43437" quotePrefix="1" applyFont="1" applyFill="1" applyBorder="1" applyAlignment="1">
      <alignment horizontal="left" vertical="center"/>
    </xf>
    <xf numFmtId="170" fontId="250" fillId="136" borderId="165" xfId="863" applyNumberFormat="1" applyFont="1" applyFill="1" applyBorder="1" applyAlignment="1">
      <alignment vertical="center" wrapText="1"/>
    </xf>
    <xf numFmtId="170" fontId="312" fillId="137" borderId="0" xfId="863" applyNumberFormat="1" applyFont="1" applyFill="1" applyBorder="1" applyAlignment="1">
      <alignment vertical="center" wrapText="1"/>
    </xf>
    <xf numFmtId="170" fontId="250" fillId="136" borderId="0" xfId="863" applyNumberFormat="1" applyFont="1" applyFill="1" applyBorder="1" applyAlignment="1">
      <alignment vertical="center" wrapText="1"/>
    </xf>
    <xf numFmtId="0" fontId="250" fillId="136" borderId="0" xfId="863" applyNumberFormat="1" applyFont="1" applyFill="1" applyBorder="1" applyAlignment="1">
      <alignment vertical="center"/>
    </xf>
    <xf numFmtId="170" fontId="250" fillId="135" borderId="0" xfId="863" applyNumberFormat="1" applyFont="1" applyFill="1" applyBorder="1" applyAlignment="1">
      <alignment vertical="center" wrapText="1"/>
    </xf>
    <xf numFmtId="170" fontId="250" fillId="135" borderId="0" xfId="863" applyNumberFormat="1" applyFont="1" applyFill="1" applyBorder="1" applyAlignment="1">
      <alignment vertical="center"/>
    </xf>
    <xf numFmtId="0" fontId="250" fillId="135" borderId="0" xfId="863" applyNumberFormat="1" applyFont="1" applyFill="1" applyBorder="1" applyAlignment="1">
      <alignment vertical="center"/>
    </xf>
    <xf numFmtId="0" fontId="250" fillId="135" borderId="184" xfId="43437" quotePrefix="1" applyFont="1" applyFill="1" applyBorder="1" applyAlignment="1">
      <alignment horizontal="left" vertical="center"/>
    </xf>
    <xf numFmtId="170" fontId="250" fillId="136" borderId="185" xfId="863" applyNumberFormat="1" applyFont="1" applyFill="1" applyBorder="1" applyAlignment="1">
      <alignment vertical="center" wrapText="1"/>
    </xf>
    <xf numFmtId="170" fontId="250" fillId="135" borderId="178" xfId="863" applyNumberFormat="1" applyFont="1" applyFill="1" applyBorder="1" applyAlignment="1">
      <alignment vertical="center" wrapText="1"/>
    </xf>
    <xf numFmtId="170" fontId="250" fillId="135" borderId="178" xfId="863" applyNumberFormat="1" applyFont="1" applyFill="1" applyBorder="1" applyAlignment="1">
      <alignment vertical="center"/>
    </xf>
    <xf numFmtId="0" fontId="250" fillId="135" borderId="178" xfId="863" applyNumberFormat="1" applyFont="1" applyFill="1" applyBorder="1" applyAlignment="1">
      <alignment vertical="center"/>
    </xf>
    <xf numFmtId="0" fontId="251" fillId="138" borderId="178" xfId="43437" quotePrefix="1" applyFont="1" applyFill="1" applyBorder="1" applyAlignment="1">
      <alignment horizontal="left" vertical="center"/>
    </xf>
    <xf numFmtId="170" fontId="251" fillId="138" borderId="178" xfId="863" applyNumberFormat="1" applyFont="1" applyFill="1" applyBorder="1" applyAlignment="1">
      <alignment vertical="center" wrapText="1"/>
    </xf>
    <xf numFmtId="170" fontId="251" fillId="138" borderId="189" xfId="863" applyNumberFormat="1" applyFont="1" applyFill="1" applyBorder="1" applyAlignment="1">
      <alignment vertical="center" wrapText="1"/>
    </xf>
    <xf numFmtId="170" fontId="251" fillId="138" borderId="178" xfId="863" applyNumberFormat="1" applyFont="1" applyFill="1" applyBorder="1" applyAlignment="1">
      <alignment vertical="center"/>
    </xf>
    <xf numFmtId="170" fontId="251" fillId="136" borderId="0" xfId="863" applyNumberFormat="1" applyFont="1" applyFill="1" applyBorder="1" applyAlignment="1">
      <alignment vertical="center"/>
    </xf>
    <xf numFmtId="168" fontId="250" fillId="133" borderId="0" xfId="43186" applyFont="1" applyFill="1" applyAlignment="1">
      <alignment vertical="center" wrapText="1"/>
    </xf>
    <xf numFmtId="0" fontId="250" fillId="135" borderId="0" xfId="2697" applyFont="1" applyFill="1" applyAlignment="1">
      <alignment vertical="center"/>
    </xf>
    <xf numFmtId="39" fontId="250" fillId="133" borderId="0" xfId="43437" applyNumberFormat="1" applyFont="1" applyFill="1" applyAlignment="1">
      <alignment vertical="center"/>
    </xf>
    <xf numFmtId="0" fontId="260" fillId="139" borderId="189" xfId="43438" applyFont="1" applyFill="1" applyBorder="1" applyAlignment="1">
      <alignment horizontal="center" vertical="center" wrapText="1"/>
    </xf>
    <xf numFmtId="0" fontId="250" fillId="135" borderId="0" xfId="2697" applyFont="1" applyFill="1" applyAlignment="1">
      <alignment vertical="center" wrapText="1"/>
    </xf>
    <xf numFmtId="0" fontId="250" fillId="135" borderId="194" xfId="43437" quotePrefix="1" applyFont="1" applyFill="1" applyBorder="1" applyAlignment="1">
      <alignment horizontal="left" vertical="center"/>
    </xf>
    <xf numFmtId="0" fontId="250" fillId="133" borderId="194" xfId="43437" applyFont="1" applyFill="1" applyBorder="1" applyAlignment="1">
      <alignment vertical="center" wrapText="1"/>
    </xf>
    <xf numFmtId="0" fontId="250" fillId="140" borderId="0" xfId="2697" applyFont="1" applyFill="1" applyAlignment="1">
      <alignment vertical="center" wrapText="1"/>
    </xf>
    <xf numFmtId="0" fontId="250" fillId="135" borderId="0" xfId="43437" quotePrefix="1" applyFont="1" applyFill="1" applyAlignment="1">
      <alignment horizontal="left" vertical="center"/>
    </xf>
    <xf numFmtId="43" fontId="250" fillId="136" borderId="0" xfId="43408" applyFont="1" applyFill="1" applyBorder="1" applyAlignment="1">
      <alignment vertical="center" wrapText="1"/>
    </xf>
    <xf numFmtId="43" fontId="250" fillId="140" borderId="0" xfId="43408" applyFont="1" applyFill="1" applyBorder="1" applyAlignment="1">
      <alignment vertical="center" wrapText="1"/>
    </xf>
    <xf numFmtId="168" fontId="250" fillId="141" borderId="0" xfId="863" applyFont="1" applyFill="1" applyBorder="1" applyAlignment="1">
      <alignment vertical="center" wrapText="1"/>
    </xf>
    <xf numFmtId="0" fontId="250" fillId="133" borderId="0" xfId="2697" applyFont="1" applyFill="1" applyAlignment="1">
      <alignment vertical="center" wrapText="1"/>
    </xf>
    <xf numFmtId="0" fontId="250" fillId="141" borderId="178" xfId="2697" applyFont="1" applyFill="1" applyBorder="1" applyAlignment="1">
      <alignment vertical="center" wrapText="1"/>
    </xf>
    <xf numFmtId="0" fontId="250" fillId="140" borderId="178" xfId="2697" applyFont="1" applyFill="1" applyBorder="1" applyAlignment="1">
      <alignment vertical="center" wrapText="1"/>
    </xf>
    <xf numFmtId="278" fontId="250" fillId="0" borderId="0" xfId="2697" applyNumberFormat="1" applyFont="1" applyAlignment="1">
      <alignment vertical="center"/>
    </xf>
    <xf numFmtId="9" fontId="30" fillId="0" borderId="0" xfId="2697" applyNumberFormat="1"/>
    <xf numFmtId="10" fontId="211" fillId="0" borderId="0" xfId="847" applyNumberFormat="1" applyFont="1" applyAlignment="1">
      <alignment horizontal="right" vertical="center"/>
    </xf>
    <xf numFmtId="0" fontId="208" fillId="44" borderId="146" xfId="0" applyFont="1" applyFill="1" applyBorder="1" applyAlignment="1">
      <alignment horizontal="center" vertical="center" textRotation="90"/>
    </xf>
    <xf numFmtId="0" fontId="208" fillId="44" borderId="10" xfId="0" applyFont="1" applyFill="1" applyBorder="1" applyAlignment="1">
      <alignment horizontal="center" vertical="center" textRotation="90"/>
    </xf>
    <xf numFmtId="0" fontId="208" fillId="44" borderId="154" xfId="0" applyFont="1" applyFill="1" applyBorder="1" applyAlignment="1">
      <alignment horizontal="center" vertical="center" textRotation="90"/>
    </xf>
    <xf numFmtId="167" fontId="30" fillId="42" borderId="144" xfId="815" applyFont="1" applyFill="1" applyBorder="1" applyAlignment="1">
      <alignment horizontal="center"/>
    </xf>
    <xf numFmtId="0" fontId="272" fillId="43" borderId="168" xfId="0" applyFont="1" applyFill="1" applyBorder="1" applyAlignment="1">
      <alignment horizontal="center" vertical="center" wrapText="1"/>
    </xf>
    <xf numFmtId="0" fontId="272" fillId="43" borderId="160" xfId="0" applyFont="1" applyFill="1" applyBorder="1" applyAlignment="1">
      <alignment horizontal="center" vertical="center" wrapText="1"/>
    </xf>
    <xf numFmtId="167" fontId="30" fillId="59" borderId="170" xfId="815" applyFont="1" applyFill="1" applyBorder="1" applyAlignment="1">
      <alignment horizontal="center" vertical="center"/>
    </xf>
    <xf numFmtId="167" fontId="30" fillId="59" borderId="175" xfId="815" applyFont="1" applyFill="1" applyBorder="1" applyAlignment="1">
      <alignment horizontal="center" vertical="center"/>
    </xf>
    <xf numFmtId="0" fontId="272" fillId="0" borderId="144" xfId="0" applyFont="1" applyBorder="1" applyAlignment="1">
      <alignment horizontal="center" vertical="center" wrapText="1"/>
    </xf>
    <xf numFmtId="167" fontId="30" fillId="59" borderId="172" xfId="815" applyFont="1" applyFill="1" applyBorder="1" applyAlignment="1">
      <alignment horizontal="center" vertical="center"/>
    </xf>
    <xf numFmtId="167" fontId="30" fillId="59" borderId="177" xfId="815" applyFont="1" applyFill="1" applyBorder="1" applyAlignment="1">
      <alignment horizontal="center" vertical="center"/>
    </xf>
    <xf numFmtId="168" fontId="116" fillId="103" borderId="144" xfId="863" applyFont="1" applyFill="1" applyBorder="1" applyAlignment="1">
      <alignment horizontal="center" vertical="top" wrapText="1"/>
    </xf>
    <xf numFmtId="0" fontId="30" fillId="0" borderId="20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79" fillId="96" borderId="20" xfId="0" applyFont="1" applyFill="1" applyBorder="1" applyAlignment="1">
      <alignment horizontal="center" vertical="center"/>
    </xf>
    <xf numFmtId="0" fontId="279" fillId="96" borderId="0" xfId="0" applyFont="1" applyFill="1" applyAlignment="1">
      <alignment horizontal="center" vertical="center"/>
    </xf>
    <xf numFmtId="0" fontId="36" fillId="0" borderId="178" xfId="0" applyFont="1" applyBorder="1" applyAlignment="1">
      <alignment horizontal="left"/>
    </xf>
    <xf numFmtId="0" fontId="30" fillId="59" borderId="178" xfId="907" applyFill="1" applyBorder="1" applyAlignment="1">
      <alignment horizontal="left"/>
    </xf>
    <xf numFmtId="167" fontId="30" fillId="59" borderId="167" xfId="815" applyFont="1" applyFill="1" applyBorder="1" applyAlignment="1">
      <alignment horizontal="center" vertical="center"/>
    </xf>
    <xf numFmtId="167" fontId="30" fillId="59" borderId="176" xfId="815" applyFont="1" applyFill="1" applyBorder="1" applyAlignment="1">
      <alignment horizontal="center" vertical="center"/>
    </xf>
    <xf numFmtId="0" fontId="30" fillId="59" borderId="166" xfId="907" applyFill="1" applyBorder="1" applyAlignment="1">
      <alignment horizontal="left"/>
    </xf>
    <xf numFmtId="0" fontId="30" fillId="59" borderId="0" xfId="907" applyFill="1" applyAlignment="1">
      <alignment horizontal="left"/>
    </xf>
    <xf numFmtId="167" fontId="30" fillId="44" borderId="167" xfId="815" applyFont="1" applyFill="1" applyBorder="1" applyAlignment="1">
      <alignment horizontal="center" vertical="center"/>
    </xf>
    <xf numFmtId="167" fontId="30" fillId="44" borderId="176" xfId="815" applyFont="1" applyFill="1" applyBorder="1" applyAlignment="1">
      <alignment horizontal="center" vertical="center"/>
    </xf>
    <xf numFmtId="167" fontId="30" fillId="44" borderId="170" xfId="815" applyFont="1" applyFill="1" applyBorder="1" applyAlignment="1">
      <alignment horizontal="center" vertical="center"/>
    </xf>
    <xf numFmtId="167" fontId="30" fillId="44" borderId="175" xfId="815" applyFont="1" applyFill="1" applyBorder="1" applyAlignment="1">
      <alignment horizontal="center" vertical="center"/>
    </xf>
    <xf numFmtId="167" fontId="30" fillId="44" borderId="172" xfId="815" applyFont="1" applyFill="1" applyBorder="1" applyAlignment="1">
      <alignment horizontal="center" vertical="center"/>
    </xf>
    <xf numFmtId="167" fontId="30" fillId="44" borderId="177" xfId="815" applyFont="1" applyFill="1" applyBorder="1" applyAlignment="1">
      <alignment horizontal="center" vertical="center"/>
    </xf>
    <xf numFmtId="0" fontId="235" fillId="0" borderId="166" xfId="907" applyFont="1" applyBorder="1" applyAlignment="1">
      <alignment horizontal="left"/>
    </xf>
    <xf numFmtId="0" fontId="36" fillId="0" borderId="166" xfId="907" applyFont="1" applyBorder="1" applyAlignment="1">
      <alignment horizontal="left"/>
    </xf>
    <xf numFmtId="9" fontId="38" fillId="38" borderId="0" xfId="1823" applyFont="1" applyFill="1" applyBorder="1" applyAlignment="1">
      <alignment horizontal="center" vertical="center" wrapText="1"/>
    </xf>
    <xf numFmtId="167" fontId="110" fillId="41" borderId="0" xfId="907" applyNumberFormat="1" applyFont="1" applyFill="1" applyAlignment="1">
      <alignment horizontal="center"/>
    </xf>
    <xf numFmtId="0" fontId="143" fillId="41" borderId="0" xfId="907" applyFont="1" applyFill="1" applyAlignment="1">
      <alignment horizontal="center"/>
    </xf>
    <xf numFmtId="9" fontId="317" fillId="55" borderId="144" xfId="1823" applyFont="1" applyFill="1" applyBorder="1" applyAlignment="1">
      <alignment horizontal="left" vertical="center"/>
    </xf>
    <xf numFmtId="0" fontId="117" fillId="55" borderId="144" xfId="954" applyFont="1" applyFill="1" applyBorder="1" applyAlignment="1">
      <alignment horizontal="center" vertical="center"/>
    </xf>
    <xf numFmtId="9" fontId="38" fillId="0" borderId="0" xfId="1823" applyFont="1" applyFill="1" applyBorder="1" applyAlignment="1">
      <alignment horizontal="center" vertical="center" wrapText="1"/>
    </xf>
    <xf numFmtId="0" fontId="110" fillId="41" borderId="0" xfId="2697" applyFont="1" applyFill="1" applyAlignment="1">
      <alignment horizontal="center" vertical="center"/>
    </xf>
    <xf numFmtId="0" fontId="43" fillId="41" borderId="0" xfId="907" applyFont="1" applyFill="1" applyAlignment="1">
      <alignment horizontal="left" indent="1"/>
    </xf>
    <xf numFmtId="0" fontId="117" fillId="41" borderId="0" xfId="907" applyFont="1" applyFill="1" applyAlignment="1">
      <alignment horizontal="left"/>
    </xf>
    <xf numFmtId="9" fontId="38" fillId="0" borderId="0" xfId="1823" applyFont="1" applyFill="1" applyBorder="1" applyAlignment="1">
      <alignment horizontal="left" vertical="center" wrapText="1"/>
    </xf>
    <xf numFmtId="9" fontId="43" fillId="0" borderId="0" xfId="1823" applyFont="1" applyFill="1" applyBorder="1" applyAlignment="1">
      <alignment horizontal="left" vertical="center" wrapText="1"/>
    </xf>
    <xf numFmtId="0" fontId="296" fillId="0" borderId="194" xfId="0" applyFont="1" applyBorder="1" applyAlignment="1">
      <alignment horizontal="center"/>
    </xf>
    <xf numFmtId="0" fontId="36" fillId="0" borderId="190" xfId="907" applyFont="1" applyBorder="1" applyAlignment="1">
      <alignment horizontal="center"/>
    </xf>
    <xf numFmtId="0" fontId="36" fillId="0" borderId="192" xfId="907" applyFont="1" applyBorder="1" applyAlignment="1">
      <alignment horizontal="center"/>
    </xf>
    <xf numFmtId="0" fontId="36" fillId="0" borderId="194" xfId="907" applyFont="1" applyBorder="1" applyAlignment="1">
      <alignment horizontal="center"/>
    </xf>
    <xf numFmtId="0" fontId="205" fillId="33" borderId="191" xfId="831" applyFont="1" applyFill="1" applyBorder="1" applyAlignment="1">
      <alignment horizontal="center" vertical="center"/>
    </xf>
    <xf numFmtId="0" fontId="205" fillId="33" borderId="195" xfId="831" applyFont="1" applyFill="1" applyBorder="1" applyAlignment="1">
      <alignment horizontal="center" vertical="center"/>
    </xf>
    <xf numFmtId="17" fontId="38" fillId="55" borderId="126" xfId="905" applyNumberFormat="1" applyFont="1" applyFill="1" applyBorder="1" applyAlignment="1">
      <alignment horizontal="center" vertical="center" wrapText="1"/>
    </xf>
    <xf numFmtId="254" fontId="38" fillId="55" borderId="198" xfId="863" applyNumberFormat="1" applyFont="1" applyFill="1" applyBorder="1" applyAlignment="1">
      <alignment horizontal="center" vertical="center" wrapText="1"/>
    </xf>
    <xf numFmtId="17" fontId="38" fillId="55" borderId="127" xfId="905" applyNumberFormat="1" applyFont="1" applyFill="1" applyBorder="1" applyAlignment="1">
      <alignment horizontal="center" vertical="center" wrapText="1"/>
    </xf>
    <xf numFmtId="170" fontId="38" fillId="55" borderId="128" xfId="863" applyNumberFormat="1" applyFont="1" applyFill="1" applyBorder="1" applyAlignment="1">
      <alignment horizontal="center" vertical="center"/>
    </xf>
    <xf numFmtId="170" fontId="38" fillId="55" borderId="129" xfId="863" applyNumberFormat="1" applyFont="1" applyFill="1" applyBorder="1" applyAlignment="1">
      <alignment horizontal="center" vertical="center"/>
    </xf>
    <xf numFmtId="0" fontId="38" fillId="55" borderId="130" xfId="905" applyFont="1" applyFill="1" applyBorder="1" applyAlignment="1">
      <alignment horizontal="center" vertical="center"/>
    </xf>
    <xf numFmtId="0" fontId="38" fillId="55" borderId="0" xfId="905" applyFont="1" applyFill="1" applyAlignment="1">
      <alignment horizontal="center" vertical="center"/>
    </xf>
    <xf numFmtId="0" fontId="117" fillId="55" borderId="131" xfId="2697" applyFont="1" applyFill="1" applyBorder="1" applyAlignment="1">
      <alignment horizontal="center" vertical="center"/>
    </xf>
    <xf numFmtId="0" fontId="117" fillId="55" borderId="0" xfId="2697" applyFont="1" applyFill="1" applyAlignment="1">
      <alignment horizontal="center" vertical="center"/>
    </xf>
    <xf numFmtId="0" fontId="117" fillId="55" borderId="136" xfId="2697" applyFont="1" applyFill="1" applyBorder="1" applyAlignment="1">
      <alignment horizontal="center" vertical="center"/>
    </xf>
    <xf numFmtId="0" fontId="117" fillId="55" borderId="125" xfId="2697" applyFont="1" applyFill="1" applyBorder="1" applyAlignment="1">
      <alignment horizontal="center" vertical="center"/>
    </xf>
    <xf numFmtId="170" fontId="117" fillId="55" borderId="132" xfId="863" applyNumberFormat="1" applyFont="1" applyFill="1" applyBorder="1" applyAlignment="1">
      <alignment horizontal="center" vertical="center" wrapText="1"/>
    </xf>
    <xf numFmtId="170" fontId="117" fillId="55" borderId="133" xfId="863" applyNumberFormat="1" applyFont="1" applyFill="1" applyBorder="1" applyAlignment="1">
      <alignment horizontal="center" vertical="center" wrapText="1"/>
    </xf>
    <xf numFmtId="170" fontId="117" fillId="55" borderId="134" xfId="863" applyNumberFormat="1" applyFont="1" applyFill="1" applyBorder="1" applyAlignment="1">
      <alignment horizontal="center" vertical="center" wrapText="1"/>
    </xf>
    <xf numFmtId="0" fontId="117" fillId="55" borderId="135" xfId="2697" applyFont="1" applyFill="1" applyBorder="1" applyAlignment="1">
      <alignment horizontal="center" vertical="center" wrapText="1"/>
    </xf>
    <xf numFmtId="0" fontId="117" fillId="55" borderId="133" xfId="2697" applyFont="1" applyFill="1" applyBorder="1" applyAlignment="1">
      <alignment horizontal="center" vertical="center" wrapText="1"/>
    </xf>
    <xf numFmtId="0" fontId="117" fillId="55" borderId="134" xfId="2697" applyFont="1" applyFill="1" applyBorder="1" applyAlignment="1">
      <alignment horizontal="center" vertical="center" wrapText="1"/>
    </xf>
    <xf numFmtId="0" fontId="212" fillId="43" borderId="189" xfId="0" applyFont="1" applyFill="1" applyBorder="1" applyAlignment="1">
      <alignment horizontal="center" vertical="center" wrapText="1"/>
    </xf>
    <xf numFmtId="0" fontId="208" fillId="97" borderId="189" xfId="0" applyFont="1" applyFill="1" applyBorder="1" applyAlignment="1">
      <alignment horizontal="center" vertical="center" wrapText="1"/>
    </xf>
    <xf numFmtId="0" fontId="272" fillId="101" borderId="190" xfId="2697" applyFont="1" applyFill="1" applyBorder="1" applyAlignment="1">
      <alignment horizontal="center"/>
    </xf>
    <xf numFmtId="0" fontId="117" fillId="55" borderId="126" xfId="2697" applyFont="1" applyFill="1" applyBorder="1" applyAlignment="1">
      <alignment horizontal="left" vertical="center" wrapText="1"/>
    </xf>
    <xf numFmtId="0" fontId="117" fillId="55" borderId="165" xfId="2697" applyFont="1" applyFill="1" applyBorder="1" applyAlignment="1">
      <alignment horizontal="left" vertical="center" wrapText="1"/>
    </xf>
    <xf numFmtId="0" fontId="117" fillId="55" borderId="131" xfId="2697" applyFont="1" applyFill="1" applyBorder="1" applyAlignment="1">
      <alignment horizontal="left" vertical="center" wrapText="1"/>
    </xf>
    <xf numFmtId="0" fontId="208" fillId="41" borderId="192" xfId="832" applyFont="1" applyFill="1" applyBorder="1" applyAlignment="1">
      <alignment horizontal="center" vertical="center" wrapText="1"/>
    </xf>
    <xf numFmtId="0" fontId="208" fillId="41" borderId="193" xfId="0" applyFont="1" applyFill="1" applyBorder="1" applyAlignment="1">
      <alignment horizontal="center" vertical="center" wrapText="1"/>
    </xf>
    <xf numFmtId="0" fontId="208" fillId="0" borderId="192" xfId="0" applyFont="1" applyBorder="1" applyAlignment="1">
      <alignment horizontal="center" vertical="center"/>
    </xf>
    <xf numFmtId="0" fontId="208" fillId="0" borderId="193" xfId="0" applyFont="1" applyBorder="1" applyAlignment="1">
      <alignment horizontal="center" vertical="center"/>
    </xf>
    <xf numFmtId="0" fontId="208" fillId="0" borderId="191" xfId="0" applyFont="1" applyBorder="1" applyAlignment="1">
      <alignment horizontal="center" vertical="center"/>
    </xf>
    <xf numFmtId="0" fontId="208" fillId="0" borderId="195" xfId="0" applyFont="1" applyBorder="1" applyAlignment="1">
      <alignment horizontal="center" vertical="center"/>
    </xf>
    <xf numFmtId="0" fontId="208" fillId="41" borderId="192" xfId="0" applyFont="1" applyFill="1" applyBorder="1" applyAlignment="1">
      <alignment horizontal="center" vertical="center"/>
    </xf>
    <xf numFmtId="0" fontId="208" fillId="41" borderId="193" xfId="0" applyFont="1" applyFill="1" applyBorder="1" applyAlignment="1">
      <alignment horizontal="center" vertical="center"/>
    </xf>
    <xf numFmtId="0" fontId="208" fillId="0" borderId="0" xfId="0" applyFont="1" applyAlignment="1">
      <alignment horizontal="center"/>
    </xf>
    <xf numFmtId="0" fontId="215" fillId="0" borderId="0" xfId="836" applyFont="1" applyFill="1" applyBorder="1" applyAlignment="1">
      <alignment horizontal="left" vertical="center" wrapText="1"/>
    </xf>
    <xf numFmtId="0" fontId="205" fillId="0" borderId="0" xfId="0" applyFont="1" applyAlignment="1">
      <alignment horizontal="left" vertical="center" wrapText="1"/>
    </xf>
    <xf numFmtId="0" fontId="207" fillId="0" borderId="189" xfId="833" applyFont="1" applyBorder="1" applyAlignment="1">
      <alignment horizontal="left" vertical="center" wrapText="1"/>
    </xf>
    <xf numFmtId="0" fontId="205" fillId="0" borderId="189" xfId="0" applyFont="1" applyBorder="1" applyAlignment="1">
      <alignment horizontal="left" vertical="center" wrapText="1"/>
    </xf>
    <xf numFmtId="0" fontId="208" fillId="0" borderId="191" xfId="0" applyFont="1" applyBorder="1" applyAlignment="1">
      <alignment horizontal="left" vertical="center"/>
    </xf>
    <xf numFmtId="0" fontId="208" fillId="0" borderId="195" xfId="0" applyFont="1" applyBorder="1" applyAlignment="1">
      <alignment horizontal="left" vertical="center"/>
    </xf>
    <xf numFmtId="0" fontId="215" fillId="0" borderId="178" xfId="836" applyFont="1" applyFill="1" applyBorder="1" applyAlignment="1">
      <alignment horizontal="left" vertical="center" wrapText="1"/>
    </xf>
    <xf numFmtId="0" fontId="205" fillId="0" borderId="178" xfId="0" applyFont="1" applyBorder="1" applyAlignment="1">
      <alignment horizontal="left" vertical="center" wrapText="1"/>
    </xf>
    <xf numFmtId="0" fontId="215" fillId="0" borderId="189" xfId="836" applyFont="1" applyFill="1" applyBorder="1" applyAlignment="1">
      <alignment horizontal="left" vertical="center" wrapText="1"/>
    </xf>
    <xf numFmtId="0" fontId="215" fillId="0" borderId="194" xfId="836" applyFont="1" applyFill="1" applyBorder="1" applyAlignment="1">
      <alignment horizontal="left" vertical="center" wrapText="1"/>
    </xf>
    <xf numFmtId="0" fontId="205" fillId="0" borderId="194" xfId="0" applyFont="1" applyBorder="1" applyAlignment="1">
      <alignment horizontal="left" vertical="center" wrapText="1"/>
    </xf>
    <xf numFmtId="0" fontId="208" fillId="0" borderId="192" xfId="0" applyFont="1" applyBorder="1" applyAlignment="1">
      <alignment horizontal="center" vertical="center" wrapText="1"/>
    </xf>
    <xf numFmtId="0" fontId="208" fillId="0" borderId="193" xfId="0" applyFont="1" applyBorder="1" applyAlignment="1">
      <alignment horizontal="center" vertical="center" wrapText="1"/>
    </xf>
    <xf numFmtId="0" fontId="208" fillId="105" borderId="191" xfId="0" applyFont="1" applyFill="1" applyBorder="1" applyAlignment="1">
      <alignment horizontal="center" vertical="center"/>
    </xf>
    <xf numFmtId="0" fontId="208" fillId="105" borderId="195" xfId="0" applyFont="1" applyFill="1" applyBorder="1" applyAlignment="1">
      <alignment horizontal="center" vertical="center"/>
    </xf>
    <xf numFmtId="10" fontId="250" fillId="0" borderId="191" xfId="7308" applyNumberFormat="1" applyFont="1" applyBorder="1" applyAlignment="1">
      <alignment horizontal="center"/>
    </xf>
    <xf numFmtId="0" fontId="250" fillId="0" borderId="189" xfId="7308" applyFont="1" applyBorder="1" applyAlignment="1">
      <alignment horizontal="center"/>
    </xf>
    <xf numFmtId="0" fontId="250" fillId="0" borderId="195" xfId="7308" applyFont="1" applyBorder="1" applyAlignment="1">
      <alignment horizontal="center"/>
    </xf>
    <xf numFmtId="214" fontId="250" fillId="0" borderId="191" xfId="43165" applyNumberFormat="1" applyFont="1" applyBorder="1" applyAlignment="1">
      <alignment horizontal="center"/>
    </xf>
    <xf numFmtId="214" fontId="250" fillId="0" borderId="189" xfId="43165" applyNumberFormat="1" applyFont="1" applyBorder="1" applyAlignment="1">
      <alignment horizontal="center"/>
    </xf>
    <xf numFmtId="214" fontId="250" fillId="0" borderId="195" xfId="43165" applyNumberFormat="1" applyFont="1" applyBorder="1" applyAlignment="1">
      <alignment horizontal="center"/>
    </xf>
    <xf numFmtId="214" fontId="250" fillId="0" borderId="191" xfId="7308" applyNumberFormat="1" applyFont="1" applyBorder="1" applyAlignment="1">
      <alignment horizontal="center"/>
    </xf>
    <xf numFmtId="214" fontId="250" fillId="0" borderId="189" xfId="7308" applyNumberFormat="1" applyFont="1" applyBorder="1" applyAlignment="1">
      <alignment horizontal="center"/>
    </xf>
    <xf numFmtId="214" fontId="250" fillId="0" borderId="195" xfId="7308" applyNumberFormat="1" applyFont="1" applyBorder="1" applyAlignment="1">
      <alignment horizontal="center"/>
    </xf>
  </cellXfs>
  <cellStyles count="43442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60EF6D91-EB5E-405E-8CBC-DF2999A1455F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F403E359-2E95-4295-A0B2-CFE88AA8A686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1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0"/>
    </tableStyle>
    <tableStyle name="Padrão" pivot="0" count="1" xr9:uid="{3101F1C1-6DA4-4166-994B-3EC22CFD8317}">
      <tableStyleElement type="headerRow" dxfId="579"/>
    </tableStyle>
    <tableStyle name="Padrão 2" pivot="0" count="2" xr9:uid="{85D0CDF3-BF56-48CA-93DE-51D2DBCCC9A6}">
      <tableStyleElement type="wholeTable" dxfId="578"/>
      <tableStyleElement type="headerRow" dxfId="57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8.xml"/><Relationship Id="rId47" Type="http://schemas.openxmlformats.org/officeDocument/2006/relationships/externalLink" Target="externalLinks/externalLink13.xml"/><Relationship Id="rId50" Type="http://schemas.openxmlformats.org/officeDocument/2006/relationships/externalLink" Target="externalLinks/externalLink16.xml"/><Relationship Id="rId55" Type="http://schemas.openxmlformats.org/officeDocument/2006/relationships/externalLink" Target="externalLinks/externalLink21.xml"/><Relationship Id="rId63" Type="http://schemas.microsoft.com/office/2017/10/relationships/person" Target="persons/person.xml"/><Relationship Id="rId68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externalLink" Target="externalLinks/externalLink11.xml"/><Relationship Id="rId53" Type="http://schemas.openxmlformats.org/officeDocument/2006/relationships/externalLink" Target="externalLinks/externalLink19.xml"/><Relationship Id="rId58" Type="http://schemas.openxmlformats.org/officeDocument/2006/relationships/theme" Target="theme/theme1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externalLink" Target="externalLinks/externalLink9.xml"/><Relationship Id="rId48" Type="http://schemas.openxmlformats.org/officeDocument/2006/relationships/externalLink" Target="externalLinks/externalLink14.xml"/><Relationship Id="rId56" Type="http://schemas.openxmlformats.org/officeDocument/2006/relationships/pivotCacheDefinition" Target="pivotCache/pivotCacheDefinition1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46" Type="http://schemas.openxmlformats.org/officeDocument/2006/relationships/externalLink" Target="externalLinks/externalLink12.xml"/><Relationship Id="rId59" Type="http://schemas.openxmlformats.org/officeDocument/2006/relationships/connections" Target="connections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Relationship Id="rId54" Type="http://schemas.openxmlformats.org/officeDocument/2006/relationships/externalLink" Target="externalLinks/externalLink20.xml"/><Relationship Id="rId62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49" Type="http://schemas.openxmlformats.org/officeDocument/2006/relationships/externalLink" Target="externalLinks/externalLink15.xml"/><Relationship Id="rId57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0.xml"/><Relationship Id="rId52" Type="http://schemas.openxmlformats.org/officeDocument/2006/relationships/externalLink" Target="externalLinks/externalLink18.xml"/><Relationship Id="rId60" Type="http://schemas.openxmlformats.org/officeDocument/2006/relationships/styles" Target="styles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5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4.8513635196942448E-2</c:v>
                </c:pt>
                <c:pt idx="1">
                  <c:v>2.1229429015999265E-2</c:v>
                </c:pt>
                <c:pt idx="2">
                  <c:v>2.2037043211425309E-3</c:v>
                </c:pt>
                <c:pt idx="3">
                  <c:v>7.3096608863396764E-2</c:v>
                </c:pt>
                <c:pt idx="4">
                  <c:v>-6.9000000000000006E-2</c:v>
                </c:pt>
                <c:pt idx="5">
                  <c:v>8.2400000000000001E-2</c:v>
                </c:pt>
                <c:pt idx="6">
                  <c:v>0.15841300794861213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0.4087271727569296</c:v>
                </c:pt>
                <c:pt idx="1">
                  <c:v>0.28962714323571098</c:v>
                </c:pt>
                <c:pt idx="2">
                  <c:v>8.0029443629654876E-2</c:v>
                </c:pt>
                <c:pt idx="3">
                  <c:v>0</c:v>
                </c:pt>
                <c:pt idx="4">
                  <c:v>0</c:v>
                </c:pt>
                <c:pt idx="5">
                  <c:v>2.5431788706126817E-2</c:v>
                </c:pt>
                <c:pt idx="6">
                  <c:v>0.15120186647648187</c:v>
                </c:pt>
                <c:pt idx="7">
                  <c:v>2.8325965352841494E-2</c:v>
                </c:pt>
                <c:pt idx="8">
                  <c:v>4.349527196489953E-2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83335410.108129561</c:v>
                </c:pt>
                <c:pt idx="1">
                  <c:v>98760388.681823671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69517323.217412025</c:v>
                </c:pt>
                <c:pt idx="1">
                  <c:v>69982352.887938946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14857571.855821922</c:v>
                </c:pt>
                <c:pt idx="1">
                  <c:v>19337444.35326587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43311502.991986528</c:v>
                </c:pt>
                <c:pt idx="1">
                  <c:v>53548938.012307599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0.30636350816581825</c:v>
                </c:pt>
                <c:pt idx="1">
                  <c:v>0.21709148198596737</c:v>
                </c:pt>
                <c:pt idx="2">
                  <c:v>5.9986472006647321E-2</c:v>
                </c:pt>
                <c:pt idx="3">
                  <c:v>0.16611356766585741</c:v>
                </c:pt>
                <c:pt idx="4">
                  <c:v>0.24349817755939715</c:v>
                </c:pt>
                <c:pt idx="5" formatCode="0.00%">
                  <c:v>6.9467926163124171E-3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Certel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422.87</c:v>
                </c:pt>
                <c:pt idx="1">
                  <c:v>458.66</c:v>
                </c:pt>
                <c:pt idx="2">
                  <c:v>484.06</c:v>
                </c:pt>
                <c:pt idx="3">
                  <c:v>508.88999999999993</c:v>
                </c:pt>
                <c:pt idx="4">
                  <c:v>582.96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418.97069632390878</c:v>
                </c:pt>
                <c:pt idx="1">
                  <c:v>446.24630283013676</c:v>
                </c:pt>
                <c:pt idx="2">
                  <c:v>478.88468977098756</c:v>
                </c:pt>
                <c:pt idx="3">
                  <c:v>650.09239185013894</c:v>
                </c:pt>
                <c:pt idx="4">
                  <c:v>719.67981626600397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403.34828392430404</c:v>
                </c:pt>
                <c:pt idx="1">
                  <c:v>416.92606471614033</c:v>
                </c:pt>
                <c:pt idx="2">
                  <c:v>425.81666860427566</c:v>
                </c:pt>
                <c:pt idx="3">
                  <c:v>461.35989407737515</c:v>
                </c:pt>
                <c:pt idx="4">
                  <c:v>516.20114318930439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Certel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297.12</c:v>
                </c:pt>
                <c:pt idx="1">
                  <c:v>269.27</c:v>
                </c:pt>
                <c:pt idx="2">
                  <c:v>373.22999999999996</c:v>
                </c:pt>
                <c:pt idx="3" formatCode="_(* #,##0.00_);_(* \(#,##0.00\);_(* &quot;-&quot;??_);_(@_)">
                  <c:v>358.46</c:v>
                </c:pt>
                <c:pt idx="4" formatCode="_(* #,##0.00_);_(* \(#,##0.00\);_(* &quot;-&quot;??_);_(@_)">
                  <c:v>384</c:v>
                </c:pt>
                <c:pt idx="5" formatCode="_(* #,##0.00_);_(* \(#,##0.00\);_(* &quot;-&quot;??_);_(@_)">
                  <c:v>422.87</c:v>
                </c:pt>
                <c:pt idx="6" formatCode="_(* #,##0.00_);_(* \(#,##0.00\);_(* &quot;-&quot;??_);_(@_)">
                  <c:v>458.66</c:v>
                </c:pt>
                <c:pt idx="7" formatCode="_(* #,##0.00_);_(* \(#,##0.00\);_(* &quot;-&quot;??_);_(@_)">
                  <c:v>484.06</c:v>
                </c:pt>
                <c:pt idx="8" formatCode="_(* #,##0.00_);_(* \(#,##0.00\);_(* &quot;-&quot;??_);_(@_)">
                  <c:v>508.88999999999993</c:v>
                </c:pt>
                <c:pt idx="9" formatCode="_(* #,##0.00_);_(* \(#,##0.00\);_(* &quot;-&quot;??_);_(@_)">
                  <c:v>582.96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297.12</c:v>
                </c:pt>
                <c:pt idx="1">
                  <c:v>333.31789495582223</c:v>
                </c:pt>
                <c:pt idx="2">
                  <c:v>351.95950956781354</c:v>
                </c:pt>
                <c:pt idx="3">
                  <c:v>394.92399852426058</c:v>
                </c:pt>
                <c:pt idx="4">
                  <c:v>391.84979702877644</c:v>
                </c:pt>
                <c:pt idx="5">
                  <c:v>418.97069632390878</c:v>
                </c:pt>
                <c:pt idx="6">
                  <c:v>446.24630283013676</c:v>
                </c:pt>
                <c:pt idx="7">
                  <c:v>478.88468977098756</c:v>
                </c:pt>
                <c:pt idx="8">
                  <c:v>650.09239185013894</c:v>
                </c:pt>
                <c:pt idx="9">
                  <c:v>719.67981626600397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297.12</c:v>
                </c:pt>
                <c:pt idx="1">
                  <c:v>316.50198023638831</c:v>
                </c:pt>
                <c:pt idx="2">
                  <c:v>344.65302719111281</c:v>
                </c:pt>
                <c:pt idx="3">
                  <c:v>375.13327003810628</c:v>
                </c:pt>
                <c:pt idx="4">
                  <c:v>386.38185493767355</c:v>
                </c:pt>
                <c:pt idx="5">
                  <c:v>403.34828392430404</c:v>
                </c:pt>
                <c:pt idx="6">
                  <c:v>416.92606471614033</c:v>
                </c:pt>
                <c:pt idx="7">
                  <c:v>425.81666860427566</c:v>
                </c:pt>
                <c:pt idx="8">
                  <c:v>461.35989407737515</c:v>
                </c:pt>
                <c:pt idx="9">
                  <c:v>516.20114318930439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[PERSAS_RTP_ 2022_Certel.xlsx]Calc_Mercado!Tabela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Soma de TUSD_E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35295.489999999991</c:v>
                </c:pt>
                <c:pt idx="1">
                  <c:v>35600.283999999992</c:v>
                </c:pt>
                <c:pt idx="2">
                  <c:v>34728.017</c:v>
                </c:pt>
                <c:pt idx="3">
                  <c:v>34050.485000000001</c:v>
                </c:pt>
                <c:pt idx="4">
                  <c:v>35713.196000000011</c:v>
                </c:pt>
                <c:pt idx="5">
                  <c:v>35870.325999999986</c:v>
                </c:pt>
                <c:pt idx="6">
                  <c:v>42925.852000000006</c:v>
                </c:pt>
                <c:pt idx="7">
                  <c:v>42195.740999999995</c:v>
                </c:pt>
                <c:pt idx="8">
                  <c:v>39166.471999999987</c:v>
                </c:pt>
                <c:pt idx="9">
                  <c:v>33477.207999999991</c:v>
                </c:pt>
                <c:pt idx="10">
                  <c:v>33166.970999999998</c:v>
                </c:pt>
                <c:pt idx="11">
                  <c:v>35570.431000000004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ser>
          <c:idx val="1"/>
          <c:order val="1"/>
          <c:tx>
            <c:strRef>
              <c:f>Calc_Mercado!$D$33</c:f>
              <c:strCache>
                <c:ptCount val="1"/>
                <c:pt idx="0">
                  <c:v>Soma de TE_E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Calc_Mercado!$D$34:$D$46</c:f>
              <c:numCache>
                <c:formatCode>_(* #,##0.00_);_(* \(#,##0.00\);_(* "-"??_);_(@_)</c:formatCode>
                <c:ptCount val="12"/>
                <c:pt idx="0">
                  <c:v>33771.500999999989</c:v>
                </c:pt>
                <c:pt idx="1">
                  <c:v>34030.535999999993</c:v>
                </c:pt>
                <c:pt idx="2">
                  <c:v>30756.751000000004</c:v>
                </c:pt>
                <c:pt idx="3">
                  <c:v>30057.174000000006</c:v>
                </c:pt>
                <c:pt idx="4">
                  <c:v>31606.674000000006</c:v>
                </c:pt>
                <c:pt idx="5">
                  <c:v>31980.788999999993</c:v>
                </c:pt>
                <c:pt idx="6">
                  <c:v>38857.957000000002</c:v>
                </c:pt>
                <c:pt idx="7">
                  <c:v>38446.239999999991</c:v>
                </c:pt>
                <c:pt idx="8">
                  <c:v>35092.945999999989</c:v>
                </c:pt>
                <c:pt idx="9">
                  <c:v>29707.53899999999</c:v>
                </c:pt>
                <c:pt idx="10">
                  <c:v>29390.972999999994</c:v>
                </c:pt>
                <c:pt idx="11">
                  <c:v>31543.313999999998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F-443A-BE07-B91C9BDF9E44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873845</xdr:colOff>
      <xdr:row>30</xdr:row>
      <xdr:rowOff>3967</xdr:rowOff>
    </xdr:from>
    <xdr:to>
      <xdr:col>13</xdr:col>
      <xdr:colOff>371402</xdr:colOff>
      <xdr:row>57</xdr:row>
      <xdr:rowOff>58700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90237</xdr:colOff>
      <xdr:row>75</xdr:row>
      <xdr:rowOff>40105</xdr:rowOff>
    </xdr:from>
    <xdr:to>
      <xdr:col>2</xdr:col>
      <xdr:colOff>2701845</xdr:colOff>
      <xdr:row>90</xdr:row>
      <xdr:rowOff>9190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158" y="16513342"/>
          <a:ext cx="5990476" cy="26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AJUSTE\Permission&#225;rias%20de%20Distribui&#231;&#227;o\2022\07-%20JULHO\5-%20Cooperluz%20-%20Cec&#237;lia\Persas_RTA_Cooperluz_2022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REVIS&#195;O\Concession&#225;rias%20de%20Distribui&#231;&#227;o\2022\07%20-%20D47%20-%20Eletrocar\Vers&#227;o%20Final\RB%20e%20Conex&#227;o\Encargo%20RB%20e%20CO_v63_%20Eletrocar%202022%202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VIS&#195;O\Concession&#225;rias%20de%20Distribui&#231;&#227;o\2022\07%20-%20D47%20-%20Eletrocar\Vers&#227;o%20AP\Arquivos%20para%20CP\SPARTA%20Eletrocar%20-%20Revis&#227;o%20Tarif&#225;ria%20202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REVIS&#195;O\Concession&#225;rias%20de%20Distribui&#231;&#227;o\2022\07%20-%20D47%20-%20Eletrocar\Vers&#227;o%20Final\SPARTA%20Eletrocar%20-%20Revis&#227;o%20Tarif&#225;ria%202022%20pos%20AP%2008jul2022%2019h30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AJUSTE\Permission&#225;rias%20de%20Distribui&#231;&#227;o\2022\07-%20JULHO\2-Certaja%20-%20Charles\PERSAS_RTP_%202022_Certaja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AJUSTE\Permission&#225;rias%20de%20Distribui&#231;&#227;o\2022\07-%20JULHO\4-Certhil%20-%20Charles\PERSAS_RTP_%202022_Certh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idio"/>
      <sheetName val="BD"/>
      <sheetName val="RBBD"/>
      <sheetName val="BDCOVID"/>
      <sheetName val="Faturas"/>
      <sheetName val="Informações Gerais"/>
      <sheetName val="CAPA"/>
      <sheetName val="Resultado"/>
      <sheetName val="Tabelas e Gráficos"/>
      <sheetName val="Calc_Mercado"/>
      <sheetName val="BD MERCADO"/>
      <sheetName val="Energia"/>
      <sheetName val="Rede Básica + Ajuste"/>
      <sheetName val="Conexão "/>
      <sheetName val="CUSD"/>
      <sheetName val="Encargos"/>
      <sheetName val="Financeiros"/>
      <sheetName val="PIS_COFINS"/>
      <sheetName val="ICMS"/>
      <sheetName val="Financeiros Mitigação"/>
      <sheetName val="CVE"/>
      <sheetName val="Conta covid"/>
      <sheetName val="Aj.Subsídio"/>
      <sheetName val="Indexador"/>
      <sheetName val="BD SUPRIMENTO"/>
      <sheetName val="RA0BD"/>
      <sheetName val="SimuBD"/>
      <sheetName val="Índices"/>
      <sheetName val="BD-NET"/>
      <sheetName val="Sharepoint"/>
      <sheetName val="COEFICIENTES"/>
      <sheetName val="REN 473"/>
      <sheetName val="ERD"/>
      <sheetName val="Glossário Vínculos"/>
      <sheetName val="Persas_RTA_Cooperluz_2022"/>
    </sheetNames>
    <sheetDataSet>
      <sheetData sheetId="0" refreshError="1"/>
      <sheetData sheetId="1">
        <row r="8">
          <cell r="B8" t="str">
            <v>CCC</v>
          </cell>
          <cell r="C8">
            <v>0</v>
          </cell>
          <cell r="H8" t="str">
            <v>396A3Não se aplicaEnergia</v>
          </cell>
          <cell r="I8">
            <v>2022</v>
          </cell>
          <cell r="L8" t="str">
            <v>Não se aplica</v>
          </cell>
          <cell r="M8" t="str">
            <v>Cooperluz</v>
          </cell>
          <cell r="N8">
            <v>3627</v>
          </cell>
          <cell r="O8" t="str">
            <v>Energia</v>
          </cell>
          <cell r="S8" t="str">
            <v>RGE Uni</v>
          </cell>
          <cell r="T8" t="str">
            <v>RESOLUÇÃO HOMOLOGATÓRIA Nº 3.045, DE 21 DE JUNHO DE 2022</v>
          </cell>
          <cell r="U8">
            <v>0</v>
          </cell>
          <cell r="V8">
            <v>167</v>
          </cell>
        </row>
        <row r="9">
          <cell r="B9" t="str">
            <v>TFSEE</v>
          </cell>
          <cell r="C9">
            <v>130406.50637804301</v>
          </cell>
          <cell r="H9" t="str">
            <v>396A3PontaPotência</v>
          </cell>
          <cell r="I9">
            <v>2022</v>
          </cell>
          <cell r="L9" t="str">
            <v>Ponta</v>
          </cell>
          <cell r="M9" t="str">
            <v>Cooperluz</v>
          </cell>
          <cell r="N9">
            <v>3627</v>
          </cell>
          <cell r="O9" t="str">
            <v>Potência</v>
          </cell>
          <cell r="S9" t="str">
            <v>RGE Uni</v>
          </cell>
          <cell r="T9" t="str">
            <v>RESOLUÇÃO HOMOLOGATÓRIA Nº 3.045, DE 21 DE JUNHO DE 2022</v>
          </cell>
          <cell r="U9">
            <v>0</v>
          </cell>
          <cell r="V9">
            <v>167</v>
          </cell>
        </row>
        <row r="10">
          <cell r="B10" t="str">
            <v>CDE</v>
          </cell>
          <cell r="C10">
            <v>4170764.5632600002</v>
          </cell>
          <cell r="H10" t="str">
            <v>396A3Fora pontaPotência</v>
          </cell>
          <cell r="I10">
            <v>2022</v>
          </cell>
          <cell r="S10" t="str">
            <v>RGE Uni</v>
          </cell>
          <cell r="T10" t="str">
            <v>RESOLUÇÃO HOMOLOGATÓRIA Nº 3.045, DE 21 DE JUNHO DE 2022</v>
          </cell>
          <cell r="U10">
            <v>0</v>
          </cell>
          <cell r="V10">
            <v>167</v>
          </cell>
        </row>
        <row r="11">
          <cell r="B11" t="str">
            <v>ESS/ERR</v>
          </cell>
          <cell r="C11">
            <v>220720.39</v>
          </cell>
          <cell r="H11" t="str">
            <v>396A4PontaPotência</v>
          </cell>
          <cell r="I11">
            <v>2022</v>
          </cell>
          <cell r="S11" t="str">
            <v>RGE Uni</v>
          </cell>
          <cell r="T11" t="str">
            <v>RESOLUÇÃO HOMOLOGATÓRIA Nº 3.045, DE 21 DE JUNHO DE 2022</v>
          </cell>
          <cell r="U11">
            <v>26.9</v>
          </cell>
          <cell r="V11">
            <v>167</v>
          </cell>
        </row>
        <row r="12">
          <cell r="B12" t="str">
            <v>PROINFA</v>
          </cell>
          <cell r="C12">
            <v>653303.65787999996</v>
          </cell>
          <cell r="H12" t="e">
            <v>#N/A</v>
          </cell>
        </row>
        <row r="13">
          <cell r="B13" t="str">
            <v>P&amp;D</v>
          </cell>
          <cell r="C13">
            <v>0</v>
          </cell>
          <cell r="H13" t="e">
            <v>#N/A</v>
          </cell>
        </row>
        <row r="14">
          <cell r="B14" t="str">
            <v>ONS</v>
          </cell>
          <cell r="C14">
            <v>0</v>
          </cell>
          <cell r="H14" t="e">
            <v>#N/A</v>
          </cell>
        </row>
        <row r="15">
          <cell r="B15" t="str">
            <v>CDE Covid TUSD</v>
          </cell>
          <cell r="C15">
            <v>0</v>
          </cell>
          <cell r="H15" t="e">
            <v>#N/A</v>
          </cell>
        </row>
        <row r="16">
          <cell r="H16" t="e">
            <v>#N/A</v>
          </cell>
        </row>
        <row r="17">
          <cell r="B17" t="str">
            <v xml:space="preserve">Transporte </v>
          </cell>
          <cell r="H17" t="e">
            <v>#N/A</v>
          </cell>
        </row>
        <row r="18">
          <cell r="B18" t="str">
            <v xml:space="preserve">   Rede Básica Nodal</v>
          </cell>
          <cell r="C18">
            <v>1987063.2</v>
          </cell>
          <cell r="H18" t="e">
            <v>#N/A</v>
          </cell>
        </row>
        <row r="19">
          <cell r="B19" t="str">
            <v xml:space="preserve">   Rede Básica Fronteira</v>
          </cell>
          <cell r="C19">
            <v>669711.6</v>
          </cell>
          <cell r="H19" t="e">
            <v>#N/A</v>
          </cell>
        </row>
        <row r="20">
          <cell r="B20" t="str">
            <v xml:space="preserve">   Rede Básica ONS (A2)</v>
          </cell>
        </row>
        <row r="21">
          <cell r="B21" t="str">
            <v xml:space="preserve">   Rede Básica Export. (A2)</v>
          </cell>
        </row>
        <row r="22">
          <cell r="B22" t="str">
            <v xml:space="preserve">   MUST Itaipu</v>
          </cell>
        </row>
        <row r="23">
          <cell r="B23" t="str">
            <v xml:space="preserve">   Transporte de Itaipu</v>
          </cell>
        </row>
        <row r="24">
          <cell r="B24" t="str">
            <v xml:space="preserve">   Conexão</v>
          </cell>
          <cell r="C24">
            <v>0</v>
          </cell>
          <cell r="H24" t="e">
            <v>#N/A</v>
          </cell>
        </row>
        <row r="25">
          <cell r="B25" t="str">
            <v xml:space="preserve">   Uso do sistema de distribuição</v>
          </cell>
          <cell r="C25">
            <v>58690.684611999997</v>
          </cell>
          <cell r="H25" t="e">
            <v>#N/A</v>
          </cell>
        </row>
        <row r="26">
          <cell r="B26" t="str">
            <v>Parcela B (VPB-OR)</v>
          </cell>
          <cell r="C26">
            <v>29100000</v>
          </cell>
          <cell r="H26" t="e">
            <v>#N/A</v>
          </cell>
        </row>
        <row r="27">
          <cell r="H27" t="e">
            <v>#N/A</v>
          </cell>
        </row>
        <row r="28">
          <cell r="B28" t="str">
            <v>Dados de Revisão</v>
          </cell>
          <cell r="H28" t="e">
            <v>#N/A</v>
          </cell>
        </row>
        <row r="29">
          <cell r="H29" t="e">
            <v>#N/A</v>
          </cell>
        </row>
        <row r="31">
          <cell r="B31" t="str">
            <v>Perdas na Distribuição (Técnicas e Não Técnicas)</v>
          </cell>
          <cell r="C31">
            <v>0.13861467761837179</v>
          </cell>
        </row>
        <row r="32">
          <cell r="B32" t="str">
            <v>Fator de Carga</v>
          </cell>
          <cell r="C32">
            <v>0.76946233409201359</v>
          </cell>
        </row>
        <row r="35">
          <cell r="B35" t="str">
            <v>CDE</v>
          </cell>
          <cell r="C35">
            <v>3780642.8444999978</v>
          </cell>
        </row>
        <row r="36">
          <cell r="B36" t="str">
            <v>PROINFA</v>
          </cell>
          <cell r="C36">
            <v>495188.96347999969</v>
          </cell>
        </row>
        <row r="37">
          <cell r="B37" t="str">
            <v>TFSEE</v>
          </cell>
          <cell r="C37">
            <v>108705.61987768151</v>
          </cell>
        </row>
        <row r="41">
          <cell r="C41">
            <v>0</v>
          </cell>
        </row>
        <row r="42">
          <cell r="C42">
            <v>0</v>
          </cell>
          <cell r="L42" t="str">
            <v>Tipo</v>
          </cell>
          <cell r="M42" t="str">
            <v>Perm</v>
          </cell>
          <cell r="N42" t="str">
            <v>Cod Per</v>
          </cell>
          <cell r="O42" t="str">
            <v>Data supridoa</v>
          </cell>
          <cell r="P42" t="str">
            <v>Ultima atualiza</v>
          </cell>
          <cell r="S42" t="str">
            <v>Tarifa</v>
          </cell>
          <cell r="T42" t="str">
            <v>cod supridora</v>
          </cell>
        </row>
        <row r="43">
          <cell r="C43">
            <v>0</v>
          </cell>
          <cell r="H43" t="str">
            <v>396A3</v>
          </cell>
          <cell r="L43" t="str">
            <v>Não se aplica</v>
          </cell>
          <cell r="M43" t="str">
            <v>Cooperluz</v>
          </cell>
          <cell r="N43">
            <v>3627</v>
          </cell>
          <cell r="O43">
            <v>44734</v>
          </cell>
          <cell r="P43">
            <v>44732</v>
          </cell>
          <cell r="S43">
            <v>273.92</v>
          </cell>
          <cell r="T43">
            <v>167</v>
          </cell>
          <cell r="U43">
            <v>396</v>
          </cell>
        </row>
        <row r="44">
          <cell r="H44" t="str">
            <v>396A4</v>
          </cell>
          <cell r="L44" t="str">
            <v>Não se aplica</v>
          </cell>
          <cell r="M44" t="str">
            <v>Cooperluz</v>
          </cell>
          <cell r="N44">
            <v>3627</v>
          </cell>
          <cell r="O44">
            <v>44734</v>
          </cell>
          <cell r="P44">
            <v>44732</v>
          </cell>
          <cell r="S44">
            <v>273.92</v>
          </cell>
          <cell r="T44">
            <v>167</v>
          </cell>
          <cell r="U44">
            <v>396</v>
          </cell>
        </row>
        <row r="45">
          <cell r="C45">
            <v>0</v>
          </cell>
          <cell r="U45" t="e">
            <v>#N/A</v>
          </cell>
        </row>
        <row r="46">
          <cell r="C46">
            <v>0</v>
          </cell>
          <cell r="U46" t="e">
            <v>#N/A</v>
          </cell>
        </row>
        <row r="47">
          <cell r="B47">
            <v>44599</v>
          </cell>
          <cell r="C47">
            <v>0</v>
          </cell>
          <cell r="H47" t="e">
            <v>#N/A</v>
          </cell>
          <cell r="U47" t="e">
            <v>#N/A</v>
          </cell>
        </row>
        <row r="48">
          <cell r="B48">
            <v>44629</v>
          </cell>
          <cell r="C48">
            <v>0</v>
          </cell>
          <cell r="H48" t="e">
            <v>#N/A</v>
          </cell>
          <cell r="U48" t="e">
            <v>#N/A</v>
          </cell>
        </row>
        <row r="49">
          <cell r="H49" t="e">
            <v>#N/A</v>
          </cell>
          <cell r="U49" t="e">
            <v>#N/A</v>
          </cell>
        </row>
        <row r="50">
          <cell r="B50">
            <v>44691</v>
          </cell>
          <cell r="C50">
            <v>0</v>
          </cell>
          <cell r="H50" t="e">
            <v>#N/A</v>
          </cell>
          <cell r="U50" t="e">
            <v>#N/A</v>
          </cell>
        </row>
        <row r="51">
          <cell r="B51">
            <v>44718</v>
          </cell>
          <cell r="C51">
            <v>564037.70079999999</v>
          </cell>
          <cell r="U51" t="e">
            <v>#N/A</v>
          </cell>
        </row>
        <row r="52">
          <cell r="B52">
            <v>44749</v>
          </cell>
          <cell r="C52">
            <v>97422.078999999998</v>
          </cell>
          <cell r="U52" t="e">
            <v>#N/A</v>
          </cell>
        </row>
        <row r="53">
          <cell r="H53" t="e">
            <v>#N/A</v>
          </cell>
          <cell r="U53" t="e">
            <v>#N/A</v>
          </cell>
        </row>
        <row r="54">
          <cell r="H54" t="e">
            <v>#N/A</v>
          </cell>
          <cell r="U54" t="e">
            <v>#N/A</v>
          </cell>
        </row>
        <row r="55">
          <cell r="H55" t="e">
            <v>#N/A</v>
          </cell>
          <cell r="U55" t="e">
            <v>#N/A</v>
          </cell>
        </row>
        <row r="56">
          <cell r="H56" t="e">
            <v>#N/A</v>
          </cell>
          <cell r="U56" t="e">
            <v>#N/A</v>
          </cell>
        </row>
        <row r="57">
          <cell r="U57" t="e">
            <v>#N/A</v>
          </cell>
        </row>
        <row r="58">
          <cell r="U58" t="e">
            <v>#N/A</v>
          </cell>
        </row>
        <row r="59">
          <cell r="H59" t="e">
            <v>#N/A</v>
          </cell>
          <cell r="U59" t="e">
            <v>#N/A</v>
          </cell>
        </row>
        <row r="60">
          <cell r="B60" t="str">
            <v>Subsídios</v>
          </cell>
        </row>
        <row r="61">
          <cell r="B61" t="str">
            <v>Subsídio Carga Fonte Incentivada</v>
          </cell>
          <cell r="C61">
            <v>538.80999999999995</v>
          </cell>
          <cell r="D61">
            <v>0</v>
          </cell>
        </row>
        <row r="62">
          <cell r="B62" t="str">
            <v>Subsídio Geração Fonte Incentivada</v>
          </cell>
          <cell r="C62">
            <v>1292.1300000000001</v>
          </cell>
          <cell r="D62">
            <v>0</v>
          </cell>
        </row>
        <row r="70">
          <cell r="B70" t="str">
            <v>Encargo</v>
          </cell>
          <cell r="C70" t="str">
            <v>Valor</v>
          </cell>
          <cell r="D70" t="str">
            <v>DSP</v>
          </cell>
        </row>
        <row r="71">
          <cell r="B71" t="str">
            <v>ONS</v>
          </cell>
        </row>
        <row r="72">
          <cell r="B72" t="str">
            <v>ESS/EER</v>
          </cell>
          <cell r="C72">
            <v>2269797.1888881116</v>
          </cell>
          <cell r="D72" t="str">
            <v>DSP 1.708/2022</v>
          </cell>
        </row>
        <row r="73">
          <cell r="B73" t="str">
            <v>EER</v>
          </cell>
          <cell r="C73">
            <v>2230167.0454119011</v>
          </cell>
          <cell r="D73" t="str">
            <v>DSP 1.708/2022</v>
          </cell>
        </row>
        <row r="74">
          <cell r="B74" t="str">
            <v>CDE Eletrobras</v>
          </cell>
          <cell r="C74">
            <v>-1155000</v>
          </cell>
          <cell r="D74" t="str">
            <v>Previsão-SGT-2022</v>
          </cell>
        </row>
        <row r="75">
          <cell r="B75" t="str">
            <v>CDE Covid</v>
          </cell>
        </row>
        <row r="76">
          <cell r="B76" t="str">
            <v>CDE Covid TUSD%</v>
          </cell>
          <cell r="C76">
            <v>0</v>
          </cell>
        </row>
        <row r="77">
          <cell r="B77" t="str">
            <v>CDE Covid TE%</v>
          </cell>
          <cell r="C7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10">
          <cell r="C10" t="str">
            <v>S/SE/CO</v>
          </cell>
          <cell r="K10">
            <v>242</v>
          </cell>
        </row>
        <row r="11">
          <cell r="K11">
            <v>3627</v>
          </cell>
        </row>
        <row r="13">
          <cell r="C13">
            <v>2022</v>
          </cell>
        </row>
        <row r="15">
          <cell r="C15">
            <v>44772</v>
          </cell>
        </row>
        <row r="16">
          <cell r="C16">
            <v>44378</v>
          </cell>
          <cell r="G16">
            <v>44755.598229166666</v>
          </cell>
        </row>
        <row r="17">
          <cell r="C17">
            <v>44713</v>
          </cell>
        </row>
        <row r="30">
          <cell r="K30">
            <v>37073211.354755566</v>
          </cell>
        </row>
        <row r="31">
          <cell r="K31">
            <v>31500000</v>
          </cell>
        </row>
        <row r="32">
          <cell r="K32">
            <v>23888195.526273698</v>
          </cell>
        </row>
        <row r="91">
          <cell r="C91" t="str">
            <v>Cooperluz</v>
          </cell>
        </row>
        <row r="108">
          <cell r="C108" t="str">
            <v>RGE</v>
          </cell>
        </row>
      </sheetData>
      <sheetData sheetId="7">
        <row r="5">
          <cell r="C5">
            <v>58187470.062897138</v>
          </cell>
        </row>
        <row r="6">
          <cell r="C6">
            <v>56191945.232149981</v>
          </cell>
        </row>
        <row r="7">
          <cell r="C7">
            <v>3.0300000000000001E-2</v>
          </cell>
        </row>
        <row r="8">
          <cell r="L8" t="str">
            <v>ano anterior</v>
          </cell>
        </row>
        <row r="9">
          <cell r="C9">
            <v>-0.31059999999999999</v>
          </cell>
          <cell r="L9">
            <v>6465.7199999999993</v>
          </cell>
        </row>
        <row r="10">
          <cell r="L10">
            <v>15505.560000000001</v>
          </cell>
        </row>
        <row r="17">
          <cell r="F17">
            <v>-1.5867739664197078E-3</v>
          </cell>
        </row>
        <row r="18">
          <cell r="F18">
            <v>0.21228525044702629</v>
          </cell>
        </row>
        <row r="39">
          <cell r="D39">
            <v>31500000</v>
          </cell>
        </row>
      </sheetData>
      <sheetData sheetId="8">
        <row r="166">
          <cell r="AN166">
            <v>-239013.55637821872</v>
          </cell>
        </row>
        <row r="263">
          <cell r="AW263">
            <v>0.4597</v>
          </cell>
        </row>
      </sheetData>
      <sheetData sheetId="9">
        <row r="8">
          <cell r="C8">
            <v>71413.907999999996</v>
          </cell>
        </row>
        <row r="9">
          <cell r="C9">
            <v>0</v>
          </cell>
          <cell r="J9">
            <v>2.2164677892755068E-2</v>
          </cell>
        </row>
        <row r="15">
          <cell r="C15">
            <v>65394.815999999992</v>
          </cell>
        </row>
        <row r="17">
          <cell r="C17">
            <v>0</v>
          </cell>
        </row>
        <row r="18">
          <cell r="C18">
            <v>2321.11</v>
          </cell>
        </row>
        <row r="19">
          <cell r="C19">
            <v>0</v>
          </cell>
        </row>
        <row r="25">
          <cell r="C25">
            <v>73735.017999999996</v>
          </cell>
          <cell r="D25">
            <v>56191945.232149981</v>
          </cell>
        </row>
        <row r="75">
          <cell r="D75">
            <v>0</v>
          </cell>
          <cell r="E75">
            <v>0</v>
          </cell>
          <cell r="F75">
            <v>224225.79157262601</v>
          </cell>
          <cell r="G75">
            <v>684420.70118752972</v>
          </cell>
          <cell r="H75">
            <v>4359799.8740981584</v>
          </cell>
          <cell r="I75">
            <v>136147.25831243768</v>
          </cell>
        </row>
      </sheetData>
      <sheetData sheetId="10"/>
      <sheetData sheetId="11">
        <row r="5">
          <cell r="C5">
            <v>86504.407129999992</v>
          </cell>
        </row>
        <row r="6">
          <cell r="C6">
            <v>71413.907999999996</v>
          </cell>
        </row>
        <row r="9">
          <cell r="C9">
            <v>15090.499129999997</v>
          </cell>
        </row>
        <row r="14">
          <cell r="M14">
            <v>0.1389</v>
          </cell>
        </row>
        <row r="18">
          <cell r="C18">
            <v>0</v>
          </cell>
        </row>
        <row r="19">
          <cell r="C19">
            <v>1247.13007399653</v>
          </cell>
        </row>
        <row r="35">
          <cell r="D35">
            <v>40986022.320000008</v>
          </cell>
        </row>
        <row r="40">
          <cell r="C40" t="str">
            <v>Contrato</v>
          </cell>
          <cell r="E40" t="str">
            <v>Custo Base</v>
          </cell>
        </row>
        <row r="51">
          <cell r="B51" t="str">
            <v>Contratos no ACL</v>
          </cell>
        </row>
        <row r="52">
          <cell r="B52" t="str">
            <v>Descrição</v>
          </cell>
          <cell r="C52" t="str">
            <v>Contrato</v>
          </cell>
          <cell r="E52" t="str">
            <v>Custo Base</v>
          </cell>
          <cell r="F52" t="str">
            <v>Data Base</v>
          </cell>
          <cell r="G52" t="str">
            <v>Data Aniversario</v>
          </cell>
          <cell r="H52" t="str">
            <v>Mwmédio contratado</v>
          </cell>
        </row>
        <row r="53">
          <cell r="B53" t="str">
            <v>ELECTRA Comercializadora</v>
          </cell>
          <cell r="E53">
            <v>133.88</v>
          </cell>
          <cell r="F53">
            <v>44105</v>
          </cell>
          <cell r="G53">
            <v>44927</v>
          </cell>
        </row>
        <row r="55"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>
            <v>0</v>
          </cell>
        </row>
        <row r="56"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>
            <v>0</v>
          </cell>
        </row>
        <row r="57"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>
            <v>0</v>
          </cell>
        </row>
        <row r="58"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>
            <v>0</v>
          </cell>
        </row>
        <row r="59"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>
            <v>0</v>
          </cell>
        </row>
        <row r="60">
          <cell r="B60" t="str">
            <v>Total</v>
          </cell>
        </row>
        <row r="62">
          <cell r="B62" t="str">
            <v>Contratos Compulsórios</v>
          </cell>
          <cell r="C62" t="str">
            <v>Montante MWh</v>
          </cell>
          <cell r="E62" t="str">
            <v>Preço(R$)</v>
          </cell>
          <cell r="F62" t="str">
            <v>Custo(R$)</v>
          </cell>
          <cell r="H62" t="str">
            <v>Contrato sujeito ao Risco Hidrológico</v>
          </cell>
        </row>
        <row r="63">
          <cell r="B63" t="str">
            <v>Angra</v>
          </cell>
          <cell r="C63">
            <v>2439.6778395696083</v>
          </cell>
          <cell r="D63">
            <v>349.15</v>
          </cell>
          <cell r="E63">
            <v>349.15</v>
          </cell>
          <cell r="F63">
            <v>851813.51768572873</v>
          </cell>
          <cell r="H63" t="str">
            <v>CCGF</v>
          </cell>
        </row>
        <row r="64">
          <cell r="B64" t="str">
            <v>CCGF</v>
          </cell>
          <cell r="C64">
            <v>8505.2508694275421</v>
          </cell>
          <cell r="D64">
            <v>152.37255798822298</v>
          </cell>
          <cell r="E64">
            <v>152.37255798822298</v>
          </cell>
          <cell r="F64">
            <v>1295966.8313062321</v>
          </cell>
          <cell r="H64" t="str">
            <v>Itaipu</v>
          </cell>
        </row>
        <row r="65">
          <cell r="B65" t="str">
            <v>CCGF</v>
          </cell>
          <cell r="C65">
            <v>10802.443672939105</v>
          </cell>
          <cell r="D65">
            <v>139.968722148295</v>
          </cell>
          <cell r="E65">
            <v>139.968722148295</v>
          </cell>
          <cell r="F65">
            <v>1512004.236980221</v>
          </cell>
          <cell r="H65" t="str">
            <v>Usinas Repactuadas</v>
          </cell>
        </row>
        <row r="66">
          <cell r="C66">
            <v>21747.372381936257</v>
          </cell>
          <cell r="F66">
            <v>3659784.5859721815</v>
          </cell>
          <cell r="H66" t="str">
            <v>Previsão de Risco Hidrológico Total</v>
          </cell>
        </row>
        <row r="67">
          <cell r="H67" t="str">
            <v>Fator de rateio</v>
          </cell>
        </row>
        <row r="68">
          <cell r="C68">
            <v>8206.6398196294376</v>
          </cell>
          <cell r="H68" t="str">
            <v>Cooperluz</v>
          </cell>
        </row>
        <row r="69">
          <cell r="B69" t="str">
            <v>Geração Propria</v>
          </cell>
          <cell r="C69" t="str">
            <v>Montante MWh</v>
          </cell>
          <cell r="E69" t="str">
            <v>Preço(R$)</v>
          </cell>
          <cell r="F69" t="str">
            <v>Custo(R$)</v>
          </cell>
        </row>
        <row r="70">
          <cell r="B70" t="str">
            <v>Geraçao propria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2">
          <cell r="C72">
            <v>0</v>
          </cell>
          <cell r="F72">
            <v>0</v>
          </cell>
        </row>
        <row r="77">
          <cell r="C77" t="str">
            <v>  8505.257694    02JUN2082    157.29498687</v>
          </cell>
        </row>
        <row r="78">
          <cell r="C78" t="str">
            <v>CCGF                10801.673625    02JUN2082    136.13091356</v>
          </cell>
        </row>
        <row r="90">
          <cell r="C90" t="str">
            <v>Início Término MW Médio</v>
          </cell>
        </row>
        <row r="94">
          <cell r="E94" t="str">
            <v>Contrato</v>
          </cell>
        </row>
        <row r="95">
          <cell r="C95" t="str">
            <v>Contrato ACL</v>
          </cell>
          <cell r="G95" t="str">
            <v>Contrato RGE</v>
          </cell>
          <cell r="H95" t="str">
            <v>MWh</v>
          </cell>
        </row>
        <row r="96">
          <cell r="C96" t="str">
            <v>referencia</v>
          </cell>
          <cell r="E96" t="str">
            <v>Mwmédio</v>
          </cell>
          <cell r="F96" t="str">
            <v>Mwh</v>
          </cell>
        </row>
        <row r="97">
          <cell r="C97">
            <v>44743</v>
          </cell>
          <cell r="D97">
            <v>44743</v>
          </cell>
          <cell r="E97">
            <v>6.6229839999999998</v>
          </cell>
          <cell r="F97">
            <v>4927.5000959999998</v>
          </cell>
          <cell r="G97">
            <v>44743</v>
          </cell>
          <cell r="H97">
            <v>32.81</v>
          </cell>
        </row>
        <row r="98">
          <cell r="C98">
            <v>44774</v>
          </cell>
          <cell r="D98">
            <v>44774</v>
          </cell>
          <cell r="E98">
            <v>6.84375</v>
          </cell>
          <cell r="F98">
            <v>5091.75</v>
          </cell>
          <cell r="G98">
            <v>44774</v>
          </cell>
          <cell r="H98">
            <v>33.07</v>
          </cell>
        </row>
        <row r="99">
          <cell r="C99">
            <v>44805</v>
          </cell>
          <cell r="D99">
            <v>44805</v>
          </cell>
          <cell r="E99">
            <v>7.3</v>
          </cell>
          <cell r="F99">
            <v>5256</v>
          </cell>
          <cell r="G99">
            <v>44805</v>
          </cell>
          <cell r="H99">
            <v>35.68</v>
          </cell>
        </row>
        <row r="100">
          <cell r="C100">
            <v>44835</v>
          </cell>
          <cell r="D100">
            <v>44835</v>
          </cell>
          <cell r="E100">
            <v>7.7268150000000002</v>
          </cell>
          <cell r="F100">
            <v>5748.75036</v>
          </cell>
          <cell r="G100">
            <v>44835</v>
          </cell>
          <cell r="H100">
            <v>34.68</v>
          </cell>
        </row>
        <row r="101">
          <cell r="C101">
            <v>44866</v>
          </cell>
          <cell r="D101">
            <v>44866</v>
          </cell>
          <cell r="E101">
            <v>7.8931250000000004</v>
          </cell>
          <cell r="F101">
            <v>5683.05</v>
          </cell>
          <cell r="G101">
            <v>44866</v>
          </cell>
          <cell r="H101">
            <v>34.57</v>
          </cell>
        </row>
        <row r="102">
          <cell r="C102">
            <v>44896</v>
          </cell>
          <cell r="D102">
            <v>44896</v>
          </cell>
          <cell r="E102">
            <v>9.2721769999999992</v>
          </cell>
          <cell r="F102">
            <v>6898.4996879999999</v>
          </cell>
          <cell r="G102">
            <v>44896</v>
          </cell>
          <cell r="H102">
            <v>35.17</v>
          </cell>
        </row>
        <row r="103">
          <cell r="C103">
            <v>44927</v>
          </cell>
          <cell r="D103">
            <v>44927</v>
          </cell>
          <cell r="E103">
            <v>7.5</v>
          </cell>
          <cell r="F103">
            <v>5580</v>
          </cell>
          <cell r="G103">
            <v>44927</v>
          </cell>
          <cell r="H103">
            <v>36.765000000000001</v>
          </cell>
        </row>
        <row r="104">
          <cell r="C104">
            <v>44958</v>
          </cell>
          <cell r="D104">
            <v>44958</v>
          </cell>
          <cell r="E104">
            <v>7.5</v>
          </cell>
          <cell r="F104">
            <v>5040</v>
          </cell>
          <cell r="G104">
            <v>44958</v>
          </cell>
          <cell r="H104">
            <v>36.765000000000001</v>
          </cell>
        </row>
        <row r="105">
          <cell r="C105">
            <v>44986</v>
          </cell>
          <cell r="D105">
            <v>44986</v>
          </cell>
          <cell r="E105">
            <v>7.5</v>
          </cell>
          <cell r="F105">
            <v>5580</v>
          </cell>
          <cell r="G105">
            <v>44986</v>
          </cell>
          <cell r="H105">
            <v>36.765000000000001</v>
          </cell>
        </row>
        <row r="106">
          <cell r="C106">
            <v>45017</v>
          </cell>
          <cell r="D106">
            <v>45017</v>
          </cell>
          <cell r="E106">
            <v>7.5</v>
          </cell>
          <cell r="F106">
            <v>5400</v>
          </cell>
          <cell r="G106">
            <v>45017</v>
          </cell>
          <cell r="H106">
            <v>36.765000000000001</v>
          </cell>
        </row>
        <row r="107">
          <cell r="C107">
            <v>45047</v>
          </cell>
          <cell r="D107">
            <v>45047</v>
          </cell>
          <cell r="E107">
            <v>7.5</v>
          </cell>
          <cell r="F107">
            <v>5580</v>
          </cell>
          <cell r="G107">
            <v>45047</v>
          </cell>
          <cell r="H107">
            <v>36.765000000000001</v>
          </cell>
        </row>
        <row r="108">
          <cell r="C108">
            <v>45078</v>
          </cell>
          <cell r="D108">
            <v>45078</v>
          </cell>
          <cell r="E108">
            <v>7.5</v>
          </cell>
          <cell r="F108">
            <v>5400</v>
          </cell>
          <cell r="G108">
            <v>45078</v>
          </cell>
          <cell r="H108">
            <v>36.765000000000001</v>
          </cell>
        </row>
        <row r="109">
          <cell r="D109" t="str">
            <v>Total</v>
          </cell>
          <cell r="E109">
            <v>90.658850999999999</v>
          </cell>
          <cell r="F109">
            <v>66185.550144000008</v>
          </cell>
        </row>
        <row r="110">
          <cell r="H110">
            <v>426.56999999999994</v>
          </cell>
        </row>
      </sheetData>
      <sheetData sheetId="12" refreshError="1"/>
      <sheetData sheetId="13" refreshError="1"/>
      <sheetData sheetId="14">
        <row r="3">
          <cell r="I3">
            <v>0</v>
          </cell>
        </row>
        <row r="38">
          <cell r="C38" t="str">
            <v>Energia</v>
          </cell>
        </row>
        <row r="39">
          <cell r="C39" t="str">
            <v>Energia</v>
          </cell>
        </row>
      </sheetData>
      <sheetData sheetId="15" refreshError="1"/>
      <sheetData sheetId="16">
        <row r="26">
          <cell r="D26">
            <v>239387.88900525868</v>
          </cell>
        </row>
        <row r="27">
          <cell r="D27">
            <v>-2276.7511681570618</v>
          </cell>
        </row>
        <row r="29">
          <cell r="D29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>
        <row r="6">
          <cell r="B6" t="str">
            <v>Mês-Ano</v>
          </cell>
          <cell r="C6" t="str">
            <v>IGP-M</v>
          </cell>
          <cell r="D6" t="str">
            <v>IPCA</v>
          </cell>
          <cell r="E6" t="str">
            <v>FATOR SELIC</v>
          </cell>
          <cell r="F6" t="str">
            <v>SELIC ACUM.</v>
          </cell>
        </row>
        <row r="7">
          <cell r="B7">
            <v>32629</v>
          </cell>
          <cell r="C7">
            <v>2.5789999999999999E-5</v>
          </cell>
          <cell r="D7">
            <v>3.4132578959999998E-4</v>
          </cell>
          <cell r="E7">
            <v>0</v>
          </cell>
          <cell r="F7">
            <v>1</v>
          </cell>
        </row>
        <row r="8">
          <cell r="B8">
            <v>32660</v>
          </cell>
          <cell r="C8">
            <v>3.0859999999999999E-5</v>
          </cell>
          <cell r="D8">
            <v>4.3911559890000003E-4</v>
          </cell>
          <cell r="E8">
            <v>0</v>
          </cell>
          <cell r="F8">
            <v>1</v>
          </cell>
        </row>
        <row r="9">
          <cell r="B9">
            <v>32690</v>
          </cell>
          <cell r="C9">
            <v>4.1940000000000002E-5</v>
          </cell>
          <cell r="D9">
            <v>5.6092617030000002E-4</v>
          </cell>
          <cell r="E9">
            <v>0</v>
          </cell>
          <cell r="F9">
            <v>1</v>
          </cell>
        </row>
        <row r="10">
          <cell r="B10">
            <v>32721</v>
          </cell>
          <cell r="C10">
            <v>5.7429999999999997E-5</v>
          </cell>
          <cell r="D10">
            <v>7.5001448160000002E-4</v>
          </cell>
          <cell r="E10">
            <v>0</v>
          </cell>
          <cell r="F10">
            <v>1</v>
          </cell>
        </row>
        <row r="11">
          <cell r="B11">
            <v>32752</v>
          </cell>
          <cell r="C11">
            <v>8.0350000000000001E-5</v>
          </cell>
          <cell r="D11">
            <v>1.031719911E-3</v>
          </cell>
          <cell r="E11">
            <v>0</v>
          </cell>
          <cell r="F11">
            <v>1</v>
          </cell>
        </row>
        <row r="12">
          <cell r="B12">
            <v>32782</v>
          </cell>
          <cell r="C12">
            <v>1.13E-4</v>
          </cell>
          <cell r="D12">
            <v>1.4420348808E-3</v>
          </cell>
          <cell r="E12">
            <v>0</v>
          </cell>
          <cell r="F12">
            <v>1</v>
          </cell>
        </row>
        <row r="13">
          <cell r="B13">
            <v>32813</v>
          </cell>
          <cell r="C13">
            <v>1.5873999999999999E-4</v>
          </cell>
          <cell r="D13">
            <v>2.1316159802999999E-3</v>
          </cell>
          <cell r="E13">
            <v>0</v>
          </cell>
          <cell r="F13">
            <v>1</v>
          </cell>
        </row>
        <row r="14">
          <cell r="B14">
            <v>32843</v>
          </cell>
          <cell r="C14">
            <v>2.3356000000000001E-4</v>
          </cell>
          <cell r="D14">
            <v>3.2293981927000001E-3</v>
          </cell>
          <cell r="E14">
            <v>0</v>
          </cell>
          <cell r="F14">
            <v>1</v>
          </cell>
        </row>
        <row r="15">
          <cell r="B15">
            <v>32874</v>
          </cell>
          <cell r="C15">
            <v>3.7711E-4</v>
          </cell>
          <cell r="D15">
            <v>5.4108567453999999E-3</v>
          </cell>
          <cell r="E15">
            <v>0</v>
          </cell>
          <cell r="F15">
            <v>1</v>
          </cell>
        </row>
        <row r="16">
          <cell r="B16">
            <v>32905</v>
          </cell>
          <cell r="C16">
            <v>6.8364999999999995E-4</v>
          </cell>
          <cell r="D16">
            <v>9.5084984832999996E-3</v>
          </cell>
          <cell r="E16">
            <v>0</v>
          </cell>
          <cell r="F16">
            <v>1</v>
          </cell>
        </row>
        <row r="17">
          <cell r="B17">
            <v>32933</v>
          </cell>
          <cell r="C17">
            <v>1.2575500000000001E-3</v>
          </cell>
          <cell r="D17">
            <v>1.7342550351000002E-2</v>
          </cell>
          <cell r="E17">
            <v>0</v>
          </cell>
          <cell r="F17">
            <v>1</v>
          </cell>
        </row>
        <row r="18">
          <cell r="B18">
            <v>32964</v>
          </cell>
          <cell r="C18">
            <v>1.61407E-3</v>
          </cell>
          <cell r="D18">
            <v>2.00341140678E-2</v>
          </cell>
          <cell r="E18">
            <v>0</v>
          </cell>
          <cell r="F18">
            <v>1</v>
          </cell>
        </row>
        <row r="19">
          <cell r="B19">
            <v>32994</v>
          </cell>
          <cell r="C19">
            <v>1.70973E-3</v>
          </cell>
          <cell r="D19">
            <v>2.1554703244099999E-2</v>
          </cell>
          <cell r="E19">
            <v>0</v>
          </cell>
          <cell r="F19">
            <v>1</v>
          </cell>
        </row>
        <row r="20">
          <cell r="B20">
            <v>33025</v>
          </cell>
          <cell r="C20">
            <v>1.87962E-3</v>
          </cell>
          <cell r="D20">
            <v>2.4087380951899998E-2</v>
          </cell>
          <cell r="E20">
            <v>0</v>
          </cell>
          <cell r="F20">
            <v>1</v>
          </cell>
        </row>
        <row r="21">
          <cell r="B21">
            <v>33055</v>
          </cell>
          <cell r="C21">
            <v>2.10539E-3</v>
          </cell>
          <cell r="D21">
            <v>2.7199470492E-2</v>
          </cell>
          <cell r="E21">
            <v>0</v>
          </cell>
          <cell r="F21">
            <v>1</v>
          </cell>
        </row>
        <row r="22">
          <cell r="B22">
            <v>33086</v>
          </cell>
          <cell r="C22">
            <v>2.39215E-3</v>
          </cell>
          <cell r="D22">
            <v>3.0702762318699998E-2</v>
          </cell>
          <cell r="E22">
            <v>0</v>
          </cell>
          <cell r="F22">
            <v>1</v>
          </cell>
        </row>
        <row r="23">
          <cell r="B23">
            <v>33117</v>
          </cell>
          <cell r="C23">
            <v>2.6984000000000001E-3</v>
          </cell>
          <cell r="D23">
            <v>3.51270304097E-2</v>
          </cell>
          <cell r="E23">
            <v>0</v>
          </cell>
          <cell r="F23">
            <v>1</v>
          </cell>
        </row>
        <row r="24">
          <cell r="B24">
            <v>33147</v>
          </cell>
          <cell r="C24">
            <v>3.0483699999999999E-3</v>
          </cell>
          <cell r="D24">
            <v>4.0171272055300002E-2</v>
          </cell>
          <cell r="E24">
            <v>0</v>
          </cell>
          <cell r="F24">
            <v>1</v>
          </cell>
        </row>
        <row r="25">
          <cell r="B25">
            <v>33178</v>
          </cell>
          <cell r="C25">
            <v>3.5622900000000001E-3</v>
          </cell>
          <cell r="D25">
            <v>4.6924062784199999E-2</v>
          </cell>
          <cell r="E25">
            <v>0</v>
          </cell>
          <cell r="F25">
            <v>1</v>
          </cell>
        </row>
        <row r="26">
          <cell r="B26">
            <v>33208</v>
          </cell>
          <cell r="C26">
            <v>4.2034799999999999E-3</v>
          </cell>
          <cell r="D26">
            <v>5.5576860018600002E-2</v>
          </cell>
          <cell r="E26">
            <v>0</v>
          </cell>
          <cell r="F26">
            <v>1</v>
          </cell>
        </row>
        <row r="27">
          <cell r="B27">
            <v>33239</v>
          </cell>
          <cell r="C27">
            <v>4.9475200000000004E-3</v>
          </cell>
          <cell r="D27">
            <v>6.7109058472399993E-2</v>
          </cell>
          <cell r="E27">
            <v>0</v>
          </cell>
          <cell r="F27">
            <v>1</v>
          </cell>
        </row>
        <row r="28">
          <cell r="B28">
            <v>33270</v>
          </cell>
          <cell r="C28">
            <v>5.9873900000000004E-3</v>
          </cell>
          <cell r="D28">
            <v>8.1014388849100005E-2</v>
          </cell>
          <cell r="E28">
            <v>0</v>
          </cell>
          <cell r="F28">
            <v>1</v>
          </cell>
        </row>
        <row r="29">
          <cell r="B29">
            <v>33298</v>
          </cell>
          <cell r="C29">
            <v>6.5374099999999996E-3</v>
          </cell>
          <cell r="D29">
            <v>9.0673647120300002E-2</v>
          </cell>
          <cell r="E29">
            <v>0</v>
          </cell>
          <cell r="F29">
            <v>1</v>
          </cell>
        </row>
        <row r="30">
          <cell r="B30">
            <v>33329</v>
          </cell>
          <cell r="C30">
            <v>7.0477600000000001E-3</v>
          </cell>
          <cell r="D30">
            <v>9.5197603525800006E-2</v>
          </cell>
          <cell r="E30">
            <v>0</v>
          </cell>
          <cell r="F30">
            <v>1</v>
          </cell>
        </row>
        <row r="31">
          <cell r="B31">
            <v>33359</v>
          </cell>
          <cell r="C31">
            <v>7.57502E-3</v>
          </cell>
          <cell r="D31">
            <v>0.10227253780620001</v>
          </cell>
          <cell r="E31">
            <v>0</v>
          </cell>
          <cell r="F31">
            <v>1</v>
          </cell>
        </row>
        <row r="32">
          <cell r="B32">
            <v>33390</v>
          </cell>
          <cell r="C32">
            <v>8.2174099999999996E-3</v>
          </cell>
          <cell r="D32">
            <v>0.113715813284</v>
          </cell>
          <cell r="E32">
            <v>0</v>
          </cell>
          <cell r="F32">
            <v>1</v>
          </cell>
        </row>
        <row r="33">
          <cell r="B33">
            <v>33420</v>
          </cell>
          <cell r="C33">
            <v>9.3037399999999996E-3</v>
          </cell>
          <cell r="D33">
            <v>0.12782677804270001</v>
          </cell>
          <cell r="E33">
            <v>0</v>
          </cell>
          <cell r="F33">
            <v>1</v>
          </cell>
        </row>
        <row r="34">
          <cell r="B34">
            <v>33451</v>
          </cell>
          <cell r="C34">
            <v>1.072268E-2</v>
          </cell>
          <cell r="D34">
            <v>0.14780665921940001</v>
          </cell>
          <cell r="E34">
            <v>0</v>
          </cell>
          <cell r="F34">
            <v>1</v>
          </cell>
        </row>
        <row r="35">
          <cell r="B35">
            <v>33482</v>
          </cell>
          <cell r="C35">
            <v>1.232337E-2</v>
          </cell>
          <cell r="D35">
            <v>0.17090995992909999</v>
          </cell>
          <cell r="E35">
            <v>0</v>
          </cell>
          <cell r="F35">
            <v>1</v>
          </cell>
        </row>
        <row r="36">
          <cell r="B36">
            <v>33512</v>
          </cell>
          <cell r="C36">
            <v>1.5112230000000001E-2</v>
          </cell>
          <cell r="D36">
            <v>0.20548432454660001</v>
          </cell>
          <cell r="E36">
            <v>0</v>
          </cell>
          <cell r="F36">
            <v>1</v>
          </cell>
        </row>
        <row r="37">
          <cell r="B37">
            <v>33543</v>
          </cell>
          <cell r="C37">
            <v>1.8984250000000001E-2</v>
          </cell>
          <cell r="D37">
            <v>0.2572875157699</v>
          </cell>
          <cell r="E37">
            <v>0</v>
          </cell>
          <cell r="F37">
            <v>1</v>
          </cell>
        </row>
        <row r="38">
          <cell r="B38">
            <v>33573</v>
          </cell>
          <cell r="C38">
            <v>2.347107E-2</v>
          </cell>
          <cell r="D38">
            <v>0.31828867732630001</v>
          </cell>
          <cell r="E38">
            <v>0</v>
          </cell>
          <cell r="F38">
            <v>1</v>
          </cell>
        </row>
        <row r="39">
          <cell r="B39">
            <v>33604</v>
          </cell>
          <cell r="C39">
            <v>2.9000140000000001E-2</v>
          </cell>
          <cell r="D39">
            <v>0.40085366056990002</v>
          </cell>
          <cell r="E39">
            <v>0</v>
          </cell>
          <cell r="F39">
            <v>1</v>
          </cell>
        </row>
        <row r="40">
          <cell r="B40">
            <v>33635</v>
          </cell>
          <cell r="C40">
            <v>3.7078809999999997E-2</v>
          </cell>
          <cell r="D40">
            <v>0.49834103072840003</v>
          </cell>
          <cell r="E40">
            <v>0</v>
          </cell>
          <cell r="F40">
            <v>1</v>
          </cell>
        </row>
        <row r="41">
          <cell r="B41">
            <v>33664</v>
          </cell>
          <cell r="C41">
            <v>4.501144E-2</v>
          </cell>
          <cell r="D41">
            <v>0.60498746741809994</v>
          </cell>
          <cell r="E41">
            <v>0</v>
          </cell>
          <cell r="F41">
            <v>1</v>
          </cell>
        </row>
        <row r="42">
          <cell r="B42">
            <v>33695</v>
          </cell>
          <cell r="C42">
            <v>5.3986060000000002E-2</v>
          </cell>
          <cell r="D42">
            <v>0.72556146522830001</v>
          </cell>
          <cell r="E42">
            <v>0</v>
          </cell>
          <cell r="F42">
            <v>1</v>
          </cell>
        </row>
        <row r="43">
          <cell r="B43">
            <v>33725</v>
          </cell>
          <cell r="C43">
            <v>6.5012799999999996E-2</v>
          </cell>
          <cell r="D43">
            <v>0.90593616441860003</v>
          </cell>
          <cell r="E43">
            <v>0</v>
          </cell>
          <cell r="F43">
            <v>1</v>
          </cell>
        </row>
        <row r="44">
          <cell r="B44">
            <v>33756</v>
          </cell>
          <cell r="C44">
            <v>8.0361459999999996E-2</v>
          </cell>
          <cell r="D44">
            <v>1.0890285720637001</v>
          </cell>
          <cell r="E44">
            <v>0</v>
          </cell>
          <cell r="F44">
            <v>1</v>
          </cell>
        </row>
        <row r="45">
          <cell r="B45">
            <v>33786</v>
          </cell>
          <cell r="C45">
            <v>9.7908469999999997E-2</v>
          </cell>
          <cell r="D45">
            <v>1.3267641484791</v>
          </cell>
          <cell r="E45">
            <v>0</v>
          </cell>
          <cell r="F45">
            <v>1</v>
          </cell>
        </row>
        <row r="46">
          <cell r="B46">
            <v>33817</v>
          </cell>
          <cell r="C46">
            <v>0.12202180999999999</v>
          </cell>
          <cell r="D46">
            <v>1.6205100844213001</v>
          </cell>
          <cell r="E46">
            <v>0</v>
          </cell>
          <cell r="F46">
            <v>1</v>
          </cell>
        </row>
        <row r="47">
          <cell r="B47">
            <v>33848</v>
          </cell>
          <cell r="C47">
            <v>0.15285811999999999</v>
          </cell>
          <cell r="D47">
            <v>2.0196408623306001</v>
          </cell>
          <cell r="E47">
            <v>0</v>
          </cell>
          <cell r="F47">
            <v>1</v>
          </cell>
        </row>
        <row r="48">
          <cell r="B48">
            <v>33878</v>
          </cell>
          <cell r="C48">
            <v>0.19376498</v>
          </cell>
          <cell r="D48">
            <v>2.5293973801068002</v>
          </cell>
          <cell r="E48">
            <v>0</v>
          </cell>
          <cell r="F48">
            <v>1</v>
          </cell>
        </row>
        <row r="49">
          <cell r="B49">
            <v>33909</v>
          </cell>
          <cell r="C49">
            <v>0.23916162999999999</v>
          </cell>
          <cell r="D49">
            <v>3.0982598885127999</v>
          </cell>
          <cell r="E49">
            <v>0</v>
          </cell>
          <cell r="F49">
            <v>1</v>
          </cell>
        </row>
        <row r="50">
          <cell r="B50">
            <v>33939</v>
          </cell>
          <cell r="C50">
            <v>0.29913278999999998</v>
          </cell>
          <cell r="D50">
            <v>3.8802596550900001</v>
          </cell>
          <cell r="E50">
            <v>0</v>
          </cell>
          <cell r="F50">
            <v>1</v>
          </cell>
        </row>
        <row r="51">
          <cell r="B51">
            <v>33970</v>
          </cell>
          <cell r="C51">
            <v>0.37638683000000001</v>
          </cell>
          <cell r="D51">
            <v>5.0579166458253004</v>
          </cell>
          <cell r="E51">
            <v>0</v>
          </cell>
          <cell r="F51">
            <v>1</v>
          </cell>
        </row>
        <row r="52">
          <cell r="B52">
            <v>34001</v>
          </cell>
          <cell r="C52">
            <v>0.48335073000000001</v>
          </cell>
          <cell r="D52">
            <v>6.3213843084293</v>
          </cell>
          <cell r="E52">
            <v>0</v>
          </cell>
          <cell r="F52">
            <v>1</v>
          </cell>
        </row>
        <row r="53">
          <cell r="B53">
            <v>34029</v>
          </cell>
          <cell r="C53">
            <v>0.61023090000000002</v>
          </cell>
          <cell r="D53">
            <v>8.0445948724788998</v>
          </cell>
          <cell r="E53">
            <v>0</v>
          </cell>
          <cell r="F53">
            <v>1</v>
          </cell>
        </row>
        <row r="54">
          <cell r="B54">
            <v>34060</v>
          </cell>
          <cell r="C54">
            <v>0.78617482000000005</v>
          </cell>
          <cell r="D54">
            <v>10.2769672819025</v>
          </cell>
          <cell r="E54">
            <v>0</v>
          </cell>
          <cell r="F54">
            <v>1</v>
          </cell>
        </row>
        <row r="55">
          <cell r="B55">
            <v>34090</v>
          </cell>
          <cell r="C55">
            <v>1.01968087</v>
          </cell>
          <cell r="D55">
            <v>13.1226581300609</v>
          </cell>
          <cell r="E55">
            <v>0</v>
          </cell>
          <cell r="F55">
            <v>1</v>
          </cell>
        </row>
        <row r="56">
          <cell r="B56">
            <v>34121</v>
          </cell>
          <cell r="C56">
            <v>1.3408208699999999</v>
          </cell>
          <cell r="D56">
            <v>17.068642979808899</v>
          </cell>
          <cell r="E56">
            <v>0</v>
          </cell>
          <cell r="F56">
            <v>1</v>
          </cell>
        </row>
        <row r="57">
          <cell r="B57">
            <v>34151</v>
          </cell>
          <cell r="C57">
            <v>1.75984608</v>
          </cell>
          <cell r="D57">
            <v>22.312130761236201</v>
          </cell>
          <cell r="E57">
            <v>0</v>
          </cell>
          <cell r="F57">
            <v>1</v>
          </cell>
        </row>
        <row r="58">
          <cell r="B58">
            <v>34182</v>
          </cell>
          <cell r="C58">
            <v>2.31923637</v>
          </cell>
          <cell r="D58">
            <v>29.666210936414501</v>
          </cell>
          <cell r="E58">
            <v>0</v>
          </cell>
          <cell r="F58">
            <v>1</v>
          </cell>
        </row>
        <row r="59">
          <cell r="B59">
            <v>34213</v>
          </cell>
          <cell r="C59">
            <v>3.1375231000000001</v>
          </cell>
          <cell r="D59">
            <v>40.254080730946797</v>
          </cell>
          <cell r="E59">
            <v>0</v>
          </cell>
          <cell r="F59">
            <v>1</v>
          </cell>
        </row>
        <row r="60">
          <cell r="B60">
            <v>34243</v>
          </cell>
          <cell r="C60">
            <v>4.2367972299999996</v>
          </cell>
          <cell r="D60">
            <v>53.908264834853298</v>
          </cell>
          <cell r="E60">
            <v>0</v>
          </cell>
          <cell r="F60">
            <v>1</v>
          </cell>
        </row>
        <row r="61">
          <cell r="B61">
            <v>34274</v>
          </cell>
          <cell r="C61">
            <v>5.7685216500000003</v>
          </cell>
          <cell r="D61">
            <v>73.078046584524003</v>
          </cell>
          <cell r="E61">
            <v>0</v>
          </cell>
          <cell r="F61">
            <v>1</v>
          </cell>
        </row>
        <row r="62">
          <cell r="B62">
            <v>34304</v>
          </cell>
          <cell r="C62">
            <v>7.9792505900000004</v>
          </cell>
          <cell r="D62">
            <v>100</v>
          </cell>
          <cell r="E62">
            <v>0</v>
          </cell>
          <cell r="F62">
            <v>1</v>
          </cell>
        </row>
        <row r="63">
          <cell r="B63">
            <v>34335</v>
          </cell>
          <cell r="C63">
            <v>11.0967647</v>
          </cell>
          <cell r="D63">
            <v>141.31</v>
          </cell>
          <cell r="E63">
            <v>0</v>
          </cell>
          <cell r="F63">
            <v>1</v>
          </cell>
        </row>
        <row r="64">
          <cell r="B64">
            <v>34366</v>
          </cell>
          <cell r="C64">
            <v>15.62186911</v>
          </cell>
          <cell r="D64">
            <v>198.22</v>
          </cell>
          <cell r="E64">
            <v>0</v>
          </cell>
          <cell r="F64">
            <v>1</v>
          </cell>
        </row>
        <row r="65">
          <cell r="B65">
            <v>34394</v>
          </cell>
          <cell r="C65">
            <v>22.762782099999999</v>
          </cell>
          <cell r="D65">
            <v>282.95999999999998</v>
          </cell>
          <cell r="E65">
            <v>0</v>
          </cell>
          <cell r="F65">
            <v>1</v>
          </cell>
        </row>
        <row r="66">
          <cell r="B66">
            <v>34425</v>
          </cell>
          <cell r="C66">
            <v>32.074938510000003</v>
          </cell>
          <cell r="D66">
            <v>403.73</v>
          </cell>
          <cell r="E66">
            <v>0</v>
          </cell>
          <cell r="F66">
            <v>1</v>
          </cell>
        </row>
        <row r="67">
          <cell r="B67">
            <v>34455</v>
          </cell>
          <cell r="C67">
            <v>45.731576959999998</v>
          </cell>
          <cell r="D67">
            <v>581.49</v>
          </cell>
          <cell r="E67">
            <v>0</v>
          </cell>
          <cell r="F67">
            <v>1</v>
          </cell>
        </row>
        <row r="68">
          <cell r="B68">
            <v>34486</v>
          </cell>
          <cell r="C68">
            <v>66.408212939999999</v>
          </cell>
          <cell r="D68">
            <v>857.29</v>
          </cell>
          <cell r="E68">
            <v>0</v>
          </cell>
          <cell r="F68">
            <v>1</v>
          </cell>
        </row>
        <row r="69">
          <cell r="B69">
            <v>34516</v>
          </cell>
          <cell r="C69">
            <v>92.968426030000003</v>
          </cell>
          <cell r="D69">
            <v>915.93</v>
          </cell>
          <cell r="E69">
            <v>0</v>
          </cell>
          <cell r="F69">
            <v>1</v>
          </cell>
        </row>
        <row r="70">
          <cell r="B70">
            <v>34547</v>
          </cell>
          <cell r="C70">
            <v>100</v>
          </cell>
          <cell r="D70">
            <v>932.97</v>
          </cell>
          <cell r="E70">
            <v>1.0417031360600404</v>
          </cell>
          <cell r="F70">
            <v>1.0417031360600404</v>
          </cell>
        </row>
        <row r="71">
          <cell r="B71">
            <v>34578</v>
          </cell>
          <cell r="C71">
            <v>101.751</v>
          </cell>
          <cell r="D71">
            <v>947.24</v>
          </cell>
          <cell r="E71">
            <v>1.040191380612066</v>
          </cell>
          <cell r="F71">
            <v>1.0835706232862121</v>
          </cell>
        </row>
        <row r="72">
          <cell r="B72">
            <v>34608</v>
          </cell>
          <cell r="C72">
            <v>103.602</v>
          </cell>
          <cell r="D72">
            <v>972.06</v>
          </cell>
          <cell r="E72">
            <v>1.0400235119965635</v>
          </cell>
          <cell r="F72">
            <v>1.1269389251264317</v>
          </cell>
        </row>
        <row r="73">
          <cell r="B73">
            <v>34639</v>
          </cell>
          <cell r="C73">
            <v>106.553</v>
          </cell>
          <cell r="D73">
            <v>999.37</v>
          </cell>
          <cell r="E73">
            <v>1.0448704061969656</v>
          </cell>
          <cell r="F73">
            <v>1.1775051324560264</v>
          </cell>
        </row>
        <row r="74">
          <cell r="B74">
            <v>34669</v>
          </cell>
          <cell r="C74">
            <v>107.45</v>
          </cell>
          <cell r="D74">
            <v>1016.46</v>
          </cell>
          <cell r="E74">
            <v>1.0379749903132509</v>
          </cell>
          <cell r="F74">
            <v>1.2222208784548472</v>
          </cell>
        </row>
        <row r="75">
          <cell r="B75">
            <v>34700</v>
          </cell>
          <cell r="C75">
            <v>108.44199999999999</v>
          </cell>
          <cell r="D75">
            <v>1033.74</v>
          </cell>
          <cell r="E75">
            <v>1.033745155557255</v>
          </cell>
          <cell r="F75">
            <v>1.2634649121236308</v>
          </cell>
        </row>
        <row r="76">
          <cell r="B76">
            <v>34731</v>
          </cell>
          <cell r="C76">
            <v>109.9455</v>
          </cell>
          <cell r="D76">
            <v>1044.28</v>
          </cell>
          <cell r="E76">
            <v>1.0361946548110796</v>
          </cell>
          <cell r="F76">
            <v>1.3091955884838566</v>
          </cell>
        </row>
        <row r="77">
          <cell r="B77">
            <v>34759</v>
          </cell>
          <cell r="C77">
            <v>111.178</v>
          </cell>
          <cell r="D77">
            <v>1060.47</v>
          </cell>
          <cell r="E77">
            <v>1.0426211014987152</v>
          </cell>
          <cell r="F77">
            <v>1.3649949465422972</v>
          </cell>
        </row>
        <row r="78">
          <cell r="B78">
            <v>34790</v>
          </cell>
          <cell r="C78">
            <v>113.518</v>
          </cell>
          <cell r="D78">
            <v>1086.24</v>
          </cell>
          <cell r="E78">
            <v>1.0502446731743562</v>
          </cell>
          <cell r="F78">
            <v>1.4335786715159629</v>
          </cell>
        </row>
        <row r="79">
          <cell r="B79">
            <v>34820</v>
          </cell>
          <cell r="C79">
            <v>114.17100000000001</v>
          </cell>
          <cell r="D79">
            <v>1115.24</v>
          </cell>
          <cell r="E79">
            <v>1.0450356278102417</v>
          </cell>
          <cell r="F79">
            <v>1.4981407870030565</v>
          </cell>
        </row>
        <row r="80">
          <cell r="B80">
            <v>34851</v>
          </cell>
          <cell r="C80">
            <v>116.98399999999999</v>
          </cell>
          <cell r="D80">
            <v>1140.44</v>
          </cell>
          <cell r="E80">
            <v>1.0423602226147934</v>
          </cell>
          <cell r="F80">
            <v>1.5616023642488079</v>
          </cell>
        </row>
        <row r="81">
          <cell r="B81">
            <v>34881</v>
          </cell>
          <cell r="C81">
            <v>119.114</v>
          </cell>
          <cell r="D81">
            <v>1167.3499999999999</v>
          </cell>
          <cell r="E81">
            <v>1.0402311780170954</v>
          </cell>
          <cell r="F81">
            <v>1.6244274669568188</v>
          </cell>
        </row>
        <row r="82">
          <cell r="B82">
            <v>34912</v>
          </cell>
          <cell r="C82">
            <v>121.729</v>
          </cell>
          <cell r="D82">
            <v>1178.9100000000001</v>
          </cell>
          <cell r="E82">
            <v>1.0383979241220025</v>
          </cell>
          <cell r="F82">
            <v>1.6868021095747234</v>
          </cell>
        </row>
        <row r="83">
          <cell r="B83">
            <v>34943</v>
          </cell>
          <cell r="C83">
            <v>120.869</v>
          </cell>
          <cell r="D83">
            <v>1190.58</v>
          </cell>
          <cell r="E83">
            <v>1.0349384575781275</v>
          </cell>
          <cell r="F83">
            <v>1.745736373522796</v>
          </cell>
        </row>
        <row r="84">
          <cell r="B84">
            <v>34973</v>
          </cell>
          <cell r="C84">
            <v>121.503</v>
          </cell>
          <cell r="D84">
            <v>1207.3699999999999</v>
          </cell>
          <cell r="E84">
            <v>1.0324041438440343</v>
          </cell>
          <cell r="F84">
            <v>1.8023054660841915</v>
          </cell>
        </row>
        <row r="85">
          <cell r="B85">
            <v>35004</v>
          </cell>
          <cell r="C85">
            <v>122.955</v>
          </cell>
          <cell r="D85">
            <v>1225.1199999999999</v>
          </cell>
          <cell r="E85">
            <v>1.0316999077357936</v>
          </cell>
          <cell r="F85">
            <v>1.8594383830707768</v>
          </cell>
        </row>
        <row r="86">
          <cell r="B86">
            <v>35034</v>
          </cell>
          <cell r="C86">
            <v>123.833</v>
          </cell>
          <cell r="D86">
            <v>1244.23</v>
          </cell>
          <cell r="E86">
            <v>1.0292086837764389</v>
          </cell>
          <cell r="F86">
            <v>1.913750130803664</v>
          </cell>
        </row>
        <row r="87">
          <cell r="B87">
            <v>35065</v>
          </cell>
          <cell r="C87">
            <v>125.977</v>
          </cell>
          <cell r="D87">
            <v>1260.9000000000001</v>
          </cell>
          <cell r="E87">
            <v>1.0271429062533448</v>
          </cell>
          <cell r="F87">
            <v>1.9656948711963942</v>
          </cell>
        </row>
        <row r="88">
          <cell r="B88">
            <v>35096</v>
          </cell>
          <cell r="C88">
            <v>127.202</v>
          </cell>
          <cell r="D88">
            <v>1273.8900000000001</v>
          </cell>
          <cell r="E88">
            <v>1.026088709032714</v>
          </cell>
          <cell r="F88">
            <v>2.0169773127381352</v>
          </cell>
        </row>
        <row r="89">
          <cell r="B89">
            <v>35125</v>
          </cell>
          <cell r="C89">
            <v>127.715</v>
          </cell>
          <cell r="D89">
            <v>1278.3499999999999</v>
          </cell>
          <cell r="E89">
            <v>1.0222082178682002</v>
          </cell>
          <cell r="F89">
            <v>2.0617707843346404</v>
          </cell>
        </row>
        <row r="90">
          <cell r="B90">
            <v>35156</v>
          </cell>
          <cell r="C90">
            <v>128.13</v>
          </cell>
          <cell r="D90">
            <v>1294.46</v>
          </cell>
          <cell r="E90">
            <v>1.0227569082086725</v>
          </cell>
          <cell r="F90">
            <v>2.1086903128210666</v>
          </cell>
        </row>
        <row r="91">
          <cell r="B91">
            <v>35186</v>
          </cell>
          <cell r="C91">
            <v>130.12100000000001</v>
          </cell>
          <cell r="D91">
            <v>1310.25</v>
          </cell>
          <cell r="E91">
            <v>1.0210626514511167</v>
          </cell>
          <cell r="F91">
            <v>2.1531049218983629</v>
          </cell>
        </row>
        <row r="92">
          <cell r="B92">
            <v>35217</v>
          </cell>
          <cell r="C92">
            <v>131.44499999999999</v>
          </cell>
          <cell r="D92">
            <v>1325.84</v>
          </cell>
          <cell r="E92">
            <v>1.020826552130859</v>
          </cell>
          <cell r="F92">
            <v>2.1979466737974884</v>
          </cell>
        </row>
        <row r="93">
          <cell r="B93">
            <v>35247</v>
          </cell>
          <cell r="C93">
            <v>133.21299999999999</v>
          </cell>
          <cell r="D93">
            <v>1340.56</v>
          </cell>
          <cell r="E93">
            <v>1.0192856968560815</v>
          </cell>
          <cell r="F93">
            <v>2.2403356070541793</v>
          </cell>
        </row>
        <row r="94">
          <cell r="B94">
            <v>35278</v>
          </cell>
          <cell r="C94">
            <v>133.58699999999999</v>
          </cell>
          <cell r="D94">
            <v>1346.46</v>
          </cell>
          <cell r="E94">
            <v>1.0196791435025818</v>
          </cell>
          <cell r="F94">
            <v>2.2844234929593421</v>
          </cell>
        </row>
        <row r="95">
          <cell r="B95">
            <v>35309</v>
          </cell>
          <cell r="C95">
            <v>133.72200000000001</v>
          </cell>
          <cell r="D95">
            <v>1348.48</v>
          </cell>
          <cell r="E95">
            <v>1.0190405257020327</v>
          </cell>
          <cell r="F95">
            <v>2.3279201171913617</v>
          </cell>
        </row>
        <row r="96">
          <cell r="B96">
            <v>35339</v>
          </cell>
          <cell r="C96">
            <v>133.97800000000001</v>
          </cell>
          <cell r="D96">
            <v>1352.53</v>
          </cell>
          <cell r="E96">
            <v>1.0194350405573067</v>
          </cell>
          <cell r="F96">
            <v>2.3731633390831459</v>
          </cell>
        </row>
        <row r="97">
          <cell r="B97">
            <v>35370</v>
          </cell>
          <cell r="C97">
            <v>134.24199999999999</v>
          </cell>
          <cell r="D97">
            <v>1356.86</v>
          </cell>
          <cell r="E97">
            <v>1.018952291397875</v>
          </cell>
          <cell r="F97">
            <v>2.4181402222202037</v>
          </cell>
        </row>
        <row r="98">
          <cell r="B98">
            <v>35400</v>
          </cell>
          <cell r="C98">
            <v>135.22499999999999</v>
          </cell>
          <cell r="D98">
            <v>1363.24</v>
          </cell>
          <cell r="E98">
            <v>1.0189221360623306</v>
          </cell>
          <cell r="F98">
            <v>2.4638966005228489</v>
          </cell>
        </row>
        <row r="99">
          <cell r="B99">
            <v>35431</v>
          </cell>
          <cell r="C99">
            <v>137.613</v>
          </cell>
          <cell r="D99">
            <v>1379.33</v>
          </cell>
          <cell r="E99">
            <v>1.0182168360386268</v>
          </cell>
          <cell r="F99">
            <v>2.5087810009107034</v>
          </cell>
        </row>
        <row r="100">
          <cell r="B100">
            <v>35462</v>
          </cell>
          <cell r="C100">
            <v>138.20400000000001</v>
          </cell>
          <cell r="D100">
            <v>1386.23</v>
          </cell>
          <cell r="E100">
            <v>1.018615977536991</v>
          </cell>
          <cell r="F100">
            <v>2.5554844116688868</v>
          </cell>
        </row>
        <row r="101">
          <cell r="B101">
            <v>35490</v>
          </cell>
          <cell r="C101">
            <v>139.79499999999999</v>
          </cell>
          <cell r="D101">
            <v>1393.3</v>
          </cell>
          <cell r="E101">
            <v>1.0181653196053577</v>
          </cell>
          <cell r="F101">
            <v>2.6019056027533618</v>
          </cell>
        </row>
        <row r="102">
          <cell r="B102">
            <v>35521</v>
          </cell>
          <cell r="C102">
            <v>140.74199999999999</v>
          </cell>
          <cell r="D102">
            <v>1405.56</v>
          </cell>
          <cell r="E102">
            <v>1.0174130782041242</v>
          </cell>
          <cell r="F102">
            <v>2.6472127884938548</v>
          </cell>
        </row>
        <row r="103">
          <cell r="B103">
            <v>35551</v>
          </cell>
          <cell r="C103">
            <v>141.04</v>
          </cell>
          <cell r="D103">
            <v>1411.32</v>
          </cell>
          <cell r="E103">
            <v>1.0173859708262292</v>
          </cell>
          <cell r="F103">
            <v>2.6932371528054295</v>
          </cell>
        </row>
        <row r="104">
          <cell r="B104">
            <v>35582</v>
          </cell>
          <cell r="C104">
            <v>142.09</v>
          </cell>
          <cell r="D104">
            <v>1418.94</v>
          </cell>
          <cell r="E104">
            <v>1.0160683269749473</v>
          </cell>
          <cell r="F104">
            <v>2.7365129679977831</v>
          </cell>
        </row>
        <row r="105">
          <cell r="B105">
            <v>35612</v>
          </cell>
          <cell r="C105">
            <v>142.221</v>
          </cell>
          <cell r="D105">
            <v>1422.06</v>
          </cell>
          <cell r="E105">
            <v>1.0160384417373229</v>
          </cell>
          <cell r="F105">
            <v>2.7804023717984441</v>
          </cell>
        </row>
        <row r="106">
          <cell r="B106">
            <v>35643</v>
          </cell>
          <cell r="C106">
            <v>142.35300000000001</v>
          </cell>
          <cell r="D106">
            <v>1421.78</v>
          </cell>
          <cell r="E106">
            <v>1.0158585469231169</v>
          </cell>
          <cell r="F106">
            <v>2.8244955132767555</v>
          </cell>
        </row>
        <row r="107">
          <cell r="B107">
            <v>35674</v>
          </cell>
          <cell r="C107">
            <v>143.042</v>
          </cell>
          <cell r="D107">
            <v>1422.63</v>
          </cell>
          <cell r="E107">
            <v>1.0159028051900765</v>
          </cell>
          <cell r="F107">
            <v>2.869412915184641</v>
          </cell>
        </row>
        <row r="108">
          <cell r="B108">
            <v>35704</v>
          </cell>
          <cell r="C108">
            <v>143.56700000000001</v>
          </cell>
          <cell r="D108">
            <v>1425.9</v>
          </cell>
          <cell r="E108">
            <v>1.0167288802763557</v>
          </cell>
          <cell r="F108">
            <v>2.9174149803061935</v>
          </cell>
        </row>
        <row r="109">
          <cell r="B109">
            <v>35735</v>
          </cell>
          <cell r="C109">
            <v>144.48099999999999</v>
          </cell>
          <cell r="D109">
            <v>1428.32</v>
          </cell>
          <cell r="E109">
            <v>1.0304347964479648</v>
          </cell>
          <cell r="F109">
            <v>3.0062059113860555</v>
          </cell>
        </row>
        <row r="110">
          <cell r="B110">
            <v>35765</v>
          </cell>
          <cell r="C110">
            <v>145.69499999999999</v>
          </cell>
          <cell r="D110">
            <v>1434.46</v>
          </cell>
          <cell r="E110">
            <v>1.0311549813439238</v>
          </cell>
          <cell r="F110">
            <v>3.0998642004712815</v>
          </cell>
        </row>
        <row r="111">
          <cell r="B111">
            <v>35796</v>
          </cell>
          <cell r="C111">
            <v>147.09100000000001</v>
          </cell>
          <cell r="D111">
            <v>1444.64</v>
          </cell>
          <cell r="E111">
            <v>1.0280960413836384</v>
          </cell>
          <cell r="F111">
            <v>3.1869581133313818</v>
          </cell>
        </row>
        <row r="112">
          <cell r="B112">
            <v>35827</v>
          </cell>
          <cell r="C112">
            <v>147.35599999999999</v>
          </cell>
          <cell r="D112">
            <v>1451.29</v>
          </cell>
          <cell r="E112">
            <v>1.0236711069024262</v>
          </cell>
          <cell r="F112">
            <v>3.2623969395256034</v>
          </cell>
        </row>
        <row r="113">
          <cell r="B113">
            <v>35855</v>
          </cell>
          <cell r="C113">
            <v>147.63499999999999</v>
          </cell>
          <cell r="D113">
            <v>1456.22</v>
          </cell>
          <cell r="E113">
            <v>1.0220072916308196</v>
          </cell>
          <cell r="F113">
            <v>3.3341934603892365</v>
          </cell>
        </row>
        <row r="114">
          <cell r="B114">
            <v>35886</v>
          </cell>
          <cell r="C114">
            <v>147.821</v>
          </cell>
          <cell r="D114">
            <v>1459.71</v>
          </cell>
          <cell r="E114">
            <v>1.0199031041694671</v>
          </cell>
          <cell r="F114">
            <v>3.4005542601525192</v>
          </cell>
        </row>
        <row r="115">
          <cell r="B115">
            <v>35916</v>
          </cell>
          <cell r="C115">
            <v>148.02099999999999</v>
          </cell>
          <cell r="D115">
            <v>1467.01</v>
          </cell>
          <cell r="E115">
            <v>1.0171306475499944</v>
          </cell>
          <cell r="F115">
            <v>3.4588079566578238</v>
          </cell>
        </row>
        <row r="116">
          <cell r="B116">
            <v>35947</v>
          </cell>
          <cell r="C116">
            <v>148.58799999999999</v>
          </cell>
          <cell r="D116">
            <v>1467.3</v>
          </cell>
          <cell r="E116">
            <v>1.0167959651913006</v>
          </cell>
          <cell r="F116">
            <v>3.5169019747012422</v>
          </cell>
        </row>
        <row r="117">
          <cell r="B117">
            <v>35977</v>
          </cell>
          <cell r="C117">
            <v>148.339</v>
          </cell>
          <cell r="D117">
            <v>1465.54</v>
          </cell>
          <cell r="E117">
            <v>1.0170373206405035</v>
          </cell>
          <cell r="F117">
            <v>3.5768205613054471</v>
          </cell>
        </row>
        <row r="118">
          <cell r="B118">
            <v>36008</v>
          </cell>
          <cell r="C118">
            <v>148.10900000000001</v>
          </cell>
          <cell r="D118">
            <v>1458.07</v>
          </cell>
          <cell r="E118">
            <v>1.0147631694962493</v>
          </cell>
          <cell r="F118">
            <v>3.6296257695096692</v>
          </cell>
        </row>
        <row r="119">
          <cell r="B119">
            <v>36039</v>
          </cell>
          <cell r="C119">
            <v>147.98400000000001</v>
          </cell>
          <cell r="D119">
            <v>1454.86</v>
          </cell>
          <cell r="E119">
            <v>1.0255896332244516</v>
          </cell>
          <cell r="F119">
            <v>3.7225065616934394</v>
          </cell>
        </row>
        <row r="120">
          <cell r="B120">
            <v>36069</v>
          </cell>
          <cell r="C120">
            <v>148.1</v>
          </cell>
          <cell r="D120">
            <v>1455.15</v>
          </cell>
          <cell r="E120">
            <v>1.0308188720930029</v>
          </cell>
          <cell r="F120">
            <v>3.8372300152836338</v>
          </cell>
        </row>
        <row r="121">
          <cell r="B121">
            <v>36100</v>
          </cell>
          <cell r="C121">
            <v>147.62799999999999</v>
          </cell>
          <cell r="D121">
            <v>1453.4</v>
          </cell>
          <cell r="E121">
            <v>1.0277678356785036</v>
          </cell>
          <cell r="F121">
            <v>3.9437815878086515</v>
          </cell>
        </row>
        <row r="122">
          <cell r="B122">
            <v>36130</v>
          </cell>
          <cell r="C122">
            <v>148.291</v>
          </cell>
          <cell r="D122">
            <v>1458.2</v>
          </cell>
          <cell r="E122">
            <v>1.025049538167373</v>
          </cell>
          <cell r="F122">
            <v>4.0425714952162473</v>
          </cell>
        </row>
        <row r="123">
          <cell r="B123">
            <v>36161</v>
          </cell>
          <cell r="C123">
            <v>149.53299999999999</v>
          </cell>
          <cell r="D123">
            <v>1468.41</v>
          </cell>
          <cell r="E123">
            <v>1.022811290449001</v>
          </cell>
          <cell r="F123">
            <v>4.1347877677544771</v>
          </cell>
        </row>
        <row r="124">
          <cell r="B124">
            <v>36192</v>
          </cell>
          <cell r="C124">
            <v>154.93299999999999</v>
          </cell>
          <cell r="D124">
            <v>1483.83</v>
          </cell>
          <cell r="E124">
            <v>1.0264662861429437</v>
          </cell>
          <cell r="F124">
            <v>4.2442202439562102</v>
          </cell>
        </row>
        <row r="125">
          <cell r="B125">
            <v>36220</v>
          </cell>
          <cell r="C125">
            <v>159.32499999999999</v>
          </cell>
          <cell r="D125">
            <v>1500.15</v>
          </cell>
          <cell r="E125">
            <v>1.033345195070198</v>
          </cell>
          <cell r="F125">
            <v>4.3857445959118131</v>
          </cell>
        </row>
        <row r="126">
          <cell r="B126">
            <v>36251</v>
          </cell>
          <cell r="C126">
            <v>160.459</v>
          </cell>
          <cell r="D126">
            <v>1508.55</v>
          </cell>
          <cell r="E126">
            <v>1.027563660965396</v>
          </cell>
          <cell r="F126">
            <v>4.5066317730343437</v>
          </cell>
        </row>
        <row r="127">
          <cell r="B127">
            <v>36281</v>
          </cell>
          <cell r="C127">
            <v>159.99600000000001</v>
          </cell>
          <cell r="D127">
            <v>1513.08</v>
          </cell>
          <cell r="E127">
            <v>1.0201883000304468</v>
          </cell>
          <cell r="F127">
            <v>4.5976130073951058</v>
          </cell>
        </row>
        <row r="128">
          <cell r="B128">
            <v>36312</v>
          </cell>
          <cell r="C128">
            <v>160.57300000000001</v>
          </cell>
          <cell r="D128">
            <v>1515.95</v>
          </cell>
          <cell r="E128">
            <v>1.0175637707499077</v>
          </cell>
          <cell r="F128">
            <v>4.6783644282537873</v>
          </cell>
        </row>
        <row r="129">
          <cell r="B129">
            <v>36342</v>
          </cell>
          <cell r="C129">
            <v>163.06</v>
          </cell>
          <cell r="D129">
            <v>1532.47</v>
          </cell>
          <cell r="E129">
            <v>1.0165876375704719</v>
          </cell>
          <cell r="F129">
            <v>4.7559674418122491</v>
          </cell>
        </row>
        <row r="130">
          <cell r="B130">
            <v>36373</v>
          </cell>
          <cell r="C130">
            <v>165.60300000000001</v>
          </cell>
          <cell r="D130">
            <v>1541.05</v>
          </cell>
          <cell r="E130">
            <v>1.0156847483880824</v>
          </cell>
          <cell r="F130">
            <v>4.8305635944789866</v>
          </cell>
        </row>
        <row r="131">
          <cell r="B131">
            <v>36404</v>
          </cell>
          <cell r="C131">
            <v>167.99700000000001</v>
          </cell>
          <cell r="D131">
            <v>1545.83</v>
          </cell>
          <cell r="E131">
            <v>1.0155901672784533</v>
          </cell>
          <cell r="F131">
            <v>4.9058728889661207</v>
          </cell>
        </row>
        <row r="132">
          <cell r="B132">
            <v>36434</v>
          </cell>
          <cell r="C132">
            <v>170.86099999999999</v>
          </cell>
          <cell r="D132">
            <v>1564.23</v>
          </cell>
          <cell r="E132">
            <v>1.0145370189540868</v>
          </cell>
          <cell r="F132">
            <v>4.9771896561393616</v>
          </cell>
        </row>
        <row r="133">
          <cell r="B133">
            <v>36465</v>
          </cell>
          <cell r="C133">
            <v>174.93899999999999</v>
          </cell>
          <cell r="D133">
            <v>1579.09</v>
          </cell>
          <cell r="E133">
            <v>1.0152599173733607</v>
          </cell>
          <cell r="F133">
            <v>5.0531411590435944</v>
          </cell>
        </row>
        <row r="134">
          <cell r="B134">
            <v>36495</v>
          </cell>
          <cell r="C134">
            <v>178.09899999999999</v>
          </cell>
          <cell r="D134">
            <v>1588.56</v>
          </cell>
          <cell r="E134">
            <v>1.0159962861507461</v>
          </cell>
          <cell r="F134">
            <v>5.1339726509837682</v>
          </cell>
        </row>
        <row r="135">
          <cell r="B135">
            <v>36526</v>
          </cell>
          <cell r="C135">
            <v>180.30099999999999</v>
          </cell>
          <cell r="D135">
            <v>1598.41</v>
          </cell>
          <cell r="E135">
            <v>1.0145573263269665</v>
          </cell>
          <cell r="F135">
            <v>5.20870956621786</v>
          </cell>
        </row>
        <row r="136">
          <cell r="B136">
            <v>36557</v>
          </cell>
          <cell r="C136">
            <v>180.935</v>
          </cell>
          <cell r="D136">
            <v>1600.49</v>
          </cell>
          <cell r="E136">
            <v>1.0145089461247463</v>
          </cell>
          <cell r="F136">
            <v>5.2842824526935654</v>
          </cell>
        </row>
        <row r="137">
          <cell r="B137">
            <v>36586</v>
          </cell>
          <cell r="C137">
            <v>181.214</v>
          </cell>
          <cell r="D137">
            <v>1604.01</v>
          </cell>
          <cell r="E137">
            <v>1.0158860407835757</v>
          </cell>
          <cell r="F137">
            <v>5.3682287792489891</v>
          </cell>
        </row>
        <row r="138">
          <cell r="B138">
            <v>36617</v>
          </cell>
          <cell r="C138">
            <v>181.63499999999999</v>
          </cell>
          <cell r="D138">
            <v>1610.75</v>
          </cell>
          <cell r="E138">
            <v>1.0136441914221253</v>
          </cell>
          <cell r="F138">
            <v>5.4414739203108242</v>
          </cell>
        </row>
        <row r="139">
          <cell r="B139">
            <v>36647</v>
          </cell>
          <cell r="C139">
            <v>182.18899999999999</v>
          </cell>
          <cell r="D139">
            <v>1610.91</v>
          </cell>
          <cell r="E139">
            <v>1.0156265899953318</v>
          </cell>
          <cell r="F139">
            <v>5.5265056022338124</v>
          </cell>
        </row>
        <row r="140">
          <cell r="B140">
            <v>36678</v>
          </cell>
          <cell r="C140">
            <v>183.745</v>
          </cell>
          <cell r="D140">
            <v>1614.62</v>
          </cell>
          <cell r="E140">
            <v>1.0145668910909638</v>
          </cell>
          <cell r="F140">
            <v>5.6070096074551534</v>
          </cell>
        </row>
        <row r="141">
          <cell r="B141">
            <v>36708</v>
          </cell>
          <cell r="C141">
            <v>186.63399999999999</v>
          </cell>
          <cell r="D141">
            <v>1640.62</v>
          </cell>
          <cell r="E141">
            <v>1.0130599958288005</v>
          </cell>
          <cell r="F141">
            <v>5.6802371295405623</v>
          </cell>
        </row>
        <row r="142">
          <cell r="B142">
            <v>36739</v>
          </cell>
          <cell r="C142">
            <v>191.08699999999999</v>
          </cell>
          <cell r="D142">
            <v>1662.11</v>
          </cell>
          <cell r="E142">
            <v>1.0140543715890855</v>
          </cell>
          <cell r="F142">
            <v>5.7600692928732462</v>
          </cell>
        </row>
        <row r="143">
          <cell r="B143">
            <v>36770</v>
          </cell>
          <cell r="C143">
            <v>193.297</v>
          </cell>
          <cell r="D143">
            <v>1665.93</v>
          </cell>
          <cell r="E143">
            <v>1.0128508890656427</v>
          </cell>
          <cell r="F143">
            <v>5.8340913043663756</v>
          </cell>
        </row>
        <row r="144">
          <cell r="B144">
            <v>36800</v>
          </cell>
          <cell r="C144">
            <v>194.04</v>
          </cell>
          <cell r="D144">
            <v>1668.26</v>
          </cell>
          <cell r="E144">
            <v>1.013495295624836</v>
          </cell>
          <cell r="F144">
            <v>5.9128240912210845</v>
          </cell>
        </row>
        <row r="145">
          <cell r="B145">
            <v>36831</v>
          </cell>
          <cell r="C145">
            <v>194.59899999999999</v>
          </cell>
          <cell r="D145">
            <v>1673.6</v>
          </cell>
          <cell r="E145">
            <v>1.013431060777086</v>
          </cell>
          <cell r="F145">
            <v>5.992239590954493</v>
          </cell>
        </row>
        <row r="146">
          <cell r="B146">
            <v>36861</v>
          </cell>
          <cell r="C146">
            <v>195.827</v>
          </cell>
          <cell r="D146">
            <v>1683.47</v>
          </cell>
          <cell r="E146">
            <v>1.0125716392096709</v>
          </cell>
          <cell r="F146">
            <v>6.0675718651498789</v>
          </cell>
        </row>
        <row r="147">
          <cell r="B147">
            <v>36892</v>
          </cell>
          <cell r="C147">
            <v>197.04499999999999</v>
          </cell>
          <cell r="D147">
            <v>1693.07</v>
          </cell>
          <cell r="E147">
            <v>1.0126506879847863</v>
          </cell>
          <cell r="F147">
            <v>6.144330823641158</v>
          </cell>
        </row>
        <row r="148">
          <cell r="B148">
            <v>36923</v>
          </cell>
          <cell r="C148">
            <v>197.49100000000001</v>
          </cell>
          <cell r="D148">
            <v>1700.86</v>
          </cell>
          <cell r="E148">
            <v>1.0101583510827936</v>
          </cell>
          <cell r="F148">
            <v>6.206747093316535</v>
          </cell>
        </row>
        <row r="149">
          <cell r="B149">
            <v>36951</v>
          </cell>
          <cell r="C149">
            <v>198.60599999999999</v>
          </cell>
          <cell r="D149">
            <v>1707.32</v>
          </cell>
          <cell r="E149">
            <v>1.0125785495836725</v>
          </cell>
          <cell r="F149">
            <v>6.2848189693831324</v>
          </cell>
        </row>
        <row r="150">
          <cell r="B150">
            <v>36982</v>
          </cell>
          <cell r="C150">
            <v>200.59100000000001</v>
          </cell>
          <cell r="D150">
            <v>1717.22</v>
          </cell>
          <cell r="E150">
            <v>1.0118637336714187</v>
          </cell>
          <cell r="F150">
            <v>6.3593803878089741</v>
          </cell>
        </row>
        <row r="151">
          <cell r="B151">
            <v>37012</v>
          </cell>
          <cell r="C151">
            <v>202.32400000000001</v>
          </cell>
          <cell r="D151">
            <v>1724.26</v>
          </cell>
          <cell r="E151">
            <v>1.0133677002760824</v>
          </cell>
          <cell r="F151">
            <v>6.4443906787748011</v>
          </cell>
        </row>
        <row r="152">
          <cell r="B152">
            <v>37043</v>
          </cell>
          <cell r="C152">
            <v>204.31</v>
          </cell>
          <cell r="D152">
            <v>1733.23</v>
          </cell>
          <cell r="E152">
            <v>1.0127331554566117</v>
          </cell>
          <cell r="F152">
            <v>6.5264481071107801</v>
          </cell>
        </row>
        <row r="153">
          <cell r="B153">
            <v>37073</v>
          </cell>
          <cell r="C153">
            <v>207.34100000000001</v>
          </cell>
          <cell r="D153">
            <v>1756.28</v>
          </cell>
          <cell r="E153">
            <v>1.014979822756394</v>
          </cell>
          <cell r="F153">
            <v>6.6242131429841029</v>
          </cell>
        </row>
        <row r="154">
          <cell r="B154">
            <v>37104</v>
          </cell>
          <cell r="C154">
            <v>210.21100000000001</v>
          </cell>
          <cell r="D154">
            <v>1768.57</v>
          </cell>
          <cell r="E154">
            <v>1.0160000122718875</v>
          </cell>
          <cell r="F154">
            <v>6.7302006345634471</v>
          </cell>
        </row>
        <row r="155">
          <cell r="B155">
            <v>37135</v>
          </cell>
          <cell r="C155">
            <v>210.85300000000001</v>
          </cell>
          <cell r="D155">
            <v>1773.52</v>
          </cell>
          <cell r="E155">
            <v>1.013243107438228</v>
          </cell>
          <cell r="F155">
            <v>6.8193294046478012</v>
          </cell>
        </row>
        <row r="156">
          <cell r="B156">
            <v>37165</v>
          </cell>
          <cell r="C156">
            <v>213.339</v>
          </cell>
          <cell r="D156">
            <v>1788.24</v>
          </cell>
          <cell r="E156">
            <v>1.0153493751182632</v>
          </cell>
          <cell r="F156">
            <v>6.9240018497347426</v>
          </cell>
        </row>
        <row r="157">
          <cell r="B157">
            <v>37196</v>
          </cell>
          <cell r="C157">
            <v>215.685</v>
          </cell>
          <cell r="D157">
            <v>1800.94</v>
          </cell>
          <cell r="E157">
            <v>1.0139343824698488</v>
          </cell>
          <cell r="F157">
            <v>7.0204835397308871</v>
          </cell>
        </row>
        <row r="158">
          <cell r="B158">
            <v>37226</v>
          </cell>
          <cell r="C158">
            <v>216.16300000000001</v>
          </cell>
          <cell r="D158">
            <v>1812.65</v>
          </cell>
          <cell r="E158">
            <v>1.0139354159682339</v>
          </cell>
          <cell r="F158">
            <v>7.1183168981551761</v>
          </cell>
        </row>
        <row r="159">
          <cell r="B159">
            <v>37257</v>
          </cell>
          <cell r="C159">
            <v>216.94399999999999</v>
          </cell>
          <cell r="D159">
            <v>1822.08</v>
          </cell>
          <cell r="E159">
            <v>1.0153395939759675</v>
          </cell>
          <cell r="F159">
            <v>7.2275089891651447</v>
          </cell>
        </row>
        <row r="160">
          <cell r="B160">
            <v>37288</v>
          </cell>
          <cell r="C160">
            <v>217.07400000000001</v>
          </cell>
          <cell r="D160">
            <v>1828.64</v>
          </cell>
          <cell r="E160">
            <v>1.012482154231837</v>
          </cell>
          <cell r="F160">
            <v>7.3177238710798918</v>
          </cell>
        </row>
        <row r="161">
          <cell r="B161">
            <v>37316</v>
          </cell>
          <cell r="C161">
            <v>217.27600000000001</v>
          </cell>
          <cell r="D161">
            <v>1839.61</v>
          </cell>
          <cell r="E161">
            <v>1.013713327882185</v>
          </cell>
          <cell r="F161">
            <v>7.4180742178753025</v>
          </cell>
        </row>
        <row r="162">
          <cell r="B162">
            <v>37347</v>
          </cell>
          <cell r="C162">
            <v>218.48599999999999</v>
          </cell>
          <cell r="D162">
            <v>1854.33</v>
          </cell>
          <cell r="E162">
            <v>1.0148356719718208</v>
          </cell>
          <cell r="F162">
            <v>7.5281263336343214</v>
          </cell>
        </row>
        <row r="163">
          <cell r="B163">
            <v>37377</v>
          </cell>
          <cell r="C163">
            <v>220.292</v>
          </cell>
          <cell r="D163">
            <v>1858.22</v>
          </cell>
          <cell r="E163">
            <v>1.0141498936566418</v>
          </cell>
          <cell r="F163">
            <v>7.6346485206890113</v>
          </cell>
        </row>
        <row r="164">
          <cell r="B164">
            <v>37408</v>
          </cell>
          <cell r="C164">
            <v>223.68799999999999</v>
          </cell>
          <cell r="D164">
            <v>1866.02</v>
          </cell>
          <cell r="E164">
            <v>1.0132903281280037</v>
          </cell>
          <cell r="F164">
            <v>7.7361155046709458</v>
          </cell>
        </row>
        <row r="165">
          <cell r="B165">
            <v>37438</v>
          </cell>
          <cell r="C165">
            <v>228.05699999999999</v>
          </cell>
          <cell r="D165">
            <v>1888.23</v>
          </cell>
          <cell r="E165">
            <v>1.0153543455443825</v>
          </cell>
          <cell r="F165">
            <v>7.8548984953009189</v>
          </cell>
        </row>
        <row r="166">
          <cell r="B166">
            <v>37469</v>
          </cell>
          <cell r="C166">
            <v>233.34800000000001</v>
          </cell>
          <cell r="D166">
            <v>1900.5</v>
          </cell>
          <cell r="E166">
            <v>1.0144340404848073</v>
          </cell>
          <cell r="F166">
            <v>7.9682764181861447</v>
          </cell>
        </row>
        <row r="167">
          <cell r="B167">
            <v>37500</v>
          </cell>
          <cell r="C167">
            <v>238.94300000000001</v>
          </cell>
          <cell r="D167">
            <v>1914.18</v>
          </cell>
          <cell r="E167">
            <v>1.0138126637754254</v>
          </cell>
          <cell r="F167">
            <v>8.0783395412202008</v>
          </cell>
        </row>
        <row r="168">
          <cell r="B168">
            <v>37530</v>
          </cell>
          <cell r="C168">
            <v>248.19900000000001</v>
          </cell>
          <cell r="D168">
            <v>1939.26</v>
          </cell>
          <cell r="E168">
            <v>1.0164592520111337</v>
          </cell>
          <cell r="F168">
            <v>8.2113029675606501</v>
          </cell>
        </row>
        <row r="169">
          <cell r="B169">
            <v>37561</v>
          </cell>
          <cell r="C169">
            <v>261.08</v>
          </cell>
          <cell r="D169">
            <v>1997.83</v>
          </cell>
          <cell r="E169">
            <v>1.0154093077816833</v>
          </cell>
          <cell r="F169">
            <v>8.337833462276441</v>
          </cell>
        </row>
        <row r="170">
          <cell r="B170">
            <v>37591</v>
          </cell>
          <cell r="C170">
            <v>270.86700000000002</v>
          </cell>
          <cell r="D170">
            <v>2039.78</v>
          </cell>
          <cell r="E170">
            <v>1.0174244857414556</v>
          </cell>
          <cell r="F170">
            <v>8.483115922554509</v>
          </cell>
        </row>
        <row r="171">
          <cell r="B171">
            <v>37622</v>
          </cell>
          <cell r="C171">
            <v>277.173</v>
          </cell>
          <cell r="D171">
            <v>2085.6799999999998</v>
          </cell>
          <cell r="E171">
            <v>1.0197126646415859</v>
          </cell>
          <cell r="F171">
            <v>8.6503407418515241</v>
          </cell>
        </row>
        <row r="172">
          <cell r="B172">
            <v>37653</v>
          </cell>
          <cell r="C172">
            <v>283.50599999999997</v>
          </cell>
          <cell r="D172">
            <v>2118.4299999999998</v>
          </cell>
          <cell r="E172">
            <v>1.0183037986307939</v>
          </cell>
          <cell r="F172">
            <v>8.8086748368781276</v>
          </cell>
        </row>
        <row r="173">
          <cell r="B173">
            <v>37681</v>
          </cell>
          <cell r="C173">
            <v>287.85500000000002</v>
          </cell>
          <cell r="D173">
            <v>2144.4899999999998</v>
          </cell>
          <cell r="E173">
            <v>1.0177701866474056</v>
          </cell>
          <cell r="F173">
            <v>8.9652066328457565</v>
          </cell>
        </row>
        <row r="174">
          <cell r="B174">
            <v>37712</v>
          </cell>
          <cell r="C174">
            <v>290.512</v>
          </cell>
          <cell r="D174">
            <v>2165.29</v>
          </cell>
          <cell r="E174">
            <v>1.0187159495984839</v>
          </cell>
          <cell r="F174">
            <v>9.1329989883260918</v>
          </cell>
        </row>
        <row r="175">
          <cell r="B175">
            <v>37742</v>
          </cell>
          <cell r="C175">
            <v>289.74700000000001</v>
          </cell>
          <cell r="D175">
            <v>2178.5</v>
          </cell>
          <cell r="E175">
            <v>1.0196535248447016</v>
          </cell>
          <cell r="F175">
            <v>9.312494610849793</v>
          </cell>
        </row>
        <row r="176">
          <cell r="B176">
            <v>37773</v>
          </cell>
          <cell r="C176">
            <v>286.84300000000002</v>
          </cell>
          <cell r="D176">
            <v>2175.23</v>
          </cell>
          <cell r="E176">
            <v>1.0185667947451373</v>
          </cell>
          <cell r="F176">
            <v>9.4853977868546391</v>
          </cell>
        </row>
        <row r="177">
          <cell r="B177">
            <v>37803</v>
          </cell>
          <cell r="C177">
            <v>285.649</v>
          </cell>
          <cell r="D177">
            <v>2179.58</v>
          </cell>
          <cell r="E177">
            <v>1.0208424747911398</v>
          </cell>
          <cell r="F177">
            <v>9.6830969511110894</v>
          </cell>
        </row>
        <row r="178">
          <cell r="B178">
            <v>37834</v>
          </cell>
          <cell r="C178">
            <v>286.73500000000001</v>
          </cell>
          <cell r="D178">
            <v>2186.9899999999998</v>
          </cell>
          <cell r="E178">
            <v>1.0177426111342931</v>
          </cell>
          <cell r="F178">
            <v>9.8549003748903132</v>
          </cell>
        </row>
        <row r="179">
          <cell r="B179">
            <v>37865</v>
          </cell>
          <cell r="C179">
            <v>290.12700000000001</v>
          </cell>
          <cell r="D179">
            <v>2204.0500000000002</v>
          </cell>
          <cell r="E179">
            <v>1.0167950902831471</v>
          </cell>
          <cell r="F179">
            <v>10.020414316418016</v>
          </cell>
        </row>
        <row r="180">
          <cell r="B180">
            <v>37895</v>
          </cell>
          <cell r="C180">
            <v>291.22899999999998</v>
          </cell>
          <cell r="D180">
            <v>2210.44</v>
          </cell>
          <cell r="E180">
            <v>1.0164205992977207</v>
          </cell>
          <cell r="F180">
            <v>10.18495552470506</v>
          </cell>
        </row>
        <row r="181">
          <cell r="B181">
            <v>37926</v>
          </cell>
          <cell r="C181">
            <v>292.65699999999998</v>
          </cell>
          <cell r="D181">
            <v>2217.96</v>
          </cell>
          <cell r="E181">
            <v>1.0134353138584866</v>
          </cell>
          <cell r="F181">
            <v>10.3217935988142</v>
          </cell>
        </row>
        <row r="182">
          <cell r="B182">
            <v>37956</v>
          </cell>
          <cell r="C182">
            <v>294.45499999999998</v>
          </cell>
          <cell r="D182">
            <v>2229.4899999999998</v>
          </cell>
          <cell r="E182">
            <v>1.0137325047762002</v>
          </cell>
          <cell r="F182">
            <v>10.463537678708869</v>
          </cell>
        </row>
        <row r="183">
          <cell r="B183">
            <v>37987</v>
          </cell>
          <cell r="C183">
            <v>297.03899999999999</v>
          </cell>
          <cell r="D183">
            <v>2246.4299999999998</v>
          </cell>
          <cell r="E183">
            <v>1.0126755135884871</v>
          </cell>
          <cell r="F183">
            <v>10.59616839273899</v>
          </cell>
        </row>
        <row r="184">
          <cell r="B184">
            <v>38018</v>
          </cell>
          <cell r="C184">
            <v>299.09699999999998</v>
          </cell>
          <cell r="D184">
            <v>2260.13</v>
          </cell>
          <cell r="E184">
            <v>1.0108439419169848</v>
          </cell>
          <cell r="F184">
            <v>10.711072627332442</v>
          </cell>
        </row>
        <row r="185">
          <cell r="B185">
            <v>38047</v>
          </cell>
          <cell r="C185">
            <v>302.48399999999998</v>
          </cell>
          <cell r="D185">
            <v>2270.75</v>
          </cell>
          <cell r="E185">
            <v>1.0137912342986635</v>
          </cell>
          <cell r="F185">
            <v>10.858791539525985</v>
          </cell>
        </row>
        <row r="186">
          <cell r="B186">
            <v>38078</v>
          </cell>
          <cell r="C186">
            <v>306.15100000000001</v>
          </cell>
          <cell r="D186">
            <v>2279.15</v>
          </cell>
          <cell r="E186">
            <v>1.011818501098614</v>
          </cell>
          <cell r="F186">
            <v>10.987126179265493</v>
          </cell>
        </row>
        <row r="187">
          <cell r="B187">
            <v>38108</v>
          </cell>
          <cell r="C187">
            <v>310.15199999999999</v>
          </cell>
          <cell r="D187">
            <v>2290.77</v>
          </cell>
          <cell r="E187">
            <v>1.0122780474663127</v>
          </cell>
          <cell r="F187">
            <v>11.122026636012881</v>
          </cell>
        </row>
        <row r="188">
          <cell r="B188">
            <v>38139</v>
          </cell>
          <cell r="C188">
            <v>314.41899999999998</v>
          </cell>
          <cell r="D188">
            <v>2307.0300000000002</v>
          </cell>
          <cell r="E188">
            <v>1.0122988884857291</v>
          </cell>
          <cell r="F188">
            <v>11.258815201344513</v>
          </cell>
        </row>
        <row r="189">
          <cell r="B189">
            <v>38169</v>
          </cell>
          <cell r="C189">
            <v>318.53199999999998</v>
          </cell>
          <cell r="D189">
            <v>2328.02</v>
          </cell>
          <cell r="E189">
            <v>1.012868893920805</v>
          </cell>
          <cell r="F189">
            <v>11.403703699844563</v>
          </cell>
        </row>
        <row r="190">
          <cell r="B190">
            <v>38200</v>
          </cell>
          <cell r="C190">
            <v>322.41199999999998</v>
          </cell>
          <cell r="D190">
            <v>2344.08</v>
          </cell>
          <cell r="E190">
            <v>1.0129358583775749</v>
          </cell>
          <cell r="F190">
            <v>11.551220395885579</v>
          </cell>
        </row>
        <row r="191">
          <cell r="B191">
            <v>38231</v>
          </cell>
          <cell r="C191">
            <v>324.65100000000001</v>
          </cell>
          <cell r="D191">
            <v>2351.8200000000002</v>
          </cell>
          <cell r="E191">
            <v>1.0125132709021758</v>
          </cell>
          <cell r="F191">
            <v>11.695763945950034</v>
          </cell>
        </row>
        <row r="192">
          <cell r="B192">
            <v>38261</v>
          </cell>
          <cell r="C192">
            <v>325.92500000000001</v>
          </cell>
          <cell r="D192">
            <v>2362.17</v>
          </cell>
          <cell r="E192">
            <v>1.0121322386789289</v>
          </cell>
          <cell r="F192">
            <v>11.837659745674712</v>
          </cell>
        </row>
        <row r="193">
          <cell r="B193">
            <v>38292</v>
          </cell>
          <cell r="C193">
            <v>328.58800000000002</v>
          </cell>
          <cell r="D193">
            <v>2378.4699999999998</v>
          </cell>
          <cell r="E193">
            <v>1.0125098562166484</v>
          </cell>
          <cell r="F193">
            <v>11.985747167034708</v>
          </cell>
        </row>
        <row r="194">
          <cell r="B194">
            <v>38322</v>
          </cell>
          <cell r="C194">
            <v>331.005</v>
          </cell>
          <cell r="D194">
            <v>2398.92</v>
          </cell>
          <cell r="E194">
            <v>1.0148282315457626</v>
          </cell>
          <cell r="F194">
            <v>12.163474601276468</v>
          </cell>
        </row>
        <row r="195">
          <cell r="B195">
            <v>38353</v>
          </cell>
          <cell r="C195">
            <v>332.298</v>
          </cell>
          <cell r="D195">
            <v>2412.83</v>
          </cell>
          <cell r="E195">
            <v>1.0138388229391033</v>
          </cell>
          <cell r="F195">
            <v>12.331802772607814</v>
          </cell>
        </row>
        <row r="196">
          <cell r="B196">
            <v>38384</v>
          </cell>
          <cell r="C196">
            <v>333.28800000000001</v>
          </cell>
          <cell r="D196">
            <v>2427.0700000000002</v>
          </cell>
          <cell r="E196">
            <v>1.0121818576713373</v>
          </cell>
          <cell r="F196">
            <v>12.482027038814724</v>
          </cell>
        </row>
        <row r="197">
          <cell r="B197">
            <v>38412</v>
          </cell>
          <cell r="C197">
            <v>336.12299999999999</v>
          </cell>
          <cell r="D197">
            <v>2441.87</v>
          </cell>
          <cell r="E197">
            <v>1.0152817807540921</v>
          </cell>
          <cell r="F197">
            <v>12.672774639388541</v>
          </cell>
        </row>
        <row r="198">
          <cell r="B198">
            <v>38443</v>
          </cell>
          <cell r="C198">
            <v>339.03</v>
          </cell>
          <cell r="D198">
            <v>2463.11</v>
          </cell>
          <cell r="E198">
            <v>1.0141152901477553</v>
          </cell>
          <cell r="F198">
            <v>12.851654530400625</v>
          </cell>
        </row>
        <row r="199">
          <cell r="B199">
            <v>38473</v>
          </cell>
          <cell r="C199">
            <v>338.29899999999998</v>
          </cell>
          <cell r="D199">
            <v>2475.1799999999998</v>
          </cell>
          <cell r="E199">
            <v>1.0150306502044895</v>
          </cell>
          <cell r="F199">
            <v>13.044823254196018</v>
          </cell>
        </row>
        <row r="200">
          <cell r="B200">
            <v>38504</v>
          </cell>
          <cell r="C200">
            <v>336.80099999999999</v>
          </cell>
          <cell r="D200">
            <v>2474.6799999999998</v>
          </cell>
          <cell r="E200">
            <v>1.0158560276185216</v>
          </cell>
          <cell r="F200">
            <v>13.251662331993282</v>
          </cell>
        </row>
        <row r="201">
          <cell r="B201">
            <v>38534</v>
          </cell>
          <cell r="C201">
            <v>335.66300000000001</v>
          </cell>
          <cell r="D201">
            <v>2480.87</v>
          </cell>
          <cell r="E201">
            <v>1.0151134516871545</v>
          </cell>
          <cell r="F201">
            <v>13.451940690422347</v>
          </cell>
        </row>
        <row r="202">
          <cell r="B202">
            <v>38565</v>
          </cell>
          <cell r="C202">
            <v>333.47399999999999</v>
          </cell>
          <cell r="D202">
            <v>2485.09</v>
          </cell>
          <cell r="E202">
            <v>1.0165848332092207</v>
          </cell>
          <cell r="F202">
            <v>13.675038883113331</v>
          </cell>
        </row>
        <row r="203">
          <cell r="B203">
            <v>38596</v>
          </cell>
          <cell r="C203">
            <v>331.69</v>
          </cell>
          <cell r="D203">
            <v>2493.79</v>
          </cell>
          <cell r="E203">
            <v>1.0150313602253485</v>
          </cell>
          <cell r="F203">
            <v>13.880593318661054</v>
          </cell>
        </row>
        <row r="204">
          <cell r="B204">
            <v>38626</v>
          </cell>
          <cell r="C204">
            <v>333.69400000000002</v>
          </cell>
          <cell r="D204">
            <v>2512.4899999999998</v>
          </cell>
          <cell r="E204">
            <v>1.0140716431638075</v>
          </cell>
          <cell r="F204">
            <v>14.075916074743184</v>
          </cell>
        </row>
        <row r="205">
          <cell r="B205">
            <v>38657</v>
          </cell>
          <cell r="C205">
            <v>335.03300000000002</v>
          </cell>
          <cell r="D205">
            <v>2526.31</v>
          </cell>
          <cell r="E205">
            <v>1.0138104099310956</v>
          </cell>
          <cell r="F205">
            <v>14.270310245891086</v>
          </cell>
        </row>
        <row r="206">
          <cell r="B206">
            <v>38687</v>
          </cell>
          <cell r="C206">
            <v>335.00599999999997</v>
          </cell>
          <cell r="D206">
            <v>2535.4</v>
          </cell>
          <cell r="E206">
            <v>1.0147357208231795</v>
          </cell>
          <cell r="F206">
            <v>14.480593553734694</v>
          </cell>
        </row>
        <row r="207">
          <cell r="B207">
            <v>38718</v>
          </cell>
          <cell r="C207">
            <v>338.08300000000003</v>
          </cell>
          <cell r="D207">
            <v>2550.36</v>
          </cell>
          <cell r="E207">
            <v>1.0142931741687891</v>
          </cell>
          <cell r="F207">
            <v>14.687567199465668</v>
          </cell>
        </row>
        <row r="208">
          <cell r="B208">
            <v>38749</v>
          </cell>
          <cell r="C208">
            <v>338.12799999999999</v>
          </cell>
          <cell r="D208">
            <v>2560.8200000000002</v>
          </cell>
          <cell r="E208">
            <v>1.0114506306443078</v>
          </cell>
          <cell r="F208">
            <v>14.855749106530201</v>
          </cell>
        </row>
        <row r="209">
          <cell r="B209">
            <v>38777</v>
          </cell>
          <cell r="C209">
            <v>337.339</v>
          </cell>
          <cell r="D209">
            <v>2571.83</v>
          </cell>
          <cell r="E209">
            <v>1.0142230199009199</v>
          </cell>
          <cell r="F209">
            <v>15.067042721715453</v>
          </cell>
        </row>
        <row r="210">
          <cell r="B210">
            <v>38808</v>
          </cell>
          <cell r="C210">
            <v>335.92099999999999</v>
          </cell>
          <cell r="D210">
            <v>2577.23</v>
          </cell>
          <cell r="E210">
            <v>1.0107787821533378</v>
          </cell>
          <cell r="F210">
            <v>15.229447092907858</v>
          </cell>
        </row>
        <row r="211">
          <cell r="B211">
            <v>38838</v>
          </cell>
          <cell r="C211">
            <v>337.185</v>
          </cell>
          <cell r="D211">
            <v>2579.81</v>
          </cell>
          <cell r="E211">
            <v>1.0128136552027243</v>
          </cell>
          <cell r="F211">
            <v>15.424591976884511</v>
          </cell>
        </row>
        <row r="212">
          <cell r="B212">
            <v>38869</v>
          </cell>
          <cell r="C212">
            <v>339.71199999999999</v>
          </cell>
          <cell r="D212">
            <v>2574.39</v>
          </cell>
          <cell r="E212">
            <v>1.0118439390435949</v>
          </cell>
          <cell r="F212">
            <v>15.607279904031055</v>
          </cell>
        </row>
        <row r="213">
          <cell r="B213">
            <v>38899</v>
          </cell>
          <cell r="C213">
            <v>340.31200000000001</v>
          </cell>
          <cell r="D213">
            <v>2579.2800000000002</v>
          </cell>
          <cell r="E213">
            <v>1.0116996590630269</v>
          </cell>
          <cell r="F213">
            <v>15.78987975780945</v>
          </cell>
        </row>
        <row r="214">
          <cell r="B214">
            <v>38930</v>
          </cell>
          <cell r="C214">
            <v>341.57400000000001</v>
          </cell>
          <cell r="D214">
            <v>2580.5700000000002</v>
          </cell>
          <cell r="E214">
            <v>1.012562646303421</v>
          </cell>
          <cell r="F214">
            <v>15.988242432380357</v>
          </cell>
        </row>
        <row r="215">
          <cell r="B215">
            <v>38961</v>
          </cell>
          <cell r="C215">
            <v>342.56099999999998</v>
          </cell>
          <cell r="D215">
            <v>2585.9899999999998</v>
          </cell>
          <cell r="E215">
            <v>1.0105730983323107</v>
          </cell>
          <cell r="F215">
            <v>16.157287691778738</v>
          </cell>
        </row>
        <row r="216">
          <cell r="B216">
            <v>38991</v>
          </cell>
          <cell r="C216">
            <v>344.15499999999997</v>
          </cell>
          <cell r="D216">
            <v>2594.52</v>
          </cell>
          <cell r="E216">
            <v>1.0109424441222723</v>
          </cell>
          <cell r="F216">
            <v>16.334087909513503</v>
          </cell>
        </row>
        <row r="217">
          <cell r="B217">
            <v>39022</v>
          </cell>
          <cell r="C217">
            <v>346.74599999999998</v>
          </cell>
          <cell r="D217">
            <v>2602.56</v>
          </cell>
          <cell r="E217">
            <v>1.0102060517349183</v>
          </cell>
          <cell r="F217">
            <v>16.500794455760701</v>
          </cell>
        </row>
        <row r="218">
          <cell r="B218">
            <v>39052</v>
          </cell>
          <cell r="C218">
            <v>347.84199999999998</v>
          </cell>
          <cell r="D218">
            <v>2615.0500000000002</v>
          </cell>
          <cell r="E218">
            <v>1.0098788606332807</v>
          </cell>
          <cell r="F218">
            <v>16.663803504527571</v>
          </cell>
        </row>
        <row r="219">
          <cell r="B219">
            <v>39083</v>
          </cell>
          <cell r="C219">
            <v>349.59300000000002</v>
          </cell>
          <cell r="D219">
            <v>2626.56</v>
          </cell>
          <cell r="E219">
            <v>1.0108280266006449</v>
          </cell>
          <cell r="F219">
            <v>16.844239612142516</v>
          </cell>
        </row>
        <row r="220">
          <cell r="B220">
            <v>39114</v>
          </cell>
          <cell r="C220">
            <v>350.524</v>
          </cell>
          <cell r="D220">
            <v>2638.12</v>
          </cell>
          <cell r="E220">
            <v>1.008724844950982</v>
          </cell>
          <cell r="F220">
            <v>16.991202991075649</v>
          </cell>
        </row>
        <row r="221">
          <cell r="B221">
            <v>39142</v>
          </cell>
          <cell r="C221">
            <v>351.71699999999998</v>
          </cell>
          <cell r="D221">
            <v>2647.88</v>
          </cell>
          <cell r="E221">
            <v>1.0105222327764332</v>
          </cell>
          <cell r="F221">
            <v>17.169988384099376</v>
          </cell>
        </row>
        <row r="222">
          <cell r="B222">
            <v>39173</v>
          </cell>
          <cell r="C222">
            <v>351.86900000000003</v>
          </cell>
          <cell r="D222">
            <v>2654.5</v>
          </cell>
          <cell r="E222">
            <v>1.0094482340398951</v>
          </cell>
          <cell r="F222">
            <v>17.332214452814629</v>
          </cell>
        </row>
        <row r="223">
          <cell r="B223">
            <v>39203</v>
          </cell>
          <cell r="C223">
            <v>352.02</v>
          </cell>
          <cell r="D223">
            <v>2661.93</v>
          </cell>
          <cell r="E223">
            <v>1.0102807696314628</v>
          </cell>
          <cell r="F223">
            <v>17.510402956807127</v>
          </cell>
        </row>
        <row r="224">
          <cell r="B224">
            <v>39234</v>
          </cell>
          <cell r="C224">
            <v>352.93599999999998</v>
          </cell>
          <cell r="D224">
            <v>2669.38</v>
          </cell>
          <cell r="E224">
            <v>1.0090562894719608</v>
          </cell>
          <cell r="F224">
            <v>17.668982234754651</v>
          </cell>
        </row>
        <row r="225">
          <cell r="B225">
            <v>39264</v>
          </cell>
          <cell r="C225">
            <v>353.92</v>
          </cell>
          <cell r="D225">
            <v>2675.79</v>
          </cell>
          <cell r="E225">
            <v>1.0097263257608722</v>
          </cell>
          <cell r="F225">
            <v>17.840836511832936</v>
          </cell>
        </row>
        <row r="226">
          <cell r="B226">
            <v>39295</v>
          </cell>
          <cell r="C226">
            <v>357.404</v>
          </cell>
          <cell r="D226">
            <v>2688.37</v>
          </cell>
          <cell r="E226">
            <v>1.0099263513682912</v>
          </cell>
          <cell r="F226">
            <v>18.017930923753628</v>
          </cell>
        </row>
        <row r="227">
          <cell r="B227">
            <v>39326</v>
          </cell>
          <cell r="C227">
            <v>361.99700000000001</v>
          </cell>
          <cell r="D227">
            <v>2693.21</v>
          </cell>
          <cell r="E227">
            <v>1.0080496134415582</v>
          </cell>
          <cell r="F227">
            <v>18.162968302706542</v>
          </cell>
        </row>
        <row r="228">
          <cell r="B228">
            <v>39356</v>
          </cell>
          <cell r="C228">
            <v>365.79399999999998</v>
          </cell>
          <cell r="D228">
            <v>2701.29</v>
          </cell>
          <cell r="E228">
            <v>1.0092949262855189</v>
          </cell>
          <cell r="F228">
            <v>18.331791754206414</v>
          </cell>
        </row>
        <row r="229">
          <cell r="B229">
            <v>39387</v>
          </cell>
          <cell r="C229">
            <v>368.334</v>
          </cell>
          <cell r="D229">
            <v>2711.55</v>
          </cell>
          <cell r="E229">
            <v>1.0084467048252397</v>
          </cell>
          <cell r="F229">
            <v>18.486634988071959</v>
          </cell>
        </row>
        <row r="230">
          <cell r="B230">
            <v>39417</v>
          </cell>
          <cell r="C230">
            <v>374.815</v>
          </cell>
          <cell r="D230">
            <v>2731.62</v>
          </cell>
          <cell r="E230">
            <v>1.0084467048252395</v>
          </cell>
          <cell r="F230">
            <v>18.642786137028146</v>
          </cell>
        </row>
        <row r="231">
          <cell r="B231">
            <v>39448</v>
          </cell>
          <cell r="C231">
            <v>378.9</v>
          </cell>
          <cell r="D231">
            <v>2746.37</v>
          </cell>
          <cell r="E231">
            <v>1.0092938367057227</v>
          </cell>
          <cell r="F231">
            <v>18.816049147125398</v>
          </cell>
        </row>
        <row r="232">
          <cell r="B232">
            <v>39479</v>
          </cell>
          <cell r="C232">
            <v>380.90600000000001</v>
          </cell>
          <cell r="D232">
            <v>2759.83</v>
          </cell>
          <cell r="E232">
            <v>1.0080223173492819</v>
          </cell>
          <cell r="F232">
            <v>18.966997464643324</v>
          </cell>
        </row>
        <row r="233">
          <cell r="B233">
            <v>39508</v>
          </cell>
          <cell r="C233">
            <v>383.73099999999999</v>
          </cell>
          <cell r="D233">
            <v>2773.08</v>
          </cell>
          <cell r="E233">
            <v>1.0084459790490408</v>
          </cell>
          <cell r="F233">
            <v>19.12719232785291</v>
          </cell>
        </row>
        <row r="234">
          <cell r="B234">
            <v>39539</v>
          </cell>
          <cell r="C234">
            <v>386.38</v>
          </cell>
          <cell r="D234">
            <v>2788.33</v>
          </cell>
          <cell r="E234">
            <v>1.0090142575644072</v>
          </cell>
          <cell r="F234">
            <v>19.299609765980129</v>
          </cell>
        </row>
        <row r="235">
          <cell r="B235">
            <v>39569</v>
          </cell>
          <cell r="C235">
            <v>392.59199999999998</v>
          </cell>
          <cell r="D235">
            <v>2810.36</v>
          </cell>
          <cell r="E235">
            <v>1.0087678287685495</v>
          </cell>
          <cell r="F235">
            <v>19.46882543970807</v>
          </cell>
        </row>
        <row r="236">
          <cell r="B236">
            <v>39600</v>
          </cell>
          <cell r="C236">
            <v>400.38200000000001</v>
          </cell>
          <cell r="D236">
            <v>2831.16</v>
          </cell>
          <cell r="E236">
            <v>1.0095559246898425</v>
          </cell>
          <cell r="F236">
            <v>19.654868069409609</v>
          </cell>
        </row>
        <row r="237">
          <cell r="B237">
            <v>39630</v>
          </cell>
          <cell r="C237">
            <v>407.44600000000003</v>
          </cell>
          <cell r="D237">
            <v>2846.16</v>
          </cell>
          <cell r="E237">
            <v>1.0106967121371</v>
          </cell>
          <cell r="F237">
            <v>19.865110535240763</v>
          </cell>
        </row>
        <row r="238">
          <cell r="B238">
            <v>39661</v>
          </cell>
          <cell r="C238">
            <v>406.12700000000001</v>
          </cell>
          <cell r="D238">
            <v>2854.13</v>
          </cell>
          <cell r="E238">
            <v>1.0101765713502602</v>
          </cell>
          <cell r="F238">
            <v>20.067269249983447</v>
          </cell>
        </row>
        <row r="239">
          <cell r="B239">
            <v>39692</v>
          </cell>
          <cell r="C239">
            <v>406.55700000000002</v>
          </cell>
          <cell r="D239">
            <v>2861.55</v>
          </cell>
          <cell r="E239">
            <v>1.011030909274969</v>
          </cell>
          <cell r="F239">
            <v>20.288629476476387</v>
          </cell>
        </row>
        <row r="240">
          <cell r="B240">
            <v>39722</v>
          </cell>
          <cell r="C240">
            <v>410.524</v>
          </cell>
          <cell r="D240">
            <v>2874.43</v>
          </cell>
          <cell r="E240">
            <v>1.0117587656900342</v>
          </cell>
          <cell r="F240">
            <v>20.527198716662195</v>
          </cell>
        </row>
        <row r="241">
          <cell r="B241">
            <v>39753</v>
          </cell>
          <cell r="C241">
            <v>412.10399999999998</v>
          </cell>
          <cell r="D241">
            <v>2884.78</v>
          </cell>
          <cell r="E241">
            <v>1.0101996908301405</v>
          </cell>
          <cell r="F241">
            <v>20.736569797181005</v>
          </cell>
        </row>
        <row r="242">
          <cell r="B242">
            <v>39783</v>
          </cell>
          <cell r="C242">
            <v>411.57499999999999</v>
          </cell>
          <cell r="D242">
            <v>2892.86</v>
          </cell>
          <cell r="E242">
            <v>1.0112409294280835</v>
          </cell>
          <cell r="F242">
            <v>20.969668114851643</v>
          </cell>
        </row>
        <row r="243">
          <cell r="B243">
            <v>39814</v>
          </cell>
          <cell r="C243">
            <v>409.78199999999998</v>
          </cell>
          <cell r="D243">
            <v>2906.74</v>
          </cell>
          <cell r="E243">
            <v>1.0104780743150839</v>
          </cell>
          <cell r="F243">
            <v>21.189389855721704</v>
          </cell>
        </row>
        <row r="244">
          <cell r="B244">
            <v>39845</v>
          </cell>
          <cell r="C244">
            <v>410.84899999999999</v>
          </cell>
          <cell r="D244">
            <v>2922.73</v>
          </cell>
          <cell r="E244">
            <v>1.0085508573858042</v>
          </cell>
          <cell r="F244">
            <v>21.370577306470185</v>
          </cell>
        </row>
        <row r="245">
          <cell r="B245">
            <v>39873</v>
          </cell>
          <cell r="C245">
            <v>407.80799999999999</v>
          </cell>
          <cell r="D245">
            <v>2928.57</v>
          </cell>
          <cell r="E245">
            <v>1.0097088387156097</v>
          </cell>
          <cell r="F245">
            <v>21.578060794798173</v>
          </cell>
        </row>
        <row r="246">
          <cell r="B246">
            <v>39904</v>
          </cell>
          <cell r="C246">
            <v>407.18099999999998</v>
          </cell>
          <cell r="D246">
            <v>2942.63</v>
          </cell>
          <cell r="E246">
            <v>1.008395669248594</v>
          </cell>
          <cell r="F246">
            <v>21.759223056257351</v>
          </cell>
        </row>
        <row r="247">
          <cell r="B247">
            <v>39934</v>
          </cell>
          <cell r="C247">
            <v>406.88499999999999</v>
          </cell>
          <cell r="D247">
            <v>2956.46</v>
          </cell>
          <cell r="E247">
            <v>1.0077089274459567</v>
          </cell>
          <cell r="F247">
            <v>21.926963328078429</v>
          </cell>
        </row>
        <row r="248">
          <cell r="B248">
            <v>39965</v>
          </cell>
          <cell r="C248">
            <v>406.48599999999999</v>
          </cell>
          <cell r="D248">
            <v>2967.1</v>
          </cell>
          <cell r="E248">
            <v>1.0076218232644543</v>
          </cell>
          <cell r="F248">
            <v>22.094086767291213</v>
          </cell>
        </row>
        <row r="249">
          <cell r="B249">
            <v>39995</v>
          </cell>
          <cell r="C249">
            <v>404.71800000000002</v>
          </cell>
          <cell r="D249">
            <v>2974.22</v>
          </cell>
          <cell r="E249">
            <v>1.0079014252372847</v>
          </cell>
          <cell r="F249">
            <v>22.268661542069044</v>
          </cell>
        </row>
        <row r="250">
          <cell r="B250">
            <v>40026</v>
          </cell>
          <cell r="C250">
            <v>403.25299999999999</v>
          </cell>
          <cell r="D250">
            <v>2978.68</v>
          </cell>
          <cell r="E250">
            <v>1.0069374854840563</v>
          </cell>
          <cell r="F250">
            <v>22.423150058266511</v>
          </cell>
        </row>
        <row r="251">
          <cell r="B251">
            <v>40057</v>
          </cell>
          <cell r="C251">
            <v>404.94499999999999</v>
          </cell>
          <cell r="D251">
            <v>2985.83</v>
          </cell>
          <cell r="E251">
            <v>1.0069374854840563</v>
          </cell>
          <cell r="F251">
            <v>22.578710336302549</v>
          </cell>
        </row>
        <row r="252">
          <cell r="B252">
            <v>40087</v>
          </cell>
          <cell r="C252">
            <v>405.12900000000002</v>
          </cell>
          <cell r="D252">
            <v>2994.19</v>
          </cell>
          <cell r="E252">
            <v>1.006937485484056</v>
          </cell>
          <cell r="F252">
            <v>22.735349811509355</v>
          </cell>
        </row>
        <row r="253">
          <cell r="B253">
            <v>40118</v>
          </cell>
          <cell r="C253">
            <v>405.548</v>
          </cell>
          <cell r="D253">
            <v>3006.47</v>
          </cell>
          <cell r="E253">
            <v>1.006606040313162</v>
          </cell>
          <cell r="F253">
            <v>22.885540448898027</v>
          </cell>
        </row>
        <row r="254">
          <cell r="B254">
            <v>40148</v>
          </cell>
          <cell r="C254">
            <v>404.49900000000002</v>
          </cell>
          <cell r="D254">
            <v>3017.59</v>
          </cell>
          <cell r="E254">
            <v>1.0072686672230315</v>
          </cell>
          <cell r="F254">
            <v>23.051887826640293</v>
          </cell>
        </row>
        <row r="255">
          <cell r="B255">
            <v>40179</v>
          </cell>
          <cell r="C255">
            <v>407.04899999999998</v>
          </cell>
          <cell r="D255">
            <v>3040.22</v>
          </cell>
          <cell r="E255">
            <v>1.0066056679915218</v>
          </cell>
          <cell r="F255">
            <v>23.204160944200883</v>
          </cell>
        </row>
        <row r="256">
          <cell r="B256">
            <v>40210</v>
          </cell>
          <cell r="C256">
            <v>411.84300000000002</v>
          </cell>
          <cell r="D256">
            <v>3063.93</v>
          </cell>
          <cell r="E256">
            <v>1.0059434772325486</v>
          </cell>
          <cell r="F256">
            <v>23.342074346473133</v>
          </cell>
        </row>
        <row r="257">
          <cell r="B257">
            <v>40238</v>
          </cell>
          <cell r="C257">
            <v>415.73399999999998</v>
          </cell>
          <cell r="D257">
            <v>3079.86</v>
          </cell>
          <cell r="E257">
            <v>1.0076007032666325</v>
          </cell>
          <cell r="F257">
            <v>23.519490527208351</v>
          </cell>
        </row>
        <row r="258">
          <cell r="B258">
            <v>40269</v>
          </cell>
          <cell r="C258">
            <v>418.91699999999997</v>
          </cell>
          <cell r="D258">
            <v>3097.42</v>
          </cell>
          <cell r="E258">
            <v>1.0066591320264642</v>
          </cell>
          <cell r="F258">
            <v>23.676109919824206</v>
          </cell>
        </row>
        <row r="259">
          <cell r="B259">
            <v>40299</v>
          </cell>
          <cell r="C259">
            <v>423.88499999999999</v>
          </cell>
          <cell r="D259">
            <v>3110.74</v>
          </cell>
          <cell r="E259">
            <v>1.0075136425194853</v>
          </cell>
          <cell r="F259">
            <v>23.854003746013806</v>
          </cell>
        </row>
        <row r="260">
          <cell r="B260">
            <v>40330</v>
          </cell>
          <cell r="C260">
            <v>427.48899999999998</v>
          </cell>
          <cell r="D260">
            <v>3110.74</v>
          </cell>
          <cell r="E260">
            <v>1.0079257581819461</v>
          </cell>
          <cell r="F260">
            <v>24.043064811375949</v>
          </cell>
        </row>
        <row r="261">
          <cell r="B261">
            <v>40360</v>
          </cell>
          <cell r="C261">
            <v>428.15</v>
          </cell>
          <cell r="D261">
            <v>3111.05</v>
          </cell>
          <cell r="E261">
            <v>1.0086102956499179</v>
          </cell>
          <cell r="F261">
            <v>24.250082707732034</v>
          </cell>
        </row>
        <row r="262">
          <cell r="B262">
            <v>40391</v>
          </cell>
          <cell r="C262">
            <v>431.44499999999999</v>
          </cell>
          <cell r="D262">
            <v>3112.29</v>
          </cell>
          <cell r="E262">
            <v>1.0088820963555043</v>
          </cell>
          <cell r="F262">
            <v>24.465474278971058</v>
          </cell>
        </row>
        <row r="263">
          <cell r="B263">
            <v>40422</v>
          </cell>
          <cell r="C263">
            <v>436.423</v>
          </cell>
          <cell r="D263">
            <v>3126.29</v>
          </cell>
          <cell r="E263">
            <v>1.0084766584844942</v>
          </cell>
          <cell r="F263">
            <v>24.672859749095071</v>
          </cell>
        </row>
        <row r="264">
          <cell r="B264">
            <v>40452</v>
          </cell>
          <cell r="C264">
            <v>440.82900000000001</v>
          </cell>
          <cell r="D264">
            <v>3149.74</v>
          </cell>
          <cell r="E264">
            <v>1.0080713835461668</v>
          </cell>
          <cell r="F264">
            <v>24.872003863310798</v>
          </cell>
        </row>
        <row r="265">
          <cell r="B265">
            <v>40483</v>
          </cell>
          <cell r="C265">
            <v>447.20600000000002</v>
          </cell>
          <cell r="D265">
            <v>3175.88</v>
          </cell>
          <cell r="E265">
            <v>1.008071383546167</v>
          </cell>
          <cell r="F265">
            <v>25.072755346053327</v>
          </cell>
        </row>
        <row r="266">
          <cell r="B266">
            <v>40513</v>
          </cell>
          <cell r="C266">
            <v>450.30099999999999</v>
          </cell>
          <cell r="D266">
            <v>3195.89</v>
          </cell>
          <cell r="E266">
            <v>1.0092887868177591</v>
          </cell>
          <cell r="F266">
            <v>25.305650825396647</v>
          </cell>
        </row>
        <row r="267">
          <cell r="B267">
            <v>40544</v>
          </cell>
          <cell r="C267">
            <v>453.875</v>
          </cell>
          <cell r="D267">
            <v>3222.42</v>
          </cell>
          <cell r="E267">
            <v>1.0086232010755674</v>
          </cell>
          <cell r="F267">
            <v>25.52386654081214</v>
          </cell>
        </row>
        <row r="268">
          <cell r="B268">
            <v>40575</v>
          </cell>
          <cell r="C268">
            <v>458.39699999999999</v>
          </cell>
          <cell r="D268">
            <v>3248.2</v>
          </cell>
          <cell r="E268">
            <v>1.0084390842010735</v>
          </cell>
          <cell r="F268">
            <v>25.739264599687019</v>
          </cell>
        </row>
        <row r="269">
          <cell r="B269">
            <v>40603</v>
          </cell>
          <cell r="C269">
            <v>461.24900000000002</v>
          </cell>
          <cell r="D269">
            <v>3273.86</v>
          </cell>
          <cell r="E269">
            <v>1.0092045846073012</v>
          </cell>
          <cell r="F269">
            <v>25.97618383842455</v>
          </cell>
        </row>
        <row r="270">
          <cell r="B270">
            <v>40634</v>
          </cell>
          <cell r="C270">
            <v>463.31099999999998</v>
          </cell>
          <cell r="D270">
            <v>3299.07</v>
          </cell>
          <cell r="E270">
            <v>1.0084015541577225</v>
          </cell>
          <cell r="F270">
            <v>26.194424153754028</v>
          </cell>
        </row>
        <row r="271">
          <cell r="B271">
            <v>40664</v>
          </cell>
          <cell r="C271">
            <v>465.31099999999998</v>
          </cell>
          <cell r="D271">
            <v>3314.58</v>
          </cell>
          <cell r="E271">
            <v>1.0098798495673293</v>
          </cell>
          <cell r="F271">
            <v>26.453221123895936</v>
          </cell>
        </row>
        <row r="272">
          <cell r="B272">
            <v>40695</v>
          </cell>
          <cell r="C272">
            <v>464.46300000000002</v>
          </cell>
          <cell r="D272">
            <v>3319.55</v>
          </cell>
          <cell r="E272">
            <v>1.0095627565914342</v>
          </cell>
          <cell r="F272">
            <v>26.706186838563141</v>
          </cell>
        </row>
        <row r="273">
          <cell r="B273">
            <v>40725</v>
          </cell>
          <cell r="C273">
            <v>463.92700000000002</v>
          </cell>
          <cell r="D273">
            <v>3324.86</v>
          </cell>
          <cell r="E273">
            <v>1.0096788504099796</v>
          </cell>
          <cell r="F273">
            <v>26.96467202599456</v>
          </cell>
        </row>
        <row r="274">
          <cell r="B274">
            <v>40756</v>
          </cell>
          <cell r="C274">
            <v>465.96800000000002</v>
          </cell>
          <cell r="D274">
            <v>3337.16</v>
          </cell>
          <cell r="E274">
            <v>1.0107406292787873</v>
          </cell>
          <cell r="F274">
            <v>27.254289571849853</v>
          </cell>
        </row>
        <row r="275">
          <cell r="B275">
            <v>40787</v>
          </cell>
          <cell r="C275">
            <v>468.97500000000002</v>
          </cell>
          <cell r="D275">
            <v>3354.85</v>
          </cell>
          <cell r="E275">
            <v>1.00941760689889</v>
          </cell>
          <cell r="F275">
            <v>27.510959757346054</v>
          </cell>
        </row>
        <row r="276">
          <cell r="B276">
            <v>40817</v>
          </cell>
          <cell r="C276">
            <v>471.46600000000001</v>
          </cell>
          <cell r="D276">
            <v>3369.28</v>
          </cell>
          <cell r="E276">
            <v>1.0088195463919019</v>
          </cell>
          <cell r="F276">
            <v>27.753593943211712</v>
          </cell>
        </row>
        <row r="277">
          <cell r="B277">
            <v>40848</v>
          </cell>
          <cell r="C277">
            <v>473.80799999999999</v>
          </cell>
          <cell r="D277">
            <v>3386.8</v>
          </cell>
          <cell r="E277">
            <v>1.0086047745492386</v>
          </cell>
          <cell r="F277">
            <v>27.992407362024164</v>
          </cell>
        </row>
        <row r="278">
          <cell r="B278">
            <v>40878</v>
          </cell>
          <cell r="C278">
            <v>473.25200000000001</v>
          </cell>
          <cell r="D278">
            <v>3403.73</v>
          </cell>
          <cell r="E278">
            <v>1.0090732804800764</v>
          </cell>
          <cell r="F278">
            <v>28.246390325332364</v>
          </cell>
        </row>
        <row r="279">
          <cell r="B279">
            <v>40909</v>
          </cell>
          <cell r="C279">
            <v>474.42899999999997</v>
          </cell>
          <cell r="D279">
            <v>3422.79</v>
          </cell>
          <cell r="E279">
            <v>1.0089101617717657</v>
          </cell>
          <cell r="F279">
            <v>28.498070232599513</v>
          </cell>
        </row>
        <row r="280">
          <cell r="B280">
            <v>40940</v>
          </cell>
          <cell r="C280">
            <v>474.13799999999998</v>
          </cell>
          <cell r="D280">
            <v>3438.19</v>
          </cell>
          <cell r="E280">
            <v>1.0074877292470876</v>
          </cell>
          <cell r="F280">
            <v>28.711456066565706</v>
          </cell>
        </row>
        <row r="281">
          <cell r="B281">
            <v>40969</v>
          </cell>
          <cell r="C281">
            <v>476.166</v>
          </cell>
          <cell r="D281">
            <v>3445.41</v>
          </cell>
          <cell r="E281">
            <v>1.0082113884808406</v>
          </cell>
          <cell r="F281">
            <v>28.947216986178862</v>
          </cell>
        </row>
        <row r="282">
          <cell r="B282">
            <v>41000</v>
          </cell>
          <cell r="C282">
            <v>480.22899999999998</v>
          </cell>
          <cell r="D282">
            <v>3467.46</v>
          </cell>
          <cell r="E282">
            <v>1.0071187588624242</v>
          </cell>
          <cell r="F282">
            <v>29.15328524364174</v>
          </cell>
        </row>
        <row r="283">
          <cell r="B283">
            <v>41030</v>
          </cell>
          <cell r="C283">
            <v>485.14</v>
          </cell>
          <cell r="D283">
            <v>3479.94</v>
          </cell>
          <cell r="E283">
            <v>1.007447242329657</v>
          </cell>
          <cell r="F283">
            <v>29.370396823556753</v>
          </cell>
        </row>
        <row r="284">
          <cell r="B284">
            <v>41061</v>
          </cell>
          <cell r="C284">
            <v>488.34199999999998</v>
          </cell>
          <cell r="D284">
            <v>3482.72</v>
          </cell>
          <cell r="E284">
            <v>1.0064150263426446</v>
          </cell>
          <cell r="F284">
            <v>29.558808692873793</v>
          </cell>
        </row>
        <row r="285">
          <cell r="B285">
            <v>41091</v>
          </cell>
          <cell r="C285">
            <v>494.89100000000002</v>
          </cell>
          <cell r="D285">
            <v>3497.7</v>
          </cell>
          <cell r="E285">
            <v>1.0067996486835762</v>
          </cell>
          <cell r="F285">
            <v>29.759798207490373</v>
          </cell>
        </row>
        <row r="286">
          <cell r="B286">
            <v>41122</v>
          </cell>
          <cell r="C286">
            <v>501.95699999999999</v>
          </cell>
          <cell r="D286">
            <v>3512.04</v>
          </cell>
          <cell r="E286">
            <v>1.0069181066014252</v>
          </cell>
          <cell r="F286">
            <v>29.965679663926696</v>
          </cell>
        </row>
        <row r="287">
          <cell r="B287">
            <v>41153</v>
          </cell>
          <cell r="C287">
            <v>506.80399999999997</v>
          </cell>
          <cell r="D287">
            <v>3532.06</v>
          </cell>
          <cell r="E287">
            <v>1.0053899533259578</v>
          </cell>
          <cell r="F287">
            <v>30.127193278695866</v>
          </cell>
        </row>
        <row r="288">
          <cell r="B288">
            <v>41183</v>
          </cell>
          <cell r="C288">
            <v>506.92599999999999</v>
          </cell>
          <cell r="D288">
            <v>3552.9</v>
          </cell>
          <cell r="E288">
            <v>1.0061133864051108</v>
          </cell>
          <cell r="F288">
            <v>30.311372452509993</v>
          </cell>
        </row>
        <row r="289">
          <cell r="B289">
            <v>41214</v>
          </cell>
          <cell r="C289">
            <v>506.79500000000002</v>
          </cell>
          <cell r="D289">
            <v>3574.22</v>
          </cell>
          <cell r="E289">
            <v>1.0054884576647556</v>
          </cell>
          <cell r="F289">
            <v>30.477735136976232</v>
          </cell>
        </row>
        <row r="290">
          <cell r="B290">
            <v>41244</v>
          </cell>
          <cell r="C290">
            <v>510.25200000000001</v>
          </cell>
          <cell r="D290">
            <v>3602.46</v>
          </cell>
          <cell r="E290">
            <v>1.0055015154231364</v>
          </cell>
          <cell r="F290">
            <v>30.645408866894574</v>
          </cell>
        </row>
        <row r="291">
          <cell r="B291">
            <v>41275</v>
          </cell>
          <cell r="C291">
            <v>511.97699999999998</v>
          </cell>
          <cell r="D291">
            <v>3633.44</v>
          </cell>
          <cell r="E291">
            <v>1.0060143970219473</v>
          </cell>
          <cell r="F291">
            <v>30.82972252271998</v>
          </cell>
        </row>
        <row r="292">
          <cell r="B292">
            <v>41306</v>
          </cell>
          <cell r="C292">
            <v>513.46699999999998</v>
          </cell>
          <cell r="D292">
            <v>3655.24</v>
          </cell>
          <cell r="E292">
            <v>1.0049274991744226</v>
          </cell>
          <cell r="F292">
            <v>30.98163595499836</v>
          </cell>
        </row>
        <row r="293">
          <cell r="B293">
            <v>41334</v>
          </cell>
          <cell r="C293">
            <v>514.52599999999995</v>
          </cell>
          <cell r="D293">
            <v>3672.42</v>
          </cell>
          <cell r="E293">
            <v>1.0054940366101026</v>
          </cell>
          <cell r="F293">
            <v>31.151850197175992</v>
          </cell>
        </row>
        <row r="294">
          <cell r="B294">
            <v>41365</v>
          </cell>
          <cell r="C294">
            <v>515.27599999999995</v>
          </cell>
          <cell r="D294">
            <v>3692.62</v>
          </cell>
          <cell r="E294">
            <v>1.0061364605097283</v>
          </cell>
          <cell r="F294">
            <v>31.343012295715933</v>
          </cell>
        </row>
        <row r="295">
          <cell r="B295">
            <v>41395</v>
          </cell>
          <cell r="C295">
            <v>515.29899999999998</v>
          </cell>
          <cell r="D295">
            <v>3706.28</v>
          </cell>
          <cell r="E295">
            <v>1.0059853629993882</v>
          </cell>
          <cell r="F295">
            <v>31.530611601800082</v>
          </cell>
        </row>
        <row r="296">
          <cell r="B296">
            <v>41426</v>
          </cell>
          <cell r="C296">
            <v>519.15300000000002</v>
          </cell>
          <cell r="D296">
            <v>3715.92</v>
          </cell>
          <cell r="E296">
            <v>1.0060527337434972</v>
          </cell>
          <cell r="F296">
            <v>31.721457998595405</v>
          </cell>
        </row>
        <row r="297">
          <cell r="B297">
            <v>41456</v>
          </cell>
          <cell r="C297">
            <v>520.50800000000004</v>
          </cell>
          <cell r="D297">
            <v>3717.03</v>
          </cell>
          <cell r="E297">
            <v>1.0072409169740031</v>
          </cell>
          <cell r="F297">
            <v>31.951150442257561</v>
          </cell>
        </row>
        <row r="298">
          <cell r="B298">
            <v>41487</v>
          </cell>
          <cell r="C298">
            <v>521.27</v>
          </cell>
          <cell r="D298">
            <v>3725.95</v>
          </cell>
          <cell r="E298">
            <v>1.0071031495053051</v>
          </cell>
          <cell r="F298">
            <v>32.178104240715413</v>
          </cell>
        </row>
        <row r="299">
          <cell r="B299">
            <v>41518</v>
          </cell>
          <cell r="C299">
            <v>529.08500000000004</v>
          </cell>
          <cell r="D299">
            <v>3738.99</v>
          </cell>
          <cell r="E299">
            <v>1.0071302882501354</v>
          </cell>
          <cell r="F299">
            <v>32.407543399294617</v>
          </cell>
        </row>
        <row r="300">
          <cell r="B300">
            <v>41548</v>
          </cell>
          <cell r="C300">
            <v>533.62099999999998</v>
          </cell>
          <cell r="D300">
            <v>3760.3</v>
          </cell>
          <cell r="E300">
            <v>1.0081051023495244</v>
          </cell>
          <cell r="F300">
            <v>32.670209855442558</v>
          </cell>
        </row>
        <row r="301">
          <cell r="B301">
            <v>41579</v>
          </cell>
          <cell r="C301">
            <v>535.16800000000001</v>
          </cell>
          <cell r="D301">
            <v>3780.61</v>
          </cell>
          <cell r="E301">
            <v>1.0071920752752215</v>
          </cell>
          <cell r="F301">
            <v>32.905176463980183</v>
          </cell>
        </row>
        <row r="302">
          <cell r="B302">
            <v>41609</v>
          </cell>
          <cell r="C302">
            <v>538.37</v>
          </cell>
          <cell r="D302">
            <v>3815.39</v>
          </cell>
          <cell r="E302">
            <v>1.0078974581644051</v>
          </cell>
          <cell r="F302">
            <v>33.165043718496833</v>
          </cell>
        </row>
        <row r="303">
          <cell r="B303">
            <v>41640</v>
          </cell>
          <cell r="C303">
            <v>540.95899999999995</v>
          </cell>
          <cell r="D303">
            <v>3836.38</v>
          </cell>
          <cell r="E303">
            <v>1.0084934395272054</v>
          </cell>
          <cell r="F303">
            <v>33.446729011737006</v>
          </cell>
        </row>
        <row r="304">
          <cell r="B304">
            <v>41671</v>
          </cell>
          <cell r="C304">
            <v>543.03800000000001</v>
          </cell>
          <cell r="D304">
            <v>3862.84</v>
          </cell>
          <cell r="E304">
            <v>1.007901464239193</v>
          </cell>
          <cell r="F304">
            <v>33.711007144941227</v>
          </cell>
        </row>
        <row r="305">
          <cell r="B305">
            <v>41699</v>
          </cell>
          <cell r="C305">
            <v>552.08699999999999</v>
          </cell>
          <cell r="D305">
            <v>3898.38</v>
          </cell>
          <cell r="E305">
            <v>1.0076595732083427</v>
          </cell>
          <cell r="F305">
            <v>33.969219072094866</v>
          </cell>
        </row>
        <row r="306">
          <cell r="B306">
            <v>41730</v>
          </cell>
          <cell r="C306">
            <v>556.41999999999996</v>
          </cell>
          <cell r="D306">
            <v>3924.5</v>
          </cell>
          <cell r="E306">
            <v>1.0082266762081393</v>
          </cell>
          <cell r="F306">
            <v>34.248672838444342</v>
          </cell>
        </row>
        <row r="307">
          <cell r="B307">
            <v>41760</v>
          </cell>
          <cell r="C307">
            <v>555.67899999999997</v>
          </cell>
          <cell r="D307">
            <v>3942.55</v>
          </cell>
          <cell r="E307">
            <v>1.0086587318278823</v>
          </cell>
          <cell r="F307">
            <v>34.545222912013308</v>
          </cell>
        </row>
        <row r="308">
          <cell r="B308">
            <v>41791</v>
          </cell>
          <cell r="C308">
            <v>551.55399999999997</v>
          </cell>
          <cell r="D308">
            <v>3958.32</v>
          </cell>
          <cell r="E308">
            <v>1.0082447163000285</v>
          </cell>
          <cell r="F308">
            <v>34.830038474444102</v>
          </cell>
        </row>
        <row r="309">
          <cell r="B309">
            <v>41821</v>
          </cell>
          <cell r="C309">
            <v>548.202</v>
          </cell>
          <cell r="D309">
            <v>3958.72</v>
          </cell>
          <cell r="E309">
            <v>1.0094872729749897</v>
          </cell>
          <cell r="F309">
            <v>35.160480557180549</v>
          </cell>
        </row>
        <row r="310">
          <cell r="B310">
            <v>41852</v>
          </cell>
          <cell r="C310">
            <v>546.745</v>
          </cell>
          <cell r="D310">
            <v>3968.62</v>
          </cell>
          <cell r="E310">
            <v>1.0086598207325679</v>
          </cell>
          <cell r="F310">
            <v>35.464964015676671</v>
          </cell>
        </row>
        <row r="311">
          <cell r="B311">
            <v>41883</v>
          </cell>
          <cell r="C311">
            <v>547.83900000000006</v>
          </cell>
          <cell r="D311">
            <v>3991.24</v>
          </cell>
          <cell r="E311">
            <v>1.0090729173629331</v>
          </cell>
          <cell r="F311">
            <v>35.786734703470302</v>
          </cell>
        </row>
        <row r="312">
          <cell r="B312">
            <v>41913</v>
          </cell>
          <cell r="C312">
            <v>549.39599999999996</v>
          </cell>
          <cell r="D312">
            <v>4008</v>
          </cell>
          <cell r="E312">
            <v>1.009505315279368</v>
          </cell>
          <cell r="F312">
            <v>36.126898899645887</v>
          </cell>
        </row>
        <row r="313">
          <cell r="B313">
            <v>41944</v>
          </cell>
          <cell r="C313">
            <v>554.76900000000001</v>
          </cell>
          <cell r="D313">
            <v>4028.44</v>
          </cell>
          <cell r="E313">
            <v>1.0084249317586502</v>
          </cell>
          <cell r="F313">
            <v>36.431265557527063</v>
          </cell>
        </row>
        <row r="314">
          <cell r="B314">
            <v>41974</v>
          </cell>
          <cell r="C314">
            <v>558.21299999999997</v>
          </cell>
          <cell r="D314">
            <v>4059.86</v>
          </cell>
          <cell r="E314">
            <v>1.0096129495106978</v>
          </cell>
          <cell r="F314">
            <v>36.781477473942395</v>
          </cell>
        </row>
        <row r="315">
          <cell r="B315">
            <v>42005</v>
          </cell>
          <cell r="C315">
            <v>562.48199999999997</v>
          </cell>
          <cell r="D315">
            <v>4110.2</v>
          </cell>
          <cell r="E315">
            <v>1.0093507541041149</v>
          </cell>
          <cell r="F315">
            <v>37.12541202538727</v>
          </cell>
        </row>
        <row r="316">
          <cell r="B316">
            <v>42036</v>
          </cell>
          <cell r="C316">
            <v>564.00400000000002</v>
          </cell>
          <cell r="D316">
            <v>4160.34</v>
          </cell>
          <cell r="E316">
            <v>1.0082241099890967</v>
          </cell>
          <cell r="F316">
            <v>37.43073549727459</v>
          </cell>
        </row>
        <row r="317">
          <cell r="B317">
            <v>42064</v>
          </cell>
          <cell r="C317">
            <v>569.53599999999994</v>
          </cell>
          <cell r="D317">
            <v>4215.26</v>
          </cell>
          <cell r="E317">
            <v>1.0103996710699541</v>
          </cell>
          <cell r="F317">
            <v>37.820002834352699</v>
          </cell>
        </row>
        <row r="318">
          <cell r="B318">
            <v>42095</v>
          </cell>
          <cell r="C318">
            <v>576.17499999999995</v>
          </cell>
          <cell r="D318">
            <v>4245.1899999999996</v>
          </cell>
          <cell r="E318">
            <v>1.0095179160892187</v>
          </cell>
          <cell r="F318">
            <v>38.179970447824083</v>
          </cell>
        </row>
        <row r="319">
          <cell r="B319">
            <v>42125</v>
          </cell>
          <cell r="C319">
            <v>578.51599999999996</v>
          </cell>
          <cell r="D319">
            <v>4276.6000000000004</v>
          </cell>
          <cell r="E319">
            <v>1.0098532226245138</v>
          </cell>
          <cell r="F319">
            <v>38.556166196443854</v>
          </cell>
        </row>
        <row r="320">
          <cell r="B320">
            <v>42156</v>
          </cell>
          <cell r="C320">
            <v>582.40099999999995</v>
          </cell>
          <cell r="D320">
            <v>4310.3900000000003</v>
          </cell>
          <cell r="E320">
            <v>1.0106667572412273</v>
          </cell>
          <cell r="F320">
            <v>38.967435461413736</v>
          </cell>
        </row>
        <row r="321">
          <cell r="B321">
            <v>42186</v>
          </cell>
          <cell r="C321">
            <v>586.42600000000004</v>
          </cell>
          <cell r="D321">
            <v>4337.1099999999997</v>
          </cell>
          <cell r="E321">
            <v>1.0117819838421735</v>
          </cell>
          <cell r="F321">
            <v>39.426549156391054</v>
          </cell>
        </row>
        <row r="322">
          <cell r="B322">
            <v>42217</v>
          </cell>
          <cell r="C322">
            <v>588.04200000000003</v>
          </cell>
          <cell r="D322">
            <v>4346.6499999999996</v>
          </cell>
          <cell r="E322">
            <v>1.0110896528780247</v>
          </cell>
          <cell r="F322">
            <v>39.863775900713804</v>
          </cell>
        </row>
        <row r="323">
          <cell r="B323">
            <v>42248</v>
          </cell>
          <cell r="C323">
            <v>593.60599999999999</v>
          </cell>
          <cell r="D323">
            <v>4370.12</v>
          </cell>
          <cell r="E323">
            <v>1.0110896528780244</v>
          </cell>
          <cell r="F323">
            <v>40.305851337860076</v>
          </cell>
        </row>
        <row r="324">
          <cell r="B324">
            <v>42278</v>
          </cell>
          <cell r="C324">
            <v>604.83199999999999</v>
          </cell>
          <cell r="D324">
            <v>4405.95</v>
          </cell>
          <cell r="E324">
            <v>1.0110896528780242</v>
          </cell>
          <cell r="F324">
            <v>40.752829238150191</v>
          </cell>
        </row>
        <row r="325">
          <cell r="B325">
            <v>42309</v>
          </cell>
          <cell r="C325">
            <v>614.05100000000004</v>
          </cell>
          <cell r="D325">
            <v>4450.45</v>
          </cell>
          <cell r="E325">
            <v>1.0105587962367735</v>
          </cell>
          <cell r="F325">
            <v>41.183130058147846</v>
          </cell>
        </row>
        <row r="326">
          <cell r="B326">
            <v>42339</v>
          </cell>
          <cell r="C326">
            <v>617.04399999999998</v>
          </cell>
          <cell r="D326">
            <v>4493.17</v>
          </cell>
          <cell r="E326">
            <v>1.0116207883835777</v>
          </cell>
          <cell r="F326">
            <v>41.66171049752694</v>
          </cell>
        </row>
        <row r="327">
          <cell r="B327">
            <v>42370</v>
          </cell>
          <cell r="C327">
            <v>624.05999999999995</v>
          </cell>
          <cell r="D327">
            <v>4550.2299999999996</v>
          </cell>
          <cell r="E327">
            <v>1.0105587962367735</v>
          </cell>
          <cell r="F327">
            <v>42.101608009545771</v>
          </cell>
        </row>
        <row r="328">
          <cell r="B328">
            <v>42401</v>
          </cell>
          <cell r="C328">
            <v>632.11400000000003</v>
          </cell>
          <cell r="D328">
            <v>4591.18</v>
          </cell>
          <cell r="E328">
            <v>1.0100282183134115</v>
          </cell>
          <cell r="F328">
            <v>42.523812126011173</v>
          </cell>
        </row>
        <row r="329">
          <cell r="B329">
            <v>42430</v>
          </cell>
          <cell r="C329">
            <v>635.34900000000005</v>
          </cell>
          <cell r="D329">
            <v>4610.92</v>
          </cell>
          <cell r="E329">
            <v>1.0116207883835779</v>
          </cell>
          <cell r="F329">
            <v>43.017972347990572</v>
          </cell>
        </row>
        <row r="330">
          <cell r="B330">
            <v>42461</v>
          </cell>
          <cell r="C330">
            <v>637.43399999999997</v>
          </cell>
          <cell r="D330">
            <v>4639.05</v>
          </cell>
          <cell r="E330">
            <v>1.0105587962367735</v>
          </cell>
          <cell r="F330">
            <v>43.472190352532159</v>
          </cell>
        </row>
        <row r="331">
          <cell r="B331">
            <v>42491</v>
          </cell>
          <cell r="C331">
            <v>642.65099999999995</v>
          </cell>
          <cell r="D331">
            <v>4675.2299999999996</v>
          </cell>
          <cell r="E331">
            <v>1.0110896528780244</v>
          </cell>
          <cell r="F331">
            <v>43.954281853389141</v>
          </cell>
        </row>
        <row r="332">
          <cell r="B332">
            <v>42522</v>
          </cell>
          <cell r="C332">
            <v>653.49599999999998</v>
          </cell>
          <cell r="D332">
            <v>4691.59</v>
          </cell>
          <cell r="E332">
            <v>1.0116207883835777</v>
          </cell>
          <cell r="F332">
            <v>44.465065261359506</v>
          </cell>
        </row>
        <row r="333">
          <cell r="B333">
            <v>42552</v>
          </cell>
          <cell r="C333">
            <v>654.64099999999996</v>
          </cell>
          <cell r="D333">
            <v>4715.99</v>
          </cell>
          <cell r="E333">
            <v>1.0110896528780242</v>
          </cell>
          <cell r="F333">
            <v>44.958167400306678</v>
          </cell>
        </row>
        <row r="334">
          <cell r="B334">
            <v>42583</v>
          </cell>
          <cell r="C334">
            <v>655.60199999999998</v>
          </cell>
          <cell r="D334">
            <v>4736.74</v>
          </cell>
          <cell r="E334">
            <v>1.0121522028999232</v>
          </cell>
          <cell r="F334">
            <v>45.504508172563916</v>
          </cell>
        </row>
        <row r="335">
          <cell r="B335">
            <v>42614</v>
          </cell>
          <cell r="C335">
            <v>656.89400000000001</v>
          </cell>
          <cell r="D335">
            <v>4740.53</v>
          </cell>
          <cell r="E335">
            <v>1.0110896528780247</v>
          </cell>
          <cell r="F335">
            <v>46.009137372582884</v>
          </cell>
        </row>
        <row r="336">
          <cell r="B336">
            <v>42644</v>
          </cell>
          <cell r="C336">
            <v>657.92700000000002</v>
          </cell>
          <cell r="D336">
            <v>4752.8599999999997</v>
          </cell>
          <cell r="E336">
            <v>1.0104884196148551</v>
          </cell>
          <cell r="F336">
            <v>46.491700511464046</v>
          </cell>
        </row>
        <row r="337">
          <cell r="B337">
            <v>42675</v>
          </cell>
          <cell r="C337">
            <v>657.75199999999995</v>
          </cell>
          <cell r="D337">
            <v>4761.42</v>
          </cell>
          <cell r="E337">
            <v>1.0103828638714687</v>
          </cell>
          <cell r="F337">
            <v>46.974417509027667</v>
          </cell>
        </row>
        <row r="338">
          <cell r="B338">
            <v>42705</v>
          </cell>
          <cell r="C338">
            <v>661.30399999999997</v>
          </cell>
          <cell r="D338">
            <v>4775.7</v>
          </cell>
          <cell r="E338">
            <v>1.0112331468569866</v>
          </cell>
          <cell r="F338">
            <v>47.502088039427981</v>
          </cell>
        </row>
        <row r="339">
          <cell r="B339">
            <v>42736</v>
          </cell>
          <cell r="C339">
            <v>665.54200000000003</v>
          </cell>
          <cell r="D339">
            <v>4793.8500000000004</v>
          </cell>
          <cell r="E339">
            <v>1.0108612048503447</v>
          </cell>
          <cell r="F339">
            <v>48.018017948443315</v>
          </cell>
        </row>
        <row r="340">
          <cell r="B340">
            <v>42767</v>
          </cell>
          <cell r="C340">
            <v>666.09900000000005</v>
          </cell>
          <cell r="D340">
            <v>4809.67</v>
          </cell>
          <cell r="E340">
            <v>1.0086508422083289</v>
          </cell>
          <cell r="F340">
            <v>48.433414244872004</v>
          </cell>
        </row>
        <row r="341">
          <cell r="B341">
            <v>42795</v>
          </cell>
          <cell r="C341">
            <v>666.197</v>
          </cell>
          <cell r="D341">
            <v>4821.6899999999996</v>
          </cell>
          <cell r="E341">
            <v>1.0105205646045978</v>
          </cell>
          <cell r="F341">
            <v>48.94296110845643</v>
          </cell>
        </row>
        <row r="342">
          <cell r="B342">
            <v>42826</v>
          </cell>
          <cell r="C342">
            <v>658.89800000000002</v>
          </cell>
          <cell r="D342">
            <v>4828.4399999999996</v>
          </cell>
          <cell r="E342">
            <v>1.0078658059100756</v>
          </cell>
          <cell r="F342">
            <v>49.327936941199923</v>
          </cell>
        </row>
        <row r="343">
          <cell r="B343">
            <v>42856</v>
          </cell>
          <cell r="C343">
            <v>652.75800000000004</v>
          </cell>
          <cell r="D343">
            <v>4843.41</v>
          </cell>
          <cell r="E343">
            <v>1.0092713189779878</v>
          </cell>
          <cell r="F343">
            <v>49.785271979107854</v>
          </cell>
        </row>
        <row r="344">
          <cell r="B344">
            <v>42887</v>
          </cell>
          <cell r="C344">
            <v>648.40899999999999</v>
          </cell>
          <cell r="D344">
            <v>4832.2700000000004</v>
          </cell>
          <cell r="E344">
            <v>1.0080886926571575</v>
          </cell>
          <cell r="F344">
            <v>50.187969742999854</v>
          </cell>
        </row>
        <row r="345">
          <cell r="B345">
            <v>42917</v>
          </cell>
          <cell r="C345">
            <v>643.76599999999996</v>
          </cell>
          <cell r="D345">
            <v>4843.87</v>
          </cell>
          <cell r="E345">
            <v>1.0079792299470567</v>
          </cell>
          <cell r="F345">
            <v>50.588431094155176</v>
          </cell>
        </row>
        <row r="346">
          <cell r="B346">
            <v>42948</v>
          </cell>
          <cell r="C346">
            <v>644.38300000000004</v>
          </cell>
          <cell r="D346">
            <v>4853.07</v>
          </cell>
          <cell r="E346">
            <v>1.0080228940119034</v>
          </cell>
          <cell r="F346">
            <v>50.994296715052059</v>
          </cell>
        </row>
        <row r="347">
          <cell r="B347">
            <v>42979</v>
          </cell>
          <cell r="C347">
            <v>647.4</v>
          </cell>
          <cell r="D347">
            <v>4860.83</v>
          </cell>
          <cell r="E347">
            <v>1.0063846003708505</v>
          </cell>
          <cell r="F347">
            <v>51.319874920770239</v>
          </cell>
        </row>
        <row r="348">
          <cell r="B348">
            <v>43009</v>
          </cell>
          <cell r="C348">
            <v>648.67200000000003</v>
          </cell>
          <cell r="D348">
            <v>4881.25</v>
          </cell>
          <cell r="E348">
            <v>1.0064393014601032</v>
          </cell>
          <cell r="F348">
            <v>51.650339066279869</v>
          </cell>
        </row>
        <row r="349">
          <cell r="B349">
            <v>43040</v>
          </cell>
          <cell r="C349">
            <v>652.07299999999998</v>
          </cell>
          <cell r="D349">
            <v>4894.92</v>
          </cell>
          <cell r="E349">
            <v>1.0056818783789492</v>
          </cell>
          <cell r="F349">
            <v>51.943810011085958</v>
          </cell>
        </row>
        <row r="350">
          <cell r="B350">
            <v>43070</v>
          </cell>
          <cell r="C350">
            <v>657.85900000000004</v>
          </cell>
          <cell r="D350">
            <v>4916.46</v>
          </cell>
          <cell r="E350">
            <v>1.0053840004998948</v>
          </cell>
          <cell r="F350">
            <v>52.223475510152085</v>
          </cell>
        </row>
        <row r="351">
          <cell r="B351">
            <v>43101</v>
          </cell>
          <cell r="C351">
            <v>662.82600000000002</v>
          </cell>
          <cell r="D351">
            <v>4930.72</v>
          </cell>
          <cell r="E351">
            <v>1.0058420473548675</v>
          </cell>
          <cell r="F351">
            <v>52.528567527118156</v>
          </cell>
        </row>
        <row r="352">
          <cell r="B352">
            <v>43132</v>
          </cell>
          <cell r="C352">
            <v>663.31100000000004</v>
          </cell>
          <cell r="D352">
            <v>4946.5</v>
          </cell>
          <cell r="E352">
            <v>1.0046560161193037</v>
          </cell>
          <cell r="F352">
            <v>52.773141384248348</v>
          </cell>
        </row>
        <row r="353">
          <cell r="B353">
            <v>43160</v>
          </cell>
          <cell r="C353">
            <v>667.524</v>
          </cell>
          <cell r="D353">
            <v>4950.95</v>
          </cell>
          <cell r="E353">
            <v>1.0053234480536677</v>
          </cell>
          <cell r="F353">
            <v>53.054076461036253</v>
          </cell>
        </row>
        <row r="354">
          <cell r="B354">
            <v>43191</v>
          </cell>
          <cell r="C354">
            <v>671.327</v>
          </cell>
          <cell r="D354">
            <v>4961.84</v>
          </cell>
          <cell r="E354">
            <v>1.0051829489023658</v>
          </cell>
          <cell r="F354">
            <v>53.329053028396011</v>
          </cell>
        </row>
        <row r="355">
          <cell r="B355">
            <v>43221</v>
          </cell>
          <cell r="C355">
            <v>680.57899999999995</v>
          </cell>
          <cell r="D355">
            <v>4981.6899999999996</v>
          </cell>
          <cell r="E355">
            <v>1.0051829489023656</v>
          </cell>
          <cell r="F355">
            <v>53.605454785253734</v>
          </cell>
        </row>
        <row r="356">
          <cell r="B356">
            <v>43252</v>
          </cell>
          <cell r="C356">
            <v>693.28700000000003</v>
          </cell>
          <cell r="D356">
            <v>5044.46</v>
          </cell>
          <cell r="E356">
            <v>1.0051829489023654</v>
          </cell>
          <cell r="F356">
            <v>53.88328911829376</v>
          </cell>
        </row>
        <row r="357">
          <cell r="B357">
            <v>43282</v>
          </cell>
          <cell r="C357">
            <v>696.8</v>
          </cell>
          <cell r="D357">
            <v>5061.1099999999997</v>
          </cell>
          <cell r="E357">
            <v>1.0054304249443857</v>
          </cell>
          <cell r="F357">
            <v>54.175898275607288</v>
          </cell>
        </row>
        <row r="358">
          <cell r="B358">
            <v>43313</v>
          </cell>
          <cell r="C358">
            <v>701.67700000000002</v>
          </cell>
          <cell r="D358">
            <v>5056.5600000000004</v>
          </cell>
          <cell r="E358">
            <v>1.0056779619150069</v>
          </cell>
          <cell r="F358">
            <v>54.483506962727475</v>
          </cell>
        </row>
        <row r="359">
          <cell r="B359">
            <v>43344</v>
          </cell>
          <cell r="C359">
            <v>712.37300000000005</v>
          </cell>
          <cell r="D359">
            <v>5080.83</v>
          </cell>
          <cell r="E359">
            <v>1.0046881795441467</v>
          </cell>
          <cell r="F359">
            <v>54.738935425563504</v>
          </cell>
        </row>
        <row r="360">
          <cell r="B360">
            <v>43374</v>
          </cell>
          <cell r="C360">
            <v>718.68399999999997</v>
          </cell>
          <cell r="D360">
            <v>5103.6899999999996</v>
          </cell>
          <cell r="E360">
            <v>1.0054304249443855</v>
          </cell>
          <cell r="F360">
            <v>55.036191105927593</v>
          </cell>
        </row>
        <row r="361">
          <cell r="B361">
            <v>43405</v>
          </cell>
          <cell r="C361">
            <v>715.16600000000005</v>
          </cell>
          <cell r="D361">
            <v>5092.97</v>
          </cell>
          <cell r="E361">
            <v>1.0049355337739507</v>
          </cell>
          <cell r="F361">
            <v>55.307824085920508</v>
          </cell>
        </row>
        <row r="362">
          <cell r="B362">
            <v>43435</v>
          </cell>
          <cell r="C362">
            <v>707.44100000000003</v>
          </cell>
          <cell r="D362">
            <v>5100.6099999999997</v>
          </cell>
          <cell r="E362">
            <v>1.0049355337739507</v>
          </cell>
          <cell r="F362">
            <v>55.580797719660296</v>
          </cell>
        </row>
        <row r="363">
          <cell r="B363">
            <v>43466</v>
          </cell>
          <cell r="C363">
            <v>707.48800000000006</v>
          </cell>
          <cell r="D363">
            <v>5116.93</v>
          </cell>
          <cell r="E363">
            <v>1.0054304249443855</v>
          </cell>
          <cell r="F363">
            <v>55.882625070025988</v>
          </cell>
        </row>
        <row r="364">
          <cell r="B364">
            <v>43497</v>
          </cell>
          <cell r="C364">
            <v>713.74699999999996</v>
          </cell>
          <cell r="D364">
            <v>5138.93</v>
          </cell>
          <cell r="E364">
            <v>1.0049355337739507</v>
          </cell>
          <cell r="F364">
            <v>56.158435653436129</v>
          </cell>
        </row>
        <row r="365">
          <cell r="B365">
            <v>43525</v>
          </cell>
          <cell r="C365">
            <v>722.70699999999999</v>
          </cell>
          <cell r="D365">
            <v>5177.47</v>
          </cell>
          <cell r="E365">
            <v>1.0046881795441467</v>
          </cell>
          <cell r="F365">
            <v>56.421716482697846</v>
          </cell>
        </row>
        <row r="366">
          <cell r="B366">
            <v>43556</v>
          </cell>
          <cell r="C366">
            <v>729.346</v>
          </cell>
          <cell r="D366">
            <v>5206.9799999999996</v>
          </cell>
          <cell r="E366">
            <v>1.0051829489023654</v>
          </cell>
          <cell r="F366">
            <v>56.714147356211413</v>
          </cell>
        </row>
        <row r="367">
          <cell r="B367">
            <v>43586</v>
          </cell>
          <cell r="C367">
            <v>732.59500000000003</v>
          </cell>
          <cell r="D367">
            <v>5213.75</v>
          </cell>
          <cell r="E367">
            <v>1.0054304249443855</v>
          </cell>
          <cell r="F367">
            <v>57.022129276714139</v>
          </cell>
        </row>
        <row r="368">
          <cell r="B368">
            <v>43617</v>
          </cell>
          <cell r="C368">
            <v>738.42100000000005</v>
          </cell>
          <cell r="D368">
            <v>5214.2700000000004</v>
          </cell>
          <cell r="E368">
            <v>1.0046881795441465</v>
          </cell>
          <cell r="F368">
            <v>57.289459256752906</v>
          </cell>
        </row>
        <row r="369">
          <cell r="B369">
            <v>43647</v>
          </cell>
          <cell r="C369">
            <v>741.346</v>
          </cell>
          <cell r="D369">
            <v>5224.18</v>
          </cell>
          <cell r="E369">
            <v>1.0056779619150069</v>
          </cell>
          <cell r="F369">
            <v>57.61474662454409</v>
          </cell>
        </row>
        <row r="370">
          <cell r="B370">
            <v>43678</v>
          </cell>
          <cell r="C370">
            <v>736.40200000000004</v>
          </cell>
          <cell r="D370">
            <v>5229.93</v>
          </cell>
          <cell r="E370">
            <v>1.0050171948996307</v>
          </cell>
          <cell r="F370">
            <v>57.903811037452265</v>
          </cell>
        </row>
        <row r="371">
          <cell r="B371">
            <v>43709</v>
          </cell>
          <cell r="C371">
            <v>736.36199999999997</v>
          </cell>
          <cell r="D371">
            <v>5227.84</v>
          </cell>
          <cell r="E371">
            <v>1.0046375999081099</v>
          </cell>
          <cell r="F371">
            <v>58.172345746198765</v>
          </cell>
        </row>
        <row r="372">
          <cell r="B372">
            <v>43739</v>
          </cell>
          <cell r="C372">
            <v>741.33299999999997</v>
          </cell>
          <cell r="D372">
            <v>5233.07</v>
          </cell>
          <cell r="E372">
            <v>1.0047926409835022</v>
          </cell>
          <cell r="F372">
            <v>58.451144914528456</v>
          </cell>
        </row>
        <row r="373">
          <cell r="B373">
            <v>43770</v>
          </cell>
          <cell r="C373">
            <v>743.55799999999999</v>
          </cell>
          <cell r="D373">
            <v>5259.76</v>
          </cell>
          <cell r="E373">
            <v>1.0038038559813272</v>
          </cell>
          <cell r="F373">
            <v>58.673484651727009</v>
          </cell>
        </row>
        <row r="374">
          <cell r="B374">
            <v>43800</v>
          </cell>
          <cell r="C374">
            <v>759.11199999999997</v>
          </cell>
          <cell r="D374">
            <v>5320.25</v>
          </cell>
          <cell r="E374">
            <v>1.0037470387078873</v>
          </cell>
          <cell r="F374">
            <v>58.893336469843661</v>
          </cell>
        </row>
        <row r="375">
          <cell r="B375">
            <v>43831</v>
          </cell>
          <cell r="C375">
            <v>762.73299999999995</v>
          </cell>
          <cell r="D375">
            <v>5331.42</v>
          </cell>
          <cell r="E375">
            <v>1.00376633367529</v>
          </cell>
          <cell r="F375">
            <v>59.115148426240218</v>
          </cell>
        </row>
        <row r="376">
          <cell r="B376">
            <v>43862</v>
          </cell>
          <cell r="C376">
            <v>762.423</v>
          </cell>
          <cell r="D376">
            <v>5344.75</v>
          </cell>
          <cell r="E376">
            <v>1.0029372863155552</v>
          </cell>
          <cell r="F376">
            <v>59.288786542754629</v>
          </cell>
        </row>
        <row r="377">
          <cell r="B377">
            <v>43891</v>
          </cell>
          <cell r="C377">
            <v>771.90800000000002</v>
          </cell>
          <cell r="D377">
            <v>5348.49</v>
          </cell>
          <cell r="E377">
            <v>1.0033836914846632</v>
          </cell>
          <cell r="F377">
            <v>59.489401504915364</v>
          </cell>
        </row>
        <row r="378">
          <cell r="B378">
            <v>43922</v>
          </cell>
          <cell r="C378">
            <v>778.101</v>
          </cell>
          <cell r="D378">
            <v>5331.91</v>
          </cell>
          <cell r="E378">
            <v>1.0028492490278405</v>
          </cell>
          <cell r="F378">
            <v>59.658901624320052</v>
          </cell>
        </row>
        <row r="379">
          <cell r="B379">
            <v>43952</v>
          </cell>
          <cell r="C379">
            <v>780.28</v>
          </cell>
          <cell r="D379">
            <v>5311.65</v>
          </cell>
          <cell r="E379">
            <v>1.0023580961930716</v>
          </cell>
          <cell r="F379">
            <v>59.799583053123193</v>
          </cell>
        </row>
        <row r="380">
          <cell r="B380">
            <v>43983</v>
          </cell>
          <cell r="C380">
            <v>792.42899999999997</v>
          </cell>
          <cell r="D380">
            <v>5325.46</v>
          </cell>
          <cell r="E380">
            <v>1.0021233217736718</v>
          </cell>
          <cell r="F380">
            <v>59.926556809876388</v>
          </cell>
        </row>
        <row r="381">
          <cell r="B381">
            <v>44013</v>
          </cell>
          <cell r="C381">
            <v>810.08299999999997</v>
          </cell>
          <cell r="D381">
            <v>5344.63</v>
          </cell>
          <cell r="E381">
            <v>1.0019434641302636</v>
          </cell>
          <cell r="F381">
            <v>60.043021923486585</v>
          </cell>
        </row>
        <row r="382">
          <cell r="B382">
            <v>44044</v>
          </cell>
          <cell r="C382">
            <v>832.31299999999999</v>
          </cell>
          <cell r="D382">
            <v>5357.46</v>
          </cell>
          <cell r="E382">
            <v>1.0015988959789295</v>
          </cell>
          <cell r="F382">
            <v>60.13902446980282</v>
          </cell>
        </row>
        <row r="383">
          <cell r="B383">
            <v>44075</v>
          </cell>
          <cell r="C383">
            <v>868.44200000000001</v>
          </cell>
          <cell r="D383">
            <v>5391.75</v>
          </cell>
          <cell r="E383">
            <v>1.0015696620595307</v>
          </cell>
          <cell r="F383">
            <v>60.233422414810256</v>
          </cell>
        </row>
        <row r="384">
          <cell r="B384">
            <v>44105</v>
          </cell>
          <cell r="C384">
            <v>896.505</v>
          </cell>
          <cell r="D384">
            <v>5438.12</v>
          </cell>
          <cell r="E384">
            <v>1.00156966205953</v>
          </cell>
          <cell r="F384">
            <v>60.327968532690427</v>
          </cell>
        </row>
        <row r="385">
          <cell r="B385">
            <v>44136</v>
          </cell>
          <cell r="C385">
            <v>925.88699999999994</v>
          </cell>
          <cell r="D385">
            <v>5486.52</v>
          </cell>
          <cell r="E385">
            <v>1.0014948604084073</v>
          </cell>
          <cell r="F385">
            <v>60.418150424369585</v>
          </cell>
        </row>
        <row r="386">
          <cell r="B386">
            <v>44166</v>
          </cell>
          <cell r="C386">
            <v>934.75800000000004</v>
          </cell>
          <cell r="D386">
            <v>5560.59</v>
          </cell>
          <cell r="E386">
            <v>1.0016444692975899</v>
          </cell>
          <cell r="F386">
            <v>60.517506217759632</v>
          </cell>
        </row>
        <row r="387">
          <cell r="B387">
            <v>44197</v>
          </cell>
          <cell r="C387">
            <v>958.84400000000005</v>
          </cell>
          <cell r="D387">
            <v>5574.49</v>
          </cell>
          <cell r="E387">
            <v>1.0014948604084077</v>
          </cell>
          <cell r="F387">
            <v>60.607971441820126</v>
          </cell>
        </row>
        <row r="388">
          <cell r="B388">
            <v>44228</v>
          </cell>
          <cell r="C388">
            <v>983.06299999999999</v>
          </cell>
          <cell r="D388">
            <v>5622.43</v>
          </cell>
          <cell r="E388">
            <v>1.0013452738652961</v>
          </cell>
          <cell r="F388">
            <v>60.689505761829423</v>
          </cell>
        </row>
        <row r="389">
          <cell r="B389">
            <v>44256</v>
          </cell>
          <cell r="C389">
            <v>1011.948</v>
          </cell>
          <cell r="D389">
            <v>5674.72</v>
          </cell>
          <cell r="E389">
            <v>1.0020107988327946</v>
          </cell>
          <cell r="F389">
            <v>60.811540149178192</v>
          </cell>
        </row>
        <row r="390">
          <cell r="B390">
            <v>44287</v>
          </cell>
          <cell r="C390">
            <v>1027.211</v>
          </cell>
          <cell r="D390">
            <v>5692.31</v>
          </cell>
          <cell r="E390">
            <v>1.0020778480243349</v>
          </cell>
          <cell r="F390">
            <v>60.937897287733925</v>
          </cell>
        </row>
        <row r="391">
          <cell r="B391">
            <v>44317</v>
          </cell>
          <cell r="C391">
            <v>1069.289</v>
          </cell>
          <cell r="D391">
            <v>5739.56</v>
          </cell>
          <cell r="E391">
            <v>1.0027032626398216</v>
          </cell>
          <cell r="F391">
            <v>61.102628428821141</v>
          </cell>
        </row>
        <row r="392">
          <cell r="B392">
            <v>44348</v>
          </cell>
          <cell r="C392">
            <v>1075.7329999999999</v>
          </cell>
          <cell r="D392">
            <v>5769.98</v>
          </cell>
          <cell r="E392">
            <v>1.0030777896833167</v>
          </cell>
          <cell r="F392">
            <v>61.290689468222901</v>
          </cell>
        </row>
        <row r="393">
          <cell r="B393">
            <v>44378</v>
          </cell>
          <cell r="C393">
            <v>1084.095</v>
          </cell>
          <cell r="D393">
            <v>5825.37</v>
          </cell>
          <cell r="E393">
            <v>1.003556161780192</v>
          </cell>
          <cell r="F393">
            <v>61.508649075591414</v>
          </cell>
        </row>
        <row r="394">
          <cell r="B394">
            <v>44409</v>
          </cell>
          <cell r="C394">
            <v>1091.29</v>
          </cell>
          <cell r="D394">
            <v>5876.05</v>
          </cell>
          <cell r="E394">
            <v>1.0042795247734253</v>
          </cell>
          <cell r="F394">
            <v>61.771876863090334</v>
          </cell>
        </row>
        <row r="395">
          <cell r="B395">
            <v>44440</v>
          </cell>
          <cell r="C395">
            <v>1084.3119999999999</v>
          </cell>
          <cell r="D395">
            <v>5944.21</v>
          </cell>
          <cell r="E395">
            <v>1.0044199933223523</v>
          </cell>
          <cell r="F395">
            <v>62.044908146334365</v>
          </cell>
        </row>
        <row r="396">
          <cell r="B396">
            <v>44470</v>
          </cell>
          <cell r="C396">
            <v>1091.2829999999999</v>
          </cell>
          <cell r="D396">
            <v>6018.51</v>
          </cell>
          <cell r="E396">
            <v>1.0048599610251685</v>
          </cell>
          <cell r="F396">
            <v>62.34644398173571</v>
          </cell>
        </row>
        <row r="397">
          <cell r="B397">
            <v>44501</v>
          </cell>
          <cell r="C397">
            <v>1091.4829999999999</v>
          </cell>
          <cell r="D397">
            <v>6075.69</v>
          </cell>
          <cell r="E397">
            <v>1.0058674909390046</v>
          </cell>
          <cell r="F397">
            <v>62.712261176877703</v>
          </cell>
        </row>
        <row r="398">
          <cell r="B398">
            <v>44531</v>
          </cell>
          <cell r="C398">
            <v>1100.9880000000001</v>
          </cell>
          <cell r="D398">
            <v>6120.04</v>
          </cell>
          <cell r="E398">
            <v>1.0076908308186336</v>
          </cell>
          <cell r="F398">
            <v>63.194570567843037</v>
          </cell>
        </row>
        <row r="399">
          <cell r="B399">
            <v>44562</v>
          </cell>
          <cell r="C399">
            <v>1120.999</v>
          </cell>
          <cell r="D399">
            <v>6153.09</v>
          </cell>
          <cell r="E399">
            <v>1.0073227032460901</v>
          </cell>
          <cell r="F399">
            <v>63.65732565487545</v>
          </cell>
        </row>
        <row r="400">
          <cell r="B400">
            <v>44593</v>
          </cell>
          <cell r="C400">
            <v>1141.546</v>
          </cell>
          <cell r="D400">
            <v>6215.24</v>
          </cell>
          <cell r="E400">
            <v>1.0075504098703885</v>
          </cell>
          <cell r="F400">
            <v>64.13796455482256</v>
          </cell>
        </row>
        <row r="401">
          <cell r="B401">
            <v>44621</v>
          </cell>
          <cell r="C401">
            <v>1161.4179999999999</v>
          </cell>
          <cell r="D401">
            <v>6315.93</v>
          </cell>
          <cell r="E401">
            <v>1.0092705386289318</v>
          </cell>
          <cell r="F401">
            <v>64.732558032809095</v>
          </cell>
        </row>
        <row r="402">
          <cell r="B402">
            <v>44652</v>
          </cell>
          <cell r="C402">
            <v>1177.809</v>
          </cell>
          <cell r="D402">
            <v>6382.88</v>
          </cell>
          <cell r="E402">
            <v>1.0083432052372134</v>
          </cell>
          <cell r="F402">
            <v>65.272635050006656</v>
          </cell>
        </row>
        <row r="403">
          <cell r="B403">
            <v>44682</v>
          </cell>
          <cell r="C403">
            <v>1183.953</v>
          </cell>
          <cell r="D403">
            <v>6412.88</v>
          </cell>
          <cell r="E403">
            <v>1.0103459230153136</v>
          </cell>
          <cell r="F403">
            <v>65.947940707240676</v>
          </cell>
        </row>
        <row r="404">
          <cell r="B404">
            <v>44713</v>
          </cell>
          <cell r="C404">
            <v>1190.8820000000001</v>
          </cell>
          <cell r="D404">
            <v>6455.85</v>
          </cell>
          <cell r="E404">
            <v>1.0101531560893695</v>
          </cell>
          <cell r="F404">
            <v>66.617520443013774</v>
          </cell>
        </row>
        <row r="405">
          <cell r="B405">
            <v>44743</v>
          </cell>
          <cell r="C405">
            <v>1197.0638684620001</v>
          </cell>
          <cell r="D405">
            <v>6491.3184399000011</v>
          </cell>
          <cell r="E405">
            <v>1.0103484243492924</v>
          </cell>
          <cell r="F405">
            <v>67.306906813655743</v>
          </cell>
        </row>
        <row r="406">
          <cell r="B406">
            <v>44774</v>
          </cell>
          <cell r="C406">
            <v>1203.249097470343</v>
          </cell>
          <cell r="D406">
            <v>6514.7391168311606</v>
          </cell>
          <cell r="E406">
            <v>1.0113395564141356</v>
          </cell>
          <cell r="F406">
            <v>68.070137280530162</v>
          </cell>
        </row>
        <row r="407">
          <cell r="B407">
            <v>44805</v>
          </cell>
          <cell r="C407">
            <v>1210.3554866400029</v>
          </cell>
          <cell r="D407">
            <v>6541.5407535578033</v>
          </cell>
          <cell r="E407">
            <v>1.0103484243492922</v>
          </cell>
          <cell r="F407">
            <v>68.774555946623664</v>
          </cell>
        </row>
        <row r="408">
          <cell r="B408">
            <v>44835</v>
          </cell>
          <cell r="C408">
            <v>1217.5885710281636</v>
          </cell>
          <cell r="D408">
            <v>6571.7430472169799</v>
          </cell>
          <cell r="E408">
            <v>1.0098532226245143</v>
          </cell>
          <cell r="F408">
            <v>69.452206957267862</v>
          </cell>
        </row>
        <row r="409">
          <cell r="B409">
            <v>44866</v>
          </cell>
          <cell r="C409">
            <v>1224.992727128586</v>
          </cell>
          <cell r="D409">
            <v>6602.2359349560666</v>
          </cell>
          <cell r="E409">
            <v>1.0098532226245134</v>
          </cell>
          <cell r="F409">
            <v>70.136535014181604</v>
          </cell>
        </row>
        <row r="410">
          <cell r="B410">
            <v>44896</v>
          </cell>
          <cell r="C410">
            <v>1232.3194086295421</v>
          </cell>
          <cell r="D410">
            <v>6643.9422593571835</v>
          </cell>
          <cell r="E410">
            <v>1.0108438689061403</v>
          </cell>
          <cell r="F410">
            <v>70.897086405406313</v>
          </cell>
        </row>
        <row r="411">
          <cell r="B411">
            <v>44927</v>
          </cell>
          <cell r="C411">
            <v>1238.1470471129512</v>
          </cell>
          <cell r="D411">
            <v>6675.3880380707214</v>
          </cell>
          <cell r="E411">
            <v>1.0108438689061405</v>
          </cell>
          <cell r="F411">
            <v>71.665885116213857</v>
          </cell>
        </row>
        <row r="412">
          <cell r="B412">
            <v>44958</v>
          </cell>
          <cell r="C412">
            <v>1242.8891503033938</v>
          </cell>
          <cell r="D412">
            <v>6708.8651090816456</v>
          </cell>
          <cell r="E412">
            <v>1.0088635471951473</v>
          </cell>
          <cell r="F412">
            <v>72.301099071223419</v>
          </cell>
        </row>
        <row r="413">
          <cell r="B413">
            <v>44986</v>
          </cell>
          <cell r="C413">
            <v>1247.4530392633078</v>
          </cell>
          <cell r="D413">
            <v>6733.7617075014477</v>
          </cell>
          <cell r="E413">
            <v>1.0113395564141363</v>
          </cell>
          <cell r="F413">
            <v>73.120961462945615</v>
          </cell>
        </row>
        <row r="414">
          <cell r="B414">
            <v>45017</v>
          </cell>
          <cell r="C414">
            <v>1251.4698380497357</v>
          </cell>
          <cell r="D414">
            <v>6758.8113010533525</v>
          </cell>
          <cell r="E414">
            <v>1.0088635471951479</v>
          </cell>
          <cell r="F414">
            <v>73.769072555827023</v>
          </cell>
        </row>
        <row r="415">
          <cell r="B415">
            <v>45047</v>
          </cell>
          <cell r="C415">
            <v>1255.0803285325092</v>
          </cell>
          <cell r="D415">
            <v>6776.8505684158645</v>
          </cell>
          <cell r="E415">
            <v>1.0108438689061405</v>
          </cell>
          <cell r="F415">
            <v>74.569014707949975</v>
          </cell>
        </row>
        <row r="416">
          <cell r="B416">
            <v>45078</v>
          </cell>
          <cell r="C416">
            <v>1259.3250102036061</v>
          </cell>
          <cell r="D416">
            <v>6793.2031088374515</v>
          </cell>
          <cell r="E416">
            <v>1.010348424349292</v>
          </cell>
          <cell r="F416">
            <v>75.34068651545644</v>
          </cell>
        </row>
        <row r="417">
          <cell r="B417">
            <v>45108</v>
          </cell>
          <cell r="C417" t="e">
            <v>#N/A</v>
          </cell>
          <cell r="D417" t="e">
            <v>#N/A</v>
          </cell>
          <cell r="E417" t="e">
            <v>#N/A</v>
          </cell>
          <cell r="F417" t="e">
            <v>#N/A</v>
          </cell>
        </row>
        <row r="418">
          <cell r="B418">
            <v>45139</v>
          </cell>
          <cell r="C418" t="e">
            <v>#N/A</v>
          </cell>
          <cell r="D418" t="e">
            <v>#N/A</v>
          </cell>
          <cell r="E418" t="e">
            <v>#N/A</v>
          </cell>
          <cell r="F418" t="e">
            <v>#N/A</v>
          </cell>
        </row>
        <row r="419">
          <cell r="B419">
            <v>45170</v>
          </cell>
          <cell r="C419" t="e">
            <v>#N/A</v>
          </cell>
          <cell r="D419" t="e">
            <v>#N/A</v>
          </cell>
          <cell r="E419" t="e">
            <v>#N/A</v>
          </cell>
          <cell r="F419" t="e">
            <v>#N/A</v>
          </cell>
        </row>
        <row r="420">
          <cell r="B420">
            <v>45200</v>
          </cell>
          <cell r="C420" t="e">
            <v>#N/A</v>
          </cell>
          <cell r="D420" t="e">
            <v>#N/A</v>
          </cell>
          <cell r="E420" t="e">
            <v>#N/A</v>
          </cell>
          <cell r="F420" t="e">
            <v>#N/A</v>
          </cell>
        </row>
        <row r="421">
          <cell r="B421">
            <v>45231</v>
          </cell>
          <cell r="C421" t="e">
            <v>#N/A</v>
          </cell>
          <cell r="D421" t="e">
            <v>#N/A</v>
          </cell>
          <cell r="E421" t="e">
            <v>#N/A</v>
          </cell>
          <cell r="F421" t="e">
            <v>#N/A</v>
          </cell>
        </row>
        <row r="422">
          <cell r="B422">
            <v>45261</v>
          </cell>
          <cell r="C422" t="e">
            <v>#N/A</v>
          </cell>
          <cell r="D422" t="e">
            <v>#N/A</v>
          </cell>
          <cell r="E422" t="e">
            <v>#N/A</v>
          </cell>
          <cell r="F422" t="e">
            <v>#N/A</v>
          </cell>
        </row>
        <row r="423">
          <cell r="B423">
            <v>45292</v>
          </cell>
          <cell r="C423" t="e">
            <v>#N/A</v>
          </cell>
          <cell r="D423" t="e">
            <v>#N/A</v>
          </cell>
          <cell r="E423" t="e">
            <v>#N/A</v>
          </cell>
          <cell r="F423" t="e">
            <v>#N/A</v>
          </cell>
        </row>
        <row r="424">
          <cell r="B424">
            <v>45323</v>
          </cell>
          <cell r="C424" t="e">
            <v>#N/A</v>
          </cell>
          <cell r="D424" t="e">
            <v>#N/A</v>
          </cell>
          <cell r="E424" t="e">
            <v>#N/A</v>
          </cell>
          <cell r="F424" t="e">
            <v>#N/A</v>
          </cell>
        </row>
        <row r="425">
          <cell r="B425">
            <v>45352</v>
          </cell>
          <cell r="C425" t="e">
            <v>#N/A</v>
          </cell>
          <cell r="D425" t="e">
            <v>#N/A</v>
          </cell>
          <cell r="E425" t="e">
            <v>#N/A</v>
          </cell>
          <cell r="F425" t="e">
            <v>#N/A</v>
          </cell>
        </row>
        <row r="426">
          <cell r="B426">
            <v>45383</v>
          </cell>
          <cell r="C426" t="e">
            <v>#N/A</v>
          </cell>
          <cell r="D426" t="e">
            <v>#N/A</v>
          </cell>
          <cell r="E426" t="e">
            <v>#N/A</v>
          </cell>
          <cell r="F426" t="e">
            <v>#N/A</v>
          </cell>
        </row>
        <row r="427">
          <cell r="B427">
            <v>45413</v>
          </cell>
          <cell r="C427" t="e">
            <v>#N/A</v>
          </cell>
          <cell r="D427" t="e">
            <v>#N/A</v>
          </cell>
          <cell r="E427" t="e">
            <v>#N/A</v>
          </cell>
          <cell r="F427" t="e">
            <v>#N/A</v>
          </cell>
        </row>
        <row r="428">
          <cell r="B428">
            <v>45444</v>
          </cell>
          <cell r="C428" t="e">
            <v>#N/A</v>
          </cell>
          <cell r="D428" t="e">
            <v>#N/A</v>
          </cell>
          <cell r="E428" t="e">
            <v>#N/A</v>
          </cell>
          <cell r="F428" t="e">
            <v>#N/A</v>
          </cell>
        </row>
        <row r="429">
          <cell r="B429">
            <v>45474</v>
          </cell>
          <cell r="C429" t="e">
            <v>#N/A</v>
          </cell>
          <cell r="D429" t="e">
            <v>#N/A</v>
          </cell>
          <cell r="E429" t="e">
            <v>#N/A</v>
          </cell>
          <cell r="F429" t="e">
            <v>#N/A</v>
          </cell>
        </row>
        <row r="430">
          <cell r="B430">
            <v>45505</v>
          </cell>
          <cell r="C430" t="e">
            <v>#N/A</v>
          </cell>
          <cell r="D430" t="e">
            <v>#N/A</v>
          </cell>
          <cell r="E430" t="e">
            <v>#N/A</v>
          </cell>
          <cell r="F430" t="e">
            <v>#N/A</v>
          </cell>
        </row>
        <row r="431">
          <cell r="B431">
            <v>45536</v>
          </cell>
          <cell r="C431" t="e">
            <v>#N/A</v>
          </cell>
          <cell r="D431" t="e">
            <v>#N/A</v>
          </cell>
          <cell r="E431" t="e">
            <v>#N/A</v>
          </cell>
          <cell r="F431" t="e">
            <v>#N/A</v>
          </cell>
        </row>
        <row r="432">
          <cell r="B432">
            <v>45566</v>
          </cell>
          <cell r="C432" t="e">
            <v>#N/A</v>
          </cell>
          <cell r="D432" t="e">
            <v>#N/A</v>
          </cell>
          <cell r="E432" t="e">
            <v>#N/A</v>
          </cell>
          <cell r="F432" t="e">
            <v>#N/A</v>
          </cell>
        </row>
        <row r="433">
          <cell r="B433">
            <v>45597</v>
          </cell>
          <cell r="C433" t="e">
            <v>#N/A</v>
          </cell>
          <cell r="D433" t="e">
            <v>#N/A</v>
          </cell>
          <cell r="E433" t="e">
            <v>#N/A</v>
          </cell>
          <cell r="F433" t="e">
            <v>#N/A</v>
          </cell>
        </row>
        <row r="434">
          <cell r="B434">
            <v>45627</v>
          </cell>
          <cell r="C434" t="e">
            <v>#N/A</v>
          </cell>
          <cell r="D434" t="e">
            <v>#N/A</v>
          </cell>
          <cell r="E434" t="e">
            <v>#N/A</v>
          </cell>
          <cell r="F434" t="e">
            <v>#N/A</v>
          </cell>
        </row>
        <row r="435">
          <cell r="B435">
            <v>45658</v>
          </cell>
          <cell r="C435" t="e">
            <v>#N/A</v>
          </cell>
          <cell r="D435" t="e">
            <v>#N/A</v>
          </cell>
          <cell r="E435" t="e">
            <v>#N/A</v>
          </cell>
          <cell r="F435" t="e">
            <v>#N/A</v>
          </cell>
        </row>
        <row r="436">
          <cell r="B436">
            <v>45689</v>
          </cell>
          <cell r="C436" t="e">
            <v>#N/A</v>
          </cell>
          <cell r="D436" t="e">
            <v>#N/A</v>
          </cell>
          <cell r="E436" t="e">
            <v>#N/A</v>
          </cell>
          <cell r="F436" t="e">
            <v>#N/A</v>
          </cell>
        </row>
        <row r="437">
          <cell r="B437">
            <v>45717</v>
          </cell>
          <cell r="C437" t="e">
            <v>#N/A</v>
          </cell>
          <cell r="D437" t="e">
            <v>#N/A</v>
          </cell>
          <cell r="E437" t="e">
            <v>#N/A</v>
          </cell>
          <cell r="F437" t="e">
            <v>#N/A</v>
          </cell>
        </row>
        <row r="438">
          <cell r="B438">
            <v>45748</v>
          </cell>
          <cell r="C438" t="e">
            <v>#N/A</v>
          </cell>
          <cell r="D438" t="e">
            <v>#N/A</v>
          </cell>
          <cell r="E438" t="e">
            <v>#N/A</v>
          </cell>
          <cell r="F438" t="e">
            <v>#N/A</v>
          </cell>
        </row>
        <row r="439">
          <cell r="B439">
            <v>45778</v>
          </cell>
          <cell r="C439" t="e">
            <v>#N/A</v>
          </cell>
          <cell r="D439" t="e">
            <v>#N/A</v>
          </cell>
          <cell r="E439" t="e">
            <v>#N/A</v>
          </cell>
          <cell r="F439" t="e">
            <v>#N/A</v>
          </cell>
        </row>
        <row r="440">
          <cell r="B440">
            <v>45809</v>
          </cell>
          <cell r="C440" t="e">
            <v>#N/A</v>
          </cell>
          <cell r="D440" t="e">
            <v>#N/A</v>
          </cell>
          <cell r="E440" t="e">
            <v>#N/A</v>
          </cell>
          <cell r="F440" t="e">
            <v>#N/A</v>
          </cell>
        </row>
        <row r="441">
          <cell r="B441">
            <v>45839</v>
          </cell>
          <cell r="C441" t="e">
            <v>#N/A</v>
          </cell>
          <cell r="D441" t="e">
            <v>#N/A</v>
          </cell>
          <cell r="E441" t="e">
            <v>#N/A</v>
          </cell>
          <cell r="F441" t="e">
            <v>#N/A</v>
          </cell>
        </row>
        <row r="442">
          <cell r="B442">
            <v>45870</v>
          </cell>
          <cell r="C442" t="e">
            <v>#N/A</v>
          </cell>
          <cell r="D442" t="e">
            <v>#N/A</v>
          </cell>
          <cell r="E442" t="e">
            <v>#N/A</v>
          </cell>
          <cell r="F442" t="e">
            <v>#N/A</v>
          </cell>
        </row>
        <row r="443">
          <cell r="B443">
            <v>45901</v>
          </cell>
          <cell r="C443" t="e">
            <v>#N/A</v>
          </cell>
          <cell r="D443" t="e">
            <v>#N/A</v>
          </cell>
          <cell r="E443" t="e">
            <v>#N/A</v>
          </cell>
          <cell r="F443" t="e">
            <v>#N/A</v>
          </cell>
        </row>
        <row r="444">
          <cell r="B444">
            <v>45931</v>
          </cell>
          <cell r="C444" t="e">
            <v>#N/A</v>
          </cell>
          <cell r="D444" t="e">
            <v>#N/A</v>
          </cell>
          <cell r="E444" t="e">
            <v>#N/A</v>
          </cell>
          <cell r="F444" t="e">
            <v>#N/A</v>
          </cell>
        </row>
        <row r="445">
          <cell r="B445">
            <v>45962</v>
          </cell>
          <cell r="C445" t="e">
            <v>#N/A</v>
          </cell>
          <cell r="D445" t="e">
            <v>#N/A</v>
          </cell>
          <cell r="E445" t="e">
            <v>#N/A</v>
          </cell>
          <cell r="F445" t="e">
            <v>#N/A</v>
          </cell>
        </row>
        <row r="446">
          <cell r="B446">
            <v>45992</v>
          </cell>
          <cell r="C446" t="e">
            <v>#N/A</v>
          </cell>
          <cell r="D446" t="e">
            <v>#N/A</v>
          </cell>
          <cell r="E446" t="e">
            <v>#N/A</v>
          </cell>
          <cell r="F446" t="e">
            <v>#N/A</v>
          </cell>
        </row>
        <row r="447">
          <cell r="B447">
            <v>46023</v>
          </cell>
          <cell r="C447" t="e">
            <v>#N/A</v>
          </cell>
          <cell r="D447" t="e">
            <v>#N/A</v>
          </cell>
          <cell r="E447" t="e">
            <v>#N/A</v>
          </cell>
          <cell r="F447" t="e">
            <v>#N/A</v>
          </cell>
        </row>
        <row r="448">
          <cell r="B448">
            <v>46054</v>
          </cell>
          <cell r="C448" t="e">
            <v>#N/A</v>
          </cell>
          <cell r="D448" t="e">
            <v>#N/A</v>
          </cell>
          <cell r="E448" t="e">
            <v>#N/A</v>
          </cell>
          <cell r="F448" t="e">
            <v>#N/A</v>
          </cell>
        </row>
        <row r="449">
          <cell r="B449">
            <v>46082</v>
          </cell>
          <cell r="C449" t="e">
            <v>#N/A</v>
          </cell>
          <cell r="D449" t="e">
            <v>#N/A</v>
          </cell>
          <cell r="E449" t="e">
            <v>#N/A</v>
          </cell>
          <cell r="F449" t="e">
            <v>#N/A</v>
          </cell>
        </row>
        <row r="450">
          <cell r="B450">
            <v>46113</v>
          </cell>
          <cell r="C450" t="e">
            <v>#N/A</v>
          </cell>
          <cell r="D450" t="e">
            <v>#N/A</v>
          </cell>
          <cell r="E450" t="e">
            <v>#N/A</v>
          </cell>
          <cell r="F450" t="e">
            <v>#N/A</v>
          </cell>
        </row>
        <row r="451">
          <cell r="B451">
            <v>46143</v>
          </cell>
          <cell r="C451" t="e">
            <v>#N/A</v>
          </cell>
          <cell r="D451" t="e">
            <v>#N/A</v>
          </cell>
          <cell r="E451" t="e">
            <v>#N/A</v>
          </cell>
          <cell r="F451" t="e">
            <v>#N/A</v>
          </cell>
        </row>
        <row r="452">
          <cell r="B452">
            <v>46174</v>
          </cell>
          <cell r="C452" t="e">
            <v>#N/A</v>
          </cell>
          <cell r="D452" t="e">
            <v>#N/A</v>
          </cell>
          <cell r="E452" t="e">
            <v>#N/A</v>
          </cell>
          <cell r="F452" t="e">
            <v>#N/A</v>
          </cell>
        </row>
        <row r="453">
          <cell r="B453">
            <v>46204</v>
          </cell>
          <cell r="C453" t="e">
            <v>#N/A</v>
          </cell>
          <cell r="D453" t="e">
            <v>#N/A</v>
          </cell>
          <cell r="E453" t="e">
            <v>#N/A</v>
          </cell>
          <cell r="F453" t="e">
            <v>#N/A</v>
          </cell>
        </row>
        <row r="454">
          <cell r="B454">
            <v>46235</v>
          </cell>
          <cell r="C454" t="e">
            <v>#N/A</v>
          </cell>
          <cell r="D454" t="e">
            <v>#N/A</v>
          </cell>
          <cell r="E454" t="e">
            <v>#N/A</v>
          </cell>
          <cell r="F454" t="e">
            <v>#N/A</v>
          </cell>
        </row>
        <row r="455">
          <cell r="B455">
            <v>46266</v>
          </cell>
          <cell r="C455" t="e">
            <v>#N/A</v>
          </cell>
          <cell r="D455" t="e">
            <v>#N/A</v>
          </cell>
          <cell r="E455" t="e">
            <v>#N/A</v>
          </cell>
          <cell r="F455" t="e">
            <v>#N/A</v>
          </cell>
        </row>
        <row r="456">
          <cell r="B456">
            <v>46296</v>
          </cell>
          <cell r="C456" t="e">
            <v>#N/A</v>
          </cell>
          <cell r="D456" t="e">
            <v>#N/A</v>
          </cell>
          <cell r="E456" t="e">
            <v>#N/A</v>
          </cell>
          <cell r="F456" t="e">
            <v>#N/A</v>
          </cell>
        </row>
        <row r="457">
          <cell r="B457">
            <v>46327</v>
          </cell>
          <cell r="C457" t="e">
            <v>#N/A</v>
          </cell>
          <cell r="D457" t="e">
            <v>#N/A</v>
          </cell>
          <cell r="E457" t="e">
            <v>#N/A</v>
          </cell>
          <cell r="F457" t="e">
            <v>#N/A</v>
          </cell>
        </row>
        <row r="458">
          <cell r="B458">
            <v>46357</v>
          </cell>
          <cell r="C458" t="e">
            <v>#N/A</v>
          </cell>
          <cell r="D458" t="e">
            <v>#N/A</v>
          </cell>
          <cell r="E458" t="e">
            <v>#N/A</v>
          </cell>
          <cell r="F458" t="e">
            <v>#N/A</v>
          </cell>
        </row>
        <row r="459">
          <cell r="B459">
            <v>46388</v>
          </cell>
          <cell r="C459" t="e">
            <v>#N/A</v>
          </cell>
          <cell r="D459" t="e">
            <v>#N/A</v>
          </cell>
          <cell r="E459" t="e">
            <v>#N/A</v>
          </cell>
          <cell r="F459" t="e">
            <v>#N/A</v>
          </cell>
        </row>
        <row r="460">
          <cell r="B460">
            <v>46419</v>
          </cell>
          <cell r="C460" t="e">
            <v>#N/A</v>
          </cell>
          <cell r="D460" t="e">
            <v>#N/A</v>
          </cell>
          <cell r="E460" t="e">
            <v>#N/A</v>
          </cell>
          <cell r="F460" t="e">
            <v>#N/A</v>
          </cell>
        </row>
        <row r="461">
          <cell r="B461">
            <v>46447</v>
          </cell>
          <cell r="C461" t="e">
            <v>#N/A</v>
          </cell>
          <cell r="D461" t="e">
            <v>#N/A</v>
          </cell>
          <cell r="E461" t="e">
            <v>#N/A</v>
          </cell>
          <cell r="F461" t="e">
            <v>#N/A</v>
          </cell>
        </row>
        <row r="462">
          <cell r="B462">
            <v>46478</v>
          </cell>
          <cell r="C462" t="e">
            <v>#N/A</v>
          </cell>
          <cell r="D462" t="e">
            <v>#N/A</v>
          </cell>
          <cell r="E462" t="e">
            <v>#N/A</v>
          </cell>
          <cell r="F462" t="e">
            <v>#N/A</v>
          </cell>
        </row>
        <row r="463">
          <cell r="B463">
            <v>46508</v>
          </cell>
          <cell r="C463" t="e">
            <v>#N/A</v>
          </cell>
          <cell r="D463" t="e">
            <v>#N/A</v>
          </cell>
          <cell r="E463" t="e">
            <v>#N/A</v>
          </cell>
          <cell r="F463" t="e">
            <v>#N/A</v>
          </cell>
        </row>
        <row r="464">
          <cell r="B464">
            <v>46539</v>
          </cell>
          <cell r="C464" t="e">
            <v>#N/A</v>
          </cell>
          <cell r="D464" t="e">
            <v>#N/A</v>
          </cell>
          <cell r="E464" t="e">
            <v>#N/A</v>
          </cell>
          <cell r="F464" t="e">
            <v>#N/A</v>
          </cell>
        </row>
        <row r="465">
          <cell r="B465">
            <v>46569</v>
          </cell>
          <cell r="C465" t="e">
            <v>#N/A</v>
          </cell>
          <cell r="D465" t="e">
            <v>#N/A</v>
          </cell>
          <cell r="E465" t="e">
            <v>#N/A</v>
          </cell>
          <cell r="F465" t="e">
            <v>#N/A</v>
          </cell>
        </row>
        <row r="466">
          <cell r="B466">
            <v>46600</v>
          </cell>
          <cell r="C466" t="e">
            <v>#N/A</v>
          </cell>
          <cell r="D466" t="e">
            <v>#N/A</v>
          </cell>
          <cell r="E466" t="e">
            <v>#N/A</v>
          </cell>
          <cell r="F466" t="e">
            <v>#N/A</v>
          </cell>
        </row>
        <row r="467">
          <cell r="B467">
            <v>46631</v>
          </cell>
          <cell r="C467" t="e">
            <v>#N/A</v>
          </cell>
          <cell r="D467" t="e">
            <v>#N/A</v>
          </cell>
          <cell r="E467" t="e">
            <v>#N/A</v>
          </cell>
          <cell r="F467" t="e">
            <v>#N/A</v>
          </cell>
        </row>
        <row r="468">
          <cell r="B468">
            <v>46661</v>
          </cell>
          <cell r="C468" t="e">
            <v>#N/A</v>
          </cell>
          <cell r="D468" t="e">
            <v>#N/A</v>
          </cell>
          <cell r="E468" t="e">
            <v>#N/A</v>
          </cell>
          <cell r="F468" t="e">
            <v>#N/A</v>
          </cell>
        </row>
        <row r="469">
          <cell r="B469">
            <v>46692</v>
          </cell>
          <cell r="C469" t="e">
            <v>#N/A</v>
          </cell>
          <cell r="D469" t="e">
            <v>#N/A</v>
          </cell>
          <cell r="E469" t="e">
            <v>#N/A</v>
          </cell>
          <cell r="F469" t="e">
            <v>#N/A</v>
          </cell>
        </row>
        <row r="470">
          <cell r="B470">
            <v>46722</v>
          </cell>
          <cell r="C470" t="e">
            <v>#N/A</v>
          </cell>
          <cell r="D470" t="e">
            <v>#N/A</v>
          </cell>
          <cell r="E470" t="e">
            <v>#N/A</v>
          </cell>
          <cell r="F470" t="e">
            <v>#N/A</v>
          </cell>
        </row>
        <row r="471">
          <cell r="B471">
            <v>46753</v>
          </cell>
          <cell r="C471" t="e">
            <v>#N/A</v>
          </cell>
          <cell r="D471" t="e">
            <v>#N/A</v>
          </cell>
          <cell r="E471" t="e">
            <v>#N/A</v>
          </cell>
          <cell r="F471" t="e">
            <v>#N/A</v>
          </cell>
        </row>
        <row r="472">
          <cell r="B472">
            <v>46784</v>
          </cell>
          <cell r="C472" t="e">
            <v>#N/A</v>
          </cell>
          <cell r="D472" t="e">
            <v>#N/A</v>
          </cell>
          <cell r="E472" t="e">
            <v>#N/A</v>
          </cell>
          <cell r="F472" t="e">
            <v>#N/A</v>
          </cell>
        </row>
        <row r="473">
          <cell r="B473">
            <v>46813</v>
          </cell>
          <cell r="C473" t="e">
            <v>#N/A</v>
          </cell>
          <cell r="D473" t="e">
            <v>#N/A</v>
          </cell>
          <cell r="E473" t="e">
            <v>#N/A</v>
          </cell>
          <cell r="F473" t="e">
            <v>#N/A</v>
          </cell>
        </row>
        <row r="474">
          <cell r="B474">
            <v>46844</v>
          </cell>
          <cell r="C474" t="e">
            <v>#N/A</v>
          </cell>
          <cell r="D474" t="e">
            <v>#N/A</v>
          </cell>
          <cell r="E474" t="e">
            <v>#N/A</v>
          </cell>
          <cell r="F474" t="e">
            <v>#N/A</v>
          </cell>
        </row>
        <row r="475">
          <cell r="B475">
            <v>46874</v>
          </cell>
          <cell r="C475" t="e">
            <v>#N/A</v>
          </cell>
          <cell r="D475" t="e">
            <v>#N/A</v>
          </cell>
          <cell r="E475" t="e">
            <v>#N/A</v>
          </cell>
          <cell r="F475" t="e">
            <v>#N/A</v>
          </cell>
        </row>
        <row r="476">
          <cell r="B476">
            <v>46905</v>
          </cell>
          <cell r="C476" t="e">
            <v>#N/A</v>
          </cell>
          <cell r="D476" t="e">
            <v>#N/A</v>
          </cell>
          <cell r="E476" t="e">
            <v>#N/A</v>
          </cell>
          <cell r="F476" t="e">
            <v>#N/A</v>
          </cell>
        </row>
        <row r="477">
          <cell r="B477">
            <v>46935</v>
          </cell>
          <cell r="C477" t="e">
            <v>#N/A</v>
          </cell>
          <cell r="D477" t="e">
            <v>#N/A</v>
          </cell>
          <cell r="E477" t="e">
            <v>#N/A</v>
          </cell>
          <cell r="F477" t="e">
            <v>#N/A</v>
          </cell>
        </row>
        <row r="478">
          <cell r="B478">
            <v>46966</v>
          </cell>
          <cell r="C478" t="e">
            <v>#N/A</v>
          </cell>
          <cell r="D478" t="e">
            <v>#N/A</v>
          </cell>
          <cell r="E478" t="e">
            <v>#N/A</v>
          </cell>
          <cell r="F478" t="e">
            <v>#N/A</v>
          </cell>
        </row>
        <row r="479">
          <cell r="B479">
            <v>46997</v>
          </cell>
          <cell r="C479" t="e">
            <v>#N/A</v>
          </cell>
          <cell r="D479" t="e">
            <v>#N/A</v>
          </cell>
          <cell r="E479" t="e">
            <v>#N/A</v>
          </cell>
          <cell r="F479" t="e">
            <v>#N/A</v>
          </cell>
        </row>
        <row r="480">
          <cell r="B480">
            <v>47027</v>
          </cell>
          <cell r="C480" t="e">
            <v>#N/A</v>
          </cell>
          <cell r="D480" t="e">
            <v>#N/A</v>
          </cell>
          <cell r="E480" t="e">
            <v>#N/A</v>
          </cell>
          <cell r="F480" t="e">
            <v>#N/A</v>
          </cell>
        </row>
        <row r="481">
          <cell r="B481">
            <v>47058</v>
          </cell>
          <cell r="C481" t="e">
            <v>#N/A</v>
          </cell>
          <cell r="D481" t="e">
            <v>#N/A</v>
          </cell>
          <cell r="E481" t="e">
            <v>#N/A</v>
          </cell>
          <cell r="F481" t="e">
            <v>#N/A</v>
          </cell>
        </row>
        <row r="482">
          <cell r="B482">
            <v>47088</v>
          </cell>
          <cell r="C482" t="e">
            <v>#N/A</v>
          </cell>
          <cell r="D482" t="e">
            <v>#N/A</v>
          </cell>
          <cell r="E482" t="e">
            <v>#N/A</v>
          </cell>
          <cell r="F482" t="e">
            <v>#N/A</v>
          </cell>
        </row>
        <row r="483">
          <cell r="B483">
            <v>47119</v>
          </cell>
          <cell r="C483" t="e">
            <v>#N/A</v>
          </cell>
          <cell r="D483" t="e">
            <v>#N/A</v>
          </cell>
          <cell r="E483" t="e">
            <v>#N/A</v>
          </cell>
          <cell r="F483" t="e">
            <v>#N/A</v>
          </cell>
        </row>
        <row r="484">
          <cell r="B484">
            <v>47150</v>
          </cell>
          <cell r="C484" t="e">
            <v>#N/A</v>
          </cell>
          <cell r="D484" t="e">
            <v>#N/A</v>
          </cell>
          <cell r="E484" t="e">
            <v>#N/A</v>
          </cell>
          <cell r="F484" t="e">
            <v>#N/A</v>
          </cell>
        </row>
        <row r="485">
          <cell r="B485">
            <v>47178</v>
          </cell>
          <cell r="C485" t="e">
            <v>#N/A</v>
          </cell>
          <cell r="D485" t="e">
            <v>#N/A</v>
          </cell>
          <cell r="E485" t="e">
            <v>#N/A</v>
          </cell>
          <cell r="F485" t="e">
            <v>#N/A</v>
          </cell>
        </row>
        <row r="486">
          <cell r="B486">
            <v>47209</v>
          </cell>
          <cell r="C486" t="e">
            <v>#N/A</v>
          </cell>
          <cell r="D486" t="e">
            <v>#N/A</v>
          </cell>
          <cell r="E486" t="e">
            <v>#N/A</v>
          </cell>
          <cell r="F486" t="e">
            <v>#N/A</v>
          </cell>
        </row>
        <row r="487">
          <cell r="B487">
            <v>47239</v>
          </cell>
          <cell r="C487" t="e">
            <v>#N/A</v>
          </cell>
          <cell r="D487" t="e">
            <v>#N/A</v>
          </cell>
          <cell r="E487" t="e">
            <v>#N/A</v>
          </cell>
          <cell r="F487" t="e">
            <v>#N/A</v>
          </cell>
        </row>
        <row r="488">
          <cell r="B488">
            <v>47270</v>
          </cell>
          <cell r="C488" t="e">
            <v>#N/A</v>
          </cell>
          <cell r="D488" t="e">
            <v>#N/A</v>
          </cell>
          <cell r="E488" t="e">
            <v>#N/A</v>
          </cell>
          <cell r="F488" t="e">
            <v>#N/A</v>
          </cell>
        </row>
        <row r="489">
          <cell r="B489">
            <v>47300</v>
          </cell>
          <cell r="C489" t="e">
            <v>#N/A</v>
          </cell>
          <cell r="D489" t="e">
            <v>#N/A</v>
          </cell>
          <cell r="E489" t="e">
            <v>#N/A</v>
          </cell>
          <cell r="F489" t="e">
            <v>#N/A</v>
          </cell>
        </row>
        <row r="490">
          <cell r="B490">
            <v>47331</v>
          </cell>
          <cell r="C490" t="e">
            <v>#N/A</v>
          </cell>
          <cell r="D490" t="e">
            <v>#N/A</v>
          </cell>
          <cell r="E490" t="e">
            <v>#N/A</v>
          </cell>
          <cell r="F490" t="e">
            <v>#N/A</v>
          </cell>
        </row>
        <row r="491">
          <cell r="B491">
            <v>47362</v>
          </cell>
          <cell r="C491" t="e">
            <v>#N/A</v>
          </cell>
          <cell r="D491" t="e">
            <v>#N/A</v>
          </cell>
          <cell r="E491" t="e">
            <v>#N/A</v>
          </cell>
          <cell r="F491" t="e">
            <v>#N/A</v>
          </cell>
        </row>
        <row r="492">
          <cell r="B492">
            <v>47392</v>
          </cell>
          <cell r="C492" t="e">
            <v>#N/A</v>
          </cell>
          <cell r="D492" t="e">
            <v>#N/A</v>
          </cell>
          <cell r="E492" t="e">
            <v>#N/A</v>
          </cell>
          <cell r="F492" t="e">
            <v>#N/A</v>
          </cell>
        </row>
        <row r="493">
          <cell r="B493">
            <v>47423</v>
          </cell>
          <cell r="C493" t="e">
            <v>#N/A</v>
          </cell>
          <cell r="D493" t="e">
            <v>#N/A</v>
          </cell>
          <cell r="E493" t="e">
            <v>#N/A</v>
          </cell>
          <cell r="F493" t="e">
            <v>#N/A</v>
          </cell>
        </row>
        <row r="494">
          <cell r="B494">
            <v>47453</v>
          </cell>
          <cell r="C494" t="e">
            <v>#N/A</v>
          </cell>
          <cell r="D494" t="e">
            <v>#N/A</v>
          </cell>
          <cell r="E494" t="e">
            <v>#N/A</v>
          </cell>
          <cell r="F494" t="e">
            <v>#N/A</v>
          </cell>
        </row>
        <row r="495">
          <cell r="B495">
            <v>47484</v>
          </cell>
          <cell r="C495" t="e">
            <v>#N/A</v>
          </cell>
          <cell r="D495" t="e">
            <v>#N/A</v>
          </cell>
          <cell r="E495" t="e">
            <v>#N/A</v>
          </cell>
          <cell r="F495" t="e">
            <v>#N/A</v>
          </cell>
        </row>
        <row r="496">
          <cell r="B496">
            <v>47515</v>
          </cell>
          <cell r="C496" t="e">
            <v>#N/A</v>
          </cell>
          <cell r="D496" t="e">
            <v>#N/A</v>
          </cell>
          <cell r="E496" t="e">
            <v>#N/A</v>
          </cell>
          <cell r="F496" t="e">
            <v>#N/A</v>
          </cell>
        </row>
        <row r="497">
          <cell r="B497">
            <v>47543</v>
          </cell>
          <cell r="C497" t="e">
            <v>#N/A</v>
          </cell>
          <cell r="D497" t="e">
            <v>#N/A</v>
          </cell>
          <cell r="E497" t="e">
            <v>#N/A</v>
          </cell>
          <cell r="F497" t="e">
            <v>#N/A</v>
          </cell>
        </row>
        <row r="498">
          <cell r="B498">
            <v>47574</v>
          </cell>
          <cell r="C498" t="e">
            <v>#N/A</v>
          </cell>
          <cell r="D498" t="e">
            <v>#N/A</v>
          </cell>
          <cell r="E498" t="e">
            <v>#N/A</v>
          </cell>
          <cell r="F498" t="e">
            <v>#N/A</v>
          </cell>
        </row>
        <row r="499">
          <cell r="B499">
            <v>47604</v>
          </cell>
          <cell r="C499" t="e">
            <v>#N/A</v>
          </cell>
          <cell r="D499" t="e">
            <v>#N/A</v>
          </cell>
          <cell r="E499" t="e">
            <v>#N/A</v>
          </cell>
          <cell r="F499" t="e">
            <v>#N/A</v>
          </cell>
        </row>
        <row r="500">
          <cell r="B500">
            <v>47635</v>
          </cell>
          <cell r="C500" t="e">
            <v>#N/A</v>
          </cell>
          <cell r="D500" t="e">
            <v>#N/A</v>
          </cell>
          <cell r="E500" t="e">
            <v>#N/A</v>
          </cell>
          <cell r="F500" t="e">
            <v>#N/A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 RB"/>
      <sheetName val="Encargo Uso RB"/>
      <sheetName val="Encargo Conexão"/>
      <sheetName val="Consumidores A1"/>
      <sheetName val="Análise de RAP"/>
      <sheetName val="Análise de PA"/>
      <sheetName val="SACT"/>
      <sheetName val="bd101MDL"/>
      <sheetName val="Banco_Dist"/>
      <sheetName val="Banco_A1"/>
      <sheetName val="BD101ConsA1"/>
      <sheetName val="bd101RB"/>
      <sheetName val="bd101FR"/>
      <sheetName val="BD101CNX"/>
      <sheetName val="BD101Controle"/>
    </sheetNames>
    <sheetDataSet>
      <sheetData sheetId="0" refreshError="1"/>
      <sheetData sheetId="1">
        <row r="2">
          <cell r="N2">
            <v>42347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NT Revisao"/>
      <sheetName val="Votos e NTs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Mitigação Efeito 2022"/>
      <sheetName val="CVA"/>
      <sheetName val="Neutralidade"/>
      <sheetName val="COVID"/>
      <sheetName val="CDE Covid - TUSD_TE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9">
          <cell r="F39">
            <v>0.10162694467731614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NT Revisao"/>
      <sheetName val="Votos e NTs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Mitigação Efeito 2022"/>
      <sheetName val="CVA"/>
      <sheetName val="Neutralidade"/>
      <sheetName val="COVID"/>
      <sheetName val="CDE Covid - TUSD_TE"/>
      <sheetName val="PIS_COFINS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</sheetNames>
    <sheetDataSet>
      <sheetData sheetId="0"/>
      <sheetData sheetId="1"/>
      <sheetData sheetId="2">
        <row r="7">
          <cell r="L7">
            <v>2020</v>
          </cell>
          <cell r="M7">
            <v>2021</v>
          </cell>
        </row>
        <row r="8">
          <cell r="Q8">
            <v>27817.439999999999</v>
          </cell>
          <cell r="R8">
            <v>34114.230000000003</v>
          </cell>
          <cell r="S8">
            <v>27817.439999999999</v>
          </cell>
          <cell r="T8">
            <v>42291.02</v>
          </cell>
          <cell r="U8">
            <v>14780.5</v>
          </cell>
          <cell r="V8">
            <v>29462.63</v>
          </cell>
          <cell r="W8">
            <v>44961.22</v>
          </cell>
          <cell r="X8">
            <v>37575.86</v>
          </cell>
          <cell r="Y8">
            <v>41179.360000000001</v>
          </cell>
          <cell r="Z8">
            <v>47201.63</v>
          </cell>
          <cell r="AA8">
            <v>27949.42</v>
          </cell>
          <cell r="AB8">
            <v>41908.85</v>
          </cell>
        </row>
        <row r="9">
          <cell r="L9">
            <v>6020761.4100000001</v>
          </cell>
          <cell r="M9">
            <v>6374950.75</v>
          </cell>
          <cell r="Q9">
            <v>4217.3</v>
          </cell>
          <cell r="R9">
            <v>4217.3</v>
          </cell>
          <cell r="S9">
            <v>4217.3</v>
          </cell>
          <cell r="T9">
            <v>4773.72</v>
          </cell>
          <cell r="U9">
            <v>4074.13</v>
          </cell>
          <cell r="V9">
            <v>4144.5600000000004</v>
          </cell>
          <cell r="W9">
            <v>4191.91</v>
          </cell>
          <cell r="X9">
            <v>4012.26</v>
          </cell>
          <cell r="Y9">
            <v>3910.92</v>
          </cell>
          <cell r="Z9">
            <v>4164.96</v>
          </cell>
          <cell r="AA9">
            <v>4297.8500000000004</v>
          </cell>
          <cell r="AB9">
            <v>4031.03</v>
          </cell>
        </row>
        <row r="10">
          <cell r="L10">
            <v>2396083.5499999998</v>
          </cell>
          <cell r="M10">
            <v>2557069.98</v>
          </cell>
        </row>
        <row r="11">
          <cell r="L11">
            <v>0</v>
          </cell>
          <cell r="M11">
            <v>0</v>
          </cell>
        </row>
        <row r="12">
          <cell r="L12">
            <v>2260363.5499999998</v>
          </cell>
          <cell r="M12">
            <v>2442433.2799999998</v>
          </cell>
        </row>
        <row r="13">
          <cell r="L13">
            <v>68031.66</v>
          </cell>
          <cell r="M13">
            <v>105970.66</v>
          </cell>
          <cell r="Q13">
            <v>141971.20000000001</v>
          </cell>
          <cell r="R13">
            <v>141971.20000000001</v>
          </cell>
          <cell r="S13">
            <v>134744</v>
          </cell>
          <cell r="T13">
            <v>132698.74</v>
          </cell>
          <cell r="U13">
            <v>132698.74</v>
          </cell>
          <cell r="V13">
            <v>132698.74</v>
          </cell>
          <cell r="W13">
            <v>131688.5</v>
          </cell>
          <cell r="X13">
            <v>138449.54</v>
          </cell>
          <cell r="Y13">
            <v>131465.42000000001</v>
          </cell>
          <cell r="Z13">
            <v>119644.72</v>
          </cell>
          <cell r="AA13">
            <v>119644.72</v>
          </cell>
          <cell r="AB13">
            <v>122016.04</v>
          </cell>
        </row>
        <row r="14">
          <cell r="L14">
            <v>0</v>
          </cell>
          <cell r="M14">
            <v>0</v>
          </cell>
        </row>
        <row r="15">
          <cell r="L15">
            <v>160494.58000000002</v>
          </cell>
          <cell r="M15">
            <v>164821.12</v>
          </cell>
        </row>
        <row r="16">
          <cell r="L16">
            <v>0</v>
          </cell>
          <cell r="M16">
            <v>0</v>
          </cell>
        </row>
        <row r="17">
          <cell r="L17">
            <v>1054716.8700000001</v>
          </cell>
          <cell r="M17">
            <v>1105117.79</v>
          </cell>
        </row>
        <row r="20">
          <cell r="L20">
            <v>1011198.84</v>
          </cell>
          <cell r="M20">
            <v>1045788.75</v>
          </cell>
        </row>
        <row r="21">
          <cell r="L21">
            <v>0</v>
          </cell>
          <cell r="M21">
            <v>0</v>
          </cell>
        </row>
        <row r="22">
          <cell r="L22">
            <v>-45601.03</v>
          </cell>
          <cell r="M22">
            <v>-55479.55</v>
          </cell>
        </row>
        <row r="25">
          <cell r="L25">
            <v>222033.41</v>
          </cell>
          <cell r="M25">
            <v>450636.47</v>
          </cell>
        </row>
        <row r="26">
          <cell r="L26">
            <v>108980.5</v>
          </cell>
          <cell r="M26">
            <v>251331.31</v>
          </cell>
        </row>
        <row r="27">
          <cell r="G27">
            <v>20384.37</v>
          </cell>
          <cell r="L27">
            <v>14899.11</v>
          </cell>
          <cell r="M27">
            <v>1600</v>
          </cell>
        </row>
        <row r="28">
          <cell r="G28">
            <v>38186.689999999995</v>
          </cell>
          <cell r="L28">
            <v>831867.67999999993</v>
          </cell>
          <cell r="M28">
            <v>999093.59</v>
          </cell>
        </row>
        <row r="29">
          <cell r="G29">
            <v>18946.38</v>
          </cell>
          <cell r="L29">
            <v>0</v>
          </cell>
          <cell r="M29">
            <v>0</v>
          </cell>
        </row>
        <row r="30">
          <cell r="G30">
            <v>36829.5</v>
          </cell>
          <cell r="L30">
            <v>6256.51</v>
          </cell>
          <cell r="M30">
            <v>2997.84</v>
          </cell>
        </row>
        <row r="31">
          <cell r="L31">
            <v>0</v>
          </cell>
          <cell r="M31">
            <v>0</v>
          </cell>
        </row>
        <row r="32">
          <cell r="L32">
            <v>85964.96</v>
          </cell>
          <cell r="M32">
            <v>100074.08</v>
          </cell>
        </row>
        <row r="33">
          <cell r="G33">
            <v>1.7020202045199599E-2</v>
          </cell>
          <cell r="L33">
            <v>0</v>
          </cell>
          <cell r="M33">
            <v>0</v>
          </cell>
        </row>
        <row r="34">
          <cell r="G34">
            <v>5.2443323901933007E-2</v>
          </cell>
          <cell r="L34">
            <v>0</v>
          </cell>
          <cell r="M34">
            <v>0</v>
          </cell>
        </row>
        <row r="35">
          <cell r="L35">
            <v>1015178.19</v>
          </cell>
          <cell r="M35">
            <v>948762.37999999989</v>
          </cell>
        </row>
        <row r="36">
          <cell r="L36">
            <v>-36235.1</v>
          </cell>
          <cell r="M36">
            <v>-4390.7700000000004</v>
          </cell>
        </row>
        <row r="37">
          <cell r="G37">
            <v>43281</v>
          </cell>
          <cell r="L37">
            <v>0</v>
          </cell>
          <cell r="M37">
            <v>0</v>
          </cell>
        </row>
        <row r="38">
          <cell r="G38">
            <v>0</v>
          </cell>
        </row>
        <row r="39">
          <cell r="G39">
            <v>64013.640000000029</v>
          </cell>
        </row>
        <row r="40">
          <cell r="G40">
            <v>114053.99500000004</v>
          </cell>
          <cell r="L40">
            <v>55954.39</v>
          </cell>
          <cell r="M40">
            <v>66734.27</v>
          </cell>
        </row>
        <row r="41">
          <cell r="G41">
            <v>36654</v>
          </cell>
          <cell r="L41">
            <v>0</v>
          </cell>
          <cell r="M41">
            <v>0</v>
          </cell>
        </row>
        <row r="42">
          <cell r="L42">
            <v>0</v>
          </cell>
          <cell r="M42">
            <v>0</v>
          </cell>
        </row>
        <row r="45">
          <cell r="G45">
            <v>2301.65</v>
          </cell>
          <cell r="L45">
            <v>46115.130000000005</v>
          </cell>
          <cell r="M45">
            <v>196952.13999999998</v>
          </cell>
        </row>
        <row r="46">
          <cell r="G46">
            <v>127.72</v>
          </cell>
          <cell r="Q46">
            <v>30768.44</v>
          </cell>
          <cell r="R46">
            <v>30768.44</v>
          </cell>
          <cell r="S46">
            <v>30768.44</v>
          </cell>
          <cell r="T46">
            <v>30768.44</v>
          </cell>
          <cell r="U46">
            <v>30768.44</v>
          </cell>
          <cell r="V46">
            <v>62744.71</v>
          </cell>
          <cell r="W46">
            <v>28070.38</v>
          </cell>
          <cell r="X46">
            <v>51649.39</v>
          </cell>
          <cell r="Y46">
            <v>18790.55</v>
          </cell>
          <cell r="Z46">
            <v>10312.64</v>
          </cell>
          <cell r="AA46">
            <v>24802.23</v>
          </cell>
          <cell r="AB46">
            <v>19009.18</v>
          </cell>
        </row>
        <row r="47">
          <cell r="G47">
            <v>8.9776593198206498E-3</v>
          </cell>
          <cell r="Q47">
            <v>40133.60571428571</v>
          </cell>
          <cell r="R47">
            <v>40133.60571428571</v>
          </cell>
          <cell r="S47">
            <v>40133.60571428571</v>
          </cell>
          <cell r="T47">
            <v>40133.60571428571</v>
          </cell>
          <cell r="U47">
            <v>40133.60571428571</v>
          </cell>
          <cell r="V47">
            <v>52478.42</v>
          </cell>
          <cell r="W47">
            <v>44625.120000000003</v>
          </cell>
          <cell r="X47">
            <v>45680.56</v>
          </cell>
          <cell r="Y47">
            <v>38169.019999999997</v>
          </cell>
          <cell r="Z47">
            <v>34359.99</v>
          </cell>
          <cell r="AA47">
            <v>31756.95</v>
          </cell>
          <cell r="AB47">
            <v>33865.18</v>
          </cell>
        </row>
        <row r="48">
          <cell r="G48">
            <v>0</v>
          </cell>
          <cell r="L48">
            <v>908181.01</v>
          </cell>
          <cell r="M48">
            <v>697102.99</v>
          </cell>
        </row>
        <row r="49">
          <cell r="G49">
            <v>7.2758002111853654E-2</v>
          </cell>
          <cell r="L49">
            <v>173767.82</v>
          </cell>
          <cell r="M49">
            <v>209715.96</v>
          </cell>
        </row>
        <row r="50">
          <cell r="G50">
            <v>8.9600000000000009</v>
          </cell>
          <cell r="L50">
            <v>0</v>
          </cell>
          <cell r="M50">
            <v>0</v>
          </cell>
        </row>
        <row r="51">
          <cell r="G51">
            <v>6.91</v>
          </cell>
          <cell r="L51">
            <v>645174.80000000005</v>
          </cell>
          <cell r="M51">
            <v>714203.19</v>
          </cell>
        </row>
        <row r="52">
          <cell r="G52">
            <v>9.1</v>
          </cell>
          <cell r="L52">
            <v>19755.39</v>
          </cell>
          <cell r="M52">
            <v>19095.43</v>
          </cell>
        </row>
        <row r="53">
          <cell r="G53">
            <v>6.5583716162301055E-3</v>
          </cell>
          <cell r="L53">
            <v>-11502.12</v>
          </cell>
          <cell r="M53">
            <v>-13844.81</v>
          </cell>
          <cell r="Q53">
            <v>42767</v>
          </cell>
        </row>
        <row r="54">
          <cell r="G54">
            <v>7.16</v>
          </cell>
        </row>
        <row r="56">
          <cell r="L56">
            <v>305000.00000000006</v>
          </cell>
          <cell r="M56">
            <v>405000</v>
          </cell>
        </row>
        <row r="57">
          <cell r="M57">
            <v>0</v>
          </cell>
        </row>
        <row r="58">
          <cell r="G58">
            <v>16175666.389660062</v>
          </cell>
          <cell r="L58">
            <v>334162.84999999998</v>
          </cell>
          <cell r="M58">
            <v>471090.36</v>
          </cell>
          <cell r="Q58">
            <v>20670.240000000002</v>
          </cell>
        </row>
        <row r="59">
          <cell r="M59">
            <v>-182075.07</v>
          </cell>
          <cell r="Q59">
            <v>26819.08</v>
          </cell>
        </row>
        <row r="61">
          <cell r="G61">
            <v>6967993.4628625503</v>
          </cell>
        </row>
        <row r="62">
          <cell r="G62">
            <v>2283352.1455774591</v>
          </cell>
        </row>
        <row r="63">
          <cell r="G63">
            <v>2236079.6837893133</v>
          </cell>
        </row>
        <row r="65">
          <cell r="G65">
            <v>2.1118520395221232E-2</v>
          </cell>
        </row>
        <row r="66">
          <cell r="G66">
            <v>1161952.2599535862</v>
          </cell>
        </row>
        <row r="67">
          <cell r="G67">
            <v>2.3599999999999999E-2</v>
          </cell>
        </row>
        <row r="70">
          <cell r="G70">
            <v>44593</v>
          </cell>
        </row>
        <row r="71">
          <cell r="G71">
            <v>132625477.2</v>
          </cell>
        </row>
        <row r="73">
          <cell r="G73">
            <v>31155161.899999999</v>
          </cell>
        </row>
        <row r="74">
          <cell r="G74">
            <v>17942245.25</v>
          </cell>
        </row>
        <row r="76">
          <cell r="G76">
            <v>50611157.170000002</v>
          </cell>
        </row>
        <row r="80">
          <cell r="G80">
            <v>165107.81</v>
          </cell>
        </row>
        <row r="82">
          <cell r="G82">
            <v>22772385.219999999</v>
          </cell>
        </row>
        <row r="83">
          <cell r="G83">
            <v>6650340.6299999999</v>
          </cell>
        </row>
        <row r="87">
          <cell r="G87">
            <v>3.5099999999999999E-2</v>
          </cell>
        </row>
        <row r="92">
          <cell r="G92">
            <v>94248428.99186419</v>
          </cell>
        </row>
        <row r="93">
          <cell r="G93">
            <v>93498.16321220994</v>
          </cell>
        </row>
        <row r="94">
          <cell r="G94">
            <v>20530342.885428362</v>
          </cell>
        </row>
        <row r="95">
          <cell r="G95">
            <v>12078708.008521222</v>
          </cell>
        </row>
        <row r="96">
          <cell r="G96">
            <v>61545879.934702404</v>
          </cell>
        </row>
        <row r="97">
          <cell r="G97">
            <v>28930673.415485654</v>
          </cell>
        </row>
        <row r="98">
          <cell r="G98">
            <v>65317755.576378539</v>
          </cell>
        </row>
        <row r="99">
          <cell r="G99">
            <v>83500.916454166174</v>
          </cell>
        </row>
        <row r="100">
          <cell r="G100">
            <v>65234254.659924373</v>
          </cell>
        </row>
        <row r="101">
          <cell r="G101">
            <v>100783.44750000001</v>
          </cell>
        </row>
        <row r="102">
          <cell r="G102">
            <v>0</v>
          </cell>
        </row>
        <row r="103">
          <cell r="G103">
            <v>16736714.763363019</v>
          </cell>
        </row>
        <row r="104">
          <cell r="G104">
            <v>5181256.1545967702</v>
          </cell>
        </row>
        <row r="105">
          <cell r="G105">
            <v>53779579.498658121</v>
          </cell>
        </row>
        <row r="106">
          <cell r="G106">
            <v>0</v>
          </cell>
        </row>
        <row r="107">
          <cell r="G107">
            <v>0</v>
          </cell>
        </row>
        <row r="108">
          <cell r="G108">
            <v>0</v>
          </cell>
        </row>
        <row r="109">
          <cell r="G109">
            <v>3.7100000000000001E-2</v>
          </cell>
        </row>
        <row r="110">
          <cell r="G110">
            <v>2283352.1455774591</v>
          </cell>
        </row>
      </sheetData>
      <sheetData sheetId="3"/>
      <sheetData sheetId="4"/>
      <sheetData sheetId="5">
        <row r="29">
          <cell r="R29">
            <v>0.24814781807405023</v>
          </cell>
        </row>
        <row r="30">
          <cell r="R30">
            <v>4.0162798835339623E-2</v>
          </cell>
        </row>
        <row r="287">
          <cell r="BP287">
            <v>1.7568385969106291E-2</v>
          </cell>
        </row>
      </sheetData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36230814.926599994</v>
          </cell>
          <cell r="G30">
            <v>6.9999999999999999E-4</v>
          </cell>
          <cell r="H30">
            <v>41235.892000895794</v>
          </cell>
        </row>
        <row r="31">
          <cell r="B31" t="str">
            <v>Industrial</v>
          </cell>
          <cell r="C31">
            <v>20268245.843360003</v>
          </cell>
          <cell r="G31">
            <v>0</v>
          </cell>
          <cell r="H31">
            <v>0</v>
          </cell>
        </row>
        <row r="32">
          <cell r="B32" t="str">
            <v>Comercial</v>
          </cell>
          <cell r="C32">
            <v>17591796.362890005</v>
          </cell>
          <cell r="G32">
            <v>4.0000000000000002E-4</v>
          </cell>
          <cell r="H32">
            <v>11441.143463753537</v>
          </cell>
        </row>
        <row r="33">
          <cell r="B33" t="str">
            <v>Rural</v>
          </cell>
          <cell r="C33">
            <v>12382840.884999996</v>
          </cell>
          <cell r="G33">
            <v>0</v>
          </cell>
          <cell r="H33">
            <v>0</v>
          </cell>
        </row>
        <row r="34">
          <cell r="B34" t="str">
            <v>Iluminação Pública</v>
          </cell>
          <cell r="C34">
            <v>1690159.2630400001</v>
          </cell>
          <cell r="G34">
            <v>0</v>
          </cell>
          <cell r="H34">
            <v>0</v>
          </cell>
        </row>
        <row r="35">
          <cell r="B35" t="str">
            <v>Poder Público</v>
          </cell>
          <cell r="C35">
            <v>2270998.4717800003</v>
          </cell>
          <cell r="G35">
            <v>0</v>
          </cell>
          <cell r="H35">
            <v>0</v>
          </cell>
        </row>
        <row r="36">
          <cell r="B36" t="str">
            <v>Serviço Público</v>
          </cell>
          <cell r="C36">
            <v>2763615.0276800008</v>
          </cell>
          <cell r="G36">
            <v>0</v>
          </cell>
          <cell r="H36">
            <v>0</v>
          </cell>
        </row>
        <row r="37">
          <cell r="B37" t="str">
            <v>Demais</v>
          </cell>
          <cell r="C37">
            <v>605908.44682994485</v>
          </cell>
          <cell r="G37">
            <v>0</v>
          </cell>
          <cell r="H37">
            <v>0</v>
          </cell>
        </row>
        <row r="38">
          <cell r="B38" t="str">
            <v xml:space="preserve">TOTAL </v>
          </cell>
          <cell r="C38">
            <v>93804379.227179945</v>
          </cell>
          <cell r="H38">
            <v>52677.035464649329</v>
          </cell>
        </row>
        <row r="67">
          <cell r="K67">
            <v>1900050.1644926146</v>
          </cell>
        </row>
      </sheetData>
      <sheetData sheetId="9"/>
      <sheetData sheetId="10">
        <row r="39">
          <cell r="F39">
            <v>0.11886869625198027</v>
          </cell>
        </row>
        <row r="40">
          <cell r="F40">
            <v>6.1331836323485749E-3</v>
          </cell>
        </row>
        <row r="41">
          <cell r="F41">
            <v>0</v>
          </cell>
        </row>
        <row r="42">
          <cell r="F42">
            <v>1.2140133034330409E-2</v>
          </cell>
        </row>
        <row r="44">
          <cell r="F44">
            <v>0.10059537958530128</v>
          </cell>
        </row>
      </sheetData>
      <sheetData sheetId="11">
        <row r="33">
          <cell r="C33">
            <v>6.1331836323485749E-3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I9">
            <v>-296957.9409684909</v>
          </cell>
        </row>
        <row r="10">
          <cell r="C10">
            <v>2527675.7013706132</v>
          </cell>
          <cell r="D10">
            <v>2601539.0183601324</v>
          </cell>
          <cell r="E10">
            <v>2779834.7946622977</v>
          </cell>
        </row>
        <row r="11">
          <cell r="C11">
            <v>137114.49481394439</v>
          </cell>
          <cell r="D11">
            <v>149114.97863912801</v>
          </cell>
          <cell r="E11">
            <v>159334.53355916258</v>
          </cell>
        </row>
        <row r="12">
          <cell r="C12">
            <v>692384.78488164605</v>
          </cell>
          <cell r="D12">
            <v>735097.9057275143</v>
          </cell>
          <cell r="E12">
            <v>785477.64281191106</v>
          </cell>
        </row>
        <row r="13">
          <cell r="C13">
            <v>3550454.1384643032</v>
          </cell>
          <cell r="D13">
            <v>3844630.7956933929</v>
          </cell>
          <cell r="E13">
            <v>4108121.532321074</v>
          </cell>
        </row>
        <row r="14">
          <cell r="I14">
            <v>4656301.0962213427</v>
          </cell>
        </row>
        <row r="15">
          <cell r="C15">
            <v>210123.72915161296</v>
          </cell>
          <cell r="D15">
            <v>222201.94121900015</v>
          </cell>
          <cell r="E15">
            <v>237430.49144480558</v>
          </cell>
        </row>
        <row r="16">
          <cell r="C16">
            <v>578695.81198200956</v>
          </cell>
          <cell r="D16">
            <v>602232.76348233293</v>
          </cell>
          <cell r="E16">
            <v>643506.62380958057</v>
          </cell>
        </row>
        <row r="17">
          <cell r="C17">
            <v>1739745.8866436649</v>
          </cell>
          <cell r="D17">
            <v>1915356.7767199348</v>
          </cell>
          <cell r="E17">
            <v>2046625.2378080781</v>
          </cell>
        </row>
        <row r="25">
          <cell r="D25">
            <v>842108.3371</v>
          </cell>
        </row>
        <row r="26">
          <cell r="D26">
            <v>-107442.11169999999</v>
          </cell>
        </row>
        <row r="27">
          <cell r="D27">
            <v>613679.1459</v>
          </cell>
        </row>
        <row r="28">
          <cell r="D28">
            <v>5167537.7770999996</v>
          </cell>
        </row>
        <row r="29">
          <cell r="D29">
            <v>0</v>
          </cell>
        </row>
        <row r="30">
          <cell r="D30">
            <v>189851.23809999999</v>
          </cell>
        </row>
        <row r="31">
          <cell r="D31">
            <v>195454.72070000001</v>
          </cell>
        </row>
        <row r="32">
          <cell r="D32">
            <v>1544469.2914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idio"/>
      <sheetName val="BD"/>
      <sheetName val="RBBD"/>
      <sheetName val="BDCOVID"/>
      <sheetName val="Faturas"/>
      <sheetName val="Informações Gerais"/>
      <sheetName val="CAPA"/>
      <sheetName val="Resultado"/>
      <sheetName val="Tabelas e Gráficos"/>
      <sheetName val="Calc_Mercado"/>
      <sheetName val="BD MERCADO"/>
      <sheetName val="Energia"/>
      <sheetName val="PIS_COFINS"/>
      <sheetName val="Rede Básica + Ajuste"/>
      <sheetName val="Conexão "/>
      <sheetName val="CUSD"/>
      <sheetName val="Encargos"/>
      <sheetName val="Financeiros"/>
      <sheetName val="ICMS"/>
      <sheetName val="Financeiros Mitigação"/>
      <sheetName val="CVE"/>
      <sheetName val="Conta covid"/>
      <sheetName val="Aj.Subsídio"/>
      <sheetName val="Indexador"/>
      <sheetName val="BD SUPRIMENTO"/>
      <sheetName val="RA0BD"/>
      <sheetName val="SimuBD"/>
      <sheetName val="Índices"/>
      <sheetName val="BD-NET"/>
      <sheetName val="Sharepoint"/>
      <sheetName val="COEFICIENTES"/>
      <sheetName val="REN 473"/>
      <sheetName val="ERD"/>
      <sheetName val="Glossário Víncul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idio"/>
      <sheetName val="BD"/>
      <sheetName val="RBBD"/>
      <sheetName val="BDCOVID"/>
      <sheetName val="Faturas"/>
      <sheetName val="Informações Gerais"/>
      <sheetName val="CAPA"/>
      <sheetName val="Resultado"/>
      <sheetName val="Tabelas e Gráficos"/>
      <sheetName val="Calc_Mercado"/>
      <sheetName val="BD MERCADO"/>
      <sheetName val="Energia"/>
      <sheetName val="Rede Básica + Ajuste"/>
      <sheetName val="Conexão "/>
      <sheetName val="CUSD"/>
      <sheetName val="Encargos"/>
      <sheetName val="Financeiros"/>
      <sheetName val="ICMS"/>
      <sheetName val="Financeiros Mitigação"/>
      <sheetName val="CVE"/>
      <sheetName val="Conta covid"/>
      <sheetName val="Aj.Subsídio"/>
      <sheetName val="Indexador"/>
      <sheetName val="BD SUPRIMENTO"/>
      <sheetName val="RA0BD"/>
      <sheetName val="SimuBD"/>
      <sheetName val="Índices"/>
      <sheetName val="BD-NET"/>
      <sheetName val="Sharepoint"/>
      <sheetName val="COEFICIENTES"/>
      <sheetName val="REN 473"/>
      <sheetName val="ERD"/>
      <sheetName val="Glossário Víncul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6">
          <cell r="K6" t="str">
            <v>DataRef</v>
          </cell>
          <cell r="L6" t="str">
            <v>Valor</v>
          </cell>
          <cell r="M6" t="str">
            <v>Selic Dia</v>
          </cell>
          <cell r="N6" t="str">
            <v>Fator Selic</v>
          </cell>
        </row>
        <row r="7">
          <cell r="K7">
            <v>42064</v>
          </cell>
          <cell r="M7">
            <v>0</v>
          </cell>
          <cell r="N7">
            <v>1</v>
          </cell>
        </row>
        <row r="8">
          <cell r="K8">
            <v>42065</v>
          </cell>
          <cell r="L8" t="str">
            <v>DIA ÚTIL</v>
          </cell>
          <cell r="M8">
            <v>4.5512999999999998E-2</v>
          </cell>
          <cell r="N8">
            <v>1.00045513</v>
          </cell>
        </row>
        <row r="9">
          <cell r="K9">
            <v>42066</v>
          </cell>
          <cell r="L9" t="str">
            <v>DIA ÚTIL</v>
          </cell>
          <cell r="M9">
            <v>4.5512999999999998E-2</v>
          </cell>
          <cell r="N9">
            <v>1.0009104671433169</v>
          </cell>
        </row>
        <row r="10">
          <cell r="K10">
            <v>42067</v>
          </cell>
          <cell r="L10" t="str">
            <v>DIA ÚTIL</v>
          </cell>
          <cell r="M10">
            <v>4.5512999999999998E-2</v>
          </cell>
          <cell r="N10">
            <v>1.0013660115242278</v>
          </cell>
        </row>
        <row r="11">
          <cell r="K11">
            <v>42068</v>
          </cell>
          <cell r="L11" t="str">
            <v>DIA ÚTIL</v>
          </cell>
          <cell r="M11">
            <v>4.7279000000000002E-2</v>
          </cell>
          <cell r="N11">
            <v>1.0018394473608161</v>
          </cell>
        </row>
        <row r="12">
          <cell r="K12">
            <v>42069</v>
          </cell>
          <cell r="L12" t="str">
            <v>DIA ÚTIL</v>
          </cell>
          <cell r="M12">
            <v>4.7279000000000002E-2</v>
          </cell>
          <cell r="N12">
            <v>1.0023131070331337</v>
          </cell>
        </row>
        <row r="13">
          <cell r="K13">
            <v>42070</v>
          </cell>
          <cell r="M13">
            <v>0</v>
          </cell>
          <cell r="N13">
            <v>1.0023131070331337</v>
          </cell>
        </row>
        <row r="14">
          <cell r="K14">
            <v>42071</v>
          </cell>
          <cell r="M14">
            <v>0</v>
          </cell>
          <cell r="N14">
            <v>1.0023131070331337</v>
          </cell>
        </row>
        <row r="15">
          <cell r="K15">
            <v>42072</v>
          </cell>
          <cell r="L15" t="str">
            <v>DIA ÚTIL</v>
          </cell>
          <cell r="M15">
            <v>4.7279000000000002E-2</v>
          </cell>
          <cell r="N15">
            <v>1.0027869906470077</v>
          </cell>
        </row>
        <row r="16">
          <cell r="K16">
            <v>42073</v>
          </cell>
          <cell r="L16" t="str">
            <v>DIA ÚTIL</v>
          </cell>
          <cell r="M16">
            <v>4.7279000000000002E-2</v>
          </cell>
          <cell r="N16">
            <v>1.0032610983083157</v>
          </cell>
        </row>
        <row r="17">
          <cell r="K17">
            <v>42074</v>
          </cell>
          <cell r="L17" t="str">
            <v>DIA ÚTIL</v>
          </cell>
          <cell r="M17">
            <v>4.7279000000000002E-2</v>
          </cell>
          <cell r="N17">
            <v>1.0037354301229848</v>
          </cell>
        </row>
        <row r="18">
          <cell r="K18">
            <v>42075</v>
          </cell>
          <cell r="L18" t="str">
            <v>DIA ÚTIL</v>
          </cell>
          <cell r="M18">
            <v>4.7279000000000002E-2</v>
          </cell>
          <cell r="N18">
            <v>1.0042099861969926</v>
          </cell>
        </row>
        <row r="19">
          <cell r="K19">
            <v>42076</v>
          </cell>
          <cell r="L19" t="str">
            <v>DIA ÚTIL</v>
          </cell>
          <cell r="M19">
            <v>4.7279000000000002E-2</v>
          </cell>
          <cell r="N19">
            <v>1.0046847666363665</v>
          </cell>
        </row>
        <row r="20">
          <cell r="K20">
            <v>42077</v>
          </cell>
          <cell r="M20">
            <v>0</v>
          </cell>
          <cell r="N20">
            <v>1.0046847666363665</v>
          </cell>
        </row>
        <row r="21">
          <cell r="K21">
            <v>42078</v>
          </cell>
          <cell r="M21">
            <v>0</v>
          </cell>
          <cell r="N21">
            <v>1.0046847666363665</v>
          </cell>
        </row>
        <row r="22">
          <cell r="K22">
            <v>42079</v>
          </cell>
          <cell r="L22" t="str">
            <v>DIA ÚTIL</v>
          </cell>
          <cell r="M22">
            <v>4.7279000000000002E-2</v>
          </cell>
          <cell r="N22">
            <v>1.0051597715471845</v>
          </cell>
        </row>
        <row r="23">
          <cell r="K23">
            <v>42080</v>
          </cell>
          <cell r="L23" t="str">
            <v>DIA ÚTIL</v>
          </cell>
          <cell r="M23">
            <v>4.7279000000000002E-2</v>
          </cell>
          <cell r="N23">
            <v>1.0056350010355741</v>
          </cell>
        </row>
        <row r="24">
          <cell r="K24">
            <v>42081</v>
          </cell>
          <cell r="L24" t="str">
            <v>DIA ÚTIL</v>
          </cell>
          <cell r="M24">
            <v>4.7279000000000002E-2</v>
          </cell>
          <cell r="N24">
            <v>1.0061104552077136</v>
          </cell>
        </row>
        <row r="25">
          <cell r="K25">
            <v>42082</v>
          </cell>
          <cell r="L25" t="str">
            <v>DIA ÚTIL</v>
          </cell>
          <cell r="M25">
            <v>4.7279000000000002E-2</v>
          </cell>
          <cell r="N25">
            <v>1.0065861341698312</v>
          </cell>
        </row>
        <row r="26">
          <cell r="K26">
            <v>42083</v>
          </cell>
          <cell r="L26" t="str">
            <v>DIA ÚTIL</v>
          </cell>
          <cell r="M26">
            <v>4.7279000000000002E-2</v>
          </cell>
          <cell r="N26">
            <v>1.0070620380282054</v>
          </cell>
        </row>
        <row r="27">
          <cell r="K27">
            <v>42084</v>
          </cell>
          <cell r="M27">
            <v>0</v>
          </cell>
          <cell r="N27">
            <v>1.0070620380282054</v>
          </cell>
        </row>
        <row r="28">
          <cell r="K28">
            <v>42085</v>
          </cell>
          <cell r="M28">
            <v>0</v>
          </cell>
          <cell r="N28">
            <v>1.0070620380282054</v>
          </cell>
        </row>
        <row r="29">
          <cell r="K29">
            <v>42086</v>
          </cell>
          <cell r="L29" t="str">
            <v>DIA ÚTIL</v>
          </cell>
          <cell r="M29">
            <v>4.7279000000000002E-2</v>
          </cell>
          <cell r="N29">
            <v>1.0075381668891645</v>
          </cell>
        </row>
        <row r="30">
          <cell r="K30">
            <v>42087</v>
          </cell>
          <cell r="L30" t="str">
            <v>DIA ÚTIL</v>
          </cell>
          <cell r="M30">
            <v>4.7279000000000002E-2</v>
          </cell>
          <cell r="N30">
            <v>1.008014520859088</v>
          </cell>
        </row>
        <row r="31">
          <cell r="K31">
            <v>42088</v>
          </cell>
          <cell r="L31" t="str">
            <v>DIA ÚTIL</v>
          </cell>
          <cell r="M31">
            <v>4.7279000000000002E-2</v>
          </cell>
          <cell r="N31">
            <v>1.008491100044405</v>
          </cell>
        </row>
        <row r="32">
          <cell r="K32">
            <v>42089</v>
          </cell>
          <cell r="L32" t="str">
            <v>DIA ÚTIL</v>
          </cell>
          <cell r="M32">
            <v>4.7279000000000002E-2</v>
          </cell>
          <cell r="N32">
            <v>1.0089679045515949</v>
          </cell>
        </row>
        <row r="33">
          <cell r="K33">
            <v>42090</v>
          </cell>
          <cell r="L33" t="str">
            <v>DIA ÚTIL</v>
          </cell>
          <cell r="M33">
            <v>4.7279000000000002E-2</v>
          </cell>
          <cell r="N33">
            <v>1.0094449344871876</v>
          </cell>
        </row>
        <row r="34">
          <cell r="K34">
            <v>42091</v>
          </cell>
          <cell r="M34">
            <v>0</v>
          </cell>
          <cell r="N34">
            <v>1.0094449344871876</v>
          </cell>
        </row>
        <row r="35">
          <cell r="K35">
            <v>42092</v>
          </cell>
          <cell r="M35">
            <v>0</v>
          </cell>
          <cell r="N35">
            <v>1.0094449344871876</v>
          </cell>
        </row>
        <row r="36">
          <cell r="K36">
            <v>42093</v>
          </cell>
          <cell r="L36" t="str">
            <v>DIA ÚTIL</v>
          </cell>
          <cell r="M36">
            <v>4.7279000000000002E-2</v>
          </cell>
          <cell r="N36">
            <v>1.0099221899577637</v>
          </cell>
        </row>
        <row r="37">
          <cell r="K37">
            <v>42094</v>
          </cell>
          <cell r="L37" t="str">
            <v>DIA ÚTIL</v>
          </cell>
          <cell r="M37">
            <v>4.7279000000000002E-2</v>
          </cell>
          <cell r="N37">
            <v>1.0103996710699537</v>
          </cell>
        </row>
        <row r="38">
          <cell r="K38">
            <v>42095</v>
          </cell>
          <cell r="L38" t="str">
            <v>DIA ÚTIL</v>
          </cell>
          <cell r="M38">
            <v>4.7279000000000002E-2</v>
          </cell>
          <cell r="N38">
            <v>1.0108773779304387</v>
          </cell>
        </row>
        <row r="39">
          <cell r="K39">
            <v>42096</v>
          </cell>
          <cell r="L39" t="str">
            <v>DIA ÚTIL</v>
          </cell>
          <cell r="M39">
            <v>4.7279000000000002E-2</v>
          </cell>
          <cell r="N39">
            <v>1.0113553106459503</v>
          </cell>
        </row>
        <row r="40">
          <cell r="K40">
            <v>42097</v>
          </cell>
          <cell r="M40">
            <v>0</v>
          </cell>
          <cell r="N40">
            <v>1.0113553106459503</v>
          </cell>
        </row>
        <row r="41">
          <cell r="K41">
            <v>42098</v>
          </cell>
          <cell r="M41">
            <v>0</v>
          </cell>
          <cell r="N41">
            <v>1.0113553106459503</v>
          </cell>
        </row>
        <row r="42">
          <cell r="K42">
            <v>42099</v>
          </cell>
          <cell r="M42">
            <v>0</v>
          </cell>
          <cell r="N42">
            <v>1.0113553106459503</v>
          </cell>
        </row>
        <row r="43">
          <cell r="K43">
            <v>42100</v>
          </cell>
          <cell r="L43" t="str">
            <v>DIA ÚTIL</v>
          </cell>
          <cell r="M43">
            <v>4.7279000000000002E-2</v>
          </cell>
          <cell r="N43">
            <v>1.0118334693232705</v>
          </cell>
        </row>
        <row r="44">
          <cell r="K44">
            <v>42101</v>
          </cell>
          <cell r="L44" t="str">
            <v>DIA ÚTIL</v>
          </cell>
          <cell r="M44">
            <v>4.7279000000000002E-2</v>
          </cell>
          <cell r="N44">
            <v>1.0123118540692317</v>
          </cell>
        </row>
        <row r="45">
          <cell r="K45">
            <v>42102</v>
          </cell>
          <cell r="L45" t="str">
            <v>DIA ÚTIL</v>
          </cell>
          <cell r="M45">
            <v>4.7279000000000002E-2</v>
          </cell>
          <cell r="N45">
            <v>1.0127904649907171</v>
          </cell>
        </row>
        <row r="46">
          <cell r="K46">
            <v>42103</v>
          </cell>
          <cell r="L46" t="str">
            <v>DIA ÚTIL</v>
          </cell>
          <cell r="M46">
            <v>4.7279000000000002E-2</v>
          </cell>
          <cell r="N46">
            <v>1.0132693021946599</v>
          </cell>
        </row>
        <row r="47">
          <cell r="K47">
            <v>42104</v>
          </cell>
          <cell r="L47" t="str">
            <v>DIA ÚTIL</v>
          </cell>
          <cell r="M47">
            <v>4.7279000000000002E-2</v>
          </cell>
          <cell r="N47">
            <v>1.0137483657880444</v>
          </cell>
        </row>
        <row r="48">
          <cell r="K48">
            <v>42105</v>
          </cell>
          <cell r="M48">
            <v>0</v>
          </cell>
          <cell r="N48">
            <v>1.0137483657880444</v>
          </cell>
        </row>
        <row r="49">
          <cell r="K49">
            <v>42106</v>
          </cell>
          <cell r="M49">
            <v>0</v>
          </cell>
          <cell r="N49">
            <v>1.0137483657880444</v>
          </cell>
        </row>
        <row r="50">
          <cell r="K50">
            <v>42107</v>
          </cell>
          <cell r="L50" t="str">
            <v>DIA ÚTIL</v>
          </cell>
          <cell r="M50">
            <v>4.7279000000000002E-2</v>
          </cell>
          <cell r="N50">
            <v>1.0142276558779053</v>
          </cell>
        </row>
        <row r="51">
          <cell r="K51">
            <v>42108</v>
          </cell>
          <cell r="L51" t="str">
            <v>DIA ÚTIL</v>
          </cell>
          <cell r="M51">
            <v>4.7279000000000002E-2</v>
          </cell>
          <cell r="N51">
            <v>1.0147071725713277</v>
          </cell>
        </row>
        <row r="52">
          <cell r="K52">
            <v>42109</v>
          </cell>
          <cell r="L52" t="str">
            <v>DIA ÚTIL</v>
          </cell>
          <cell r="M52">
            <v>4.7279000000000002E-2</v>
          </cell>
          <cell r="N52">
            <v>1.0151869159754476</v>
          </cell>
        </row>
        <row r="53">
          <cell r="K53">
            <v>42110</v>
          </cell>
          <cell r="L53" t="str">
            <v>DIA ÚTIL</v>
          </cell>
          <cell r="M53">
            <v>4.7279000000000002E-2</v>
          </cell>
          <cell r="N53">
            <v>1.0156668861974516</v>
          </cell>
        </row>
        <row r="54">
          <cell r="K54">
            <v>42111</v>
          </cell>
          <cell r="L54" t="str">
            <v>DIA ÚTIL</v>
          </cell>
          <cell r="M54">
            <v>4.7279000000000002E-2</v>
          </cell>
          <cell r="N54">
            <v>1.0161470833445767</v>
          </cell>
        </row>
        <row r="55">
          <cell r="K55">
            <v>42112</v>
          </cell>
          <cell r="M55">
            <v>0</v>
          </cell>
          <cell r="N55">
            <v>1.0161470833445767</v>
          </cell>
        </row>
        <row r="56">
          <cell r="K56">
            <v>42113</v>
          </cell>
          <cell r="M56">
            <v>0</v>
          </cell>
          <cell r="N56">
            <v>1.0161470833445767</v>
          </cell>
        </row>
        <row r="57">
          <cell r="K57">
            <v>42114</v>
          </cell>
          <cell r="L57" t="str">
            <v>DIA ÚTIL</v>
          </cell>
          <cell r="M57">
            <v>4.7279000000000002E-2</v>
          </cell>
          <cell r="N57">
            <v>1.0166275075241111</v>
          </cell>
        </row>
        <row r="58">
          <cell r="K58">
            <v>42115</v>
          </cell>
          <cell r="M58">
            <v>0</v>
          </cell>
          <cell r="N58">
            <v>1.0166275075241111</v>
          </cell>
        </row>
        <row r="59">
          <cell r="K59">
            <v>42116</v>
          </cell>
          <cell r="L59" t="str">
            <v>DIA ÚTIL</v>
          </cell>
          <cell r="M59">
            <v>4.7279000000000002E-2</v>
          </cell>
          <cell r="N59">
            <v>1.0171081588433935</v>
          </cell>
        </row>
        <row r="60">
          <cell r="K60">
            <v>42117</v>
          </cell>
          <cell r="L60" t="str">
            <v>DIA ÚTIL</v>
          </cell>
          <cell r="M60">
            <v>4.7279000000000002E-2</v>
          </cell>
          <cell r="N60">
            <v>1.0175890374098129</v>
          </cell>
        </row>
        <row r="61">
          <cell r="K61">
            <v>42118</v>
          </cell>
          <cell r="L61" t="str">
            <v>DIA ÚTIL</v>
          </cell>
          <cell r="M61">
            <v>4.7279000000000002E-2</v>
          </cell>
          <cell r="N61">
            <v>1.0180701433308097</v>
          </cell>
        </row>
        <row r="62">
          <cell r="K62">
            <v>42119</v>
          </cell>
          <cell r="M62">
            <v>0</v>
          </cell>
          <cell r="N62">
            <v>1.0180701433308097</v>
          </cell>
        </row>
        <row r="63">
          <cell r="K63">
            <v>42120</v>
          </cell>
          <cell r="M63">
            <v>0</v>
          </cell>
          <cell r="N63">
            <v>1.0180701433308097</v>
          </cell>
        </row>
        <row r="64">
          <cell r="K64">
            <v>42121</v>
          </cell>
          <cell r="L64" t="str">
            <v>DIA ÚTIL</v>
          </cell>
          <cell r="M64">
            <v>4.7314000000000002E-2</v>
          </cell>
          <cell r="N64">
            <v>1.0185518330384251</v>
          </cell>
        </row>
        <row r="65">
          <cell r="K65">
            <v>42122</v>
          </cell>
          <cell r="L65" t="str">
            <v>DIA ÚTIL</v>
          </cell>
          <cell r="M65">
            <v>4.7350000000000003E-2</v>
          </cell>
          <cell r="N65">
            <v>1.0190341173313688</v>
          </cell>
        </row>
        <row r="66">
          <cell r="K66">
            <v>42123</v>
          </cell>
          <cell r="L66" t="str">
            <v>DIA ÚTIL</v>
          </cell>
          <cell r="M66">
            <v>4.7350000000000003E-2</v>
          </cell>
          <cell r="N66">
            <v>1.0195166299859253</v>
          </cell>
        </row>
        <row r="67">
          <cell r="K67">
            <v>42124</v>
          </cell>
          <cell r="L67" t="str">
            <v>DIA ÚTIL</v>
          </cell>
          <cell r="M67">
            <v>4.9036999999999997E-2</v>
          </cell>
          <cell r="N67">
            <v>1.0200165703557715</v>
          </cell>
        </row>
        <row r="68">
          <cell r="K68">
            <v>42125</v>
          </cell>
          <cell r="M68">
            <v>0</v>
          </cell>
          <cell r="N68">
            <v>1.0200165703557715</v>
          </cell>
        </row>
        <row r="69">
          <cell r="K69">
            <v>42126</v>
          </cell>
          <cell r="M69">
            <v>0</v>
          </cell>
          <cell r="N69">
            <v>1.0200165703557715</v>
          </cell>
        </row>
        <row r="70">
          <cell r="K70">
            <v>42127</v>
          </cell>
          <cell r="M70">
            <v>0</v>
          </cell>
          <cell r="N70">
            <v>1.0200165703557715</v>
          </cell>
        </row>
        <row r="71">
          <cell r="K71">
            <v>42128</v>
          </cell>
          <cell r="L71" t="str">
            <v>DIA ÚTIL</v>
          </cell>
          <cell r="M71">
            <v>4.9036999999999997E-2</v>
          </cell>
          <cell r="N71">
            <v>1.020516755881377</v>
          </cell>
        </row>
        <row r="72">
          <cell r="K72">
            <v>42129</v>
          </cell>
          <cell r="L72" t="str">
            <v>DIA ÚTIL</v>
          </cell>
          <cell r="M72">
            <v>4.9036999999999997E-2</v>
          </cell>
          <cell r="N72">
            <v>1.0210171866829587</v>
          </cell>
        </row>
        <row r="73">
          <cell r="K73">
            <v>42130</v>
          </cell>
          <cell r="L73" t="str">
            <v>DIA ÚTIL</v>
          </cell>
          <cell r="M73">
            <v>4.9036999999999997E-2</v>
          </cell>
          <cell r="N73">
            <v>1.0215178628807926</v>
          </cell>
        </row>
        <row r="74">
          <cell r="K74">
            <v>42131</v>
          </cell>
          <cell r="L74" t="str">
            <v>DIA ÚTIL</v>
          </cell>
          <cell r="M74">
            <v>4.9036999999999997E-2</v>
          </cell>
          <cell r="N74">
            <v>1.0220187845952136</v>
          </cell>
        </row>
        <row r="75">
          <cell r="K75">
            <v>42132</v>
          </cell>
          <cell r="L75" t="str">
            <v>DIA ÚTIL</v>
          </cell>
          <cell r="M75">
            <v>4.9036999999999997E-2</v>
          </cell>
          <cell r="N75">
            <v>1.0225199519466155</v>
          </cell>
        </row>
        <row r="76">
          <cell r="K76">
            <v>42133</v>
          </cell>
          <cell r="M76">
            <v>0</v>
          </cell>
          <cell r="N76">
            <v>1.0225199519466155</v>
          </cell>
        </row>
        <row r="77">
          <cell r="K77">
            <v>42134</v>
          </cell>
          <cell r="M77">
            <v>0</v>
          </cell>
          <cell r="N77">
            <v>1.0225199519466155</v>
          </cell>
        </row>
        <row r="78">
          <cell r="K78">
            <v>42135</v>
          </cell>
          <cell r="L78" t="str">
            <v>DIA ÚTIL</v>
          </cell>
          <cell r="M78">
            <v>4.9036999999999997E-2</v>
          </cell>
          <cell r="N78">
            <v>1.0230213650554516</v>
          </cell>
        </row>
        <row r="79">
          <cell r="K79">
            <v>42136</v>
          </cell>
          <cell r="L79" t="str">
            <v>DIA ÚTIL</v>
          </cell>
          <cell r="M79">
            <v>4.9036999999999997E-2</v>
          </cell>
          <cell r="N79">
            <v>1.0235230240422339</v>
          </cell>
        </row>
        <row r="80">
          <cell r="K80">
            <v>42137</v>
          </cell>
          <cell r="L80" t="str">
            <v>DIA ÚTIL</v>
          </cell>
          <cell r="M80">
            <v>4.9036999999999997E-2</v>
          </cell>
          <cell r="N80">
            <v>1.0240249290275336</v>
          </cell>
        </row>
        <row r="81">
          <cell r="K81">
            <v>42138</v>
          </cell>
          <cell r="L81" t="str">
            <v>DIA ÚTIL</v>
          </cell>
          <cell r="M81">
            <v>4.9036999999999997E-2</v>
          </cell>
          <cell r="N81">
            <v>1.024527080131981</v>
          </cell>
        </row>
        <row r="82">
          <cell r="K82">
            <v>42139</v>
          </cell>
          <cell r="L82" t="str">
            <v>DIA ÚTIL</v>
          </cell>
          <cell r="M82">
            <v>4.9036999999999997E-2</v>
          </cell>
          <cell r="N82">
            <v>1.0250294774762654</v>
          </cell>
        </row>
        <row r="83">
          <cell r="K83">
            <v>42140</v>
          </cell>
          <cell r="M83">
            <v>0</v>
          </cell>
          <cell r="N83">
            <v>1.0250294774762654</v>
          </cell>
        </row>
        <row r="84">
          <cell r="K84">
            <v>42141</v>
          </cell>
          <cell r="M84">
            <v>0</v>
          </cell>
          <cell r="N84">
            <v>1.0250294774762654</v>
          </cell>
        </row>
        <row r="85">
          <cell r="K85">
            <v>42142</v>
          </cell>
          <cell r="L85" t="str">
            <v>DIA ÚTIL</v>
          </cell>
          <cell r="M85">
            <v>4.9036999999999997E-2</v>
          </cell>
          <cell r="N85">
            <v>1.0255321211811355</v>
          </cell>
        </row>
        <row r="86">
          <cell r="K86">
            <v>42143</v>
          </cell>
          <cell r="L86" t="str">
            <v>DIA ÚTIL</v>
          </cell>
          <cell r="M86">
            <v>4.9036999999999997E-2</v>
          </cell>
          <cell r="N86">
            <v>1.0260350113673991</v>
          </cell>
        </row>
        <row r="87">
          <cell r="K87">
            <v>42144</v>
          </cell>
          <cell r="L87" t="str">
            <v>DIA ÚTIL</v>
          </cell>
          <cell r="M87">
            <v>4.9036999999999997E-2</v>
          </cell>
          <cell r="N87">
            <v>1.0265381481559233</v>
          </cell>
        </row>
        <row r="88">
          <cell r="K88">
            <v>42145</v>
          </cell>
          <cell r="L88" t="str">
            <v>DIA ÚTIL</v>
          </cell>
          <cell r="M88">
            <v>4.9036999999999997E-2</v>
          </cell>
          <cell r="N88">
            <v>1.0270415316676345</v>
          </cell>
        </row>
        <row r="89">
          <cell r="K89">
            <v>42146</v>
          </cell>
          <cell r="L89" t="str">
            <v>DIA ÚTIL</v>
          </cell>
          <cell r="M89">
            <v>4.9036999999999997E-2</v>
          </cell>
          <cell r="N89">
            <v>1.0275451620235183</v>
          </cell>
        </row>
        <row r="90">
          <cell r="K90">
            <v>42147</v>
          </cell>
          <cell r="M90">
            <v>0</v>
          </cell>
          <cell r="N90">
            <v>1.0275451620235183</v>
          </cell>
        </row>
        <row r="91">
          <cell r="K91">
            <v>42148</v>
          </cell>
          <cell r="M91">
            <v>0</v>
          </cell>
          <cell r="N91">
            <v>1.0275451620235183</v>
          </cell>
        </row>
        <row r="92">
          <cell r="K92">
            <v>42149</v>
          </cell>
          <cell r="L92" t="str">
            <v>DIA ÚTIL</v>
          </cell>
          <cell r="M92">
            <v>4.9036999999999997E-2</v>
          </cell>
          <cell r="N92">
            <v>1.0280490393446198</v>
          </cell>
        </row>
        <row r="93">
          <cell r="K93">
            <v>42150</v>
          </cell>
          <cell r="L93" t="str">
            <v>DIA ÚTIL</v>
          </cell>
          <cell r="M93">
            <v>4.9036999999999997E-2</v>
          </cell>
          <cell r="N93">
            <v>1.0285531637520433</v>
          </cell>
        </row>
        <row r="94">
          <cell r="K94">
            <v>42151</v>
          </cell>
          <cell r="L94" t="str">
            <v>DIA ÚTIL</v>
          </cell>
          <cell r="M94">
            <v>4.9036999999999997E-2</v>
          </cell>
          <cell r="N94">
            <v>1.0290575353669524</v>
          </cell>
        </row>
        <row r="95">
          <cell r="K95">
            <v>42152</v>
          </cell>
          <cell r="L95" t="str">
            <v>DIA ÚTIL</v>
          </cell>
          <cell r="M95">
            <v>4.9036999999999997E-2</v>
          </cell>
          <cell r="N95">
            <v>1.0295621543105704</v>
          </cell>
        </row>
        <row r="96">
          <cell r="K96">
            <v>42153</v>
          </cell>
          <cell r="L96" t="str">
            <v>DIA ÚTIL</v>
          </cell>
          <cell r="M96">
            <v>4.9036999999999997E-2</v>
          </cell>
          <cell r="N96">
            <v>1.0300670207041798</v>
          </cell>
        </row>
        <row r="97">
          <cell r="K97">
            <v>42154</v>
          </cell>
          <cell r="M97">
            <v>0</v>
          </cell>
          <cell r="N97">
            <v>1.0300670207041798</v>
          </cell>
        </row>
        <row r="98">
          <cell r="K98">
            <v>42155</v>
          </cell>
          <cell r="M98">
            <v>0</v>
          </cell>
          <cell r="N98">
            <v>1.0300670207041798</v>
          </cell>
        </row>
        <row r="99">
          <cell r="K99">
            <v>42156</v>
          </cell>
          <cell r="L99" t="str">
            <v>DIA ÚTIL</v>
          </cell>
          <cell r="M99">
            <v>4.9036999999999997E-2</v>
          </cell>
          <cell r="N99">
            <v>1.0305721346691226</v>
          </cell>
        </row>
        <row r="100">
          <cell r="K100">
            <v>42157</v>
          </cell>
          <cell r="L100" t="str">
            <v>DIA ÚTIL</v>
          </cell>
          <cell r="M100">
            <v>4.9036999999999997E-2</v>
          </cell>
          <cell r="N100">
            <v>1.0310774963268003</v>
          </cell>
        </row>
        <row r="101">
          <cell r="K101">
            <v>42158</v>
          </cell>
          <cell r="L101" t="str">
            <v>DIA ÚTIL</v>
          </cell>
          <cell r="M101">
            <v>4.9036999999999997E-2</v>
          </cell>
          <cell r="N101">
            <v>1.0315831057986742</v>
          </cell>
        </row>
        <row r="102">
          <cell r="K102">
            <v>42159</v>
          </cell>
          <cell r="M102">
            <v>0</v>
          </cell>
          <cell r="N102">
            <v>1.0315831057986742</v>
          </cell>
        </row>
        <row r="103">
          <cell r="K103">
            <v>42160</v>
          </cell>
          <cell r="L103" t="str">
            <v>DIA ÚTIL</v>
          </cell>
          <cell r="M103">
            <v>5.0788E-2</v>
          </cell>
          <cell r="N103">
            <v>1.0321070262264471</v>
          </cell>
        </row>
        <row r="104">
          <cell r="K104">
            <v>42161</v>
          </cell>
          <cell r="M104">
            <v>0</v>
          </cell>
          <cell r="N104">
            <v>1.0321070262264471</v>
          </cell>
        </row>
        <row r="105">
          <cell r="K105">
            <v>42162</v>
          </cell>
          <cell r="M105">
            <v>0</v>
          </cell>
          <cell r="N105">
            <v>1.0321070262264471</v>
          </cell>
        </row>
        <row r="106">
          <cell r="K106">
            <v>42163</v>
          </cell>
          <cell r="L106" t="str">
            <v>DIA ÚTIL</v>
          </cell>
          <cell r="M106">
            <v>5.0788E-2</v>
          </cell>
          <cell r="N106">
            <v>1.0326312127429271</v>
          </cell>
        </row>
        <row r="107">
          <cell r="K107">
            <v>42164</v>
          </cell>
          <cell r="L107" t="str">
            <v>DIA ÚTIL</v>
          </cell>
          <cell r="M107">
            <v>5.0788E-2</v>
          </cell>
          <cell r="N107">
            <v>1.033155665483255</v>
          </cell>
        </row>
        <row r="108">
          <cell r="K108">
            <v>42165</v>
          </cell>
          <cell r="L108" t="str">
            <v>DIA ÚTIL</v>
          </cell>
          <cell r="M108">
            <v>5.0788E-2</v>
          </cell>
          <cell r="N108">
            <v>1.0336803845826406</v>
          </cell>
        </row>
        <row r="109">
          <cell r="K109">
            <v>42166</v>
          </cell>
          <cell r="L109" t="str">
            <v>DIA ÚTIL</v>
          </cell>
          <cell r="M109">
            <v>5.0788E-2</v>
          </cell>
          <cell r="N109">
            <v>1.0342053701763625</v>
          </cell>
        </row>
        <row r="110">
          <cell r="K110">
            <v>42167</v>
          </cell>
          <cell r="L110" t="str">
            <v>DIA ÚTIL</v>
          </cell>
          <cell r="M110">
            <v>5.0788E-2</v>
          </cell>
          <cell r="N110">
            <v>1.0347306223997677</v>
          </cell>
        </row>
        <row r="111">
          <cell r="K111">
            <v>42168</v>
          </cell>
          <cell r="M111">
            <v>0</v>
          </cell>
          <cell r="N111">
            <v>1.0347306223997677</v>
          </cell>
        </row>
        <row r="112">
          <cell r="K112">
            <v>42169</v>
          </cell>
          <cell r="M112">
            <v>0</v>
          </cell>
          <cell r="N112">
            <v>1.0347306223997677</v>
          </cell>
        </row>
        <row r="113">
          <cell r="K113">
            <v>42170</v>
          </cell>
          <cell r="L113" t="str">
            <v>DIA ÚTIL</v>
          </cell>
          <cell r="M113">
            <v>5.0788E-2</v>
          </cell>
          <cell r="N113">
            <v>1.0352561413882722</v>
          </cell>
        </row>
        <row r="114">
          <cell r="K114">
            <v>42171</v>
          </cell>
          <cell r="L114" t="str">
            <v>DIA ÚTIL</v>
          </cell>
          <cell r="M114">
            <v>5.0788E-2</v>
          </cell>
          <cell r="N114">
            <v>1.0357819272773605</v>
          </cell>
        </row>
        <row r="115">
          <cell r="K115">
            <v>42172</v>
          </cell>
          <cell r="L115" t="str">
            <v>DIA ÚTIL</v>
          </cell>
          <cell r="M115">
            <v>5.0788E-2</v>
          </cell>
          <cell r="N115">
            <v>1.0363079802025861</v>
          </cell>
        </row>
        <row r="116">
          <cell r="K116">
            <v>42173</v>
          </cell>
          <cell r="L116" t="str">
            <v>DIA ÚTIL</v>
          </cell>
          <cell r="M116">
            <v>5.0788E-2</v>
          </cell>
          <cell r="N116">
            <v>1.0368343002995715</v>
          </cell>
        </row>
        <row r="117">
          <cell r="K117">
            <v>42174</v>
          </cell>
          <cell r="L117" t="str">
            <v>DIA ÚTIL</v>
          </cell>
          <cell r="M117">
            <v>5.0788E-2</v>
          </cell>
          <cell r="N117">
            <v>1.0373608877040077</v>
          </cell>
        </row>
        <row r="118">
          <cell r="K118">
            <v>42175</v>
          </cell>
          <cell r="M118">
            <v>0</v>
          </cell>
          <cell r="N118">
            <v>1.0373608877040077</v>
          </cell>
        </row>
        <row r="119">
          <cell r="K119">
            <v>42176</v>
          </cell>
          <cell r="M119">
            <v>0</v>
          </cell>
          <cell r="N119">
            <v>1.0373608877040077</v>
          </cell>
        </row>
        <row r="120">
          <cell r="K120">
            <v>42177</v>
          </cell>
          <cell r="L120" t="str">
            <v>DIA ÚTIL</v>
          </cell>
          <cell r="M120">
            <v>5.0788E-2</v>
          </cell>
          <cell r="N120">
            <v>1.0378877425516548</v>
          </cell>
        </row>
        <row r="121">
          <cell r="K121">
            <v>42178</v>
          </cell>
          <cell r="L121" t="str">
            <v>DIA ÚTIL</v>
          </cell>
          <cell r="M121">
            <v>5.0788E-2</v>
          </cell>
          <cell r="N121">
            <v>1.038414864978342</v>
          </cell>
        </row>
        <row r="122">
          <cell r="K122">
            <v>42179</v>
          </cell>
          <cell r="L122" t="str">
            <v>DIA ÚTIL</v>
          </cell>
          <cell r="M122">
            <v>5.0788E-2</v>
          </cell>
          <cell r="N122">
            <v>1.0389422551199672</v>
          </cell>
        </row>
        <row r="123">
          <cell r="K123">
            <v>42180</v>
          </cell>
          <cell r="L123" t="str">
            <v>DIA ÚTIL</v>
          </cell>
          <cell r="M123">
            <v>5.0788E-2</v>
          </cell>
          <cell r="N123">
            <v>1.0394699131124976</v>
          </cell>
        </row>
        <row r="124">
          <cell r="K124">
            <v>42181</v>
          </cell>
          <cell r="L124" t="str">
            <v>DIA ÚTIL</v>
          </cell>
          <cell r="M124">
            <v>5.0788E-2</v>
          </cell>
          <cell r="N124">
            <v>1.0399978390919691</v>
          </cell>
        </row>
        <row r="125">
          <cell r="K125">
            <v>42182</v>
          </cell>
          <cell r="M125">
            <v>0</v>
          </cell>
          <cell r="N125">
            <v>1.0399978390919691</v>
          </cell>
        </row>
        <row r="126">
          <cell r="K126">
            <v>42183</v>
          </cell>
          <cell r="M126">
            <v>0</v>
          </cell>
          <cell r="N126">
            <v>1.0399978390919691</v>
          </cell>
        </row>
        <row r="127">
          <cell r="K127">
            <v>42184</v>
          </cell>
          <cell r="L127" t="str">
            <v>DIA ÚTIL</v>
          </cell>
          <cell r="M127">
            <v>5.0788E-2</v>
          </cell>
          <cell r="N127">
            <v>1.0405260331944872</v>
          </cell>
        </row>
        <row r="128">
          <cell r="K128">
            <v>42185</v>
          </cell>
          <cell r="L128" t="str">
            <v>DIA ÚTIL</v>
          </cell>
          <cell r="M128">
            <v>5.0788E-2</v>
          </cell>
          <cell r="N128">
            <v>1.041054495556226</v>
          </cell>
        </row>
        <row r="129">
          <cell r="K129">
            <v>42186</v>
          </cell>
          <cell r="L129" t="str">
            <v>DIA ÚTIL</v>
          </cell>
          <cell r="M129">
            <v>5.0788E-2</v>
          </cell>
          <cell r="N129">
            <v>1.041583226313429</v>
          </cell>
        </row>
        <row r="130">
          <cell r="K130">
            <v>42187</v>
          </cell>
          <cell r="L130" t="str">
            <v>DIA ÚTIL</v>
          </cell>
          <cell r="M130">
            <v>5.0788E-2</v>
          </cell>
          <cell r="N130">
            <v>1.0421122256024091</v>
          </cell>
        </row>
        <row r="131">
          <cell r="K131">
            <v>42188</v>
          </cell>
          <cell r="L131" t="str">
            <v>DIA ÚTIL</v>
          </cell>
          <cell r="M131">
            <v>5.0788E-2</v>
          </cell>
          <cell r="N131">
            <v>1.042641493559548</v>
          </cell>
        </row>
        <row r="132">
          <cell r="K132">
            <v>42189</v>
          </cell>
          <cell r="M132">
            <v>0</v>
          </cell>
          <cell r="N132">
            <v>1.042641493559548</v>
          </cell>
        </row>
        <row r="133">
          <cell r="K133">
            <v>42190</v>
          </cell>
          <cell r="M133">
            <v>0</v>
          </cell>
          <cell r="N133">
            <v>1.042641493559548</v>
          </cell>
        </row>
        <row r="134">
          <cell r="K134">
            <v>42191</v>
          </cell>
          <cell r="L134" t="str">
            <v>DIA ÚTIL</v>
          </cell>
          <cell r="M134">
            <v>5.0788E-2</v>
          </cell>
          <cell r="N134">
            <v>1.0431710303212971</v>
          </cell>
        </row>
        <row r="135">
          <cell r="K135">
            <v>42192</v>
          </cell>
          <cell r="L135" t="str">
            <v>DIA ÚTIL</v>
          </cell>
          <cell r="M135">
            <v>5.0788E-2</v>
          </cell>
          <cell r="N135">
            <v>1.0437008360241766</v>
          </cell>
        </row>
        <row r="136">
          <cell r="K136">
            <v>42193</v>
          </cell>
          <cell r="L136" t="str">
            <v>DIA ÚTIL</v>
          </cell>
          <cell r="M136">
            <v>5.0788E-2</v>
          </cell>
          <cell r="N136">
            <v>1.0442309108047767</v>
          </cell>
        </row>
        <row r="137">
          <cell r="K137">
            <v>42194</v>
          </cell>
          <cell r="L137" t="str">
            <v>DIA ÚTIL</v>
          </cell>
          <cell r="M137">
            <v>5.0788E-2</v>
          </cell>
          <cell r="N137">
            <v>1.0447612547997562</v>
          </cell>
        </row>
        <row r="138">
          <cell r="K138">
            <v>42195</v>
          </cell>
          <cell r="L138" t="str">
            <v>DIA ÚTIL</v>
          </cell>
          <cell r="M138">
            <v>5.0788E-2</v>
          </cell>
          <cell r="N138">
            <v>1.0452918681458438</v>
          </cell>
        </row>
        <row r="139">
          <cell r="K139">
            <v>42196</v>
          </cell>
          <cell r="M139">
            <v>0</v>
          </cell>
          <cell r="N139">
            <v>1.0452918681458438</v>
          </cell>
        </row>
        <row r="140">
          <cell r="K140">
            <v>42197</v>
          </cell>
          <cell r="M140">
            <v>0</v>
          </cell>
          <cell r="N140">
            <v>1.0452918681458438</v>
          </cell>
        </row>
        <row r="141">
          <cell r="K141">
            <v>42198</v>
          </cell>
          <cell r="L141" t="str">
            <v>DIA ÚTIL</v>
          </cell>
          <cell r="M141">
            <v>5.0788E-2</v>
          </cell>
          <cell r="N141">
            <v>1.0458227509798377</v>
          </cell>
        </row>
        <row r="142">
          <cell r="K142">
            <v>42199</v>
          </cell>
          <cell r="L142" t="str">
            <v>DIA ÚTIL</v>
          </cell>
          <cell r="M142">
            <v>5.0788E-2</v>
          </cell>
          <cell r="N142">
            <v>1.0463539034386053</v>
          </cell>
        </row>
        <row r="143">
          <cell r="K143">
            <v>42200</v>
          </cell>
          <cell r="L143" t="str">
            <v>DIA ÚTIL</v>
          </cell>
          <cell r="M143">
            <v>5.0788E-2</v>
          </cell>
          <cell r="N143">
            <v>1.0468853256590838</v>
          </cell>
        </row>
        <row r="144">
          <cell r="K144">
            <v>42201</v>
          </cell>
          <cell r="L144" t="str">
            <v>DIA ÚTIL</v>
          </cell>
          <cell r="M144">
            <v>5.0788E-2</v>
          </cell>
          <cell r="N144">
            <v>1.0474170177782796</v>
          </cell>
        </row>
        <row r="145">
          <cell r="K145">
            <v>42202</v>
          </cell>
          <cell r="L145" t="str">
            <v>DIA ÚTIL</v>
          </cell>
          <cell r="M145">
            <v>5.0788E-2</v>
          </cell>
          <cell r="N145">
            <v>1.0479489799332689</v>
          </cell>
        </row>
        <row r="146">
          <cell r="K146">
            <v>42203</v>
          </cell>
          <cell r="M146">
            <v>0</v>
          </cell>
          <cell r="N146">
            <v>1.0479489799332689</v>
          </cell>
        </row>
        <row r="147">
          <cell r="K147">
            <v>42204</v>
          </cell>
          <cell r="M147">
            <v>0</v>
          </cell>
          <cell r="N147">
            <v>1.0479489799332689</v>
          </cell>
        </row>
        <row r="148">
          <cell r="K148">
            <v>42205</v>
          </cell>
          <cell r="L148" t="str">
            <v>DIA ÚTIL</v>
          </cell>
          <cell r="M148">
            <v>5.0788E-2</v>
          </cell>
          <cell r="N148">
            <v>1.0484812122611973</v>
          </cell>
        </row>
        <row r="149">
          <cell r="K149">
            <v>42206</v>
          </cell>
          <cell r="L149" t="str">
            <v>DIA ÚTIL</v>
          </cell>
          <cell r="M149">
            <v>5.0788E-2</v>
          </cell>
          <cell r="N149">
            <v>1.0490137148992804</v>
          </cell>
        </row>
        <row r="150">
          <cell r="K150">
            <v>42207</v>
          </cell>
          <cell r="L150" t="str">
            <v>DIA ÚTIL</v>
          </cell>
          <cell r="M150">
            <v>5.0788E-2</v>
          </cell>
          <cell r="N150">
            <v>1.0495464879848035</v>
          </cell>
        </row>
        <row r="151">
          <cell r="K151">
            <v>42208</v>
          </cell>
          <cell r="L151" t="str">
            <v>DIA ÚTIL</v>
          </cell>
          <cell r="M151">
            <v>5.0788E-2</v>
          </cell>
          <cell r="N151">
            <v>1.0500795316551212</v>
          </cell>
        </row>
        <row r="152">
          <cell r="K152">
            <v>42209</v>
          </cell>
          <cell r="L152" t="str">
            <v>DIA ÚTIL</v>
          </cell>
          <cell r="M152">
            <v>5.0788E-2</v>
          </cell>
          <cell r="N152">
            <v>1.0506128460476583</v>
          </cell>
        </row>
        <row r="153">
          <cell r="K153">
            <v>42210</v>
          </cell>
          <cell r="M153">
            <v>0</v>
          </cell>
          <cell r="N153">
            <v>1.0506128460476583</v>
          </cell>
        </row>
        <row r="154">
          <cell r="K154">
            <v>42211</v>
          </cell>
          <cell r="M154">
            <v>0</v>
          </cell>
          <cell r="N154">
            <v>1.0506128460476583</v>
          </cell>
        </row>
        <row r="155">
          <cell r="K155">
            <v>42212</v>
          </cell>
          <cell r="L155" t="str">
            <v>DIA ÚTIL</v>
          </cell>
          <cell r="M155">
            <v>5.0788E-2</v>
          </cell>
          <cell r="N155">
            <v>1.051146431299909</v>
          </cell>
        </row>
        <row r="156">
          <cell r="K156">
            <v>42213</v>
          </cell>
          <cell r="L156" t="str">
            <v>DIA ÚTIL</v>
          </cell>
          <cell r="M156">
            <v>5.0788E-2</v>
          </cell>
          <cell r="N156">
            <v>1.0516802875494375</v>
          </cell>
        </row>
        <row r="157">
          <cell r="K157">
            <v>42214</v>
          </cell>
          <cell r="L157" t="str">
            <v>DIA ÚTIL</v>
          </cell>
          <cell r="M157">
            <v>5.0788E-2</v>
          </cell>
          <cell r="N157">
            <v>1.0522144149338781</v>
          </cell>
        </row>
        <row r="158">
          <cell r="K158">
            <v>42215</v>
          </cell>
          <cell r="L158" t="str">
            <v>DIA ÚTIL</v>
          </cell>
          <cell r="M158">
            <v>5.2531000000000001E-2</v>
          </cell>
          <cell r="N158">
            <v>1.0527671536881871</v>
          </cell>
        </row>
        <row r="159">
          <cell r="K159">
            <v>42216</v>
          </cell>
          <cell r="L159" t="str">
            <v>DIA ÚTIL</v>
          </cell>
          <cell r="M159">
            <v>5.2531000000000001E-2</v>
          </cell>
          <cell r="N159">
            <v>1.0533201828016909</v>
          </cell>
        </row>
        <row r="160">
          <cell r="K160">
            <v>42217</v>
          </cell>
          <cell r="M160">
            <v>0</v>
          </cell>
          <cell r="N160">
            <v>1.0533201828016909</v>
          </cell>
        </row>
        <row r="161">
          <cell r="K161">
            <v>42218</v>
          </cell>
          <cell r="M161">
            <v>0</v>
          </cell>
          <cell r="N161">
            <v>1.0533201828016909</v>
          </cell>
        </row>
        <row r="162">
          <cell r="K162">
            <v>42219</v>
          </cell>
          <cell r="L162" t="str">
            <v>DIA ÚTIL</v>
          </cell>
          <cell r="M162">
            <v>5.2531000000000001E-2</v>
          </cell>
          <cell r="N162">
            <v>1.0538735024269186</v>
          </cell>
        </row>
        <row r="163">
          <cell r="K163">
            <v>42220</v>
          </cell>
          <cell r="L163" t="str">
            <v>DIA ÚTIL</v>
          </cell>
          <cell r="M163">
            <v>5.2531000000000001E-2</v>
          </cell>
          <cell r="N163">
            <v>1.0544271127164784</v>
          </cell>
        </row>
        <row r="164">
          <cell r="K164">
            <v>42221</v>
          </cell>
          <cell r="L164" t="str">
            <v>DIA ÚTIL</v>
          </cell>
          <cell r="M164">
            <v>5.2531000000000001E-2</v>
          </cell>
          <cell r="N164">
            <v>1.0549810138230595</v>
          </cell>
        </row>
        <row r="165">
          <cell r="K165">
            <v>42222</v>
          </cell>
          <cell r="L165" t="str">
            <v>DIA ÚTIL</v>
          </cell>
          <cell r="M165">
            <v>5.2531000000000001E-2</v>
          </cell>
          <cell r="N165">
            <v>1.055535205899431</v>
          </cell>
        </row>
        <row r="166">
          <cell r="K166">
            <v>42223</v>
          </cell>
          <cell r="L166" t="str">
            <v>DIA ÚTIL</v>
          </cell>
          <cell r="M166">
            <v>5.2531000000000001E-2</v>
          </cell>
          <cell r="N166">
            <v>1.0560896890984419</v>
          </cell>
        </row>
        <row r="167">
          <cell r="K167">
            <v>42224</v>
          </cell>
          <cell r="M167">
            <v>0</v>
          </cell>
          <cell r="N167">
            <v>1.0560896890984419</v>
          </cell>
        </row>
        <row r="168">
          <cell r="K168">
            <v>42225</v>
          </cell>
          <cell r="M168">
            <v>0</v>
          </cell>
          <cell r="N168">
            <v>1.0560896890984419</v>
          </cell>
        </row>
        <row r="169">
          <cell r="K169">
            <v>42226</v>
          </cell>
          <cell r="L169" t="str">
            <v>DIA ÚTIL</v>
          </cell>
          <cell r="M169">
            <v>5.2531000000000001E-2</v>
          </cell>
          <cell r="N169">
            <v>1.0566444635730223</v>
          </cell>
        </row>
        <row r="170">
          <cell r="K170">
            <v>42227</v>
          </cell>
          <cell r="L170" t="str">
            <v>DIA ÚTIL</v>
          </cell>
          <cell r="M170">
            <v>5.2531000000000001E-2</v>
          </cell>
          <cell r="N170">
            <v>1.0571995294761818</v>
          </cell>
        </row>
        <row r="171">
          <cell r="K171">
            <v>42228</v>
          </cell>
          <cell r="L171" t="str">
            <v>DIA ÚTIL</v>
          </cell>
          <cell r="M171">
            <v>5.2531000000000001E-2</v>
          </cell>
          <cell r="N171">
            <v>1.0577548869610109</v>
          </cell>
        </row>
        <row r="172">
          <cell r="K172">
            <v>42229</v>
          </cell>
          <cell r="L172" t="str">
            <v>DIA ÚTIL</v>
          </cell>
          <cell r="M172">
            <v>5.2531000000000001E-2</v>
          </cell>
          <cell r="N172">
            <v>1.0583105361806804</v>
          </cell>
        </row>
        <row r="173">
          <cell r="K173">
            <v>42230</v>
          </cell>
          <cell r="L173" t="str">
            <v>DIA ÚTIL</v>
          </cell>
          <cell r="M173">
            <v>5.2531000000000001E-2</v>
          </cell>
          <cell r="N173">
            <v>1.0588664772884415</v>
          </cell>
        </row>
        <row r="174">
          <cell r="K174">
            <v>42231</v>
          </cell>
          <cell r="M174">
            <v>0</v>
          </cell>
          <cell r="N174">
            <v>1.0588664772884415</v>
          </cell>
        </row>
        <row r="175">
          <cell r="K175">
            <v>42232</v>
          </cell>
          <cell r="M175">
            <v>0</v>
          </cell>
          <cell r="N175">
            <v>1.0588664772884415</v>
          </cell>
        </row>
        <row r="176">
          <cell r="K176">
            <v>42233</v>
          </cell>
          <cell r="L176" t="str">
            <v>DIA ÚTIL</v>
          </cell>
          <cell r="M176">
            <v>5.2531000000000001E-2</v>
          </cell>
          <cell r="N176">
            <v>1.0594227104376259</v>
          </cell>
        </row>
        <row r="177">
          <cell r="K177">
            <v>42234</v>
          </cell>
          <cell r="L177" t="str">
            <v>DIA ÚTIL</v>
          </cell>
          <cell r="M177">
            <v>5.2531000000000001E-2</v>
          </cell>
          <cell r="N177">
            <v>1.059979235781646</v>
          </cell>
        </row>
        <row r="178">
          <cell r="K178">
            <v>42235</v>
          </cell>
          <cell r="L178" t="str">
            <v>DIA ÚTIL</v>
          </cell>
          <cell r="M178">
            <v>5.2531000000000001E-2</v>
          </cell>
          <cell r="N178">
            <v>1.0605360534739945</v>
          </cell>
        </row>
        <row r="179">
          <cell r="K179">
            <v>42236</v>
          </cell>
          <cell r="L179" t="str">
            <v>DIA ÚTIL</v>
          </cell>
          <cell r="M179">
            <v>5.2531000000000001E-2</v>
          </cell>
          <cell r="N179">
            <v>1.061093163668245</v>
          </cell>
        </row>
        <row r="180">
          <cell r="K180">
            <v>42237</v>
          </cell>
          <cell r="L180" t="str">
            <v>DIA ÚTIL</v>
          </cell>
          <cell r="M180">
            <v>5.2531000000000001E-2</v>
          </cell>
          <cell r="N180">
            <v>1.0616505665180516</v>
          </cell>
        </row>
        <row r="181">
          <cell r="K181">
            <v>42238</v>
          </cell>
          <cell r="M181">
            <v>0</v>
          </cell>
          <cell r="N181">
            <v>1.0616505665180516</v>
          </cell>
        </row>
        <row r="182">
          <cell r="K182">
            <v>42239</v>
          </cell>
          <cell r="M182">
            <v>0</v>
          </cell>
          <cell r="N182">
            <v>1.0616505665180516</v>
          </cell>
        </row>
        <row r="183">
          <cell r="K183">
            <v>42240</v>
          </cell>
          <cell r="L183" t="str">
            <v>DIA ÚTIL</v>
          </cell>
          <cell r="M183">
            <v>5.2531000000000001E-2</v>
          </cell>
          <cell r="N183">
            <v>1.0622082621771491</v>
          </cell>
        </row>
        <row r="184">
          <cell r="K184">
            <v>42241</v>
          </cell>
          <cell r="L184" t="str">
            <v>DIA ÚTIL</v>
          </cell>
          <cell r="M184">
            <v>5.2531000000000001E-2</v>
          </cell>
          <cell r="N184">
            <v>1.0627662507993534</v>
          </cell>
        </row>
        <row r="185">
          <cell r="K185">
            <v>42242</v>
          </cell>
          <cell r="L185" t="str">
            <v>DIA ÚTIL</v>
          </cell>
          <cell r="M185">
            <v>5.2531000000000001E-2</v>
          </cell>
          <cell r="N185">
            <v>1.0633245325385607</v>
          </cell>
        </row>
        <row r="186">
          <cell r="K186">
            <v>42243</v>
          </cell>
          <cell r="L186" t="str">
            <v>DIA ÚTIL</v>
          </cell>
          <cell r="M186">
            <v>5.2531000000000001E-2</v>
          </cell>
          <cell r="N186">
            <v>1.0638831075487485</v>
          </cell>
        </row>
        <row r="187">
          <cell r="K187">
            <v>42244</v>
          </cell>
          <cell r="L187" t="str">
            <v>DIA ÚTIL</v>
          </cell>
          <cell r="M187">
            <v>5.2531000000000001E-2</v>
          </cell>
          <cell r="N187">
            <v>1.0644419759839749</v>
          </cell>
        </row>
        <row r="188">
          <cell r="K188">
            <v>42245</v>
          </cell>
          <cell r="M188">
            <v>0</v>
          </cell>
          <cell r="N188">
            <v>1.0644419759839749</v>
          </cell>
        </row>
        <row r="189">
          <cell r="K189">
            <v>42246</v>
          </cell>
          <cell r="M189">
            <v>0</v>
          </cell>
          <cell r="N189">
            <v>1.0644419759839749</v>
          </cell>
        </row>
        <row r="190">
          <cell r="K190">
            <v>42247</v>
          </cell>
          <cell r="L190" t="str">
            <v>DIA ÚTIL</v>
          </cell>
          <cell r="M190">
            <v>5.2531000000000001E-2</v>
          </cell>
          <cell r="N190">
            <v>1.065001137998379</v>
          </cell>
        </row>
        <row r="191">
          <cell r="K191">
            <v>42248</v>
          </cell>
          <cell r="L191" t="str">
            <v>DIA ÚTIL</v>
          </cell>
          <cell r="M191">
            <v>5.2531000000000001E-2</v>
          </cell>
          <cell r="N191">
            <v>1.065560593746181</v>
          </cell>
        </row>
        <row r="192">
          <cell r="K192">
            <v>42249</v>
          </cell>
          <cell r="L192" t="str">
            <v>DIA ÚTIL</v>
          </cell>
          <cell r="M192">
            <v>5.2531000000000001E-2</v>
          </cell>
          <cell r="N192">
            <v>1.0661203433816817</v>
          </cell>
        </row>
        <row r="193">
          <cell r="K193">
            <v>42250</v>
          </cell>
          <cell r="L193" t="str">
            <v>DIA ÚTIL</v>
          </cell>
          <cell r="M193">
            <v>5.2531000000000001E-2</v>
          </cell>
          <cell r="N193">
            <v>1.0666803870592636</v>
          </cell>
        </row>
        <row r="194">
          <cell r="K194">
            <v>42251</v>
          </cell>
          <cell r="L194" t="str">
            <v>DIA ÚTIL</v>
          </cell>
          <cell r="M194">
            <v>5.2531000000000001E-2</v>
          </cell>
          <cell r="N194">
            <v>1.0672407249333897</v>
          </cell>
        </row>
        <row r="195">
          <cell r="K195">
            <v>42252</v>
          </cell>
          <cell r="M195">
            <v>0</v>
          </cell>
          <cell r="N195">
            <v>1.0672407249333897</v>
          </cell>
        </row>
        <row r="196">
          <cell r="K196">
            <v>42253</v>
          </cell>
          <cell r="M196">
            <v>0</v>
          </cell>
          <cell r="N196">
            <v>1.0672407249333897</v>
          </cell>
        </row>
        <row r="197">
          <cell r="K197">
            <v>42254</v>
          </cell>
          <cell r="M197">
            <v>0</v>
          </cell>
          <cell r="N197">
            <v>1.0672407249333897</v>
          </cell>
        </row>
        <row r="198">
          <cell r="K198">
            <v>42255</v>
          </cell>
          <cell r="L198" t="str">
            <v>DIA ÚTIL</v>
          </cell>
          <cell r="M198">
            <v>5.2531000000000001E-2</v>
          </cell>
          <cell r="N198">
            <v>1.0678013571586045</v>
          </cell>
        </row>
        <row r="199">
          <cell r="K199">
            <v>42256</v>
          </cell>
          <cell r="L199" t="str">
            <v>DIA ÚTIL</v>
          </cell>
          <cell r="M199">
            <v>5.2531000000000001E-2</v>
          </cell>
          <cell r="N199">
            <v>1.0683622838895335</v>
          </cell>
        </row>
        <row r="200">
          <cell r="K200">
            <v>42257</v>
          </cell>
          <cell r="L200" t="str">
            <v>DIA ÚTIL</v>
          </cell>
          <cell r="M200">
            <v>5.2531000000000001E-2</v>
          </cell>
          <cell r="N200">
            <v>1.0689235052808834</v>
          </cell>
        </row>
        <row r="201">
          <cell r="K201">
            <v>42258</v>
          </cell>
          <cell r="L201" t="str">
            <v>DIA ÚTIL</v>
          </cell>
          <cell r="M201">
            <v>5.2531000000000001E-2</v>
          </cell>
          <cell r="N201">
            <v>1.0694850214874425</v>
          </cell>
        </row>
        <row r="202">
          <cell r="K202">
            <v>42259</v>
          </cell>
          <cell r="M202">
            <v>0</v>
          </cell>
          <cell r="N202">
            <v>1.0694850214874425</v>
          </cell>
        </row>
        <row r="203">
          <cell r="K203">
            <v>42260</v>
          </cell>
          <cell r="M203">
            <v>0</v>
          </cell>
          <cell r="N203">
            <v>1.0694850214874425</v>
          </cell>
        </row>
        <row r="204">
          <cell r="K204">
            <v>42261</v>
          </cell>
          <cell r="L204" t="str">
            <v>DIA ÚTIL</v>
          </cell>
          <cell r="M204">
            <v>5.2531000000000001E-2</v>
          </cell>
          <cell r="N204">
            <v>1.0700468326640802</v>
          </cell>
        </row>
        <row r="205">
          <cell r="K205">
            <v>42262</v>
          </cell>
          <cell r="L205" t="str">
            <v>DIA ÚTIL</v>
          </cell>
          <cell r="M205">
            <v>5.2531000000000001E-2</v>
          </cell>
          <cell r="N205">
            <v>1.0706089389657469</v>
          </cell>
        </row>
        <row r="206">
          <cell r="K206">
            <v>42263</v>
          </cell>
          <cell r="L206" t="str">
            <v>DIA ÚTIL</v>
          </cell>
          <cell r="M206">
            <v>5.2531000000000001E-2</v>
          </cell>
          <cell r="N206">
            <v>1.071171340547475</v>
          </cell>
        </row>
        <row r="207">
          <cell r="K207">
            <v>42264</v>
          </cell>
          <cell r="L207" t="str">
            <v>DIA ÚTIL</v>
          </cell>
          <cell r="M207">
            <v>5.2531000000000001E-2</v>
          </cell>
          <cell r="N207">
            <v>1.071734037564378</v>
          </cell>
        </row>
        <row r="208">
          <cell r="K208">
            <v>42265</v>
          </cell>
          <cell r="L208" t="str">
            <v>DIA ÚTIL</v>
          </cell>
          <cell r="M208">
            <v>5.2531000000000001E-2</v>
          </cell>
          <cell r="N208">
            <v>1.072297030171651</v>
          </cell>
        </row>
        <row r="209">
          <cell r="K209">
            <v>42266</v>
          </cell>
          <cell r="M209">
            <v>0</v>
          </cell>
          <cell r="N209">
            <v>1.072297030171651</v>
          </cell>
        </row>
        <row r="210">
          <cell r="K210">
            <v>42267</v>
          </cell>
          <cell r="M210">
            <v>0</v>
          </cell>
          <cell r="N210">
            <v>1.072297030171651</v>
          </cell>
        </row>
        <row r="211">
          <cell r="K211">
            <v>42268</v>
          </cell>
          <cell r="L211" t="str">
            <v>DIA ÚTIL</v>
          </cell>
          <cell r="M211">
            <v>5.2531000000000001E-2</v>
          </cell>
          <cell r="N211">
            <v>1.0728603185245704</v>
          </cell>
        </row>
        <row r="212">
          <cell r="K212">
            <v>42269</v>
          </cell>
          <cell r="L212" t="str">
            <v>DIA ÚTIL</v>
          </cell>
          <cell r="M212">
            <v>5.2531000000000001E-2</v>
          </cell>
          <cell r="N212">
            <v>1.0734239027784946</v>
          </cell>
        </row>
        <row r="213">
          <cell r="K213">
            <v>42270</v>
          </cell>
          <cell r="L213" t="str">
            <v>DIA ÚTIL</v>
          </cell>
          <cell r="M213">
            <v>5.2531000000000001E-2</v>
          </cell>
          <cell r="N213">
            <v>1.0739877830888631</v>
          </cell>
        </row>
        <row r="214">
          <cell r="K214">
            <v>42271</v>
          </cell>
          <cell r="L214" t="str">
            <v>DIA ÚTIL</v>
          </cell>
          <cell r="M214">
            <v>5.2531000000000001E-2</v>
          </cell>
          <cell r="N214">
            <v>1.0745519596111974</v>
          </cell>
        </row>
        <row r="215">
          <cell r="K215">
            <v>42272</v>
          </cell>
          <cell r="L215" t="str">
            <v>DIA ÚTIL</v>
          </cell>
          <cell r="M215">
            <v>5.2531000000000001E-2</v>
          </cell>
          <cell r="N215">
            <v>1.0751164325011009</v>
          </cell>
        </row>
        <row r="216">
          <cell r="K216">
            <v>42273</v>
          </cell>
          <cell r="M216">
            <v>0</v>
          </cell>
          <cell r="N216">
            <v>1.0751164325011009</v>
          </cell>
        </row>
        <row r="217">
          <cell r="K217">
            <v>42274</v>
          </cell>
          <cell r="M217">
            <v>0</v>
          </cell>
          <cell r="N217">
            <v>1.0751164325011009</v>
          </cell>
        </row>
        <row r="218">
          <cell r="K218">
            <v>42275</v>
          </cell>
          <cell r="L218" t="str">
            <v>DIA ÚTIL</v>
          </cell>
          <cell r="M218">
            <v>5.2531000000000001E-2</v>
          </cell>
          <cell r="N218">
            <v>1.0756812019142581</v>
          </cell>
        </row>
        <row r="219">
          <cell r="K219">
            <v>42276</v>
          </cell>
          <cell r="L219" t="str">
            <v>DIA ÚTIL</v>
          </cell>
          <cell r="M219">
            <v>5.2531000000000001E-2</v>
          </cell>
          <cell r="N219">
            <v>1.0762462680064357</v>
          </cell>
        </row>
        <row r="220">
          <cell r="K220">
            <v>42277</v>
          </cell>
          <cell r="L220" t="str">
            <v>DIA ÚTIL</v>
          </cell>
          <cell r="M220">
            <v>5.2531000000000001E-2</v>
          </cell>
          <cell r="N220">
            <v>1.0768116309334823</v>
          </cell>
        </row>
        <row r="221">
          <cell r="K221">
            <v>42278</v>
          </cell>
          <cell r="L221" t="str">
            <v>DIA ÚTIL</v>
          </cell>
          <cell r="M221">
            <v>5.2531000000000001E-2</v>
          </cell>
          <cell r="N221">
            <v>1.0773772908513279</v>
          </cell>
        </row>
        <row r="222">
          <cell r="K222">
            <v>42279</v>
          </cell>
          <cell r="L222" t="str">
            <v>DIA ÚTIL</v>
          </cell>
          <cell r="M222">
            <v>5.2531000000000001E-2</v>
          </cell>
          <cell r="N222">
            <v>1.0779432479159849</v>
          </cell>
        </row>
        <row r="223">
          <cell r="K223">
            <v>42280</v>
          </cell>
          <cell r="M223">
            <v>0</v>
          </cell>
          <cell r="N223">
            <v>1.0779432479159849</v>
          </cell>
        </row>
        <row r="224">
          <cell r="K224">
            <v>42281</v>
          </cell>
          <cell r="M224">
            <v>0</v>
          </cell>
          <cell r="N224">
            <v>1.0779432479159849</v>
          </cell>
        </row>
        <row r="225">
          <cell r="K225">
            <v>42282</v>
          </cell>
          <cell r="L225" t="str">
            <v>DIA ÚTIL</v>
          </cell>
          <cell r="M225">
            <v>5.2531000000000001E-2</v>
          </cell>
          <cell r="N225">
            <v>1.0785095022835478</v>
          </cell>
        </row>
        <row r="226">
          <cell r="K226">
            <v>42283</v>
          </cell>
          <cell r="L226" t="str">
            <v>DIA ÚTIL</v>
          </cell>
          <cell r="M226">
            <v>5.2531000000000001E-2</v>
          </cell>
          <cell r="N226">
            <v>1.0790760541101925</v>
          </cell>
        </row>
        <row r="227">
          <cell r="K227">
            <v>42284</v>
          </cell>
          <cell r="L227" t="str">
            <v>DIA ÚTIL</v>
          </cell>
          <cell r="M227">
            <v>5.2531000000000001E-2</v>
          </cell>
          <cell r="N227">
            <v>1.0796429035521771</v>
          </cell>
        </row>
        <row r="228">
          <cell r="K228">
            <v>42285</v>
          </cell>
          <cell r="L228" t="str">
            <v>DIA ÚTIL</v>
          </cell>
          <cell r="M228">
            <v>5.2531000000000001E-2</v>
          </cell>
          <cell r="N228">
            <v>1.0802100507658421</v>
          </cell>
        </row>
        <row r="229">
          <cell r="K229">
            <v>42286</v>
          </cell>
          <cell r="L229" t="str">
            <v>DIA ÚTIL</v>
          </cell>
          <cell r="M229">
            <v>5.2531000000000001E-2</v>
          </cell>
          <cell r="N229">
            <v>1.08077749590761</v>
          </cell>
        </row>
        <row r="230">
          <cell r="K230">
            <v>42287</v>
          </cell>
          <cell r="M230">
            <v>0</v>
          </cell>
          <cell r="N230">
            <v>1.08077749590761</v>
          </cell>
        </row>
        <row r="231">
          <cell r="K231">
            <v>42288</v>
          </cell>
          <cell r="M231">
            <v>0</v>
          </cell>
          <cell r="N231">
            <v>1.08077749590761</v>
          </cell>
        </row>
        <row r="232">
          <cell r="K232">
            <v>42289</v>
          </cell>
          <cell r="M232">
            <v>0</v>
          </cell>
          <cell r="N232">
            <v>1.08077749590761</v>
          </cell>
        </row>
        <row r="233">
          <cell r="K233">
            <v>42290</v>
          </cell>
          <cell r="L233" t="str">
            <v>DIA ÚTIL</v>
          </cell>
          <cell r="M233">
            <v>5.2531000000000001E-2</v>
          </cell>
          <cell r="N233">
            <v>1.0813452391339853</v>
          </cell>
        </row>
        <row r="234">
          <cell r="K234">
            <v>42291</v>
          </cell>
          <cell r="L234" t="str">
            <v>DIA ÚTIL</v>
          </cell>
          <cell r="M234">
            <v>5.2531000000000001E-2</v>
          </cell>
          <cell r="N234">
            <v>1.0819132806015548</v>
          </cell>
        </row>
        <row r="235">
          <cell r="K235">
            <v>42292</v>
          </cell>
          <cell r="L235" t="str">
            <v>DIA ÚTIL</v>
          </cell>
          <cell r="M235">
            <v>5.2531000000000001E-2</v>
          </cell>
          <cell r="N235">
            <v>1.0824816204669876</v>
          </cell>
        </row>
        <row r="236">
          <cell r="K236">
            <v>42293</v>
          </cell>
          <cell r="L236" t="str">
            <v>DIA ÚTIL</v>
          </cell>
          <cell r="M236">
            <v>5.2531000000000001E-2</v>
          </cell>
          <cell r="N236">
            <v>1.0830502588870352</v>
          </cell>
        </row>
        <row r="237">
          <cell r="K237">
            <v>42294</v>
          </cell>
          <cell r="M237">
            <v>0</v>
          </cell>
          <cell r="N237">
            <v>1.0830502588870352</v>
          </cell>
        </row>
        <row r="238">
          <cell r="K238">
            <v>42295</v>
          </cell>
          <cell r="M238">
            <v>0</v>
          </cell>
          <cell r="N238">
            <v>1.0830502588870352</v>
          </cell>
        </row>
        <row r="239">
          <cell r="K239">
            <v>42296</v>
          </cell>
          <cell r="L239" t="str">
            <v>DIA ÚTIL</v>
          </cell>
          <cell r="M239">
            <v>5.2531000000000001E-2</v>
          </cell>
          <cell r="N239">
            <v>1.0836191960185311</v>
          </cell>
        </row>
        <row r="240">
          <cell r="K240">
            <v>42297</v>
          </cell>
          <cell r="L240" t="str">
            <v>DIA ÚTIL</v>
          </cell>
          <cell r="M240">
            <v>5.2531000000000001E-2</v>
          </cell>
          <cell r="N240">
            <v>1.0841884320183917</v>
          </cell>
        </row>
        <row r="241">
          <cell r="K241">
            <v>42298</v>
          </cell>
          <cell r="L241" t="str">
            <v>DIA ÚTIL</v>
          </cell>
          <cell r="M241">
            <v>5.2531000000000001E-2</v>
          </cell>
          <cell r="N241">
            <v>1.0847579670436152</v>
          </cell>
        </row>
        <row r="242">
          <cell r="K242">
            <v>42299</v>
          </cell>
          <cell r="L242" t="str">
            <v>DIA ÚTIL</v>
          </cell>
          <cell r="M242">
            <v>5.2531000000000001E-2</v>
          </cell>
          <cell r="N242">
            <v>1.0853278012512828</v>
          </cell>
        </row>
        <row r="243">
          <cell r="K243">
            <v>42300</v>
          </cell>
          <cell r="L243" t="str">
            <v>DIA ÚTIL</v>
          </cell>
          <cell r="M243">
            <v>5.2531000000000001E-2</v>
          </cell>
          <cell r="N243">
            <v>1.0858979347985582</v>
          </cell>
        </row>
        <row r="244">
          <cell r="K244">
            <v>42301</v>
          </cell>
          <cell r="M244">
            <v>0</v>
          </cell>
          <cell r="N244">
            <v>1.0858979347985582</v>
          </cell>
        </row>
        <row r="245">
          <cell r="K245">
            <v>42302</v>
          </cell>
          <cell r="M245">
            <v>0</v>
          </cell>
          <cell r="N245">
            <v>1.0858979347985582</v>
          </cell>
        </row>
        <row r="246">
          <cell r="K246">
            <v>42303</v>
          </cell>
          <cell r="L246" t="str">
            <v>DIA ÚTIL</v>
          </cell>
          <cell r="M246">
            <v>5.2531000000000001E-2</v>
          </cell>
          <cell r="N246">
            <v>1.0864683678426872</v>
          </cell>
        </row>
        <row r="247">
          <cell r="K247">
            <v>42304</v>
          </cell>
          <cell r="L247" t="str">
            <v>DIA ÚTIL</v>
          </cell>
          <cell r="M247">
            <v>5.2531000000000001E-2</v>
          </cell>
          <cell r="N247">
            <v>1.0870391005409987</v>
          </cell>
        </row>
        <row r="248">
          <cell r="K248">
            <v>42305</v>
          </cell>
          <cell r="L248" t="str">
            <v>DIA ÚTIL</v>
          </cell>
          <cell r="M248">
            <v>5.2531000000000001E-2</v>
          </cell>
          <cell r="N248">
            <v>1.0876101330509038</v>
          </cell>
        </row>
        <row r="249">
          <cell r="K249">
            <v>42306</v>
          </cell>
          <cell r="L249" t="str">
            <v>DIA ÚTIL</v>
          </cell>
          <cell r="M249">
            <v>5.2531000000000001E-2</v>
          </cell>
          <cell r="N249">
            <v>1.0881814655298967</v>
          </cell>
        </row>
        <row r="250">
          <cell r="K250">
            <v>42307</v>
          </cell>
          <cell r="L250" t="str">
            <v>DIA ÚTIL</v>
          </cell>
          <cell r="M250">
            <v>5.2531000000000001E-2</v>
          </cell>
          <cell r="N250">
            <v>1.0887530981355542</v>
          </cell>
        </row>
        <row r="251">
          <cell r="K251">
            <v>42308</v>
          </cell>
          <cell r="M251">
            <v>0</v>
          </cell>
          <cell r="N251">
            <v>1.0887530981355542</v>
          </cell>
        </row>
        <row r="252">
          <cell r="K252">
            <v>42309</v>
          </cell>
          <cell r="M252">
            <v>0</v>
          </cell>
          <cell r="N252">
            <v>1.0887530981355542</v>
          </cell>
        </row>
        <row r="253">
          <cell r="K253">
            <v>42310</v>
          </cell>
          <cell r="M253">
            <v>0</v>
          </cell>
          <cell r="N253">
            <v>1.0887530981355542</v>
          </cell>
        </row>
        <row r="254">
          <cell r="K254">
            <v>42311</v>
          </cell>
          <cell r="L254" t="str">
            <v>DIA ÚTIL</v>
          </cell>
          <cell r="M254">
            <v>5.2531000000000001E-2</v>
          </cell>
          <cell r="N254">
            <v>1.0893250310255358</v>
          </cell>
        </row>
        <row r="255">
          <cell r="K255">
            <v>42312</v>
          </cell>
          <cell r="L255" t="str">
            <v>DIA ÚTIL</v>
          </cell>
          <cell r="M255">
            <v>5.2531000000000001E-2</v>
          </cell>
          <cell r="N255">
            <v>1.0898972643575837</v>
          </cell>
        </row>
        <row r="256">
          <cell r="K256">
            <v>42313</v>
          </cell>
          <cell r="L256" t="str">
            <v>DIA ÚTIL</v>
          </cell>
          <cell r="M256">
            <v>5.2531000000000001E-2</v>
          </cell>
          <cell r="N256">
            <v>1.0904697982895235</v>
          </cell>
        </row>
        <row r="257">
          <cell r="K257">
            <v>42314</v>
          </cell>
          <cell r="L257" t="str">
            <v>DIA ÚTIL</v>
          </cell>
          <cell r="M257">
            <v>5.2531000000000001E-2</v>
          </cell>
          <cell r="N257">
            <v>1.0910426329792631</v>
          </cell>
        </row>
        <row r="258">
          <cell r="K258">
            <v>42315</v>
          </cell>
          <cell r="M258">
            <v>0</v>
          </cell>
          <cell r="N258">
            <v>1.0910426329792631</v>
          </cell>
        </row>
        <row r="259">
          <cell r="K259">
            <v>42316</v>
          </cell>
          <cell r="M259">
            <v>0</v>
          </cell>
          <cell r="N259">
            <v>1.0910426329792631</v>
          </cell>
        </row>
        <row r="260">
          <cell r="K260">
            <v>42317</v>
          </cell>
          <cell r="L260" t="str">
            <v>DIA ÚTIL</v>
          </cell>
          <cell r="M260">
            <v>5.2531000000000001E-2</v>
          </cell>
          <cell r="N260">
            <v>1.0916157685847934</v>
          </cell>
        </row>
        <row r="261">
          <cell r="K261">
            <v>42318</v>
          </cell>
          <cell r="L261" t="str">
            <v>DIA ÚTIL</v>
          </cell>
          <cell r="M261">
            <v>5.2531000000000001E-2</v>
          </cell>
          <cell r="N261">
            <v>1.0921892052641886</v>
          </cell>
        </row>
        <row r="262">
          <cell r="K262">
            <v>42319</v>
          </cell>
          <cell r="L262" t="str">
            <v>DIA ÚTIL</v>
          </cell>
          <cell r="M262">
            <v>5.2531000000000001E-2</v>
          </cell>
          <cell r="N262">
            <v>1.0927629431756058</v>
          </cell>
        </row>
        <row r="263">
          <cell r="K263">
            <v>42320</v>
          </cell>
          <cell r="L263" t="str">
            <v>DIA ÚTIL</v>
          </cell>
          <cell r="M263">
            <v>5.2531000000000001E-2</v>
          </cell>
          <cell r="N263">
            <v>1.0933369824772854</v>
          </cell>
        </row>
        <row r="264">
          <cell r="K264">
            <v>42321</v>
          </cell>
          <cell r="L264" t="str">
            <v>DIA ÚTIL</v>
          </cell>
          <cell r="M264">
            <v>5.2531000000000001E-2</v>
          </cell>
          <cell r="N264">
            <v>1.0939113233275506</v>
          </cell>
        </row>
        <row r="265">
          <cell r="K265">
            <v>42322</v>
          </cell>
          <cell r="M265">
            <v>0</v>
          </cell>
          <cell r="N265">
            <v>1.0939113233275506</v>
          </cell>
        </row>
        <row r="266">
          <cell r="K266">
            <v>42323</v>
          </cell>
          <cell r="M266">
            <v>0</v>
          </cell>
          <cell r="N266">
            <v>1.0939113233275506</v>
          </cell>
        </row>
        <row r="267">
          <cell r="K267">
            <v>42324</v>
          </cell>
          <cell r="L267" t="str">
            <v>DIA ÚTIL</v>
          </cell>
          <cell r="M267">
            <v>5.2531000000000001E-2</v>
          </cell>
          <cell r="N267">
            <v>1.0944859658848078</v>
          </cell>
        </row>
        <row r="268">
          <cell r="K268">
            <v>42325</v>
          </cell>
          <cell r="L268" t="str">
            <v>DIA ÚTIL</v>
          </cell>
          <cell r="M268">
            <v>5.2531000000000001E-2</v>
          </cell>
          <cell r="N268">
            <v>1.0950609103075468</v>
          </cell>
        </row>
        <row r="269">
          <cell r="K269">
            <v>42326</v>
          </cell>
          <cell r="L269" t="str">
            <v>DIA ÚTIL</v>
          </cell>
          <cell r="M269">
            <v>5.2531000000000001E-2</v>
          </cell>
          <cell r="N269">
            <v>1.0956361567543405</v>
          </cell>
        </row>
        <row r="270">
          <cell r="K270">
            <v>42327</v>
          </cell>
          <cell r="L270" t="str">
            <v>DIA ÚTIL</v>
          </cell>
          <cell r="M270">
            <v>5.2531000000000001E-2</v>
          </cell>
          <cell r="N270">
            <v>1.0962117053838452</v>
          </cell>
        </row>
        <row r="271">
          <cell r="K271">
            <v>42328</v>
          </cell>
          <cell r="L271" t="str">
            <v>DIA ÚTIL</v>
          </cell>
          <cell r="M271">
            <v>5.2531000000000001E-2</v>
          </cell>
          <cell r="N271">
            <v>1.0967875563548004</v>
          </cell>
        </row>
        <row r="272">
          <cell r="K272">
            <v>42329</v>
          </cell>
          <cell r="M272">
            <v>0</v>
          </cell>
          <cell r="N272">
            <v>1.0967875563548004</v>
          </cell>
        </row>
        <row r="273">
          <cell r="K273">
            <v>42330</v>
          </cell>
          <cell r="M273">
            <v>0</v>
          </cell>
          <cell r="N273">
            <v>1.0967875563548004</v>
          </cell>
        </row>
        <row r="274">
          <cell r="K274">
            <v>42331</v>
          </cell>
          <cell r="L274" t="str">
            <v>DIA ÚTIL</v>
          </cell>
          <cell r="M274">
            <v>5.2531000000000001E-2</v>
          </cell>
          <cell r="N274">
            <v>1.0973637098260292</v>
          </cell>
        </row>
        <row r="275">
          <cell r="K275">
            <v>42332</v>
          </cell>
          <cell r="L275" t="str">
            <v>DIA ÚTIL</v>
          </cell>
          <cell r="M275">
            <v>5.2531000000000001E-2</v>
          </cell>
          <cell r="N275">
            <v>1.0979401659564378</v>
          </cell>
        </row>
        <row r="276">
          <cell r="K276">
            <v>42333</v>
          </cell>
          <cell r="L276" t="str">
            <v>DIA ÚTIL</v>
          </cell>
          <cell r="M276">
            <v>5.2531000000000001E-2</v>
          </cell>
          <cell r="N276">
            <v>1.0985169249050164</v>
          </cell>
        </row>
        <row r="277">
          <cell r="K277">
            <v>42334</v>
          </cell>
          <cell r="L277" t="str">
            <v>DIA ÚTIL</v>
          </cell>
          <cell r="M277">
            <v>5.2531000000000001E-2</v>
          </cell>
          <cell r="N277">
            <v>1.0990939868308383</v>
          </cell>
        </row>
        <row r="278">
          <cell r="K278">
            <v>42335</v>
          </cell>
          <cell r="L278" t="str">
            <v>DIA ÚTIL</v>
          </cell>
          <cell r="M278">
            <v>5.2531000000000001E-2</v>
          </cell>
          <cell r="N278">
            <v>1.0996713518930603</v>
          </cell>
        </row>
        <row r="279">
          <cell r="K279">
            <v>42336</v>
          </cell>
          <cell r="M279">
            <v>0</v>
          </cell>
          <cell r="N279">
            <v>1.0996713518930603</v>
          </cell>
        </row>
        <row r="280">
          <cell r="K280">
            <v>42337</v>
          </cell>
          <cell r="M280">
            <v>0</v>
          </cell>
          <cell r="N280">
            <v>1.0996713518930603</v>
          </cell>
        </row>
        <row r="281">
          <cell r="K281">
            <v>42338</v>
          </cell>
          <cell r="L281" t="str">
            <v>DIA ÚTIL</v>
          </cell>
          <cell r="M281">
            <v>5.2531000000000001E-2</v>
          </cell>
          <cell r="N281">
            <v>1.1002490202509232</v>
          </cell>
        </row>
        <row r="282">
          <cell r="K282">
            <v>42339</v>
          </cell>
          <cell r="L282" t="str">
            <v>DIA ÚTIL</v>
          </cell>
          <cell r="M282">
            <v>5.2531000000000001E-2</v>
          </cell>
          <cell r="N282">
            <v>1.1008269920637512</v>
          </cell>
        </row>
        <row r="283">
          <cell r="K283">
            <v>42340</v>
          </cell>
          <cell r="L283" t="str">
            <v>DIA ÚTIL</v>
          </cell>
          <cell r="M283">
            <v>5.2531000000000001E-2</v>
          </cell>
          <cell r="N283">
            <v>1.1014052674909522</v>
          </cell>
        </row>
        <row r="284">
          <cell r="K284">
            <v>42341</v>
          </cell>
          <cell r="L284" t="str">
            <v>DIA ÚTIL</v>
          </cell>
          <cell r="M284">
            <v>5.2531000000000001E-2</v>
          </cell>
          <cell r="N284">
            <v>1.101983846692018</v>
          </cell>
        </row>
        <row r="285">
          <cell r="K285">
            <v>42342</v>
          </cell>
          <cell r="L285" t="str">
            <v>DIA ÚTIL</v>
          </cell>
          <cell r="M285">
            <v>5.2531000000000001E-2</v>
          </cell>
          <cell r="N285">
            <v>1.1025627298265237</v>
          </cell>
        </row>
        <row r="286">
          <cell r="K286">
            <v>42343</v>
          </cell>
          <cell r="M286">
            <v>0</v>
          </cell>
          <cell r="N286">
            <v>1.1025627298265237</v>
          </cell>
        </row>
        <row r="287">
          <cell r="K287">
            <v>42344</v>
          </cell>
          <cell r="M287">
            <v>0</v>
          </cell>
          <cell r="N287">
            <v>1.1025627298265237</v>
          </cell>
        </row>
        <row r="288">
          <cell r="K288">
            <v>42345</v>
          </cell>
          <cell r="L288" t="str">
            <v>DIA ÚTIL</v>
          </cell>
          <cell r="M288">
            <v>5.2531000000000001E-2</v>
          </cell>
          <cell r="N288">
            <v>1.1031419170541288</v>
          </cell>
        </row>
        <row r="289">
          <cell r="K289">
            <v>42346</v>
          </cell>
          <cell r="L289" t="str">
            <v>DIA ÚTIL</v>
          </cell>
          <cell r="M289">
            <v>5.2531000000000001E-2</v>
          </cell>
          <cell r="N289">
            <v>1.1037214085345766</v>
          </cell>
        </row>
        <row r="290">
          <cell r="K290">
            <v>42347</v>
          </cell>
          <cell r="L290" t="str">
            <v>DIA ÚTIL</v>
          </cell>
          <cell r="M290">
            <v>5.2531000000000001E-2</v>
          </cell>
          <cell r="N290">
            <v>1.1043012044276939</v>
          </cell>
        </row>
        <row r="291">
          <cell r="K291">
            <v>42348</v>
          </cell>
          <cell r="L291" t="str">
            <v>DIA ÚTIL</v>
          </cell>
          <cell r="M291">
            <v>5.2531000000000001E-2</v>
          </cell>
          <cell r="N291">
            <v>1.1048813048933919</v>
          </cell>
        </row>
        <row r="292">
          <cell r="K292">
            <v>42349</v>
          </cell>
          <cell r="L292" t="str">
            <v>DIA ÚTIL</v>
          </cell>
          <cell r="M292">
            <v>5.2531000000000001E-2</v>
          </cell>
          <cell r="N292">
            <v>1.1054617100916655</v>
          </cell>
        </row>
        <row r="293">
          <cell r="K293">
            <v>42350</v>
          </cell>
          <cell r="M293">
            <v>0</v>
          </cell>
          <cell r="N293">
            <v>1.1054617100916655</v>
          </cell>
        </row>
        <row r="294">
          <cell r="K294">
            <v>42351</v>
          </cell>
          <cell r="M294">
            <v>0</v>
          </cell>
          <cell r="N294">
            <v>1.1054617100916655</v>
          </cell>
        </row>
        <row r="295">
          <cell r="K295">
            <v>42352</v>
          </cell>
          <cell r="L295" t="str">
            <v>DIA ÚTIL</v>
          </cell>
          <cell r="M295">
            <v>5.2531000000000001E-2</v>
          </cell>
          <cell r="N295">
            <v>1.1060424201825938</v>
          </cell>
        </row>
        <row r="296">
          <cell r="K296">
            <v>42353</v>
          </cell>
          <cell r="L296" t="str">
            <v>DIA ÚTIL</v>
          </cell>
          <cell r="M296">
            <v>5.2531000000000001E-2</v>
          </cell>
          <cell r="N296">
            <v>1.10662343532634</v>
          </cell>
        </row>
        <row r="297">
          <cell r="K297">
            <v>42354</v>
          </cell>
          <cell r="L297" t="str">
            <v>DIA ÚTIL</v>
          </cell>
          <cell r="M297">
            <v>5.2531000000000001E-2</v>
          </cell>
          <cell r="N297">
            <v>1.1072047556831512</v>
          </cell>
        </row>
        <row r="298">
          <cell r="K298">
            <v>42355</v>
          </cell>
          <cell r="L298" t="str">
            <v>DIA ÚTIL</v>
          </cell>
          <cell r="M298">
            <v>5.2531000000000001E-2</v>
          </cell>
          <cell r="N298">
            <v>1.1077863814133591</v>
          </cell>
        </row>
        <row r="299">
          <cell r="K299">
            <v>42356</v>
          </cell>
          <cell r="L299" t="str">
            <v>DIA ÚTIL</v>
          </cell>
          <cell r="M299">
            <v>5.2531000000000001E-2</v>
          </cell>
          <cell r="N299">
            <v>1.1083683126773793</v>
          </cell>
        </row>
        <row r="300">
          <cell r="K300">
            <v>42357</v>
          </cell>
          <cell r="M300">
            <v>0</v>
          </cell>
          <cell r="N300">
            <v>1.1083683126773793</v>
          </cell>
        </row>
        <row r="301">
          <cell r="K301">
            <v>42358</v>
          </cell>
          <cell r="M301">
            <v>0</v>
          </cell>
          <cell r="N301">
            <v>1.1083683126773793</v>
          </cell>
        </row>
        <row r="302">
          <cell r="K302">
            <v>42359</v>
          </cell>
          <cell r="L302" t="str">
            <v>DIA ÚTIL</v>
          </cell>
          <cell r="M302">
            <v>5.2531000000000001E-2</v>
          </cell>
          <cell r="N302">
            <v>1.1089505496357119</v>
          </cell>
        </row>
        <row r="303">
          <cell r="K303">
            <v>42360</v>
          </cell>
          <cell r="L303" t="str">
            <v>DIA ÚTIL</v>
          </cell>
          <cell r="M303">
            <v>5.2531000000000001E-2</v>
          </cell>
          <cell r="N303">
            <v>1.109533092448941</v>
          </cell>
        </row>
        <row r="304">
          <cell r="K304">
            <v>42361</v>
          </cell>
          <cell r="L304" t="str">
            <v>DIA ÚTIL</v>
          </cell>
          <cell r="M304">
            <v>5.2531000000000001E-2</v>
          </cell>
          <cell r="N304">
            <v>1.1101159412777355</v>
          </cell>
        </row>
        <row r="305">
          <cell r="K305">
            <v>42362</v>
          </cell>
          <cell r="L305" t="str">
            <v>DIA ÚTIL</v>
          </cell>
          <cell r="M305">
            <v>5.2531000000000001E-2</v>
          </cell>
          <cell r="N305">
            <v>1.110699096282848</v>
          </cell>
        </row>
        <row r="306">
          <cell r="K306">
            <v>42363</v>
          </cell>
          <cell r="M306">
            <v>0</v>
          </cell>
          <cell r="N306">
            <v>1.110699096282848</v>
          </cell>
        </row>
        <row r="307">
          <cell r="K307">
            <v>42364</v>
          </cell>
          <cell r="M307">
            <v>0</v>
          </cell>
          <cell r="N307">
            <v>1.110699096282848</v>
          </cell>
        </row>
        <row r="308">
          <cell r="K308">
            <v>42365</v>
          </cell>
          <cell r="M308">
            <v>0</v>
          </cell>
          <cell r="N308">
            <v>1.110699096282848</v>
          </cell>
        </row>
        <row r="309">
          <cell r="K309">
            <v>42366</v>
          </cell>
          <cell r="L309" t="str">
            <v>DIA ÚTIL</v>
          </cell>
          <cell r="M309">
            <v>5.2531000000000001E-2</v>
          </cell>
          <cell r="N309">
            <v>1.1112825576251164</v>
          </cell>
        </row>
        <row r="310">
          <cell r="K310">
            <v>42367</v>
          </cell>
          <cell r="L310" t="str">
            <v>DIA ÚTIL</v>
          </cell>
          <cell r="M310">
            <v>5.2531000000000001E-2</v>
          </cell>
          <cell r="N310">
            <v>1.1118663254654624</v>
          </cell>
        </row>
        <row r="311">
          <cell r="K311">
            <v>42368</v>
          </cell>
          <cell r="L311" t="str">
            <v>DIA ÚTIL</v>
          </cell>
          <cell r="M311">
            <v>5.2531000000000001E-2</v>
          </cell>
          <cell r="N311">
            <v>1.1124503999648927</v>
          </cell>
        </row>
        <row r="312">
          <cell r="K312">
            <v>42369</v>
          </cell>
          <cell r="L312" t="str">
            <v>DIA ÚTIL</v>
          </cell>
          <cell r="M312">
            <v>5.2531000000000001E-2</v>
          </cell>
          <cell r="N312">
            <v>1.1130347812844983</v>
          </cell>
        </row>
        <row r="313">
          <cell r="K313">
            <v>42370</v>
          </cell>
          <cell r="M313">
            <v>0</v>
          </cell>
          <cell r="N313">
            <v>1.1130347812844983</v>
          </cell>
        </row>
        <row r="314">
          <cell r="K314">
            <v>42371</v>
          </cell>
          <cell r="M314">
            <v>0</v>
          </cell>
          <cell r="N314">
            <v>1.1130347812844983</v>
          </cell>
        </row>
        <row r="315">
          <cell r="K315">
            <v>42372</v>
          </cell>
          <cell r="M315">
            <v>0</v>
          </cell>
          <cell r="N315">
            <v>1.1130347812844983</v>
          </cell>
        </row>
        <row r="316">
          <cell r="K316">
            <v>42373</v>
          </cell>
          <cell r="L316" t="str">
            <v>DIA ÚTIL</v>
          </cell>
          <cell r="M316">
            <v>5.2531000000000001E-2</v>
          </cell>
          <cell r="N316">
            <v>1.1136194695854549</v>
          </cell>
        </row>
        <row r="317">
          <cell r="K317">
            <v>42374</v>
          </cell>
          <cell r="L317" t="str">
            <v>DIA ÚTIL</v>
          </cell>
          <cell r="M317">
            <v>5.2531000000000001E-2</v>
          </cell>
          <cell r="N317">
            <v>1.1142044650290228</v>
          </cell>
        </row>
        <row r="318">
          <cell r="K318">
            <v>42375</v>
          </cell>
          <cell r="L318" t="str">
            <v>DIA ÚTIL</v>
          </cell>
          <cell r="M318">
            <v>5.2531000000000001E-2</v>
          </cell>
          <cell r="N318">
            <v>1.1147897677765473</v>
          </cell>
        </row>
        <row r="319">
          <cell r="K319">
            <v>42376</v>
          </cell>
          <cell r="L319" t="str">
            <v>DIA ÚTIL</v>
          </cell>
          <cell r="M319">
            <v>5.2531000000000001E-2</v>
          </cell>
          <cell r="N319">
            <v>1.115375377989458</v>
          </cell>
        </row>
        <row r="320">
          <cell r="K320">
            <v>42377</v>
          </cell>
          <cell r="L320" t="str">
            <v>DIA ÚTIL</v>
          </cell>
          <cell r="M320">
            <v>5.2531000000000001E-2</v>
          </cell>
          <cell r="N320">
            <v>1.1159612958292695</v>
          </cell>
        </row>
        <row r="321">
          <cell r="K321">
            <v>42378</v>
          </cell>
          <cell r="M321">
            <v>0</v>
          </cell>
          <cell r="N321">
            <v>1.1159612958292695</v>
          </cell>
        </row>
        <row r="322">
          <cell r="K322">
            <v>42379</v>
          </cell>
          <cell r="M322">
            <v>0</v>
          </cell>
          <cell r="N322">
            <v>1.1159612958292695</v>
          </cell>
        </row>
        <row r="323">
          <cell r="K323">
            <v>42380</v>
          </cell>
          <cell r="L323" t="str">
            <v>DIA ÚTIL</v>
          </cell>
          <cell r="M323">
            <v>5.2531000000000001E-2</v>
          </cell>
          <cell r="N323">
            <v>1.1165475214575815</v>
          </cell>
        </row>
        <row r="324">
          <cell r="K324">
            <v>42381</v>
          </cell>
          <cell r="L324" t="str">
            <v>DIA ÚTIL</v>
          </cell>
          <cell r="M324">
            <v>5.2531000000000001E-2</v>
          </cell>
          <cell r="N324">
            <v>1.1171340550360784</v>
          </cell>
        </row>
        <row r="325">
          <cell r="K325">
            <v>42382</v>
          </cell>
          <cell r="L325" t="str">
            <v>DIA ÚTIL</v>
          </cell>
          <cell r="M325">
            <v>5.2531000000000001E-2</v>
          </cell>
          <cell r="N325">
            <v>1.1177208967265295</v>
          </cell>
        </row>
        <row r="326">
          <cell r="K326">
            <v>42383</v>
          </cell>
          <cell r="L326" t="str">
            <v>DIA ÚTIL</v>
          </cell>
          <cell r="M326">
            <v>5.2531000000000001E-2</v>
          </cell>
          <cell r="N326">
            <v>1.1183080466907889</v>
          </cell>
        </row>
        <row r="327">
          <cell r="K327">
            <v>42384</v>
          </cell>
          <cell r="L327" t="str">
            <v>DIA ÚTIL</v>
          </cell>
          <cell r="M327">
            <v>5.2531000000000001E-2</v>
          </cell>
          <cell r="N327">
            <v>1.118895505090796</v>
          </cell>
        </row>
        <row r="328">
          <cell r="K328">
            <v>42385</v>
          </cell>
          <cell r="M328">
            <v>0</v>
          </cell>
          <cell r="N328">
            <v>1.118895505090796</v>
          </cell>
        </row>
        <row r="329">
          <cell r="K329">
            <v>42386</v>
          </cell>
          <cell r="M329">
            <v>0</v>
          </cell>
          <cell r="N329">
            <v>1.118895505090796</v>
          </cell>
        </row>
        <row r="330">
          <cell r="K330">
            <v>42387</v>
          </cell>
          <cell r="L330" t="str">
            <v>DIA ÚTIL</v>
          </cell>
          <cell r="M330">
            <v>5.2531000000000001E-2</v>
          </cell>
          <cell r="N330">
            <v>1.1194832720885752</v>
          </cell>
        </row>
        <row r="331">
          <cell r="K331">
            <v>42388</v>
          </cell>
          <cell r="L331" t="str">
            <v>DIA ÚTIL</v>
          </cell>
          <cell r="M331">
            <v>5.2531000000000001E-2</v>
          </cell>
          <cell r="N331">
            <v>1.1200713478462361</v>
          </cell>
        </row>
        <row r="332">
          <cell r="K332">
            <v>42389</v>
          </cell>
          <cell r="L332" t="str">
            <v>DIA ÚTIL</v>
          </cell>
          <cell r="M332">
            <v>5.2531000000000001E-2</v>
          </cell>
          <cell r="N332">
            <v>1.1206597325259733</v>
          </cell>
        </row>
        <row r="333">
          <cell r="K333">
            <v>42390</v>
          </cell>
          <cell r="L333" t="str">
            <v>DIA ÚTIL</v>
          </cell>
          <cell r="M333">
            <v>5.2531000000000001E-2</v>
          </cell>
          <cell r="N333">
            <v>1.1212484262900666</v>
          </cell>
        </row>
        <row r="334">
          <cell r="K334">
            <v>42391</v>
          </cell>
          <cell r="L334" t="str">
            <v>DIA ÚTIL</v>
          </cell>
          <cell r="M334">
            <v>5.2531000000000001E-2</v>
          </cell>
          <cell r="N334">
            <v>1.121837429300881</v>
          </cell>
        </row>
        <row r="335">
          <cell r="K335">
            <v>42392</v>
          </cell>
          <cell r="M335">
            <v>0</v>
          </cell>
          <cell r="N335">
            <v>1.121837429300881</v>
          </cell>
        </row>
        <row r="336">
          <cell r="K336">
            <v>42393</v>
          </cell>
          <cell r="M336">
            <v>0</v>
          </cell>
          <cell r="N336">
            <v>1.121837429300881</v>
          </cell>
        </row>
        <row r="337">
          <cell r="K337">
            <v>42394</v>
          </cell>
          <cell r="L337" t="str">
            <v>DIA ÚTIL</v>
          </cell>
          <cell r="M337">
            <v>5.2531000000000001E-2</v>
          </cell>
          <cell r="N337">
            <v>1.1224267417208671</v>
          </cell>
        </row>
        <row r="338">
          <cell r="K338">
            <v>42395</v>
          </cell>
          <cell r="L338" t="str">
            <v>DIA ÚTIL</v>
          </cell>
          <cell r="M338">
            <v>5.2531000000000001E-2</v>
          </cell>
          <cell r="N338">
            <v>1.1230163637125605</v>
          </cell>
        </row>
        <row r="339">
          <cell r="K339">
            <v>42396</v>
          </cell>
          <cell r="L339" t="str">
            <v>DIA ÚTIL</v>
          </cell>
          <cell r="M339">
            <v>5.2531000000000001E-2</v>
          </cell>
          <cell r="N339">
            <v>1.1236062954385824</v>
          </cell>
        </row>
        <row r="340">
          <cell r="K340">
            <v>42397</v>
          </cell>
          <cell r="L340" t="str">
            <v>DIA ÚTIL</v>
          </cell>
          <cell r="M340">
            <v>5.2531000000000001E-2</v>
          </cell>
          <cell r="N340">
            <v>1.1241965370616391</v>
          </cell>
        </row>
        <row r="341">
          <cell r="K341">
            <v>42398</v>
          </cell>
          <cell r="L341" t="str">
            <v>DIA ÚTIL</v>
          </cell>
          <cell r="M341">
            <v>5.2531000000000001E-2</v>
          </cell>
          <cell r="N341">
            <v>1.124787088744523</v>
          </cell>
        </row>
        <row r="342">
          <cell r="K342">
            <v>42399</v>
          </cell>
          <cell r="M342">
            <v>0</v>
          </cell>
          <cell r="N342">
            <v>1.124787088744523</v>
          </cell>
        </row>
        <row r="343">
          <cell r="K343">
            <v>42400</v>
          </cell>
          <cell r="M343">
            <v>0</v>
          </cell>
          <cell r="N343">
            <v>1.124787088744523</v>
          </cell>
        </row>
        <row r="344">
          <cell r="K344">
            <v>42401</v>
          </cell>
          <cell r="L344" t="str">
            <v>DIA ÚTIL</v>
          </cell>
          <cell r="M344">
            <v>5.2531000000000001E-2</v>
          </cell>
          <cell r="N344">
            <v>1.1253779506501114</v>
          </cell>
        </row>
        <row r="345">
          <cell r="K345">
            <v>42402</v>
          </cell>
          <cell r="L345" t="str">
            <v>DIA ÚTIL</v>
          </cell>
          <cell r="M345">
            <v>5.2531000000000001E-2</v>
          </cell>
          <cell r="N345">
            <v>1.1259691229413673</v>
          </cell>
        </row>
        <row r="346">
          <cell r="K346">
            <v>42403</v>
          </cell>
          <cell r="L346" t="str">
            <v>DIA ÚTIL</v>
          </cell>
          <cell r="M346">
            <v>5.2531000000000001E-2</v>
          </cell>
          <cell r="N346">
            <v>1.1265606057813395</v>
          </cell>
        </row>
        <row r="347">
          <cell r="K347">
            <v>42404</v>
          </cell>
          <cell r="L347" t="str">
            <v>DIA ÚTIL</v>
          </cell>
          <cell r="M347">
            <v>5.2531000000000001E-2</v>
          </cell>
          <cell r="N347">
            <v>1.1271523993331625</v>
          </cell>
        </row>
        <row r="348">
          <cell r="K348">
            <v>42405</v>
          </cell>
          <cell r="L348" t="str">
            <v>DIA ÚTIL</v>
          </cell>
          <cell r="M348">
            <v>5.2531000000000001E-2</v>
          </cell>
          <cell r="N348">
            <v>1.1277445037600562</v>
          </cell>
        </row>
        <row r="349">
          <cell r="K349">
            <v>42406</v>
          </cell>
          <cell r="M349">
            <v>0</v>
          </cell>
          <cell r="N349">
            <v>1.1277445037600562</v>
          </cell>
        </row>
        <row r="350">
          <cell r="K350">
            <v>42407</v>
          </cell>
          <cell r="M350">
            <v>0</v>
          </cell>
          <cell r="N350">
            <v>1.1277445037600562</v>
          </cell>
        </row>
        <row r="351">
          <cell r="K351">
            <v>42408</v>
          </cell>
          <cell r="M351">
            <v>0</v>
          </cell>
          <cell r="N351">
            <v>1.1277445037600562</v>
          </cell>
        </row>
        <row r="352">
          <cell r="K352">
            <v>42409</v>
          </cell>
          <cell r="M352">
            <v>0</v>
          </cell>
          <cell r="N352">
            <v>1.1277445037600562</v>
          </cell>
        </row>
        <row r="353">
          <cell r="K353">
            <v>42410</v>
          </cell>
          <cell r="L353" t="str">
            <v>DIA ÚTIL</v>
          </cell>
          <cell r="M353">
            <v>5.2531000000000001E-2</v>
          </cell>
          <cell r="N353">
            <v>1.1283369192253263</v>
          </cell>
        </row>
        <row r="354">
          <cell r="K354">
            <v>42411</v>
          </cell>
          <cell r="L354" t="str">
            <v>DIA ÚTIL</v>
          </cell>
          <cell r="M354">
            <v>5.2531000000000001E-2</v>
          </cell>
          <cell r="N354">
            <v>1.1289296458923646</v>
          </cell>
        </row>
        <row r="355">
          <cell r="K355">
            <v>42412</v>
          </cell>
          <cell r="L355" t="str">
            <v>DIA ÚTIL</v>
          </cell>
          <cell r="M355">
            <v>5.2531000000000001E-2</v>
          </cell>
          <cell r="N355">
            <v>1.1295226839246482</v>
          </cell>
        </row>
        <row r="356">
          <cell r="K356">
            <v>42413</v>
          </cell>
          <cell r="M356">
            <v>0</v>
          </cell>
          <cell r="N356">
            <v>1.1295226839246482</v>
          </cell>
        </row>
        <row r="357">
          <cell r="K357">
            <v>42414</v>
          </cell>
          <cell r="M357">
            <v>0</v>
          </cell>
          <cell r="N357">
            <v>1.1295226839246482</v>
          </cell>
        </row>
        <row r="358">
          <cell r="K358">
            <v>42415</v>
          </cell>
          <cell r="L358" t="str">
            <v>DIA ÚTIL</v>
          </cell>
          <cell r="M358">
            <v>5.2531000000000001E-2</v>
          </cell>
          <cell r="N358">
            <v>1.1301160334857405</v>
          </cell>
        </row>
        <row r="359">
          <cell r="K359">
            <v>42416</v>
          </cell>
          <cell r="L359" t="str">
            <v>DIA ÚTIL</v>
          </cell>
          <cell r="M359">
            <v>5.2531000000000001E-2</v>
          </cell>
          <cell r="N359">
            <v>1.1307096947392909</v>
          </cell>
        </row>
        <row r="360">
          <cell r="K360">
            <v>42417</v>
          </cell>
          <cell r="L360" t="str">
            <v>DIA ÚTIL</v>
          </cell>
          <cell r="M360">
            <v>5.2531000000000001E-2</v>
          </cell>
          <cell r="N360">
            <v>1.1313036678490345</v>
          </cell>
        </row>
        <row r="361">
          <cell r="K361">
            <v>42418</v>
          </cell>
          <cell r="L361" t="str">
            <v>DIA ÚTIL</v>
          </cell>
          <cell r="M361">
            <v>5.2531000000000001E-2</v>
          </cell>
          <cell r="N361">
            <v>1.1318979529787923</v>
          </cell>
        </row>
        <row r="362">
          <cell r="K362">
            <v>42419</v>
          </cell>
          <cell r="L362" t="str">
            <v>DIA ÚTIL</v>
          </cell>
          <cell r="M362">
            <v>5.2531000000000001E-2</v>
          </cell>
          <cell r="N362">
            <v>1.1324925502924716</v>
          </cell>
        </row>
        <row r="363">
          <cell r="K363">
            <v>42420</v>
          </cell>
          <cell r="M363">
            <v>0</v>
          </cell>
          <cell r="N363">
            <v>1.1324925502924716</v>
          </cell>
        </row>
        <row r="364">
          <cell r="K364">
            <v>42421</v>
          </cell>
          <cell r="M364">
            <v>0</v>
          </cell>
          <cell r="N364">
            <v>1.1324925502924716</v>
          </cell>
        </row>
        <row r="365">
          <cell r="K365">
            <v>42422</v>
          </cell>
          <cell r="L365" t="str">
            <v>DIA ÚTIL</v>
          </cell>
          <cell r="M365">
            <v>5.2531000000000001E-2</v>
          </cell>
          <cell r="N365">
            <v>1.1330874599540657</v>
          </cell>
        </row>
        <row r="366">
          <cell r="K366">
            <v>42423</v>
          </cell>
          <cell r="L366" t="str">
            <v>DIA ÚTIL</v>
          </cell>
          <cell r="M366">
            <v>5.2531000000000001E-2</v>
          </cell>
          <cell r="N366">
            <v>1.1336826821276542</v>
          </cell>
        </row>
        <row r="367">
          <cell r="K367">
            <v>42424</v>
          </cell>
          <cell r="L367" t="str">
            <v>DIA ÚTIL</v>
          </cell>
          <cell r="M367">
            <v>5.2531000000000001E-2</v>
          </cell>
          <cell r="N367">
            <v>1.1342782169774026</v>
          </cell>
        </row>
        <row r="368">
          <cell r="K368">
            <v>42425</v>
          </cell>
          <cell r="L368" t="str">
            <v>DIA ÚTIL</v>
          </cell>
          <cell r="M368">
            <v>5.2531000000000001E-2</v>
          </cell>
          <cell r="N368">
            <v>1.134874064667563</v>
          </cell>
        </row>
        <row r="369">
          <cell r="K369">
            <v>42426</v>
          </cell>
          <cell r="L369" t="str">
            <v>DIA ÚTIL</v>
          </cell>
          <cell r="M369">
            <v>5.2531000000000001E-2</v>
          </cell>
          <cell r="N369">
            <v>1.1354702253624736</v>
          </cell>
        </row>
        <row r="370">
          <cell r="K370">
            <v>42427</v>
          </cell>
          <cell r="M370">
            <v>0</v>
          </cell>
          <cell r="N370">
            <v>1.1354702253624736</v>
          </cell>
        </row>
        <row r="371">
          <cell r="K371">
            <v>42428</v>
          </cell>
          <cell r="M371">
            <v>0</v>
          </cell>
          <cell r="N371">
            <v>1.1354702253624736</v>
          </cell>
        </row>
        <row r="372">
          <cell r="K372">
            <v>42429</v>
          </cell>
          <cell r="L372" t="str">
            <v>DIA ÚTIL</v>
          </cell>
          <cell r="M372">
            <v>5.2531000000000001E-2</v>
          </cell>
          <cell r="N372">
            <v>1.1360666992265587</v>
          </cell>
        </row>
        <row r="373">
          <cell r="K373">
            <v>42430</v>
          </cell>
          <cell r="L373" t="str">
            <v>DIA ÚTIL</v>
          </cell>
          <cell r="M373">
            <v>5.2531000000000001E-2</v>
          </cell>
          <cell r="N373">
            <v>1.1366634864243295</v>
          </cell>
        </row>
        <row r="374">
          <cell r="K374">
            <v>42431</v>
          </cell>
          <cell r="L374" t="str">
            <v>DIA ÚTIL</v>
          </cell>
          <cell r="M374">
            <v>5.2531000000000001E-2</v>
          </cell>
          <cell r="N374">
            <v>1.1372605871203831</v>
          </cell>
        </row>
        <row r="375">
          <cell r="K375">
            <v>42432</v>
          </cell>
          <cell r="L375" t="str">
            <v>DIA ÚTIL</v>
          </cell>
          <cell r="M375">
            <v>5.2531000000000001E-2</v>
          </cell>
          <cell r="N375">
            <v>1.1378580014794033</v>
          </cell>
        </row>
        <row r="376">
          <cell r="K376">
            <v>42433</v>
          </cell>
          <cell r="L376" t="str">
            <v>DIA ÚTIL</v>
          </cell>
          <cell r="M376">
            <v>5.2531000000000001E-2</v>
          </cell>
          <cell r="N376">
            <v>1.1384557296661604</v>
          </cell>
        </row>
        <row r="377">
          <cell r="K377">
            <v>42434</v>
          </cell>
          <cell r="M377">
            <v>0</v>
          </cell>
          <cell r="N377">
            <v>1.1384557296661604</v>
          </cell>
        </row>
        <row r="378">
          <cell r="K378">
            <v>42435</v>
          </cell>
          <cell r="M378">
            <v>0</v>
          </cell>
          <cell r="N378">
            <v>1.1384557296661604</v>
          </cell>
        </row>
        <row r="379">
          <cell r="K379">
            <v>42436</v>
          </cell>
          <cell r="L379" t="str">
            <v>DIA ÚTIL</v>
          </cell>
          <cell r="M379">
            <v>5.2531000000000001E-2</v>
          </cell>
          <cell r="N379">
            <v>1.1390537718455114</v>
          </cell>
        </row>
        <row r="380">
          <cell r="K380">
            <v>42437</v>
          </cell>
          <cell r="L380" t="str">
            <v>DIA ÚTIL</v>
          </cell>
          <cell r="M380">
            <v>5.2531000000000001E-2</v>
          </cell>
          <cell r="N380">
            <v>1.1396521281823995</v>
          </cell>
        </row>
        <row r="381">
          <cell r="K381">
            <v>42438</v>
          </cell>
          <cell r="L381" t="str">
            <v>DIA ÚTIL</v>
          </cell>
          <cell r="M381">
            <v>5.2531000000000001E-2</v>
          </cell>
          <cell r="N381">
            <v>1.1402507988418549</v>
          </cell>
        </row>
        <row r="382">
          <cell r="K382">
            <v>42439</v>
          </cell>
          <cell r="L382" t="str">
            <v>DIA ÚTIL</v>
          </cell>
          <cell r="M382">
            <v>5.2531000000000001E-2</v>
          </cell>
          <cell r="N382">
            <v>1.1408497839889944</v>
          </cell>
        </row>
        <row r="383">
          <cell r="K383">
            <v>42440</v>
          </cell>
          <cell r="L383" t="str">
            <v>DIA ÚTIL</v>
          </cell>
          <cell r="M383">
            <v>5.2531000000000001E-2</v>
          </cell>
          <cell r="N383">
            <v>1.1414490837890217</v>
          </cell>
        </row>
        <row r="384">
          <cell r="K384">
            <v>42441</v>
          </cell>
          <cell r="M384">
            <v>0</v>
          </cell>
          <cell r="N384">
            <v>1.1414490837890217</v>
          </cell>
        </row>
        <row r="385">
          <cell r="K385">
            <v>42442</v>
          </cell>
          <cell r="M385">
            <v>0</v>
          </cell>
          <cell r="N385">
            <v>1.1414490837890217</v>
          </cell>
        </row>
        <row r="386">
          <cell r="K386">
            <v>42443</v>
          </cell>
          <cell r="L386" t="str">
            <v>DIA ÚTIL</v>
          </cell>
          <cell r="M386">
            <v>5.2531000000000001E-2</v>
          </cell>
          <cell r="N386">
            <v>1.1420486984072269</v>
          </cell>
        </row>
        <row r="387">
          <cell r="K387">
            <v>42444</v>
          </cell>
          <cell r="L387" t="str">
            <v>DIA ÚTIL</v>
          </cell>
          <cell r="M387">
            <v>5.2531000000000001E-2</v>
          </cell>
          <cell r="N387">
            <v>1.1426486280089871</v>
          </cell>
        </row>
        <row r="388">
          <cell r="K388">
            <v>42445</v>
          </cell>
          <cell r="L388" t="str">
            <v>DIA ÚTIL</v>
          </cell>
          <cell r="M388">
            <v>5.2531000000000001E-2</v>
          </cell>
          <cell r="N388">
            <v>1.1432488727597665</v>
          </cell>
        </row>
        <row r="389">
          <cell r="K389">
            <v>42446</v>
          </cell>
          <cell r="L389" t="str">
            <v>DIA ÚTIL</v>
          </cell>
          <cell r="M389">
            <v>5.2531000000000001E-2</v>
          </cell>
          <cell r="N389">
            <v>1.1438494328251159</v>
          </cell>
        </row>
        <row r="390">
          <cell r="K390">
            <v>42447</v>
          </cell>
          <cell r="L390" t="str">
            <v>DIA ÚTIL</v>
          </cell>
          <cell r="M390">
            <v>5.2531000000000001E-2</v>
          </cell>
          <cell r="N390">
            <v>1.1444503083706732</v>
          </cell>
        </row>
        <row r="391">
          <cell r="K391">
            <v>42448</v>
          </cell>
          <cell r="M391">
            <v>0</v>
          </cell>
          <cell r="N391">
            <v>1.1444503083706732</v>
          </cell>
        </row>
        <row r="392">
          <cell r="K392">
            <v>42449</v>
          </cell>
          <cell r="M392">
            <v>0</v>
          </cell>
          <cell r="N392">
            <v>1.1444503083706732</v>
          </cell>
        </row>
        <row r="393">
          <cell r="K393">
            <v>42450</v>
          </cell>
          <cell r="L393" t="str">
            <v>DIA ÚTIL</v>
          </cell>
          <cell r="M393">
            <v>5.2531000000000001E-2</v>
          </cell>
          <cell r="N393">
            <v>1.1450514995621635</v>
          </cell>
        </row>
        <row r="394">
          <cell r="K394">
            <v>42451</v>
          </cell>
          <cell r="L394" t="str">
            <v>DIA ÚTIL</v>
          </cell>
          <cell r="M394">
            <v>5.2531000000000001E-2</v>
          </cell>
          <cell r="N394">
            <v>1.1456530065653985</v>
          </cell>
        </row>
        <row r="395">
          <cell r="K395">
            <v>42452</v>
          </cell>
          <cell r="L395" t="str">
            <v>DIA ÚTIL</v>
          </cell>
          <cell r="M395">
            <v>5.2531000000000001E-2</v>
          </cell>
          <cell r="N395">
            <v>1.1462548295462773</v>
          </cell>
        </row>
        <row r="396">
          <cell r="K396">
            <v>42453</v>
          </cell>
          <cell r="L396" t="str">
            <v>DIA ÚTIL</v>
          </cell>
          <cell r="M396">
            <v>5.2531000000000001E-2</v>
          </cell>
          <cell r="N396">
            <v>1.1468569686707863</v>
          </cell>
        </row>
        <row r="397">
          <cell r="K397">
            <v>42454</v>
          </cell>
          <cell r="M397">
            <v>0</v>
          </cell>
          <cell r="N397">
            <v>1.1468569686707863</v>
          </cell>
        </row>
        <row r="398">
          <cell r="K398">
            <v>42455</v>
          </cell>
          <cell r="M398">
            <v>0</v>
          </cell>
          <cell r="N398">
            <v>1.1468569686707863</v>
          </cell>
        </row>
        <row r="399">
          <cell r="K399">
            <v>42456</v>
          </cell>
          <cell r="M399">
            <v>0</v>
          </cell>
          <cell r="N399">
            <v>1.1468569686707863</v>
          </cell>
        </row>
        <row r="400">
          <cell r="K400">
            <v>42457</v>
          </cell>
          <cell r="L400" t="str">
            <v>DIA ÚTIL</v>
          </cell>
          <cell r="M400">
            <v>5.2531000000000001E-2</v>
          </cell>
          <cell r="N400">
            <v>1.1474594241049989</v>
          </cell>
        </row>
        <row r="401">
          <cell r="K401">
            <v>42458</v>
          </cell>
          <cell r="L401" t="str">
            <v>DIA ÚTIL</v>
          </cell>
          <cell r="M401">
            <v>5.2531000000000001E-2</v>
          </cell>
          <cell r="N401">
            <v>1.1480621960150754</v>
          </cell>
        </row>
        <row r="402">
          <cell r="K402">
            <v>42459</v>
          </cell>
          <cell r="L402" t="str">
            <v>DIA ÚTIL</v>
          </cell>
          <cell r="M402">
            <v>5.2531000000000001E-2</v>
          </cell>
          <cell r="N402">
            <v>1.148665284567264</v>
          </cell>
        </row>
        <row r="403">
          <cell r="K403">
            <v>42460</v>
          </cell>
          <cell r="L403" t="str">
            <v>DIA ÚTIL</v>
          </cell>
          <cell r="M403">
            <v>5.2531000000000001E-2</v>
          </cell>
          <cell r="N403">
            <v>1.1492686899279001</v>
          </cell>
        </row>
        <row r="404">
          <cell r="K404">
            <v>42461</v>
          </cell>
          <cell r="L404" t="str">
            <v>DIA ÚTIL</v>
          </cell>
          <cell r="M404">
            <v>5.2531000000000001E-2</v>
          </cell>
          <cell r="N404">
            <v>1.1498724122634061</v>
          </cell>
        </row>
        <row r="405">
          <cell r="K405">
            <v>42462</v>
          </cell>
          <cell r="M405">
            <v>0</v>
          </cell>
          <cell r="N405">
            <v>1.1498724122634061</v>
          </cell>
        </row>
        <row r="406">
          <cell r="K406">
            <v>42463</v>
          </cell>
          <cell r="M406">
            <v>0</v>
          </cell>
          <cell r="N406">
            <v>1.1498724122634061</v>
          </cell>
        </row>
        <row r="407">
          <cell r="K407">
            <v>42464</v>
          </cell>
          <cell r="L407" t="str">
            <v>DIA ÚTIL</v>
          </cell>
          <cell r="M407">
            <v>5.2531000000000001E-2</v>
          </cell>
          <cell r="N407">
            <v>1.1504764517402921</v>
          </cell>
        </row>
        <row r="408">
          <cell r="K408">
            <v>42465</v>
          </cell>
          <cell r="L408" t="str">
            <v>DIA ÚTIL</v>
          </cell>
          <cell r="M408">
            <v>5.2531000000000001E-2</v>
          </cell>
          <cell r="N408">
            <v>1.1510808085251558</v>
          </cell>
        </row>
        <row r="409">
          <cell r="K409">
            <v>42466</v>
          </cell>
          <cell r="L409" t="str">
            <v>DIA ÚTIL</v>
          </cell>
          <cell r="M409">
            <v>5.2531000000000001E-2</v>
          </cell>
          <cell r="N409">
            <v>1.1516854827846821</v>
          </cell>
        </row>
        <row r="410">
          <cell r="K410">
            <v>42467</v>
          </cell>
          <cell r="L410" t="str">
            <v>DIA ÚTIL</v>
          </cell>
          <cell r="M410">
            <v>5.2531000000000001E-2</v>
          </cell>
          <cell r="N410">
            <v>1.1522904746856437</v>
          </cell>
        </row>
        <row r="411">
          <cell r="K411">
            <v>42468</v>
          </cell>
          <cell r="L411" t="str">
            <v>DIA ÚTIL</v>
          </cell>
          <cell r="M411">
            <v>5.2531000000000001E-2</v>
          </cell>
          <cell r="N411">
            <v>1.1528957843949008</v>
          </cell>
        </row>
        <row r="412">
          <cell r="K412">
            <v>42469</v>
          </cell>
          <cell r="M412">
            <v>0</v>
          </cell>
          <cell r="N412">
            <v>1.1528957843949008</v>
          </cell>
        </row>
        <row r="413">
          <cell r="K413">
            <v>42470</v>
          </cell>
          <cell r="M413">
            <v>0</v>
          </cell>
          <cell r="N413">
            <v>1.1528957843949008</v>
          </cell>
        </row>
        <row r="414">
          <cell r="K414">
            <v>42471</v>
          </cell>
          <cell r="L414" t="str">
            <v>DIA ÚTIL</v>
          </cell>
          <cell r="M414">
            <v>5.2531000000000001E-2</v>
          </cell>
          <cell r="N414">
            <v>1.1535014120794014</v>
          </cell>
        </row>
        <row r="415">
          <cell r="K415">
            <v>42472</v>
          </cell>
          <cell r="L415" t="str">
            <v>DIA ÚTIL</v>
          </cell>
          <cell r="M415">
            <v>5.2531000000000001E-2</v>
          </cell>
          <cell r="N415">
            <v>1.1541073579061809</v>
          </cell>
        </row>
        <row r="416">
          <cell r="K416">
            <v>42473</v>
          </cell>
          <cell r="L416" t="str">
            <v>DIA ÚTIL</v>
          </cell>
          <cell r="M416">
            <v>5.2531000000000001E-2</v>
          </cell>
          <cell r="N416">
            <v>1.1547136220423626</v>
          </cell>
        </row>
        <row r="417">
          <cell r="K417">
            <v>42474</v>
          </cell>
          <cell r="L417" t="str">
            <v>DIA ÚTIL</v>
          </cell>
          <cell r="M417">
            <v>5.2531000000000001E-2</v>
          </cell>
          <cell r="N417">
            <v>1.1553202046551576</v>
          </cell>
        </row>
        <row r="418">
          <cell r="K418">
            <v>42475</v>
          </cell>
          <cell r="L418" t="str">
            <v>DIA ÚTIL</v>
          </cell>
          <cell r="M418">
            <v>5.2531000000000001E-2</v>
          </cell>
          <cell r="N418">
            <v>1.155927105911865</v>
          </cell>
        </row>
        <row r="419">
          <cell r="K419">
            <v>42476</v>
          </cell>
          <cell r="M419">
            <v>0</v>
          </cell>
          <cell r="N419">
            <v>1.155927105911865</v>
          </cell>
        </row>
        <row r="420">
          <cell r="K420">
            <v>42477</v>
          </cell>
          <cell r="M420">
            <v>0</v>
          </cell>
          <cell r="N420">
            <v>1.155927105911865</v>
          </cell>
        </row>
        <row r="421">
          <cell r="K421">
            <v>42478</v>
          </cell>
          <cell r="L421" t="str">
            <v>DIA ÚTIL</v>
          </cell>
          <cell r="M421">
            <v>5.2531000000000001E-2</v>
          </cell>
          <cell r="N421">
            <v>1.1565343259798715</v>
          </cell>
        </row>
        <row r="422">
          <cell r="K422">
            <v>42479</v>
          </cell>
          <cell r="L422" t="str">
            <v>DIA ÚTIL</v>
          </cell>
          <cell r="M422">
            <v>5.2531000000000001E-2</v>
          </cell>
          <cell r="N422">
            <v>1.1571418650266521</v>
          </cell>
        </row>
        <row r="423">
          <cell r="K423">
            <v>42480</v>
          </cell>
          <cell r="L423" t="str">
            <v>DIA ÚTIL</v>
          </cell>
          <cell r="M423">
            <v>5.2531000000000001E-2</v>
          </cell>
          <cell r="N423">
            <v>1.1577497232197693</v>
          </cell>
        </row>
        <row r="424">
          <cell r="K424">
            <v>42481</v>
          </cell>
          <cell r="M424">
            <v>0</v>
          </cell>
          <cell r="N424">
            <v>1.1577497232197693</v>
          </cell>
        </row>
        <row r="425">
          <cell r="K425">
            <v>42482</v>
          </cell>
          <cell r="L425" t="str">
            <v>DIA ÚTIL</v>
          </cell>
          <cell r="M425">
            <v>5.2531000000000001E-2</v>
          </cell>
          <cell r="N425">
            <v>1.1583579007268738</v>
          </cell>
        </row>
        <row r="426">
          <cell r="K426">
            <v>42483</v>
          </cell>
          <cell r="M426">
            <v>0</v>
          </cell>
          <cell r="N426">
            <v>1.1583579007268738</v>
          </cell>
        </row>
        <row r="427">
          <cell r="K427">
            <v>42484</v>
          </cell>
          <cell r="M427">
            <v>0</v>
          </cell>
          <cell r="N427">
            <v>1.1583579007268738</v>
          </cell>
        </row>
        <row r="428">
          <cell r="K428">
            <v>42485</v>
          </cell>
          <cell r="L428" t="str">
            <v>DIA ÚTIL</v>
          </cell>
          <cell r="M428">
            <v>5.2531000000000001E-2</v>
          </cell>
          <cell r="N428">
            <v>1.1589663977157048</v>
          </cell>
        </row>
        <row r="429">
          <cell r="K429">
            <v>42486</v>
          </cell>
          <cell r="L429" t="str">
            <v>DIA ÚTIL</v>
          </cell>
          <cell r="M429">
            <v>5.2531000000000001E-2</v>
          </cell>
          <cell r="N429">
            <v>1.1595752143540887</v>
          </cell>
        </row>
        <row r="430">
          <cell r="K430">
            <v>42487</v>
          </cell>
          <cell r="L430" t="str">
            <v>DIA ÚTIL</v>
          </cell>
          <cell r="M430">
            <v>5.2531000000000001E-2</v>
          </cell>
          <cell r="N430">
            <v>1.160184350809941</v>
          </cell>
        </row>
        <row r="431">
          <cell r="K431">
            <v>42488</v>
          </cell>
          <cell r="L431" t="str">
            <v>DIA ÚTIL</v>
          </cell>
          <cell r="M431">
            <v>5.2531000000000001E-2</v>
          </cell>
          <cell r="N431">
            <v>1.1607938072512649</v>
          </cell>
        </row>
        <row r="432">
          <cell r="K432">
            <v>42489</v>
          </cell>
          <cell r="L432" t="str">
            <v>DIA ÚTIL</v>
          </cell>
          <cell r="M432">
            <v>5.2531000000000001E-2</v>
          </cell>
          <cell r="N432">
            <v>1.1614035838461521</v>
          </cell>
        </row>
        <row r="433">
          <cell r="K433">
            <v>42490</v>
          </cell>
          <cell r="M433">
            <v>0</v>
          </cell>
          <cell r="N433">
            <v>1.1614035838461521</v>
          </cell>
        </row>
        <row r="434">
          <cell r="K434">
            <v>42491</v>
          </cell>
          <cell r="M434">
            <v>0</v>
          </cell>
          <cell r="N434">
            <v>1.1614035838461521</v>
          </cell>
        </row>
        <row r="435">
          <cell r="K435">
            <v>42492</v>
          </cell>
          <cell r="L435" t="str">
            <v>DIA ÚTIL</v>
          </cell>
          <cell r="M435">
            <v>5.2531000000000001E-2</v>
          </cell>
          <cell r="N435">
            <v>1.1620136807627823</v>
          </cell>
        </row>
        <row r="436">
          <cell r="K436">
            <v>42493</v>
          </cell>
          <cell r="L436" t="str">
            <v>DIA ÚTIL</v>
          </cell>
          <cell r="M436">
            <v>5.2531000000000001E-2</v>
          </cell>
          <cell r="N436">
            <v>1.1626240981694238</v>
          </cell>
        </row>
        <row r="437">
          <cell r="K437">
            <v>42494</v>
          </cell>
          <cell r="L437" t="str">
            <v>DIA ÚTIL</v>
          </cell>
          <cell r="M437">
            <v>5.2531000000000001E-2</v>
          </cell>
          <cell r="N437">
            <v>1.1632348362344331</v>
          </cell>
        </row>
        <row r="438">
          <cell r="K438">
            <v>42495</v>
          </cell>
          <cell r="L438" t="str">
            <v>DIA ÚTIL</v>
          </cell>
          <cell r="M438">
            <v>5.2531000000000001E-2</v>
          </cell>
          <cell r="N438">
            <v>1.1638458951262554</v>
          </cell>
        </row>
        <row r="439">
          <cell r="K439">
            <v>42496</v>
          </cell>
          <cell r="L439" t="str">
            <v>DIA ÚTIL</v>
          </cell>
          <cell r="M439">
            <v>5.2531000000000001E-2</v>
          </cell>
          <cell r="N439">
            <v>1.1644572750134241</v>
          </cell>
        </row>
        <row r="440">
          <cell r="K440">
            <v>42497</v>
          </cell>
          <cell r="M440">
            <v>0</v>
          </cell>
          <cell r="N440">
            <v>1.1644572750134241</v>
          </cell>
        </row>
        <row r="441">
          <cell r="K441">
            <v>42498</v>
          </cell>
          <cell r="M441">
            <v>0</v>
          </cell>
          <cell r="N441">
            <v>1.1644572750134241</v>
          </cell>
        </row>
        <row r="442">
          <cell r="K442">
            <v>42499</v>
          </cell>
          <cell r="L442" t="str">
            <v>DIA ÚTIL</v>
          </cell>
          <cell r="M442">
            <v>5.2531000000000001E-2</v>
          </cell>
          <cell r="N442">
            <v>1.1650689760645614</v>
          </cell>
        </row>
        <row r="443">
          <cell r="K443">
            <v>42500</v>
          </cell>
          <cell r="L443" t="str">
            <v>DIA ÚTIL</v>
          </cell>
          <cell r="M443">
            <v>5.2531000000000001E-2</v>
          </cell>
          <cell r="N443">
            <v>1.1656809984483778</v>
          </cell>
        </row>
        <row r="444">
          <cell r="K444">
            <v>42501</v>
          </cell>
          <cell r="L444" t="str">
            <v>DIA ÚTIL</v>
          </cell>
          <cell r="M444">
            <v>5.2531000000000001E-2</v>
          </cell>
          <cell r="N444">
            <v>1.1662933423336728</v>
          </cell>
        </row>
        <row r="445">
          <cell r="K445">
            <v>42502</v>
          </cell>
          <cell r="L445" t="str">
            <v>DIA ÚTIL</v>
          </cell>
          <cell r="M445">
            <v>5.2531000000000001E-2</v>
          </cell>
          <cell r="N445">
            <v>1.1669060078893341</v>
          </cell>
        </row>
        <row r="446">
          <cell r="K446">
            <v>42503</v>
          </cell>
          <cell r="L446" t="str">
            <v>DIA ÚTIL</v>
          </cell>
          <cell r="M446">
            <v>5.2531000000000001E-2</v>
          </cell>
          <cell r="N446">
            <v>1.1675189952843383</v>
          </cell>
        </row>
        <row r="447">
          <cell r="K447">
            <v>42504</v>
          </cell>
          <cell r="M447">
            <v>0</v>
          </cell>
          <cell r="N447">
            <v>1.1675189952843383</v>
          </cell>
        </row>
        <row r="448">
          <cell r="K448">
            <v>42505</v>
          </cell>
          <cell r="M448">
            <v>0</v>
          </cell>
          <cell r="N448">
            <v>1.1675189952843383</v>
          </cell>
        </row>
        <row r="449">
          <cell r="K449">
            <v>42506</v>
          </cell>
          <cell r="L449" t="str">
            <v>DIA ÚTIL</v>
          </cell>
          <cell r="M449">
            <v>5.2531000000000001E-2</v>
          </cell>
          <cell r="N449">
            <v>1.1681323046877512</v>
          </cell>
        </row>
        <row r="450">
          <cell r="K450">
            <v>42507</v>
          </cell>
          <cell r="L450" t="str">
            <v>DIA ÚTIL</v>
          </cell>
          <cell r="M450">
            <v>5.2531000000000001E-2</v>
          </cell>
          <cell r="N450">
            <v>1.1687459362687267</v>
          </cell>
        </row>
        <row r="451">
          <cell r="K451">
            <v>42508</v>
          </cell>
          <cell r="L451" t="str">
            <v>DIA ÚTIL</v>
          </cell>
          <cell r="M451">
            <v>5.2531000000000001E-2</v>
          </cell>
          <cell r="N451">
            <v>1.1693598901965081</v>
          </cell>
        </row>
        <row r="452">
          <cell r="K452">
            <v>42509</v>
          </cell>
          <cell r="L452" t="str">
            <v>DIA ÚTIL</v>
          </cell>
          <cell r="M452">
            <v>5.2531000000000001E-2</v>
          </cell>
          <cell r="N452">
            <v>1.1699741666404273</v>
          </cell>
        </row>
        <row r="453">
          <cell r="K453">
            <v>42510</v>
          </cell>
          <cell r="L453" t="str">
            <v>DIA ÚTIL</v>
          </cell>
          <cell r="M453">
            <v>5.2531000000000001E-2</v>
          </cell>
          <cell r="N453">
            <v>1.1705887657699052</v>
          </cell>
        </row>
        <row r="454">
          <cell r="K454">
            <v>42511</v>
          </cell>
          <cell r="M454">
            <v>0</v>
          </cell>
          <cell r="N454">
            <v>1.1705887657699052</v>
          </cell>
        </row>
        <row r="455">
          <cell r="K455">
            <v>42512</v>
          </cell>
          <cell r="M455">
            <v>0</v>
          </cell>
          <cell r="N455">
            <v>1.1705887657699052</v>
          </cell>
        </row>
        <row r="456">
          <cell r="K456">
            <v>42513</v>
          </cell>
          <cell r="L456" t="str">
            <v>DIA ÚTIL</v>
          </cell>
          <cell r="M456">
            <v>5.2531000000000001E-2</v>
          </cell>
          <cell r="N456">
            <v>1.1712036877544518</v>
          </cell>
        </row>
        <row r="457">
          <cell r="K457">
            <v>42514</v>
          </cell>
          <cell r="L457" t="str">
            <v>DIA ÚTIL</v>
          </cell>
          <cell r="M457">
            <v>5.2531000000000001E-2</v>
          </cell>
          <cell r="N457">
            <v>1.1718189327636661</v>
          </cell>
        </row>
        <row r="458">
          <cell r="K458">
            <v>42515</v>
          </cell>
          <cell r="L458" t="str">
            <v>DIA ÚTIL</v>
          </cell>
          <cell r="M458">
            <v>5.2531000000000001E-2</v>
          </cell>
          <cell r="N458">
            <v>1.1724345009672361</v>
          </cell>
        </row>
        <row r="459">
          <cell r="K459">
            <v>42516</v>
          </cell>
          <cell r="M459">
            <v>0</v>
          </cell>
          <cell r="N459">
            <v>1.1724345009672361</v>
          </cell>
        </row>
        <row r="460">
          <cell r="K460">
            <v>42517</v>
          </cell>
          <cell r="L460" t="str">
            <v>DIA ÚTIL</v>
          </cell>
          <cell r="M460">
            <v>5.2531000000000001E-2</v>
          </cell>
          <cell r="N460">
            <v>1.1730503925349391</v>
          </cell>
        </row>
        <row r="461">
          <cell r="K461">
            <v>42518</v>
          </cell>
          <cell r="M461">
            <v>0</v>
          </cell>
          <cell r="N461">
            <v>1.1730503925349391</v>
          </cell>
        </row>
        <row r="462">
          <cell r="K462">
            <v>42519</v>
          </cell>
          <cell r="M462">
            <v>0</v>
          </cell>
          <cell r="N462">
            <v>1.1730503925349391</v>
          </cell>
        </row>
        <row r="463">
          <cell r="K463">
            <v>42520</v>
          </cell>
          <cell r="L463" t="str">
            <v>DIA ÚTIL</v>
          </cell>
          <cell r="M463">
            <v>5.2531000000000001E-2</v>
          </cell>
          <cell r="N463">
            <v>1.1736666076366418</v>
          </cell>
        </row>
        <row r="464">
          <cell r="K464">
            <v>42521</v>
          </cell>
          <cell r="L464" t="str">
            <v>DIA ÚTIL</v>
          </cell>
          <cell r="M464">
            <v>5.2531000000000001E-2</v>
          </cell>
          <cell r="N464">
            <v>1.1742831464422994</v>
          </cell>
        </row>
        <row r="465">
          <cell r="K465">
            <v>42522</v>
          </cell>
          <cell r="L465" t="str">
            <v>DIA ÚTIL</v>
          </cell>
          <cell r="M465">
            <v>5.2531000000000001E-2</v>
          </cell>
          <cell r="N465">
            <v>1.174900009121957</v>
          </cell>
        </row>
        <row r="466">
          <cell r="K466">
            <v>42523</v>
          </cell>
          <cell r="L466" t="str">
            <v>DIA ÚTIL</v>
          </cell>
          <cell r="M466">
            <v>5.2531000000000001E-2</v>
          </cell>
          <cell r="N466">
            <v>1.1755171958457489</v>
          </cell>
        </row>
        <row r="467">
          <cell r="K467">
            <v>42524</v>
          </cell>
          <cell r="L467" t="str">
            <v>DIA ÚTIL</v>
          </cell>
          <cell r="M467">
            <v>5.2531000000000001E-2</v>
          </cell>
          <cell r="N467">
            <v>1.1761347067838985</v>
          </cell>
        </row>
        <row r="468">
          <cell r="K468">
            <v>42525</v>
          </cell>
          <cell r="M468">
            <v>0</v>
          </cell>
          <cell r="N468">
            <v>1.1761347067838985</v>
          </cell>
        </row>
        <row r="469">
          <cell r="K469">
            <v>42526</v>
          </cell>
          <cell r="M469">
            <v>0</v>
          </cell>
          <cell r="N469">
            <v>1.1761347067838985</v>
          </cell>
        </row>
        <row r="470">
          <cell r="K470">
            <v>42527</v>
          </cell>
          <cell r="L470" t="str">
            <v>DIA ÚTIL</v>
          </cell>
          <cell r="M470">
            <v>5.2531000000000001E-2</v>
          </cell>
          <cell r="N470">
            <v>1.1767525421067191</v>
          </cell>
        </row>
        <row r="471">
          <cell r="K471">
            <v>42528</v>
          </cell>
          <cell r="L471" t="str">
            <v>DIA ÚTIL</v>
          </cell>
          <cell r="M471">
            <v>5.2531000000000001E-2</v>
          </cell>
          <cell r="N471">
            <v>1.1773707019846131</v>
          </cell>
        </row>
        <row r="472">
          <cell r="K472">
            <v>42529</v>
          </cell>
          <cell r="L472" t="str">
            <v>DIA ÚTIL</v>
          </cell>
          <cell r="M472">
            <v>5.2531000000000001E-2</v>
          </cell>
          <cell r="N472">
            <v>1.1779891865880727</v>
          </cell>
        </row>
        <row r="473">
          <cell r="K473">
            <v>42530</v>
          </cell>
          <cell r="L473" t="str">
            <v>DIA ÚTIL</v>
          </cell>
          <cell r="M473">
            <v>5.2531000000000001E-2</v>
          </cell>
          <cell r="N473">
            <v>1.1786079960876794</v>
          </cell>
        </row>
        <row r="474">
          <cell r="K474">
            <v>42531</v>
          </cell>
          <cell r="L474" t="str">
            <v>DIA ÚTIL</v>
          </cell>
          <cell r="M474">
            <v>5.2531000000000001E-2</v>
          </cell>
          <cell r="N474">
            <v>1.1792271306541042</v>
          </cell>
        </row>
        <row r="475">
          <cell r="K475">
            <v>42532</v>
          </cell>
          <cell r="M475">
            <v>0</v>
          </cell>
          <cell r="N475">
            <v>1.1792271306541042</v>
          </cell>
        </row>
        <row r="476">
          <cell r="K476">
            <v>42533</v>
          </cell>
          <cell r="M476">
            <v>0</v>
          </cell>
          <cell r="N476">
            <v>1.1792271306541042</v>
          </cell>
        </row>
        <row r="477">
          <cell r="K477">
            <v>42534</v>
          </cell>
          <cell r="L477" t="str">
            <v>DIA ÚTIL</v>
          </cell>
          <cell r="M477">
            <v>5.2531000000000001E-2</v>
          </cell>
          <cell r="N477">
            <v>1.1798465904581081</v>
          </cell>
        </row>
        <row r="478">
          <cell r="K478">
            <v>42535</v>
          </cell>
          <cell r="L478" t="str">
            <v>DIA ÚTIL</v>
          </cell>
          <cell r="M478">
            <v>5.2531000000000001E-2</v>
          </cell>
          <cell r="N478">
            <v>1.1804663756705416</v>
          </cell>
        </row>
        <row r="479">
          <cell r="K479">
            <v>42536</v>
          </cell>
          <cell r="L479" t="str">
            <v>DIA ÚTIL</v>
          </cell>
          <cell r="M479">
            <v>5.2531000000000001E-2</v>
          </cell>
          <cell r="N479">
            <v>1.1810864864623452</v>
          </cell>
        </row>
        <row r="480">
          <cell r="K480">
            <v>42537</v>
          </cell>
          <cell r="L480" t="str">
            <v>DIA ÚTIL</v>
          </cell>
          <cell r="M480">
            <v>5.2531000000000001E-2</v>
          </cell>
          <cell r="N480">
            <v>1.1817069230045487</v>
          </cell>
        </row>
        <row r="481">
          <cell r="K481">
            <v>42538</v>
          </cell>
          <cell r="L481" t="str">
            <v>DIA ÚTIL</v>
          </cell>
          <cell r="M481">
            <v>5.2531000000000001E-2</v>
          </cell>
          <cell r="N481">
            <v>1.1823276854682723</v>
          </cell>
        </row>
        <row r="482">
          <cell r="K482">
            <v>42539</v>
          </cell>
          <cell r="M482">
            <v>0</v>
          </cell>
          <cell r="N482">
            <v>1.1823276854682723</v>
          </cell>
        </row>
        <row r="483">
          <cell r="K483">
            <v>42540</v>
          </cell>
          <cell r="M483">
            <v>0</v>
          </cell>
          <cell r="N483">
            <v>1.1823276854682723</v>
          </cell>
        </row>
        <row r="484">
          <cell r="K484">
            <v>42541</v>
          </cell>
          <cell r="L484" t="str">
            <v>DIA ÚTIL</v>
          </cell>
          <cell r="M484">
            <v>5.2531000000000001E-2</v>
          </cell>
          <cell r="N484">
            <v>1.1829487740247255</v>
          </cell>
        </row>
        <row r="485">
          <cell r="K485">
            <v>42542</v>
          </cell>
          <cell r="L485" t="str">
            <v>DIA ÚTIL</v>
          </cell>
          <cell r="M485">
            <v>5.2531000000000001E-2</v>
          </cell>
          <cell r="N485">
            <v>1.1835701888452084</v>
          </cell>
        </row>
        <row r="486">
          <cell r="K486">
            <v>42543</v>
          </cell>
          <cell r="L486" t="str">
            <v>DIA ÚTIL</v>
          </cell>
          <cell r="M486">
            <v>5.2531000000000001E-2</v>
          </cell>
          <cell r="N486">
            <v>1.1841919301011106</v>
          </cell>
        </row>
        <row r="487">
          <cell r="K487">
            <v>42544</v>
          </cell>
          <cell r="L487" t="str">
            <v>DIA ÚTIL</v>
          </cell>
          <cell r="M487">
            <v>5.2531000000000001E-2</v>
          </cell>
          <cell r="N487">
            <v>1.1848139979639121</v>
          </cell>
        </row>
        <row r="488">
          <cell r="K488">
            <v>42545</v>
          </cell>
          <cell r="L488" t="str">
            <v>DIA ÚTIL</v>
          </cell>
          <cell r="M488">
            <v>5.2531000000000001E-2</v>
          </cell>
          <cell r="N488">
            <v>1.1854363926051825</v>
          </cell>
        </row>
        <row r="489">
          <cell r="K489">
            <v>42546</v>
          </cell>
          <cell r="M489">
            <v>0</v>
          </cell>
          <cell r="N489">
            <v>1.1854363926051825</v>
          </cell>
        </row>
        <row r="490">
          <cell r="K490">
            <v>42547</v>
          </cell>
          <cell r="M490">
            <v>0</v>
          </cell>
          <cell r="N490">
            <v>1.1854363926051825</v>
          </cell>
        </row>
        <row r="491">
          <cell r="K491">
            <v>42548</v>
          </cell>
          <cell r="L491" t="str">
            <v>DIA ÚTIL</v>
          </cell>
          <cell r="M491">
            <v>5.2531000000000001E-2</v>
          </cell>
          <cell r="N491">
            <v>1.1860591141965819</v>
          </cell>
        </row>
        <row r="492">
          <cell r="K492">
            <v>42549</v>
          </cell>
          <cell r="L492" t="str">
            <v>DIA ÚTIL</v>
          </cell>
          <cell r="M492">
            <v>5.2531000000000001E-2</v>
          </cell>
          <cell r="N492">
            <v>1.1866821629098605</v>
          </cell>
        </row>
        <row r="493">
          <cell r="K493">
            <v>42550</v>
          </cell>
          <cell r="L493" t="str">
            <v>DIA ÚTIL</v>
          </cell>
          <cell r="M493">
            <v>5.2531000000000001E-2</v>
          </cell>
          <cell r="N493">
            <v>1.1873055389168587</v>
          </cell>
        </row>
        <row r="494">
          <cell r="K494">
            <v>42551</v>
          </cell>
          <cell r="L494" t="str">
            <v>DIA ÚTIL</v>
          </cell>
          <cell r="M494">
            <v>5.2531000000000001E-2</v>
          </cell>
          <cell r="N494">
            <v>1.1879292423895071</v>
          </cell>
        </row>
        <row r="495">
          <cell r="K495">
            <v>42552</v>
          </cell>
          <cell r="L495" t="str">
            <v>DIA ÚTIL</v>
          </cell>
          <cell r="M495">
            <v>5.2531000000000001E-2</v>
          </cell>
          <cell r="N495">
            <v>1.1885532734998268</v>
          </cell>
        </row>
        <row r="496">
          <cell r="K496">
            <v>42553</v>
          </cell>
          <cell r="M496">
            <v>0</v>
          </cell>
          <cell r="N496">
            <v>1.1885532734998268</v>
          </cell>
        </row>
        <row r="497">
          <cell r="K497">
            <v>42554</v>
          </cell>
          <cell r="M497">
            <v>0</v>
          </cell>
          <cell r="N497">
            <v>1.1885532734998268</v>
          </cell>
        </row>
        <row r="498">
          <cell r="K498">
            <v>42555</v>
          </cell>
          <cell r="L498" t="str">
            <v>DIA ÚTIL</v>
          </cell>
          <cell r="M498">
            <v>5.2531000000000001E-2</v>
          </cell>
          <cell r="N498">
            <v>1.189177632419929</v>
          </cell>
        </row>
        <row r="499">
          <cell r="K499">
            <v>42556</v>
          </cell>
          <cell r="L499" t="str">
            <v>DIA ÚTIL</v>
          </cell>
          <cell r="M499">
            <v>5.2531000000000001E-2</v>
          </cell>
          <cell r="N499">
            <v>1.1898023193220155</v>
          </cell>
        </row>
        <row r="500">
          <cell r="K500">
            <v>42557</v>
          </cell>
          <cell r="L500" t="str">
            <v>DIA ÚTIL</v>
          </cell>
          <cell r="M500">
            <v>5.2531000000000001E-2</v>
          </cell>
          <cell r="N500">
            <v>1.1904273343783787</v>
          </cell>
        </row>
        <row r="501">
          <cell r="K501">
            <v>42558</v>
          </cell>
          <cell r="L501" t="str">
            <v>DIA ÚTIL</v>
          </cell>
          <cell r="M501">
            <v>5.2531000000000001E-2</v>
          </cell>
          <cell r="N501">
            <v>1.191052677761401</v>
          </cell>
        </row>
        <row r="502">
          <cell r="K502">
            <v>42559</v>
          </cell>
          <cell r="L502" t="str">
            <v>DIA ÚTIL</v>
          </cell>
          <cell r="M502">
            <v>5.2531000000000001E-2</v>
          </cell>
          <cell r="N502">
            <v>1.1916783496435559</v>
          </cell>
        </row>
        <row r="503">
          <cell r="K503">
            <v>42560</v>
          </cell>
          <cell r="M503">
            <v>0</v>
          </cell>
          <cell r="N503">
            <v>1.1916783496435559</v>
          </cell>
        </row>
        <row r="504">
          <cell r="K504">
            <v>42561</v>
          </cell>
          <cell r="M504">
            <v>0</v>
          </cell>
          <cell r="N504">
            <v>1.1916783496435559</v>
          </cell>
        </row>
        <row r="505">
          <cell r="K505">
            <v>42562</v>
          </cell>
          <cell r="L505" t="str">
            <v>DIA ÚTIL</v>
          </cell>
          <cell r="M505">
            <v>5.2531000000000001E-2</v>
          </cell>
          <cell r="N505">
            <v>1.1923043501974071</v>
          </cell>
        </row>
        <row r="506">
          <cell r="K506">
            <v>42563</v>
          </cell>
          <cell r="L506" t="str">
            <v>DIA ÚTIL</v>
          </cell>
          <cell r="M506">
            <v>5.2531000000000001E-2</v>
          </cell>
          <cell r="N506">
            <v>1.1929306795956094</v>
          </cell>
        </row>
        <row r="507">
          <cell r="K507">
            <v>42564</v>
          </cell>
          <cell r="L507" t="str">
            <v>DIA ÚTIL</v>
          </cell>
          <cell r="M507">
            <v>5.2531000000000001E-2</v>
          </cell>
          <cell r="N507">
            <v>1.1935573380109077</v>
          </cell>
        </row>
        <row r="508">
          <cell r="K508">
            <v>42565</v>
          </cell>
          <cell r="L508" t="str">
            <v>DIA ÚTIL</v>
          </cell>
          <cell r="M508">
            <v>5.2531000000000001E-2</v>
          </cell>
          <cell r="N508">
            <v>1.1941843256161382</v>
          </cell>
        </row>
        <row r="509">
          <cell r="K509">
            <v>42566</v>
          </cell>
          <cell r="L509" t="str">
            <v>DIA ÚTIL</v>
          </cell>
          <cell r="M509">
            <v>5.2531000000000001E-2</v>
          </cell>
          <cell r="N509">
            <v>1.1948116425842277</v>
          </cell>
        </row>
        <row r="510">
          <cell r="K510">
            <v>42567</v>
          </cell>
          <cell r="M510">
            <v>0</v>
          </cell>
          <cell r="N510">
            <v>1.1948116425842277</v>
          </cell>
        </row>
        <row r="511">
          <cell r="K511">
            <v>42568</v>
          </cell>
          <cell r="M511">
            <v>0</v>
          </cell>
          <cell r="N511">
            <v>1.1948116425842277</v>
          </cell>
        </row>
        <row r="512">
          <cell r="K512">
            <v>42569</v>
          </cell>
          <cell r="L512" t="str">
            <v>DIA ÚTIL</v>
          </cell>
          <cell r="M512">
            <v>5.2531000000000001E-2</v>
          </cell>
          <cell r="N512">
            <v>1.1954392890881935</v>
          </cell>
        </row>
        <row r="513">
          <cell r="K513">
            <v>42570</v>
          </cell>
          <cell r="L513" t="str">
            <v>DIA ÚTIL</v>
          </cell>
          <cell r="M513">
            <v>5.2531000000000001E-2</v>
          </cell>
          <cell r="N513">
            <v>1.1960672653011444</v>
          </cell>
        </row>
        <row r="514">
          <cell r="K514">
            <v>42571</v>
          </cell>
          <cell r="L514" t="str">
            <v>DIA ÚTIL</v>
          </cell>
          <cell r="M514">
            <v>5.2531000000000001E-2</v>
          </cell>
          <cell r="N514">
            <v>1.1966955713962797</v>
          </cell>
        </row>
        <row r="515">
          <cell r="K515">
            <v>42572</v>
          </cell>
          <cell r="L515" t="str">
            <v>DIA ÚTIL</v>
          </cell>
          <cell r="M515">
            <v>5.2531000000000001E-2</v>
          </cell>
          <cell r="N515">
            <v>1.19732420754689</v>
          </cell>
        </row>
        <row r="516">
          <cell r="K516">
            <v>42573</v>
          </cell>
          <cell r="L516" t="str">
            <v>DIA ÚTIL</v>
          </cell>
          <cell r="M516">
            <v>5.2531000000000001E-2</v>
          </cell>
          <cell r="N516">
            <v>1.1979531739263565</v>
          </cell>
        </row>
        <row r="517">
          <cell r="K517">
            <v>42574</v>
          </cell>
          <cell r="M517">
            <v>0</v>
          </cell>
          <cell r="N517">
            <v>1.1979531739263565</v>
          </cell>
        </row>
        <row r="518">
          <cell r="K518">
            <v>42575</v>
          </cell>
          <cell r="M518">
            <v>0</v>
          </cell>
          <cell r="N518">
            <v>1.1979531739263565</v>
          </cell>
        </row>
        <row r="519">
          <cell r="K519">
            <v>42576</v>
          </cell>
          <cell r="L519" t="str">
            <v>DIA ÚTIL</v>
          </cell>
          <cell r="M519">
            <v>5.2531000000000001E-2</v>
          </cell>
          <cell r="N519">
            <v>1.1985824707081518</v>
          </cell>
        </row>
        <row r="520">
          <cell r="K520">
            <v>42577</v>
          </cell>
          <cell r="L520" t="str">
            <v>DIA ÚTIL</v>
          </cell>
          <cell r="M520">
            <v>5.2531000000000001E-2</v>
          </cell>
          <cell r="N520">
            <v>1.1992120980658396</v>
          </cell>
        </row>
        <row r="521">
          <cell r="K521">
            <v>42578</v>
          </cell>
          <cell r="L521" t="str">
            <v>DIA ÚTIL</v>
          </cell>
          <cell r="M521">
            <v>5.2531000000000001E-2</v>
          </cell>
          <cell r="N521">
            <v>1.1998420561730745</v>
          </cell>
        </row>
        <row r="522">
          <cell r="K522">
            <v>42579</v>
          </cell>
          <cell r="L522" t="str">
            <v>DIA ÚTIL</v>
          </cell>
          <cell r="M522">
            <v>5.2531000000000001E-2</v>
          </cell>
          <cell r="N522">
            <v>1.2004723452036028</v>
          </cell>
        </row>
        <row r="523">
          <cell r="K523">
            <v>42580</v>
          </cell>
          <cell r="L523" t="str">
            <v>DIA ÚTIL</v>
          </cell>
          <cell r="M523">
            <v>5.2531000000000001E-2</v>
          </cell>
          <cell r="N523">
            <v>1.2011029653312617</v>
          </cell>
        </row>
        <row r="524">
          <cell r="K524">
            <v>42581</v>
          </cell>
          <cell r="M524">
            <v>0</v>
          </cell>
          <cell r="N524">
            <v>1.2011029653312617</v>
          </cell>
        </row>
        <row r="525">
          <cell r="K525">
            <v>42582</v>
          </cell>
          <cell r="M525">
            <v>0</v>
          </cell>
          <cell r="N525">
            <v>1.2011029653312617</v>
          </cell>
        </row>
        <row r="526">
          <cell r="K526">
            <v>42583</v>
          </cell>
          <cell r="L526" t="str">
            <v>DIA ÚTIL</v>
          </cell>
          <cell r="M526">
            <v>5.2531000000000001E-2</v>
          </cell>
          <cell r="N526">
            <v>1.2017339167299799</v>
          </cell>
        </row>
        <row r="527">
          <cell r="K527">
            <v>42584</v>
          </cell>
          <cell r="L527" t="str">
            <v>DIA ÚTIL</v>
          </cell>
          <cell r="M527">
            <v>5.2531000000000001E-2</v>
          </cell>
          <cell r="N527">
            <v>1.2023651995737772</v>
          </cell>
        </row>
        <row r="528">
          <cell r="K528">
            <v>42585</v>
          </cell>
          <cell r="L528" t="str">
            <v>DIA ÚTIL</v>
          </cell>
          <cell r="M528">
            <v>5.2531000000000001E-2</v>
          </cell>
          <cell r="N528">
            <v>1.2029968140367653</v>
          </cell>
        </row>
        <row r="529">
          <cell r="K529">
            <v>42586</v>
          </cell>
          <cell r="L529" t="str">
            <v>DIA ÚTIL</v>
          </cell>
          <cell r="M529">
            <v>5.2531000000000001E-2</v>
          </cell>
          <cell r="N529">
            <v>1.203628760293147</v>
          </cell>
        </row>
        <row r="530">
          <cell r="K530">
            <v>42587</v>
          </cell>
          <cell r="L530" t="str">
            <v>DIA ÚTIL</v>
          </cell>
          <cell r="M530">
            <v>5.2531000000000001E-2</v>
          </cell>
          <cell r="N530">
            <v>1.2042610385172166</v>
          </cell>
        </row>
        <row r="531">
          <cell r="K531">
            <v>42588</v>
          </cell>
          <cell r="M531">
            <v>0</v>
          </cell>
          <cell r="N531">
            <v>1.2042610385172166</v>
          </cell>
        </row>
        <row r="532">
          <cell r="K532">
            <v>42589</v>
          </cell>
          <cell r="M532">
            <v>0</v>
          </cell>
          <cell r="N532">
            <v>1.2042610385172166</v>
          </cell>
        </row>
        <row r="533">
          <cell r="K533">
            <v>42590</v>
          </cell>
          <cell r="L533" t="str">
            <v>DIA ÚTIL</v>
          </cell>
          <cell r="M533">
            <v>5.2531000000000001E-2</v>
          </cell>
          <cell r="N533">
            <v>1.2048936488833599</v>
          </cell>
        </row>
        <row r="534">
          <cell r="K534">
            <v>42591</v>
          </cell>
          <cell r="L534" t="str">
            <v>DIA ÚTIL</v>
          </cell>
          <cell r="M534">
            <v>5.2531000000000001E-2</v>
          </cell>
          <cell r="N534">
            <v>1.2055265915660549</v>
          </cell>
        </row>
        <row r="535">
          <cell r="K535">
            <v>42592</v>
          </cell>
          <cell r="L535" t="str">
            <v>DIA ÚTIL</v>
          </cell>
          <cell r="M535">
            <v>5.2531000000000001E-2</v>
          </cell>
          <cell r="N535">
            <v>1.2061598667398705</v>
          </cell>
        </row>
        <row r="536">
          <cell r="K536">
            <v>42593</v>
          </cell>
          <cell r="L536" t="str">
            <v>DIA ÚTIL</v>
          </cell>
          <cell r="M536">
            <v>5.2531000000000001E-2</v>
          </cell>
          <cell r="N536">
            <v>1.2067934745794677</v>
          </cell>
        </row>
        <row r="537">
          <cell r="K537">
            <v>42594</v>
          </cell>
          <cell r="L537" t="str">
            <v>DIA ÚTIL</v>
          </cell>
          <cell r="M537">
            <v>5.2531000000000001E-2</v>
          </cell>
          <cell r="N537">
            <v>1.2074274152595992</v>
          </cell>
        </row>
        <row r="538">
          <cell r="K538">
            <v>42595</v>
          </cell>
          <cell r="M538">
            <v>0</v>
          </cell>
          <cell r="N538">
            <v>1.2074274152595992</v>
          </cell>
        </row>
        <row r="539">
          <cell r="K539">
            <v>42596</v>
          </cell>
          <cell r="M539">
            <v>0</v>
          </cell>
          <cell r="N539">
            <v>1.2074274152595992</v>
          </cell>
        </row>
        <row r="540">
          <cell r="K540">
            <v>42597</v>
          </cell>
          <cell r="L540" t="str">
            <v>DIA ÚTIL</v>
          </cell>
          <cell r="M540">
            <v>5.2531000000000001E-2</v>
          </cell>
          <cell r="N540">
            <v>1.2080616889551092</v>
          </cell>
        </row>
        <row r="541">
          <cell r="K541">
            <v>42598</v>
          </cell>
          <cell r="L541" t="str">
            <v>DIA ÚTIL</v>
          </cell>
          <cell r="M541">
            <v>5.2531000000000001E-2</v>
          </cell>
          <cell r="N541">
            <v>1.2086962958409342</v>
          </cell>
        </row>
        <row r="542">
          <cell r="K542">
            <v>42599</v>
          </cell>
          <cell r="L542" t="str">
            <v>DIA ÚTIL</v>
          </cell>
          <cell r="M542">
            <v>5.2531000000000001E-2</v>
          </cell>
          <cell r="N542">
            <v>1.2093312360921025</v>
          </cell>
        </row>
        <row r="543">
          <cell r="K543">
            <v>42600</v>
          </cell>
          <cell r="L543" t="str">
            <v>DIA ÚTIL</v>
          </cell>
          <cell r="M543">
            <v>5.2531000000000001E-2</v>
          </cell>
          <cell r="N543">
            <v>1.209966509883734</v>
          </cell>
        </row>
        <row r="544">
          <cell r="K544">
            <v>42601</v>
          </cell>
          <cell r="L544" t="str">
            <v>DIA ÚTIL</v>
          </cell>
          <cell r="M544">
            <v>5.2531000000000001E-2</v>
          </cell>
          <cell r="N544">
            <v>1.2106021173910411</v>
          </cell>
        </row>
        <row r="545">
          <cell r="K545">
            <v>42602</v>
          </cell>
          <cell r="M545">
            <v>0</v>
          </cell>
          <cell r="N545">
            <v>1.2106021173910411</v>
          </cell>
        </row>
        <row r="546">
          <cell r="K546">
            <v>42603</v>
          </cell>
          <cell r="M546">
            <v>0</v>
          </cell>
          <cell r="N546">
            <v>1.2106021173910411</v>
          </cell>
        </row>
        <row r="547">
          <cell r="K547">
            <v>42604</v>
          </cell>
          <cell r="L547" t="str">
            <v>DIA ÚTIL</v>
          </cell>
          <cell r="M547">
            <v>5.2531000000000001E-2</v>
          </cell>
          <cell r="N547">
            <v>1.2112380587893277</v>
          </cell>
        </row>
        <row r="548">
          <cell r="K548">
            <v>42605</v>
          </cell>
          <cell r="L548" t="str">
            <v>DIA ÚTIL</v>
          </cell>
          <cell r="M548">
            <v>5.2531000000000001E-2</v>
          </cell>
          <cell r="N548">
            <v>1.2118743342539904</v>
          </cell>
        </row>
        <row r="549">
          <cell r="K549">
            <v>42606</v>
          </cell>
          <cell r="L549" t="str">
            <v>DIA ÚTIL</v>
          </cell>
          <cell r="M549">
            <v>5.2531000000000001E-2</v>
          </cell>
          <cell r="N549">
            <v>1.2125109439605173</v>
          </cell>
        </row>
        <row r="550">
          <cell r="K550">
            <v>42607</v>
          </cell>
          <cell r="L550" t="str">
            <v>DIA ÚTIL</v>
          </cell>
          <cell r="M550">
            <v>5.2531000000000001E-2</v>
          </cell>
          <cell r="N550">
            <v>1.2131478880844893</v>
          </cell>
        </row>
        <row r="551">
          <cell r="K551">
            <v>42608</v>
          </cell>
          <cell r="L551" t="str">
            <v>DIA ÚTIL</v>
          </cell>
          <cell r="M551">
            <v>5.2531000000000001E-2</v>
          </cell>
          <cell r="N551">
            <v>1.2137851668015789</v>
          </cell>
        </row>
        <row r="552">
          <cell r="K552">
            <v>42609</v>
          </cell>
          <cell r="M552">
            <v>0</v>
          </cell>
          <cell r="N552">
            <v>1.2137851668015789</v>
          </cell>
        </row>
        <row r="553">
          <cell r="K553">
            <v>42610</v>
          </cell>
          <cell r="M553">
            <v>0</v>
          </cell>
          <cell r="N553">
            <v>1.2137851668015789</v>
          </cell>
        </row>
        <row r="554">
          <cell r="K554">
            <v>42611</v>
          </cell>
          <cell r="L554" t="str">
            <v>DIA ÚTIL</v>
          </cell>
          <cell r="M554">
            <v>5.2531000000000001E-2</v>
          </cell>
          <cell r="N554">
            <v>1.2144227802875514</v>
          </cell>
        </row>
        <row r="555">
          <cell r="K555">
            <v>42612</v>
          </cell>
          <cell r="L555" t="str">
            <v>DIA ÚTIL</v>
          </cell>
          <cell r="M555">
            <v>5.2531000000000001E-2</v>
          </cell>
          <cell r="N555">
            <v>1.2150607287182642</v>
          </cell>
        </row>
        <row r="556">
          <cell r="K556">
            <v>42613</v>
          </cell>
          <cell r="L556" t="str">
            <v>DIA ÚTIL</v>
          </cell>
          <cell r="M556">
            <v>5.2531000000000001E-2</v>
          </cell>
          <cell r="N556">
            <v>1.2156990122696671</v>
          </cell>
        </row>
        <row r="557">
          <cell r="K557">
            <v>42614</v>
          </cell>
          <cell r="L557" t="str">
            <v>DIA ÚTIL</v>
          </cell>
          <cell r="M557">
            <v>5.2531000000000001E-2</v>
          </cell>
          <cell r="N557">
            <v>1.2163376311178025</v>
          </cell>
        </row>
        <row r="558">
          <cell r="K558">
            <v>42615</v>
          </cell>
          <cell r="L558" t="str">
            <v>DIA ÚTIL</v>
          </cell>
          <cell r="M558">
            <v>5.2531000000000001E-2</v>
          </cell>
          <cell r="N558">
            <v>1.216976585438805</v>
          </cell>
        </row>
        <row r="559">
          <cell r="K559">
            <v>42616</v>
          </cell>
          <cell r="M559">
            <v>0</v>
          </cell>
          <cell r="N559">
            <v>1.216976585438805</v>
          </cell>
        </row>
        <row r="560">
          <cell r="K560">
            <v>42617</v>
          </cell>
          <cell r="M560">
            <v>0</v>
          </cell>
          <cell r="N560">
            <v>1.216976585438805</v>
          </cell>
        </row>
        <row r="561">
          <cell r="K561">
            <v>42618</v>
          </cell>
          <cell r="L561" t="str">
            <v>DIA ÚTIL</v>
          </cell>
          <cell r="M561">
            <v>5.2531000000000001E-2</v>
          </cell>
          <cell r="N561">
            <v>1.2176158754089019</v>
          </cell>
        </row>
        <row r="562">
          <cell r="K562">
            <v>42619</v>
          </cell>
          <cell r="L562" t="str">
            <v>DIA ÚTIL</v>
          </cell>
          <cell r="M562">
            <v>5.2531000000000001E-2</v>
          </cell>
          <cell r="N562">
            <v>1.2182555012044129</v>
          </cell>
        </row>
        <row r="563">
          <cell r="K563">
            <v>42620</v>
          </cell>
          <cell r="M563">
            <v>0</v>
          </cell>
          <cell r="N563">
            <v>1.2182555012044129</v>
          </cell>
        </row>
        <row r="564">
          <cell r="K564">
            <v>42621</v>
          </cell>
          <cell r="L564" t="str">
            <v>DIA ÚTIL</v>
          </cell>
          <cell r="M564">
            <v>5.2531000000000001E-2</v>
          </cell>
          <cell r="N564">
            <v>1.2188954630017506</v>
          </cell>
        </row>
        <row r="565">
          <cell r="K565">
            <v>42622</v>
          </cell>
          <cell r="L565" t="str">
            <v>DIA ÚTIL</v>
          </cell>
          <cell r="M565">
            <v>5.2531000000000001E-2</v>
          </cell>
          <cell r="N565">
            <v>1.21953576097742</v>
          </cell>
        </row>
        <row r="566">
          <cell r="K566">
            <v>42623</v>
          </cell>
          <cell r="M566">
            <v>0</v>
          </cell>
          <cell r="N566">
            <v>1.21953576097742</v>
          </cell>
        </row>
        <row r="567">
          <cell r="K567">
            <v>42624</v>
          </cell>
          <cell r="M567">
            <v>0</v>
          </cell>
          <cell r="N567">
            <v>1.21953576097742</v>
          </cell>
        </row>
        <row r="568">
          <cell r="K568">
            <v>42625</v>
          </cell>
          <cell r="L568" t="str">
            <v>DIA ÚTIL</v>
          </cell>
          <cell r="M568">
            <v>5.2531000000000001E-2</v>
          </cell>
          <cell r="N568">
            <v>1.2201763953080191</v>
          </cell>
        </row>
        <row r="569">
          <cell r="K569">
            <v>42626</v>
          </cell>
          <cell r="L569" t="str">
            <v>DIA ÚTIL</v>
          </cell>
          <cell r="M569">
            <v>5.2531000000000001E-2</v>
          </cell>
          <cell r="N569">
            <v>1.2208173661702384</v>
          </cell>
        </row>
        <row r="570">
          <cell r="K570">
            <v>42627</v>
          </cell>
          <cell r="L570" t="str">
            <v>DIA ÚTIL</v>
          </cell>
          <cell r="M570">
            <v>5.2531000000000001E-2</v>
          </cell>
          <cell r="N570">
            <v>1.2214586737408613</v>
          </cell>
        </row>
        <row r="571">
          <cell r="K571">
            <v>42628</v>
          </cell>
          <cell r="L571" t="str">
            <v>DIA ÚTIL</v>
          </cell>
          <cell r="M571">
            <v>5.2531000000000001E-2</v>
          </cell>
          <cell r="N571">
            <v>1.222100318196764</v>
          </cell>
        </row>
        <row r="572">
          <cell r="K572">
            <v>42629</v>
          </cell>
          <cell r="L572" t="str">
            <v>DIA ÚTIL</v>
          </cell>
          <cell r="M572">
            <v>5.2531000000000001E-2</v>
          </cell>
          <cell r="N572">
            <v>1.222742299714916</v>
          </cell>
        </row>
        <row r="573">
          <cell r="K573">
            <v>42630</v>
          </cell>
          <cell r="M573">
            <v>0</v>
          </cell>
          <cell r="N573">
            <v>1.222742299714916</v>
          </cell>
        </row>
        <row r="574">
          <cell r="K574">
            <v>42631</v>
          </cell>
          <cell r="M574">
            <v>0</v>
          </cell>
          <cell r="N574">
            <v>1.222742299714916</v>
          </cell>
        </row>
        <row r="575">
          <cell r="K575">
            <v>42632</v>
          </cell>
          <cell r="L575" t="str">
            <v>DIA ÚTIL</v>
          </cell>
          <cell r="M575">
            <v>5.2531000000000001E-2</v>
          </cell>
          <cell r="N575">
            <v>1.2233846184723793</v>
          </cell>
        </row>
        <row r="576">
          <cell r="K576">
            <v>42633</v>
          </cell>
          <cell r="L576" t="str">
            <v>DIA ÚTIL</v>
          </cell>
          <cell r="M576">
            <v>5.2531000000000001E-2</v>
          </cell>
          <cell r="N576">
            <v>1.224027274646309</v>
          </cell>
        </row>
        <row r="577">
          <cell r="K577">
            <v>42634</v>
          </cell>
          <cell r="L577" t="str">
            <v>DIA ÚTIL</v>
          </cell>
          <cell r="M577">
            <v>5.2531000000000001E-2</v>
          </cell>
          <cell r="N577">
            <v>1.2246702684139534</v>
          </cell>
        </row>
        <row r="578">
          <cell r="K578">
            <v>42635</v>
          </cell>
          <cell r="L578" t="str">
            <v>DIA ÚTIL</v>
          </cell>
          <cell r="M578">
            <v>5.2531000000000001E-2</v>
          </cell>
          <cell r="N578">
            <v>1.2253135999526539</v>
          </cell>
        </row>
        <row r="579">
          <cell r="K579">
            <v>42636</v>
          </cell>
          <cell r="L579" t="str">
            <v>DIA ÚTIL</v>
          </cell>
          <cell r="M579">
            <v>5.2531000000000001E-2</v>
          </cell>
          <cell r="N579">
            <v>1.2259572694398451</v>
          </cell>
        </row>
        <row r="580">
          <cell r="K580">
            <v>42637</v>
          </cell>
          <cell r="M580">
            <v>0</v>
          </cell>
          <cell r="N580">
            <v>1.2259572694398451</v>
          </cell>
        </row>
        <row r="581">
          <cell r="K581">
            <v>42638</v>
          </cell>
          <cell r="M581">
            <v>0</v>
          </cell>
          <cell r="N581">
            <v>1.2259572694398451</v>
          </cell>
        </row>
        <row r="582">
          <cell r="K582">
            <v>42639</v>
          </cell>
          <cell r="L582" t="str">
            <v>DIA ÚTIL</v>
          </cell>
          <cell r="M582">
            <v>5.2531000000000001E-2</v>
          </cell>
          <cell r="N582">
            <v>1.2266012770530546</v>
          </cell>
        </row>
        <row r="583">
          <cell r="K583">
            <v>42640</v>
          </cell>
          <cell r="L583" t="str">
            <v>DIA ÚTIL</v>
          </cell>
          <cell r="M583">
            <v>5.2531000000000001E-2</v>
          </cell>
          <cell r="N583">
            <v>1.2272456229699034</v>
          </cell>
        </row>
        <row r="584">
          <cell r="K584">
            <v>42641</v>
          </cell>
          <cell r="L584" t="str">
            <v>DIA ÚTIL</v>
          </cell>
          <cell r="M584">
            <v>5.2531000000000001E-2</v>
          </cell>
          <cell r="N584">
            <v>1.2278903073681058</v>
          </cell>
        </row>
        <row r="585">
          <cell r="K585">
            <v>42642</v>
          </cell>
          <cell r="L585" t="str">
            <v>DIA ÚTIL</v>
          </cell>
          <cell r="M585">
            <v>5.2531000000000001E-2</v>
          </cell>
          <cell r="N585">
            <v>1.2285353304254694</v>
          </cell>
        </row>
        <row r="586">
          <cell r="K586">
            <v>42643</v>
          </cell>
          <cell r="L586" t="str">
            <v>DIA ÚTIL</v>
          </cell>
          <cell r="M586">
            <v>5.2531000000000001E-2</v>
          </cell>
          <cell r="N586">
            <v>1.2291806923198951</v>
          </cell>
        </row>
        <row r="587">
          <cell r="K587">
            <v>42644</v>
          </cell>
          <cell r="M587">
            <v>0</v>
          </cell>
          <cell r="N587">
            <v>1.2291806923198951</v>
          </cell>
        </row>
        <row r="588">
          <cell r="K588">
            <v>42645</v>
          </cell>
          <cell r="M588">
            <v>0</v>
          </cell>
          <cell r="N588">
            <v>1.2291806923198951</v>
          </cell>
        </row>
        <row r="589">
          <cell r="K589">
            <v>42646</v>
          </cell>
          <cell r="L589" t="str">
            <v>DIA ÚTIL</v>
          </cell>
          <cell r="M589">
            <v>5.2531000000000001E-2</v>
          </cell>
          <cell r="N589">
            <v>1.2298263932293776</v>
          </cell>
        </row>
        <row r="590">
          <cell r="K590">
            <v>42647</v>
          </cell>
          <cell r="L590" t="str">
            <v>DIA ÚTIL</v>
          </cell>
          <cell r="M590">
            <v>5.2531000000000001E-2</v>
          </cell>
          <cell r="N590">
            <v>1.230472433332005</v>
          </cell>
        </row>
        <row r="591">
          <cell r="K591">
            <v>42648</v>
          </cell>
          <cell r="L591" t="str">
            <v>DIA ÚTIL</v>
          </cell>
          <cell r="M591">
            <v>5.2531000000000001E-2</v>
          </cell>
          <cell r="N591">
            <v>1.2311188128059587</v>
          </cell>
        </row>
        <row r="592">
          <cell r="K592">
            <v>42649</v>
          </cell>
          <cell r="L592" t="str">
            <v>DIA ÚTIL</v>
          </cell>
          <cell r="M592">
            <v>5.2531000000000001E-2</v>
          </cell>
          <cell r="N592">
            <v>1.2317655318295138</v>
          </cell>
        </row>
        <row r="593">
          <cell r="K593">
            <v>42650</v>
          </cell>
          <cell r="L593" t="str">
            <v>DIA ÚTIL</v>
          </cell>
          <cell r="M593">
            <v>5.2531000000000001E-2</v>
          </cell>
          <cell r="N593">
            <v>1.232412590581039</v>
          </cell>
        </row>
        <row r="594">
          <cell r="K594">
            <v>42651</v>
          </cell>
          <cell r="M594">
            <v>0</v>
          </cell>
          <cell r="N594">
            <v>1.232412590581039</v>
          </cell>
        </row>
        <row r="595">
          <cell r="K595">
            <v>42652</v>
          </cell>
          <cell r="M595">
            <v>0</v>
          </cell>
          <cell r="N595">
            <v>1.232412590581039</v>
          </cell>
        </row>
        <row r="596">
          <cell r="K596">
            <v>42653</v>
          </cell>
          <cell r="L596" t="str">
            <v>DIA ÚTIL</v>
          </cell>
          <cell r="M596">
            <v>5.2531000000000001E-2</v>
          </cell>
          <cell r="N596">
            <v>1.2330599892389971</v>
          </cell>
        </row>
        <row r="597">
          <cell r="K597">
            <v>42654</v>
          </cell>
          <cell r="L597" t="str">
            <v>DIA ÚTIL</v>
          </cell>
          <cell r="M597">
            <v>5.2531000000000001E-2</v>
          </cell>
          <cell r="N597">
            <v>1.2337077279819442</v>
          </cell>
        </row>
        <row r="598">
          <cell r="K598">
            <v>42655</v>
          </cell>
          <cell r="M598">
            <v>0</v>
          </cell>
          <cell r="N598">
            <v>1.2337077279819442</v>
          </cell>
        </row>
        <row r="599">
          <cell r="K599">
            <v>42656</v>
          </cell>
          <cell r="L599" t="str">
            <v>DIA ÚTIL</v>
          </cell>
          <cell r="M599">
            <v>5.2531000000000001E-2</v>
          </cell>
          <cell r="N599">
            <v>1.2343558069885303</v>
          </cell>
        </row>
        <row r="600">
          <cell r="K600">
            <v>42657</v>
          </cell>
          <cell r="L600" t="str">
            <v>DIA ÚTIL</v>
          </cell>
          <cell r="M600">
            <v>5.2531000000000001E-2</v>
          </cell>
          <cell r="N600">
            <v>1.2350042264374994</v>
          </cell>
        </row>
        <row r="601">
          <cell r="K601">
            <v>42658</v>
          </cell>
          <cell r="M601">
            <v>0</v>
          </cell>
          <cell r="N601">
            <v>1.2350042264374994</v>
          </cell>
        </row>
        <row r="602">
          <cell r="K602">
            <v>42659</v>
          </cell>
          <cell r="M602">
            <v>0</v>
          </cell>
          <cell r="N602">
            <v>1.2350042264374994</v>
          </cell>
        </row>
        <row r="603">
          <cell r="K603">
            <v>42660</v>
          </cell>
          <cell r="L603" t="str">
            <v>DIA ÚTIL</v>
          </cell>
          <cell r="M603">
            <v>5.2531000000000001E-2</v>
          </cell>
          <cell r="N603">
            <v>1.2356529865076893</v>
          </cell>
        </row>
        <row r="604">
          <cell r="K604">
            <v>42661</v>
          </cell>
          <cell r="L604" t="str">
            <v>DIA ÚTIL</v>
          </cell>
          <cell r="M604">
            <v>5.2531000000000001E-2</v>
          </cell>
          <cell r="N604">
            <v>1.2363020873780317</v>
          </cell>
        </row>
        <row r="605">
          <cell r="K605">
            <v>42662</v>
          </cell>
          <cell r="L605" t="str">
            <v>DIA ÚTIL</v>
          </cell>
          <cell r="M605">
            <v>5.2531000000000001E-2</v>
          </cell>
          <cell r="N605">
            <v>1.2369515292275524</v>
          </cell>
        </row>
        <row r="606">
          <cell r="K606">
            <v>42663</v>
          </cell>
          <cell r="L606" t="str">
            <v>DIA ÚTIL</v>
          </cell>
          <cell r="M606">
            <v>5.1659999999999998E-2</v>
          </cell>
          <cell r="N606">
            <v>1.2375905383875514</v>
          </cell>
        </row>
        <row r="607">
          <cell r="K607">
            <v>42664</v>
          </cell>
          <cell r="L607" t="str">
            <v>DIA ÚTIL</v>
          </cell>
          <cell r="M607">
            <v>5.1659999999999998E-2</v>
          </cell>
          <cell r="N607">
            <v>1.2382298776596825</v>
          </cell>
        </row>
        <row r="608">
          <cell r="K608">
            <v>42665</v>
          </cell>
          <cell r="M608">
            <v>0</v>
          </cell>
          <cell r="N608">
            <v>1.2382298776596825</v>
          </cell>
        </row>
        <row r="609">
          <cell r="K609">
            <v>42666</v>
          </cell>
          <cell r="M609">
            <v>0</v>
          </cell>
          <cell r="N609">
            <v>1.2382298776596825</v>
          </cell>
        </row>
        <row r="610">
          <cell r="K610">
            <v>42667</v>
          </cell>
          <cell r="L610" t="str">
            <v>DIA ÚTIL</v>
          </cell>
          <cell r="M610">
            <v>5.1659999999999998E-2</v>
          </cell>
          <cell r="N610">
            <v>1.2388695472144815</v>
          </cell>
        </row>
        <row r="611">
          <cell r="K611">
            <v>42668</v>
          </cell>
          <cell r="L611" t="str">
            <v>DIA ÚTIL</v>
          </cell>
          <cell r="M611">
            <v>5.1659999999999998E-2</v>
          </cell>
          <cell r="N611">
            <v>1.2395095472225726</v>
          </cell>
        </row>
        <row r="612">
          <cell r="K612">
            <v>42669</v>
          </cell>
          <cell r="L612" t="str">
            <v>DIA ÚTIL</v>
          </cell>
          <cell r="M612">
            <v>5.1659999999999998E-2</v>
          </cell>
          <cell r="N612">
            <v>1.2401498778546678</v>
          </cell>
        </row>
        <row r="613">
          <cell r="K613">
            <v>42670</v>
          </cell>
          <cell r="L613" t="str">
            <v>DIA ÚTIL</v>
          </cell>
          <cell r="M613">
            <v>5.1659999999999998E-2</v>
          </cell>
          <cell r="N613">
            <v>1.2407905392815677</v>
          </cell>
        </row>
        <row r="614">
          <cell r="K614">
            <v>42671</v>
          </cell>
          <cell r="L614" t="str">
            <v>DIA ÚTIL</v>
          </cell>
          <cell r="M614">
            <v>5.1659999999999998E-2</v>
          </cell>
          <cell r="N614">
            <v>1.2414315316741606</v>
          </cell>
        </row>
        <row r="615">
          <cell r="K615">
            <v>42672</v>
          </cell>
          <cell r="M615">
            <v>0</v>
          </cell>
          <cell r="N615">
            <v>1.2414315316741606</v>
          </cell>
        </row>
        <row r="616">
          <cell r="K616">
            <v>42673</v>
          </cell>
          <cell r="M616">
            <v>0</v>
          </cell>
          <cell r="N616">
            <v>1.2414315316741606</v>
          </cell>
        </row>
        <row r="617">
          <cell r="K617">
            <v>42674</v>
          </cell>
          <cell r="L617" t="str">
            <v>DIA ÚTIL</v>
          </cell>
          <cell r="M617">
            <v>5.1659999999999998E-2</v>
          </cell>
          <cell r="N617">
            <v>1.2420728552034237</v>
          </cell>
        </row>
        <row r="618">
          <cell r="K618">
            <v>42675</v>
          </cell>
          <cell r="L618" t="str">
            <v>DIA ÚTIL</v>
          </cell>
          <cell r="M618">
            <v>5.1659999999999998E-2</v>
          </cell>
          <cell r="N618">
            <v>1.242714510040422</v>
          </cell>
        </row>
        <row r="619">
          <cell r="K619">
            <v>42676</v>
          </cell>
          <cell r="M619">
            <v>0</v>
          </cell>
          <cell r="N619">
            <v>1.242714510040422</v>
          </cell>
        </row>
        <row r="620">
          <cell r="K620">
            <v>42677</v>
          </cell>
          <cell r="L620" t="str">
            <v>DIA ÚTIL</v>
          </cell>
          <cell r="M620">
            <v>5.1659999999999998E-2</v>
          </cell>
          <cell r="N620">
            <v>1.2433564963563091</v>
          </cell>
        </row>
        <row r="621">
          <cell r="K621">
            <v>42678</v>
          </cell>
          <cell r="L621" t="str">
            <v>DIA ÚTIL</v>
          </cell>
          <cell r="M621">
            <v>5.1659999999999998E-2</v>
          </cell>
          <cell r="N621">
            <v>1.2439988143223268</v>
          </cell>
        </row>
        <row r="622">
          <cell r="K622">
            <v>42679</v>
          </cell>
          <cell r="M622">
            <v>0</v>
          </cell>
          <cell r="N622">
            <v>1.2439988143223268</v>
          </cell>
        </row>
        <row r="623">
          <cell r="K623">
            <v>42680</v>
          </cell>
          <cell r="M623">
            <v>0</v>
          </cell>
          <cell r="N623">
            <v>1.2439988143223268</v>
          </cell>
        </row>
        <row r="624">
          <cell r="K624">
            <v>42681</v>
          </cell>
          <cell r="L624" t="str">
            <v>DIA ÚTIL</v>
          </cell>
          <cell r="M624">
            <v>5.1659999999999998E-2</v>
          </cell>
          <cell r="N624">
            <v>1.2446414641098058</v>
          </cell>
        </row>
        <row r="625">
          <cell r="K625">
            <v>42682</v>
          </cell>
          <cell r="L625" t="str">
            <v>DIA ÚTIL</v>
          </cell>
          <cell r="M625">
            <v>5.1659999999999998E-2</v>
          </cell>
          <cell r="N625">
            <v>1.2452844458901651</v>
          </cell>
        </row>
        <row r="626">
          <cell r="K626">
            <v>42683</v>
          </cell>
          <cell r="L626" t="str">
            <v>DIA ÚTIL</v>
          </cell>
          <cell r="M626">
            <v>5.1659999999999998E-2</v>
          </cell>
          <cell r="N626">
            <v>1.2459277598349121</v>
          </cell>
        </row>
        <row r="627">
          <cell r="K627">
            <v>42684</v>
          </cell>
          <cell r="L627" t="str">
            <v>DIA ÚTIL</v>
          </cell>
          <cell r="M627">
            <v>5.1659999999999998E-2</v>
          </cell>
          <cell r="N627">
            <v>1.246571406115643</v>
          </cell>
        </row>
        <row r="628">
          <cell r="K628">
            <v>42685</v>
          </cell>
          <cell r="L628" t="str">
            <v>DIA ÚTIL</v>
          </cell>
          <cell r="M628">
            <v>5.1659999999999998E-2</v>
          </cell>
          <cell r="N628">
            <v>1.2472153849040424</v>
          </cell>
        </row>
        <row r="629">
          <cell r="K629">
            <v>42686</v>
          </cell>
          <cell r="M629">
            <v>0</v>
          </cell>
          <cell r="N629">
            <v>1.2472153849040424</v>
          </cell>
        </row>
        <row r="630">
          <cell r="K630">
            <v>42687</v>
          </cell>
          <cell r="M630">
            <v>0</v>
          </cell>
          <cell r="N630">
            <v>1.2472153849040424</v>
          </cell>
        </row>
        <row r="631">
          <cell r="K631">
            <v>42688</v>
          </cell>
          <cell r="L631" t="str">
            <v>DIA ÚTIL</v>
          </cell>
          <cell r="M631">
            <v>5.1659999999999998E-2</v>
          </cell>
          <cell r="N631">
            <v>1.247859696371884</v>
          </cell>
        </row>
        <row r="632">
          <cell r="K632">
            <v>42689</v>
          </cell>
          <cell r="M632">
            <v>0</v>
          </cell>
          <cell r="N632">
            <v>1.247859696371884</v>
          </cell>
        </row>
        <row r="633">
          <cell r="K633">
            <v>42690</v>
          </cell>
          <cell r="L633" t="str">
            <v>DIA ÚTIL</v>
          </cell>
          <cell r="M633">
            <v>5.1659999999999998E-2</v>
          </cell>
          <cell r="N633">
            <v>1.2485043406910299</v>
          </cell>
        </row>
        <row r="634">
          <cell r="K634">
            <v>42691</v>
          </cell>
          <cell r="L634" t="str">
            <v>DIA ÚTIL</v>
          </cell>
          <cell r="M634">
            <v>5.1659999999999998E-2</v>
          </cell>
          <cell r="N634">
            <v>1.249149318033431</v>
          </cell>
        </row>
        <row r="635">
          <cell r="K635">
            <v>42692</v>
          </cell>
          <cell r="L635" t="str">
            <v>DIA ÚTIL</v>
          </cell>
          <cell r="M635">
            <v>5.1659999999999998E-2</v>
          </cell>
          <cell r="N635">
            <v>1.2497946285711272</v>
          </cell>
        </row>
        <row r="636">
          <cell r="K636">
            <v>42693</v>
          </cell>
          <cell r="M636">
            <v>0</v>
          </cell>
          <cell r="N636">
            <v>1.2497946285711272</v>
          </cell>
        </row>
        <row r="637">
          <cell r="K637">
            <v>42694</v>
          </cell>
          <cell r="M637">
            <v>0</v>
          </cell>
          <cell r="N637">
            <v>1.2497946285711272</v>
          </cell>
        </row>
        <row r="638">
          <cell r="K638">
            <v>42695</v>
          </cell>
          <cell r="L638" t="str">
            <v>DIA ÚTIL</v>
          </cell>
          <cell r="M638">
            <v>5.1659999999999998E-2</v>
          </cell>
          <cell r="N638">
            <v>1.2504402724762471</v>
          </cell>
        </row>
        <row r="639">
          <cell r="K639">
            <v>42696</v>
          </cell>
          <cell r="L639" t="str">
            <v>DIA ÚTIL</v>
          </cell>
          <cell r="M639">
            <v>5.1659999999999998E-2</v>
          </cell>
          <cell r="N639">
            <v>1.2510862499210085</v>
          </cell>
        </row>
        <row r="640">
          <cell r="K640">
            <v>42697</v>
          </cell>
          <cell r="L640" t="str">
            <v>DIA ÚTIL</v>
          </cell>
          <cell r="M640">
            <v>5.1659999999999998E-2</v>
          </cell>
          <cell r="N640">
            <v>1.2517325610777177</v>
          </cell>
        </row>
        <row r="641">
          <cell r="K641">
            <v>42698</v>
          </cell>
          <cell r="L641" t="str">
            <v>DIA ÚTIL</v>
          </cell>
          <cell r="M641">
            <v>5.1659999999999998E-2</v>
          </cell>
          <cell r="N641">
            <v>1.2523792061187706</v>
          </cell>
        </row>
        <row r="642">
          <cell r="K642">
            <v>42699</v>
          </cell>
          <cell r="L642" t="str">
            <v>DIA ÚTIL</v>
          </cell>
          <cell r="M642">
            <v>5.1659999999999998E-2</v>
          </cell>
          <cell r="N642">
            <v>1.2530261852166518</v>
          </cell>
        </row>
        <row r="643">
          <cell r="K643">
            <v>42700</v>
          </cell>
          <cell r="M643">
            <v>0</v>
          </cell>
          <cell r="N643">
            <v>1.2530261852166518</v>
          </cell>
        </row>
        <row r="644">
          <cell r="K644">
            <v>42701</v>
          </cell>
          <cell r="M644">
            <v>0</v>
          </cell>
          <cell r="N644">
            <v>1.2530261852166518</v>
          </cell>
        </row>
        <row r="645">
          <cell r="K645">
            <v>42702</v>
          </cell>
          <cell r="L645" t="str">
            <v>DIA ÚTIL</v>
          </cell>
          <cell r="M645">
            <v>5.1659999999999998E-2</v>
          </cell>
          <cell r="N645">
            <v>1.2536734985439348</v>
          </cell>
        </row>
        <row r="646">
          <cell r="K646">
            <v>42703</v>
          </cell>
          <cell r="L646" t="str">
            <v>DIA ÚTIL</v>
          </cell>
          <cell r="M646">
            <v>5.1659999999999998E-2</v>
          </cell>
          <cell r="N646">
            <v>1.2543211462732828</v>
          </cell>
        </row>
        <row r="647">
          <cell r="K647">
            <v>42704</v>
          </cell>
          <cell r="L647" t="str">
            <v>DIA ÚTIL</v>
          </cell>
          <cell r="M647">
            <v>5.1659999999999998E-2</v>
          </cell>
          <cell r="N647">
            <v>1.2549691285774478</v>
          </cell>
        </row>
        <row r="648">
          <cell r="K648">
            <v>42705</v>
          </cell>
          <cell r="L648" t="str">
            <v>DIA ÚTIL</v>
          </cell>
          <cell r="M648">
            <v>5.0788E-2</v>
          </cell>
          <cell r="N648">
            <v>1.2556065022984697</v>
          </cell>
        </row>
        <row r="649">
          <cell r="K649">
            <v>42706</v>
          </cell>
          <cell r="L649" t="str">
            <v>DIA ÚTIL</v>
          </cell>
          <cell r="M649">
            <v>5.0788E-2</v>
          </cell>
          <cell r="N649">
            <v>1.2562441997288571</v>
          </cell>
        </row>
        <row r="650">
          <cell r="K650">
            <v>42707</v>
          </cell>
          <cell r="M650">
            <v>0</v>
          </cell>
          <cell r="N650">
            <v>1.2562441997288571</v>
          </cell>
        </row>
        <row r="651">
          <cell r="K651">
            <v>42708</v>
          </cell>
          <cell r="M651">
            <v>0</v>
          </cell>
          <cell r="N651">
            <v>1.2562441997288571</v>
          </cell>
        </row>
        <row r="652">
          <cell r="K652">
            <v>42709</v>
          </cell>
          <cell r="L652" t="str">
            <v>DIA ÚTIL</v>
          </cell>
          <cell r="M652">
            <v>5.0788E-2</v>
          </cell>
          <cell r="N652">
            <v>1.2568822210330155</v>
          </cell>
        </row>
        <row r="653">
          <cell r="K653">
            <v>42710</v>
          </cell>
          <cell r="L653" t="str">
            <v>DIA ÚTIL</v>
          </cell>
          <cell r="M653">
            <v>5.0788E-2</v>
          </cell>
          <cell r="N653">
            <v>1.2575205663754339</v>
          </cell>
        </row>
        <row r="654">
          <cell r="K654">
            <v>42711</v>
          </cell>
          <cell r="L654" t="str">
            <v>DIA ÚTIL</v>
          </cell>
          <cell r="M654">
            <v>5.0788E-2</v>
          </cell>
          <cell r="N654">
            <v>1.2581592359206846</v>
          </cell>
        </row>
        <row r="655">
          <cell r="K655">
            <v>42712</v>
          </cell>
          <cell r="L655" t="str">
            <v>DIA ÚTIL</v>
          </cell>
          <cell r="M655">
            <v>5.0788E-2</v>
          </cell>
          <cell r="N655">
            <v>1.2587982298334239</v>
          </cell>
        </row>
        <row r="656">
          <cell r="K656">
            <v>42713</v>
          </cell>
          <cell r="L656" t="str">
            <v>DIA ÚTIL</v>
          </cell>
          <cell r="M656">
            <v>5.0788E-2</v>
          </cell>
          <cell r="N656">
            <v>1.2594375482783917</v>
          </cell>
        </row>
        <row r="657">
          <cell r="K657">
            <v>42714</v>
          </cell>
          <cell r="M657">
            <v>0</v>
          </cell>
          <cell r="N657">
            <v>1.2594375482783917</v>
          </cell>
        </row>
        <row r="658">
          <cell r="K658">
            <v>42715</v>
          </cell>
          <cell r="M658">
            <v>0</v>
          </cell>
          <cell r="N658">
            <v>1.2594375482783917</v>
          </cell>
        </row>
        <row r="659">
          <cell r="K659">
            <v>42716</v>
          </cell>
          <cell r="L659" t="str">
            <v>DIA ÚTIL</v>
          </cell>
          <cell r="M659">
            <v>5.0788E-2</v>
          </cell>
          <cell r="N659">
            <v>1.2600771914204114</v>
          </cell>
        </row>
        <row r="660">
          <cell r="K660">
            <v>42717</v>
          </cell>
          <cell r="L660" t="str">
            <v>DIA ÚTIL</v>
          </cell>
          <cell r="M660">
            <v>5.0788E-2</v>
          </cell>
          <cell r="N660">
            <v>1.26071715942439</v>
          </cell>
        </row>
        <row r="661">
          <cell r="K661">
            <v>42718</v>
          </cell>
          <cell r="L661" t="str">
            <v>DIA ÚTIL</v>
          </cell>
          <cell r="M661">
            <v>5.0788E-2</v>
          </cell>
          <cell r="N661">
            <v>1.2613574524553184</v>
          </cell>
        </row>
        <row r="662">
          <cell r="K662">
            <v>42719</v>
          </cell>
          <cell r="L662" t="str">
            <v>DIA ÚTIL</v>
          </cell>
          <cell r="M662">
            <v>5.0788E-2</v>
          </cell>
          <cell r="N662">
            <v>1.2619980706782714</v>
          </cell>
        </row>
        <row r="663">
          <cell r="K663">
            <v>42720</v>
          </cell>
          <cell r="L663" t="str">
            <v>DIA ÚTIL</v>
          </cell>
          <cell r="M663">
            <v>5.0788E-2</v>
          </cell>
          <cell r="N663">
            <v>1.2626390142584074</v>
          </cell>
        </row>
        <row r="664">
          <cell r="K664">
            <v>42721</v>
          </cell>
          <cell r="M664">
            <v>0</v>
          </cell>
          <cell r="N664">
            <v>1.2626390142584074</v>
          </cell>
        </row>
        <row r="665">
          <cell r="K665">
            <v>42722</v>
          </cell>
          <cell r="M665">
            <v>0</v>
          </cell>
          <cell r="N665">
            <v>1.2626390142584074</v>
          </cell>
        </row>
        <row r="666">
          <cell r="K666">
            <v>42723</v>
          </cell>
          <cell r="L666" t="str">
            <v>DIA ÚTIL</v>
          </cell>
          <cell r="M666">
            <v>5.0788E-2</v>
          </cell>
          <cell r="N666">
            <v>1.2632802833609691</v>
          </cell>
        </row>
        <row r="667">
          <cell r="K667">
            <v>42724</v>
          </cell>
          <cell r="L667" t="str">
            <v>DIA ÚTIL</v>
          </cell>
          <cell r="M667">
            <v>5.0788E-2</v>
          </cell>
          <cell r="N667">
            <v>1.2639218781512824</v>
          </cell>
        </row>
        <row r="668">
          <cell r="K668">
            <v>42725</v>
          </cell>
          <cell r="L668" t="str">
            <v>DIA ÚTIL</v>
          </cell>
          <cell r="M668">
            <v>5.0788E-2</v>
          </cell>
          <cell r="N668">
            <v>1.264563798794758</v>
          </cell>
        </row>
        <row r="669">
          <cell r="K669">
            <v>42726</v>
          </cell>
          <cell r="L669" t="str">
            <v>DIA ÚTIL</v>
          </cell>
          <cell r="M669">
            <v>5.0788E-2</v>
          </cell>
          <cell r="N669">
            <v>1.2652060454568899</v>
          </cell>
        </row>
        <row r="670">
          <cell r="K670">
            <v>42727</v>
          </cell>
          <cell r="L670" t="str">
            <v>DIA ÚTIL</v>
          </cell>
          <cell r="M670">
            <v>5.0788E-2</v>
          </cell>
          <cell r="N670">
            <v>1.2658486183032565</v>
          </cell>
        </row>
        <row r="671">
          <cell r="K671">
            <v>42728</v>
          </cell>
          <cell r="M671">
            <v>0</v>
          </cell>
          <cell r="N671">
            <v>1.2658486183032565</v>
          </cell>
        </row>
        <row r="672">
          <cell r="K672">
            <v>42729</v>
          </cell>
          <cell r="M672">
            <v>0</v>
          </cell>
          <cell r="N672">
            <v>1.2658486183032565</v>
          </cell>
        </row>
        <row r="673">
          <cell r="K673">
            <v>42730</v>
          </cell>
          <cell r="L673" t="str">
            <v>DIA ÚTIL</v>
          </cell>
          <cell r="M673">
            <v>5.0788E-2</v>
          </cell>
          <cell r="N673">
            <v>1.2664915174995204</v>
          </cell>
        </row>
        <row r="674">
          <cell r="K674">
            <v>42731</v>
          </cell>
          <cell r="L674" t="str">
            <v>DIA ÚTIL</v>
          </cell>
          <cell r="M674">
            <v>5.0788E-2</v>
          </cell>
          <cell r="N674">
            <v>1.2671347432114282</v>
          </cell>
        </row>
        <row r="675">
          <cell r="K675">
            <v>42732</v>
          </cell>
          <cell r="L675" t="str">
            <v>DIA ÚTIL</v>
          </cell>
          <cell r="M675">
            <v>5.0788E-2</v>
          </cell>
          <cell r="N675">
            <v>1.2677782956048105</v>
          </cell>
        </row>
        <row r="676">
          <cell r="K676">
            <v>42733</v>
          </cell>
          <cell r="L676" t="str">
            <v>DIA ÚTIL</v>
          </cell>
          <cell r="M676">
            <v>5.0788E-2</v>
          </cell>
          <cell r="N676">
            <v>1.2684221748455822</v>
          </cell>
        </row>
        <row r="677">
          <cell r="K677">
            <v>42734</v>
          </cell>
          <cell r="L677" t="str">
            <v>DIA ÚTIL</v>
          </cell>
          <cell r="M677">
            <v>5.0788E-2</v>
          </cell>
          <cell r="N677">
            <v>1.2690663810997427</v>
          </cell>
        </row>
        <row r="678">
          <cell r="K678">
            <v>42735</v>
          </cell>
          <cell r="M678">
            <v>0</v>
          </cell>
          <cell r="N678">
            <v>1.2690663810997427</v>
          </cell>
        </row>
        <row r="679">
          <cell r="K679">
            <v>42736</v>
          </cell>
          <cell r="M679">
            <v>0</v>
          </cell>
          <cell r="N679">
            <v>1.2690663810997427</v>
          </cell>
        </row>
        <row r="680">
          <cell r="K680">
            <v>42737</v>
          </cell>
          <cell r="L680" t="str">
            <v>DIA ÚTIL</v>
          </cell>
          <cell r="M680">
            <v>5.0788E-2</v>
          </cell>
          <cell r="N680">
            <v>1.2697109145333756</v>
          </cell>
        </row>
        <row r="681">
          <cell r="K681">
            <v>42738</v>
          </cell>
          <cell r="L681" t="str">
            <v>DIA ÚTIL</v>
          </cell>
          <cell r="M681">
            <v>5.0788E-2</v>
          </cell>
          <cell r="N681">
            <v>1.2703557753126489</v>
          </cell>
        </row>
        <row r="682">
          <cell r="K682">
            <v>42739</v>
          </cell>
          <cell r="L682" t="str">
            <v>DIA ÚTIL</v>
          </cell>
          <cell r="M682">
            <v>5.0788E-2</v>
          </cell>
          <cell r="N682">
            <v>1.2710009636038146</v>
          </cell>
        </row>
        <row r="683">
          <cell r="K683">
            <v>42740</v>
          </cell>
          <cell r="L683" t="str">
            <v>DIA ÚTIL</v>
          </cell>
          <cell r="M683">
            <v>5.0788E-2</v>
          </cell>
          <cell r="N683">
            <v>1.2716464795732099</v>
          </cell>
        </row>
        <row r="684">
          <cell r="K684">
            <v>42741</v>
          </cell>
          <cell r="L684" t="str">
            <v>DIA ÚTIL</v>
          </cell>
          <cell r="M684">
            <v>5.0788E-2</v>
          </cell>
          <cell r="N684">
            <v>1.2722923233872556</v>
          </cell>
        </row>
        <row r="685">
          <cell r="K685">
            <v>42742</v>
          </cell>
          <cell r="M685">
            <v>0</v>
          </cell>
          <cell r="N685">
            <v>1.2722923233872556</v>
          </cell>
        </row>
        <row r="686">
          <cell r="K686">
            <v>42743</v>
          </cell>
          <cell r="M686">
            <v>0</v>
          </cell>
          <cell r="N686">
            <v>1.2722923233872556</v>
          </cell>
        </row>
        <row r="687">
          <cell r="K687">
            <v>42744</v>
          </cell>
          <cell r="L687" t="str">
            <v>DIA ÚTIL</v>
          </cell>
          <cell r="M687">
            <v>5.0788E-2</v>
          </cell>
          <cell r="N687">
            <v>1.2729384952124576</v>
          </cell>
        </row>
        <row r="688">
          <cell r="K688">
            <v>42745</v>
          </cell>
          <cell r="L688" t="str">
            <v>DIA ÚTIL</v>
          </cell>
          <cell r="M688">
            <v>5.0788E-2</v>
          </cell>
          <cell r="N688">
            <v>1.2735849952154061</v>
          </cell>
        </row>
        <row r="689">
          <cell r="K689">
            <v>42746</v>
          </cell>
          <cell r="L689" t="str">
            <v>DIA ÚTIL</v>
          </cell>
          <cell r="M689">
            <v>5.0788E-2</v>
          </cell>
          <cell r="N689">
            <v>1.2742318235627761</v>
          </cell>
        </row>
        <row r="690">
          <cell r="K690">
            <v>42747</v>
          </cell>
          <cell r="L690" t="str">
            <v>DIA ÚTIL</v>
          </cell>
          <cell r="M690">
            <v>4.8159E-2</v>
          </cell>
          <cell r="N690">
            <v>1.2748454808666856</v>
          </cell>
        </row>
        <row r="691">
          <cell r="K691">
            <v>42748</v>
          </cell>
          <cell r="L691" t="str">
            <v>DIA ÚTIL</v>
          </cell>
          <cell r="M691">
            <v>4.8159E-2</v>
          </cell>
          <cell r="N691">
            <v>1.2754594337018161</v>
          </cell>
        </row>
        <row r="692">
          <cell r="K692">
            <v>42749</v>
          </cell>
          <cell r="M692">
            <v>0</v>
          </cell>
          <cell r="N692">
            <v>1.2754594337018161</v>
          </cell>
        </row>
        <row r="693">
          <cell r="K693">
            <v>42750</v>
          </cell>
          <cell r="M693">
            <v>0</v>
          </cell>
          <cell r="N693">
            <v>1.2754594337018161</v>
          </cell>
        </row>
        <row r="694">
          <cell r="K694">
            <v>42751</v>
          </cell>
          <cell r="L694" t="str">
            <v>DIA ÚTIL</v>
          </cell>
          <cell r="M694">
            <v>4.8159E-2</v>
          </cell>
          <cell r="N694">
            <v>1.2760736822104926</v>
          </cell>
        </row>
        <row r="695">
          <cell r="K695">
            <v>42752</v>
          </cell>
          <cell r="L695" t="str">
            <v>DIA ÚTIL</v>
          </cell>
          <cell r="M695">
            <v>4.8159E-2</v>
          </cell>
          <cell r="N695">
            <v>1.2766882265351083</v>
          </cell>
        </row>
        <row r="696">
          <cell r="K696">
            <v>42753</v>
          </cell>
          <cell r="L696" t="str">
            <v>DIA ÚTIL</v>
          </cell>
          <cell r="M696">
            <v>4.8159E-2</v>
          </cell>
          <cell r="N696">
            <v>1.2773030668181251</v>
          </cell>
        </row>
        <row r="697">
          <cell r="K697">
            <v>42754</v>
          </cell>
          <cell r="L697" t="str">
            <v>DIA ÚTIL</v>
          </cell>
          <cell r="M697">
            <v>4.8159E-2</v>
          </cell>
          <cell r="N697">
            <v>1.2779182032020739</v>
          </cell>
        </row>
        <row r="698">
          <cell r="K698">
            <v>42755</v>
          </cell>
          <cell r="L698" t="str">
            <v>DIA ÚTIL</v>
          </cell>
          <cell r="M698">
            <v>4.8159E-2</v>
          </cell>
          <cell r="N698">
            <v>1.278533635829554</v>
          </cell>
        </row>
        <row r="699">
          <cell r="K699">
            <v>42756</v>
          </cell>
          <cell r="M699">
            <v>0</v>
          </cell>
          <cell r="N699">
            <v>1.278533635829554</v>
          </cell>
        </row>
        <row r="700">
          <cell r="K700">
            <v>42757</v>
          </cell>
          <cell r="M700">
            <v>0</v>
          </cell>
          <cell r="N700">
            <v>1.278533635829554</v>
          </cell>
        </row>
        <row r="701">
          <cell r="K701">
            <v>42758</v>
          </cell>
          <cell r="L701" t="str">
            <v>DIA ÚTIL</v>
          </cell>
          <cell r="M701">
            <v>4.8159E-2</v>
          </cell>
          <cell r="N701">
            <v>1.279149364843233</v>
          </cell>
        </row>
        <row r="702">
          <cell r="K702">
            <v>42759</v>
          </cell>
          <cell r="L702" t="str">
            <v>DIA ÚTIL</v>
          </cell>
          <cell r="M702">
            <v>4.8159E-2</v>
          </cell>
          <cell r="N702">
            <v>1.2797653903858479</v>
          </cell>
        </row>
        <row r="703">
          <cell r="K703">
            <v>42760</v>
          </cell>
          <cell r="L703" t="str">
            <v>DIA ÚTIL</v>
          </cell>
          <cell r="M703">
            <v>4.8159E-2</v>
          </cell>
          <cell r="N703">
            <v>1.2803817126002037</v>
          </cell>
        </row>
        <row r="704">
          <cell r="K704">
            <v>42761</v>
          </cell>
          <cell r="L704" t="str">
            <v>DIA ÚTIL</v>
          </cell>
          <cell r="M704">
            <v>4.8159E-2</v>
          </cell>
          <cell r="N704">
            <v>1.2809983316291746</v>
          </cell>
        </row>
        <row r="705">
          <cell r="K705">
            <v>42762</v>
          </cell>
          <cell r="L705" t="str">
            <v>DIA ÚTIL</v>
          </cell>
          <cell r="M705">
            <v>4.8159E-2</v>
          </cell>
          <cell r="N705">
            <v>1.2816152476157039</v>
          </cell>
        </row>
        <row r="706">
          <cell r="K706">
            <v>42763</v>
          </cell>
          <cell r="M706">
            <v>0</v>
          </cell>
          <cell r="N706">
            <v>1.2816152476157039</v>
          </cell>
        </row>
        <row r="707">
          <cell r="K707">
            <v>42764</v>
          </cell>
          <cell r="M707">
            <v>0</v>
          </cell>
          <cell r="N707">
            <v>1.2816152476157039</v>
          </cell>
        </row>
        <row r="708">
          <cell r="K708">
            <v>42765</v>
          </cell>
          <cell r="L708" t="str">
            <v>DIA ÚTIL</v>
          </cell>
          <cell r="M708">
            <v>4.8159E-2</v>
          </cell>
          <cell r="N708">
            <v>1.2822324607028031</v>
          </cell>
        </row>
        <row r="709">
          <cell r="K709">
            <v>42766</v>
          </cell>
          <cell r="L709" t="str">
            <v>DIA ÚTIL</v>
          </cell>
          <cell r="M709">
            <v>4.8159E-2</v>
          </cell>
          <cell r="N709">
            <v>1.2828499710335528</v>
          </cell>
        </row>
        <row r="710">
          <cell r="K710">
            <v>42767</v>
          </cell>
          <cell r="L710" t="str">
            <v>DIA ÚTIL</v>
          </cell>
          <cell r="M710">
            <v>4.8159E-2</v>
          </cell>
          <cell r="N710">
            <v>1.2834677787511029</v>
          </cell>
        </row>
        <row r="711">
          <cell r="K711">
            <v>42768</v>
          </cell>
          <cell r="L711" t="str">
            <v>DIA ÚTIL</v>
          </cell>
          <cell r="M711">
            <v>4.8159E-2</v>
          </cell>
          <cell r="N711">
            <v>1.2840858839986715</v>
          </cell>
        </row>
        <row r="712">
          <cell r="K712">
            <v>42769</v>
          </cell>
          <cell r="L712" t="str">
            <v>DIA ÚTIL</v>
          </cell>
          <cell r="M712">
            <v>4.8159E-2</v>
          </cell>
          <cell r="N712">
            <v>1.2847042869195464</v>
          </cell>
        </row>
        <row r="713">
          <cell r="K713">
            <v>42770</v>
          </cell>
          <cell r="M713">
            <v>0</v>
          </cell>
          <cell r="N713">
            <v>1.2847042869195464</v>
          </cell>
        </row>
        <row r="714">
          <cell r="K714">
            <v>42771</v>
          </cell>
          <cell r="M714">
            <v>0</v>
          </cell>
          <cell r="N714">
            <v>1.2847042869195464</v>
          </cell>
        </row>
        <row r="715">
          <cell r="K715">
            <v>42772</v>
          </cell>
          <cell r="L715" t="str">
            <v>DIA ÚTIL</v>
          </cell>
          <cell r="M715">
            <v>4.8159E-2</v>
          </cell>
          <cell r="N715">
            <v>1.285322987657084</v>
          </cell>
        </row>
        <row r="716">
          <cell r="K716">
            <v>42773</v>
          </cell>
          <cell r="L716" t="str">
            <v>DIA ÚTIL</v>
          </cell>
          <cell r="M716">
            <v>4.8159E-2</v>
          </cell>
          <cell r="N716">
            <v>1.2859419863547097</v>
          </cell>
        </row>
        <row r="717">
          <cell r="K717">
            <v>42774</v>
          </cell>
          <cell r="L717" t="str">
            <v>DIA ÚTIL</v>
          </cell>
          <cell r="M717">
            <v>4.8159E-2</v>
          </cell>
          <cell r="N717">
            <v>1.2865612831559181</v>
          </cell>
        </row>
        <row r="718">
          <cell r="K718">
            <v>42775</v>
          </cell>
          <cell r="L718" t="str">
            <v>DIA ÚTIL</v>
          </cell>
          <cell r="M718">
            <v>4.8159E-2</v>
          </cell>
          <cell r="N718">
            <v>1.2871808782042731</v>
          </cell>
        </row>
        <row r="719">
          <cell r="K719">
            <v>42776</v>
          </cell>
          <cell r="L719" t="str">
            <v>DIA ÚTIL</v>
          </cell>
          <cell r="M719">
            <v>4.8159E-2</v>
          </cell>
          <cell r="N719">
            <v>1.2878007716434074</v>
          </cell>
        </row>
        <row r="720">
          <cell r="K720">
            <v>42777</v>
          </cell>
          <cell r="M720">
            <v>0</v>
          </cell>
          <cell r="N720">
            <v>1.2878007716434074</v>
          </cell>
        </row>
        <row r="721">
          <cell r="K721">
            <v>42778</v>
          </cell>
          <cell r="M721">
            <v>0</v>
          </cell>
          <cell r="N721">
            <v>1.2878007716434074</v>
          </cell>
        </row>
        <row r="722">
          <cell r="K722">
            <v>42779</v>
          </cell>
          <cell r="L722" t="str">
            <v>DIA ÚTIL</v>
          </cell>
          <cell r="M722">
            <v>4.8159E-2</v>
          </cell>
          <cell r="N722">
            <v>1.2884209636170232</v>
          </cell>
        </row>
        <row r="723">
          <cell r="K723">
            <v>42780</v>
          </cell>
          <cell r="L723" t="str">
            <v>DIA ÚTIL</v>
          </cell>
          <cell r="M723">
            <v>4.8159E-2</v>
          </cell>
          <cell r="N723">
            <v>1.2890414542688915</v>
          </cell>
        </row>
        <row r="724">
          <cell r="K724">
            <v>42781</v>
          </cell>
          <cell r="L724" t="str">
            <v>DIA ÚTIL</v>
          </cell>
          <cell r="M724">
            <v>4.8159E-2</v>
          </cell>
          <cell r="N724">
            <v>1.2896622437428527</v>
          </cell>
        </row>
        <row r="725">
          <cell r="K725">
            <v>42782</v>
          </cell>
          <cell r="L725" t="str">
            <v>DIA ÚTIL</v>
          </cell>
          <cell r="M725">
            <v>4.8159E-2</v>
          </cell>
          <cell r="N725">
            <v>1.2902833321828167</v>
          </cell>
        </row>
        <row r="726">
          <cell r="K726">
            <v>42783</v>
          </cell>
          <cell r="L726" t="str">
            <v>DIA ÚTIL</v>
          </cell>
          <cell r="M726">
            <v>4.8159E-2</v>
          </cell>
          <cell r="N726">
            <v>1.2909047197327626</v>
          </cell>
        </row>
        <row r="727">
          <cell r="K727">
            <v>42784</v>
          </cell>
          <cell r="M727">
            <v>0</v>
          </cell>
          <cell r="N727">
            <v>1.2909047197327626</v>
          </cell>
        </row>
        <row r="728">
          <cell r="K728">
            <v>42785</v>
          </cell>
          <cell r="M728">
            <v>0</v>
          </cell>
          <cell r="N728">
            <v>1.2909047197327626</v>
          </cell>
        </row>
        <row r="729">
          <cell r="K729">
            <v>42786</v>
          </cell>
          <cell r="L729" t="str">
            <v>DIA ÚTIL</v>
          </cell>
          <cell r="M729">
            <v>4.8159E-2</v>
          </cell>
          <cell r="N729">
            <v>1.2915264065367384</v>
          </cell>
        </row>
        <row r="730">
          <cell r="K730">
            <v>42787</v>
          </cell>
          <cell r="L730" t="str">
            <v>DIA ÚTIL</v>
          </cell>
          <cell r="M730">
            <v>4.8159E-2</v>
          </cell>
          <cell r="N730">
            <v>1.2921483927388624</v>
          </cell>
        </row>
        <row r="731">
          <cell r="K731">
            <v>42788</v>
          </cell>
          <cell r="L731" t="str">
            <v>DIA ÚTIL</v>
          </cell>
          <cell r="M731">
            <v>4.8159E-2</v>
          </cell>
          <cell r="N731">
            <v>1.2927706784833215</v>
          </cell>
        </row>
        <row r="732">
          <cell r="K732">
            <v>42789</v>
          </cell>
          <cell r="L732" t="str">
            <v>DIA ÚTIL</v>
          </cell>
          <cell r="M732">
            <v>4.5512999999999998E-2</v>
          </cell>
          <cell r="N732">
            <v>1.2933590572022196</v>
          </cell>
        </row>
        <row r="733">
          <cell r="K733">
            <v>42790</v>
          </cell>
          <cell r="L733" t="str">
            <v>DIA ÚTIL</v>
          </cell>
          <cell r="M733">
            <v>4.5512999999999998E-2</v>
          </cell>
          <cell r="N733">
            <v>1.2939477037099241</v>
          </cell>
        </row>
        <row r="734">
          <cell r="K734">
            <v>42791</v>
          </cell>
          <cell r="M734">
            <v>0</v>
          </cell>
          <cell r="N734">
            <v>1.2939477037099241</v>
          </cell>
        </row>
        <row r="735">
          <cell r="K735">
            <v>42792</v>
          </cell>
          <cell r="M735">
            <v>0</v>
          </cell>
          <cell r="N735">
            <v>1.2939477037099241</v>
          </cell>
        </row>
        <row r="736">
          <cell r="K736">
            <v>42793</v>
          </cell>
          <cell r="M736">
            <v>0</v>
          </cell>
          <cell r="N736">
            <v>1.2939477037099241</v>
          </cell>
        </row>
        <row r="737">
          <cell r="K737">
            <v>42794</v>
          </cell>
          <cell r="M737">
            <v>0</v>
          </cell>
          <cell r="N737">
            <v>1.2939477037099241</v>
          </cell>
        </row>
        <row r="738">
          <cell r="K738">
            <v>42795</v>
          </cell>
          <cell r="L738" t="str">
            <v>DIA ÚTIL</v>
          </cell>
          <cell r="M738">
            <v>4.5512999999999998E-2</v>
          </cell>
          <cell r="N738">
            <v>1.2945366181283136</v>
          </cell>
        </row>
        <row r="739">
          <cell r="K739">
            <v>42796</v>
          </cell>
          <cell r="L739" t="str">
            <v>DIA ÚTIL</v>
          </cell>
          <cell r="M739">
            <v>4.5512999999999998E-2</v>
          </cell>
          <cell r="N739">
            <v>1.2951258005793223</v>
          </cell>
        </row>
        <row r="740">
          <cell r="K740">
            <v>42797</v>
          </cell>
          <cell r="L740" t="str">
            <v>DIA ÚTIL</v>
          </cell>
          <cell r="M740">
            <v>4.5512999999999998E-2</v>
          </cell>
          <cell r="N740">
            <v>1.2957152511849399</v>
          </cell>
        </row>
        <row r="741">
          <cell r="K741">
            <v>42798</v>
          </cell>
          <cell r="M741">
            <v>0</v>
          </cell>
          <cell r="N741">
            <v>1.2957152511849399</v>
          </cell>
        </row>
        <row r="742">
          <cell r="K742">
            <v>42799</v>
          </cell>
          <cell r="M742">
            <v>0</v>
          </cell>
          <cell r="N742">
            <v>1.2957152511849399</v>
          </cell>
        </row>
        <row r="743">
          <cell r="K743">
            <v>42800</v>
          </cell>
          <cell r="L743" t="str">
            <v>DIA ÚTIL</v>
          </cell>
          <cell r="M743">
            <v>4.5512999999999998E-2</v>
          </cell>
          <cell r="N743">
            <v>1.2963049700672116</v>
          </cell>
        </row>
        <row r="744">
          <cell r="K744">
            <v>42801</v>
          </cell>
          <cell r="L744" t="str">
            <v>DIA ÚTIL</v>
          </cell>
          <cell r="M744">
            <v>4.5512999999999998E-2</v>
          </cell>
          <cell r="N744">
            <v>1.2968949573482382</v>
          </cell>
        </row>
        <row r="745">
          <cell r="K745">
            <v>42802</v>
          </cell>
          <cell r="L745" t="str">
            <v>DIA ÚTIL</v>
          </cell>
          <cell r="M745">
            <v>4.5512999999999998E-2</v>
          </cell>
          <cell r="N745">
            <v>1.2974852131501762</v>
          </cell>
        </row>
        <row r="746">
          <cell r="K746">
            <v>42803</v>
          </cell>
          <cell r="L746" t="str">
            <v>DIA ÚTIL</v>
          </cell>
          <cell r="M746">
            <v>4.5512999999999998E-2</v>
          </cell>
          <cell r="N746">
            <v>1.2980757375952372</v>
          </cell>
        </row>
        <row r="747">
          <cell r="K747">
            <v>42804</v>
          </cell>
          <cell r="L747" t="str">
            <v>DIA ÚTIL</v>
          </cell>
          <cell r="M747">
            <v>4.5512999999999998E-2</v>
          </cell>
          <cell r="N747">
            <v>1.2986665308056888</v>
          </cell>
        </row>
        <row r="748">
          <cell r="K748">
            <v>42805</v>
          </cell>
          <cell r="M748">
            <v>0</v>
          </cell>
          <cell r="N748">
            <v>1.2986665308056888</v>
          </cell>
        </row>
        <row r="749">
          <cell r="K749">
            <v>42806</v>
          </cell>
          <cell r="M749">
            <v>0</v>
          </cell>
          <cell r="N749">
            <v>1.2986665308056888</v>
          </cell>
        </row>
        <row r="750">
          <cell r="K750">
            <v>42807</v>
          </cell>
          <cell r="L750" t="str">
            <v>DIA ÚTIL</v>
          </cell>
          <cell r="M750">
            <v>4.5512999999999998E-2</v>
          </cell>
          <cell r="N750">
            <v>1.2992575929038543</v>
          </cell>
        </row>
        <row r="751">
          <cell r="K751">
            <v>42808</v>
          </cell>
          <cell r="L751" t="str">
            <v>DIA ÚTIL</v>
          </cell>
          <cell r="M751">
            <v>4.5512999999999998E-2</v>
          </cell>
          <cell r="N751">
            <v>1.2998489240121127</v>
          </cell>
        </row>
        <row r="752">
          <cell r="K752">
            <v>42809</v>
          </cell>
          <cell r="L752" t="str">
            <v>DIA ÚTIL</v>
          </cell>
          <cell r="M752">
            <v>4.5512999999999998E-2</v>
          </cell>
          <cell r="N752">
            <v>1.3004405242528982</v>
          </cell>
        </row>
        <row r="753">
          <cell r="K753">
            <v>42810</v>
          </cell>
          <cell r="L753" t="str">
            <v>DIA ÚTIL</v>
          </cell>
          <cell r="M753">
            <v>4.5512999999999998E-2</v>
          </cell>
          <cell r="N753">
            <v>1.3010323937487014</v>
          </cell>
        </row>
        <row r="754">
          <cell r="K754">
            <v>42811</v>
          </cell>
          <cell r="L754" t="str">
            <v>DIA ÚTIL</v>
          </cell>
          <cell r="M754">
            <v>4.5512999999999998E-2</v>
          </cell>
          <cell r="N754">
            <v>1.3016245326220681</v>
          </cell>
        </row>
        <row r="755">
          <cell r="K755">
            <v>42812</v>
          </cell>
          <cell r="M755">
            <v>0</v>
          </cell>
          <cell r="N755">
            <v>1.3016245326220681</v>
          </cell>
        </row>
        <row r="756">
          <cell r="K756">
            <v>42813</v>
          </cell>
          <cell r="M756">
            <v>0</v>
          </cell>
          <cell r="N756">
            <v>1.3016245326220681</v>
          </cell>
        </row>
        <row r="757">
          <cell r="K757">
            <v>42814</v>
          </cell>
          <cell r="L757" t="str">
            <v>DIA ÚTIL</v>
          </cell>
          <cell r="M757">
            <v>4.5512999999999998E-2</v>
          </cell>
          <cell r="N757">
            <v>1.3022169409956004</v>
          </cell>
        </row>
        <row r="758">
          <cell r="K758">
            <v>42815</v>
          </cell>
          <cell r="L758" t="str">
            <v>DIA ÚTIL</v>
          </cell>
          <cell r="M758">
            <v>4.5512999999999998E-2</v>
          </cell>
          <cell r="N758">
            <v>1.3028096189919556</v>
          </cell>
        </row>
        <row r="759">
          <cell r="K759">
            <v>42816</v>
          </cell>
          <cell r="L759" t="str">
            <v>DIA ÚTIL</v>
          </cell>
          <cell r="M759">
            <v>4.5512999999999998E-2</v>
          </cell>
          <cell r="N759">
            <v>1.3034025667338474</v>
          </cell>
        </row>
        <row r="760">
          <cell r="K760">
            <v>42817</v>
          </cell>
          <cell r="L760" t="str">
            <v>DIA ÚTIL</v>
          </cell>
          <cell r="M760">
            <v>4.5512999999999998E-2</v>
          </cell>
          <cell r="N760">
            <v>1.3039957843440448</v>
          </cell>
        </row>
        <row r="761">
          <cell r="K761">
            <v>42818</v>
          </cell>
          <cell r="L761" t="str">
            <v>DIA ÚTIL</v>
          </cell>
          <cell r="M761">
            <v>4.5512999999999998E-2</v>
          </cell>
          <cell r="N761">
            <v>1.3045892719453733</v>
          </cell>
        </row>
        <row r="762">
          <cell r="K762">
            <v>42819</v>
          </cell>
          <cell r="M762">
            <v>0</v>
          </cell>
          <cell r="N762">
            <v>1.3045892719453733</v>
          </cell>
        </row>
        <row r="763">
          <cell r="K763">
            <v>42820</v>
          </cell>
          <cell r="M763">
            <v>0</v>
          </cell>
          <cell r="N763">
            <v>1.3045892719453733</v>
          </cell>
        </row>
        <row r="764">
          <cell r="K764">
            <v>42821</v>
          </cell>
          <cell r="L764" t="str">
            <v>DIA ÚTIL</v>
          </cell>
          <cell r="M764">
            <v>4.5512999999999998E-2</v>
          </cell>
          <cell r="N764">
            <v>1.3051830296607139</v>
          </cell>
        </row>
        <row r="765">
          <cell r="K765">
            <v>42822</v>
          </cell>
          <cell r="L765" t="str">
            <v>DIA ÚTIL</v>
          </cell>
          <cell r="M765">
            <v>4.5512999999999998E-2</v>
          </cell>
          <cell r="N765">
            <v>1.3057770576130032</v>
          </cell>
        </row>
        <row r="766">
          <cell r="K766">
            <v>42823</v>
          </cell>
          <cell r="L766" t="str">
            <v>DIA ÚTIL</v>
          </cell>
          <cell r="M766">
            <v>4.5512999999999998E-2</v>
          </cell>
          <cell r="N766">
            <v>1.3063713559252346</v>
          </cell>
        </row>
        <row r="767">
          <cell r="K767">
            <v>42824</v>
          </cell>
          <cell r="L767" t="str">
            <v>DIA ÚTIL</v>
          </cell>
          <cell r="M767">
            <v>4.5512999999999998E-2</v>
          </cell>
          <cell r="N767">
            <v>1.3069659247204568</v>
          </cell>
        </row>
        <row r="768">
          <cell r="K768">
            <v>42825</v>
          </cell>
          <cell r="L768" t="str">
            <v>DIA ÚTIL</v>
          </cell>
          <cell r="M768">
            <v>4.5512999999999998E-2</v>
          </cell>
          <cell r="N768">
            <v>1.3075607641217748</v>
          </cell>
        </row>
        <row r="769">
          <cell r="K769">
            <v>42826</v>
          </cell>
          <cell r="M769">
            <v>0</v>
          </cell>
          <cell r="N769">
            <v>1.3075607641217748</v>
          </cell>
        </row>
        <row r="770">
          <cell r="K770">
            <v>42827</v>
          </cell>
          <cell r="M770">
            <v>0</v>
          </cell>
          <cell r="N770">
            <v>1.3075607641217748</v>
          </cell>
        </row>
        <row r="771">
          <cell r="K771">
            <v>42828</v>
          </cell>
          <cell r="L771" t="str">
            <v>DIA ÚTIL</v>
          </cell>
          <cell r="M771">
            <v>4.5512999999999998E-2</v>
          </cell>
          <cell r="N771">
            <v>1.3081558742523496</v>
          </cell>
        </row>
        <row r="772">
          <cell r="K772">
            <v>42829</v>
          </cell>
          <cell r="L772" t="str">
            <v>DIA ÚTIL</v>
          </cell>
          <cell r="M772">
            <v>4.5512999999999998E-2</v>
          </cell>
          <cell r="N772">
            <v>1.3087512552353979</v>
          </cell>
        </row>
        <row r="773">
          <cell r="K773">
            <v>42830</v>
          </cell>
          <cell r="L773" t="str">
            <v>DIA ÚTIL</v>
          </cell>
          <cell r="M773">
            <v>4.5512999999999998E-2</v>
          </cell>
          <cell r="N773">
            <v>1.3093469071941932</v>
          </cell>
        </row>
        <row r="774">
          <cell r="K774">
            <v>42831</v>
          </cell>
          <cell r="L774" t="str">
            <v>DIA ÚTIL</v>
          </cell>
          <cell r="M774">
            <v>4.5512999999999998E-2</v>
          </cell>
          <cell r="N774">
            <v>1.3099428302520644</v>
          </cell>
        </row>
        <row r="775">
          <cell r="K775">
            <v>42832</v>
          </cell>
          <cell r="L775" t="str">
            <v>DIA ÚTIL</v>
          </cell>
          <cell r="M775">
            <v>4.5512999999999998E-2</v>
          </cell>
          <cell r="N775">
            <v>1.3105390245323969</v>
          </cell>
        </row>
        <row r="776">
          <cell r="K776">
            <v>42833</v>
          </cell>
          <cell r="M776">
            <v>0</v>
          </cell>
          <cell r="N776">
            <v>1.3105390245323969</v>
          </cell>
        </row>
        <row r="777">
          <cell r="K777">
            <v>42834</v>
          </cell>
          <cell r="M777">
            <v>0</v>
          </cell>
          <cell r="N777">
            <v>1.3105390245323969</v>
          </cell>
        </row>
        <row r="778">
          <cell r="K778">
            <v>42835</v>
          </cell>
          <cell r="L778" t="str">
            <v>DIA ÚTIL</v>
          </cell>
          <cell r="M778">
            <v>4.5512999999999998E-2</v>
          </cell>
          <cell r="N778">
            <v>1.3111354901586323</v>
          </cell>
        </row>
        <row r="779">
          <cell r="K779">
            <v>42836</v>
          </cell>
          <cell r="L779" t="str">
            <v>DIA ÚTIL</v>
          </cell>
          <cell r="M779">
            <v>4.5512999999999998E-2</v>
          </cell>
          <cell r="N779">
            <v>1.3117322272542682</v>
          </cell>
        </row>
        <row r="780">
          <cell r="K780">
            <v>42837</v>
          </cell>
          <cell r="L780" t="str">
            <v>DIA ÚTIL</v>
          </cell>
          <cell r="M780">
            <v>4.5512999999999998E-2</v>
          </cell>
          <cell r="N780">
            <v>1.3123292359428584</v>
          </cell>
        </row>
        <row r="781">
          <cell r="K781">
            <v>42838</v>
          </cell>
          <cell r="L781" t="str">
            <v>DIA ÚTIL</v>
          </cell>
          <cell r="M781">
            <v>4.1957000000000001E-2</v>
          </cell>
          <cell r="N781">
            <v>1.3128798499203831</v>
          </cell>
        </row>
        <row r="782">
          <cell r="K782">
            <v>42839</v>
          </cell>
          <cell r="M782">
            <v>0</v>
          </cell>
          <cell r="N782">
            <v>1.3128798499203831</v>
          </cell>
        </row>
        <row r="783">
          <cell r="K783">
            <v>42840</v>
          </cell>
          <cell r="M783">
            <v>0</v>
          </cell>
          <cell r="N783">
            <v>1.3128798499203831</v>
          </cell>
        </row>
        <row r="784">
          <cell r="K784">
            <v>42841</v>
          </cell>
          <cell r="M784">
            <v>0</v>
          </cell>
          <cell r="N784">
            <v>1.3128798499203831</v>
          </cell>
        </row>
        <row r="785">
          <cell r="K785">
            <v>42842</v>
          </cell>
          <cell r="L785" t="str">
            <v>DIA ÚTIL</v>
          </cell>
          <cell r="M785">
            <v>4.1957000000000001E-2</v>
          </cell>
          <cell r="N785">
            <v>1.3134306949190142</v>
          </cell>
        </row>
        <row r="786">
          <cell r="K786">
            <v>42843</v>
          </cell>
          <cell r="L786" t="str">
            <v>DIA ÚTIL</v>
          </cell>
          <cell r="M786">
            <v>4.1957000000000001E-2</v>
          </cell>
          <cell r="N786">
            <v>1.3139817710356814</v>
          </cell>
        </row>
        <row r="787">
          <cell r="K787">
            <v>42844</v>
          </cell>
          <cell r="L787" t="str">
            <v>DIA ÚTIL</v>
          </cell>
          <cell r="M787">
            <v>4.1957000000000001E-2</v>
          </cell>
          <cell r="N787">
            <v>1.3145330783673548</v>
          </cell>
        </row>
        <row r="788">
          <cell r="K788">
            <v>42845</v>
          </cell>
          <cell r="L788" t="str">
            <v>DIA ÚTIL</v>
          </cell>
          <cell r="M788">
            <v>4.1957000000000001E-2</v>
          </cell>
          <cell r="N788">
            <v>1.3150846170110455</v>
          </cell>
        </row>
        <row r="789">
          <cell r="K789">
            <v>42846</v>
          </cell>
          <cell r="M789">
            <v>0</v>
          </cell>
          <cell r="N789">
            <v>1.3150846170110455</v>
          </cell>
        </row>
        <row r="790">
          <cell r="K790">
            <v>42847</v>
          </cell>
          <cell r="M790">
            <v>0</v>
          </cell>
          <cell r="N790">
            <v>1.3150846170110455</v>
          </cell>
        </row>
        <row r="791">
          <cell r="K791">
            <v>42848</v>
          </cell>
          <cell r="M791">
            <v>0</v>
          </cell>
          <cell r="N791">
            <v>1.3150846170110455</v>
          </cell>
        </row>
        <row r="792">
          <cell r="K792">
            <v>42849</v>
          </cell>
          <cell r="L792" t="str">
            <v>DIA ÚTIL</v>
          </cell>
          <cell r="M792">
            <v>4.1957000000000001E-2</v>
          </cell>
          <cell r="N792">
            <v>1.3156363870638048</v>
          </cell>
        </row>
        <row r="793">
          <cell r="K793">
            <v>42850</v>
          </cell>
          <cell r="L793" t="str">
            <v>DIA ÚTIL</v>
          </cell>
          <cell r="M793">
            <v>4.1957000000000001E-2</v>
          </cell>
          <cell r="N793">
            <v>1.3161883886227252</v>
          </cell>
        </row>
        <row r="794">
          <cell r="K794">
            <v>42851</v>
          </cell>
          <cell r="L794" t="str">
            <v>DIA ÚTIL</v>
          </cell>
          <cell r="M794">
            <v>4.1957000000000001E-2</v>
          </cell>
          <cell r="N794">
            <v>1.3167406217849398</v>
          </cell>
        </row>
        <row r="795">
          <cell r="K795">
            <v>42852</v>
          </cell>
          <cell r="L795" t="str">
            <v>DIA ÚTIL</v>
          </cell>
          <cell r="M795">
            <v>4.1957000000000001E-2</v>
          </cell>
          <cell r="N795">
            <v>1.3172930866476222</v>
          </cell>
        </row>
        <row r="796">
          <cell r="K796">
            <v>42853</v>
          </cell>
          <cell r="L796" t="str">
            <v>DIA ÚTIL</v>
          </cell>
          <cell r="M796">
            <v>4.1957000000000001E-2</v>
          </cell>
          <cell r="N796">
            <v>1.3178457833079871</v>
          </cell>
        </row>
        <row r="797">
          <cell r="K797">
            <v>42854</v>
          </cell>
          <cell r="M797">
            <v>0</v>
          </cell>
          <cell r="N797">
            <v>1.3178457833079871</v>
          </cell>
        </row>
        <row r="798">
          <cell r="K798">
            <v>42855</v>
          </cell>
          <cell r="M798">
            <v>0</v>
          </cell>
          <cell r="N798">
            <v>1.3178457833079871</v>
          </cell>
        </row>
        <row r="799">
          <cell r="K799">
            <v>42856</v>
          </cell>
          <cell r="M799">
            <v>0</v>
          </cell>
          <cell r="N799">
            <v>1.3178457833079871</v>
          </cell>
        </row>
        <row r="800">
          <cell r="K800">
            <v>42857</v>
          </cell>
          <cell r="L800" t="str">
            <v>DIA ÚTIL</v>
          </cell>
          <cell r="M800">
            <v>4.1957000000000001E-2</v>
          </cell>
          <cell r="N800">
            <v>1.3183987118632896</v>
          </cell>
        </row>
        <row r="801">
          <cell r="K801">
            <v>42858</v>
          </cell>
          <cell r="L801" t="str">
            <v>DIA ÚTIL</v>
          </cell>
          <cell r="M801">
            <v>4.1957000000000001E-2</v>
          </cell>
          <cell r="N801">
            <v>1.3189518724108262</v>
          </cell>
        </row>
        <row r="802">
          <cell r="K802">
            <v>42859</v>
          </cell>
          <cell r="L802" t="str">
            <v>DIA ÚTIL</v>
          </cell>
          <cell r="M802">
            <v>4.1957000000000001E-2</v>
          </cell>
          <cell r="N802">
            <v>1.3195052650479338</v>
          </cell>
        </row>
        <row r="803">
          <cell r="K803">
            <v>42860</v>
          </cell>
          <cell r="L803" t="str">
            <v>DIA ÚTIL</v>
          </cell>
          <cell r="M803">
            <v>4.1957000000000001E-2</v>
          </cell>
          <cell r="N803">
            <v>1.32005888987199</v>
          </cell>
        </row>
        <row r="804">
          <cell r="K804">
            <v>42861</v>
          </cell>
          <cell r="M804">
            <v>0</v>
          </cell>
          <cell r="N804">
            <v>1.32005888987199</v>
          </cell>
        </row>
        <row r="805">
          <cell r="K805">
            <v>42862</v>
          </cell>
          <cell r="M805">
            <v>0</v>
          </cell>
          <cell r="N805">
            <v>1.32005888987199</v>
          </cell>
        </row>
        <row r="806">
          <cell r="K806">
            <v>42863</v>
          </cell>
          <cell r="L806" t="str">
            <v>DIA ÚTIL</v>
          </cell>
          <cell r="M806">
            <v>4.1957000000000001E-2</v>
          </cell>
          <cell r="N806">
            <v>1.3206127469804136</v>
          </cell>
        </row>
        <row r="807">
          <cell r="K807">
            <v>42864</v>
          </cell>
          <cell r="L807" t="str">
            <v>DIA ÚTIL</v>
          </cell>
          <cell r="M807">
            <v>4.1957000000000001E-2</v>
          </cell>
          <cell r="N807">
            <v>1.3211668364706644</v>
          </cell>
        </row>
        <row r="808">
          <cell r="K808">
            <v>42865</v>
          </cell>
          <cell r="L808" t="str">
            <v>DIA ÚTIL</v>
          </cell>
          <cell r="M808">
            <v>4.1957000000000001E-2</v>
          </cell>
          <cell r="N808">
            <v>1.3217211584402424</v>
          </cell>
        </row>
        <row r="809">
          <cell r="K809">
            <v>42866</v>
          </cell>
          <cell r="L809" t="str">
            <v>DIA ÚTIL</v>
          </cell>
          <cell r="M809">
            <v>4.1957000000000001E-2</v>
          </cell>
          <cell r="N809">
            <v>1.3222757129866893</v>
          </cell>
        </row>
        <row r="810">
          <cell r="K810">
            <v>42867</v>
          </cell>
          <cell r="L810" t="str">
            <v>DIA ÚTIL</v>
          </cell>
          <cell r="M810">
            <v>4.1957000000000001E-2</v>
          </cell>
          <cell r="N810">
            <v>1.3228305002075873</v>
          </cell>
        </row>
        <row r="811">
          <cell r="K811">
            <v>42868</v>
          </cell>
          <cell r="M811">
            <v>0</v>
          </cell>
          <cell r="N811">
            <v>1.3228305002075873</v>
          </cell>
        </row>
        <row r="812">
          <cell r="K812">
            <v>42869</v>
          </cell>
          <cell r="M812">
            <v>0</v>
          </cell>
          <cell r="N812">
            <v>1.3228305002075873</v>
          </cell>
        </row>
        <row r="813">
          <cell r="K813">
            <v>42870</v>
          </cell>
          <cell r="L813" t="str">
            <v>DIA ÚTIL</v>
          </cell>
          <cell r="M813">
            <v>4.1957000000000001E-2</v>
          </cell>
          <cell r="N813">
            <v>1.3233855202005596</v>
          </cell>
        </row>
        <row r="814">
          <cell r="K814">
            <v>42871</v>
          </cell>
          <cell r="L814" t="str">
            <v>DIA ÚTIL</v>
          </cell>
          <cell r="M814">
            <v>4.1957000000000001E-2</v>
          </cell>
          <cell r="N814">
            <v>1.3239407730632702</v>
          </cell>
        </row>
        <row r="815">
          <cell r="K815">
            <v>42872</v>
          </cell>
          <cell r="L815" t="str">
            <v>DIA ÚTIL</v>
          </cell>
          <cell r="M815">
            <v>4.1957000000000001E-2</v>
          </cell>
          <cell r="N815">
            <v>1.3244962588934244</v>
          </cell>
        </row>
        <row r="816">
          <cell r="K816">
            <v>42873</v>
          </cell>
          <cell r="L816" t="str">
            <v>DIA ÚTIL</v>
          </cell>
          <cell r="M816">
            <v>4.1957000000000001E-2</v>
          </cell>
          <cell r="N816">
            <v>1.3250519777887684</v>
          </cell>
        </row>
        <row r="817">
          <cell r="K817">
            <v>42874</v>
          </cell>
          <cell r="L817" t="str">
            <v>DIA ÚTIL</v>
          </cell>
          <cell r="M817">
            <v>4.1957000000000001E-2</v>
          </cell>
          <cell r="N817">
            <v>1.3256079298470893</v>
          </cell>
        </row>
        <row r="818">
          <cell r="K818">
            <v>42875</v>
          </cell>
          <cell r="M818">
            <v>0</v>
          </cell>
          <cell r="N818">
            <v>1.3256079298470893</v>
          </cell>
        </row>
        <row r="819">
          <cell r="K819">
            <v>42876</v>
          </cell>
          <cell r="M819">
            <v>0</v>
          </cell>
          <cell r="N819">
            <v>1.3256079298470893</v>
          </cell>
        </row>
        <row r="820">
          <cell r="K820">
            <v>42877</v>
          </cell>
          <cell r="L820" t="str">
            <v>DIA ÚTIL</v>
          </cell>
          <cell r="M820">
            <v>4.1957000000000001E-2</v>
          </cell>
          <cell r="N820">
            <v>1.3261641151662154</v>
          </cell>
        </row>
        <row r="821">
          <cell r="K821">
            <v>42878</v>
          </cell>
          <cell r="L821" t="str">
            <v>DIA ÚTIL</v>
          </cell>
          <cell r="M821">
            <v>4.1957000000000001E-2</v>
          </cell>
          <cell r="N821">
            <v>1.3267205338440158</v>
          </cell>
        </row>
        <row r="822">
          <cell r="K822">
            <v>42879</v>
          </cell>
          <cell r="L822" t="str">
            <v>DIA ÚTIL</v>
          </cell>
          <cell r="M822">
            <v>4.1957000000000001E-2</v>
          </cell>
          <cell r="N822">
            <v>1.3272771859784007</v>
          </cell>
        </row>
        <row r="823">
          <cell r="K823">
            <v>42880</v>
          </cell>
          <cell r="L823" t="str">
            <v>DIA ÚTIL</v>
          </cell>
          <cell r="M823">
            <v>4.1957000000000001E-2</v>
          </cell>
          <cell r="N823">
            <v>1.3278340716673218</v>
          </cell>
        </row>
        <row r="824">
          <cell r="K824">
            <v>42881</v>
          </cell>
          <cell r="L824" t="str">
            <v>DIA ÚTIL</v>
          </cell>
          <cell r="M824">
            <v>4.1957000000000001E-2</v>
          </cell>
          <cell r="N824">
            <v>1.3283911910087713</v>
          </cell>
        </row>
        <row r="825">
          <cell r="K825">
            <v>42882</v>
          </cell>
          <cell r="M825">
            <v>0</v>
          </cell>
          <cell r="N825">
            <v>1.3283911910087713</v>
          </cell>
        </row>
        <row r="826">
          <cell r="K826">
            <v>42883</v>
          </cell>
          <cell r="M826">
            <v>0</v>
          </cell>
          <cell r="N826">
            <v>1.3283911910087713</v>
          </cell>
        </row>
        <row r="827">
          <cell r="K827">
            <v>42884</v>
          </cell>
          <cell r="L827" t="str">
            <v>DIA ÚTIL</v>
          </cell>
          <cell r="M827">
            <v>4.1957000000000001E-2</v>
          </cell>
          <cell r="N827">
            <v>1.3289485441007829</v>
          </cell>
        </row>
        <row r="828">
          <cell r="K828">
            <v>42885</v>
          </cell>
          <cell r="L828" t="str">
            <v>DIA ÚTIL</v>
          </cell>
          <cell r="M828">
            <v>4.1957000000000001E-2</v>
          </cell>
          <cell r="N828">
            <v>1.3295061310414313</v>
          </cell>
        </row>
        <row r="829">
          <cell r="K829">
            <v>42886</v>
          </cell>
          <cell r="L829" t="str">
            <v>DIA ÚTIL</v>
          </cell>
          <cell r="M829">
            <v>4.1957000000000001E-2</v>
          </cell>
          <cell r="N829">
            <v>1.3300639519288324</v>
          </cell>
        </row>
        <row r="830">
          <cell r="K830">
            <v>42887</v>
          </cell>
          <cell r="L830" t="str">
            <v>DIA ÚTIL</v>
          </cell>
          <cell r="M830">
            <v>3.8370000000000001E-2</v>
          </cell>
          <cell r="N830">
            <v>1.3305742974671875</v>
          </cell>
        </row>
        <row r="831">
          <cell r="K831">
            <v>42888</v>
          </cell>
          <cell r="L831" t="str">
            <v>DIA ÚTIL</v>
          </cell>
          <cell r="M831">
            <v>3.8370000000000001E-2</v>
          </cell>
          <cell r="N831">
            <v>1.3310848388251255</v>
          </cell>
        </row>
        <row r="832">
          <cell r="K832">
            <v>42889</v>
          </cell>
          <cell r="M832">
            <v>0</v>
          </cell>
          <cell r="N832">
            <v>1.3310848388251255</v>
          </cell>
        </row>
        <row r="833">
          <cell r="K833">
            <v>42890</v>
          </cell>
          <cell r="M833">
            <v>0</v>
          </cell>
          <cell r="N833">
            <v>1.3310848388251255</v>
          </cell>
        </row>
        <row r="834">
          <cell r="K834">
            <v>42891</v>
          </cell>
          <cell r="L834" t="str">
            <v>DIA ÚTIL</v>
          </cell>
          <cell r="M834">
            <v>3.8370000000000001E-2</v>
          </cell>
          <cell r="N834">
            <v>1.3315955760777827</v>
          </cell>
        </row>
        <row r="835">
          <cell r="K835">
            <v>42892</v>
          </cell>
          <cell r="L835" t="str">
            <v>DIA ÚTIL</v>
          </cell>
          <cell r="M835">
            <v>3.8370000000000001E-2</v>
          </cell>
          <cell r="N835">
            <v>1.3321065093003237</v>
          </cell>
        </row>
        <row r="836">
          <cell r="K836">
            <v>42893</v>
          </cell>
          <cell r="L836" t="str">
            <v>DIA ÚTIL</v>
          </cell>
          <cell r="M836">
            <v>3.8370000000000001E-2</v>
          </cell>
          <cell r="N836">
            <v>1.3326176385679422</v>
          </cell>
        </row>
        <row r="837">
          <cell r="K837">
            <v>42894</v>
          </cell>
          <cell r="L837" t="str">
            <v>DIA ÚTIL</v>
          </cell>
          <cell r="M837">
            <v>3.8370000000000001E-2</v>
          </cell>
          <cell r="N837">
            <v>1.3331289639558608</v>
          </cell>
        </row>
        <row r="838">
          <cell r="K838">
            <v>42895</v>
          </cell>
          <cell r="L838" t="str">
            <v>DIA ÚTIL</v>
          </cell>
          <cell r="M838">
            <v>3.8370000000000001E-2</v>
          </cell>
          <cell r="N838">
            <v>1.3336404855393307</v>
          </cell>
        </row>
        <row r="839">
          <cell r="K839">
            <v>42896</v>
          </cell>
          <cell r="M839">
            <v>0</v>
          </cell>
          <cell r="N839">
            <v>1.3336404855393307</v>
          </cell>
        </row>
        <row r="840">
          <cell r="K840">
            <v>42897</v>
          </cell>
          <cell r="M840">
            <v>0</v>
          </cell>
          <cell r="N840">
            <v>1.3336404855393307</v>
          </cell>
        </row>
        <row r="841">
          <cell r="K841">
            <v>42898</v>
          </cell>
          <cell r="L841" t="str">
            <v>DIA ÚTIL</v>
          </cell>
          <cell r="M841">
            <v>3.8370000000000001E-2</v>
          </cell>
          <cell r="N841">
            <v>1.3341522033936322</v>
          </cell>
        </row>
        <row r="842">
          <cell r="K842">
            <v>42899</v>
          </cell>
          <cell r="L842" t="str">
            <v>DIA ÚTIL</v>
          </cell>
          <cell r="M842">
            <v>3.8370000000000001E-2</v>
          </cell>
          <cell r="N842">
            <v>1.3346641175940743</v>
          </cell>
        </row>
        <row r="843">
          <cell r="K843">
            <v>42900</v>
          </cell>
          <cell r="L843" t="str">
            <v>DIA ÚTIL</v>
          </cell>
          <cell r="M843">
            <v>3.8370000000000001E-2</v>
          </cell>
          <cell r="N843">
            <v>1.3351762282159951</v>
          </cell>
        </row>
        <row r="844">
          <cell r="K844">
            <v>42901</v>
          </cell>
          <cell r="M844">
            <v>0</v>
          </cell>
          <cell r="N844">
            <v>1.3351762282159951</v>
          </cell>
        </row>
        <row r="845">
          <cell r="K845">
            <v>42902</v>
          </cell>
          <cell r="L845" t="str">
            <v>DIA ÚTIL</v>
          </cell>
          <cell r="M845">
            <v>3.8370000000000001E-2</v>
          </cell>
          <cell r="N845">
            <v>1.3356885353347616</v>
          </cell>
        </row>
        <row r="846">
          <cell r="K846">
            <v>42903</v>
          </cell>
          <cell r="M846">
            <v>0</v>
          </cell>
          <cell r="N846">
            <v>1.3356885353347616</v>
          </cell>
        </row>
        <row r="847">
          <cell r="K847">
            <v>42904</v>
          </cell>
          <cell r="M847">
            <v>0</v>
          </cell>
          <cell r="N847">
            <v>1.3356885353347616</v>
          </cell>
        </row>
        <row r="848">
          <cell r="K848">
            <v>42905</v>
          </cell>
          <cell r="L848" t="str">
            <v>DIA ÚTIL</v>
          </cell>
          <cell r="M848">
            <v>3.8370000000000001E-2</v>
          </cell>
          <cell r="N848">
            <v>1.3362010390257695</v>
          </cell>
        </row>
        <row r="849">
          <cell r="K849">
            <v>42906</v>
          </cell>
          <cell r="L849" t="str">
            <v>DIA ÚTIL</v>
          </cell>
          <cell r="M849">
            <v>3.8370000000000001E-2</v>
          </cell>
          <cell r="N849">
            <v>1.3367137393644437</v>
          </cell>
        </row>
        <row r="850">
          <cell r="K850">
            <v>42907</v>
          </cell>
          <cell r="L850" t="str">
            <v>DIA ÚTIL</v>
          </cell>
          <cell r="M850">
            <v>3.8370000000000001E-2</v>
          </cell>
          <cell r="N850">
            <v>1.3372266364262377</v>
          </cell>
        </row>
        <row r="851">
          <cell r="K851">
            <v>42908</v>
          </cell>
          <cell r="L851" t="str">
            <v>DIA ÚTIL</v>
          </cell>
          <cell r="M851">
            <v>3.8370000000000001E-2</v>
          </cell>
          <cell r="N851">
            <v>1.3377397302866345</v>
          </cell>
        </row>
        <row r="852">
          <cell r="K852">
            <v>42909</v>
          </cell>
          <cell r="L852" t="str">
            <v>DIA ÚTIL</v>
          </cell>
          <cell r="M852">
            <v>3.8370000000000001E-2</v>
          </cell>
          <cell r="N852">
            <v>1.3382530210211454</v>
          </cell>
        </row>
        <row r="853">
          <cell r="K853">
            <v>42910</v>
          </cell>
          <cell r="M853">
            <v>0</v>
          </cell>
          <cell r="N853">
            <v>1.3382530210211454</v>
          </cell>
        </row>
        <row r="854">
          <cell r="K854">
            <v>42911</v>
          </cell>
          <cell r="M854">
            <v>0</v>
          </cell>
          <cell r="N854">
            <v>1.3382530210211454</v>
          </cell>
        </row>
        <row r="855">
          <cell r="K855">
            <v>42912</v>
          </cell>
          <cell r="L855" t="str">
            <v>DIA ÚTIL</v>
          </cell>
          <cell r="M855">
            <v>3.8370000000000001E-2</v>
          </cell>
          <cell r="N855">
            <v>1.3387665087053111</v>
          </cell>
        </row>
        <row r="856">
          <cell r="K856">
            <v>42913</v>
          </cell>
          <cell r="L856" t="str">
            <v>DIA ÚTIL</v>
          </cell>
          <cell r="M856">
            <v>3.8370000000000001E-2</v>
          </cell>
          <cell r="N856">
            <v>1.3392801934147014</v>
          </cell>
        </row>
        <row r="857">
          <cell r="K857">
            <v>42914</v>
          </cell>
          <cell r="L857" t="str">
            <v>DIA ÚTIL</v>
          </cell>
          <cell r="M857">
            <v>3.8370000000000001E-2</v>
          </cell>
          <cell r="N857">
            <v>1.3397940752249147</v>
          </cell>
        </row>
        <row r="858">
          <cell r="K858">
            <v>42915</v>
          </cell>
          <cell r="L858" t="str">
            <v>DIA ÚTIL</v>
          </cell>
          <cell r="M858">
            <v>3.8370000000000001E-2</v>
          </cell>
          <cell r="N858">
            <v>1.3403081542115785</v>
          </cell>
        </row>
        <row r="859">
          <cell r="K859">
            <v>42916</v>
          </cell>
          <cell r="L859" t="str">
            <v>DIA ÚTIL</v>
          </cell>
          <cell r="M859">
            <v>3.8370000000000001E-2</v>
          </cell>
          <cell r="N859">
            <v>1.3408224304503493</v>
          </cell>
        </row>
        <row r="860">
          <cell r="K860">
            <v>42917</v>
          </cell>
          <cell r="M860">
            <v>0</v>
          </cell>
          <cell r="N860">
            <v>1.3408224304503493</v>
          </cell>
        </row>
        <row r="861">
          <cell r="K861">
            <v>42918</v>
          </cell>
          <cell r="M861">
            <v>0</v>
          </cell>
          <cell r="N861">
            <v>1.3408224304503493</v>
          </cell>
        </row>
        <row r="862">
          <cell r="K862">
            <v>42919</v>
          </cell>
          <cell r="L862" t="str">
            <v>DIA ÚTIL</v>
          </cell>
          <cell r="M862">
            <v>3.8370000000000001E-2</v>
          </cell>
          <cell r="N862">
            <v>1.3413369040169132</v>
          </cell>
        </row>
        <row r="863">
          <cell r="K863">
            <v>42920</v>
          </cell>
          <cell r="L863" t="str">
            <v>DIA ÚTIL</v>
          </cell>
          <cell r="M863">
            <v>3.8370000000000001E-2</v>
          </cell>
          <cell r="N863">
            <v>1.3418515749869844</v>
          </cell>
        </row>
        <row r="864">
          <cell r="K864">
            <v>42921</v>
          </cell>
          <cell r="L864" t="str">
            <v>DIA ÚTIL</v>
          </cell>
          <cell r="M864">
            <v>3.8370000000000001E-2</v>
          </cell>
          <cell r="N864">
            <v>1.342366443436307</v>
          </cell>
        </row>
        <row r="865">
          <cell r="K865">
            <v>42922</v>
          </cell>
          <cell r="L865" t="str">
            <v>DIA ÚTIL</v>
          </cell>
          <cell r="M865">
            <v>3.8370000000000001E-2</v>
          </cell>
          <cell r="N865">
            <v>1.3428815094406534</v>
          </cell>
        </row>
        <row r="866">
          <cell r="K866">
            <v>42923</v>
          </cell>
          <cell r="L866" t="str">
            <v>DIA ÚTIL</v>
          </cell>
          <cell r="M866">
            <v>3.8370000000000001E-2</v>
          </cell>
          <cell r="N866">
            <v>1.3433967730758258</v>
          </cell>
        </row>
        <row r="867">
          <cell r="K867">
            <v>42924</v>
          </cell>
          <cell r="M867">
            <v>0</v>
          </cell>
          <cell r="N867">
            <v>1.3433967730758258</v>
          </cell>
        </row>
        <row r="868">
          <cell r="K868">
            <v>42925</v>
          </cell>
          <cell r="M868">
            <v>0</v>
          </cell>
          <cell r="N868">
            <v>1.3433967730758258</v>
          </cell>
        </row>
        <row r="869">
          <cell r="K869">
            <v>42926</v>
          </cell>
          <cell r="L869" t="str">
            <v>DIA ÚTIL</v>
          </cell>
          <cell r="M869">
            <v>3.8370000000000001E-2</v>
          </cell>
          <cell r="N869">
            <v>1.3439122344176551</v>
          </cell>
        </row>
        <row r="870">
          <cell r="K870">
            <v>42927</v>
          </cell>
          <cell r="L870" t="str">
            <v>DIA ÚTIL</v>
          </cell>
          <cell r="M870">
            <v>3.8370000000000001E-2</v>
          </cell>
          <cell r="N870">
            <v>1.3444278935420011</v>
          </cell>
        </row>
        <row r="871">
          <cell r="K871">
            <v>42928</v>
          </cell>
          <cell r="L871" t="str">
            <v>DIA ÚTIL</v>
          </cell>
          <cell r="M871">
            <v>3.8370000000000001E-2</v>
          </cell>
          <cell r="N871">
            <v>1.3449437505247532</v>
          </cell>
        </row>
        <row r="872">
          <cell r="K872">
            <v>42929</v>
          </cell>
          <cell r="L872" t="str">
            <v>DIA ÚTIL</v>
          </cell>
          <cell r="M872">
            <v>3.8370000000000001E-2</v>
          </cell>
          <cell r="N872">
            <v>1.3454598054418296</v>
          </cell>
        </row>
        <row r="873">
          <cell r="K873">
            <v>42930</v>
          </cell>
          <cell r="L873" t="str">
            <v>DIA ÚTIL</v>
          </cell>
          <cell r="M873">
            <v>3.8370000000000001E-2</v>
          </cell>
          <cell r="N873">
            <v>1.3459760583691776</v>
          </cell>
        </row>
        <row r="874">
          <cell r="K874">
            <v>42931</v>
          </cell>
          <cell r="M874">
            <v>0</v>
          </cell>
          <cell r="N874">
            <v>1.3459760583691776</v>
          </cell>
        </row>
        <row r="875">
          <cell r="K875">
            <v>42932</v>
          </cell>
          <cell r="M875">
            <v>0</v>
          </cell>
          <cell r="N875">
            <v>1.3459760583691776</v>
          </cell>
        </row>
        <row r="876">
          <cell r="K876">
            <v>42933</v>
          </cell>
          <cell r="L876" t="str">
            <v>DIA ÚTIL</v>
          </cell>
          <cell r="M876">
            <v>3.8370000000000001E-2</v>
          </cell>
          <cell r="N876">
            <v>1.3464925093827738</v>
          </cell>
        </row>
        <row r="877">
          <cell r="K877">
            <v>42934</v>
          </cell>
          <cell r="L877" t="str">
            <v>DIA ÚTIL</v>
          </cell>
          <cell r="M877">
            <v>3.8370000000000001E-2</v>
          </cell>
          <cell r="N877">
            <v>1.3470091585586239</v>
          </cell>
        </row>
        <row r="878">
          <cell r="K878">
            <v>42935</v>
          </cell>
          <cell r="L878" t="str">
            <v>DIA ÚTIL</v>
          </cell>
          <cell r="M878">
            <v>3.8370000000000001E-2</v>
          </cell>
          <cell r="N878">
            <v>1.3475260059727627</v>
          </cell>
        </row>
        <row r="879">
          <cell r="K879">
            <v>42936</v>
          </cell>
          <cell r="L879" t="str">
            <v>DIA ÚTIL</v>
          </cell>
          <cell r="M879">
            <v>3.8370000000000001E-2</v>
          </cell>
          <cell r="N879">
            <v>1.3480430517012545</v>
          </cell>
        </row>
        <row r="880">
          <cell r="K880">
            <v>42937</v>
          </cell>
          <cell r="L880" t="str">
            <v>DIA ÚTIL</v>
          </cell>
          <cell r="M880">
            <v>3.8370000000000001E-2</v>
          </cell>
          <cell r="N880">
            <v>1.3485602958201923</v>
          </cell>
        </row>
        <row r="881">
          <cell r="K881">
            <v>42938</v>
          </cell>
          <cell r="M881">
            <v>0</v>
          </cell>
          <cell r="N881">
            <v>1.3485602958201923</v>
          </cell>
        </row>
        <row r="882">
          <cell r="K882">
            <v>42939</v>
          </cell>
          <cell r="M882">
            <v>0</v>
          </cell>
          <cell r="N882">
            <v>1.3485602958201923</v>
          </cell>
        </row>
        <row r="883">
          <cell r="K883">
            <v>42940</v>
          </cell>
          <cell r="L883" t="str">
            <v>DIA ÚTIL</v>
          </cell>
          <cell r="M883">
            <v>3.8370000000000001E-2</v>
          </cell>
          <cell r="N883">
            <v>1.3490777384056984</v>
          </cell>
        </row>
        <row r="884">
          <cell r="K884">
            <v>42941</v>
          </cell>
          <cell r="L884" t="str">
            <v>DIA ÚTIL</v>
          </cell>
          <cell r="M884">
            <v>3.8370000000000001E-2</v>
          </cell>
          <cell r="N884">
            <v>1.3495953795339246</v>
          </cell>
        </row>
        <row r="885">
          <cell r="K885">
            <v>42942</v>
          </cell>
          <cell r="L885" t="str">
            <v>DIA ÚTIL</v>
          </cell>
          <cell r="M885">
            <v>3.8370000000000001E-2</v>
          </cell>
          <cell r="N885">
            <v>1.3501132192810517</v>
          </cell>
        </row>
        <row r="886">
          <cell r="K886">
            <v>42943</v>
          </cell>
          <cell r="L886" t="str">
            <v>DIA ÚTIL</v>
          </cell>
          <cell r="M886">
            <v>3.4749000000000002E-2</v>
          </cell>
          <cell r="N886">
            <v>1.3505823701236197</v>
          </cell>
        </row>
        <row r="887">
          <cell r="K887">
            <v>42944</v>
          </cell>
          <cell r="L887" t="str">
            <v>DIA ÚTIL</v>
          </cell>
          <cell r="M887">
            <v>3.4749000000000002E-2</v>
          </cell>
          <cell r="N887">
            <v>1.351051683991414</v>
          </cell>
        </row>
        <row r="888">
          <cell r="K888">
            <v>42945</v>
          </cell>
          <cell r="M888">
            <v>0</v>
          </cell>
          <cell r="N888">
            <v>1.351051683991414</v>
          </cell>
        </row>
        <row r="889">
          <cell r="K889">
            <v>42946</v>
          </cell>
          <cell r="M889">
            <v>0</v>
          </cell>
          <cell r="N889">
            <v>1.351051683991414</v>
          </cell>
        </row>
        <row r="890">
          <cell r="K890">
            <v>42947</v>
          </cell>
          <cell r="L890" t="str">
            <v>DIA ÚTIL</v>
          </cell>
          <cell r="M890">
            <v>3.4749000000000002E-2</v>
          </cell>
          <cell r="N890">
            <v>1.3515211609410842</v>
          </cell>
        </row>
        <row r="891">
          <cell r="K891">
            <v>42948</v>
          </cell>
          <cell r="L891" t="str">
            <v>DIA ÚTIL</v>
          </cell>
          <cell r="M891">
            <v>3.4749000000000002E-2</v>
          </cell>
          <cell r="N891">
            <v>1.3519908010292996</v>
          </cell>
        </row>
        <row r="892">
          <cell r="K892">
            <v>42949</v>
          </cell>
          <cell r="L892" t="str">
            <v>DIA ÚTIL</v>
          </cell>
          <cell r="M892">
            <v>3.4749000000000002E-2</v>
          </cell>
          <cell r="N892">
            <v>1.3524606043127492</v>
          </cell>
        </row>
        <row r="893">
          <cell r="K893">
            <v>42950</v>
          </cell>
          <cell r="L893" t="str">
            <v>DIA ÚTIL</v>
          </cell>
          <cell r="M893">
            <v>3.4749000000000002E-2</v>
          </cell>
          <cell r="N893">
            <v>1.3529305708481418</v>
          </cell>
        </row>
        <row r="894">
          <cell r="K894">
            <v>42951</v>
          </cell>
          <cell r="L894" t="str">
            <v>DIA ÚTIL</v>
          </cell>
          <cell r="M894">
            <v>3.4749000000000002E-2</v>
          </cell>
          <cell r="N894">
            <v>1.353400700692206</v>
          </cell>
        </row>
        <row r="895">
          <cell r="K895">
            <v>42952</v>
          </cell>
          <cell r="M895">
            <v>0</v>
          </cell>
          <cell r="N895">
            <v>1.353400700692206</v>
          </cell>
        </row>
        <row r="896">
          <cell r="K896">
            <v>42953</v>
          </cell>
          <cell r="M896">
            <v>0</v>
          </cell>
          <cell r="N896">
            <v>1.353400700692206</v>
          </cell>
        </row>
        <row r="897">
          <cell r="K897">
            <v>42954</v>
          </cell>
          <cell r="L897" t="str">
            <v>DIA ÚTIL</v>
          </cell>
          <cell r="M897">
            <v>3.4749000000000002E-2</v>
          </cell>
          <cell r="N897">
            <v>1.3538709939016895</v>
          </cell>
        </row>
        <row r="898">
          <cell r="K898">
            <v>42955</v>
          </cell>
          <cell r="L898" t="str">
            <v>DIA ÚTIL</v>
          </cell>
          <cell r="M898">
            <v>3.4749000000000002E-2</v>
          </cell>
          <cell r="N898">
            <v>1.3543414505333604</v>
          </cell>
        </row>
        <row r="899">
          <cell r="K899">
            <v>42956</v>
          </cell>
          <cell r="L899" t="str">
            <v>DIA ÚTIL</v>
          </cell>
          <cell r="M899">
            <v>3.4749000000000002E-2</v>
          </cell>
          <cell r="N899">
            <v>1.3548120706440063</v>
          </cell>
        </row>
        <row r="900">
          <cell r="K900">
            <v>42957</v>
          </cell>
          <cell r="L900" t="str">
            <v>DIA ÚTIL</v>
          </cell>
          <cell r="M900">
            <v>3.4749000000000002E-2</v>
          </cell>
          <cell r="N900">
            <v>1.3552828542904345</v>
          </cell>
        </row>
        <row r="901">
          <cell r="K901">
            <v>42958</v>
          </cell>
          <cell r="L901" t="str">
            <v>DIA ÚTIL</v>
          </cell>
          <cell r="M901">
            <v>3.4749000000000002E-2</v>
          </cell>
          <cell r="N901">
            <v>1.3557538015294719</v>
          </cell>
        </row>
        <row r="902">
          <cell r="K902">
            <v>42959</v>
          </cell>
          <cell r="M902">
            <v>0</v>
          </cell>
          <cell r="N902">
            <v>1.3557538015294719</v>
          </cell>
        </row>
        <row r="903">
          <cell r="K903">
            <v>42960</v>
          </cell>
          <cell r="M903">
            <v>0</v>
          </cell>
          <cell r="N903">
            <v>1.3557538015294719</v>
          </cell>
        </row>
        <row r="904">
          <cell r="K904">
            <v>42961</v>
          </cell>
          <cell r="L904" t="str">
            <v>DIA ÚTIL</v>
          </cell>
          <cell r="M904">
            <v>3.4749000000000002E-2</v>
          </cell>
          <cell r="N904">
            <v>1.3562249124179653</v>
          </cell>
        </row>
        <row r="905">
          <cell r="K905">
            <v>42962</v>
          </cell>
          <cell r="L905" t="str">
            <v>DIA ÚTIL</v>
          </cell>
          <cell r="M905">
            <v>3.4749000000000002E-2</v>
          </cell>
          <cell r="N905">
            <v>1.3566961870127814</v>
          </cell>
        </row>
        <row r="906">
          <cell r="K906">
            <v>42963</v>
          </cell>
          <cell r="L906" t="str">
            <v>DIA ÚTIL</v>
          </cell>
          <cell r="M906">
            <v>3.4749000000000002E-2</v>
          </cell>
          <cell r="N906">
            <v>1.3571676253708065</v>
          </cell>
        </row>
        <row r="907">
          <cell r="K907">
            <v>42964</v>
          </cell>
          <cell r="L907" t="str">
            <v>DIA ÚTIL</v>
          </cell>
          <cell r="M907">
            <v>3.4749000000000002E-2</v>
          </cell>
          <cell r="N907">
            <v>1.3576392275489466</v>
          </cell>
        </row>
        <row r="908">
          <cell r="K908">
            <v>42965</v>
          </cell>
          <cell r="L908" t="str">
            <v>DIA ÚTIL</v>
          </cell>
          <cell r="M908">
            <v>3.4749000000000002E-2</v>
          </cell>
          <cell r="N908">
            <v>1.3581109936041276</v>
          </cell>
        </row>
        <row r="909">
          <cell r="K909">
            <v>42966</v>
          </cell>
          <cell r="M909">
            <v>0</v>
          </cell>
          <cell r="N909">
            <v>1.3581109936041276</v>
          </cell>
        </row>
        <row r="910">
          <cell r="K910">
            <v>42967</v>
          </cell>
          <cell r="M910">
            <v>0</v>
          </cell>
          <cell r="N910">
            <v>1.3581109936041276</v>
          </cell>
        </row>
        <row r="911">
          <cell r="K911">
            <v>42968</v>
          </cell>
          <cell r="L911" t="str">
            <v>DIA ÚTIL</v>
          </cell>
          <cell r="M911">
            <v>3.4749000000000002E-2</v>
          </cell>
          <cell r="N911">
            <v>1.3585829235932951</v>
          </cell>
        </row>
        <row r="912">
          <cell r="K912">
            <v>42969</v>
          </cell>
          <cell r="L912" t="str">
            <v>DIA ÚTIL</v>
          </cell>
          <cell r="M912">
            <v>3.4749000000000002E-2</v>
          </cell>
          <cell r="N912">
            <v>1.3590550175734146</v>
          </cell>
        </row>
        <row r="913">
          <cell r="K913">
            <v>42970</v>
          </cell>
          <cell r="L913" t="str">
            <v>DIA ÚTIL</v>
          </cell>
          <cell r="M913">
            <v>3.4749000000000002E-2</v>
          </cell>
          <cell r="N913">
            <v>1.3595272756014711</v>
          </cell>
        </row>
        <row r="914">
          <cell r="K914">
            <v>42971</v>
          </cell>
          <cell r="L914" t="str">
            <v>DIA ÚTIL</v>
          </cell>
          <cell r="M914">
            <v>3.4749000000000002E-2</v>
          </cell>
          <cell r="N914">
            <v>1.3599996977344699</v>
          </cell>
        </row>
        <row r="915">
          <cell r="K915">
            <v>42972</v>
          </cell>
          <cell r="L915" t="str">
            <v>DIA ÚTIL</v>
          </cell>
          <cell r="M915">
            <v>3.4749000000000002E-2</v>
          </cell>
          <cell r="N915">
            <v>1.3604722840294357</v>
          </cell>
        </row>
        <row r="916">
          <cell r="K916">
            <v>42973</v>
          </cell>
          <cell r="M916">
            <v>0</v>
          </cell>
          <cell r="N916">
            <v>1.3604722840294357</v>
          </cell>
        </row>
        <row r="917">
          <cell r="K917">
            <v>42974</v>
          </cell>
          <cell r="M917">
            <v>0</v>
          </cell>
          <cell r="N917">
            <v>1.3604722840294357</v>
          </cell>
        </row>
        <row r="918">
          <cell r="K918">
            <v>42975</v>
          </cell>
          <cell r="L918" t="str">
            <v>DIA ÚTIL</v>
          </cell>
          <cell r="M918">
            <v>3.4749000000000002E-2</v>
          </cell>
          <cell r="N918">
            <v>1.3609450345434131</v>
          </cell>
        </row>
        <row r="919">
          <cell r="K919">
            <v>42976</v>
          </cell>
          <cell r="L919" t="str">
            <v>DIA ÚTIL</v>
          </cell>
          <cell r="M919">
            <v>3.4749000000000002E-2</v>
          </cell>
          <cell r="N919">
            <v>1.3614179493334666</v>
          </cell>
        </row>
        <row r="920">
          <cell r="K920">
            <v>42977</v>
          </cell>
          <cell r="L920" t="str">
            <v>DIA ÚTIL</v>
          </cell>
          <cell r="M920">
            <v>3.4749000000000002E-2</v>
          </cell>
          <cell r="N920">
            <v>1.3618910284566805</v>
          </cell>
        </row>
        <row r="921">
          <cell r="K921">
            <v>42978</v>
          </cell>
          <cell r="L921" t="str">
            <v>DIA ÚTIL</v>
          </cell>
          <cell r="M921">
            <v>3.4749000000000002E-2</v>
          </cell>
          <cell r="N921">
            <v>1.362364271970159</v>
          </cell>
        </row>
        <row r="922">
          <cell r="K922">
            <v>42979</v>
          </cell>
          <cell r="L922" t="str">
            <v>DIA ÚTIL</v>
          </cell>
          <cell r="M922">
            <v>3.4749000000000002E-2</v>
          </cell>
          <cell r="N922">
            <v>1.3628376799310258</v>
          </cell>
        </row>
        <row r="923">
          <cell r="K923">
            <v>42980</v>
          </cell>
          <cell r="M923">
            <v>0</v>
          </cell>
          <cell r="N923">
            <v>1.3628376799310258</v>
          </cell>
        </row>
        <row r="924">
          <cell r="K924">
            <v>42981</v>
          </cell>
          <cell r="M924">
            <v>0</v>
          </cell>
          <cell r="N924">
            <v>1.3628376799310258</v>
          </cell>
        </row>
        <row r="925">
          <cell r="K925">
            <v>42982</v>
          </cell>
          <cell r="L925" t="str">
            <v>DIA ÚTIL</v>
          </cell>
          <cell r="M925">
            <v>3.4749000000000002E-2</v>
          </cell>
          <cell r="N925">
            <v>1.363311252396425</v>
          </cell>
        </row>
        <row r="926">
          <cell r="K926">
            <v>42983</v>
          </cell>
          <cell r="L926" t="str">
            <v>DIA ÚTIL</v>
          </cell>
          <cell r="M926">
            <v>3.4749000000000002E-2</v>
          </cell>
          <cell r="N926">
            <v>1.3637849894235203</v>
          </cell>
        </row>
        <row r="927">
          <cell r="K927">
            <v>42984</v>
          </cell>
          <cell r="L927" t="str">
            <v>DIA ÚTIL</v>
          </cell>
          <cell r="M927">
            <v>3.4749000000000002E-2</v>
          </cell>
          <cell r="N927">
            <v>1.364258891069495</v>
          </cell>
        </row>
        <row r="928">
          <cell r="K928">
            <v>42985</v>
          </cell>
          <cell r="M928">
            <v>0</v>
          </cell>
          <cell r="N928">
            <v>1.364258891069495</v>
          </cell>
        </row>
        <row r="929">
          <cell r="K929">
            <v>42986</v>
          </cell>
          <cell r="L929" t="str">
            <v>DIA ÚTIL</v>
          </cell>
          <cell r="M929">
            <v>3.1095999999999999E-2</v>
          </cell>
          <cell r="N929">
            <v>1.364683121014262</v>
          </cell>
        </row>
        <row r="930">
          <cell r="K930">
            <v>42987</v>
          </cell>
          <cell r="M930">
            <v>0</v>
          </cell>
          <cell r="N930">
            <v>1.364683121014262</v>
          </cell>
        </row>
        <row r="931">
          <cell r="K931">
            <v>42988</v>
          </cell>
          <cell r="M931">
            <v>0</v>
          </cell>
          <cell r="N931">
            <v>1.364683121014262</v>
          </cell>
        </row>
        <row r="932">
          <cell r="K932">
            <v>42989</v>
          </cell>
          <cell r="L932" t="str">
            <v>DIA ÚTIL</v>
          </cell>
          <cell r="M932">
            <v>3.1095999999999999E-2</v>
          </cell>
          <cell r="N932">
            <v>1.3651074828775727</v>
          </cell>
        </row>
        <row r="933">
          <cell r="K933">
            <v>42990</v>
          </cell>
          <cell r="L933" t="str">
            <v>DIA ÚTIL</v>
          </cell>
          <cell r="M933">
            <v>3.1095999999999999E-2</v>
          </cell>
          <cell r="N933">
            <v>1.3655319767004481</v>
          </cell>
        </row>
        <row r="934">
          <cell r="K934">
            <v>42991</v>
          </cell>
          <cell r="L934" t="str">
            <v>DIA ÚTIL</v>
          </cell>
          <cell r="M934">
            <v>3.1095999999999999E-2</v>
          </cell>
          <cell r="N934">
            <v>1.3659566025239229</v>
          </cell>
        </row>
        <row r="935">
          <cell r="K935">
            <v>42992</v>
          </cell>
          <cell r="L935" t="str">
            <v>DIA ÚTIL</v>
          </cell>
          <cell r="M935">
            <v>3.1095999999999999E-2</v>
          </cell>
          <cell r="N935">
            <v>1.3663813603890438</v>
          </cell>
        </row>
        <row r="936">
          <cell r="K936">
            <v>42993</v>
          </cell>
          <cell r="L936" t="str">
            <v>DIA ÚTIL</v>
          </cell>
          <cell r="M936">
            <v>3.1095999999999999E-2</v>
          </cell>
          <cell r="N936">
            <v>1.3668062503368703</v>
          </cell>
        </row>
        <row r="937">
          <cell r="K937">
            <v>42994</v>
          </cell>
          <cell r="M937">
            <v>0</v>
          </cell>
          <cell r="N937">
            <v>1.3668062503368703</v>
          </cell>
        </row>
        <row r="938">
          <cell r="K938">
            <v>42995</v>
          </cell>
          <cell r="M938">
            <v>0</v>
          </cell>
          <cell r="N938">
            <v>1.3668062503368703</v>
          </cell>
        </row>
        <row r="939">
          <cell r="K939">
            <v>42996</v>
          </cell>
          <cell r="L939" t="str">
            <v>DIA ÚTIL</v>
          </cell>
          <cell r="M939">
            <v>3.1095999999999999E-2</v>
          </cell>
          <cell r="N939">
            <v>1.367231272408475</v>
          </cell>
        </row>
        <row r="940">
          <cell r="K940">
            <v>42997</v>
          </cell>
          <cell r="L940" t="str">
            <v>DIA ÚTIL</v>
          </cell>
          <cell r="M940">
            <v>3.1095999999999999E-2</v>
          </cell>
          <cell r="N940">
            <v>1.3676564266449431</v>
          </cell>
        </row>
        <row r="941">
          <cell r="K941">
            <v>42998</v>
          </cell>
          <cell r="L941" t="str">
            <v>DIA ÚTIL</v>
          </cell>
          <cell r="M941">
            <v>3.1095999999999999E-2</v>
          </cell>
          <cell r="N941">
            <v>1.3680817130873726</v>
          </cell>
        </row>
        <row r="942">
          <cell r="K942">
            <v>42999</v>
          </cell>
          <cell r="L942" t="str">
            <v>DIA ÚTIL</v>
          </cell>
          <cell r="M942">
            <v>3.1095999999999999E-2</v>
          </cell>
          <cell r="N942">
            <v>1.3685071317768742</v>
          </cell>
        </row>
        <row r="943">
          <cell r="K943">
            <v>43000</v>
          </cell>
          <cell r="L943" t="str">
            <v>DIA ÚTIL</v>
          </cell>
          <cell r="M943">
            <v>3.1095999999999999E-2</v>
          </cell>
          <cell r="N943">
            <v>1.3689326827545716</v>
          </cell>
        </row>
        <row r="944">
          <cell r="K944">
            <v>43001</v>
          </cell>
          <cell r="M944">
            <v>0</v>
          </cell>
          <cell r="N944">
            <v>1.3689326827545716</v>
          </cell>
        </row>
        <row r="945">
          <cell r="K945">
            <v>43002</v>
          </cell>
          <cell r="M945">
            <v>0</v>
          </cell>
          <cell r="N945">
            <v>1.3689326827545716</v>
          </cell>
        </row>
        <row r="946">
          <cell r="K946">
            <v>43003</v>
          </cell>
          <cell r="L946" t="str">
            <v>DIA ÚTIL</v>
          </cell>
          <cell r="M946">
            <v>3.1095999999999999E-2</v>
          </cell>
          <cell r="N946">
            <v>1.3693583660616009</v>
          </cell>
        </row>
        <row r="947">
          <cell r="K947">
            <v>43004</v>
          </cell>
          <cell r="L947" t="str">
            <v>DIA ÚTIL</v>
          </cell>
          <cell r="M947">
            <v>3.1095999999999999E-2</v>
          </cell>
          <cell r="N947">
            <v>1.3697841817391114</v>
          </cell>
        </row>
        <row r="948">
          <cell r="K948">
            <v>43005</v>
          </cell>
          <cell r="L948" t="str">
            <v>DIA ÚTIL</v>
          </cell>
          <cell r="M948">
            <v>3.1095999999999999E-2</v>
          </cell>
          <cell r="N948">
            <v>1.370210129828265</v>
          </cell>
        </row>
        <row r="949">
          <cell r="K949">
            <v>43006</v>
          </cell>
          <cell r="L949" t="str">
            <v>DIA ÚTIL</v>
          </cell>
          <cell r="M949">
            <v>3.1095999999999999E-2</v>
          </cell>
          <cell r="N949">
            <v>1.3706362103702363</v>
          </cell>
        </row>
        <row r="950">
          <cell r="K950">
            <v>43007</v>
          </cell>
          <cell r="L950" t="str">
            <v>DIA ÚTIL</v>
          </cell>
          <cell r="M950">
            <v>3.1095999999999999E-2</v>
          </cell>
          <cell r="N950">
            <v>1.371062423406213</v>
          </cell>
        </row>
        <row r="951">
          <cell r="K951">
            <v>43008</v>
          </cell>
          <cell r="M951">
            <v>0</v>
          </cell>
          <cell r="N951">
            <v>1.371062423406213</v>
          </cell>
        </row>
        <row r="952">
          <cell r="K952">
            <v>43009</v>
          </cell>
          <cell r="M952">
            <v>0</v>
          </cell>
          <cell r="N952">
            <v>1.371062423406213</v>
          </cell>
        </row>
        <row r="953">
          <cell r="K953">
            <v>43010</v>
          </cell>
          <cell r="L953" t="str">
            <v>DIA ÚTIL</v>
          </cell>
          <cell r="M953">
            <v>3.1095999999999999E-2</v>
          </cell>
          <cell r="N953">
            <v>1.3714887689773954</v>
          </cell>
        </row>
        <row r="954">
          <cell r="K954">
            <v>43011</v>
          </cell>
          <cell r="L954" t="str">
            <v>DIA ÚTIL</v>
          </cell>
          <cell r="M954">
            <v>3.1095999999999999E-2</v>
          </cell>
          <cell r="N954">
            <v>1.3719152471249965</v>
          </cell>
        </row>
        <row r="955">
          <cell r="K955">
            <v>43012</v>
          </cell>
          <cell r="L955" t="str">
            <v>DIA ÚTIL</v>
          </cell>
          <cell r="M955">
            <v>3.1095999999999999E-2</v>
          </cell>
          <cell r="N955">
            <v>1.3723418578902424</v>
          </cell>
        </row>
        <row r="956">
          <cell r="K956">
            <v>43013</v>
          </cell>
          <cell r="L956" t="str">
            <v>DIA ÚTIL</v>
          </cell>
          <cell r="M956">
            <v>3.1095999999999999E-2</v>
          </cell>
          <cell r="N956">
            <v>1.3727686013143718</v>
          </cell>
        </row>
        <row r="957">
          <cell r="K957">
            <v>43014</v>
          </cell>
          <cell r="L957" t="str">
            <v>DIA ÚTIL</v>
          </cell>
          <cell r="M957">
            <v>3.1095999999999999E-2</v>
          </cell>
          <cell r="N957">
            <v>1.3731954774386366</v>
          </cell>
        </row>
        <row r="958">
          <cell r="K958">
            <v>43015</v>
          </cell>
          <cell r="M958">
            <v>0</v>
          </cell>
          <cell r="N958">
            <v>1.3731954774386366</v>
          </cell>
        </row>
        <row r="959">
          <cell r="K959">
            <v>43016</v>
          </cell>
          <cell r="M959">
            <v>0</v>
          </cell>
          <cell r="N959">
            <v>1.3731954774386366</v>
          </cell>
        </row>
        <row r="960">
          <cell r="K960">
            <v>43017</v>
          </cell>
          <cell r="L960" t="str">
            <v>DIA ÚTIL</v>
          </cell>
          <cell r="M960">
            <v>3.1095999999999999E-2</v>
          </cell>
          <cell r="N960">
            <v>1.3736224863043009</v>
          </cell>
        </row>
        <row r="961">
          <cell r="K961">
            <v>43018</v>
          </cell>
          <cell r="L961" t="str">
            <v>DIA ÚTIL</v>
          </cell>
          <cell r="M961">
            <v>3.1095999999999999E-2</v>
          </cell>
          <cell r="N961">
            <v>1.3740496279526422</v>
          </cell>
        </row>
        <row r="962">
          <cell r="K962">
            <v>43019</v>
          </cell>
          <cell r="L962" t="str">
            <v>DIA ÚTIL</v>
          </cell>
          <cell r="M962">
            <v>3.1095999999999999E-2</v>
          </cell>
          <cell r="N962">
            <v>1.3744769024249504</v>
          </cell>
        </row>
        <row r="963">
          <cell r="K963">
            <v>43020</v>
          </cell>
          <cell r="M963">
            <v>0</v>
          </cell>
          <cell r="N963">
            <v>1.3744769024249504</v>
          </cell>
        </row>
        <row r="964">
          <cell r="K964">
            <v>43021</v>
          </cell>
          <cell r="L964" t="str">
            <v>DIA ÚTIL</v>
          </cell>
          <cell r="M964">
            <v>3.1095999999999999E-2</v>
          </cell>
          <cell r="N964">
            <v>1.3749043097625284</v>
          </cell>
        </row>
        <row r="965">
          <cell r="K965">
            <v>43022</v>
          </cell>
          <cell r="M965">
            <v>0</v>
          </cell>
          <cell r="N965">
            <v>1.3749043097625284</v>
          </cell>
        </row>
        <row r="966">
          <cell r="K966">
            <v>43023</v>
          </cell>
          <cell r="M966">
            <v>0</v>
          </cell>
          <cell r="N966">
            <v>1.3749043097625284</v>
          </cell>
        </row>
        <row r="967">
          <cell r="K967">
            <v>43024</v>
          </cell>
          <cell r="L967" t="str">
            <v>DIA ÚTIL</v>
          </cell>
          <cell r="M967">
            <v>3.1095999999999999E-2</v>
          </cell>
          <cell r="N967">
            <v>1.3753318500066922</v>
          </cell>
        </row>
        <row r="968">
          <cell r="K968">
            <v>43025</v>
          </cell>
          <cell r="L968" t="str">
            <v>DIA ÚTIL</v>
          </cell>
          <cell r="M968">
            <v>3.1095999999999999E-2</v>
          </cell>
          <cell r="N968">
            <v>1.3757595231987703</v>
          </cell>
        </row>
        <row r="969">
          <cell r="K969">
            <v>43026</v>
          </cell>
          <cell r="L969" t="str">
            <v>DIA ÚTIL</v>
          </cell>
          <cell r="M969">
            <v>3.1095999999999999E-2</v>
          </cell>
          <cell r="N969">
            <v>1.3761873293801041</v>
          </cell>
        </row>
        <row r="970">
          <cell r="K970">
            <v>43027</v>
          </cell>
          <cell r="L970" t="str">
            <v>DIA ÚTIL</v>
          </cell>
          <cell r="M970">
            <v>3.1095999999999999E-2</v>
          </cell>
          <cell r="N970">
            <v>1.3766152685920481</v>
          </cell>
        </row>
        <row r="971">
          <cell r="K971">
            <v>43028</v>
          </cell>
          <cell r="L971" t="str">
            <v>DIA ÚTIL</v>
          </cell>
          <cell r="M971">
            <v>3.1095999999999999E-2</v>
          </cell>
          <cell r="N971">
            <v>1.3770433408759695</v>
          </cell>
        </row>
        <row r="972">
          <cell r="K972">
            <v>43029</v>
          </cell>
          <cell r="M972">
            <v>0</v>
          </cell>
          <cell r="N972">
            <v>1.3770433408759695</v>
          </cell>
        </row>
        <row r="973">
          <cell r="K973">
            <v>43030</v>
          </cell>
          <cell r="M973">
            <v>0</v>
          </cell>
          <cell r="N973">
            <v>1.3770433408759695</v>
          </cell>
        </row>
        <row r="974">
          <cell r="K974">
            <v>43031</v>
          </cell>
          <cell r="L974" t="str">
            <v>DIA ÚTIL</v>
          </cell>
          <cell r="M974">
            <v>3.1095999999999999E-2</v>
          </cell>
          <cell r="N974">
            <v>1.3774715462732483</v>
          </cell>
        </row>
        <row r="975">
          <cell r="K975">
            <v>43032</v>
          </cell>
          <cell r="L975" t="str">
            <v>DIA ÚTIL</v>
          </cell>
          <cell r="M975">
            <v>3.1095999999999999E-2</v>
          </cell>
          <cell r="N975">
            <v>1.3778998848252775</v>
          </cell>
        </row>
        <row r="976">
          <cell r="K976">
            <v>43033</v>
          </cell>
          <cell r="L976" t="str">
            <v>DIA ÚTIL</v>
          </cell>
          <cell r="M976">
            <v>3.1095999999999999E-2</v>
          </cell>
          <cell r="N976">
            <v>1.3783283565734628</v>
          </cell>
        </row>
        <row r="977">
          <cell r="K977">
            <v>43034</v>
          </cell>
          <cell r="L977" t="str">
            <v>DIA ÚTIL</v>
          </cell>
          <cell r="M977">
            <v>2.8333000000000001E-2</v>
          </cell>
          <cell r="N977">
            <v>1.3787188783467308</v>
          </cell>
        </row>
        <row r="978">
          <cell r="K978">
            <v>43035</v>
          </cell>
          <cell r="L978" t="str">
            <v>DIA ÚTIL</v>
          </cell>
          <cell r="M978">
            <v>2.8333000000000001E-2</v>
          </cell>
          <cell r="N978">
            <v>1.3791095107665328</v>
          </cell>
        </row>
        <row r="979">
          <cell r="K979">
            <v>43036</v>
          </cell>
          <cell r="M979">
            <v>0</v>
          </cell>
          <cell r="N979">
            <v>1.3791095107665328</v>
          </cell>
        </row>
        <row r="980">
          <cell r="K980">
            <v>43037</v>
          </cell>
          <cell r="M980">
            <v>0</v>
          </cell>
          <cell r="N980">
            <v>1.3791095107665328</v>
          </cell>
        </row>
        <row r="981">
          <cell r="K981">
            <v>43038</v>
          </cell>
          <cell r="L981" t="str">
            <v>DIA ÚTIL</v>
          </cell>
          <cell r="M981">
            <v>2.8333000000000001E-2</v>
          </cell>
          <cell r="N981">
            <v>1.3795002538642183</v>
          </cell>
        </row>
        <row r="982">
          <cell r="K982">
            <v>43039</v>
          </cell>
          <cell r="L982" t="str">
            <v>DIA ÚTIL</v>
          </cell>
          <cell r="M982">
            <v>2.8333000000000001E-2</v>
          </cell>
          <cell r="N982">
            <v>1.3798911076711458</v>
          </cell>
        </row>
        <row r="983">
          <cell r="K983">
            <v>43040</v>
          </cell>
          <cell r="L983" t="str">
            <v>DIA ÚTIL</v>
          </cell>
          <cell r="M983">
            <v>2.8333000000000001E-2</v>
          </cell>
          <cell r="N983">
            <v>1.3802820722186822</v>
          </cell>
        </row>
        <row r="984">
          <cell r="K984">
            <v>43041</v>
          </cell>
          <cell r="M984">
            <v>0</v>
          </cell>
          <cell r="N984">
            <v>1.3802820722186822</v>
          </cell>
        </row>
        <row r="985">
          <cell r="K985">
            <v>43042</v>
          </cell>
          <cell r="L985" t="str">
            <v>DIA ÚTIL</v>
          </cell>
          <cell r="M985">
            <v>2.8333000000000001E-2</v>
          </cell>
          <cell r="N985">
            <v>1.3806731475382039</v>
          </cell>
        </row>
        <row r="986">
          <cell r="K986">
            <v>43043</v>
          </cell>
          <cell r="M986">
            <v>0</v>
          </cell>
          <cell r="N986">
            <v>1.3806731475382039</v>
          </cell>
        </row>
        <row r="987">
          <cell r="K987">
            <v>43044</v>
          </cell>
          <cell r="M987">
            <v>0</v>
          </cell>
          <cell r="N987">
            <v>1.3806731475382039</v>
          </cell>
        </row>
        <row r="988">
          <cell r="K988">
            <v>43045</v>
          </cell>
          <cell r="L988" t="str">
            <v>DIA ÚTIL</v>
          </cell>
          <cell r="M988">
            <v>2.8333000000000001E-2</v>
          </cell>
          <cell r="N988">
            <v>1.3810643336610959</v>
          </cell>
        </row>
        <row r="989">
          <cell r="K989">
            <v>43046</v>
          </cell>
          <cell r="L989" t="str">
            <v>DIA ÚTIL</v>
          </cell>
          <cell r="M989">
            <v>2.8333000000000001E-2</v>
          </cell>
          <cell r="N989">
            <v>1.3814556306187522</v>
          </cell>
        </row>
        <row r="990">
          <cell r="K990">
            <v>43047</v>
          </cell>
          <cell r="L990" t="str">
            <v>DIA ÚTIL</v>
          </cell>
          <cell r="M990">
            <v>2.8333000000000001E-2</v>
          </cell>
          <cell r="N990">
            <v>1.3818470384425754</v>
          </cell>
        </row>
        <row r="991">
          <cell r="K991">
            <v>43048</v>
          </cell>
          <cell r="L991" t="str">
            <v>DIA ÚTIL</v>
          </cell>
          <cell r="M991">
            <v>2.8333000000000001E-2</v>
          </cell>
          <cell r="N991">
            <v>1.3822385571639773</v>
          </cell>
        </row>
        <row r="992">
          <cell r="K992">
            <v>43049</v>
          </cell>
          <cell r="L992" t="str">
            <v>DIA ÚTIL</v>
          </cell>
          <cell r="M992">
            <v>2.8333000000000001E-2</v>
          </cell>
          <cell r="N992">
            <v>1.3826301868143787</v>
          </cell>
        </row>
        <row r="993">
          <cell r="K993">
            <v>43050</v>
          </cell>
          <cell r="M993">
            <v>0</v>
          </cell>
          <cell r="N993">
            <v>1.3826301868143787</v>
          </cell>
        </row>
        <row r="994">
          <cell r="K994">
            <v>43051</v>
          </cell>
          <cell r="M994">
            <v>0</v>
          </cell>
          <cell r="N994">
            <v>1.3826301868143787</v>
          </cell>
        </row>
        <row r="995">
          <cell r="K995">
            <v>43052</v>
          </cell>
          <cell r="L995" t="str">
            <v>DIA ÚTIL</v>
          </cell>
          <cell r="M995">
            <v>2.8333000000000001E-2</v>
          </cell>
          <cell r="N995">
            <v>1.3830219274252089</v>
          </cell>
        </row>
        <row r="996">
          <cell r="K996">
            <v>43053</v>
          </cell>
          <cell r="L996" t="str">
            <v>DIA ÚTIL</v>
          </cell>
          <cell r="M996">
            <v>2.8333000000000001E-2</v>
          </cell>
          <cell r="N996">
            <v>1.3834137790279064</v>
          </cell>
        </row>
        <row r="997">
          <cell r="K997">
            <v>43054</v>
          </cell>
          <cell r="M997">
            <v>0</v>
          </cell>
          <cell r="N997">
            <v>1.3834137790279064</v>
          </cell>
        </row>
        <row r="998">
          <cell r="K998">
            <v>43055</v>
          </cell>
          <cell r="L998" t="str">
            <v>DIA ÚTIL</v>
          </cell>
          <cell r="M998">
            <v>2.8333000000000001E-2</v>
          </cell>
          <cell r="N998">
            <v>1.3838057416539185</v>
          </cell>
        </row>
        <row r="999">
          <cell r="K999">
            <v>43056</v>
          </cell>
          <cell r="L999" t="str">
            <v>DIA ÚTIL</v>
          </cell>
          <cell r="M999">
            <v>2.8333000000000001E-2</v>
          </cell>
          <cell r="N999">
            <v>1.3841978153347012</v>
          </cell>
        </row>
        <row r="1000">
          <cell r="K1000">
            <v>43057</v>
          </cell>
          <cell r="M1000">
            <v>0</v>
          </cell>
          <cell r="N1000">
            <v>1.3841978153347012</v>
          </cell>
        </row>
        <row r="1001">
          <cell r="K1001">
            <v>43058</v>
          </cell>
          <cell r="M1001">
            <v>0</v>
          </cell>
          <cell r="N1001">
            <v>1.3841978153347012</v>
          </cell>
        </row>
        <row r="1002">
          <cell r="K1002">
            <v>43059</v>
          </cell>
          <cell r="L1002" t="str">
            <v>DIA ÚTIL</v>
          </cell>
          <cell r="M1002">
            <v>2.8333000000000001E-2</v>
          </cell>
          <cell r="N1002">
            <v>1.38459000010172</v>
          </cell>
        </row>
        <row r="1003">
          <cell r="K1003">
            <v>43060</v>
          </cell>
          <cell r="L1003" t="str">
            <v>DIA ÚTIL</v>
          </cell>
          <cell r="M1003">
            <v>2.8333000000000001E-2</v>
          </cell>
          <cell r="N1003">
            <v>1.3849822959864488</v>
          </cell>
        </row>
        <row r="1004">
          <cell r="K1004">
            <v>43061</v>
          </cell>
          <cell r="L1004" t="str">
            <v>DIA ÚTIL</v>
          </cell>
          <cell r="M1004">
            <v>2.8333000000000001E-2</v>
          </cell>
          <cell r="N1004">
            <v>1.3853747030203707</v>
          </cell>
        </row>
        <row r="1005">
          <cell r="K1005">
            <v>43062</v>
          </cell>
          <cell r="L1005" t="str">
            <v>DIA ÚTIL</v>
          </cell>
          <cell r="M1005">
            <v>2.8333000000000001E-2</v>
          </cell>
          <cell r="N1005">
            <v>1.3857672212349774</v>
          </cell>
        </row>
        <row r="1006">
          <cell r="K1006">
            <v>43063</v>
          </cell>
          <cell r="L1006" t="str">
            <v>DIA ÚTIL</v>
          </cell>
          <cell r="M1006">
            <v>2.8333000000000001E-2</v>
          </cell>
          <cell r="N1006">
            <v>1.3861598506617701</v>
          </cell>
        </row>
        <row r="1007">
          <cell r="K1007">
            <v>43064</v>
          </cell>
          <cell r="M1007">
            <v>0</v>
          </cell>
          <cell r="N1007">
            <v>1.3861598506617701</v>
          </cell>
        </row>
        <row r="1008">
          <cell r="K1008">
            <v>43065</v>
          </cell>
          <cell r="M1008">
            <v>0</v>
          </cell>
          <cell r="N1008">
            <v>1.3861598506617701</v>
          </cell>
        </row>
        <row r="1009">
          <cell r="K1009">
            <v>43066</v>
          </cell>
          <cell r="L1009" t="str">
            <v>DIA ÚTIL</v>
          </cell>
          <cell r="M1009">
            <v>2.8333000000000001E-2</v>
          </cell>
          <cell r="N1009">
            <v>1.3865525913322581</v>
          </cell>
        </row>
        <row r="1010">
          <cell r="K1010">
            <v>43067</v>
          </cell>
          <cell r="L1010" t="str">
            <v>DIA ÚTIL</v>
          </cell>
          <cell r="M1010">
            <v>2.8333000000000001E-2</v>
          </cell>
          <cell r="N1010">
            <v>1.3869454432779602</v>
          </cell>
        </row>
        <row r="1011">
          <cell r="K1011">
            <v>43068</v>
          </cell>
          <cell r="L1011" t="str">
            <v>DIA ÚTIL</v>
          </cell>
          <cell r="M1011">
            <v>2.8333000000000001E-2</v>
          </cell>
          <cell r="N1011">
            <v>1.3873384065304042</v>
          </cell>
        </row>
        <row r="1012">
          <cell r="K1012">
            <v>43069</v>
          </cell>
          <cell r="L1012" t="str">
            <v>DIA ÚTIL</v>
          </cell>
          <cell r="M1012">
            <v>2.8333000000000001E-2</v>
          </cell>
          <cell r="N1012">
            <v>1.3877314811211265</v>
          </cell>
        </row>
        <row r="1013">
          <cell r="K1013">
            <v>43070</v>
          </cell>
          <cell r="L1013" t="str">
            <v>DIA ÚTIL</v>
          </cell>
          <cell r="M1013">
            <v>2.8333000000000001E-2</v>
          </cell>
          <cell r="N1013">
            <v>1.3881246670816727</v>
          </cell>
        </row>
        <row r="1014">
          <cell r="K1014">
            <v>43071</v>
          </cell>
          <cell r="M1014">
            <v>0</v>
          </cell>
          <cell r="N1014">
            <v>1.3881246670816727</v>
          </cell>
        </row>
        <row r="1015">
          <cell r="K1015">
            <v>43072</v>
          </cell>
          <cell r="M1015">
            <v>0</v>
          </cell>
          <cell r="N1015">
            <v>1.3881246670816727</v>
          </cell>
        </row>
        <row r="1016">
          <cell r="K1016">
            <v>43073</v>
          </cell>
          <cell r="L1016" t="str">
            <v>DIA ÚTIL</v>
          </cell>
          <cell r="M1016">
            <v>2.8333000000000001E-2</v>
          </cell>
          <cell r="N1016">
            <v>1.388517964443597</v>
          </cell>
        </row>
        <row r="1017">
          <cell r="K1017">
            <v>43074</v>
          </cell>
          <cell r="L1017" t="str">
            <v>DIA ÚTIL</v>
          </cell>
          <cell r="M1017">
            <v>2.8333000000000001E-2</v>
          </cell>
          <cell r="N1017">
            <v>1.3889113732384628</v>
          </cell>
        </row>
        <row r="1018">
          <cell r="K1018">
            <v>43075</v>
          </cell>
          <cell r="L1018" t="str">
            <v>DIA ÚTIL</v>
          </cell>
          <cell r="M1018">
            <v>2.8333000000000001E-2</v>
          </cell>
          <cell r="N1018">
            <v>1.3893048934978425</v>
          </cell>
        </row>
        <row r="1019">
          <cell r="K1019">
            <v>43076</v>
          </cell>
          <cell r="L1019" t="str">
            <v>DIA ÚTIL</v>
          </cell>
          <cell r="M1019">
            <v>2.6481000000000001E-2</v>
          </cell>
          <cell r="N1019">
            <v>1.3896727953266896</v>
          </cell>
        </row>
        <row r="1020">
          <cell r="K1020">
            <v>43077</v>
          </cell>
          <cell r="L1020" t="str">
            <v>DIA ÚTIL</v>
          </cell>
          <cell r="M1020">
            <v>2.6481000000000001E-2</v>
          </cell>
          <cell r="N1020">
            <v>1.39004079457962</v>
          </cell>
        </row>
        <row r="1021">
          <cell r="K1021">
            <v>43078</v>
          </cell>
          <cell r="M1021">
            <v>0</v>
          </cell>
          <cell r="N1021">
            <v>1.39004079457962</v>
          </cell>
        </row>
        <row r="1022">
          <cell r="K1022">
            <v>43079</v>
          </cell>
          <cell r="M1022">
            <v>0</v>
          </cell>
          <cell r="N1022">
            <v>1.39004079457962</v>
          </cell>
        </row>
        <row r="1023">
          <cell r="K1023">
            <v>43080</v>
          </cell>
          <cell r="L1023" t="str">
            <v>DIA ÚTIL</v>
          </cell>
          <cell r="M1023">
            <v>2.6481000000000001E-2</v>
          </cell>
          <cell r="N1023">
            <v>1.3904088912824326</v>
          </cell>
        </row>
        <row r="1024">
          <cell r="K1024">
            <v>43081</v>
          </cell>
          <cell r="L1024" t="str">
            <v>DIA ÚTIL</v>
          </cell>
          <cell r="M1024">
            <v>2.6481000000000001E-2</v>
          </cell>
          <cell r="N1024">
            <v>1.3907770854609331</v>
          </cell>
        </row>
        <row r="1025">
          <cell r="K1025">
            <v>43082</v>
          </cell>
          <cell r="L1025" t="str">
            <v>DIA ÚTIL</v>
          </cell>
          <cell r="M1025">
            <v>2.6481000000000001E-2</v>
          </cell>
          <cell r="N1025">
            <v>1.3911453771409341</v>
          </cell>
        </row>
        <row r="1026">
          <cell r="K1026">
            <v>43083</v>
          </cell>
          <cell r="L1026" t="str">
            <v>DIA ÚTIL</v>
          </cell>
          <cell r="M1026">
            <v>2.6481000000000001E-2</v>
          </cell>
          <cell r="N1026">
            <v>1.3915137663482549</v>
          </cell>
        </row>
        <row r="1027">
          <cell r="K1027">
            <v>43084</v>
          </cell>
          <cell r="L1027" t="str">
            <v>DIA ÚTIL</v>
          </cell>
          <cell r="M1027">
            <v>2.6481000000000001E-2</v>
          </cell>
          <cell r="N1027">
            <v>1.3918822531087216</v>
          </cell>
        </row>
        <row r="1028">
          <cell r="K1028">
            <v>43085</v>
          </cell>
          <cell r="M1028">
            <v>0</v>
          </cell>
          <cell r="N1028">
            <v>1.3918822531087216</v>
          </cell>
        </row>
        <row r="1029">
          <cell r="K1029">
            <v>43086</v>
          </cell>
          <cell r="M1029">
            <v>0</v>
          </cell>
          <cell r="N1029">
            <v>1.3918822531087216</v>
          </cell>
        </row>
        <row r="1030">
          <cell r="K1030">
            <v>43087</v>
          </cell>
          <cell r="L1030" t="str">
            <v>DIA ÚTIL</v>
          </cell>
          <cell r="M1030">
            <v>2.6481000000000001E-2</v>
          </cell>
          <cell r="N1030">
            <v>1.3922508374481672</v>
          </cell>
        </row>
        <row r="1031">
          <cell r="K1031">
            <v>43088</v>
          </cell>
          <cell r="L1031" t="str">
            <v>DIA ÚTIL</v>
          </cell>
          <cell r="M1031">
            <v>2.6481000000000001E-2</v>
          </cell>
          <cell r="N1031">
            <v>1.392619519392432</v>
          </cell>
        </row>
        <row r="1032">
          <cell r="K1032">
            <v>43089</v>
          </cell>
          <cell r="L1032" t="str">
            <v>DIA ÚTIL</v>
          </cell>
          <cell r="M1032">
            <v>2.6481000000000001E-2</v>
          </cell>
          <cell r="N1032">
            <v>1.3929882989673623</v>
          </cell>
        </row>
        <row r="1033">
          <cell r="K1033">
            <v>43090</v>
          </cell>
          <cell r="L1033" t="str">
            <v>DIA ÚTIL</v>
          </cell>
          <cell r="M1033">
            <v>2.6481000000000001E-2</v>
          </cell>
          <cell r="N1033">
            <v>1.3933571761988119</v>
          </cell>
        </row>
        <row r="1034">
          <cell r="K1034">
            <v>43091</v>
          </cell>
          <cell r="L1034" t="str">
            <v>DIA ÚTIL</v>
          </cell>
          <cell r="M1034">
            <v>2.6481000000000001E-2</v>
          </cell>
          <cell r="N1034">
            <v>1.3937261511126411</v>
          </cell>
        </row>
        <row r="1035">
          <cell r="K1035">
            <v>43092</v>
          </cell>
          <cell r="M1035">
            <v>0</v>
          </cell>
          <cell r="N1035">
            <v>1.3937261511126411</v>
          </cell>
        </row>
        <row r="1036">
          <cell r="K1036">
            <v>43093</v>
          </cell>
          <cell r="M1036">
            <v>0</v>
          </cell>
          <cell r="N1036">
            <v>1.3937261511126411</v>
          </cell>
        </row>
        <row r="1037">
          <cell r="K1037">
            <v>43094</v>
          </cell>
          <cell r="M1037">
            <v>0</v>
          </cell>
          <cell r="N1037">
            <v>1.3937261511126411</v>
          </cell>
        </row>
        <row r="1038">
          <cell r="K1038">
            <v>43095</v>
          </cell>
          <cell r="L1038" t="str">
            <v>DIA ÚTIL</v>
          </cell>
          <cell r="M1038">
            <v>2.6481000000000001E-2</v>
          </cell>
          <cell r="N1038">
            <v>1.3940952237347173</v>
          </cell>
        </row>
        <row r="1039">
          <cell r="K1039">
            <v>43096</v>
          </cell>
          <cell r="L1039" t="str">
            <v>DIA ÚTIL</v>
          </cell>
          <cell r="M1039">
            <v>2.6481000000000001E-2</v>
          </cell>
          <cell r="N1039">
            <v>1.3944643940909145</v>
          </cell>
        </row>
        <row r="1040">
          <cell r="K1040">
            <v>43097</v>
          </cell>
          <cell r="L1040" t="str">
            <v>DIA ÚTIL</v>
          </cell>
          <cell r="M1040">
            <v>2.6481000000000001E-2</v>
          </cell>
          <cell r="N1040">
            <v>1.3948336622071138</v>
          </cell>
        </row>
        <row r="1041">
          <cell r="K1041">
            <v>43098</v>
          </cell>
          <cell r="L1041" t="str">
            <v>DIA ÚTIL</v>
          </cell>
          <cell r="M1041">
            <v>2.6481000000000001E-2</v>
          </cell>
          <cell r="N1041">
            <v>1.3952030281092029</v>
          </cell>
        </row>
        <row r="1042">
          <cell r="K1042">
            <v>43099</v>
          </cell>
          <cell r="M1042">
            <v>0</v>
          </cell>
          <cell r="N1042">
            <v>1.3952030281092029</v>
          </cell>
        </row>
        <row r="1043">
          <cell r="K1043">
            <v>43100</v>
          </cell>
          <cell r="M1043">
            <v>0</v>
          </cell>
          <cell r="N1043">
            <v>1.3952030281092029</v>
          </cell>
        </row>
        <row r="1044">
          <cell r="K1044">
            <v>43101</v>
          </cell>
          <cell r="M1044">
            <v>0</v>
          </cell>
          <cell r="N1044">
            <v>1.3952030281092029</v>
          </cell>
        </row>
        <row r="1045">
          <cell r="K1045">
            <v>43102</v>
          </cell>
          <cell r="L1045" t="str">
            <v>DIA ÚTIL</v>
          </cell>
          <cell r="M1045">
            <v>2.6481000000000001E-2</v>
          </cell>
          <cell r="N1045">
            <v>1.3955724918230765</v>
          </cell>
        </row>
        <row r="1046">
          <cell r="K1046">
            <v>43103</v>
          </cell>
          <cell r="L1046" t="str">
            <v>DIA ÚTIL</v>
          </cell>
          <cell r="M1046">
            <v>2.6481000000000001E-2</v>
          </cell>
          <cell r="N1046">
            <v>1.3959420533746363</v>
          </cell>
        </row>
        <row r="1047">
          <cell r="K1047">
            <v>43104</v>
          </cell>
          <cell r="L1047" t="str">
            <v>DIA ÚTIL</v>
          </cell>
          <cell r="M1047">
            <v>2.6481000000000001E-2</v>
          </cell>
          <cell r="N1047">
            <v>1.3963117127897904</v>
          </cell>
        </row>
        <row r="1048">
          <cell r="K1048">
            <v>43105</v>
          </cell>
          <cell r="L1048" t="str">
            <v>DIA ÚTIL</v>
          </cell>
          <cell r="M1048">
            <v>2.6481000000000001E-2</v>
          </cell>
          <cell r="N1048">
            <v>1.3966814700944543</v>
          </cell>
        </row>
        <row r="1049">
          <cell r="K1049">
            <v>43106</v>
          </cell>
          <cell r="M1049">
            <v>0</v>
          </cell>
          <cell r="N1049">
            <v>1.3966814700944543</v>
          </cell>
        </row>
        <row r="1050">
          <cell r="K1050">
            <v>43107</v>
          </cell>
          <cell r="M1050">
            <v>0</v>
          </cell>
          <cell r="N1050">
            <v>1.3966814700944543</v>
          </cell>
        </row>
        <row r="1051">
          <cell r="K1051">
            <v>43108</v>
          </cell>
          <cell r="L1051" t="str">
            <v>DIA ÚTIL</v>
          </cell>
          <cell r="M1051">
            <v>2.6481000000000001E-2</v>
          </cell>
          <cell r="N1051">
            <v>1.39705132531455</v>
          </cell>
        </row>
        <row r="1052">
          <cell r="K1052">
            <v>43109</v>
          </cell>
          <cell r="L1052" t="str">
            <v>DIA ÚTIL</v>
          </cell>
          <cell r="M1052">
            <v>2.6481000000000001E-2</v>
          </cell>
          <cell r="N1052">
            <v>1.3974212784760065</v>
          </cell>
        </row>
        <row r="1053">
          <cell r="K1053">
            <v>43110</v>
          </cell>
          <cell r="L1053" t="str">
            <v>DIA ÚTIL</v>
          </cell>
          <cell r="M1053">
            <v>2.6481000000000001E-2</v>
          </cell>
          <cell r="N1053">
            <v>1.3977913296047597</v>
          </cell>
        </row>
        <row r="1054">
          <cell r="K1054">
            <v>43111</v>
          </cell>
          <cell r="L1054" t="str">
            <v>DIA ÚTIL</v>
          </cell>
          <cell r="M1054">
            <v>2.6481000000000001E-2</v>
          </cell>
          <cell r="N1054">
            <v>1.3981614787267524</v>
          </cell>
        </row>
        <row r="1055">
          <cell r="K1055">
            <v>43112</v>
          </cell>
          <cell r="L1055" t="str">
            <v>DIA ÚTIL</v>
          </cell>
          <cell r="M1055">
            <v>2.6481000000000001E-2</v>
          </cell>
          <cell r="N1055">
            <v>1.3985317258679342</v>
          </cell>
        </row>
        <row r="1056">
          <cell r="K1056">
            <v>43113</v>
          </cell>
          <cell r="M1056">
            <v>0</v>
          </cell>
          <cell r="N1056">
            <v>1.3985317258679342</v>
          </cell>
        </row>
        <row r="1057">
          <cell r="K1057">
            <v>43114</v>
          </cell>
          <cell r="M1057">
            <v>0</v>
          </cell>
          <cell r="N1057">
            <v>1.3985317258679342</v>
          </cell>
        </row>
        <row r="1058">
          <cell r="K1058">
            <v>43115</v>
          </cell>
          <cell r="L1058" t="str">
            <v>DIA ÚTIL</v>
          </cell>
          <cell r="M1058">
            <v>2.6481000000000001E-2</v>
          </cell>
          <cell r="N1058">
            <v>1.3989020710542612</v>
          </cell>
        </row>
        <row r="1059">
          <cell r="K1059">
            <v>43116</v>
          </cell>
          <cell r="L1059" t="str">
            <v>DIA ÚTIL</v>
          </cell>
          <cell r="M1059">
            <v>2.6481000000000001E-2</v>
          </cell>
          <cell r="N1059">
            <v>1.3992725143116971</v>
          </cell>
        </row>
        <row r="1060">
          <cell r="K1060">
            <v>43117</v>
          </cell>
          <cell r="L1060" t="str">
            <v>DIA ÚTIL</v>
          </cell>
          <cell r="M1060">
            <v>2.6481000000000001E-2</v>
          </cell>
          <cell r="N1060">
            <v>1.3996430556662121</v>
          </cell>
        </row>
        <row r="1061">
          <cell r="K1061">
            <v>43118</v>
          </cell>
          <cell r="L1061" t="str">
            <v>DIA ÚTIL</v>
          </cell>
          <cell r="M1061">
            <v>2.6481000000000001E-2</v>
          </cell>
          <cell r="N1061">
            <v>1.4000136951437829</v>
          </cell>
        </row>
        <row r="1062">
          <cell r="K1062">
            <v>43119</v>
          </cell>
          <cell r="L1062" t="str">
            <v>DIA ÚTIL</v>
          </cell>
          <cell r="M1062">
            <v>2.6481000000000001E-2</v>
          </cell>
          <cell r="N1062">
            <v>1.400384432770394</v>
          </cell>
        </row>
        <row r="1063">
          <cell r="K1063">
            <v>43120</v>
          </cell>
          <cell r="M1063">
            <v>0</v>
          </cell>
          <cell r="N1063">
            <v>1.400384432770394</v>
          </cell>
        </row>
        <row r="1064">
          <cell r="K1064">
            <v>43121</v>
          </cell>
          <cell r="M1064">
            <v>0</v>
          </cell>
          <cell r="N1064">
            <v>1.400384432770394</v>
          </cell>
        </row>
        <row r="1065">
          <cell r="K1065">
            <v>43122</v>
          </cell>
          <cell r="L1065" t="str">
            <v>DIA ÚTIL</v>
          </cell>
          <cell r="M1065">
            <v>2.6481000000000001E-2</v>
          </cell>
          <cell r="N1065">
            <v>1.4007552685720359</v>
          </cell>
        </row>
        <row r="1066">
          <cell r="K1066">
            <v>43123</v>
          </cell>
          <cell r="L1066" t="str">
            <v>DIA ÚTIL</v>
          </cell>
          <cell r="M1066">
            <v>2.6481000000000001E-2</v>
          </cell>
          <cell r="N1066">
            <v>1.4011262025747064</v>
          </cell>
        </row>
        <row r="1067">
          <cell r="K1067">
            <v>43124</v>
          </cell>
          <cell r="L1067" t="str">
            <v>DIA ÚTIL</v>
          </cell>
          <cell r="M1067">
            <v>2.6481000000000001E-2</v>
          </cell>
          <cell r="N1067">
            <v>1.4014972348044104</v>
          </cell>
        </row>
        <row r="1068">
          <cell r="K1068">
            <v>43125</v>
          </cell>
          <cell r="L1068" t="str">
            <v>DIA ÚTIL</v>
          </cell>
          <cell r="M1068">
            <v>2.6481000000000001E-2</v>
          </cell>
          <cell r="N1068">
            <v>1.4018683652871589</v>
          </cell>
        </row>
        <row r="1069">
          <cell r="K1069">
            <v>43126</v>
          </cell>
          <cell r="L1069" t="str">
            <v>DIA ÚTIL</v>
          </cell>
          <cell r="M1069">
            <v>2.6481000000000001E-2</v>
          </cell>
          <cell r="N1069">
            <v>1.4022395940489705</v>
          </cell>
        </row>
        <row r="1070">
          <cell r="K1070">
            <v>43127</v>
          </cell>
          <cell r="M1070">
            <v>0</v>
          </cell>
          <cell r="N1070">
            <v>1.4022395940489705</v>
          </cell>
        </row>
        <row r="1071">
          <cell r="K1071">
            <v>43128</v>
          </cell>
          <cell r="M1071">
            <v>0</v>
          </cell>
          <cell r="N1071">
            <v>1.4022395940489705</v>
          </cell>
        </row>
        <row r="1072">
          <cell r="K1072">
            <v>43129</v>
          </cell>
          <cell r="L1072" t="str">
            <v>DIA ÚTIL</v>
          </cell>
          <cell r="M1072">
            <v>2.6481000000000001E-2</v>
          </cell>
          <cell r="N1072">
            <v>1.4026109211158706</v>
          </cell>
        </row>
        <row r="1073">
          <cell r="K1073">
            <v>43130</v>
          </cell>
          <cell r="L1073" t="str">
            <v>DIA ÚTIL</v>
          </cell>
          <cell r="M1073">
            <v>2.6481000000000001E-2</v>
          </cell>
          <cell r="N1073">
            <v>1.4029823465138913</v>
          </cell>
        </row>
        <row r="1074">
          <cell r="K1074">
            <v>43131</v>
          </cell>
          <cell r="L1074" t="str">
            <v>DIA ÚTIL</v>
          </cell>
          <cell r="M1074">
            <v>2.6481000000000001E-2</v>
          </cell>
          <cell r="N1074">
            <v>1.4033538702690718</v>
          </cell>
        </row>
        <row r="1075">
          <cell r="K1075">
            <v>43132</v>
          </cell>
          <cell r="L1075" t="str">
            <v>DIA ÚTIL</v>
          </cell>
          <cell r="M1075">
            <v>2.6481000000000001E-2</v>
          </cell>
          <cell r="N1075">
            <v>1.4037254924074578</v>
          </cell>
        </row>
        <row r="1076">
          <cell r="K1076">
            <v>43133</v>
          </cell>
          <cell r="L1076" t="str">
            <v>DIA ÚTIL</v>
          </cell>
          <cell r="M1076">
            <v>2.6481000000000001E-2</v>
          </cell>
          <cell r="N1076">
            <v>1.4040972129551021</v>
          </cell>
        </row>
        <row r="1077">
          <cell r="K1077">
            <v>43134</v>
          </cell>
          <cell r="M1077">
            <v>0</v>
          </cell>
          <cell r="N1077">
            <v>1.4040972129551021</v>
          </cell>
        </row>
        <row r="1078">
          <cell r="K1078">
            <v>43135</v>
          </cell>
          <cell r="M1078">
            <v>0</v>
          </cell>
          <cell r="N1078">
            <v>1.4040972129551021</v>
          </cell>
        </row>
        <row r="1079">
          <cell r="K1079">
            <v>43136</v>
          </cell>
          <cell r="L1079" t="str">
            <v>DIA ÚTIL</v>
          </cell>
          <cell r="M1079">
            <v>2.6481000000000001E-2</v>
          </cell>
          <cell r="N1079">
            <v>1.4044690319380648</v>
          </cell>
        </row>
        <row r="1080">
          <cell r="K1080">
            <v>43137</v>
          </cell>
          <cell r="L1080" t="str">
            <v>DIA ÚTIL</v>
          </cell>
          <cell r="M1080">
            <v>2.6481000000000001E-2</v>
          </cell>
          <cell r="N1080">
            <v>1.4048409493824123</v>
          </cell>
        </row>
        <row r="1081">
          <cell r="K1081">
            <v>43138</v>
          </cell>
          <cell r="L1081" t="str">
            <v>DIA ÚTIL</v>
          </cell>
          <cell r="M1081">
            <v>2.6481000000000001E-2</v>
          </cell>
          <cell r="N1081">
            <v>1.4052129653142182</v>
          </cell>
        </row>
        <row r="1082">
          <cell r="K1082">
            <v>43139</v>
          </cell>
          <cell r="L1082" t="str">
            <v>DIA ÚTIL</v>
          </cell>
          <cell r="M1082">
            <v>2.5551999999999998E-2</v>
          </cell>
          <cell r="N1082">
            <v>1.4055720253311155</v>
          </cell>
        </row>
        <row r="1083">
          <cell r="K1083">
            <v>43140</v>
          </cell>
          <cell r="L1083" t="str">
            <v>DIA ÚTIL</v>
          </cell>
          <cell r="M1083">
            <v>2.5551999999999998E-2</v>
          </cell>
          <cell r="N1083">
            <v>1.4059311770950282</v>
          </cell>
        </row>
        <row r="1084">
          <cell r="K1084">
            <v>43141</v>
          </cell>
          <cell r="M1084">
            <v>0</v>
          </cell>
          <cell r="N1084">
            <v>1.4059311770950282</v>
          </cell>
        </row>
        <row r="1085">
          <cell r="K1085">
            <v>43142</v>
          </cell>
          <cell r="M1085">
            <v>0</v>
          </cell>
          <cell r="N1085">
            <v>1.4059311770950282</v>
          </cell>
        </row>
        <row r="1086">
          <cell r="K1086">
            <v>43143</v>
          </cell>
          <cell r="M1086">
            <v>0</v>
          </cell>
          <cell r="N1086">
            <v>1.4059311770950282</v>
          </cell>
        </row>
        <row r="1087">
          <cell r="K1087">
            <v>43144</v>
          </cell>
          <cell r="M1087">
            <v>0</v>
          </cell>
          <cell r="N1087">
            <v>1.4059311770950282</v>
          </cell>
        </row>
        <row r="1088">
          <cell r="K1088">
            <v>43145</v>
          </cell>
          <cell r="L1088" t="str">
            <v>DIA ÚTIL</v>
          </cell>
          <cell r="M1088">
            <v>2.5551999999999998E-2</v>
          </cell>
          <cell r="N1088">
            <v>1.4062904206293996</v>
          </cell>
        </row>
        <row r="1089">
          <cell r="K1089">
            <v>43146</v>
          </cell>
          <cell r="L1089" t="str">
            <v>DIA ÚTIL</v>
          </cell>
          <cell r="M1089">
            <v>2.5551999999999998E-2</v>
          </cell>
          <cell r="N1089">
            <v>1.4066497559576789</v>
          </cell>
        </row>
        <row r="1090">
          <cell r="K1090">
            <v>43147</v>
          </cell>
          <cell r="L1090" t="str">
            <v>DIA ÚTIL</v>
          </cell>
          <cell r="M1090">
            <v>2.5551999999999998E-2</v>
          </cell>
          <cell r="N1090">
            <v>1.4070091831033213</v>
          </cell>
        </row>
        <row r="1091">
          <cell r="K1091">
            <v>43148</v>
          </cell>
          <cell r="M1091">
            <v>0</v>
          </cell>
          <cell r="N1091">
            <v>1.4070091831033213</v>
          </cell>
        </row>
        <row r="1092">
          <cell r="K1092">
            <v>43149</v>
          </cell>
          <cell r="M1092">
            <v>0</v>
          </cell>
          <cell r="N1092">
            <v>1.4070091831033213</v>
          </cell>
        </row>
        <row r="1093">
          <cell r="K1093">
            <v>43150</v>
          </cell>
          <cell r="L1093" t="str">
            <v>DIA ÚTIL</v>
          </cell>
          <cell r="M1093">
            <v>2.5551999999999998E-2</v>
          </cell>
          <cell r="N1093">
            <v>1.407368702089788</v>
          </cell>
        </row>
        <row r="1094">
          <cell r="K1094">
            <v>43151</v>
          </cell>
          <cell r="L1094" t="str">
            <v>DIA ÚTIL</v>
          </cell>
          <cell r="M1094">
            <v>2.5551999999999998E-2</v>
          </cell>
          <cell r="N1094">
            <v>1.407728312940546</v>
          </cell>
        </row>
        <row r="1095">
          <cell r="K1095">
            <v>43152</v>
          </cell>
          <cell r="L1095" t="str">
            <v>DIA ÚTIL</v>
          </cell>
          <cell r="M1095">
            <v>2.5551999999999998E-2</v>
          </cell>
          <cell r="N1095">
            <v>1.4080880156790687</v>
          </cell>
        </row>
        <row r="1096">
          <cell r="K1096">
            <v>43153</v>
          </cell>
          <cell r="L1096" t="str">
            <v>DIA ÚTIL</v>
          </cell>
          <cell r="M1096">
            <v>2.5551999999999998E-2</v>
          </cell>
          <cell r="N1096">
            <v>1.4084478103288351</v>
          </cell>
        </row>
        <row r="1097">
          <cell r="K1097">
            <v>43154</v>
          </cell>
          <cell r="L1097" t="str">
            <v>DIA ÚTIL</v>
          </cell>
          <cell r="M1097">
            <v>2.5551999999999998E-2</v>
          </cell>
          <cell r="N1097">
            <v>1.4088076969133305</v>
          </cell>
        </row>
        <row r="1098">
          <cell r="K1098">
            <v>43155</v>
          </cell>
          <cell r="M1098">
            <v>0</v>
          </cell>
          <cell r="N1098">
            <v>1.4088076969133305</v>
          </cell>
        </row>
        <row r="1099">
          <cell r="K1099">
            <v>43156</v>
          </cell>
          <cell r="M1099">
            <v>0</v>
          </cell>
          <cell r="N1099">
            <v>1.4088076969133305</v>
          </cell>
        </row>
        <row r="1100">
          <cell r="K1100">
            <v>43157</v>
          </cell>
          <cell r="L1100" t="str">
            <v>DIA ÚTIL</v>
          </cell>
          <cell r="M1100">
            <v>2.5551999999999998E-2</v>
          </cell>
          <cell r="N1100">
            <v>1.4091676754560458</v>
          </cell>
        </row>
        <row r="1101">
          <cell r="K1101">
            <v>43158</v>
          </cell>
          <cell r="L1101" t="str">
            <v>DIA ÚTIL</v>
          </cell>
          <cell r="M1101">
            <v>2.5551999999999998E-2</v>
          </cell>
          <cell r="N1101">
            <v>1.4095277459804785</v>
          </cell>
        </row>
        <row r="1102">
          <cell r="K1102">
            <v>43159</v>
          </cell>
          <cell r="L1102" t="str">
            <v>DIA ÚTIL</v>
          </cell>
          <cell r="M1102">
            <v>2.5551999999999998E-2</v>
          </cell>
          <cell r="N1102">
            <v>1.4098879085101315</v>
          </cell>
        </row>
        <row r="1103">
          <cell r="K1103">
            <v>43160</v>
          </cell>
          <cell r="L1103" t="str">
            <v>DIA ÚTIL</v>
          </cell>
          <cell r="M1103">
            <v>2.5551999999999998E-2</v>
          </cell>
          <cell r="N1103">
            <v>1.410248163068514</v>
          </cell>
        </row>
        <row r="1104">
          <cell r="K1104">
            <v>43161</v>
          </cell>
          <cell r="L1104" t="str">
            <v>DIA ÚTIL</v>
          </cell>
          <cell r="M1104">
            <v>2.5551999999999998E-2</v>
          </cell>
          <cell r="N1104">
            <v>1.4106085096791414</v>
          </cell>
        </row>
        <row r="1105">
          <cell r="K1105">
            <v>43162</v>
          </cell>
          <cell r="M1105">
            <v>0</v>
          </cell>
          <cell r="N1105">
            <v>1.4106085096791414</v>
          </cell>
        </row>
        <row r="1106">
          <cell r="K1106">
            <v>43163</v>
          </cell>
          <cell r="M1106">
            <v>0</v>
          </cell>
          <cell r="N1106">
            <v>1.4106085096791414</v>
          </cell>
        </row>
        <row r="1107">
          <cell r="K1107">
            <v>43164</v>
          </cell>
          <cell r="L1107" t="str">
            <v>DIA ÚTIL</v>
          </cell>
          <cell r="M1107">
            <v>2.5551999999999998E-2</v>
          </cell>
          <cell r="N1107">
            <v>1.4109689483655348</v>
          </cell>
        </row>
        <row r="1108">
          <cell r="K1108">
            <v>43165</v>
          </cell>
          <cell r="L1108" t="str">
            <v>DIA ÚTIL</v>
          </cell>
          <cell r="M1108">
            <v>2.5551999999999998E-2</v>
          </cell>
          <cell r="N1108">
            <v>1.4113294791512212</v>
          </cell>
        </row>
        <row r="1109">
          <cell r="K1109">
            <v>43166</v>
          </cell>
          <cell r="L1109" t="str">
            <v>DIA ÚTIL</v>
          </cell>
          <cell r="M1109">
            <v>2.5551999999999998E-2</v>
          </cell>
          <cell r="N1109">
            <v>1.4116901020597341</v>
          </cell>
        </row>
        <row r="1110">
          <cell r="K1110">
            <v>43167</v>
          </cell>
          <cell r="L1110" t="str">
            <v>DIA ÚTIL</v>
          </cell>
          <cell r="M1110">
            <v>2.5551999999999998E-2</v>
          </cell>
          <cell r="N1110">
            <v>1.4120508171146124</v>
          </cell>
        </row>
        <row r="1111">
          <cell r="K1111">
            <v>43168</v>
          </cell>
          <cell r="L1111" t="str">
            <v>DIA ÚTIL</v>
          </cell>
          <cell r="M1111">
            <v>2.5551999999999998E-2</v>
          </cell>
          <cell r="N1111">
            <v>1.4124116243394016</v>
          </cell>
        </row>
        <row r="1112">
          <cell r="K1112">
            <v>43169</v>
          </cell>
          <cell r="M1112">
            <v>0</v>
          </cell>
          <cell r="N1112">
            <v>1.4124116243394016</v>
          </cell>
        </row>
        <row r="1113">
          <cell r="K1113">
            <v>43170</v>
          </cell>
          <cell r="M1113">
            <v>0</v>
          </cell>
          <cell r="N1113">
            <v>1.4124116243394016</v>
          </cell>
        </row>
        <row r="1114">
          <cell r="K1114">
            <v>43171</v>
          </cell>
          <cell r="L1114" t="str">
            <v>DIA ÚTIL</v>
          </cell>
          <cell r="M1114">
            <v>2.5551999999999998E-2</v>
          </cell>
          <cell r="N1114">
            <v>1.4127725237576529</v>
          </cell>
        </row>
        <row r="1115">
          <cell r="K1115">
            <v>43172</v>
          </cell>
          <cell r="L1115" t="str">
            <v>DIA ÚTIL</v>
          </cell>
          <cell r="M1115">
            <v>2.5551999999999998E-2</v>
          </cell>
          <cell r="N1115">
            <v>1.4131335153929236</v>
          </cell>
        </row>
        <row r="1116">
          <cell r="K1116">
            <v>43173</v>
          </cell>
          <cell r="L1116" t="str">
            <v>DIA ÚTIL</v>
          </cell>
          <cell r="M1116">
            <v>2.5551999999999998E-2</v>
          </cell>
          <cell r="N1116">
            <v>1.4134945992687769</v>
          </cell>
        </row>
        <row r="1117">
          <cell r="K1117">
            <v>43174</v>
          </cell>
          <cell r="L1117" t="str">
            <v>DIA ÚTIL</v>
          </cell>
          <cell r="M1117">
            <v>2.5551999999999998E-2</v>
          </cell>
          <cell r="N1117">
            <v>1.4138557754087822</v>
          </cell>
        </row>
        <row r="1118">
          <cell r="K1118">
            <v>43175</v>
          </cell>
          <cell r="L1118" t="str">
            <v>DIA ÚTIL</v>
          </cell>
          <cell r="M1118">
            <v>2.5551999999999998E-2</v>
          </cell>
          <cell r="N1118">
            <v>1.4142170438365147</v>
          </cell>
        </row>
        <row r="1119">
          <cell r="K1119">
            <v>43176</v>
          </cell>
          <cell r="M1119">
            <v>0</v>
          </cell>
          <cell r="N1119">
            <v>1.4142170438365147</v>
          </cell>
        </row>
        <row r="1120">
          <cell r="K1120">
            <v>43177</v>
          </cell>
          <cell r="M1120">
            <v>0</v>
          </cell>
          <cell r="N1120">
            <v>1.4142170438365147</v>
          </cell>
        </row>
        <row r="1121">
          <cell r="K1121">
            <v>43178</v>
          </cell>
          <cell r="L1121" t="str">
            <v>DIA ÚTIL</v>
          </cell>
          <cell r="M1121">
            <v>2.5551999999999998E-2</v>
          </cell>
          <cell r="N1121">
            <v>1.4145784045755558</v>
          </cell>
        </row>
        <row r="1122">
          <cell r="K1122">
            <v>43179</v>
          </cell>
          <cell r="L1122" t="str">
            <v>DIA ÚTIL</v>
          </cell>
          <cell r="M1122">
            <v>2.5551999999999998E-2</v>
          </cell>
          <cell r="N1122">
            <v>1.4149398576494931</v>
          </cell>
        </row>
        <row r="1123">
          <cell r="K1123">
            <v>43180</v>
          </cell>
          <cell r="L1123" t="str">
            <v>DIA ÚTIL</v>
          </cell>
          <cell r="M1123">
            <v>2.5551999999999998E-2</v>
          </cell>
          <cell r="N1123">
            <v>1.4153014030819198</v>
          </cell>
        </row>
        <row r="1124">
          <cell r="K1124">
            <v>43181</v>
          </cell>
          <cell r="L1124" t="str">
            <v>DIA ÚTIL</v>
          </cell>
          <cell r="M1124">
            <v>2.462E-2</v>
          </cell>
          <cell r="N1124">
            <v>1.4156498502873587</v>
          </cell>
        </row>
        <row r="1125">
          <cell r="K1125">
            <v>43182</v>
          </cell>
          <cell r="L1125" t="str">
            <v>DIA ÚTIL</v>
          </cell>
          <cell r="M1125">
            <v>2.462E-2</v>
          </cell>
          <cell r="N1125">
            <v>1.4159983832804997</v>
          </cell>
        </row>
        <row r="1126">
          <cell r="K1126">
            <v>43183</v>
          </cell>
          <cell r="M1126">
            <v>0</v>
          </cell>
          <cell r="N1126">
            <v>1.4159983832804997</v>
          </cell>
        </row>
        <row r="1127">
          <cell r="K1127">
            <v>43184</v>
          </cell>
          <cell r="M1127">
            <v>0</v>
          </cell>
          <cell r="N1127">
            <v>1.4159983832804997</v>
          </cell>
        </row>
        <row r="1128">
          <cell r="K1128">
            <v>43185</v>
          </cell>
          <cell r="L1128" t="str">
            <v>DIA ÚTIL</v>
          </cell>
          <cell r="M1128">
            <v>2.462E-2</v>
          </cell>
          <cell r="N1128">
            <v>1.4163470020824633</v>
          </cell>
        </row>
        <row r="1129">
          <cell r="K1129">
            <v>43186</v>
          </cell>
          <cell r="L1129" t="str">
            <v>DIA ÚTIL</v>
          </cell>
          <cell r="M1129">
            <v>2.462E-2</v>
          </cell>
          <cell r="N1129">
            <v>1.4166957067143762</v>
          </cell>
        </row>
        <row r="1130">
          <cell r="K1130">
            <v>43187</v>
          </cell>
          <cell r="L1130" t="str">
            <v>DIA ÚTIL</v>
          </cell>
          <cell r="M1130">
            <v>2.462E-2</v>
          </cell>
          <cell r="N1130">
            <v>1.4170444971973695</v>
          </cell>
        </row>
        <row r="1131">
          <cell r="K1131">
            <v>43188</v>
          </cell>
          <cell r="L1131" t="str">
            <v>DIA ÚTIL</v>
          </cell>
          <cell r="M1131">
            <v>2.462E-2</v>
          </cell>
          <cell r="N1131">
            <v>1.4173933735525797</v>
          </cell>
        </row>
        <row r="1132">
          <cell r="K1132">
            <v>43189</v>
          </cell>
          <cell r="M1132">
            <v>0</v>
          </cell>
          <cell r="N1132">
            <v>1.4173933735525797</v>
          </cell>
        </row>
        <row r="1133">
          <cell r="K1133">
            <v>43190</v>
          </cell>
          <cell r="M1133">
            <v>0</v>
          </cell>
          <cell r="N1133">
            <v>1.4173933735525797</v>
          </cell>
        </row>
        <row r="1134">
          <cell r="K1134">
            <v>43191</v>
          </cell>
          <cell r="M1134">
            <v>0</v>
          </cell>
          <cell r="N1134">
            <v>1.4173933735525797</v>
          </cell>
        </row>
        <row r="1135">
          <cell r="K1135">
            <v>43192</v>
          </cell>
          <cell r="L1135" t="str">
            <v>DIA ÚTIL</v>
          </cell>
          <cell r="M1135">
            <v>2.462E-2</v>
          </cell>
          <cell r="N1135">
            <v>1.4177423358011485</v>
          </cell>
        </row>
        <row r="1136">
          <cell r="K1136">
            <v>43193</v>
          </cell>
          <cell r="L1136" t="str">
            <v>DIA ÚTIL</v>
          </cell>
          <cell r="M1136">
            <v>2.462E-2</v>
          </cell>
          <cell r="N1136">
            <v>1.4180913839642229</v>
          </cell>
        </row>
        <row r="1137">
          <cell r="K1137">
            <v>43194</v>
          </cell>
          <cell r="L1137" t="str">
            <v>DIA ÚTIL</v>
          </cell>
          <cell r="M1137">
            <v>2.462E-2</v>
          </cell>
          <cell r="N1137">
            <v>1.4184405180629549</v>
          </cell>
        </row>
        <row r="1138">
          <cell r="K1138">
            <v>43195</v>
          </cell>
          <cell r="L1138" t="str">
            <v>DIA ÚTIL</v>
          </cell>
          <cell r="M1138">
            <v>2.462E-2</v>
          </cell>
          <cell r="N1138">
            <v>1.4187897381185022</v>
          </cell>
        </row>
        <row r="1139">
          <cell r="K1139">
            <v>43196</v>
          </cell>
          <cell r="L1139" t="str">
            <v>DIA ÚTIL</v>
          </cell>
          <cell r="M1139">
            <v>2.462E-2</v>
          </cell>
          <cell r="N1139">
            <v>1.4191390441520271</v>
          </cell>
        </row>
        <row r="1140">
          <cell r="K1140">
            <v>43197</v>
          </cell>
          <cell r="M1140">
            <v>0</v>
          </cell>
          <cell r="N1140">
            <v>1.4191390441520271</v>
          </cell>
        </row>
        <row r="1141">
          <cell r="K1141">
            <v>43198</v>
          </cell>
          <cell r="M1141">
            <v>0</v>
          </cell>
          <cell r="N1141">
            <v>1.4191390441520271</v>
          </cell>
        </row>
        <row r="1142">
          <cell r="K1142">
            <v>43199</v>
          </cell>
          <cell r="L1142" t="str">
            <v>DIA ÚTIL</v>
          </cell>
          <cell r="M1142">
            <v>2.462E-2</v>
          </cell>
          <cell r="N1142">
            <v>1.4194884361846973</v>
          </cell>
        </row>
        <row r="1143">
          <cell r="K1143">
            <v>43200</v>
          </cell>
          <cell r="L1143" t="str">
            <v>DIA ÚTIL</v>
          </cell>
          <cell r="M1143">
            <v>2.462E-2</v>
          </cell>
          <cell r="N1143">
            <v>1.419837914237686</v>
          </cell>
        </row>
        <row r="1144">
          <cell r="K1144">
            <v>43201</v>
          </cell>
          <cell r="L1144" t="str">
            <v>DIA ÚTIL</v>
          </cell>
          <cell r="M1144">
            <v>2.462E-2</v>
          </cell>
          <cell r="N1144">
            <v>1.4201874783321715</v>
          </cell>
        </row>
        <row r="1145">
          <cell r="K1145">
            <v>43202</v>
          </cell>
          <cell r="L1145" t="str">
            <v>DIA ÚTIL</v>
          </cell>
          <cell r="M1145">
            <v>2.462E-2</v>
          </cell>
          <cell r="N1145">
            <v>1.4205371284893371</v>
          </cell>
        </row>
        <row r="1146">
          <cell r="K1146">
            <v>43203</v>
          </cell>
          <cell r="L1146" t="str">
            <v>DIA ÚTIL</v>
          </cell>
          <cell r="M1146">
            <v>2.462E-2</v>
          </cell>
          <cell r="N1146">
            <v>1.4208868647303714</v>
          </cell>
        </row>
        <row r="1147">
          <cell r="K1147">
            <v>43204</v>
          </cell>
          <cell r="M1147">
            <v>0</v>
          </cell>
          <cell r="N1147">
            <v>1.4208868647303714</v>
          </cell>
        </row>
        <row r="1148">
          <cell r="K1148">
            <v>43205</v>
          </cell>
          <cell r="M1148">
            <v>0</v>
          </cell>
          <cell r="N1148">
            <v>1.4208868647303714</v>
          </cell>
        </row>
        <row r="1149">
          <cell r="K1149">
            <v>43206</v>
          </cell>
          <cell r="L1149" t="str">
            <v>DIA ÚTIL</v>
          </cell>
          <cell r="M1149">
            <v>2.462E-2</v>
          </cell>
          <cell r="N1149">
            <v>1.4212366870764681</v>
          </cell>
        </row>
        <row r="1150">
          <cell r="K1150">
            <v>43207</v>
          </cell>
          <cell r="L1150" t="str">
            <v>DIA ÚTIL</v>
          </cell>
          <cell r="M1150">
            <v>2.462E-2</v>
          </cell>
          <cell r="N1150">
            <v>1.4215865955488265</v>
          </cell>
        </row>
        <row r="1151">
          <cell r="K1151">
            <v>43208</v>
          </cell>
          <cell r="L1151" t="str">
            <v>DIA ÚTIL</v>
          </cell>
          <cell r="M1151">
            <v>2.462E-2</v>
          </cell>
          <cell r="N1151">
            <v>1.4219365901686507</v>
          </cell>
        </row>
        <row r="1152">
          <cell r="K1152">
            <v>43209</v>
          </cell>
          <cell r="L1152" t="str">
            <v>DIA ÚTIL</v>
          </cell>
          <cell r="M1152">
            <v>2.462E-2</v>
          </cell>
          <cell r="N1152">
            <v>1.4222866709571504</v>
          </cell>
        </row>
        <row r="1153">
          <cell r="K1153">
            <v>43210</v>
          </cell>
          <cell r="L1153" t="str">
            <v>DIA ÚTIL</v>
          </cell>
          <cell r="M1153">
            <v>2.462E-2</v>
          </cell>
          <cell r="N1153">
            <v>1.4226368379355403</v>
          </cell>
        </row>
        <row r="1154">
          <cell r="K1154">
            <v>43211</v>
          </cell>
          <cell r="M1154">
            <v>0</v>
          </cell>
          <cell r="N1154">
            <v>1.4226368379355403</v>
          </cell>
        </row>
        <row r="1155">
          <cell r="K1155">
            <v>43212</v>
          </cell>
          <cell r="M1155">
            <v>0</v>
          </cell>
          <cell r="N1155">
            <v>1.4226368379355403</v>
          </cell>
        </row>
        <row r="1156">
          <cell r="K1156">
            <v>43213</v>
          </cell>
          <cell r="L1156" t="str">
            <v>DIA ÚTIL</v>
          </cell>
          <cell r="M1156">
            <v>2.462E-2</v>
          </cell>
          <cell r="N1156">
            <v>1.4229870911250402</v>
          </cell>
        </row>
        <row r="1157">
          <cell r="K1157">
            <v>43214</v>
          </cell>
          <cell r="L1157" t="str">
            <v>DIA ÚTIL</v>
          </cell>
          <cell r="M1157">
            <v>2.462E-2</v>
          </cell>
          <cell r="N1157">
            <v>1.4233374305468753</v>
          </cell>
        </row>
        <row r="1158">
          <cell r="K1158">
            <v>43215</v>
          </cell>
          <cell r="L1158" t="str">
            <v>DIA ÚTIL</v>
          </cell>
          <cell r="M1158">
            <v>2.462E-2</v>
          </cell>
          <cell r="N1158">
            <v>1.4236878562222761</v>
          </cell>
        </row>
        <row r="1159">
          <cell r="K1159">
            <v>43216</v>
          </cell>
          <cell r="L1159" t="str">
            <v>DIA ÚTIL</v>
          </cell>
          <cell r="M1159">
            <v>2.462E-2</v>
          </cell>
          <cell r="N1159">
            <v>1.4240383681724782</v>
          </cell>
        </row>
        <row r="1160">
          <cell r="K1160">
            <v>43217</v>
          </cell>
          <cell r="L1160" t="str">
            <v>DIA ÚTIL</v>
          </cell>
          <cell r="M1160">
            <v>2.462E-2</v>
          </cell>
          <cell r="N1160">
            <v>1.4243889664187224</v>
          </cell>
        </row>
        <row r="1161">
          <cell r="K1161">
            <v>43218</v>
          </cell>
          <cell r="M1161">
            <v>0</v>
          </cell>
          <cell r="N1161">
            <v>1.4243889664187224</v>
          </cell>
        </row>
        <row r="1162">
          <cell r="K1162">
            <v>43219</v>
          </cell>
          <cell r="M1162">
            <v>0</v>
          </cell>
          <cell r="N1162">
            <v>1.4243889664187224</v>
          </cell>
        </row>
        <row r="1163">
          <cell r="K1163">
            <v>43220</v>
          </cell>
          <cell r="L1163" t="str">
            <v>DIA ÚTIL</v>
          </cell>
          <cell r="M1163">
            <v>2.462E-2</v>
          </cell>
          <cell r="N1163">
            <v>1.4247396509822547</v>
          </cell>
        </row>
        <row r="1164">
          <cell r="K1164">
            <v>43221</v>
          </cell>
          <cell r="M1164">
            <v>0</v>
          </cell>
          <cell r="N1164">
            <v>1.4247396509822547</v>
          </cell>
        </row>
        <row r="1165">
          <cell r="K1165">
            <v>43222</v>
          </cell>
          <cell r="L1165" t="str">
            <v>DIA ÚTIL</v>
          </cell>
          <cell r="M1165">
            <v>2.462E-2</v>
          </cell>
          <cell r="N1165">
            <v>1.4250904218843268</v>
          </cell>
        </row>
        <row r="1166">
          <cell r="K1166">
            <v>43223</v>
          </cell>
          <cell r="L1166" t="str">
            <v>DIA ÚTIL</v>
          </cell>
          <cell r="M1166">
            <v>2.462E-2</v>
          </cell>
          <cell r="N1166">
            <v>1.4254412791461948</v>
          </cell>
        </row>
        <row r="1167">
          <cell r="K1167">
            <v>43224</v>
          </cell>
          <cell r="L1167" t="str">
            <v>DIA ÚTIL</v>
          </cell>
          <cell r="M1167">
            <v>2.462E-2</v>
          </cell>
          <cell r="N1167">
            <v>1.4257922227891207</v>
          </cell>
        </row>
        <row r="1168">
          <cell r="K1168">
            <v>43225</v>
          </cell>
          <cell r="M1168">
            <v>0</v>
          </cell>
          <cell r="N1168">
            <v>1.4257922227891207</v>
          </cell>
        </row>
        <row r="1169">
          <cell r="K1169">
            <v>43226</v>
          </cell>
          <cell r="M1169">
            <v>0</v>
          </cell>
          <cell r="N1169">
            <v>1.4257922227891207</v>
          </cell>
        </row>
        <row r="1170">
          <cell r="K1170">
            <v>43227</v>
          </cell>
          <cell r="L1170" t="str">
            <v>DIA ÚTIL</v>
          </cell>
          <cell r="M1170">
            <v>2.462E-2</v>
          </cell>
          <cell r="N1170">
            <v>1.4261432528343714</v>
          </cell>
        </row>
        <row r="1171">
          <cell r="K1171">
            <v>43228</v>
          </cell>
          <cell r="L1171" t="str">
            <v>DIA ÚTIL</v>
          </cell>
          <cell r="M1171">
            <v>2.462E-2</v>
          </cell>
          <cell r="N1171">
            <v>1.4264943693032193</v>
          </cell>
        </row>
        <row r="1172">
          <cell r="K1172">
            <v>43229</v>
          </cell>
          <cell r="L1172" t="str">
            <v>DIA ÚTIL</v>
          </cell>
          <cell r="M1172">
            <v>2.462E-2</v>
          </cell>
          <cell r="N1172">
            <v>1.4268455722169417</v>
          </cell>
        </row>
        <row r="1173">
          <cell r="K1173">
            <v>43230</v>
          </cell>
          <cell r="L1173" t="str">
            <v>DIA ÚTIL</v>
          </cell>
          <cell r="M1173">
            <v>2.462E-2</v>
          </cell>
          <cell r="N1173">
            <v>1.4271968615968216</v>
          </cell>
        </row>
        <row r="1174">
          <cell r="K1174">
            <v>43231</v>
          </cell>
          <cell r="L1174" t="str">
            <v>DIA ÚTIL</v>
          </cell>
          <cell r="M1174">
            <v>2.462E-2</v>
          </cell>
          <cell r="N1174">
            <v>1.4275482374641468</v>
          </cell>
        </row>
        <row r="1175">
          <cell r="K1175">
            <v>43232</v>
          </cell>
          <cell r="M1175">
            <v>0</v>
          </cell>
          <cell r="N1175">
            <v>1.4275482374641468</v>
          </cell>
        </row>
        <row r="1176">
          <cell r="K1176">
            <v>43233</v>
          </cell>
          <cell r="M1176">
            <v>0</v>
          </cell>
          <cell r="N1176">
            <v>1.4275482374641468</v>
          </cell>
        </row>
        <row r="1177">
          <cell r="K1177">
            <v>43234</v>
          </cell>
          <cell r="L1177" t="str">
            <v>DIA ÚTIL</v>
          </cell>
          <cell r="M1177">
            <v>2.462E-2</v>
          </cell>
          <cell r="N1177">
            <v>1.4278996998402107</v>
          </cell>
        </row>
        <row r="1178">
          <cell r="K1178">
            <v>43235</v>
          </cell>
          <cell r="L1178" t="str">
            <v>DIA ÚTIL</v>
          </cell>
          <cell r="M1178">
            <v>2.462E-2</v>
          </cell>
          <cell r="N1178">
            <v>1.4282512487463115</v>
          </cell>
        </row>
        <row r="1179">
          <cell r="K1179">
            <v>43236</v>
          </cell>
          <cell r="L1179" t="str">
            <v>DIA ÚTIL</v>
          </cell>
          <cell r="M1179">
            <v>2.462E-2</v>
          </cell>
          <cell r="N1179">
            <v>1.428602884203753</v>
          </cell>
        </row>
        <row r="1180">
          <cell r="K1180">
            <v>43237</v>
          </cell>
          <cell r="L1180" t="str">
            <v>DIA ÚTIL</v>
          </cell>
          <cell r="M1180">
            <v>2.462E-2</v>
          </cell>
          <cell r="N1180">
            <v>1.4289546062338441</v>
          </cell>
        </row>
        <row r="1181">
          <cell r="K1181">
            <v>43238</v>
          </cell>
          <cell r="L1181" t="str">
            <v>DIA ÚTIL</v>
          </cell>
          <cell r="M1181">
            <v>2.462E-2</v>
          </cell>
          <cell r="N1181">
            <v>1.4293064148578989</v>
          </cell>
        </row>
        <row r="1182">
          <cell r="K1182">
            <v>43239</v>
          </cell>
          <cell r="M1182">
            <v>0</v>
          </cell>
          <cell r="N1182">
            <v>1.4293064148578989</v>
          </cell>
        </row>
        <row r="1183">
          <cell r="K1183">
            <v>43240</v>
          </cell>
          <cell r="M1183">
            <v>0</v>
          </cell>
          <cell r="N1183">
            <v>1.4293064148578989</v>
          </cell>
        </row>
        <row r="1184">
          <cell r="K1184">
            <v>43241</v>
          </cell>
          <cell r="L1184" t="str">
            <v>DIA ÚTIL</v>
          </cell>
          <cell r="M1184">
            <v>2.462E-2</v>
          </cell>
          <cell r="N1184">
            <v>1.4296583100972371</v>
          </cell>
        </row>
        <row r="1185">
          <cell r="K1185">
            <v>43242</v>
          </cell>
          <cell r="L1185" t="str">
            <v>DIA ÚTIL</v>
          </cell>
          <cell r="M1185">
            <v>2.462E-2</v>
          </cell>
          <cell r="N1185">
            <v>1.4300102919731832</v>
          </cell>
        </row>
        <row r="1186">
          <cell r="K1186">
            <v>43243</v>
          </cell>
          <cell r="L1186" t="str">
            <v>DIA ÚTIL</v>
          </cell>
          <cell r="M1186">
            <v>2.462E-2</v>
          </cell>
          <cell r="N1186">
            <v>1.430362360507067</v>
          </cell>
        </row>
        <row r="1187">
          <cell r="K1187">
            <v>43244</v>
          </cell>
          <cell r="L1187" t="str">
            <v>DIA ÚTIL</v>
          </cell>
          <cell r="M1187">
            <v>2.462E-2</v>
          </cell>
          <cell r="N1187">
            <v>1.4307145157202239</v>
          </cell>
        </row>
        <row r="1188">
          <cell r="K1188">
            <v>43245</v>
          </cell>
          <cell r="L1188" t="str">
            <v>DIA ÚTIL</v>
          </cell>
          <cell r="M1188">
            <v>2.462E-2</v>
          </cell>
          <cell r="N1188">
            <v>1.4310667576339944</v>
          </cell>
        </row>
        <row r="1189">
          <cell r="K1189">
            <v>43246</v>
          </cell>
          <cell r="M1189">
            <v>0</v>
          </cell>
          <cell r="N1189">
            <v>1.4310667576339944</v>
          </cell>
        </row>
        <row r="1190">
          <cell r="K1190">
            <v>43247</v>
          </cell>
          <cell r="M1190">
            <v>0</v>
          </cell>
          <cell r="N1190">
            <v>1.4310667576339944</v>
          </cell>
        </row>
        <row r="1191">
          <cell r="K1191">
            <v>43248</v>
          </cell>
          <cell r="L1191" t="str">
            <v>DIA ÚTIL</v>
          </cell>
          <cell r="M1191">
            <v>2.462E-2</v>
          </cell>
          <cell r="N1191">
            <v>1.431419086269724</v>
          </cell>
        </row>
        <row r="1192">
          <cell r="K1192">
            <v>43249</v>
          </cell>
          <cell r="L1192" t="str">
            <v>DIA ÚTIL</v>
          </cell>
          <cell r="M1192">
            <v>2.462E-2</v>
          </cell>
          <cell r="N1192">
            <v>1.4317715016487638</v>
          </cell>
        </row>
        <row r="1193">
          <cell r="K1193">
            <v>43250</v>
          </cell>
          <cell r="L1193" t="str">
            <v>DIA ÚTIL</v>
          </cell>
          <cell r="M1193">
            <v>2.462E-2</v>
          </cell>
          <cell r="N1193">
            <v>1.4321240037924698</v>
          </cell>
        </row>
        <row r="1194">
          <cell r="K1194">
            <v>43251</v>
          </cell>
          <cell r="M1194">
            <v>0</v>
          </cell>
          <cell r="N1194">
            <v>1.4321240037924698</v>
          </cell>
        </row>
        <row r="1195">
          <cell r="K1195">
            <v>43252</v>
          </cell>
          <cell r="L1195" t="str">
            <v>DIA ÚTIL</v>
          </cell>
          <cell r="M1195">
            <v>2.462E-2</v>
          </cell>
          <cell r="N1195">
            <v>1.4324765927222036</v>
          </cell>
        </row>
        <row r="1196">
          <cell r="K1196">
            <v>43253</v>
          </cell>
          <cell r="M1196">
            <v>0</v>
          </cell>
          <cell r="N1196">
            <v>1.4324765927222036</v>
          </cell>
        </row>
        <row r="1197">
          <cell r="K1197">
            <v>43254</v>
          </cell>
          <cell r="M1197">
            <v>0</v>
          </cell>
          <cell r="N1197">
            <v>1.4324765927222036</v>
          </cell>
        </row>
        <row r="1198">
          <cell r="K1198">
            <v>43255</v>
          </cell>
          <cell r="L1198" t="str">
            <v>DIA ÚTIL</v>
          </cell>
          <cell r="M1198">
            <v>2.462E-2</v>
          </cell>
          <cell r="N1198">
            <v>1.432829268459332</v>
          </cell>
        </row>
        <row r="1199">
          <cell r="K1199">
            <v>43256</v>
          </cell>
          <cell r="L1199" t="str">
            <v>DIA ÚTIL</v>
          </cell>
          <cell r="M1199">
            <v>2.462E-2</v>
          </cell>
          <cell r="N1199">
            <v>1.4331820310252268</v>
          </cell>
        </row>
        <row r="1200">
          <cell r="K1200">
            <v>43257</v>
          </cell>
          <cell r="L1200" t="str">
            <v>DIA ÚTIL</v>
          </cell>
          <cell r="M1200">
            <v>2.462E-2</v>
          </cell>
          <cell r="N1200">
            <v>1.4335348804412653</v>
          </cell>
        </row>
        <row r="1201">
          <cell r="K1201">
            <v>43258</v>
          </cell>
          <cell r="L1201" t="str">
            <v>DIA ÚTIL</v>
          </cell>
          <cell r="M1201">
            <v>2.462E-2</v>
          </cell>
          <cell r="N1201">
            <v>1.43388781672883</v>
          </cell>
        </row>
        <row r="1202">
          <cell r="K1202">
            <v>43259</v>
          </cell>
          <cell r="L1202" t="str">
            <v>DIA ÚTIL</v>
          </cell>
          <cell r="M1202">
            <v>2.462E-2</v>
          </cell>
          <cell r="N1202">
            <v>1.4342408399093087</v>
          </cell>
        </row>
        <row r="1203">
          <cell r="K1203">
            <v>43260</v>
          </cell>
          <cell r="M1203">
            <v>0</v>
          </cell>
          <cell r="N1203">
            <v>1.4342408399093087</v>
          </cell>
        </row>
        <row r="1204">
          <cell r="K1204">
            <v>43261</v>
          </cell>
          <cell r="M1204">
            <v>0</v>
          </cell>
          <cell r="N1204">
            <v>1.4342408399093087</v>
          </cell>
        </row>
        <row r="1205">
          <cell r="K1205">
            <v>43262</v>
          </cell>
          <cell r="L1205" t="str">
            <v>DIA ÚTIL</v>
          </cell>
          <cell r="M1205">
            <v>2.462E-2</v>
          </cell>
          <cell r="N1205">
            <v>1.4345939500040945</v>
          </cell>
        </row>
        <row r="1206">
          <cell r="K1206">
            <v>43263</v>
          </cell>
          <cell r="L1206" t="str">
            <v>DIA ÚTIL</v>
          </cell>
          <cell r="M1206">
            <v>2.462E-2</v>
          </cell>
          <cell r="N1206">
            <v>1.4349471470345856</v>
          </cell>
        </row>
        <row r="1207">
          <cell r="K1207">
            <v>43264</v>
          </cell>
          <cell r="L1207" t="str">
            <v>DIA ÚTIL</v>
          </cell>
          <cell r="M1207">
            <v>2.462E-2</v>
          </cell>
          <cell r="N1207">
            <v>1.4353004310221855</v>
          </cell>
        </row>
        <row r="1208">
          <cell r="K1208">
            <v>43265</v>
          </cell>
          <cell r="L1208" t="str">
            <v>DIA ÚTIL</v>
          </cell>
          <cell r="M1208">
            <v>2.462E-2</v>
          </cell>
          <cell r="N1208">
            <v>1.4356538019883034</v>
          </cell>
        </row>
        <row r="1209">
          <cell r="K1209">
            <v>43266</v>
          </cell>
          <cell r="L1209" t="str">
            <v>DIA ÚTIL</v>
          </cell>
          <cell r="M1209">
            <v>2.462E-2</v>
          </cell>
          <cell r="N1209">
            <v>1.436007259954353</v>
          </cell>
        </row>
        <row r="1210">
          <cell r="K1210">
            <v>43267</v>
          </cell>
          <cell r="M1210">
            <v>0</v>
          </cell>
          <cell r="N1210">
            <v>1.436007259954353</v>
          </cell>
        </row>
        <row r="1211">
          <cell r="K1211">
            <v>43268</v>
          </cell>
          <cell r="M1211">
            <v>0</v>
          </cell>
          <cell r="N1211">
            <v>1.436007259954353</v>
          </cell>
        </row>
        <row r="1212">
          <cell r="K1212">
            <v>43269</v>
          </cell>
          <cell r="L1212" t="str">
            <v>DIA ÚTIL</v>
          </cell>
          <cell r="M1212">
            <v>2.462E-2</v>
          </cell>
          <cell r="N1212">
            <v>1.4363608049417538</v>
          </cell>
        </row>
        <row r="1213">
          <cell r="K1213">
            <v>43270</v>
          </cell>
          <cell r="L1213" t="str">
            <v>DIA ÚTIL</v>
          </cell>
          <cell r="M1213">
            <v>2.462E-2</v>
          </cell>
          <cell r="N1213">
            <v>1.4367144369719305</v>
          </cell>
        </row>
        <row r="1214">
          <cell r="K1214">
            <v>43271</v>
          </cell>
          <cell r="L1214" t="str">
            <v>DIA ÚTIL</v>
          </cell>
          <cell r="M1214">
            <v>2.462E-2</v>
          </cell>
          <cell r="N1214">
            <v>1.437068156066313</v>
          </cell>
        </row>
        <row r="1215">
          <cell r="K1215">
            <v>43272</v>
          </cell>
          <cell r="L1215" t="str">
            <v>DIA ÚTIL</v>
          </cell>
          <cell r="M1215">
            <v>2.462E-2</v>
          </cell>
          <cell r="N1215">
            <v>1.4374219622463367</v>
          </cell>
        </row>
        <row r="1216">
          <cell r="K1216">
            <v>43273</v>
          </cell>
          <cell r="L1216" t="str">
            <v>DIA ÚTIL</v>
          </cell>
          <cell r="M1216">
            <v>2.462E-2</v>
          </cell>
          <cell r="N1216">
            <v>1.4377758555334419</v>
          </cell>
        </row>
        <row r="1217">
          <cell r="K1217">
            <v>43274</v>
          </cell>
          <cell r="M1217">
            <v>0</v>
          </cell>
          <cell r="N1217">
            <v>1.4377758555334419</v>
          </cell>
        </row>
        <row r="1218">
          <cell r="K1218">
            <v>43275</v>
          </cell>
          <cell r="M1218">
            <v>0</v>
          </cell>
          <cell r="N1218">
            <v>1.4377758555334419</v>
          </cell>
        </row>
        <row r="1219">
          <cell r="K1219">
            <v>43276</v>
          </cell>
          <cell r="L1219" t="str">
            <v>DIA ÚTIL</v>
          </cell>
          <cell r="M1219">
            <v>2.462E-2</v>
          </cell>
          <cell r="N1219">
            <v>1.4381298359490744</v>
          </cell>
        </row>
        <row r="1220">
          <cell r="K1220">
            <v>43277</v>
          </cell>
          <cell r="L1220" t="str">
            <v>DIA ÚTIL</v>
          </cell>
          <cell r="M1220">
            <v>2.462E-2</v>
          </cell>
          <cell r="N1220">
            <v>1.4384839035146852</v>
          </cell>
        </row>
        <row r="1221">
          <cell r="K1221">
            <v>43278</v>
          </cell>
          <cell r="L1221" t="str">
            <v>DIA ÚTIL</v>
          </cell>
          <cell r="M1221">
            <v>2.462E-2</v>
          </cell>
          <cell r="N1221">
            <v>1.4388380582517306</v>
          </cell>
        </row>
        <row r="1222">
          <cell r="K1222">
            <v>43279</v>
          </cell>
          <cell r="L1222" t="str">
            <v>DIA ÚTIL</v>
          </cell>
          <cell r="M1222">
            <v>2.462E-2</v>
          </cell>
          <cell r="N1222">
            <v>1.4391923001816722</v>
          </cell>
        </row>
        <row r="1223">
          <cell r="K1223">
            <v>43280</v>
          </cell>
          <cell r="L1223" t="str">
            <v>DIA ÚTIL</v>
          </cell>
          <cell r="M1223">
            <v>2.462E-2</v>
          </cell>
          <cell r="N1223">
            <v>1.4395466293259771</v>
          </cell>
        </row>
        <row r="1224">
          <cell r="K1224">
            <v>43281</v>
          </cell>
          <cell r="M1224">
            <v>0</v>
          </cell>
          <cell r="N1224">
            <v>1.4395466293259771</v>
          </cell>
        </row>
        <row r="1225">
          <cell r="K1225">
            <v>43282</v>
          </cell>
          <cell r="M1225">
            <v>0</v>
          </cell>
          <cell r="N1225">
            <v>1.4395466293259771</v>
          </cell>
        </row>
        <row r="1226">
          <cell r="K1226">
            <v>43283</v>
          </cell>
          <cell r="L1226" t="str">
            <v>DIA ÚTIL</v>
          </cell>
          <cell r="M1226">
            <v>2.462E-2</v>
          </cell>
          <cell r="N1226">
            <v>1.4399010457061172</v>
          </cell>
        </row>
        <row r="1227">
          <cell r="K1227">
            <v>43284</v>
          </cell>
          <cell r="L1227" t="str">
            <v>DIA ÚTIL</v>
          </cell>
          <cell r="M1227">
            <v>2.462E-2</v>
          </cell>
          <cell r="N1227">
            <v>1.4402555493435703</v>
          </cell>
        </row>
        <row r="1228">
          <cell r="K1228">
            <v>43285</v>
          </cell>
          <cell r="L1228" t="str">
            <v>DIA ÚTIL</v>
          </cell>
          <cell r="M1228">
            <v>2.462E-2</v>
          </cell>
          <cell r="N1228">
            <v>1.4406101402598188</v>
          </cell>
        </row>
        <row r="1229">
          <cell r="K1229">
            <v>43286</v>
          </cell>
          <cell r="L1229" t="str">
            <v>DIA ÚTIL</v>
          </cell>
          <cell r="M1229">
            <v>2.462E-2</v>
          </cell>
          <cell r="N1229">
            <v>1.4409648184763508</v>
          </cell>
        </row>
        <row r="1230">
          <cell r="K1230">
            <v>43287</v>
          </cell>
          <cell r="L1230" t="str">
            <v>DIA ÚTIL</v>
          </cell>
          <cell r="M1230">
            <v>2.462E-2</v>
          </cell>
          <cell r="N1230">
            <v>1.4413195840146598</v>
          </cell>
        </row>
        <row r="1231">
          <cell r="K1231">
            <v>43288</v>
          </cell>
          <cell r="M1231">
            <v>0</v>
          </cell>
          <cell r="N1231">
            <v>1.4413195840146598</v>
          </cell>
        </row>
        <row r="1232">
          <cell r="K1232">
            <v>43289</v>
          </cell>
          <cell r="M1232">
            <v>0</v>
          </cell>
          <cell r="N1232">
            <v>1.4413195840146598</v>
          </cell>
        </row>
        <row r="1233">
          <cell r="K1233">
            <v>43290</v>
          </cell>
          <cell r="L1233" t="str">
            <v>DIA ÚTIL</v>
          </cell>
          <cell r="M1233">
            <v>2.462E-2</v>
          </cell>
          <cell r="N1233">
            <v>1.4416744368962442</v>
          </cell>
        </row>
        <row r="1234">
          <cell r="K1234">
            <v>43291</v>
          </cell>
          <cell r="L1234" t="str">
            <v>DIA ÚTIL</v>
          </cell>
          <cell r="M1234">
            <v>2.462E-2</v>
          </cell>
          <cell r="N1234">
            <v>1.4420293771426083</v>
          </cell>
        </row>
        <row r="1235">
          <cell r="K1235">
            <v>43292</v>
          </cell>
          <cell r="L1235" t="str">
            <v>DIA ÚTIL</v>
          </cell>
          <cell r="M1235">
            <v>2.462E-2</v>
          </cell>
          <cell r="N1235">
            <v>1.442384404775261</v>
          </cell>
        </row>
        <row r="1236">
          <cell r="K1236">
            <v>43293</v>
          </cell>
          <cell r="L1236" t="str">
            <v>DIA ÚTIL</v>
          </cell>
          <cell r="M1236">
            <v>2.462E-2</v>
          </cell>
          <cell r="N1236">
            <v>1.4427395198157167</v>
          </cell>
        </row>
        <row r="1237">
          <cell r="K1237">
            <v>43294</v>
          </cell>
          <cell r="L1237" t="str">
            <v>DIA ÚTIL</v>
          </cell>
          <cell r="M1237">
            <v>2.462E-2</v>
          </cell>
          <cell r="N1237">
            <v>1.4430947222854955</v>
          </cell>
        </row>
        <row r="1238">
          <cell r="K1238">
            <v>43295</v>
          </cell>
          <cell r="M1238">
            <v>0</v>
          </cell>
          <cell r="N1238">
            <v>1.4430947222854955</v>
          </cell>
        </row>
        <row r="1239">
          <cell r="K1239">
            <v>43296</v>
          </cell>
          <cell r="M1239">
            <v>0</v>
          </cell>
          <cell r="N1239">
            <v>1.4430947222854955</v>
          </cell>
        </row>
        <row r="1240">
          <cell r="K1240">
            <v>43297</v>
          </cell>
          <cell r="L1240" t="str">
            <v>DIA ÚTIL</v>
          </cell>
          <cell r="M1240">
            <v>2.462E-2</v>
          </cell>
          <cell r="N1240">
            <v>1.4434500122061222</v>
          </cell>
        </row>
        <row r="1241">
          <cell r="K1241">
            <v>43298</v>
          </cell>
          <cell r="L1241" t="str">
            <v>DIA ÚTIL</v>
          </cell>
          <cell r="M1241">
            <v>2.462E-2</v>
          </cell>
          <cell r="N1241">
            <v>1.4438053895991274</v>
          </cell>
        </row>
        <row r="1242">
          <cell r="K1242">
            <v>43299</v>
          </cell>
          <cell r="L1242" t="str">
            <v>DIA ÚTIL</v>
          </cell>
          <cell r="M1242">
            <v>2.462E-2</v>
          </cell>
          <cell r="N1242">
            <v>1.4441608544860469</v>
          </cell>
        </row>
        <row r="1243">
          <cell r="K1243">
            <v>43300</v>
          </cell>
          <cell r="L1243" t="str">
            <v>DIA ÚTIL</v>
          </cell>
          <cell r="M1243">
            <v>2.462E-2</v>
          </cell>
          <cell r="N1243">
            <v>1.4445164068884215</v>
          </cell>
        </row>
        <row r="1244">
          <cell r="K1244">
            <v>43301</v>
          </cell>
          <cell r="L1244" t="str">
            <v>DIA ÚTIL</v>
          </cell>
          <cell r="M1244">
            <v>2.462E-2</v>
          </cell>
          <cell r="N1244">
            <v>1.4448720468277976</v>
          </cell>
        </row>
        <row r="1245">
          <cell r="K1245">
            <v>43302</v>
          </cell>
          <cell r="M1245">
            <v>0</v>
          </cell>
          <cell r="N1245">
            <v>1.4448720468277976</v>
          </cell>
        </row>
        <row r="1246">
          <cell r="K1246">
            <v>43303</v>
          </cell>
          <cell r="M1246">
            <v>0</v>
          </cell>
          <cell r="N1246">
            <v>1.4448720468277976</v>
          </cell>
        </row>
        <row r="1247">
          <cell r="K1247">
            <v>43304</v>
          </cell>
          <cell r="L1247" t="str">
            <v>DIA ÚTIL</v>
          </cell>
          <cell r="M1247">
            <v>2.462E-2</v>
          </cell>
          <cell r="N1247">
            <v>1.4452277743257267</v>
          </cell>
        </row>
        <row r="1248">
          <cell r="K1248">
            <v>43305</v>
          </cell>
          <cell r="L1248" t="str">
            <v>DIA ÚTIL</v>
          </cell>
          <cell r="M1248">
            <v>2.462E-2</v>
          </cell>
          <cell r="N1248">
            <v>1.4455835894037659</v>
          </cell>
        </row>
        <row r="1249">
          <cell r="K1249">
            <v>43306</v>
          </cell>
          <cell r="L1249" t="str">
            <v>DIA ÚTIL</v>
          </cell>
          <cell r="M1249">
            <v>2.462E-2</v>
          </cell>
          <cell r="N1249">
            <v>1.4459394920834772</v>
          </cell>
        </row>
        <row r="1250">
          <cell r="K1250">
            <v>43307</v>
          </cell>
          <cell r="L1250" t="str">
            <v>DIA ÚTIL</v>
          </cell>
          <cell r="M1250">
            <v>2.462E-2</v>
          </cell>
          <cell r="N1250">
            <v>1.4462954823864282</v>
          </cell>
        </row>
        <row r="1251">
          <cell r="K1251">
            <v>43308</v>
          </cell>
          <cell r="L1251" t="str">
            <v>DIA ÚTIL</v>
          </cell>
          <cell r="M1251">
            <v>2.462E-2</v>
          </cell>
          <cell r="N1251">
            <v>1.4466515603341918</v>
          </cell>
        </row>
        <row r="1252">
          <cell r="K1252">
            <v>43309</v>
          </cell>
          <cell r="M1252">
            <v>0</v>
          </cell>
          <cell r="N1252">
            <v>1.4466515603341918</v>
          </cell>
        </row>
        <row r="1253">
          <cell r="K1253">
            <v>43310</v>
          </cell>
          <cell r="M1253">
            <v>0</v>
          </cell>
          <cell r="N1253">
            <v>1.4466515603341918</v>
          </cell>
        </row>
        <row r="1254">
          <cell r="K1254">
            <v>43311</v>
          </cell>
          <cell r="L1254" t="str">
            <v>DIA ÚTIL</v>
          </cell>
          <cell r="M1254">
            <v>2.462E-2</v>
          </cell>
          <cell r="N1254">
            <v>1.4470077259483463</v>
          </cell>
        </row>
        <row r="1255">
          <cell r="K1255">
            <v>43312</v>
          </cell>
          <cell r="L1255" t="str">
            <v>DIA ÚTIL</v>
          </cell>
          <cell r="M1255">
            <v>2.462E-2</v>
          </cell>
          <cell r="N1255">
            <v>1.4473639792504749</v>
          </cell>
        </row>
        <row r="1256">
          <cell r="K1256">
            <v>43313</v>
          </cell>
          <cell r="L1256" t="str">
            <v>DIA ÚTIL</v>
          </cell>
          <cell r="M1256">
            <v>2.462E-2</v>
          </cell>
          <cell r="N1256">
            <v>1.4477203202621665</v>
          </cell>
        </row>
        <row r="1257">
          <cell r="K1257">
            <v>43314</v>
          </cell>
          <cell r="L1257" t="str">
            <v>DIA ÚTIL</v>
          </cell>
          <cell r="M1257">
            <v>2.462E-2</v>
          </cell>
          <cell r="N1257">
            <v>1.448076749005015</v>
          </cell>
        </row>
        <row r="1258">
          <cell r="K1258">
            <v>43315</v>
          </cell>
          <cell r="L1258" t="str">
            <v>DIA ÚTIL</v>
          </cell>
          <cell r="M1258">
            <v>2.462E-2</v>
          </cell>
          <cell r="N1258">
            <v>1.4484332655006202</v>
          </cell>
        </row>
        <row r="1259">
          <cell r="K1259">
            <v>43316</v>
          </cell>
          <cell r="M1259">
            <v>0</v>
          </cell>
          <cell r="N1259">
            <v>1.4484332655006202</v>
          </cell>
        </row>
        <row r="1260">
          <cell r="K1260">
            <v>43317</v>
          </cell>
          <cell r="M1260">
            <v>0</v>
          </cell>
          <cell r="N1260">
            <v>1.4484332655006202</v>
          </cell>
        </row>
        <row r="1261">
          <cell r="K1261">
            <v>43318</v>
          </cell>
          <cell r="L1261" t="str">
            <v>DIA ÚTIL</v>
          </cell>
          <cell r="M1261">
            <v>2.462E-2</v>
          </cell>
          <cell r="N1261">
            <v>1.4487898697705865</v>
          </cell>
        </row>
        <row r="1262">
          <cell r="K1262">
            <v>43319</v>
          </cell>
          <cell r="L1262" t="str">
            <v>DIA ÚTIL</v>
          </cell>
          <cell r="M1262">
            <v>2.462E-2</v>
          </cell>
          <cell r="N1262">
            <v>1.4491465618365242</v>
          </cell>
        </row>
        <row r="1263">
          <cell r="K1263">
            <v>43320</v>
          </cell>
          <cell r="L1263" t="str">
            <v>DIA ÚTIL</v>
          </cell>
          <cell r="M1263">
            <v>2.462E-2</v>
          </cell>
          <cell r="N1263">
            <v>1.4495033417200485</v>
          </cell>
        </row>
        <row r="1264">
          <cell r="K1264">
            <v>43321</v>
          </cell>
          <cell r="L1264" t="str">
            <v>DIA ÚTIL</v>
          </cell>
          <cell r="M1264">
            <v>2.462E-2</v>
          </cell>
          <cell r="N1264">
            <v>1.4498602094427802</v>
          </cell>
        </row>
        <row r="1265">
          <cell r="K1265">
            <v>43322</v>
          </cell>
          <cell r="L1265" t="str">
            <v>DIA ÚTIL</v>
          </cell>
          <cell r="M1265">
            <v>2.462E-2</v>
          </cell>
          <cell r="N1265">
            <v>1.4502171650263451</v>
          </cell>
        </row>
        <row r="1266">
          <cell r="K1266">
            <v>43323</v>
          </cell>
          <cell r="M1266">
            <v>0</v>
          </cell>
          <cell r="N1266">
            <v>1.4502171650263451</v>
          </cell>
        </row>
        <row r="1267">
          <cell r="K1267">
            <v>43324</v>
          </cell>
          <cell r="M1267">
            <v>0</v>
          </cell>
          <cell r="N1267">
            <v>1.4502171650263451</v>
          </cell>
        </row>
        <row r="1268">
          <cell r="K1268">
            <v>43325</v>
          </cell>
          <cell r="L1268" t="str">
            <v>DIA ÚTIL</v>
          </cell>
          <cell r="M1268">
            <v>2.462E-2</v>
          </cell>
          <cell r="N1268">
            <v>1.4505742084923747</v>
          </cell>
        </row>
        <row r="1269">
          <cell r="K1269">
            <v>43326</v>
          </cell>
          <cell r="L1269" t="str">
            <v>DIA ÚTIL</v>
          </cell>
          <cell r="M1269">
            <v>2.462E-2</v>
          </cell>
          <cell r="N1269">
            <v>1.4509313398625057</v>
          </cell>
        </row>
        <row r="1270">
          <cell r="K1270">
            <v>43327</v>
          </cell>
          <cell r="L1270" t="str">
            <v>DIA ÚTIL</v>
          </cell>
          <cell r="M1270">
            <v>2.462E-2</v>
          </cell>
          <cell r="N1270">
            <v>1.45128855915838</v>
          </cell>
        </row>
        <row r="1271">
          <cell r="K1271">
            <v>43328</v>
          </cell>
          <cell r="L1271" t="str">
            <v>DIA ÚTIL</v>
          </cell>
          <cell r="M1271">
            <v>2.462E-2</v>
          </cell>
          <cell r="N1271">
            <v>1.4516458664016449</v>
          </cell>
        </row>
        <row r="1272">
          <cell r="K1272">
            <v>43329</v>
          </cell>
          <cell r="L1272" t="str">
            <v>DIA ÚTIL</v>
          </cell>
          <cell r="M1272">
            <v>2.462E-2</v>
          </cell>
          <cell r="N1272">
            <v>1.4520032616139531</v>
          </cell>
        </row>
        <row r="1273">
          <cell r="K1273">
            <v>43330</v>
          </cell>
          <cell r="M1273">
            <v>0</v>
          </cell>
          <cell r="N1273">
            <v>1.4520032616139531</v>
          </cell>
        </row>
        <row r="1274">
          <cell r="K1274">
            <v>43331</v>
          </cell>
          <cell r="M1274">
            <v>0</v>
          </cell>
          <cell r="N1274">
            <v>1.4520032616139531</v>
          </cell>
        </row>
        <row r="1275">
          <cell r="K1275">
            <v>43332</v>
          </cell>
          <cell r="L1275" t="str">
            <v>DIA ÚTIL</v>
          </cell>
          <cell r="M1275">
            <v>2.462E-2</v>
          </cell>
          <cell r="N1275">
            <v>1.4523607448169626</v>
          </cell>
        </row>
        <row r="1276">
          <cell r="K1276">
            <v>43333</v>
          </cell>
          <cell r="L1276" t="str">
            <v>DIA ÚTIL</v>
          </cell>
          <cell r="M1276">
            <v>2.462E-2</v>
          </cell>
          <cell r="N1276">
            <v>1.4527183160323367</v>
          </cell>
        </row>
        <row r="1277">
          <cell r="K1277">
            <v>43334</v>
          </cell>
          <cell r="L1277" t="str">
            <v>DIA ÚTIL</v>
          </cell>
          <cell r="M1277">
            <v>2.462E-2</v>
          </cell>
          <cell r="N1277">
            <v>1.4530759752817439</v>
          </cell>
        </row>
        <row r="1278">
          <cell r="K1278">
            <v>43335</v>
          </cell>
          <cell r="L1278" t="str">
            <v>DIA ÚTIL</v>
          </cell>
          <cell r="M1278">
            <v>2.462E-2</v>
          </cell>
          <cell r="N1278">
            <v>1.4534337225868583</v>
          </cell>
        </row>
        <row r="1279">
          <cell r="K1279">
            <v>43336</v>
          </cell>
          <cell r="L1279" t="str">
            <v>DIA ÚTIL</v>
          </cell>
          <cell r="M1279">
            <v>2.462E-2</v>
          </cell>
          <cell r="N1279">
            <v>1.4537915579693594</v>
          </cell>
        </row>
        <row r="1280">
          <cell r="K1280">
            <v>43337</v>
          </cell>
          <cell r="M1280">
            <v>0</v>
          </cell>
          <cell r="N1280">
            <v>1.4537915579693594</v>
          </cell>
        </row>
        <row r="1281">
          <cell r="K1281">
            <v>43338</v>
          </cell>
          <cell r="M1281">
            <v>0</v>
          </cell>
          <cell r="N1281">
            <v>1.4537915579693594</v>
          </cell>
        </row>
        <row r="1282">
          <cell r="K1282">
            <v>43339</v>
          </cell>
          <cell r="L1282" t="str">
            <v>DIA ÚTIL</v>
          </cell>
          <cell r="M1282">
            <v>2.462E-2</v>
          </cell>
          <cell r="N1282">
            <v>1.4541494814509317</v>
          </cell>
        </row>
        <row r="1283">
          <cell r="K1283">
            <v>43340</v>
          </cell>
          <cell r="L1283" t="str">
            <v>DIA ÚTIL</v>
          </cell>
          <cell r="M1283">
            <v>2.462E-2</v>
          </cell>
          <cell r="N1283">
            <v>1.4545074930532651</v>
          </cell>
        </row>
        <row r="1284">
          <cell r="K1284">
            <v>43341</v>
          </cell>
          <cell r="L1284" t="str">
            <v>DIA ÚTIL</v>
          </cell>
          <cell r="M1284">
            <v>2.462E-2</v>
          </cell>
          <cell r="N1284">
            <v>1.4548655927980549</v>
          </cell>
        </row>
        <row r="1285">
          <cell r="K1285">
            <v>43342</v>
          </cell>
          <cell r="L1285" t="str">
            <v>DIA ÚTIL</v>
          </cell>
          <cell r="M1285">
            <v>2.462E-2</v>
          </cell>
          <cell r="N1285">
            <v>1.4552237807070019</v>
          </cell>
        </row>
        <row r="1286">
          <cell r="K1286">
            <v>43343</v>
          </cell>
          <cell r="L1286" t="str">
            <v>DIA ÚTIL</v>
          </cell>
          <cell r="M1286">
            <v>2.462E-2</v>
          </cell>
          <cell r="N1286">
            <v>1.4555820568018121</v>
          </cell>
        </row>
        <row r="1287">
          <cell r="K1287">
            <v>43344</v>
          </cell>
          <cell r="M1287">
            <v>0</v>
          </cell>
          <cell r="N1287">
            <v>1.4555820568018121</v>
          </cell>
        </row>
        <row r="1288">
          <cell r="K1288">
            <v>43345</v>
          </cell>
          <cell r="M1288">
            <v>0</v>
          </cell>
          <cell r="N1288">
            <v>1.4555820568018121</v>
          </cell>
        </row>
        <row r="1289">
          <cell r="K1289">
            <v>43346</v>
          </cell>
          <cell r="L1289" t="str">
            <v>DIA ÚTIL</v>
          </cell>
          <cell r="M1289">
            <v>2.462E-2</v>
          </cell>
          <cell r="N1289">
            <v>1.4559404211041969</v>
          </cell>
        </row>
        <row r="1290">
          <cell r="K1290">
            <v>43347</v>
          </cell>
          <cell r="L1290" t="str">
            <v>DIA ÚTIL</v>
          </cell>
          <cell r="M1290">
            <v>2.462E-2</v>
          </cell>
          <cell r="N1290">
            <v>1.4562988736358728</v>
          </cell>
        </row>
        <row r="1291">
          <cell r="K1291">
            <v>43348</v>
          </cell>
          <cell r="L1291" t="str">
            <v>DIA ÚTIL</v>
          </cell>
          <cell r="M1291">
            <v>2.462E-2</v>
          </cell>
          <cell r="N1291">
            <v>1.4566574144185622</v>
          </cell>
        </row>
        <row r="1292">
          <cell r="K1292">
            <v>43349</v>
          </cell>
          <cell r="L1292" t="str">
            <v>DIA ÚTIL</v>
          </cell>
          <cell r="M1292">
            <v>2.462E-2</v>
          </cell>
          <cell r="N1292">
            <v>1.4570160434739923</v>
          </cell>
        </row>
        <row r="1293">
          <cell r="K1293">
            <v>43350</v>
          </cell>
          <cell r="M1293">
            <v>0</v>
          </cell>
          <cell r="N1293">
            <v>1.4570160434739923</v>
          </cell>
        </row>
        <row r="1294">
          <cell r="K1294">
            <v>43351</v>
          </cell>
          <cell r="M1294">
            <v>0</v>
          </cell>
          <cell r="N1294">
            <v>1.4570160434739923</v>
          </cell>
        </row>
        <row r="1295">
          <cell r="K1295">
            <v>43352</v>
          </cell>
          <cell r="M1295">
            <v>0</v>
          </cell>
          <cell r="N1295">
            <v>1.4570160434739923</v>
          </cell>
        </row>
        <row r="1296">
          <cell r="K1296">
            <v>43353</v>
          </cell>
          <cell r="L1296" t="str">
            <v>DIA ÚTIL</v>
          </cell>
          <cell r="M1296">
            <v>2.462E-2</v>
          </cell>
          <cell r="N1296">
            <v>1.4573747608238956</v>
          </cell>
        </row>
        <row r="1297">
          <cell r="K1297">
            <v>43354</v>
          </cell>
          <cell r="L1297" t="str">
            <v>DIA ÚTIL</v>
          </cell>
          <cell r="M1297">
            <v>2.462E-2</v>
          </cell>
          <cell r="N1297">
            <v>1.4577335664900106</v>
          </cell>
        </row>
        <row r="1298">
          <cell r="K1298">
            <v>43355</v>
          </cell>
          <cell r="L1298" t="str">
            <v>DIA ÚTIL</v>
          </cell>
          <cell r="M1298">
            <v>2.462E-2</v>
          </cell>
          <cell r="N1298">
            <v>1.4580924604940806</v>
          </cell>
        </row>
        <row r="1299">
          <cell r="K1299">
            <v>43356</v>
          </cell>
          <cell r="L1299" t="str">
            <v>DIA ÚTIL</v>
          </cell>
          <cell r="M1299">
            <v>2.462E-2</v>
          </cell>
          <cell r="N1299">
            <v>1.4584514428578543</v>
          </cell>
        </row>
        <row r="1300">
          <cell r="K1300">
            <v>43357</v>
          </cell>
          <cell r="L1300" t="str">
            <v>DIA ÚTIL</v>
          </cell>
          <cell r="M1300">
            <v>2.462E-2</v>
          </cell>
          <cell r="N1300">
            <v>1.458810513603086</v>
          </cell>
        </row>
        <row r="1301">
          <cell r="K1301">
            <v>43358</v>
          </cell>
          <cell r="M1301">
            <v>0</v>
          </cell>
          <cell r="N1301">
            <v>1.458810513603086</v>
          </cell>
        </row>
        <row r="1302">
          <cell r="K1302">
            <v>43359</v>
          </cell>
          <cell r="M1302">
            <v>0</v>
          </cell>
          <cell r="N1302">
            <v>1.458810513603086</v>
          </cell>
        </row>
        <row r="1303">
          <cell r="K1303">
            <v>43360</v>
          </cell>
          <cell r="L1303" t="str">
            <v>DIA ÚTIL</v>
          </cell>
          <cell r="M1303">
            <v>2.462E-2</v>
          </cell>
          <cell r="N1303">
            <v>1.4591696727515353</v>
          </cell>
        </row>
        <row r="1304">
          <cell r="K1304">
            <v>43361</v>
          </cell>
          <cell r="L1304" t="str">
            <v>DIA ÚTIL</v>
          </cell>
          <cell r="M1304">
            <v>2.462E-2</v>
          </cell>
          <cell r="N1304">
            <v>1.4595289203249668</v>
          </cell>
        </row>
        <row r="1305">
          <cell r="K1305">
            <v>43362</v>
          </cell>
          <cell r="L1305" t="str">
            <v>DIA ÚTIL</v>
          </cell>
          <cell r="M1305">
            <v>2.462E-2</v>
          </cell>
          <cell r="N1305">
            <v>1.459888256345151</v>
          </cell>
        </row>
        <row r="1306">
          <cell r="K1306">
            <v>43363</v>
          </cell>
          <cell r="L1306" t="str">
            <v>DIA ÚTIL</v>
          </cell>
          <cell r="M1306">
            <v>2.462E-2</v>
          </cell>
          <cell r="N1306">
            <v>1.4602476808338634</v>
          </cell>
        </row>
        <row r="1307">
          <cell r="K1307">
            <v>43364</v>
          </cell>
          <cell r="L1307" t="str">
            <v>DIA ÚTIL</v>
          </cell>
          <cell r="M1307">
            <v>2.462E-2</v>
          </cell>
          <cell r="N1307">
            <v>1.4606071938128848</v>
          </cell>
        </row>
        <row r="1308">
          <cell r="K1308">
            <v>43365</v>
          </cell>
          <cell r="M1308">
            <v>0</v>
          </cell>
          <cell r="N1308">
            <v>1.4606071938128848</v>
          </cell>
        </row>
        <row r="1309">
          <cell r="K1309">
            <v>43366</v>
          </cell>
          <cell r="M1309">
            <v>0</v>
          </cell>
          <cell r="N1309">
            <v>1.4606071938128848</v>
          </cell>
        </row>
        <row r="1310">
          <cell r="K1310">
            <v>43367</v>
          </cell>
          <cell r="L1310" t="str">
            <v>DIA ÚTIL</v>
          </cell>
          <cell r="M1310">
            <v>2.462E-2</v>
          </cell>
          <cell r="N1310">
            <v>1.4609667953040018</v>
          </cell>
        </row>
        <row r="1311">
          <cell r="K1311">
            <v>43368</v>
          </cell>
          <cell r="L1311" t="str">
            <v>DIA ÚTIL</v>
          </cell>
          <cell r="M1311">
            <v>2.462E-2</v>
          </cell>
          <cell r="N1311">
            <v>1.4613264853290058</v>
          </cell>
        </row>
        <row r="1312">
          <cell r="K1312">
            <v>43369</v>
          </cell>
          <cell r="L1312" t="str">
            <v>DIA ÚTIL</v>
          </cell>
          <cell r="M1312">
            <v>2.462E-2</v>
          </cell>
          <cell r="N1312">
            <v>1.4616862639096939</v>
          </cell>
        </row>
        <row r="1313">
          <cell r="K1313">
            <v>43370</v>
          </cell>
          <cell r="L1313" t="str">
            <v>DIA ÚTIL</v>
          </cell>
          <cell r="M1313">
            <v>2.462E-2</v>
          </cell>
          <cell r="N1313">
            <v>1.4620461310678685</v>
          </cell>
        </row>
        <row r="1314">
          <cell r="K1314">
            <v>43371</v>
          </cell>
          <cell r="L1314" t="str">
            <v>DIA ÚTIL</v>
          </cell>
          <cell r="M1314">
            <v>2.462E-2</v>
          </cell>
          <cell r="N1314">
            <v>1.4624060868253375</v>
          </cell>
        </row>
        <row r="1315">
          <cell r="K1315">
            <v>43372</v>
          </cell>
          <cell r="M1315">
            <v>0</v>
          </cell>
          <cell r="N1315">
            <v>1.4624060868253375</v>
          </cell>
        </row>
        <row r="1316">
          <cell r="K1316">
            <v>43373</v>
          </cell>
          <cell r="M1316">
            <v>0</v>
          </cell>
          <cell r="N1316">
            <v>1.4624060868253375</v>
          </cell>
        </row>
        <row r="1317">
          <cell r="K1317">
            <v>43374</v>
          </cell>
          <cell r="L1317" t="str">
            <v>DIA ÚTIL</v>
          </cell>
          <cell r="M1317">
            <v>2.462E-2</v>
          </cell>
          <cell r="N1317">
            <v>1.462766131203914</v>
          </cell>
        </row>
        <row r="1318">
          <cell r="K1318">
            <v>43375</v>
          </cell>
          <cell r="L1318" t="str">
            <v>DIA ÚTIL</v>
          </cell>
          <cell r="M1318">
            <v>2.462E-2</v>
          </cell>
          <cell r="N1318">
            <v>1.4631262642254166</v>
          </cell>
        </row>
        <row r="1319">
          <cell r="K1319">
            <v>43376</v>
          </cell>
          <cell r="L1319" t="str">
            <v>DIA ÚTIL</v>
          </cell>
          <cell r="M1319">
            <v>2.462E-2</v>
          </cell>
          <cell r="N1319">
            <v>1.463486485911669</v>
          </cell>
        </row>
        <row r="1320">
          <cell r="K1320">
            <v>43377</v>
          </cell>
          <cell r="L1320" t="str">
            <v>DIA ÚTIL</v>
          </cell>
          <cell r="M1320">
            <v>2.462E-2</v>
          </cell>
          <cell r="N1320">
            <v>1.4638467962845005</v>
          </cell>
        </row>
        <row r="1321">
          <cell r="K1321">
            <v>43378</v>
          </cell>
          <cell r="L1321" t="str">
            <v>DIA ÚTIL</v>
          </cell>
          <cell r="M1321">
            <v>2.462E-2</v>
          </cell>
          <cell r="N1321">
            <v>1.4642071953657458</v>
          </cell>
        </row>
        <row r="1322">
          <cell r="K1322">
            <v>43379</v>
          </cell>
          <cell r="M1322">
            <v>0</v>
          </cell>
          <cell r="N1322">
            <v>1.4642071953657458</v>
          </cell>
        </row>
        <row r="1323">
          <cell r="K1323">
            <v>43380</v>
          </cell>
          <cell r="M1323">
            <v>0</v>
          </cell>
          <cell r="N1323">
            <v>1.4642071953657458</v>
          </cell>
        </row>
        <row r="1324">
          <cell r="K1324">
            <v>43381</v>
          </cell>
          <cell r="L1324" t="str">
            <v>DIA ÚTIL</v>
          </cell>
          <cell r="M1324">
            <v>2.462E-2</v>
          </cell>
          <cell r="N1324">
            <v>1.4645676831772449</v>
          </cell>
        </row>
        <row r="1325">
          <cell r="K1325">
            <v>43382</v>
          </cell>
          <cell r="L1325" t="str">
            <v>DIA ÚTIL</v>
          </cell>
          <cell r="M1325">
            <v>2.462E-2</v>
          </cell>
          <cell r="N1325">
            <v>1.4649282597408433</v>
          </cell>
        </row>
        <row r="1326">
          <cell r="K1326">
            <v>43383</v>
          </cell>
          <cell r="L1326" t="str">
            <v>DIA ÚTIL</v>
          </cell>
          <cell r="M1326">
            <v>2.462E-2</v>
          </cell>
          <cell r="N1326">
            <v>1.4652889250783916</v>
          </cell>
        </row>
        <row r="1327">
          <cell r="K1327">
            <v>43384</v>
          </cell>
          <cell r="L1327" t="str">
            <v>DIA ÚTIL</v>
          </cell>
          <cell r="M1327">
            <v>2.462E-2</v>
          </cell>
          <cell r="N1327">
            <v>1.4656496792117459</v>
          </cell>
        </row>
        <row r="1328">
          <cell r="K1328">
            <v>43385</v>
          </cell>
          <cell r="M1328">
            <v>0</v>
          </cell>
          <cell r="N1328">
            <v>1.4656496792117459</v>
          </cell>
        </row>
        <row r="1329">
          <cell r="K1329">
            <v>43386</v>
          </cell>
          <cell r="M1329">
            <v>0</v>
          </cell>
          <cell r="N1329">
            <v>1.4656496792117459</v>
          </cell>
        </row>
        <row r="1330">
          <cell r="K1330">
            <v>43387</v>
          </cell>
          <cell r="M1330">
            <v>0</v>
          </cell>
          <cell r="N1330">
            <v>1.4656496792117459</v>
          </cell>
        </row>
        <row r="1331">
          <cell r="K1331">
            <v>43388</v>
          </cell>
          <cell r="L1331" t="str">
            <v>DIA ÚTIL</v>
          </cell>
          <cell r="M1331">
            <v>2.462E-2</v>
          </cell>
          <cell r="N1331">
            <v>1.4660105221627679</v>
          </cell>
        </row>
        <row r="1332">
          <cell r="K1332">
            <v>43389</v>
          </cell>
          <cell r="L1332" t="str">
            <v>DIA ÚTIL</v>
          </cell>
          <cell r="M1332">
            <v>2.462E-2</v>
          </cell>
          <cell r="N1332">
            <v>1.4663714539533246</v>
          </cell>
        </row>
        <row r="1333">
          <cell r="K1333">
            <v>43390</v>
          </cell>
          <cell r="L1333" t="str">
            <v>DIA ÚTIL</v>
          </cell>
          <cell r="M1333">
            <v>2.462E-2</v>
          </cell>
          <cell r="N1333">
            <v>1.4667324746052881</v>
          </cell>
        </row>
        <row r="1334">
          <cell r="K1334">
            <v>43391</v>
          </cell>
          <cell r="L1334" t="str">
            <v>DIA ÚTIL</v>
          </cell>
          <cell r="M1334">
            <v>2.462E-2</v>
          </cell>
          <cell r="N1334">
            <v>1.4670935841405361</v>
          </cell>
        </row>
        <row r="1335">
          <cell r="K1335">
            <v>43392</v>
          </cell>
          <cell r="L1335" t="str">
            <v>DIA ÚTIL</v>
          </cell>
          <cell r="M1335">
            <v>2.462E-2</v>
          </cell>
          <cell r="N1335">
            <v>1.4674547825809516</v>
          </cell>
        </row>
        <row r="1336">
          <cell r="K1336">
            <v>43393</v>
          </cell>
          <cell r="M1336">
            <v>0</v>
          </cell>
          <cell r="N1336">
            <v>1.4674547825809516</v>
          </cell>
        </row>
        <row r="1337">
          <cell r="K1337">
            <v>43394</v>
          </cell>
          <cell r="M1337">
            <v>0</v>
          </cell>
          <cell r="N1337">
            <v>1.4674547825809516</v>
          </cell>
        </row>
        <row r="1338">
          <cell r="K1338">
            <v>43395</v>
          </cell>
          <cell r="L1338" t="str">
            <v>DIA ÚTIL</v>
          </cell>
          <cell r="M1338">
            <v>2.462E-2</v>
          </cell>
          <cell r="N1338">
            <v>1.4678160699484233</v>
          </cell>
        </row>
        <row r="1339">
          <cell r="K1339">
            <v>43396</v>
          </cell>
          <cell r="L1339" t="str">
            <v>DIA ÚTIL</v>
          </cell>
          <cell r="M1339">
            <v>2.462E-2</v>
          </cell>
          <cell r="N1339">
            <v>1.4681774462648447</v>
          </cell>
        </row>
        <row r="1340">
          <cell r="K1340">
            <v>43397</v>
          </cell>
          <cell r="L1340" t="str">
            <v>DIA ÚTIL</v>
          </cell>
          <cell r="M1340">
            <v>2.462E-2</v>
          </cell>
          <cell r="N1340">
            <v>1.4685389115521152</v>
          </cell>
        </row>
        <row r="1341">
          <cell r="K1341">
            <v>43398</v>
          </cell>
          <cell r="L1341" t="str">
            <v>DIA ÚTIL</v>
          </cell>
          <cell r="M1341">
            <v>2.462E-2</v>
          </cell>
          <cell r="N1341">
            <v>1.4689004658321394</v>
          </cell>
        </row>
        <row r="1342">
          <cell r="K1342">
            <v>43399</v>
          </cell>
          <cell r="L1342" t="str">
            <v>DIA ÚTIL</v>
          </cell>
          <cell r="M1342">
            <v>2.462E-2</v>
          </cell>
          <cell r="N1342">
            <v>1.4692621091268274</v>
          </cell>
        </row>
        <row r="1343">
          <cell r="K1343">
            <v>43400</v>
          </cell>
          <cell r="M1343">
            <v>0</v>
          </cell>
          <cell r="N1343">
            <v>1.4692621091268274</v>
          </cell>
        </row>
        <row r="1344">
          <cell r="K1344">
            <v>43401</v>
          </cell>
          <cell r="M1344">
            <v>0</v>
          </cell>
          <cell r="N1344">
            <v>1.4692621091268274</v>
          </cell>
        </row>
        <row r="1345">
          <cell r="K1345">
            <v>43402</v>
          </cell>
          <cell r="L1345" t="str">
            <v>DIA ÚTIL</v>
          </cell>
          <cell r="M1345">
            <v>2.462E-2</v>
          </cell>
          <cell r="N1345">
            <v>1.4696238414580947</v>
          </cell>
        </row>
        <row r="1346">
          <cell r="K1346">
            <v>43403</v>
          </cell>
          <cell r="L1346" t="str">
            <v>DIA ÚTIL</v>
          </cell>
          <cell r="M1346">
            <v>2.462E-2</v>
          </cell>
          <cell r="N1346">
            <v>1.4699856628478618</v>
          </cell>
        </row>
        <row r="1347">
          <cell r="K1347">
            <v>43404</v>
          </cell>
          <cell r="L1347" t="str">
            <v>DIA ÚTIL</v>
          </cell>
          <cell r="M1347">
            <v>2.462E-2</v>
          </cell>
          <cell r="N1347">
            <v>1.4703475733180551</v>
          </cell>
        </row>
        <row r="1348">
          <cell r="K1348">
            <v>43405</v>
          </cell>
          <cell r="L1348" t="str">
            <v>DIA ÚTIL</v>
          </cell>
          <cell r="M1348">
            <v>2.462E-2</v>
          </cell>
          <cell r="N1348">
            <v>1.4707095728906061</v>
          </cell>
        </row>
        <row r="1349">
          <cell r="K1349">
            <v>43406</v>
          </cell>
          <cell r="M1349">
            <v>0</v>
          </cell>
          <cell r="N1349">
            <v>1.4707095728906061</v>
          </cell>
        </row>
        <row r="1350">
          <cell r="K1350">
            <v>43407</v>
          </cell>
          <cell r="M1350">
            <v>0</v>
          </cell>
          <cell r="N1350">
            <v>1.4707095728906061</v>
          </cell>
        </row>
        <row r="1351">
          <cell r="K1351">
            <v>43408</v>
          </cell>
          <cell r="M1351">
            <v>0</v>
          </cell>
          <cell r="N1351">
            <v>1.4707095728906061</v>
          </cell>
        </row>
        <row r="1352">
          <cell r="K1352">
            <v>43409</v>
          </cell>
          <cell r="L1352" t="str">
            <v>DIA ÚTIL</v>
          </cell>
          <cell r="M1352">
            <v>2.462E-2</v>
          </cell>
          <cell r="N1352">
            <v>1.471071661587452</v>
          </cell>
        </row>
        <row r="1353">
          <cell r="K1353">
            <v>43410</v>
          </cell>
          <cell r="L1353" t="str">
            <v>DIA ÚTIL</v>
          </cell>
          <cell r="M1353">
            <v>2.462E-2</v>
          </cell>
          <cell r="N1353">
            <v>1.4714338394305349</v>
          </cell>
        </row>
        <row r="1354">
          <cell r="K1354">
            <v>43411</v>
          </cell>
          <cell r="L1354" t="str">
            <v>DIA ÚTIL</v>
          </cell>
          <cell r="M1354">
            <v>2.462E-2</v>
          </cell>
          <cell r="N1354">
            <v>1.4717961064418028</v>
          </cell>
        </row>
        <row r="1355">
          <cell r="K1355">
            <v>43412</v>
          </cell>
          <cell r="L1355" t="str">
            <v>DIA ÚTIL</v>
          </cell>
          <cell r="M1355">
            <v>2.462E-2</v>
          </cell>
          <cell r="N1355">
            <v>1.4721584626432089</v>
          </cell>
        </row>
        <row r="1356">
          <cell r="K1356">
            <v>43413</v>
          </cell>
          <cell r="L1356" t="str">
            <v>DIA ÚTIL</v>
          </cell>
          <cell r="M1356">
            <v>2.462E-2</v>
          </cell>
          <cell r="N1356">
            <v>1.4725209080567119</v>
          </cell>
        </row>
        <row r="1357">
          <cell r="K1357">
            <v>43414</v>
          </cell>
          <cell r="M1357">
            <v>0</v>
          </cell>
          <cell r="N1357">
            <v>1.4725209080567119</v>
          </cell>
        </row>
        <row r="1358">
          <cell r="K1358">
            <v>43415</v>
          </cell>
          <cell r="M1358">
            <v>0</v>
          </cell>
          <cell r="N1358">
            <v>1.4725209080567119</v>
          </cell>
        </row>
        <row r="1359">
          <cell r="K1359">
            <v>43416</v>
          </cell>
          <cell r="L1359" t="str">
            <v>DIA ÚTIL</v>
          </cell>
          <cell r="M1359">
            <v>2.462E-2</v>
          </cell>
          <cell r="N1359">
            <v>1.4728834427042756</v>
          </cell>
        </row>
        <row r="1360">
          <cell r="K1360">
            <v>43417</v>
          </cell>
          <cell r="L1360" t="str">
            <v>DIA ÚTIL</v>
          </cell>
          <cell r="M1360">
            <v>2.462E-2</v>
          </cell>
          <cell r="N1360">
            <v>1.4732460666078695</v>
          </cell>
        </row>
        <row r="1361">
          <cell r="K1361">
            <v>43418</v>
          </cell>
          <cell r="L1361" t="str">
            <v>DIA ÚTIL</v>
          </cell>
          <cell r="M1361">
            <v>2.462E-2</v>
          </cell>
          <cell r="N1361">
            <v>1.4736087797894686</v>
          </cell>
        </row>
        <row r="1362">
          <cell r="K1362">
            <v>43419</v>
          </cell>
          <cell r="M1362">
            <v>0</v>
          </cell>
          <cell r="N1362">
            <v>1.4736087797894686</v>
          </cell>
        </row>
        <row r="1363">
          <cell r="K1363">
            <v>43420</v>
          </cell>
          <cell r="L1363" t="str">
            <v>DIA ÚTIL</v>
          </cell>
          <cell r="M1363">
            <v>2.462E-2</v>
          </cell>
          <cell r="N1363">
            <v>1.4739715822710528</v>
          </cell>
        </row>
        <row r="1364">
          <cell r="K1364">
            <v>43421</v>
          </cell>
          <cell r="M1364">
            <v>0</v>
          </cell>
          <cell r="N1364">
            <v>1.4739715822710528</v>
          </cell>
        </row>
        <row r="1365">
          <cell r="K1365">
            <v>43422</v>
          </cell>
          <cell r="M1365">
            <v>0</v>
          </cell>
          <cell r="N1365">
            <v>1.4739715822710528</v>
          </cell>
        </row>
        <row r="1366">
          <cell r="K1366">
            <v>43423</v>
          </cell>
          <cell r="L1366" t="str">
            <v>DIA ÚTIL</v>
          </cell>
          <cell r="M1366">
            <v>2.462E-2</v>
          </cell>
          <cell r="N1366">
            <v>1.474334474074608</v>
          </cell>
        </row>
        <row r="1367">
          <cell r="K1367">
            <v>43424</v>
          </cell>
          <cell r="L1367" t="str">
            <v>DIA ÚTIL</v>
          </cell>
          <cell r="M1367">
            <v>2.462E-2</v>
          </cell>
          <cell r="N1367">
            <v>1.4746974552221253</v>
          </cell>
        </row>
        <row r="1368">
          <cell r="K1368">
            <v>43425</v>
          </cell>
          <cell r="L1368" t="str">
            <v>DIA ÚTIL</v>
          </cell>
          <cell r="M1368">
            <v>2.462E-2</v>
          </cell>
          <cell r="N1368">
            <v>1.4750605257356011</v>
          </cell>
        </row>
        <row r="1369">
          <cell r="K1369">
            <v>43426</v>
          </cell>
          <cell r="L1369" t="str">
            <v>DIA ÚTIL</v>
          </cell>
          <cell r="M1369">
            <v>2.462E-2</v>
          </cell>
          <cell r="N1369">
            <v>1.4754236856370373</v>
          </cell>
        </row>
        <row r="1370">
          <cell r="K1370">
            <v>43427</v>
          </cell>
          <cell r="L1370" t="str">
            <v>DIA ÚTIL</v>
          </cell>
          <cell r="M1370">
            <v>2.462E-2</v>
          </cell>
          <cell r="N1370">
            <v>1.4757869349484412</v>
          </cell>
        </row>
        <row r="1371">
          <cell r="K1371">
            <v>43428</v>
          </cell>
          <cell r="M1371">
            <v>0</v>
          </cell>
          <cell r="N1371">
            <v>1.4757869349484412</v>
          </cell>
        </row>
        <row r="1372">
          <cell r="K1372">
            <v>43429</v>
          </cell>
          <cell r="M1372">
            <v>0</v>
          </cell>
          <cell r="N1372">
            <v>1.4757869349484412</v>
          </cell>
        </row>
        <row r="1373">
          <cell r="K1373">
            <v>43430</v>
          </cell>
          <cell r="L1373" t="str">
            <v>DIA ÚTIL</v>
          </cell>
          <cell r="M1373">
            <v>2.462E-2</v>
          </cell>
          <cell r="N1373">
            <v>1.4761502736918255</v>
          </cell>
        </row>
        <row r="1374">
          <cell r="K1374">
            <v>43431</v>
          </cell>
          <cell r="L1374" t="str">
            <v>DIA ÚTIL</v>
          </cell>
          <cell r="M1374">
            <v>2.462E-2</v>
          </cell>
          <cell r="N1374">
            <v>1.4765137018892085</v>
          </cell>
        </row>
        <row r="1375">
          <cell r="K1375">
            <v>43432</v>
          </cell>
          <cell r="L1375" t="str">
            <v>DIA ÚTIL</v>
          </cell>
          <cell r="M1375">
            <v>2.462E-2</v>
          </cell>
          <cell r="N1375">
            <v>1.4768772195626136</v>
          </cell>
        </row>
        <row r="1376">
          <cell r="K1376">
            <v>43433</v>
          </cell>
          <cell r="L1376" t="str">
            <v>DIA ÚTIL</v>
          </cell>
          <cell r="M1376">
            <v>2.462E-2</v>
          </cell>
          <cell r="N1376">
            <v>1.47724082673407</v>
          </cell>
        </row>
        <row r="1377">
          <cell r="K1377">
            <v>43434</v>
          </cell>
          <cell r="L1377" t="str">
            <v>DIA ÚTIL</v>
          </cell>
          <cell r="M1377">
            <v>2.462E-2</v>
          </cell>
          <cell r="N1377">
            <v>1.4776045234256121</v>
          </cell>
        </row>
        <row r="1378">
          <cell r="K1378">
            <v>43435</v>
          </cell>
          <cell r="M1378">
            <v>0</v>
          </cell>
          <cell r="N1378">
            <v>1.4776045234256121</v>
          </cell>
        </row>
        <row r="1379">
          <cell r="K1379">
            <v>43436</v>
          </cell>
          <cell r="M1379">
            <v>0</v>
          </cell>
          <cell r="N1379">
            <v>1.4776045234256121</v>
          </cell>
        </row>
        <row r="1380">
          <cell r="K1380">
            <v>43437</v>
          </cell>
          <cell r="L1380" t="str">
            <v>DIA ÚTIL</v>
          </cell>
          <cell r="M1380">
            <v>2.462E-2</v>
          </cell>
          <cell r="N1380">
            <v>1.4779683096592797</v>
          </cell>
        </row>
        <row r="1381">
          <cell r="K1381">
            <v>43438</v>
          </cell>
          <cell r="L1381" t="str">
            <v>DIA ÚTIL</v>
          </cell>
          <cell r="M1381">
            <v>2.462E-2</v>
          </cell>
          <cell r="N1381">
            <v>1.4783321854571179</v>
          </cell>
        </row>
        <row r="1382">
          <cell r="K1382">
            <v>43439</v>
          </cell>
          <cell r="L1382" t="str">
            <v>DIA ÚTIL</v>
          </cell>
          <cell r="M1382">
            <v>2.462E-2</v>
          </cell>
          <cell r="N1382">
            <v>1.4786961508411776</v>
          </cell>
        </row>
        <row r="1383">
          <cell r="K1383">
            <v>43440</v>
          </cell>
          <cell r="L1383" t="str">
            <v>DIA ÚTIL</v>
          </cell>
          <cell r="M1383">
            <v>2.462E-2</v>
          </cell>
          <cell r="N1383">
            <v>1.4790602058335147</v>
          </cell>
        </row>
        <row r="1384">
          <cell r="K1384">
            <v>43441</v>
          </cell>
          <cell r="L1384" t="str">
            <v>DIA ÚTIL</v>
          </cell>
          <cell r="M1384">
            <v>2.462E-2</v>
          </cell>
          <cell r="N1384">
            <v>1.479424350456191</v>
          </cell>
        </row>
        <row r="1385">
          <cell r="K1385">
            <v>43442</v>
          </cell>
          <cell r="M1385">
            <v>0</v>
          </cell>
          <cell r="N1385">
            <v>1.479424350456191</v>
          </cell>
        </row>
        <row r="1386">
          <cell r="K1386">
            <v>43443</v>
          </cell>
          <cell r="M1386">
            <v>0</v>
          </cell>
          <cell r="N1386">
            <v>1.479424350456191</v>
          </cell>
        </row>
        <row r="1387">
          <cell r="K1387">
            <v>43444</v>
          </cell>
          <cell r="L1387" t="str">
            <v>DIA ÚTIL</v>
          </cell>
          <cell r="M1387">
            <v>2.462E-2</v>
          </cell>
          <cell r="N1387">
            <v>1.4797885847312735</v>
          </cell>
        </row>
        <row r="1388">
          <cell r="K1388">
            <v>43445</v>
          </cell>
          <cell r="L1388" t="str">
            <v>DIA ÚTIL</v>
          </cell>
          <cell r="M1388">
            <v>2.462E-2</v>
          </cell>
          <cell r="N1388">
            <v>1.4801529086808345</v>
          </cell>
        </row>
        <row r="1389">
          <cell r="K1389">
            <v>43446</v>
          </cell>
          <cell r="L1389" t="str">
            <v>DIA ÚTIL</v>
          </cell>
          <cell r="M1389">
            <v>2.462E-2</v>
          </cell>
          <cell r="N1389">
            <v>1.4805173223269519</v>
          </cell>
        </row>
        <row r="1390">
          <cell r="K1390">
            <v>43447</v>
          </cell>
          <cell r="L1390" t="str">
            <v>DIA ÚTIL</v>
          </cell>
          <cell r="M1390">
            <v>2.462E-2</v>
          </cell>
          <cell r="N1390">
            <v>1.4808818256917089</v>
          </cell>
        </row>
        <row r="1391">
          <cell r="K1391">
            <v>43448</v>
          </cell>
          <cell r="L1391" t="str">
            <v>DIA ÚTIL</v>
          </cell>
          <cell r="M1391">
            <v>2.462E-2</v>
          </cell>
          <cell r="N1391">
            <v>1.4812464187971943</v>
          </cell>
        </row>
        <row r="1392">
          <cell r="K1392">
            <v>43449</v>
          </cell>
          <cell r="M1392">
            <v>0</v>
          </cell>
          <cell r="N1392">
            <v>1.4812464187971943</v>
          </cell>
        </row>
        <row r="1393">
          <cell r="K1393">
            <v>43450</v>
          </cell>
          <cell r="M1393">
            <v>0</v>
          </cell>
          <cell r="N1393">
            <v>1.4812464187971943</v>
          </cell>
        </row>
        <row r="1394">
          <cell r="K1394">
            <v>43451</v>
          </cell>
          <cell r="L1394" t="str">
            <v>DIA ÚTIL</v>
          </cell>
          <cell r="M1394">
            <v>2.462E-2</v>
          </cell>
          <cell r="N1394">
            <v>1.4816111016655023</v>
          </cell>
        </row>
        <row r="1395">
          <cell r="K1395">
            <v>43452</v>
          </cell>
          <cell r="L1395" t="str">
            <v>DIA ÚTIL</v>
          </cell>
          <cell r="M1395">
            <v>2.462E-2</v>
          </cell>
          <cell r="N1395">
            <v>1.4819758743187323</v>
          </cell>
        </row>
        <row r="1396">
          <cell r="K1396">
            <v>43453</v>
          </cell>
          <cell r="L1396" t="str">
            <v>DIA ÚTIL</v>
          </cell>
          <cell r="M1396">
            <v>2.462E-2</v>
          </cell>
          <cell r="N1396">
            <v>1.4823407367789898</v>
          </cell>
        </row>
        <row r="1397">
          <cell r="K1397">
            <v>43454</v>
          </cell>
          <cell r="L1397" t="str">
            <v>DIA ÚTIL</v>
          </cell>
          <cell r="M1397">
            <v>2.462E-2</v>
          </cell>
          <cell r="N1397">
            <v>1.482705689068385</v>
          </cell>
        </row>
        <row r="1398">
          <cell r="K1398">
            <v>43455</v>
          </cell>
          <cell r="L1398" t="str">
            <v>DIA ÚTIL</v>
          </cell>
          <cell r="M1398">
            <v>2.462E-2</v>
          </cell>
          <cell r="N1398">
            <v>1.4830707312090337</v>
          </cell>
        </row>
        <row r="1399">
          <cell r="K1399">
            <v>43456</v>
          </cell>
          <cell r="M1399">
            <v>0</v>
          </cell>
          <cell r="N1399">
            <v>1.4830707312090337</v>
          </cell>
        </row>
        <row r="1400">
          <cell r="K1400">
            <v>43457</v>
          </cell>
          <cell r="M1400">
            <v>0</v>
          </cell>
          <cell r="N1400">
            <v>1.4830707312090337</v>
          </cell>
        </row>
        <row r="1401">
          <cell r="K1401">
            <v>43458</v>
          </cell>
          <cell r="L1401" t="str">
            <v>DIA ÚTIL</v>
          </cell>
          <cell r="M1401">
            <v>2.462E-2</v>
          </cell>
          <cell r="N1401">
            <v>1.4834358632230575</v>
          </cell>
        </row>
        <row r="1402">
          <cell r="K1402">
            <v>43459</v>
          </cell>
          <cell r="M1402">
            <v>0</v>
          </cell>
          <cell r="N1402">
            <v>1.4834358632230575</v>
          </cell>
        </row>
        <row r="1403">
          <cell r="K1403">
            <v>43460</v>
          </cell>
          <cell r="L1403" t="str">
            <v>DIA ÚTIL</v>
          </cell>
          <cell r="M1403">
            <v>2.462E-2</v>
          </cell>
          <cell r="N1403">
            <v>1.4838010851325831</v>
          </cell>
        </row>
        <row r="1404">
          <cell r="K1404">
            <v>43461</v>
          </cell>
          <cell r="L1404" t="str">
            <v>DIA ÚTIL</v>
          </cell>
          <cell r="M1404">
            <v>2.462E-2</v>
          </cell>
          <cell r="N1404">
            <v>1.484166396959743</v>
          </cell>
        </row>
        <row r="1405">
          <cell r="K1405">
            <v>43462</v>
          </cell>
          <cell r="L1405" t="str">
            <v>DIA ÚTIL</v>
          </cell>
          <cell r="M1405">
            <v>2.462E-2</v>
          </cell>
          <cell r="N1405">
            <v>1.4845317987266746</v>
          </cell>
        </row>
        <row r="1406">
          <cell r="K1406">
            <v>43463</v>
          </cell>
          <cell r="M1406">
            <v>0</v>
          </cell>
          <cell r="N1406">
            <v>1.4845317987266746</v>
          </cell>
        </row>
        <row r="1407">
          <cell r="K1407">
            <v>43464</v>
          </cell>
          <cell r="M1407">
            <v>0</v>
          </cell>
          <cell r="N1407">
            <v>1.4845317987266746</v>
          </cell>
        </row>
        <row r="1408">
          <cell r="K1408">
            <v>43465</v>
          </cell>
          <cell r="L1408" t="str">
            <v>DIA ÚTIL</v>
          </cell>
          <cell r="M1408">
            <v>2.462E-2</v>
          </cell>
          <cell r="N1408">
            <v>1.4848972904555213</v>
          </cell>
        </row>
        <row r="1409">
          <cell r="K1409">
            <v>43466</v>
          </cell>
          <cell r="M1409">
            <v>0</v>
          </cell>
          <cell r="N1409">
            <v>1.4848972904555213</v>
          </cell>
        </row>
        <row r="1410">
          <cell r="K1410">
            <v>43467</v>
          </cell>
          <cell r="L1410" t="str">
            <v>DIA ÚTIL</v>
          </cell>
          <cell r="M1410">
            <v>2.462E-2</v>
          </cell>
          <cell r="N1410">
            <v>1.4852628721684316</v>
          </cell>
        </row>
        <row r="1411">
          <cell r="K1411">
            <v>43468</v>
          </cell>
          <cell r="L1411" t="str">
            <v>DIA ÚTIL</v>
          </cell>
          <cell r="M1411">
            <v>2.462E-2</v>
          </cell>
          <cell r="N1411">
            <v>1.4856285438875596</v>
          </cell>
        </row>
        <row r="1412">
          <cell r="K1412">
            <v>43469</v>
          </cell>
          <cell r="L1412" t="str">
            <v>DIA ÚTIL</v>
          </cell>
          <cell r="M1412">
            <v>2.462E-2</v>
          </cell>
          <cell r="N1412">
            <v>1.4859943056350648</v>
          </cell>
        </row>
        <row r="1413">
          <cell r="K1413">
            <v>43470</v>
          </cell>
          <cell r="M1413">
            <v>0</v>
          </cell>
          <cell r="N1413">
            <v>1.4859943056350648</v>
          </cell>
        </row>
        <row r="1414">
          <cell r="K1414">
            <v>43471</v>
          </cell>
          <cell r="M1414">
            <v>0</v>
          </cell>
          <cell r="N1414">
            <v>1.4859943056350648</v>
          </cell>
        </row>
        <row r="1415">
          <cell r="K1415">
            <v>43472</v>
          </cell>
          <cell r="L1415" t="str">
            <v>DIA ÚTIL</v>
          </cell>
          <cell r="M1415">
            <v>2.462E-2</v>
          </cell>
          <cell r="N1415">
            <v>1.4863601574331122</v>
          </cell>
        </row>
        <row r="1416">
          <cell r="K1416">
            <v>43473</v>
          </cell>
          <cell r="L1416" t="str">
            <v>DIA ÚTIL</v>
          </cell>
          <cell r="M1416">
            <v>2.462E-2</v>
          </cell>
          <cell r="N1416">
            <v>1.4867260993038725</v>
          </cell>
        </row>
        <row r="1417">
          <cell r="K1417">
            <v>43474</v>
          </cell>
          <cell r="L1417" t="str">
            <v>DIA ÚTIL</v>
          </cell>
          <cell r="M1417">
            <v>2.462E-2</v>
          </cell>
          <cell r="N1417">
            <v>1.4870921312695211</v>
          </cell>
        </row>
        <row r="1418">
          <cell r="K1418">
            <v>43475</v>
          </cell>
          <cell r="L1418" t="str">
            <v>DIA ÚTIL</v>
          </cell>
          <cell r="M1418">
            <v>2.462E-2</v>
          </cell>
          <cell r="N1418">
            <v>1.4874582533522398</v>
          </cell>
        </row>
        <row r="1419">
          <cell r="K1419">
            <v>43476</v>
          </cell>
          <cell r="L1419" t="str">
            <v>DIA ÚTIL</v>
          </cell>
          <cell r="M1419">
            <v>2.462E-2</v>
          </cell>
          <cell r="N1419">
            <v>1.4878244655742152</v>
          </cell>
        </row>
        <row r="1420">
          <cell r="K1420">
            <v>43477</v>
          </cell>
          <cell r="M1420">
            <v>0</v>
          </cell>
          <cell r="N1420">
            <v>1.4878244655742152</v>
          </cell>
        </row>
        <row r="1421">
          <cell r="K1421">
            <v>43478</v>
          </cell>
          <cell r="M1421">
            <v>0</v>
          </cell>
          <cell r="N1421">
            <v>1.4878244655742152</v>
          </cell>
        </row>
        <row r="1422">
          <cell r="K1422">
            <v>43479</v>
          </cell>
          <cell r="L1422" t="str">
            <v>DIA ÚTIL</v>
          </cell>
          <cell r="M1422">
            <v>2.462E-2</v>
          </cell>
          <cell r="N1422">
            <v>1.4881907679576396</v>
          </cell>
        </row>
        <row r="1423">
          <cell r="K1423">
            <v>43480</v>
          </cell>
          <cell r="L1423" t="str">
            <v>DIA ÚTIL</v>
          </cell>
          <cell r="M1423">
            <v>2.462E-2</v>
          </cell>
          <cell r="N1423">
            <v>1.488557160524711</v>
          </cell>
        </row>
        <row r="1424">
          <cell r="K1424">
            <v>43481</v>
          </cell>
          <cell r="L1424" t="str">
            <v>DIA ÚTIL</v>
          </cell>
          <cell r="M1424">
            <v>2.462E-2</v>
          </cell>
          <cell r="N1424">
            <v>1.4889236432976323</v>
          </cell>
        </row>
        <row r="1425">
          <cell r="K1425">
            <v>43482</v>
          </cell>
          <cell r="L1425" t="str">
            <v>DIA ÚTIL</v>
          </cell>
          <cell r="M1425">
            <v>2.462E-2</v>
          </cell>
          <cell r="N1425">
            <v>1.4892902162986124</v>
          </cell>
        </row>
        <row r="1426">
          <cell r="K1426">
            <v>43483</v>
          </cell>
          <cell r="L1426" t="str">
            <v>DIA ÚTIL</v>
          </cell>
          <cell r="M1426">
            <v>2.462E-2</v>
          </cell>
          <cell r="N1426">
            <v>1.4896568795498653</v>
          </cell>
        </row>
        <row r="1427">
          <cell r="K1427">
            <v>43484</v>
          </cell>
          <cell r="M1427">
            <v>0</v>
          </cell>
          <cell r="N1427">
            <v>1.4896568795498653</v>
          </cell>
        </row>
        <row r="1428">
          <cell r="K1428">
            <v>43485</v>
          </cell>
          <cell r="M1428">
            <v>0</v>
          </cell>
          <cell r="N1428">
            <v>1.4896568795498653</v>
          </cell>
        </row>
        <row r="1429">
          <cell r="K1429">
            <v>43486</v>
          </cell>
          <cell r="L1429" t="str">
            <v>DIA ÚTIL</v>
          </cell>
          <cell r="M1429">
            <v>2.462E-2</v>
          </cell>
          <cell r="N1429">
            <v>1.4900236330736105</v>
          </cell>
        </row>
        <row r="1430">
          <cell r="K1430">
            <v>43487</v>
          </cell>
          <cell r="L1430" t="str">
            <v>DIA ÚTIL</v>
          </cell>
          <cell r="M1430">
            <v>2.462E-2</v>
          </cell>
          <cell r="N1430">
            <v>1.4903904768920733</v>
          </cell>
        </row>
        <row r="1431">
          <cell r="K1431">
            <v>43488</v>
          </cell>
          <cell r="L1431" t="str">
            <v>DIA ÚTIL</v>
          </cell>
          <cell r="M1431">
            <v>2.462E-2</v>
          </cell>
          <cell r="N1431">
            <v>1.4907574110274842</v>
          </cell>
        </row>
        <row r="1432">
          <cell r="K1432">
            <v>43489</v>
          </cell>
          <cell r="L1432" t="str">
            <v>DIA ÚTIL</v>
          </cell>
          <cell r="M1432">
            <v>2.462E-2</v>
          </cell>
          <cell r="N1432">
            <v>1.4911244355020792</v>
          </cell>
        </row>
        <row r="1433">
          <cell r="K1433">
            <v>43490</v>
          </cell>
          <cell r="L1433" t="str">
            <v>DIA ÚTIL</v>
          </cell>
          <cell r="M1433">
            <v>2.462E-2</v>
          </cell>
          <cell r="N1433">
            <v>1.4914915503380999</v>
          </cell>
        </row>
        <row r="1434">
          <cell r="K1434">
            <v>43491</v>
          </cell>
          <cell r="M1434">
            <v>0</v>
          </cell>
          <cell r="N1434">
            <v>1.4914915503380999</v>
          </cell>
        </row>
        <row r="1435">
          <cell r="K1435">
            <v>43492</v>
          </cell>
          <cell r="M1435">
            <v>0</v>
          </cell>
          <cell r="N1435">
            <v>1.4914915503380999</v>
          </cell>
        </row>
        <row r="1436">
          <cell r="K1436">
            <v>43493</v>
          </cell>
          <cell r="L1436" t="str">
            <v>DIA ÚTIL</v>
          </cell>
          <cell r="M1436">
            <v>2.462E-2</v>
          </cell>
          <cell r="N1436">
            <v>1.4918587555577933</v>
          </cell>
        </row>
        <row r="1437">
          <cell r="K1437">
            <v>43494</v>
          </cell>
          <cell r="L1437" t="str">
            <v>DIA ÚTIL</v>
          </cell>
          <cell r="M1437">
            <v>2.462E-2</v>
          </cell>
          <cell r="N1437">
            <v>1.4922260511834118</v>
          </cell>
        </row>
        <row r="1438">
          <cell r="K1438">
            <v>43495</v>
          </cell>
          <cell r="L1438" t="str">
            <v>DIA ÚTIL</v>
          </cell>
          <cell r="M1438">
            <v>2.462E-2</v>
          </cell>
          <cell r="N1438">
            <v>1.4925934372372132</v>
          </cell>
        </row>
        <row r="1439">
          <cell r="K1439">
            <v>43496</v>
          </cell>
          <cell r="L1439" t="str">
            <v>DIA ÚTIL</v>
          </cell>
          <cell r="M1439">
            <v>2.462E-2</v>
          </cell>
          <cell r="N1439">
            <v>1.492960913741461</v>
          </cell>
        </row>
        <row r="1440">
          <cell r="K1440">
            <v>43497</v>
          </cell>
          <cell r="L1440" t="str">
            <v>DIA ÚTIL</v>
          </cell>
          <cell r="M1440">
            <v>2.462E-2</v>
          </cell>
          <cell r="N1440">
            <v>1.4933284807184244</v>
          </cell>
        </row>
        <row r="1441">
          <cell r="K1441">
            <v>43498</v>
          </cell>
          <cell r="M1441">
            <v>0</v>
          </cell>
          <cell r="N1441">
            <v>1.4933284807184244</v>
          </cell>
        </row>
        <row r="1442">
          <cell r="K1442">
            <v>43499</v>
          </cell>
          <cell r="M1442">
            <v>0</v>
          </cell>
          <cell r="N1442">
            <v>1.4933284807184244</v>
          </cell>
        </row>
        <row r="1443">
          <cell r="K1443">
            <v>43500</v>
          </cell>
          <cell r="L1443" t="str">
            <v>DIA ÚTIL</v>
          </cell>
          <cell r="M1443">
            <v>2.462E-2</v>
          </cell>
          <cell r="N1443">
            <v>1.4936961381903775</v>
          </cell>
        </row>
        <row r="1444">
          <cell r="K1444">
            <v>43501</v>
          </cell>
          <cell r="L1444" t="str">
            <v>DIA ÚTIL</v>
          </cell>
          <cell r="M1444">
            <v>2.462E-2</v>
          </cell>
          <cell r="N1444">
            <v>1.4940638861796001</v>
          </cell>
        </row>
        <row r="1445">
          <cell r="K1445">
            <v>43502</v>
          </cell>
          <cell r="L1445" t="str">
            <v>DIA ÚTIL</v>
          </cell>
          <cell r="M1445">
            <v>2.462E-2</v>
          </cell>
          <cell r="N1445">
            <v>1.4944317247083776</v>
          </cell>
        </row>
        <row r="1446">
          <cell r="K1446">
            <v>43503</v>
          </cell>
          <cell r="L1446" t="str">
            <v>DIA ÚTIL</v>
          </cell>
          <cell r="M1446">
            <v>2.462E-2</v>
          </cell>
          <cell r="N1446">
            <v>1.4947996537990009</v>
          </cell>
        </row>
        <row r="1447">
          <cell r="K1447">
            <v>43504</v>
          </cell>
          <cell r="L1447" t="str">
            <v>DIA ÚTIL</v>
          </cell>
          <cell r="M1447">
            <v>2.462E-2</v>
          </cell>
          <cell r="N1447">
            <v>1.4951676734737664</v>
          </cell>
        </row>
        <row r="1448">
          <cell r="K1448">
            <v>43505</v>
          </cell>
          <cell r="M1448">
            <v>0</v>
          </cell>
          <cell r="N1448">
            <v>1.4951676734737664</v>
          </cell>
        </row>
        <row r="1449">
          <cell r="K1449">
            <v>43506</v>
          </cell>
          <cell r="M1449">
            <v>0</v>
          </cell>
          <cell r="N1449">
            <v>1.4951676734737664</v>
          </cell>
        </row>
        <row r="1450">
          <cell r="K1450">
            <v>43507</v>
          </cell>
          <cell r="L1450" t="str">
            <v>DIA ÚTIL</v>
          </cell>
          <cell r="M1450">
            <v>2.462E-2</v>
          </cell>
          <cell r="N1450">
            <v>1.4955357837549759</v>
          </cell>
        </row>
        <row r="1451">
          <cell r="K1451">
            <v>43508</v>
          </cell>
          <cell r="L1451" t="str">
            <v>DIA ÚTIL</v>
          </cell>
          <cell r="M1451">
            <v>2.462E-2</v>
          </cell>
          <cell r="N1451">
            <v>1.4959039846649365</v>
          </cell>
        </row>
        <row r="1452">
          <cell r="K1452">
            <v>43509</v>
          </cell>
          <cell r="L1452" t="str">
            <v>DIA ÚTIL</v>
          </cell>
          <cell r="M1452">
            <v>2.462E-2</v>
          </cell>
          <cell r="N1452">
            <v>1.496272276225961</v>
          </cell>
        </row>
        <row r="1453">
          <cell r="K1453">
            <v>43510</v>
          </cell>
          <cell r="L1453" t="str">
            <v>DIA ÚTIL</v>
          </cell>
          <cell r="M1453">
            <v>2.462E-2</v>
          </cell>
          <cell r="N1453">
            <v>1.496640658460368</v>
          </cell>
        </row>
        <row r="1454">
          <cell r="K1454">
            <v>43511</v>
          </cell>
          <cell r="L1454" t="str">
            <v>DIA ÚTIL</v>
          </cell>
          <cell r="M1454">
            <v>2.462E-2</v>
          </cell>
          <cell r="N1454">
            <v>1.497009131390481</v>
          </cell>
        </row>
        <row r="1455">
          <cell r="K1455">
            <v>43512</v>
          </cell>
          <cell r="M1455">
            <v>0</v>
          </cell>
          <cell r="N1455">
            <v>1.497009131390481</v>
          </cell>
        </row>
        <row r="1456">
          <cell r="K1456">
            <v>43513</v>
          </cell>
          <cell r="M1456">
            <v>0</v>
          </cell>
          <cell r="N1456">
            <v>1.497009131390481</v>
          </cell>
        </row>
        <row r="1457">
          <cell r="K1457">
            <v>43514</v>
          </cell>
          <cell r="L1457" t="str">
            <v>DIA ÚTIL</v>
          </cell>
          <cell r="M1457">
            <v>2.462E-2</v>
          </cell>
          <cell r="N1457">
            <v>1.4973776950386295</v>
          </cell>
        </row>
        <row r="1458">
          <cell r="K1458">
            <v>43515</v>
          </cell>
          <cell r="L1458" t="str">
            <v>DIA ÚTIL</v>
          </cell>
          <cell r="M1458">
            <v>2.462E-2</v>
          </cell>
          <cell r="N1458">
            <v>1.4977463494271481</v>
          </cell>
        </row>
        <row r="1459">
          <cell r="K1459">
            <v>43516</v>
          </cell>
          <cell r="L1459" t="str">
            <v>DIA ÚTIL</v>
          </cell>
          <cell r="M1459">
            <v>2.462E-2</v>
          </cell>
          <cell r="N1459">
            <v>1.4981150945783772</v>
          </cell>
        </row>
        <row r="1460">
          <cell r="K1460">
            <v>43517</v>
          </cell>
          <cell r="L1460" t="str">
            <v>DIA ÚTIL</v>
          </cell>
          <cell r="M1460">
            <v>2.462E-2</v>
          </cell>
          <cell r="N1460">
            <v>1.4984839305146624</v>
          </cell>
        </row>
        <row r="1461">
          <cell r="K1461">
            <v>43518</v>
          </cell>
          <cell r="L1461" t="str">
            <v>DIA ÚTIL</v>
          </cell>
          <cell r="M1461">
            <v>2.462E-2</v>
          </cell>
          <cell r="N1461">
            <v>1.4988528572583553</v>
          </cell>
        </row>
        <row r="1462">
          <cell r="K1462">
            <v>43519</v>
          </cell>
          <cell r="M1462">
            <v>0</v>
          </cell>
          <cell r="N1462">
            <v>1.4988528572583553</v>
          </cell>
        </row>
        <row r="1463">
          <cell r="K1463">
            <v>43520</v>
          </cell>
          <cell r="M1463">
            <v>0</v>
          </cell>
          <cell r="N1463">
            <v>1.4988528572583553</v>
          </cell>
        </row>
        <row r="1464">
          <cell r="K1464">
            <v>43521</v>
          </cell>
          <cell r="L1464" t="str">
            <v>DIA ÚTIL</v>
          </cell>
          <cell r="M1464">
            <v>2.462E-2</v>
          </cell>
          <cell r="N1464">
            <v>1.4992218748318125</v>
          </cell>
        </row>
        <row r="1465">
          <cell r="K1465">
            <v>43522</v>
          </cell>
          <cell r="L1465" t="str">
            <v>DIA ÚTIL</v>
          </cell>
          <cell r="M1465">
            <v>2.462E-2</v>
          </cell>
          <cell r="N1465">
            <v>1.4995909832573961</v>
          </cell>
        </row>
        <row r="1466">
          <cell r="K1466">
            <v>43523</v>
          </cell>
          <cell r="L1466" t="str">
            <v>DIA ÚTIL</v>
          </cell>
          <cell r="M1466">
            <v>2.462E-2</v>
          </cell>
          <cell r="N1466">
            <v>1.4999601825574742</v>
          </cell>
        </row>
        <row r="1467">
          <cell r="K1467">
            <v>43524</v>
          </cell>
          <cell r="L1467" t="str">
            <v>DIA ÚTIL</v>
          </cell>
          <cell r="M1467">
            <v>2.462E-2</v>
          </cell>
          <cell r="N1467">
            <v>1.5003294727544201</v>
          </cell>
        </row>
        <row r="1468">
          <cell r="K1468">
            <v>43525</v>
          </cell>
          <cell r="L1468" t="str">
            <v>DIA ÚTIL</v>
          </cell>
          <cell r="M1468">
            <v>2.462E-2</v>
          </cell>
          <cell r="N1468">
            <v>1.5006988538706123</v>
          </cell>
        </row>
        <row r="1469">
          <cell r="K1469">
            <v>43526</v>
          </cell>
          <cell r="M1469">
            <v>0</v>
          </cell>
          <cell r="N1469">
            <v>1.5006988538706123</v>
          </cell>
        </row>
        <row r="1470">
          <cell r="K1470">
            <v>43527</v>
          </cell>
          <cell r="M1470">
            <v>0</v>
          </cell>
          <cell r="N1470">
            <v>1.5006988538706123</v>
          </cell>
        </row>
        <row r="1471">
          <cell r="K1471">
            <v>43528</v>
          </cell>
          <cell r="M1471">
            <v>0</v>
          </cell>
          <cell r="N1471">
            <v>1.5006988538706123</v>
          </cell>
        </row>
        <row r="1472">
          <cell r="K1472">
            <v>43529</v>
          </cell>
          <cell r="M1472">
            <v>0</v>
          </cell>
          <cell r="N1472">
            <v>1.5006988538706123</v>
          </cell>
        </row>
        <row r="1473">
          <cell r="K1473">
            <v>43530</v>
          </cell>
          <cell r="L1473" t="str">
            <v>DIA ÚTIL</v>
          </cell>
          <cell r="M1473">
            <v>2.462E-2</v>
          </cell>
          <cell r="N1473">
            <v>1.5010683259284354</v>
          </cell>
        </row>
        <row r="1474">
          <cell r="K1474">
            <v>43531</v>
          </cell>
          <cell r="L1474" t="str">
            <v>DIA ÚTIL</v>
          </cell>
          <cell r="M1474">
            <v>2.462E-2</v>
          </cell>
          <cell r="N1474">
            <v>1.5014378889502791</v>
          </cell>
        </row>
        <row r="1475">
          <cell r="K1475">
            <v>43532</v>
          </cell>
          <cell r="L1475" t="str">
            <v>DIA ÚTIL</v>
          </cell>
          <cell r="M1475">
            <v>2.462E-2</v>
          </cell>
          <cell r="N1475">
            <v>1.5018075429585387</v>
          </cell>
        </row>
        <row r="1476">
          <cell r="K1476">
            <v>43533</v>
          </cell>
          <cell r="M1476">
            <v>0</v>
          </cell>
          <cell r="N1476">
            <v>1.5018075429585387</v>
          </cell>
        </row>
        <row r="1477">
          <cell r="K1477">
            <v>43534</v>
          </cell>
          <cell r="M1477">
            <v>0</v>
          </cell>
          <cell r="N1477">
            <v>1.5018075429585387</v>
          </cell>
        </row>
        <row r="1478">
          <cell r="K1478">
            <v>43535</v>
          </cell>
          <cell r="L1478" t="str">
            <v>DIA ÚTIL</v>
          </cell>
          <cell r="M1478">
            <v>2.462E-2</v>
          </cell>
          <cell r="N1478">
            <v>1.5021772879756152</v>
          </cell>
        </row>
        <row r="1479">
          <cell r="K1479">
            <v>43536</v>
          </cell>
          <cell r="L1479" t="str">
            <v>DIA ÚTIL</v>
          </cell>
          <cell r="M1479">
            <v>2.462E-2</v>
          </cell>
          <cell r="N1479">
            <v>1.502547124023915</v>
          </cell>
        </row>
        <row r="1480">
          <cell r="K1480">
            <v>43537</v>
          </cell>
          <cell r="L1480" t="str">
            <v>DIA ÚTIL</v>
          </cell>
          <cell r="M1480">
            <v>2.462E-2</v>
          </cell>
          <cell r="N1480">
            <v>1.5029170511258498</v>
          </cell>
        </row>
        <row r="1481">
          <cell r="K1481">
            <v>43538</v>
          </cell>
          <cell r="L1481" t="str">
            <v>DIA ÚTIL</v>
          </cell>
          <cell r="M1481">
            <v>2.462E-2</v>
          </cell>
          <cell r="N1481">
            <v>1.5032870693038372</v>
          </cell>
        </row>
        <row r="1482">
          <cell r="K1482">
            <v>43539</v>
          </cell>
          <cell r="L1482" t="str">
            <v>DIA ÚTIL</v>
          </cell>
          <cell r="M1482">
            <v>2.462E-2</v>
          </cell>
          <cell r="N1482">
            <v>1.5036571785802999</v>
          </cell>
        </row>
        <row r="1483">
          <cell r="K1483">
            <v>43540</v>
          </cell>
          <cell r="M1483">
            <v>0</v>
          </cell>
          <cell r="N1483">
            <v>1.5036571785802999</v>
          </cell>
        </row>
        <row r="1484">
          <cell r="K1484">
            <v>43541</v>
          </cell>
          <cell r="M1484">
            <v>0</v>
          </cell>
          <cell r="N1484">
            <v>1.5036571785802999</v>
          </cell>
        </row>
        <row r="1485">
          <cell r="K1485">
            <v>43542</v>
          </cell>
          <cell r="L1485" t="str">
            <v>DIA ÚTIL</v>
          </cell>
          <cell r="M1485">
            <v>2.462E-2</v>
          </cell>
          <cell r="N1485">
            <v>1.5040273789776666</v>
          </cell>
        </row>
        <row r="1486">
          <cell r="K1486">
            <v>43543</v>
          </cell>
          <cell r="L1486" t="str">
            <v>DIA ÚTIL</v>
          </cell>
          <cell r="M1486">
            <v>2.462E-2</v>
          </cell>
          <cell r="N1486">
            <v>1.504397670518371</v>
          </cell>
        </row>
        <row r="1487">
          <cell r="K1487">
            <v>43544</v>
          </cell>
          <cell r="L1487" t="str">
            <v>DIA ÚTIL</v>
          </cell>
          <cell r="M1487">
            <v>2.462E-2</v>
          </cell>
          <cell r="N1487">
            <v>1.5047680532248529</v>
          </cell>
        </row>
        <row r="1488">
          <cell r="K1488">
            <v>43545</v>
          </cell>
          <cell r="L1488" t="str">
            <v>DIA ÚTIL</v>
          </cell>
          <cell r="M1488">
            <v>2.462E-2</v>
          </cell>
          <cell r="N1488">
            <v>1.505138527119557</v>
          </cell>
        </row>
        <row r="1489">
          <cell r="K1489">
            <v>43546</v>
          </cell>
          <cell r="L1489" t="str">
            <v>DIA ÚTIL</v>
          </cell>
          <cell r="M1489">
            <v>2.462E-2</v>
          </cell>
          <cell r="N1489">
            <v>1.5055090922249339</v>
          </cell>
        </row>
        <row r="1490">
          <cell r="K1490">
            <v>43547</v>
          </cell>
          <cell r="M1490">
            <v>0</v>
          </cell>
          <cell r="N1490">
            <v>1.5055090922249339</v>
          </cell>
        </row>
        <row r="1491">
          <cell r="K1491">
            <v>43548</v>
          </cell>
          <cell r="M1491">
            <v>0</v>
          </cell>
          <cell r="N1491">
            <v>1.5055090922249339</v>
          </cell>
        </row>
        <row r="1492">
          <cell r="K1492">
            <v>43549</v>
          </cell>
          <cell r="L1492" t="str">
            <v>DIA ÚTIL</v>
          </cell>
          <cell r="M1492">
            <v>2.462E-2</v>
          </cell>
          <cell r="N1492">
            <v>1.5058797485634399</v>
          </cell>
        </row>
        <row r="1493">
          <cell r="K1493">
            <v>43550</v>
          </cell>
          <cell r="L1493" t="str">
            <v>DIA ÚTIL</v>
          </cell>
          <cell r="M1493">
            <v>2.462E-2</v>
          </cell>
          <cell r="N1493">
            <v>1.5062504961575363</v>
          </cell>
        </row>
        <row r="1494">
          <cell r="K1494">
            <v>43551</v>
          </cell>
          <cell r="L1494" t="str">
            <v>DIA ÚTIL</v>
          </cell>
          <cell r="M1494">
            <v>2.462E-2</v>
          </cell>
          <cell r="N1494">
            <v>1.5066213350296904</v>
          </cell>
        </row>
        <row r="1495">
          <cell r="K1495">
            <v>43552</v>
          </cell>
          <cell r="L1495" t="str">
            <v>DIA ÚTIL</v>
          </cell>
          <cell r="M1495">
            <v>2.462E-2</v>
          </cell>
          <cell r="N1495">
            <v>1.5069922652023748</v>
          </cell>
        </row>
        <row r="1496">
          <cell r="K1496">
            <v>43553</v>
          </cell>
          <cell r="L1496" t="str">
            <v>DIA ÚTIL</v>
          </cell>
          <cell r="M1496">
            <v>2.462E-2</v>
          </cell>
          <cell r="N1496">
            <v>1.5073632866980677</v>
          </cell>
        </row>
        <row r="1497">
          <cell r="K1497">
            <v>43554</v>
          </cell>
          <cell r="M1497">
            <v>0</v>
          </cell>
          <cell r="N1497">
            <v>1.5073632866980677</v>
          </cell>
        </row>
        <row r="1498">
          <cell r="K1498">
            <v>43555</v>
          </cell>
          <cell r="M1498">
            <v>0</v>
          </cell>
          <cell r="N1498">
            <v>1.5073632866980677</v>
          </cell>
        </row>
        <row r="1499">
          <cell r="K1499">
            <v>43556</v>
          </cell>
          <cell r="L1499" t="str">
            <v>DIA ÚTIL</v>
          </cell>
          <cell r="M1499">
            <v>2.462E-2</v>
          </cell>
          <cell r="N1499">
            <v>1.5077343995392529</v>
          </cell>
        </row>
        <row r="1500">
          <cell r="K1500">
            <v>43557</v>
          </cell>
          <cell r="L1500" t="str">
            <v>DIA ÚTIL</v>
          </cell>
          <cell r="M1500">
            <v>2.462E-2</v>
          </cell>
          <cell r="N1500">
            <v>1.5081056037484195</v>
          </cell>
        </row>
        <row r="1501">
          <cell r="K1501">
            <v>43558</v>
          </cell>
          <cell r="L1501" t="str">
            <v>DIA ÚTIL</v>
          </cell>
          <cell r="M1501">
            <v>2.462E-2</v>
          </cell>
          <cell r="N1501">
            <v>1.5084768993480624</v>
          </cell>
        </row>
        <row r="1502">
          <cell r="K1502">
            <v>43559</v>
          </cell>
          <cell r="L1502" t="str">
            <v>DIA ÚTIL</v>
          </cell>
          <cell r="M1502">
            <v>2.462E-2</v>
          </cell>
          <cell r="N1502">
            <v>1.508848286360682</v>
          </cell>
        </row>
        <row r="1503">
          <cell r="K1503">
            <v>43560</v>
          </cell>
          <cell r="L1503" t="str">
            <v>DIA ÚTIL</v>
          </cell>
          <cell r="M1503">
            <v>2.462E-2</v>
          </cell>
          <cell r="N1503">
            <v>1.5092197648087842</v>
          </cell>
        </row>
        <row r="1504">
          <cell r="K1504">
            <v>43561</v>
          </cell>
          <cell r="M1504">
            <v>0</v>
          </cell>
          <cell r="N1504">
            <v>1.5092197648087842</v>
          </cell>
        </row>
        <row r="1505">
          <cell r="K1505">
            <v>43562</v>
          </cell>
          <cell r="M1505">
            <v>0</v>
          </cell>
          <cell r="N1505">
            <v>1.5092197648087842</v>
          </cell>
        </row>
        <row r="1506">
          <cell r="K1506">
            <v>43563</v>
          </cell>
          <cell r="L1506" t="str">
            <v>DIA ÚTIL</v>
          </cell>
          <cell r="M1506">
            <v>2.462E-2</v>
          </cell>
          <cell r="N1506">
            <v>1.5095913347148802</v>
          </cell>
        </row>
        <row r="1507">
          <cell r="K1507">
            <v>43564</v>
          </cell>
          <cell r="L1507" t="str">
            <v>DIA ÚTIL</v>
          </cell>
          <cell r="M1507">
            <v>2.462E-2</v>
          </cell>
          <cell r="N1507">
            <v>1.5099629961014871</v>
          </cell>
        </row>
        <row r="1508">
          <cell r="K1508">
            <v>43565</v>
          </cell>
          <cell r="L1508" t="str">
            <v>DIA ÚTIL</v>
          </cell>
          <cell r="M1508">
            <v>2.462E-2</v>
          </cell>
          <cell r="N1508">
            <v>1.5103347489911274</v>
          </cell>
        </row>
        <row r="1509">
          <cell r="K1509">
            <v>43566</v>
          </cell>
          <cell r="L1509" t="str">
            <v>DIA ÚTIL</v>
          </cell>
          <cell r="M1509">
            <v>2.462E-2</v>
          </cell>
          <cell r="N1509">
            <v>1.5107065934063291</v>
          </cell>
        </row>
        <row r="1510">
          <cell r="K1510">
            <v>43567</v>
          </cell>
          <cell r="L1510" t="str">
            <v>DIA ÚTIL</v>
          </cell>
          <cell r="M1510">
            <v>2.462E-2</v>
          </cell>
          <cell r="N1510">
            <v>1.5110785293696258</v>
          </cell>
        </row>
        <row r="1511">
          <cell r="K1511">
            <v>43568</v>
          </cell>
          <cell r="M1511">
            <v>0</v>
          </cell>
          <cell r="N1511">
            <v>1.5110785293696258</v>
          </cell>
        </row>
        <row r="1512">
          <cell r="K1512">
            <v>43569</v>
          </cell>
          <cell r="M1512">
            <v>0</v>
          </cell>
          <cell r="N1512">
            <v>1.5110785293696258</v>
          </cell>
        </row>
        <row r="1513">
          <cell r="K1513">
            <v>43570</v>
          </cell>
          <cell r="L1513" t="str">
            <v>DIA ÚTIL</v>
          </cell>
          <cell r="M1513">
            <v>2.462E-2</v>
          </cell>
          <cell r="N1513">
            <v>1.5114505569035568</v>
          </cell>
        </row>
        <row r="1514">
          <cell r="K1514">
            <v>43571</v>
          </cell>
          <cell r="L1514" t="str">
            <v>DIA ÚTIL</v>
          </cell>
          <cell r="M1514">
            <v>2.462E-2</v>
          </cell>
          <cell r="N1514">
            <v>1.5118226760306666</v>
          </cell>
        </row>
        <row r="1515">
          <cell r="K1515">
            <v>43572</v>
          </cell>
          <cell r="L1515" t="str">
            <v>DIA ÚTIL</v>
          </cell>
          <cell r="M1515">
            <v>2.462E-2</v>
          </cell>
          <cell r="N1515">
            <v>1.5121948867735053</v>
          </cell>
        </row>
        <row r="1516">
          <cell r="K1516">
            <v>43573</v>
          </cell>
          <cell r="L1516" t="str">
            <v>DIA ÚTIL</v>
          </cell>
          <cell r="M1516">
            <v>2.462E-2</v>
          </cell>
          <cell r="N1516">
            <v>1.5125671891546291</v>
          </cell>
        </row>
        <row r="1517">
          <cell r="K1517">
            <v>43574</v>
          </cell>
          <cell r="M1517">
            <v>0</v>
          </cell>
          <cell r="N1517">
            <v>1.5125671891546291</v>
          </cell>
        </row>
        <row r="1518">
          <cell r="K1518">
            <v>43575</v>
          </cell>
          <cell r="M1518">
            <v>0</v>
          </cell>
          <cell r="N1518">
            <v>1.5125671891546291</v>
          </cell>
        </row>
        <row r="1519">
          <cell r="K1519">
            <v>43576</v>
          </cell>
          <cell r="M1519">
            <v>0</v>
          </cell>
          <cell r="N1519">
            <v>1.5125671891546291</v>
          </cell>
        </row>
        <row r="1520">
          <cell r="K1520">
            <v>43577</v>
          </cell>
          <cell r="L1520" t="str">
            <v>DIA ÚTIL</v>
          </cell>
          <cell r="M1520">
            <v>2.462E-2</v>
          </cell>
          <cell r="N1520">
            <v>1.512939583196599</v>
          </cell>
        </row>
        <row r="1521">
          <cell r="K1521">
            <v>43578</v>
          </cell>
          <cell r="L1521" t="str">
            <v>DIA ÚTIL</v>
          </cell>
          <cell r="M1521">
            <v>2.462E-2</v>
          </cell>
          <cell r="N1521">
            <v>1.5133120689219821</v>
          </cell>
        </row>
        <row r="1522">
          <cell r="K1522">
            <v>43579</v>
          </cell>
          <cell r="L1522" t="str">
            <v>DIA ÚTIL</v>
          </cell>
          <cell r="M1522">
            <v>2.462E-2</v>
          </cell>
          <cell r="N1522">
            <v>1.5136846463533509</v>
          </cell>
        </row>
        <row r="1523">
          <cell r="K1523">
            <v>43580</v>
          </cell>
          <cell r="L1523" t="str">
            <v>DIA ÚTIL</v>
          </cell>
          <cell r="M1523">
            <v>2.462E-2</v>
          </cell>
          <cell r="N1523">
            <v>1.5140573155132833</v>
          </cell>
        </row>
        <row r="1524">
          <cell r="K1524">
            <v>43581</v>
          </cell>
          <cell r="L1524" t="str">
            <v>DIA ÚTIL</v>
          </cell>
          <cell r="M1524">
            <v>2.462E-2</v>
          </cell>
          <cell r="N1524">
            <v>1.5144300764243628</v>
          </cell>
        </row>
        <row r="1525">
          <cell r="K1525">
            <v>43582</v>
          </cell>
          <cell r="M1525">
            <v>0</v>
          </cell>
          <cell r="N1525">
            <v>1.5144300764243628</v>
          </cell>
        </row>
        <row r="1526">
          <cell r="K1526">
            <v>43583</v>
          </cell>
          <cell r="M1526">
            <v>0</v>
          </cell>
          <cell r="N1526">
            <v>1.5144300764243628</v>
          </cell>
        </row>
        <row r="1527">
          <cell r="K1527">
            <v>43584</v>
          </cell>
          <cell r="L1527" t="str">
            <v>DIA ÚTIL</v>
          </cell>
          <cell r="M1527">
            <v>2.462E-2</v>
          </cell>
          <cell r="N1527">
            <v>1.5148029291091787</v>
          </cell>
        </row>
        <row r="1528">
          <cell r="K1528">
            <v>43585</v>
          </cell>
          <cell r="L1528" t="str">
            <v>DIA ÚTIL</v>
          </cell>
          <cell r="M1528">
            <v>2.462E-2</v>
          </cell>
          <cell r="N1528">
            <v>1.5151758735903256</v>
          </cell>
        </row>
        <row r="1529">
          <cell r="K1529">
            <v>43586</v>
          </cell>
          <cell r="M1529">
            <v>0</v>
          </cell>
          <cell r="N1529">
            <v>1.5151758735903256</v>
          </cell>
        </row>
        <row r="1530">
          <cell r="K1530">
            <v>43587</v>
          </cell>
          <cell r="L1530" t="str">
            <v>DIA ÚTIL</v>
          </cell>
          <cell r="M1530">
            <v>2.462E-2</v>
          </cell>
          <cell r="N1530">
            <v>1.5155489098904036</v>
          </cell>
        </row>
        <row r="1531">
          <cell r="K1531">
            <v>43588</v>
          </cell>
          <cell r="L1531" t="str">
            <v>DIA ÚTIL</v>
          </cell>
          <cell r="M1531">
            <v>2.462E-2</v>
          </cell>
          <cell r="N1531">
            <v>1.5159220380320186</v>
          </cell>
        </row>
        <row r="1532">
          <cell r="K1532">
            <v>43589</v>
          </cell>
          <cell r="M1532">
            <v>0</v>
          </cell>
          <cell r="N1532">
            <v>1.5159220380320186</v>
          </cell>
        </row>
        <row r="1533">
          <cell r="K1533">
            <v>43590</v>
          </cell>
          <cell r="M1533">
            <v>0</v>
          </cell>
          <cell r="N1533">
            <v>1.5159220380320186</v>
          </cell>
        </row>
        <row r="1534">
          <cell r="K1534">
            <v>43591</v>
          </cell>
          <cell r="L1534" t="str">
            <v>DIA ÚTIL</v>
          </cell>
          <cell r="M1534">
            <v>2.462E-2</v>
          </cell>
          <cell r="N1534">
            <v>1.5162952580377822</v>
          </cell>
        </row>
        <row r="1535">
          <cell r="K1535">
            <v>43592</v>
          </cell>
          <cell r="L1535" t="str">
            <v>DIA ÚTIL</v>
          </cell>
          <cell r="M1535">
            <v>2.462E-2</v>
          </cell>
          <cell r="N1535">
            <v>1.5166685699303113</v>
          </cell>
        </row>
        <row r="1536">
          <cell r="K1536">
            <v>43593</v>
          </cell>
          <cell r="L1536" t="str">
            <v>DIA ÚTIL</v>
          </cell>
          <cell r="M1536">
            <v>2.462E-2</v>
          </cell>
          <cell r="N1536">
            <v>1.5170419737322283</v>
          </cell>
        </row>
        <row r="1537">
          <cell r="K1537">
            <v>43594</v>
          </cell>
          <cell r="L1537" t="str">
            <v>DIA ÚTIL</v>
          </cell>
          <cell r="M1537">
            <v>2.462E-2</v>
          </cell>
          <cell r="N1537">
            <v>1.5174154694661612</v>
          </cell>
        </row>
        <row r="1538">
          <cell r="K1538">
            <v>43595</v>
          </cell>
          <cell r="L1538" t="str">
            <v>DIA ÚTIL</v>
          </cell>
          <cell r="M1538">
            <v>2.462E-2</v>
          </cell>
          <cell r="N1538">
            <v>1.5177890571547439</v>
          </cell>
        </row>
        <row r="1539">
          <cell r="K1539">
            <v>43596</v>
          </cell>
          <cell r="M1539">
            <v>0</v>
          </cell>
          <cell r="N1539">
            <v>1.5177890571547439</v>
          </cell>
        </row>
        <row r="1540">
          <cell r="K1540">
            <v>43597</v>
          </cell>
          <cell r="M1540">
            <v>0</v>
          </cell>
          <cell r="N1540">
            <v>1.5177890571547439</v>
          </cell>
        </row>
        <row r="1541">
          <cell r="K1541">
            <v>43598</v>
          </cell>
          <cell r="L1541" t="str">
            <v>DIA ÚTIL</v>
          </cell>
          <cell r="M1541">
            <v>2.462E-2</v>
          </cell>
          <cell r="N1541">
            <v>1.5181627368206154</v>
          </cell>
        </row>
        <row r="1542">
          <cell r="K1542">
            <v>43599</v>
          </cell>
          <cell r="L1542" t="str">
            <v>DIA ÚTIL</v>
          </cell>
          <cell r="M1542">
            <v>2.462E-2</v>
          </cell>
          <cell r="N1542">
            <v>1.5185365084864209</v>
          </cell>
        </row>
        <row r="1543">
          <cell r="K1543">
            <v>43600</v>
          </cell>
          <cell r="L1543" t="str">
            <v>DIA ÚTIL</v>
          </cell>
          <cell r="M1543">
            <v>2.462E-2</v>
          </cell>
          <cell r="N1543">
            <v>1.5189103721748103</v>
          </cell>
        </row>
        <row r="1544">
          <cell r="K1544">
            <v>43601</v>
          </cell>
          <cell r="L1544" t="str">
            <v>DIA ÚTIL</v>
          </cell>
          <cell r="M1544">
            <v>2.462E-2</v>
          </cell>
          <cell r="N1544">
            <v>1.5192843279084398</v>
          </cell>
        </row>
        <row r="1545">
          <cell r="K1545">
            <v>43602</v>
          </cell>
          <cell r="L1545" t="str">
            <v>DIA ÚTIL</v>
          </cell>
          <cell r="M1545">
            <v>2.462E-2</v>
          </cell>
          <cell r="N1545">
            <v>1.5196583757099711</v>
          </cell>
        </row>
        <row r="1546">
          <cell r="K1546">
            <v>43603</v>
          </cell>
          <cell r="M1546">
            <v>0</v>
          </cell>
          <cell r="N1546">
            <v>1.5196583757099711</v>
          </cell>
        </row>
        <row r="1547">
          <cell r="K1547">
            <v>43604</v>
          </cell>
          <cell r="M1547">
            <v>0</v>
          </cell>
          <cell r="N1547">
            <v>1.5196583757099711</v>
          </cell>
        </row>
        <row r="1548">
          <cell r="K1548">
            <v>43605</v>
          </cell>
          <cell r="L1548" t="str">
            <v>DIA ÚTIL</v>
          </cell>
          <cell r="M1548">
            <v>2.462E-2</v>
          </cell>
          <cell r="N1548">
            <v>1.5200325156020711</v>
          </cell>
        </row>
        <row r="1549">
          <cell r="K1549">
            <v>43606</v>
          </cell>
          <cell r="L1549" t="str">
            <v>DIA ÚTIL</v>
          </cell>
          <cell r="M1549">
            <v>2.462E-2</v>
          </cell>
          <cell r="N1549">
            <v>1.5204067476074123</v>
          </cell>
        </row>
        <row r="1550">
          <cell r="K1550">
            <v>43607</v>
          </cell>
          <cell r="L1550" t="str">
            <v>DIA ÚTIL</v>
          </cell>
          <cell r="M1550">
            <v>2.462E-2</v>
          </cell>
          <cell r="N1550">
            <v>1.5207810717486734</v>
          </cell>
        </row>
        <row r="1551">
          <cell r="K1551">
            <v>43608</v>
          </cell>
          <cell r="L1551" t="str">
            <v>DIA ÚTIL</v>
          </cell>
          <cell r="M1551">
            <v>2.462E-2</v>
          </cell>
          <cell r="N1551">
            <v>1.5211554880485381</v>
          </cell>
        </row>
        <row r="1552">
          <cell r="K1552">
            <v>43609</v>
          </cell>
          <cell r="L1552" t="str">
            <v>DIA ÚTIL</v>
          </cell>
          <cell r="M1552">
            <v>2.462E-2</v>
          </cell>
          <cell r="N1552">
            <v>1.5215299965296958</v>
          </cell>
        </row>
        <row r="1553">
          <cell r="K1553">
            <v>43610</v>
          </cell>
          <cell r="M1553">
            <v>0</v>
          </cell>
          <cell r="N1553">
            <v>1.5215299965296958</v>
          </cell>
        </row>
        <row r="1554">
          <cell r="K1554">
            <v>43611</v>
          </cell>
          <cell r="M1554">
            <v>0</v>
          </cell>
          <cell r="N1554">
            <v>1.5215299965296958</v>
          </cell>
        </row>
        <row r="1555">
          <cell r="K1555">
            <v>43612</v>
          </cell>
          <cell r="L1555" t="str">
            <v>DIA ÚTIL</v>
          </cell>
          <cell r="M1555">
            <v>2.462E-2</v>
          </cell>
          <cell r="N1555">
            <v>1.5219045972148415</v>
          </cell>
        </row>
        <row r="1556">
          <cell r="K1556">
            <v>43613</v>
          </cell>
          <cell r="L1556" t="str">
            <v>DIA ÚTIL</v>
          </cell>
          <cell r="M1556">
            <v>2.462E-2</v>
          </cell>
          <cell r="N1556">
            <v>1.522279290126676</v>
          </cell>
        </row>
        <row r="1557">
          <cell r="K1557">
            <v>43614</v>
          </cell>
          <cell r="L1557" t="str">
            <v>DIA ÚTIL</v>
          </cell>
          <cell r="M1557">
            <v>2.462E-2</v>
          </cell>
          <cell r="N1557">
            <v>1.5226540752879052</v>
          </cell>
        </row>
        <row r="1558">
          <cell r="K1558">
            <v>43615</v>
          </cell>
          <cell r="L1558" t="str">
            <v>DIA ÚTIL</v>
          </cell>
          <cell r="M1558">
            <v>2.462E-2</v>
          </cell>
          <cell r="N1558">
            <v>1.5230289527212413</v>
          </cell>
        </row>
        <row r="1559">
          <cell r="K1559">
            <v>43616</v>
          </cell>
          <cell r="L1559" t="str">
            <v>DIA ÚTIL</v>
          </cell>
          <cell r="M1559">
            <v>2.462E-2</v>
          </cell>
          <cell r="N1559">
            <v>1.5234039224494014</v>
          </cell>
        </row>
        <row r="1560">
          <cell r="K1560">
            <v>43617</v>
          </cell>
          <cell r="M1560">
            <v>0</v>
          </cell>
          <cell r="N1560">
            <v>1.5234039224494014</v>
          </cell>
        </row>
        <row r="1561">
          <cell r="K1561">
            <v>43618</v>
          </cell>
          <cell r="M1561">
            <v>0</v>
          </cell>
          <cell r="N1561">
            <v>1.5234039224494014</v>
          </cell>
        </row>
        <row r="1562">
          <cell r="K1562">
            <v>43619</v>
          </cell>
          <cell r="L1562" t="str">
            <v>DIA ÚTIL</v>
          </cell>
          <cell r="M1562">
            <v>2.462E-2</v>
          </cell>
          <cell r="N1562">
            <v>1.5237789844951086</v>
          </cell>
        </row>
        <row r="1563">
          <cell r="K1563">
            <v>43620</v>
          </cell>
          <cell r="L1563" t="str">
            <v>DIA ÚTIL</v>
          </cell>
          <cell r="M1563">
            <v>2.462E-2</v>
          </cell>
          <cell r="N1563">
            <v>1.5241541388810915</v>
          </cell>
        </row>
        <row r="1564">
          <cell r="K1564">
            <v>43621</v>
          </cell>
          <cell r="L1564" t="str">
            <v>DIA ÚTIL</v>
          </cell>
          <cell r="M1564">
            <v>2.462E-2</v>
          </cell>
          <cell r="N1564">
            <v>1.5245293856300841</v>
          </cell>
        </row>
        <row r="1565">
          <cell r="K1565">
            <v>43622</v>
          </cell>
          <cell r="L1565" t="str">
            <v>DIA ÚTIL</v>
          </cell>
          <cell r="M1565">
            <v>2.462E-2</v>
          </cell>
          <cell r="N1565">
            <v>1.5249047247648264</v>
          </cell>
        </row>
        <row r="1566">
          <cell r="K1566">
            <v>43623</v>
          </cell>
          <cell r="L1566" t="str">
            <v>DIA ÚTIL</v>
          </cell>
          <cell r="M1566">
            <v>2.462E-2</v>
          </cell>
          <cell r="N1566">
            <v>1.5252801563080636</v>
          </cell>
        </row>
        <row r="1567">
          <cell r="K1567">
            <v>43624</v>
          </cell>
          <cell r="M1567">
            <v>0</v>
          </cell>
          <cell r="N1567">
            <v>1.5252801563080636</v>
          </cell>
        </row>
        <row r="1568">
          <cell r="K1568">
            <v>43625</v>
          </cell>
          <cell r="M1568">
            <v>0</v>
          </cell>
          <cell r="N1568">
            <v>1.5252801563080636</v>
          </cell>
        </row>
        <row r="1569">
          <cell r="K1569">
            <v>43626</v>
          </cell>
          <cell r="L1569" t="str">
            <v>DIA ÚTIL</v>
          </cell>
          <cell r="M1569">
            <v>2.462E-2</v>
          </cell>
          <cell r="N1569">
            <v>1.5256556802825467</v>
          </cell>
        </row>
        <row r="1570">
          <cell r="K1570">
            <v>43627</v>
          </cell>
          <cell r="L1570" t="str">
            <v>DIA ÚTIL</v>
          </cell>
          <cell r="M1570">
            <v>2.462E-2</v>
          </cell>
          <cell r="N1570">
            <v>1.5260312967110323</v>
          </cell>
        </row>
        <row r="1571">
          <cell r="K1571">
            <v>43628</v>
          </cell>
          <cell r="L1571" t="str">
            <v>DIA ÚTIL</v>
          </cell>
          <cell r="M1571">
            <v>2.462E-2</v>
          </cell>
          <cell r="N1571">
            <v>1.5264070056162826</v>
          </cell>
        </row>
        <row r="1572">
          <cell r="K1572">
            <v>43629</v>
          </cell>
          <cell r="L1572" t="str">
            <v>DIA ÚTIL</v>
          </cell>
          <cell r="M1572">
            <v>2.462E-2</v>
          </cell>
          <cell r="N1572">
            <v>1.5267828070210654</v>
          </cell>
        </row>
        <row r="1573">
          <cell r="K1573">
            <v>43630</v>
          </cell>
          <cell r="L1573" t="str">
            <v>DIA ÚTIL</v>
          </cell>
          <cell r="M1573">
            <v>2.462E-2</v>
          </cell>
          <cell r="N1573">
            <v>1.5271587009481542</v>
          </cell>
        </row>
        <row r="1574">
          <cell r="K1574">
            <v>43631</v>
          </cell>
          <cell r="M1574">
            <v>0</v>
          </cell>
          <cell r="N1574">
            <v>1.5271587009481542</v>
          </cell>
        </row>
        <row r="1575">
          <cell r="K1575">
            <v>43632</v>
          </cell>
          <cell r="M1575">
            <v>0</v>
          </cell>
          <cell r="N1575">
            <v>1.5271587009481542</v>
          </cell>
        </row>
        <row r="1576">
          <cell r="K1576">
            <v>43633</v>
          </cell>
          <cell r="L1576" t="str">
            <v>DIA ÚTIL</v>
          </cell>
          <cell r="M1576">
            <v>2.462E-2</v>
          </cell>
          <cell r="N1576">
            <v>1.5275346874203277</v>
          </cell>
        </row>
        <row r="1577">
          <cell r="K1577">
            <v>43634</v>
          </cell>
          <cell r="L1577" t="str">
            <v>DIA ÚTIL</v>
          </cell>
          <cell r="M1577">
            <v>2.462E-2</v>
          </cell>
          <cell r="N1577">
            <v>1.5279107664603708</v>
          </cell>
        </row>
        <row r="1578">
          <cell r="K1578">
            <v>43635</v>
          </cell>
          <cell r="L1578" t="str">
            <v>DIA ÚTIL</v>
          </cell>
          <cell r="M1578">
            <v>2.462E-2</v>
          </cell>
          <cell r="N1578">
            <v>1.5282869380910735</v>
          </cell>
        </row>
        <row r="1579">
          <cell r="K1579">
            <v>43636</v>
          </cell>
          <cell r="M1579">
            <v>0</v>
          </cell>
          <cell r="N1579">
            <v>1.5282869380910735</v>
          </cell>
        </row>
        <row r="1580">
          <cell r="K1580">
            <v>43637</v>
          </cell>
          <cell r="L1580" t="str">
            <v>DIA ÚTIL</v>
          </cell>
          <cell r="M1580">
            <v>2.462E-2</v>
          </cell>
          <cell r="N1580">
            <v>1.5286632023352316</v>
          </cell>
        </row>
        <row r="1581">
          <cell r="K1581">
            <v>43638</v>
          </cell>
          <cell r="M1581">
            <v>0</v>
          </cell>
          <cell r="N1581">
            <v>1.5286632023352316</v>
          </cell>
        </row>
        <row r="1582">
          <cell r="K1582">
            <v>43639</v>
          </cell>
          <cell r="M1582">
            <v>0</v>
          </cell>
          <cell r="N1582">
            <v>1.5286632023352316</v>
          </cell>
        </row>
        <row r="1583">
          <cell r="K1583">
            <v>43640</v>
          </cell>
          <cell r="L1583" t="str">
            <v>DIA ÚTIL</v>
          </cell>
          <cell r="M1583">
            <v>2.462E-2</v>
          </cell>
          <cell r="N1583">
            <v>1.5290395592156467</v>
          </cell>
        </row>
        <row r="1584">
          <cell r="K1584">
            <v>43641</v>
          </cell>
          <cell r="L1584" t="str">
            <v>DIA ÚTIL</v>
          </cell>
          <cell r="M1584">
            <v>2.462E-2</v>
          </cell>
          <cell r="N1584">
            <v>1.5294160087551258</v>
          </cell>
        </row>
        <row r="1585">
          <cell r="K1585">
            <v>43642</v>
          </cell>
          <cell r="L1585" t="str">
            <v>DIA ÚTIL</v>
          </cell>
          <cell r="M1585">
            <v>2.462E-2</v>
          </cell>
          <cell r="N1585">
            <v>1.5297925509764816</v>
          </cell>
        </row>
        <row r="1586">
          <cell r="K1586">
            <v>43643</v>
          </cell>
          <cell r="L1586" t="str">
            <v>DIA ÚTIL</v>
          </cell>
          <cell r="M1586">
            <v>2.462E-2</v>
          </cell>
          <cell r="N1586">
            <v>1.5301691859025321</v>
          </cell>
        </row>
        <row r="1587">
          <cell r="K1587">
            <v>43644</v>
          </cell>
          <cell r="L1587" t="str">
            <v>DIA ÚTIL</v>
          </cell>
          <cell r="M1587">
            <v>2.462E-2</v>
          </cell>
          <cell r="N1587">
            <v>1.5305459135561015</v>
          </cell>
        </row>
        <row r="1588">
          <cell r="K1588">
            <v>43645</v>
          </cell>
          <cell r="M1588">
            <v>0</v>
          </cell>
          <cell r="N1588">
            <v>1.5305459135561015</v>
          </cell>
        </row>
        <row r="1589">
          <cell r="K1589">
            <v>43646</v>
          </cell>
          <cell r="M1589">
            <v>0</v>
          </cell>
          <cell r="N1589">
            <v>1.5305459135561015</v>
          </cell>
        </row>
        <row r="1590">
          <cell r="K1590">
            <v>43647</v>
          </cell>
          <cell r="L1590" t="str">
            <v>DIA ÚTIL</v>
          </cell>
          <cell r="M1590">
            <v>2.462E-2</v>
          </cell>
          <cell r="N1590">
            <v>1.5309227339600191</v>
          </cell>
        </row>
        <row r="1591">
          <cell r="K1591">
            <v>43648</v>
          </cell>
          <cell r="L1591" t="str">
            <v>DIA ÚTIL</v>
          </cell>
          <cell r="M1591">
            <v>2.462E-2</v>
          </cell>
          <cell r="N1591">
            <v>1.5312996471371201</v>
          </cell>
        </row>
        <row r="1592">
          <cell r="K1592">
            <v>43649</v>
          </cell>
          <cell r="L1592" t="str">
            <v>DIA ÚTIL</v>
          </cell>
          <cell r="M1592">
            <v>2.462E-2</v>
          </cell>
          <cell r="N1592">
            <v>1.5316766531102455</v>
          </cell>
        </row>
        <row r="1593">
          <cell r="K1593">
            <v>43650</v>
          </cell>
          <cell r="L1593" t="str">
            <v>DIA ÚTIL</v>
          </cell>
          <cell r="M1593">
            <v>2.462E-2</v>
          </cell>
          <cell r="N1593">
            <v>1.5320537519022412</v>
          </cell>
        </row>
        <row r="1594">
          <cell r="K1594">
            <v>43651</v>
          </cell>
          <cell r="L1594" t="str">
            <v>DIA ÚTIL</v>
          </cell>
          <cell r="M1594">
            <v>2.462E-2</v>
          </cell>
          <cell r="N1594">
            <v>1.5324309435359598</v>
          </cell>
        </row>
        <row r="1595">
          <cell r="K1595">
            <v>43652</v>
          </cell>
          <cell r="M1595">
            <v>0</v>
          </cell>
          <cell r="N1595">
            <v>1.5324309435359598</v>
          </cell>
        </row>
        <row r="1596">
          <cell r="K1596">
            <v>43653</v>
          </cell>
          <cell r="M1596">
            <v>0</v>
          </cell>
          <cell r="N1596">
            <v>1.5324309435359598</v>
          </cell>
        </row>
        <row r="1597">
          <cell r="K1597">
            <v>43654</v>
          </cell>
          <cell r="L1597" t="str">
            <v>DIA ÚTIL</v>
          </cell>
          <cell r="M1597">
            <v>2.462E-2</v>
          </cell>
          <cell r="N1597">
            <v>1.5328082280342585</v>
          </cell>
        </row>
        <row r="1598">
          <cell r="K1598">
            <v>43655</v>
          </cell>
          <cell r="L1598" t="str">
            <v>DIA ÚTIL</v>
          </cell>
          <cell r="M1598">
            <v>2.462E-2</v>
          </cell>
          <cell r="N1598">
            <v>1.5331856054200006</v>
          </cell>
        </row>
        <row r="1599">
          <cell r="K1599">
            <v>43656</v>
          </cell>
          <cell r="L1599" t="str">
            <v>DIA ÚTIL</v>
          </cell>
          <cell r="M1599">
            <v>2.462E-2</v>
          </cell>
          <cell r="N1599">
            <v>1.5335630757160552</v>
          </cell>
        </row>
        <row r="1600">
          <cell r="K1600">
            <v>43657</v>
          </cell>
          <cell r="L1600" t="str">
            <v>DIA ÚTIL</v>
          </cell>
          <cell r="M1600">
            <v>2.462E-2</v>
          </cell>
          <cell r="N1600">
            <v>1.5339406389452965</v>
          </cell>
        </row>
        <row r="1601">
          <cell r="K1601">
            <v>43658</v>
          </cell>
          <cell r="L1601" t="str">
            <v>DIA ÚTIL</v>
          </cell>
          <cell r="M1601">
            <v>2.462E-2</v>
          </cell>
          <cell r="N1601">
            <v>1.5343182951306049</v>
          </cell>
        </row>
        <row r="1602">
          <cell r="K1602">
            <v>43659</v>
          </cell>
          <cell r="M1602">
            <v>0</v>
          </cell>
          <cell r="N1602">
            <v>1.5343182951306049</v>
          </cell>
        </row>
        <row r="1603">
          <cell r="K1603">
            <v>43660</v>
          </cell>
          <cell r="M1603">
            <v>0</v>
          </cell>
          <cell r="N1603">
            <v>1.5343182951306049</v>
          </cell>
        </row>
        <row r="1604">
          <cell r="K1604">
            <v>43661</v>
          </cell>
          <cell r="L1604" t="str">
            <v>DIA ÚTIL</v>
          </cell>
          <cell r="M1604">
            <v>2.462E-2</v>
          </cell>
          <cell r="N1604">
            <v>1.5346960442948663</v>
          </cell>
        </row>
        <row r="1605">
          <cell r="K1605">
            <v>43662</v>
          </cell>
          <cell r="L1605" t="str">
            <v>DIA ÚTIL</v>
          </cell>
          <cell r="M1605">
            <v>2.462E-2</v>
          </cell>
          <cell r="N1605">
            <v>1.5350738864609719</v>
          </cell>
        </row>
        <row r="1606">
          <cell r="K1606">
            <v>43663</v>
          </cell>
          <cell r="L1606" t="str">
            <v>DIA ÚTIL</v>
          </cell>
          <cell r="M1606">
            <v>2.462E-2</v>
          </cell>
          <cell r="N1606">
            <v>1.5354518216518187</v>
          </cell>
        </row>
        <row r="1607">
          <cell r="K1607">
            <v>43664</v>
          </cell>
          <cell r="L1607" t="str">
            <v>DIA ÚTIL</v>
          </cell>
          <cell r="M1607">
            <v>2.462E-2</v>
          </cell>
          <cell r="N1607">
            <v>1.5358298498903096</v>
          </cell>
        </row>
        <row r="1608">
          <cell r="K1608">
            <v>43665</v>
          </cell>
          <cell r="L1608" t="str">
            <v>DIA ÚTIL</v>
          </cell>
          <cell r="M1608">
            <v>2.462E-2</v>
          </cell>
          <cell r="N1608">
            <v>1.5362079711993526</v>
          </cell>
        </row>
        <row r="1609">
          <cell r="K1609">
            <v>43666</v>
          </cell>
          <cell r="M1609">
            <v>0</v>
          </cell>
          <cell r="N1609">
            <v>1.5362079711993526</v>
          </cell>
        </row>
        <row r="1610">
          <cell r="K1610">
            <v>43667</v>
          </cell>
          <cell r="M1610">
            <v>0</v>
          </cell>
          <cell r="N1610">
            <v>1.5362079711993526</v>
          </cell>
        </row>
        <row r="1611">
          <cell r="K1611">
            <v>43668</v>
          </cell>
          <cell r="L1611" t="str">
            <v>DIA ÚTIL</v>
          </cell>
          <cell r="M1611">
            <v>2.462E-2</v>
          </cell>
          <cell r="N1611">
            <v>1.5365861856018621</v>
          </cell>
        </row>
        <row r="1612">
          <cell r="K1612">
            <v>43669</v>
          </cell>
          <cell r="L1612" t="str">
            <v>DIA ÚTIL</v>
          </cell>
          <cell r="M1612">
            <v>2.462E-2</v>
          </cell>
          <cell r="N1612">
            <v>1.5369644931207573</v>
          </cell>
        </row>
        <row r="1613">
          <cell r="K1613">
            <v>43670</v>
          </cell>
          <cell r="L1613" t="str">
            <v>DIA ÚTIL</v>
          </cell>
          <cell r="M1613">
            <v>2.462E-2</v>
          </cell>
          <cell r="N1613">
            <v>1.5373428937789637</v>
          </cell>
        </row>
        <row r="1614">
          <cell r="K1614">
            <v>43671</v>
          </cell>
          <cell r="L1614" t="str">
            <v>DIA ÚTIL</v>
          </cell>
          <cell r="M1614">
            <v>2.462E-2</v>
          </cell>
          <cell r="N1614">
            <v>1.5377213875994122</v>
          </cell>
        </row>
        <row r="1615">
          <cell r="K1615">
            <v>43672</v>
          </cell>
          <cell r="L1615" t="str">
            <v>DIA ÚTIL</v>
          </cell>
          <cell r="M1615">
            <v>2.462E-2</v>
          </cell>
          <cell r="N1615">
            <v>1.5380999746050394</v>
          </cell>
        </row>
        <row r="1616">
          <cell r="K1616">
            <v>43673</v>
          </cell>
          <cell r="M1616">
            <v>0</v>
          </cell>
          <cell r="N1616">
            <v>1.5380999746050394</v>
          </cell>
        </row>
        <row r="1617">
          <cell r="K1617">
            <v>43674</v>
          </cell>
          <cell r="M1617">
            <v>0</v>
          </cell>
          <cell r="N1617">
            <v>1.5380999746050394</v>
          </cell>
        </row>
        <row r="1618">
          <cell r="K1618">
            <v>43675</v>
          </cell>
          <cell r="L1618" t="str">
            <v>DIA ÚTIL</v>
          </cell>
          <cell r="M1618">
            <v>2.462E-2</v>
          </cell>
          <cell r="N1618">
            <v>1.5384786548187874</v>
          </cell>
        </row>
        <row r="1619">
          <cell r="K1619">
            <v>43676</v>
          </cell>
          <cell r="L1619" t="str">
            <v>DIA ÚTIL</v>
          </cell>
          <cell r="M1619">
            <v>2.462E-2</v>
          </cell>
          <cell r="N1619">
            <v>1.5388574282636041</v>
          </cell>
        </row>
        <row r="1620">
          <cell r="K1620">
            <v>43677</v>
          </cell>
          <cell r="L1620" t="str">
            <v>DIA ÚTIL</v>
          </cell>
          <cell r="M1620">
            <v>2.462E-2</v>
          </cell>
          <cell r="N1620">
            <v>1.5392362949624427</v>
          </cell>
        </row>
        <row r="1621">
          <cell r="K1621">
            <v>43678</v>
          </cell>
          <cell r="L1621" t="str">
            <v>DIA ÚTIL</v>
          </cell>
          <cell r="M1621">
            <v>2.2751E-2</v>
          </cell>
          <cell r="N1621">
            <v>1.5395864866119096</v>
          </cell>
        </row>
        <row r="1622">
          <cell r="K1622">
            <v>43679</v>
          </cell>
          <cell r="L1622" t="str">
            <v>DIA ÚTIL</v>
          </cell>
          <cell r="M1622">
            <v>2.2751E-2</v>
          </cell>
          <cell r="N1622">
            <v>1.5399367579334786</v>
          </cell>
        </row>
        <row r="1623">
          <cell r="K1623">
            <v>43680</v>
          </cell>
          <cell r="M1623">
            <v>0</v>
          </cell>
          <cell r="N1623">
            <v>1.5399367579334786</v>
          </cell>
        </row>
        <row r="1624">
          <cell r="K1624">
            <v>43681</v>
          </cell>
          <cell r="M1624">
            <v>0</v>
          </cell>
          <cell r="N1624">
            <v>1.5399367579334786</v>
          </cell>
        </row>
        <row r="1625">
          <cell r="K1625">
            <v>43682</v>
          </cell>
          <cell r="L1625" t="str">
            <v>DIA ÚTIL</v>
          </cell>
          <cell r="M1625">
            <v>2.2751E-2</v>
          </cell>
          <cell r="N1625">
            <v>1.5402871089452761</v>
          </cell>
        </row>
        <row r="1626">
          <cell r="K1626">
            <v>43683</v>
          </cell>
          <cell r="L1626" t="str">
            <v>DIA ÚTIL</v>
          </cell>
          <cell r="M1626">
            <v>2.2751E-2</v>
          </cell>
          <cell r="N1626">
            <v>1.5406375396654322</v>
          </cell>
        </row>
        <row r="1627">
          <cell r="K1627">
            <v>43684</v>
          </cell>
          <cell r="L1627" t="str">
            <v>DIA ÚTIL</v>
          </cell>
          <cell r="M1627">
            <v>2.2751E-2</v>
          </cell>
          <cell r="N1627">
            <v>1.5409880501120814</v>
          </cell>
        </row>
        <row r="1628">
          <cell r="K1628">
            <v>43685</v>
          </cell>
          <cell r="L1628" t="str">
            <v>DIA ÚTIL</v>
          </cell>
          <cell r="M1628">
            <v>2.2751E-2</v>
          </cell>
          <cell r="N1628">
            <v>1.5413386403033624</v>
          </cell>
        </row>
        <row r="1629">
          <cell r="K1629">
            <v>43686</v>
          </cell>
          <cell r="L1629" t="str">
            <v>DIA ÚTIL</v>
          </cell>
          <cell r="M1629">
            <v>2.2751E-2</v>
          </cell>
          <cell r="N1629">
            <v>1.5416893102574178</v>
          </cell>
        </row>
        <row r="1630">
          <cell r="K1630">
            <v>43687</v>
          </cell>
          <cell r="M1630">
            <v>0</v>
          </cell>
          <cell r="N1630">
            <v>1.5416893102574178</v>
          </cell>
        </row>
        <row r="1631">
          <cell r="K1631">
            <v>43688</v>
          </cell>
          <cell r="M1631">
            <v>0</v>
          </cell>
          <cell r="N1631">
            <v>1.5416893102574178</v>
          </cell>
        </row>
        <row r="1632">
          <cell r="K1632">
            <v>43689</v>
          </cell>
          <cell r="L1632" t="str">
            <v>DIA ÚTIL</v>
          </cell>
          <cell r="M1632">
            <v>2.2751E-2</v>
          </cell>
          <cell r="N1632">
            <v>1.5420400599923945</v>
          </cell>
        </row>
        <row r="1633">
          <cell r="K1633">
            <v>43690</v>
          </cell>
          <cell r="L1633" t="str">
            <v>DIA ÚTIL</v>
          </cell>
          <cell r="M1633">
            <v>2.2751E-2</v>
          </cell>
          <cell r="N1633">
            <v>1.5423908895264433</v>
          </cell>
        </row>
        <row r="1634">
          <cell r="K1634">
            <v>43691</v>
          </cell>
          <cell r="L1634" t="str">
            <v>DIA ÚTIL</v>
          </cell>
          <cell r="M1634">
            <v>2.2751E-2</v>
          </cell>
          <cell r="N1634">
            <v>1.5427417988777195</v>
          </cell>
        </row>
        <row r="1635">
          <cell r="K1635">
            <v>43692</v>
          </cell>
          <cell r="L1635" t="str">
            <v>DIA ÚTIL</v>
          </cell>
          <cell r="M1635">
            <v>2.2751E-2</v>
          </cell>
          <cell r="N1635">
            <v>1.5430927880643821</v>
          </cell>
        </row>
        <row r="1636">
          <cell r="K1636">
            <v>43693</v>
          </cell>
          <cell r="L1636" t="str">
            <v>DIA ÚTIL</v>
          </cell>
          <cell r="M1636">
            <v>2.2751E-2</v>
          </cell>
          <cell r="N1636">
            <v>1.5434438571045945</v>
          </cell>
        </row>
        <row r="1637">
          <cell r="K1637">
            <v>43694</v>
          </cell>
          <cell r="M1637">
            <v>0</v>
          </cell>
          <cell r="N1637">
            <v>1.5434438571045945</v>
          </cell>
        </row>
        <row r="1638">
          <cell r="K1638">
            <v>43695</v>
          </cell>
          <cell r="M1638">
            <v>0</v>
          </cell>
          <cell r="N1638">
            <v>1.5434438571045945</v>
          </cell>
        </row>
        <row r="1639">
          <cell r="K1639">
            <v>43696</v>
          </cell>
          <cell r="L1639" t="str">
            <v>DIA ÚTIL</v>
          </cell>
          <cell r="M1639">
            <v>2.2751E-2</v>
          </cell>
          <cell r="N1639">
            <v>1.5437950060165244</v>
          </cell>
        </row>
        <row r="1640">
          <cell r="K1640">
            <v>43697</v>
          </cell>
          <cell r="L1640" t="str">
            <v>DIA ÚTIL</v>
          </cell>
          <cell r="M1640">
            <v>2.2751E-2</v>
          </cell>
          <cell r="N1640">
            <v>1.5441462348183432</v>
          </cell>
        </row>
        <row r="1641">
          <cell r="K1641">
            <v>43698</v>
          </cell>
          <cell r="L1641" t="str">
            <v>DIA ÚTIL</v>
          </cell>
          <cell r="M1641">
            <v>2.2751E-2</v>
          </cell>
          <cell r="N1641">
            <v>1.5444975435282267</v>
          </cell>
        </row>
        <row r="1642">
          <cell r="K1642">
            <v>43699</v>
          </cell>
          <cell r="L1642" t="str">
            <v>DIA ÚTIL</v>
          </cell>
          <cell r="M1642">
            <v>2.2751E-2</v>
          </cell>
          <cell r="N1642">
            <v>1.5448489321643548</v>
          </cell>
        </row>
        <row r="1643">
          <cell r="K1643">
            <v>43700</v>
          </cell>
          <cell r="L1643" t="str">
            <v>DIA ÚTIL</v>
          </cell>
          <cell r="M1643">
            <v>2.2751E-2</v>
          </cell>
          <cell r="N1643">
            <v>1.5452004007449116</v>
          </cell>
        </row>
        <row r="1644">
          <cell r="K1644">
            <v>43701</v>
          </cell>
          <cell r="M1644">
            <v>0</v>
          </cell>
          <cell r="N1644">
            <v>1.5452004007449116</v>
          </cell>
        </row>
        <row r="1645">
          <cell r="K1645">
            <v>43702</v>
          </cell>
          <cell r="M1645">
            <v>0</v>
          </cell>
          <cell r="N1645">
            <v>1.5452004007449116</v>
          </cell>
        </row>
        <row r="1646">
          <cell r="K1646">
            <v>43703</v>
          </cell>
          <cell r="L1646" t="str">
            <v>DIA ÚTIL</v>
          </cell>
          <cell r="M1646">
            <v>2.2751E-2</v>
          </cell>
          <cell r="N1646">
            <v>1.5455519492880851</v>
          </cell>
        </row>
        <row r="1647">
          <cell r="K1647">
            <v>43704</v>
          </cell>
          <cell r="L1647" t="str">
            <v>DIA ÚTIL</v>
          </cell>
          <cell r="M1647">
            <v>2.2751E-2</v>
          </cell>
          <cell r="N1647">
            <v>1.5459035778120676</v>
          </cell>
        </row>
        <row r="1648">
          <cell r="K1648">
            <v>43705</v>
          </cell>
          <cell r="L1648" t="str">
            <v>DIA ÚTIL</v>
          </cell>
          <cell r="M1648">
            <v>2.2751E-2</v>
          </cell>
          <cell r="N1648">
            <v>1.5462552863350556</v>
          </cell>
        </row>
        <row r="1649">
          <cell r="K1649">
            <v>43706</v>
          </cell>
          <cell r="L1649" t="str">
            <v>DIA ÚTIL</v>
          </cell>
          <cell r="M1649">
            <v>2.2751E-2</v>
          </cell>
          <cell r="N1649">
            <v>1.5466070748752496</v>
          </cell>
        </row>
        <row r="1650">
          <cell r="K1650">
            <v>43707</v>
          </cell>
          <cell r="L1650" t="str">
            <v>DIA ÚTIL</v>
          </cell>
          <cell r="M1650">
            <v>2.2751E-2</v>
          </cell>
          <cell r="N1650">
            <v>1.5469589434508544</v>
          </cell>
        </row>
        <row r="1651">
          <cell r="K1651">
            <v>43708</v>
          </cell>
          <cell r="M1651">
            <v>0</v>
          </cell>
          <cell r="N1651">
            <v>1.5469589434508544</v>
          </cell>
        </row>
        <row r="1652">
          <cell r="K1652">
            <v>43709</v>
          </cell>
          <cell r="M1652">
            <v>0</v>
          </cell>
          <cell r="N1652">
            <v>1.5469589434508544</v>
          </cell>
        </row>
        <row r="1653">
          <cell r="K1653">
            <v>43710</v>
          </cell>
          <cell r="L1653" t="str">
            <v>DIA ÚTIL</v>
          </cell>
          <cell r="M1653">
            <v>2.2751E-2</v>
          </cell>
          <cell r="N1653">
            <v>1.5473108920800789</v>
          </cell>
        </row>
        <row r="1654">
          <cell r="K1654">
            <v>43711</v>
          </cell>
          <cell r="L1654" t="str">
            <v>DIA ÚTIL</v>
          </cell>
          <cell r="M1654">
            <v>2.2751E-2</v>
          </cell>
          <cell r="N1654">
            <v>1.5476629207811361</v>
          </cell>
        </row>
        <row r="1655">
          <cell r="K1655">
            <v>43712</v>
          </cell>
          <cell r="L1655" t="str">
            <v>DIA ÚTIL</v>
          </cell>
          <cell r="M1655">
            <v>2.2751E-2</v>
          </cell>
          <cell r="N1655">
            <v>1.548015029572243</v>
          </cell>
        </row>
        <row r="1656">
          <cell r="K1656">
            <v>43713</v>
          </cell>
          <cell r="L1656" t="str">
            <v>DIA ÚTIL</v>
          </cell>
          <cell r="M1656">
            <v>2.2751E-2</v>
          </cell>
          <cell r="N1656">
            <v>1.5483672184716211</v>
          </cell>
        </row>
        <row r="1657">
          <cell r="K1657">
            <v>43714</v>
          </cell>
          <cell r="L1657" t="str">
            <v>DIA ÚTIL</v>
          </cell>
          <cell r="M1657">
            <v>2.2751E-2</v>
          </cell>
          <cell r="N1657">
            <v>1.5487194874974954</v>
          </cell>
        </row>
        <row r="1658">
          <cell r="K1658">
            <v>43715</v>
          </cell>
          <cell r="M1658">
            <v>0</v>
          </cell>
          <cell r="N1658">
            <v>1.5487194874974954</v>
          </cell>
        </row>
        <row r="1659">
          <cell r="K1659">
            <v>43716</v>
          </cell>
          <cell r="M1659">
            <v>0</v>
          </cell>
          <cell r="N1659">
            <v>1.5487194874974954</v>
          </cell>
        </row>
        <row r="1660">
          <cell r="K1660">
            <v>43717</v>
          </cell>
          <cell r="L1660" t="str">
            <v>DIA ÚTIL</v>
          </cell>
          <cell r="M1660">
            <v>2.2751E-2</v>
          </cell>
          <cell r="N1660">
            <v>1.549071836668096</v>
          </cell>
        </row>
        <row r="1661">
          <cell r="K1661">
            <v>43718</v>
          </cell>
          <cell r="L1661" t="str">
            <v>DIA ÚTIL</v>
          </cell>
          <cell r="M1661">
            <v>2.2751E-2</v>
          </cell>
          <cell r="N1661">
            <v>1.5494242660016564</v>
          </cell>
        </row>
        <row r="1662">
          <cell r="K1662">
            <v>43719</v>
          </cell>
          <cell r="L1662" t="str">
            <v>DIA ÚTIL</v>
          </cell>
          <cell r="M1662">
            <v>2.2751E-2</v>
          </cell>
          <cell r="N1662">
            <v>1.5497767755164145</v>
          </cell>
        </row>
        <row r="1663">
          <cell r="K1663">
            <v>43720</v>
          </cell>
          <cell r="L1663" t="str">
            <v>DIA ÚTIL</v>
          </cell>
          <cell r="M1663">
            <v>2.2751E-2</v>
          </cell>
          <cell r="N1663">
            <v>1.5501293652306123</v>
          </cell>
        </row>
        <row r="1664">
          <cell r="K1664">
            <v>43721</v>
          </cell>
          <cell r="L1664" t="str">
            <v>DIA ÚTIL</v>
          </cell>
          <cell r="M1664">
            <v>2.2751E-2</v>
          </cell>
          <cell r="N1664">
            <v>1.5504820351624959</v>
          </cell>
        </row>
        <row r="1665">
          <cell r="K1665">
            <v>43722</v>
          </cell>
          <cell r="M1665">
            <v>0</v>
          </cell>
          <cell r="N1665">
            <v>1.5504820351624959</v>
          </cell>
        </row>
        <row r="1666">
          <cell r="K1666">
            <v>43723</v>
          </cell>
          <cell r="M1666">
            <v>0</v>
          </cell>
          <cell r="N1666">
            <v>1.5504820351624959</v>
          </cell>
        </row>
        <row r="1667">
          <cell r="K1667">
            <v>43724</v>
          </cell>
          <cell r="L1667" t="str">
            <v>DIA ÚTIL</v>
          </cell>
          <cell r="M1667">
            <v>2.2751E-2</v>
          </cell>
          <cell r="N1667">
            <v>1.5508347853303157</v>
          </cell>
        </row>
        <row r="1668">
          <cell r="K1668">
            <v>43725</v>
          </cell>
          <cell r="L1668" t="str">
            <v>DIA ÚTIL</v>
          </cell>
          <cell r="M1668">
            <v>2.2751E-2</v>
          </cell>
          <cell r="N1668">
            <v>1.5511876157523261</v>
          </cell>
        </row>
        <row r="1669">
          <cell r="K1669">
            <v>43726</v>
          </cell>
          <cell r="L1669" t="str">
            <v>DIA ÚTIL</v>
          </cell>
          <cell r="M1669">
            <v>2.2751E-2</v>
          </cell>
          <cell r="N1669">
            <v>1.5515405264467859</v>
          </cell>
        </row>
        <row r="1670">
          <cell r="K1670">
            <v>43727</v>
          </cell>
          <cell r="L1670" t="str">
            <v>DIA ÚTIL</v>
          </cell>
          <cell r="M1670">
            <v>2.0872000000000002E-2</v>
          </cell>
          <cell r="N1670">
            <v>1.5518643639854659</v>
          </cell>
        </row>
        <row r="1671">
          <cell r="K1671">
            <v>43728</v>
          </cell>
          <cell r="L1671" t="str">
            <v>DIA ÚTIL</v>
          </cell>
          <cell r="M1671">
            <v>2.0872000000000002E-2</v>
          </cell>
          <cell r="N1671">
            <v>1.5521882691155171</v>
          </cell>
        </row>
        <row r="1672">
          <cell r="K1672">
            <v>43729</v>
          </cell>
          <cell r="M1672">
            <v>0</v>
          </cell>
          <cell r="N1672">
            <v>1.5521882691155171</v>
          </cell>
        </row>
        <row r="1673">
          <cell r="K1673">
            <v>43730</v>
          </cell>
          <cell r="M1673">
            <v>0</v>
          </cell>
          <cell r="N1673">
            <v>1.5521882691155171</v>
          </cell>
        </row>
        <row r="1674">
          <cell r="K1674">
            <v>43731</v>
          </cell>
          <cell r="L1674" t="str">
            <v>DIA ÚTIL</v>
          </cell>
          <cell r="M1674">
            <v>2.0872000000000002E-2</v>
          </cell>
          <cell r="N1674">
            <v>1.5525122418510471</v>
          </cell>
        </row>
        <row r="1675">
          <cell r="K1675">
            <v>43732</v>
          </cell>
          <cell r="L1675" t="str">
            <v>DIA ÚTIL</v>
          </cell>
          <cell r="M1675">
            <v>2.0872000000000002E-2</v>
          </cell>
          <cell r="N1675">
            <v>1.5528362822061663</v>
          </cell>
        </row>
        <row r="1676">
          <cell r="K1676">
            <v>43733</v>
          </cell>
          <cell r="L1676" t="str">
            <v>DIA ÚTIL</v>
          </cell>
          <cell r="M1676">
            <v>2.0872000000000002E-2</v>
          </cell>
          <cell r="N1676">
            <v>1.5531603901949884</v>
          </cell>
        </row>
        <row r="1677">
          <cell r="K1677">
            <v>43734</v>
          </cell>
          <cell r="L1677" t="str">
            <v>DIA ÚTIL</v>
          </cell>
          <cell r="M1677">
            <v>2.0872000000000002E-2</v>
          </cell>
          <cell r="N1677">
            <v>1.5534845658316301</v>
          </cell>
        </row>
        <row r="1678">
          <cell r="K1678">
            <v>43735</v>
          </cell>
          <cell r="L1678" t="str">
            <v>DIA ÚTIL</v>
          </cell>
          <cell r="M1678">
            <v>2.0872000000000002E-2</v>
          </cell>
          <cell r="N1678">
            <v>1.5538088091302105</v>
          </cell>
        </row>
        <row r="1679">
          <cell r="K1679">
            <v>43736</v>
          </cell>
          <cell r="M1679">
            <v>0</v>
          </cell>
          <cell r="N1679">
            <v>1.5538088091302105</v>
          </cell>
        </row>
        <row r="1680">
          <cell r="K1680">
            <v>43737</v>
          </cell>
          <cell r="M1680">
            <v>0</v>
          </cell>
          <cell r="N1680">
            <v>1.5538088091302105</v>
          </cell>
        </row>
        <row r="1681">
          <cell r="K1681">
            <v>43738</v>
          </cell>
          <cell r="L1681" t="str">
            <v>DIA ÚTIL</v>
          </cell>
          <cell r="M1681">
            <v>2.0872000000000002E-2</v>
          </cell>
          <cell r="N1681">
            <v>1.5541331201048523</v>
          </cell>
        </row>
        <row r="1682">
          <cell r="K1682">
            <v>43739</v>
          </cell>
          <cell r="L1682" t="str">
            <v>DIA ÚTIL</v>
          </cell>
          <cell r="M1682">
            <v>2.0872000000000002E-2</v>
          </cell>
          <cell r="N1682">
            <v>1.5544574987696806</v>
          </cell>
        </row>
        <row r="1683">
          <cell r="K1683">
            <v>43740</v>
          </cell>
          <cell r="L1683" t="str">
            <v>DIA ÚTIL</v>
          </cell>
          <cell r="M1683">
            <v>2.0872000000000002E-2</v>
          </cell>
          <cell r="N1683">
            <v>1.5547819451388238</v>
          </cell>
        </row>
        <row r="1684">
          <cell r="K1684">
            <v>43741</v>
          </cell>
          <cell r="L1684" t="str">
            <v>DIA ÚTIL</v>
          </cell>
          <cell r="M1684">
            <v>2.0872000000000002E-2</v>
          </cell>
          <cell r="N1684">
            <v>1.5551064592264132</v>
          </cell>
        </row>
        <row r="1685">
          <cell r="K1685">
            <v>43742</v>
          </cell>
          <cell r="L1685" t="str">
            <v>DIA ÚTIL</v>
          </cell>
          <cell r="M1685">
            <v>2.0872000000000002E-2</v>
          </cell>
          <cell r="N1685">
            <v>1.555431041046583</v>
          </cell>
        </row>
        <row r="1686">
          <cell r="K1686">
            <v>43743</v>
          </cell>
          <cell r="M1686">
            <v>0</v>
          </cell>
          <cell r="N1686">
            <v>1.555431041046583</v>
          </cell>
        </row>
        <row r="1687">
          <cell r="K1687">
            <v>43744</v>
          </cell>
          <cell r="M1687">
            <v>0</v>
          </cell>
          <cell r="N1687">
            <v>1.555431041046583</v>
          </cell>
        </row>
        <row r="1688">
          <cell r="K1688">
            <v>43745</v>
          </cell>
          <cell r="L1688" t="str">
            <v>DIA ÚTIL</v>
          </cell>
          <cell r="M1688">
            <v>2.0872000000000002E-2</v>
          </cell>
          <cell r="N1688">
            <v>1.5557556906134704</v>
          </cell>
        </row>
        <row r="1689">
          <cell r="K1689">
            <v>43746</v>
          </cell>
          <cell r="L1689" t="str">
            <v>DIA ÚTIL</v>
          </cell>
          <cell r="M1689">
            <v>2.0872000000000002E-2</v>
          </cell>
          <cell r="N1689">
            <v>1.5560804079412154</v>
          </cell>
        </row>
        <row r="1690">
          <cell r="K1690">
            <v>43747</v>
          </cell>
          <cell r="L1690" t="str">
            <v>DIA ÚTIL</v>
          </cell>
          <cell r="M1690">
            <v>2.0872000000000002E-2</v>
          </cell>
          <cell r="N1690">
            <v>1.5564051930439609</v>
          </cell>
        </row>
        <row r="1691">
          <cell r="K1691">
            <v>43748</v>
          </cell>
          <cell r="L1691" t="str">
            <v>DIA ÚTIL</v>
          </cell>
          <cell r="M1691">
            <v>2.0872000000000002E-2</v>
          </cell>
          <cell r="N1691">
            <v>1.5567300459358531</v>
          </cell>
        </row>
        <row r="1692">
          <cell r="K1692">
            <v>43749</v>
          </cell>
          <cell r="L1692" t="str">
            <v>DIA ÚTIL</v>
          </cell>
          <cell r="M1692">
            <v>2.0872000000000002E-2</v>
          </cell>
          <cell r="N1692">
            <v>1.5570549666310409</v>
          </cell>
        </row>
        <row r="1693">
          <cell r="K1693">
            <v>43750</v>
          </cell>
          <cell r="M1693">
            <v>0</v>
          </cell>
          <cell r="N1693">
            <v>1.5570549666310409</v>
          </cell>
        </row>
        <row r="1694">
          <cell r="K1694">
            <v>43751</v>
          </cell>
          <cell r="M1694">
            <v>0</v>
          </cell>
          <cell r="N1694">
            <v>1.5570549666310409</v>
          </cell>
        </row>
        <row r="1695">
          <cell r="K1695">
            <v>43752</v>
          </cell>
          <cell r="L1695" t="str">
            <v>DIA ÚTIL</v>
          </cell>
          <cell r="M1695">
            <v>2.0872000000000002E-2</v>
          </cell>
          <cell r="N1695">
            <v>1.5573799551436762</v>
          </cell>
        </row>
        <row r="1696">
          <cell r="K1696">
            <v>43753</v>
          </cell>
          <cell r="L1696" t="str">
            <v>DIA ÚTIL</v>
          </cell>
          <cell r="M1696">
            <v>2.0872000000000002E-2</v>
          </cell>
          <cell r="N1696">
            <v>1.5577050114879138</v>
          </cell>
        </row>
        <row r="1697">
          <cell r="K1697">
            <v>43754</v>
          </cell>
          <cell r="L1697" t="str">
            <v>DIA ÚTIL</v>
          </cell>
          <cell r="M1697">
            <v>2.0872000000000002E-2</v>
          </cell>
          <cell r="N1697">
            <v>1.5580301356779116</v>
          </cell>
        </row>
        <row r="1698">
          <cell r="K1698">
            <v>43755</v>
          </cell>
          <cell r="L1698" t="str">
            <v>DIA ÚTIL</v>
          </cell>
          <cell r="M1698">
            <v>2.0872000000000002E-2</v>
          </cell>
          <cell r="N1698">
            <v>1.5583553277278304</v>
          </cell>
        </row>
        <row r="1699">
          <cell r="K1699">
            <v>43756</v>
          </cell>
          <cell r="L1699" t="str">
            <v>DIA ÚTIL</v>
          </cell>
          <cell r="M1699">
            <v>2.0872000000000002E-2</v>
          </cell>
          <cell r="N1699">
            <v>1.5586805876518337</v>
          </cell>
        </row>
        <row r="1700">
          <cell r="K1700">
            <v>43757</v>
          </cell>
          <cell r="M1700">
            <v>0</v>
          </cell>
          <cell r="N1700">
            <v>1.5586805876518337</v>
          </cell>
        </row>
        <row r="1701">
          <cell r="K1701">
            <v>43758</v>
          </cell>
          <cell r="M1701">
            <v>0</v>
          </cell>
          <cell r="N1701">
            <v>1.5586805876518337</v>
          </cell>
        </row>
        <row r="1702">
          <cell r="K1702">
            <v>43759</v>
          </cell>
          <cell r="L1702" t="str">
            <v>DIA ÚTIL</v>
          </cell>
          <cell r="M1702">
            <v>2.0872000000000002E-2</v>
          </cell>
          <cell r="N1702">
            <v>1.5590059154640885</v>
          </cell>
        </row>
        <row r="1703">
          <cell r="K1703">
            <v>43760</v>
          </cell>
          <cell r="L1703" t="str">
            <v>DIA ÚTIL</v>
          </cell>
          <cell r="M1703">
            <v>2.0872000000000002E-2</v>
          </cell>
          <cell r="N1703">
            <v>1.5593313111787643</v>
          </cell>
        </row>
        <row r="1704">
          <cell r="K1704">
            <v>43761</v>
          </cell>
          <cell r="L1704" t="str">
            <v>DIA ÚTIL</v>
          </cell>
          <cell r="M1704">
            <v>2.0872000000000002E-2</v>
          </cell>
          <cell r="N1704">
            <v>1.5596567748100336</v>
          </cell>
        </row>
        <row r="1705">
          <cell r="K1705">
            <v>43762</v>
          </cell>
          <cell r="L1705" t="str">
            <v>DIA ÚTIL</v>
          </cell>
          <cell r="M1705">
            <v>2.0872000000000002E-2</v>
          </cell>
          <cell r="N1705">
            <v>1.5599823063720721</v>
          </cell>
        </row>
        <row r="1706">
          <cell r="K1706">
            <v>43763</v>
          </cell>
          <cell r="L1706" t="str">
            <v>DIA ÚTIL</v>
          </cell>
          <cell r="M1706">
            <v>2.0872000000000002E-2</v>
          </cell>
          <cell r="N1706">
            <v>1.5603079058790581</v>
          </cell>
        </row>
        <row r="1707">
          <cell r="K1707">
            <v>43764</v>
          </cell>
          <cell r="M1707">
            <v>0</v>
          </cell>
          <cell r="N1707">
            <v>1.5603079058790581</v>
          </cell>
        </row>
        <row r="1708">
          <cell r="K1708">
            <v>43765</v>
          </cell>
          <cell r="M1708">
            <v>0</v>
          </cell>
          <cell r="N1708">
            <v>1.5603079058790581</v>
          </cell>
        </row>
        <row r="1709">
          <cell r="K1709">
            <v>43766</v>
          </cell>
          <cell r="L1709" t="str">
            <v>DIA ÚTIL</v>
          </cell>
          <cell r="M1709">
            <v>2.0872000000000002E-2</v>
          </cell>
          <cell r="N1709">
            <v>1.5606335733451733</v>
          </cell>
        </row>
        <row r="1710">
          <cell r="K1710">
            <v>43767</v>
          </cell>
          <cell r="L1710" t="str">
            <v>DIA ÚTIL</v>
          </cell>
          <cell r="M1710">
            <v>2.0872000000000002E-2</v>
          </cell>
          <cell r="N1710">
            <v>1.5609593087846019</v>
          </cell>
        </row>
        <row r="1711">
          <cell r="K1711">
            <v>43768</v>
          </cell>
          <cell r="L1711" t="str">
            <v>DIA ÚTIL</v>
          </cell>
          <cell r="M1711">
            <v>2.0872000000000002E-2</v>
          </cell>
          <cell r="N1711">
            <v>1.5612851122115314</v>
          </cell>
        </row>
        <row r="1712">
          <cell r="K1712">
            <v>43769</v>
          </cell>
          <cell r="L1712" t="str">
            <v>DIA ÚTIL</v>
          </cell>
          <cell r="M1712">
            <v>1.8984999999999998E-2</v>
          </cell>
          <cell r="N1712">
            <v>1.5615815221900846</v>
          </cell>
        </row>
        <row r="1713">
          <cell r="K1713">
            <v>43770</v>
          </cell>
          <cell r="L1713" t="str">
            <v>DIA ÚTIL</v>
          </cell>
          <cell r="M1713">
            <v>1.8984999999999998E-2</v>
          </cell>
          <cell r="N1713">
            <v>1.5618779884420724</v>
          </cell>
        </row>
        <row r="1714">
          <cell r="K1714">
            <v>43771</v>
          </cell>
          <cell r="M1714">
            <v>0</v>
          </cell>
          <cell r="N1714">
            <v>1.5618779884420724</v>
          </cell>
        </row>
        <row r="1715">
          <cell r="K1715">
            <v>43772</v>
          </cell>
          <cell r="M1715">
            <v>0</v>
          </cell>
          <cell r="N1715">
            <v>1.5618779884420724</v>
          </cell>
        </row>
        <row r="1716">
          <cell r="K1716">
            <v>43773</v>
          </cell>
          <cell r="L1716" t="str">
            <v>DIA ÚTIL</v>
          </cell>
          <cell r="M1716">
            <v>1.8984999999999998E-2</v>
          </cell>
          <cell r="N1716">
            <v>1.5621745109781779</v>
          </cell>
        </row>
        <row r="1717">
          <cell r="K1717">
            <v>43774</v>
          </cell>
          <cell r="L1717" t="str">
            <v>DIA ÚTIL</v>
          </cell>
          <cell r="M1717">
            <v>1.8984999999999998E-2</v>
          </cell>
          <cell r="N1717">
            <v>1.562471089809087</v>
          </cell>
        </row>
        <row r="1718">
          <cell r="K1718">
            <v>43775</v>
          </cell>
          <cell r="L1718" t="str">
            <v>DIA ÚTIL</v>
          </cell>
          <cell r="M1718">
            <v>1.8984999999999998E-2</v>
          </cell>
          <cell r="N1718">
            <v>1.5627677249454872</v>
          </cell>
        </row>
        <row r="1719">
          <cell r="K1719">
            <v>43776</v>
          </cell>
          <cell r="L1719" t="str">
            <v>DIA ÚTIL</v>
          </cell>
          <cell r="M1719">
            <v>1.8984999999999998E-2</v>
          </cell>
          <cell r="N1719">
            <v>1.563064416398068</v>
          </cell>
        </row>
        <row r="1720">
          <cell r="K1720">
            <v>43777</v>
          </cell>
          <cell r="L1720" t="str">
            <v>DIA ÚTIL</v>
          </cell>
          <cell r="M1720">
            <v>1.8984999999999998E-2</v>
          </cell>
          <cell r="N1720">
            <v>1.5633611641775211</v>
          </cell>
        </row>
        <row r="1721">
          <cell r="K1721">
            <v>43778</v>
          </cell>
          <cell r="M1721">
            <v>0</v>
          </cell>
          <cell r="N1721">
            <v>1.5633611641775211</v>
          </cell>
        </row>
        <row r="1722">
          <cell r="K1722">
            <v>43779</v>
          </cell>
          <cell r="M1722">
            <v>0</v>
          </cell>
          <cell r="N1722">
            <v>1.5633611641775211</v>
          </cell>
        </row>
        <row r="1723">
          <cell r="K1723">
            <v>43780</v>
          </cell>
          <cell r="L1723" t="str">
            <v>DIA ÚTIL</v>
          </cell>
          <cell r="M1723">
            <v>1.8984999999999998E-2</v>
          </cell>
          <cell r="N1723">
            <v>1.5636579682945402</v>
          </cell>
        </row>
        <row r="1724">
          <cell r="K1724">
            <v>43781</v>
          </cell>
          <cell r="L1724" t="str">
            <v>DIA ÚTIL</v>
          </cell>
          <cell r="M1724">
            <v>1.8984999999999998E-2</v>
          </cell>
          <cell r="N1724">
            <v>1.5639548287598208</v>
          </cell>
        </row>
        <row r="1725">
          <cell r="K1725">
            <v>43782</v>
          </cell>
          <cell r="L1725" t="str">
            <v>DIA ÚTIL</v>
          </cell>
          <cell r="M1725">
            <v>1.8984999999999998E-2</v>
          </cell>
          <cell r="N1725">
            <v>1.5642517455840608</v>
          </cell>
        </row>
        <row r="1726">
          <cell r="K1726">
            <v>43783</v>
          </cell>
          <cell r="L1726" t="str">
            <v>DIA ÚTIL</v>
          </cell>
          <cell r="M1726">
            <v>1.8984999999999998E-2</v>
          </cell>
          <cell r="N1726">
            <v>1.5645487187779599</v>
          </cell>
        </row>
        <row r="1727">
          <cell r="K1727">
            <v>43784</v>
          </cell>
          <cell r="M1727">
            <v>0</v>
          </cell>
          <cell r="N1727">
            <v>1.5645487187779599</v>
          </cell>
        </row>
        <row r="1728">
          <cell r="K1728">
            <v>43785</v>
          </cell>
          <cell r="M1728">
            <v>0</v>
          </cell>
          <cell r="N1728">
            <v>1.5645487187779599</v>
          </cell>
        </row>
        <row r="1729">
          <cell r="K1729">
            <v>43786</v>
          </cell>
          <cell r="M1729">
            <v>0</v>
          </cell>
          <cell r="N1729">
            <v>1.5645487187779599</v>
          </cell>
        </row>
        <row r="1730">
          <cell r="K1730">
            <v>43787</v>
          </cell>
          <cell r="L1730" t="str">
            <v>DIA ÚTIL</v>
          </cell>
          <cell r="M1730">
            <v>1.8984999999999998E-2</v>
          </cell>
          <cell r="N1730">
            <v>1.5648457483522198</v>
          </cell>
        </row>
        <row r="1731">
          <cell r="K1731">
            <v>43788</v>
          </cell>
          <cell r="L1731" t="str">
            <v>DIA ÚTIL</v>
          </cell>
          <cell r="M1731">
            <v>1.8984999999999998E-2</v>
          </cell>
          <cell r="N1731">
            <v>1.5651428343175444</v>
          </cell>
        </row>
        <row r="1732">
          <cell r="K1732">
            <v>43789</v>
          </cell>
          <cell r="L1732" t="str">
            <v>DIA ÚTIL</v>
          </cell>
          <cell r="M1732">
            <v>1.8984999999999998E-2</v>
          </cell>
          <cell r="N1732">
            <v>1.5654399766846394</v>
          </cell>
        </row>
        <row r="1733">
          <cell r="K1733">
            <v>43790</v>
          </cell>
          <cell r="L1733" t="str">
            <v>DIA ÚTIL</v>
          </cell>
          <cell r="M1733">
            <v>1.8984999999999998E-2</v>
          </cell>
          <cell r="N1733">
            <v>1.5657371754642129</v>
          </cell>
        </row>
        <row r="1734">
          <cell r="K1734">
            <v>43791</v>
          </cell>
          <cell r="L1734" t="str">
            <v>DIA ÚTIL</v>
          </cell>
          <cell r="M1734">
            <v>1.8984999999999998E-2</v>
          </cell>
          <cell r="N1734">
            <v>1.5660344306669747</v>
          </cell>
        </row>
        <row r="1735">
          <cell r="K1735">
            <v>43792</v>
          </cell>
          <cell r="M1735">
            <v>0</v>
          </cell>
          <cell r="N1735">
            <v>1.5660344306669747</v>
          </cell>
        </row>
        <row r="1736">
          <cell r="K1736">
            <v>43793</v>
          </cell>
          <cell r="M1736">
            <v>0</v>
          </cell>
          <cell r="N1736">
            <v>1.5660344306669747</v>
          </cell>
        </row>
        <row r="1737">
          <cell r="K1737">
            <v>43794</v>
          </cell>
          <cell r="L1737" t="str">
            <v>DIA ÚTIL</v>
          </cell>
          <cell r="M1737">
            <v>1.8984999999999998E-2</v>
          </cell>
          <cell r="N1737">
            <v>1.5663317423036367</v>
          </cell>
        </row>
        <row r="1738">
          <cell r="K1738">
            <v>43795</v>
          </cell>
          <cell r="L1738" t="str">
            <v>DIA ÚTIL</v>
          </cell>
          <cell r="M1738">
            <v>1.8984999999999998E-2</v>
          </cell>
          <cell r="N1738">
            <v>1.566629110384913</v>
          </cell>
        </row>
        <row r="1739">
          <cell r="K1739">
            <v>43796</v>
          </cell>
          <cell r="L1739" t="str">
            <v>DIA ÚTIL</v>
          </cell>
          <cell r="M1739">
            <v>1.8984999999999998E-2</v>
          </cell>
          <cell r="N1739">
            <v>1.5669265349215196</v>
          </cell>
        </row>
        <row r="1740">
          <cell r="K1740">
            <v>43797</v>
          </cell>
          <cell r="L1740" t="str">
            <v>DIA ÚTIL</v>
          </cell>
          <cell r="M1740">
            <v>1.8984999999999998E-2</v>
          </cell>
          <cell r="N1740">
            <v>1.5672240159241744</v>
          </cell>
        </row>
        <row r="1741">
          <cell r="K1741">
            <v>43798</v>
          </cell>
          <cell r="L1741" t="str">
            <v>DIA ÚTIL</v>
          </cell>
          <cell r="M1741">
            <v>1.8984999999999998E-2</v>
          </cell>
          <cell r="N1741">
            <v>1.5675215534035976</v>
          </cell>
        </row>
        <row r="1742">
          <cell r="K1742">
            <v>43799</v>
          </cell>
          <cell r="M1742">
            <v>0</v>
          </cell>
          <cell r="N1742">
            <v>1.5675215534035976</v>
          </cell>
        </row>
        <row r="1743">
          <cell r="K1743">
            <v>43800</v>
          </cell>
          <cell r="M1743">
            <v>0</v>
          </cell>
          <cell r="N1743">
            <v>1.5675215534035976</v>
          </cell>
        </row>
        <row r="1744">
          <cell r="K1744">
            <v>43801</v>
          </cell>
          <cell r="L1744" t="str">
            <v>DIA ÚTIL</v>
          </cell>
          <cell r="M1744">
            <v>1.8984999999999998E-2</v>
          </cell>
          <cell r="N1744">
            <v>1.5678191473705112</v>
          </cell>
        </row>
        <row r="1745">
          <cell r="K1745">
            <v>43802</v>
          </cell>
          <cell r="L1745" t="str">
            <v>DIA ÚTIL</v>
          </cell>
          <cell r="M1745">
            <v>1.8984999999999998E-2</v>
          </cell>
          <cell r="N1745">
            <v>1.5681167978356394</v>
          </cell>
        </row>
        <row r="1746">
          <cell r="K1746">
            <v>43803</v>
          </cell>
          <cell r="L1746" t="str">
            <v>DIA ÚTIL</v>
          </cell>
          <cell r="M1746">
            <v>1.8984999999999998E-2</v>
          </cell>
          <cell r="N1746">
            <v>1.5684145048097085</v>
          </cell>
        </row>
        <row r="1747">
          <cell r="K1747">
            <v>43804</v>
          </cell>
          <cell r="L1747" t="str">
            <v>DIA ÚTIL</v>
          </cell>
          <cell r="M1747">
            <v>1.8984999999999998E-2</v>
          </cell>
          <cell r="N1747">
            <v>1.5687122683034465</v>
          </cell>
        </row>
        <row r="1748">
          <cell r="K1748">
            <v>43805</v>
          </cell>
          <cell r="L1748" t="str">
            <v>DIA ÚTIL</v>
          </cell>
          <cell r="M1748">
            <v>1.8984999999999998E-2</v>
          </cell>
          <cell r="N1748">
            <v>1.5690100883275837</v>
          </cell>
        </row>
        <row r="1749">
          <cell r="K1749">
            <v>43806</v>
          </cell>
          <cell r="M1749">
            <v>0</v>
          </cell>
          <cell r="N1749">
            <v>1.5690100883275837</v>
          </cell>
        </row>
        <row r="1750">
          <cell r="K1750">
            <v>43807</v>
          </cell>
          <cell r="M1750">
            <v>0</v>
          </cell>
          <cell r="N1750">
            <v>1.5690100883275837</v>
          </cell>
        </row>
        <row r="1751">
          <cell r="K1751">
            <v>43808</v>
          </cell>
          <cell r="L1751" t="str">
            <v>DIA ÚTIL</v>
          </cell>
          <cell r="M1751">
            <v>1.8984999999999998E-2</v>
          </cell>
          <cell r="N1751">
            <v>1.5693079648928525</v>
          </cell>
        </row>
        <row r="1752">
          <cell r="K1752">
            <v>43809</v>
          </cell>
          <cell r="L1752" t="str">
            <v>DIA ÚTIL</v>
          </cell>
          <cell r="M1752">
            <v>1.8984999999999998E-2</v>
          </cell>
          <cell r="N1752">
            <v>1.5696058980099874</v>
          </cell>
        </row>
        <row r="1753">
          <cell r="K1753">
            <v>43810</v>
          </cell>
          <cell r="L1753" t="str">
            <v>DIA ÚTIL</v>
          </cell>
          <cell r="M1753">
            <v>1.8984999999999998E-2</v>
          </cell>
          <cell r="N1753">
            <v>1.5699038876897244</v>
          </cell>
        </row>
        <row r="1754">
          <cell r="K1754">
            <v>43811</v>
          </cell>
          <cell r="L1754" t="str">
            <v>DIA ÚTIL</v>
          </cell>
          <cell r="M1754">
            <v>1.7089E-2</v>
          </cell>
          <cell r="N1754">
            <v>1.5701721685650916</v>
          </cell>
        </row>
        <row r="1755">
          <cell r="K1755">
            <v>43812</v>
          </cell>
          <cell r="L1755" t="str">
            <v>DIA ÚTIL</v>
          </cell>
          <cell r="M1755">
            <v>1.7089E-2</v>
          </cell>
          <cell r="N1755">
            <v>1.5704404952869775</v>
          </cell>
        </row>
        <row r="1756">
          <cell r="K1756">
            <v>43813</v>
          </cell>
          <cell r="M1756">
            <v>0</v>
          </cell>
          <cell r="N1756">
            <v>1.5704404952869775</v>
          </cell>
        </row>
        <row r="1757">
          <cell r="K1757">
            <v>43814</v>
          </cell>
          <cell r="M1757">
            <v>0</v>
          </cell>
          <cell r="N1757">
            <v>1.5704404952869775</v>
          </cell>
        </row>
        <row r="1758">
          <cell r="K1758">
            <v>43815</v>
          </cell>
          <cell r="L1758" t="str">
            <v>DIA ÚTIL</v>
          </cell>
          <cell r="M1758">
            <v>1.7089E-2</v>
          </cell>
          <cell r="N1758">
            <v>1.5707088678632171</v>
          </cell>
        </row>
        <row r="1759">
          <cell r="K1759">
            <v>43816</v>
          </cell>
          <cell r="L1759" t="str">
            <v>DIA ÚTIL</v>
          </cell>
          <cell r="M1759">
            <v>1.7089E-2</v>
          </cell>
          <cell r="N1759">
            <v>1.570977286301646</v>
          </cell>
        </row>
        <row r="1760">
          <cell r="K1760">
            <v>43817</v>
          </cell>
          <cell r="L1760" t="str">
            <v>DIA ÚTIL</v>
          </cell>
          <cell r="M1760">
            <v>1.7089E-2</v>
          </cell>
          <cell r="N1760">
            <v>1.5712457506101021</v>
          </cell>
        </row>
        <row r="1761">
          <cell r="K1761">
            <v>43818</v>
          </cell>
          <cell r="L1761" t="str">
            <v>DIA ÚTIL</v>
          </cell>
          <cell r="M1761">
            <v>1.7089E-2</v>
          </cell>
          <cell r="N1761">
            <v>1.5715142607964236</v>
          </cell>
        </row>
        <row r="1762">
          <cell r="K1762">
            <v>43819</v>
          </cell>
          <cell r="L1762" t="str">
            <v>DIA ÚTIL</v>
          </cell>
          <cell r="M1762">
            <v>1.7089E-2</v>
          </cell>
          <cell r="N1762">
            <v>1.5717828168684511</v>
          </cell>
        </row>
        <row r="1763">
          <cell r="K1763">
            <v>43820</v>
          </cell>
          <cell r="M1763">
            <v>0</v>
          </cell>
          <cell r="N1763">
            <v>1.5717828168684511</v>
          </cell>
        </row>
        <row r="1764">
          <cell r="K1764">
            <v>43821</v>
          </cell>
          <cell r="M1764">
            <v>0</v>
          </cell>
          <cell r="N1764">
            <v>1.5717828168684511</v>
          </cell>
        </row>
        <row r="1765">
          <cell r="K1765">
            <v>43822</v>
          </cell>
          <cell r="L1765" t="str">
            <v>DIA ÚTIL</v>
          </cell>
          <cell r="M1765">
            <v>1.7089E-2</v>
          </cell>
          <cell r="N1765">
            <v>1.5720514188340255</v>
          </cell>
        </row>
        <row r="1766">
          <cell r="K1766">
            <v>43823</v>
          </cell>
          <cell r="L1766" t="str">
            <v>DIA ÚTIL</v>
          </cell>
          <cell r="M1766">
            <v>1.7089E-2</v>
          </cell>
          <cell r="N1766">
            <v>1.57232006670099</v>
          </cell>
        </row>
        <row r="1767">
          <cell r="K1767">
            <v>43824</v>
          </cell>
          <cell r="M1767">
            <v>0</v>
          </cell>
          <cell r="N1767">
            <v>1.57232006670099</v>
          </cell>
        </row>
        <row r="1768">
          <cell r="K1768">
            <v>43825</v>
          </cell>
          <cell r="L1768" t="str">
            <v>DIA ÚTIL</v>
          </cell>
          <cell r="M1768">
            <v>1.7089E-2</v>
          </cell>
          <cell r="N1768">
            <v>1.5725887604771884</v>
          </cell>
        </row>
        <row r="1769">
          <cell r="K1769">
            <v>43826</v>
          </cell>
          <cell r="L1769" t="str">
            <v>DIA ÚTIL</v>
          </cell>
          <cell r="M1769">
            <v>1.7089E-2</v>
          </cell>
          <cell r="N1769">
            <v>1.5728575001704663</v>
          </cell>
        </row>
        <row r="1770">
          <cell r="K1770">
            <v>43827</v>
          </cell>
          <cell r="M1770">
            <v>0</v>
          </cell>
          <cell r="N1770">
            <v>1.5728575001704663</v>
          </cell>
        </row>
        <row r="1771">
          <cell r="K1771">
            <v>43828</v>
          </cell>
          <cell r="M1771">
            <v>0</v>
          </cell>
          <cell r="N1771">
            <v>1.5728575001704663</v>
          </cell>
        </row>
        <row r="1772">
          <cell r="K1772">
            <v>43829</v>
          </cell>
          <cell r="L1772" t="str">
            <v>DIA ÚTIL</v>
          </cell>
          <cell r="M1772">
            <v>1.7089E-2</v>
          </cell>
          <cell r="N1772">
            <v>1.5731262857886703</v>
          </cell>
        </row>
        <row r="1773">
          <cell r="K1773">
            <v>43830</v>
          </cell>
          <cell r="L1773" t="str">
            <v>DIA ÚTIL</v>
          </cell>
          <cell r="M1773">
            <v>1.7089E-2</v>
          </cell>
          <cell r="N1773">
            <v>1.5733951173396485</v>
          </cell>
        </row>
        <row r="1774">
          <cell r="K1774">
            <v>43831</v>
          </cell>
          <cell r="M1774">
            <v>0</v>
          </cell>
          <cell r="N1774">
            <v>1.5733951173396485</v>
          </cell>
        </row>
        <row r="1775">
          <cell r="K1775">
            <v>43832</v>
          </cell>
          <cell r="L1775" t="str">
            <v>DIA ÚTIL</v>
          </cell>
          <cell r="M1775">
            <v>1.7089E-2</v>
          </cell>
          <cell r="N1775">
            <v>1.5736639948312505</v>
          </cell>
        </row>
        <row r="1776">
          <cell r="K1776">
            <v>43833</v>
          </cell>
          <cell r="L1776" t="str">
            <v>DIA ÚTIL</v>
          </cell>
          <cell r="M1776">
            <v>1.7089E-2</v>
          </cell>
          <cell r="N1776">
            <v>1.5739329182713271</v>
          </cell>
        </row>
        <row r="1777">
          <cell r="K1777">
            <v>43834</v>
          </cell>
          <cell r="M1777">
            <v>0</v>
          </cell>
          <cell r="N1777">
            <v>1.5739329182713271</v>
          </cell>
        </row>
        <row r="1778">
          <cell r="K1778">
            <v>43835</v>
          </cell>
          <cell r="M1778">
            <v>0</v>
          </cell>
          <cell r="N1778">
            <v>1.5739329182713271</v>
          </cell>
        </row>
        <row r="1779">
          <cell r="K1779">
            <v>43836</v>
          </cell>
          <cell r="L1779" t="str">
            <v>DIA ÚTIL</v>
          </cell>
          <cell r="M1779">
            <v>1.7089E-2</v>
          </cell>
          <cell r="N1779">
            <v>1.5742018876677304</v>
          </cell>
        </row>
        <row r="1780">
          <cell r="K1780">
            <v>43837</v>
          </cell>
          <cell r="L1780" t="str">
            <v>DIA ÚTIL</v>
          </cell>
          <cell r="M1780">
            <v>1.7089E-2</v>
          </cell>
          <cell r="N1780">
            <v>1.5744709030283137</v>
          </cell>
        </row>
        <row r="1781">
          <cell r="K1781">
            <v>43838</v>
          </cell>
          <cell r="L1781" t="str">
            <v>DIA ÚTIL</v>
          </cell>
          <cell r="M1781">
            <v>1.7089E-2</v>
          </cell>
          <cell r="N1781">
            <v>1.5747399643609321</v>
          </cell>
        </row>
        <row r="1782">
          <cell r="K1782">
            <v>43839</v>
          </cell>
          <cell r="L1782" t="str">
            <v>DIA ÚTIL</v>
          </cell>
          <cell r="M1782">
            <v>1.7089E-2</v>
          </cell>
          <cell r="N1782">
            <v>1.5750090716734417</v>
          </cell>
        </row>
        <row r="1783">
          <cell r="K1783">
            <v>43840</v>
          </cell>
          <cell r="L1783" t="str">
            <v>DIA ÚTIL</v>
          </cell>
          <cell r="M1783">
            <v>1.7089E-2</v>
          </cell>
          <cell r="N1783">
            <v>1.5752782249736998</v>
          </cell>
        </row>
        <row r="1784">
          <cell r="K1784">
            <v>43841</v>
          </cell>
          <cell r="M1784">
            <v>0</v>
          </cell>
          <cell r="N1784">
            <v>1.5752782249736998</v>
          </cell>
        </row>
        <row r="1785">
          <cell r="K1785">
            <v>43842</v>
          </cell>
          <cell r="M1785">
            <v>0</v>
          </cell>
          <cell r="N1785">
            <v>1.5752782249736998</v>
          </cell>
        </row>
        <row r="1786">
          <cell r="K1786">
            <v>43843</v>
          </cell>
          <cell r="L1786" t="str">
            <v>DIA ÚTIL</v>
          </cell>
          <cell r="M1786">
            <v>1.7089E-2</v>
          </cell>
          <cell r="N1786">
            <v>1.5755474242695655</v>
          </cell>
        </row>
        <row r="1787">
          <cell r="K1787">
            <v>43844</v>
          </cell>
          <cell r="L1787" t="str">
            <v>DIA ÚTIL</v>
          </cell>
          <cell r="M1787">
            <v>1.7089E-2</v>
          </cell>
          <cell r="N1787">
            <v>1.5758166695688989</v>
          </cell>
        </row>
        <row r="1788">
          <cell r="K1788">
            <v>43845</v>
          </cell>
          <cell r="L1788" t="str">
            <v>DIA ÚTIL</v>
          </cell>
          <cell r="M1788">
            <v>1.7089E-2</v>
          </cell>
          <cell r="N1788">
            <v>1.5760859608795614</v>
          </cell>
        </row>
        <row r="1789">
          <cell r="K1789">
            <v>43846</v>
          </cell>
          <cell r="L1789" t="str">
            <v>DIA ÚTIL</v>
          </cell>
          <cell r="M1789">
            <v>1.7089E-2</v>
          </cell>
          <cell r="N1789">
            <v>1.576355298209416</v>
          </cell>
        </row>
        <row r="1790">
          <cell r="K1790">
            <v>43847</v>
          </cell>
          <cell r="L1790" t="str">
            <v>DIA ÚTIL</v>
          </cell>
          <cell r="M1790">
            <v>1.7089E-2</v>
          </cell>
          <cell r="N1790">
            <v>1.576624681566327</v>
          </cell>
        </row>
        <row r="1791">
          <cell r="K1791">
            <v>43848</v>
          </cell>
          <cell r="M1791">
            <v>0</v>
          </cell>
          <cell r="N1791">
            <v>1.576624681566327</v>
          </cell>
        </row>
        <row r="1792">
          <cell r="K1792">
            <v>43849</v>
          </cell>
          <cell r="M1792">
            <v>0</v>
          </cell>
          <cell r="N1792">
            <v>1.576624681566327</v>
          </cell>
        </row>
        <row r="1793">
          <cell r="K1793">
            <v>43850</v>
          </cell>
          <cell r="L1793" t="str">
            <v>DIA ÚTIL</v>
          </cell>
          <cell r="M1793">
            <v>1.7089E-2</v>
          </cell>
          <cell r="N1793">
            <v>1.5768941109581598</v>
          </cell>
        </row>
        <row r="1794">
          <cell r="K1794">
            <v>43851</v>
          </cell>
          <cell r="L1794" t="str">
            <v>DIA ÚTIL</v>
          </cell>
          <cell r="M1794">
            <v>1.7089E-2</v>
          </cell>
          <cell r="N1794">
            <v>1.5771635863927813</v>
          </cell>
        </row>
        <row r="1795">
          <cell r="K1795">
            <v>43852</v>
          </cell>
          <cell r="L1795" t="str">
            <v>DIA ÚTIL</v>
          </cell>
          <cell r="M1795">
            <v>1.7089E-2</v>
          </cell>
          <cell r="N1795">
            <v>1.5774331078780599</v>
          </cell>
        </row>
        <row r="1796">
          <cell r="K1796">
            <v>43853</v>
          </cell>
          <cell r="L1796" t="str">
            <v>DIA ÚTIL</v>
          </cell>
          <cell r="M1796">
            <v>1.7089E-2</v>
          </cell>
          <cell r="N1796">
            <v>1.577702675421865</v>
          </cell>
        </row>
        <row r="1797">
          <cell r="K1797">
            <v>43854</v>
          </cell>
          <cell r="L1797" t="str">
            <v>DIA ÚTIL</v>
          </cell>
          <cell r="M1797">
            <v>1.7089E-2</v>
          </cell>
          <cell r="N1797">
            <v>1.5779722890320678</v>
          </cell>
        </row>
        <row r="1798">
          <cell r="K1798">
            <v>43855</v>
          </cell>
          <cell r="M1798">
            <v>0</v>
          </cell>
          <cell r="N1798">
            <v>1.5779722890320678</v>
          </cell>
        </row>
        <row r="1799">
          <cell r="K1799">
            <v>43856</v>
          </cell>
          <cell r="M1799">
            <v>0</v>
          </cell>
          <cell r="N1799">
            <v>1.5779722890320678</v>
          </cell>
        </row>
        <row r="1800">
          <cell r="K1800">
            <v>43857</v>
          </cell>
          <cell r="L1800" t="str">
            <v>DIA ÚTIL</v>
          </cell>
          <cell r="M1800">
            <v>1.7089E-2</v>
          </cell>
          <cell r="N1800">
            <v>1.5782419487165404</v>
          </cell>
        </row>
        <row r="1801">
          <cell r="K1801">
            <v>43858</v>
          </cell>
          <cell r="L1801" t="str">
            <v>DIA ÚTIL</v>
          </cell>
          <cell r="M1801">
            <v>1.7089E-2</v>
          </cell>
          <cell r="N1801">
            <v>1.5785116544831566</v>
          </cell>
        </row>
        <row r="1802">
          <cell r="K1802">
            <v>43859</v>
          </cell>
          <cell r="L1802" t="str">
            <v>DIA ÚTIL</v>
          </cell>
          <cell r="M1802">
            <v>1.7089E-2</v>
          </cell>
          <cell r="N1802">
            <v>1.5787814063397911</v>
          </cell>
        </row>
        <row r="1803">
          <cell r="K1803">
            <v>43860</v>
          </cell>
          <cell r="L1803" t="str">
            <v>DIA ÚTIL</v>
          </cell>
          <cell r="M1803">
            <v>1.7089E-2</v>
          </cell>
          <cell r="N1803">
            <v>1.5790512042943203</v>
          </cell>
        </row>
        <row r="1804">
          <cell r="K1804">
            <v>43861</v>
          </cell>
          <cell r="L1804" t="str">
            <v>DIA ÚTIL</v>
          </cell>
          <cell r="M1804">
            <v>1.7089E-2</v>
          </cell>
          <cell r="N1804">
            <v>1.5793210483546221</v>
          </cell>
        </row>
        <row r="1805">
          <cell r="K1805">
            <v>43862</v>
          </cell>
          <cell r="M1805">
            <v>0</v>
          </cell>
          <cell r="N1805">
            <v>1.5793210483546221</v>
          </cell>
        </row>
        <row r="1806">
          <cell r="K1806">
            <v>43863</v>
          </cell>
          <cell r="M1806">
            <v>0</v>
          </cell>
          <cell r="N1806">
            <v>1.5793210483546221</v>
          </cell>
        </row>
        <row r="1807">
          <cell r="K1807">
            <v>43864</v>
          </cell>
          <cell r="L1807" t="str">
            <v>DIA ÚTIL</v>
          </cell>
          <cell r="M1807">
            <v>1.7089E-2</v>
          </cell>
          <cell r="N1807">
            <v>1.5795909385285754</v>
          </cell>
        </row>
        <row r="1808">
          <cell r="K1808">
            <v>43865</v>
          </cell>
          <cell r="L1808" t="str">
            <v>DIA ÚTIL</v>
          </cell>
          <cell r="M1808">
            <v>1.7089E-2</v>
          </cell>
          <cell r="N1808">
            <v>1.5798608748240603</v>
          </cell>
        </row>
        <row r="1809">
          <cell r="K1809">
            <v>43866</v>
          </cell>
          <cell r="L1809" t="str">
            <v>DIA ÚTIL</v>
          </cell>
          <cell r="M1809">
            <v>1.7089E-2</v>
          </cell>
          <cell r="N1809">
            <v>1.580130857248959</v>
          </cell>
        </row>
        <row r="1810">
          <cell r="K1810">
            <v>43867</v>
          </cell>
          <cell r="L1810" t="str">
            <v>DIA ÚTIL</v>
          </cell>
          <cell r="M1810">
            <v>1.6136999999999999E-2</v>
          </cell>
          <cell r="N1810">
            <v>1.5803858429653934</v>
          </cell>
        </row>
        <row r="1811">
          <cell r="K1811">
            <v>43868</v>
          </cell>
          <cell r="L1811" t="str">
            <v>DIA ÚTIL</v>
          </cell>
          <cell r="M1811">
            <v>1.6136999999999999E-2</v>
          </cell>
          <cell r="N1811">
            <v>1.5806408698288728</v>
          </cell>
        </row>
        <row r="1812">
          <cell r="K1812">
            <v>43869</v>
          </cell>
          <cell r="M1812">
            <v>0</v>
          </cell>
          <cell r="N1812">
            <v>1.5806408698288728</v>
          </cell>
        </row>
        <row r="1813">
          <cell r="K1813">
            <v>43870</v>
          </cell>
          <cell r="M1813">
            <v>0</v>
          </cell>
          <cell r="N1813">
            <v>1.5806408698288728</v>
          </cell>
        </row>
        <row r="1814">
          <cell r="K1814">
            <v>43871</v>
          </cell>
          <cell r="L1814" t="str">
            <v>DIA ÚTIL</v>
          </cell>
          <cell r="M1814">
            <v>1.6136999999999999E-2</v>
          </cell>
          <cell r="N1814">
            <v>1.5808959378460372</v>
          </cell>
        </row>
        <row r="1815">
          <cell r="K1815">
            <v>43872</v>
          </cell>
          <cell r="L1815" t="str">
            <v>DIA ÚTIL</v>
          </cell>
          <cell r="M1815">
            <v>1.6136999999999999E-2</v>
          </cell>
          <cell r="N1815">
            <v>1.5811510470235275</v>
          </cell>
        </row>
        <row r="1816">
          <cell r="K1816">
            <v>43873</v>
          </cell>
          <cell r="L1816" t="str">
            <v>DIA ÚTIL</v>
          </cell>
          <cell r="M1816">
            <v>1.6136999999999999E-2</v>
          </cell>
          <cell r="N1816">
            <v>1.5814061973679858</v>
          </cell>
        </row>
        <row r="1817">
          <cell r="K1817">
            <v>43874</v>
          </cell>
          <cell r="L1817" t="str">
            <v>DIA ÚTIL</v>
          </cell>
          <cell r="M1817">
            <v>1.6136999999999999E-2</v>
          </cell>
          <cell r="N1817">
            <v>1.5816613888860551</v>
          </cell>
        </row>
        <row r="1818">
          <cell r="K1818">
            <v>43875</v>
          </cell>
          <cell r="L1818" t="str">
            <v>DIA ÚTIL</v>
          </cell>
          <cell r="M1818">
            <v>1.6136999999999999E-2</v>
          </cell>
          <cell r="N1818">
            <v>1.5819166215843798</v>
          </cell>
        </row>
        <row r="1819">
          <cell r="K1819">
            <v>43876</v>
          </cell>
          <cell r="M1819">
            <v>0</v>
          </cell>
          <cell r="N1819">
            <v>1.5819166215843798</v>
          </cell>
        </row>
        <row r="1820">
          <cell r="K1820">
            <v>43877</v>
          </cell>
          <cell r="M1820">
            <v>0</v>
          </cell>
          <cell r="N1820">
            <v>1.5819166215843798</v>
          </cell>
        </row>
        <row r="1821">
          <cell r="K1821">
            <v>43878</v>
          </cell>
          <cell r="L1821" t="str">
            <v>DIA ÚTIL</v>
          </cell>
          <cell r="M1821">
            <v>1.6136999999999999E-2</v>
          </cell>
          <cell r="N1821">
            <v>1.5821718954696049</v>
          </cell>
        </row>
        <row r="1822">
          <cell r="K1822">
            <v>43879</v>
          </cell>
          <cell r="L1822" t="str">
            <v>DIA ÚTIL</v>
          </cell>
          <cell r="M1822">
            <v>1.6136999999999999E-2</v>
          </cell>
          <cell r="N1822">
            <v>1.582427210548377</v>
          </cell>
        </row>
        <row r="1823">
          <cell r="K1823">
            <v>43880</v>
          </cell>
          <cell r="L1823" t="str">
            <v>DIA ÚTIL</v>
          </cell>
          <cell r="M1823">
            <v>1.6136999999999999E-2</v>
          </cell>
          <cell r="N1823">
            <v>1.5826825668273432</v>
          </cell>
        </row>
        <row r="1824">
          <cell r="K1824">
            <v>43881</v>
          </cell>
          <cell r="L1824" t="str">
            <v>DIA ÚTIL</v>
          </cell>
          <cell r="M1824">
            <v>1.6136999999999999E-2</v>
          </cell>
          <cell r="N1824">
            <v>1.5829379643131523</v>
          </cell>
        </row>
        <row r="1825">
          <cell r="K1825">
            <v>43882</v>
          </cell>
          <cell r="L1825" t="str">
            <v>DIA ÚTIL</v>
          </cell>
          <cell r="M1825">
            <v>1.6136999999999999E-2</v>
          </cell>
          <cell r="N1825">
            <v>1.5831934030124535</v>
          </cell>
        </row>
        <row r="1826">
          <cell r="K1826">
            <v>43883</v>
          </cell>
          <cell r="M1826">
            <v>0</v>
          </cell>
          <cell r="N1826">
            <v>1.5831934030124535</v>
          </cell>
        </row>
        <row r="1827">
          <cell r="K1827">
            <v>43884</v>
          </cell>
          <cell r="M1827">
            <v>0</v>
          </cell>
          <cell r="N1827">
            <v>1.5831934030124535</v>
          </cell>
        </row>
        <row r="1828">
          <cell r="K1828">
            <v>43885</v>
          </cell>
          <cell r="M1828">
            <v>0</v>
          </cell>
          <cell r="N1828">
            <v>1.5831934030124535</v>
          </cell>
        </row>
        <row r="1829">
          <cell r="K1829">
            <v>43886</v>
          </cell>
          <cell r="M1829">
            <v>0</v>
          </cell>
          <cell r="N1829">
            <v>1.5831934030124535</v>
          </cell>
        </row>
        <row r="1830">
          <cell r="K1830">
            <v>43887</v>
          </cell>
          <cell r="L1830" t="str">
            <v>DIA ÚTIL</v>
          </cell>
          <cell r="M1830">
            <v>1.6136999999999999E-2</v>
          </cell>
          <cell r="N1830">
            <v>1.5834488829318978</v>
          </cell>
        </row>
        <row r="1831">
          <cell r="K1831">
            <v>43888</v>
          </cell>
          <cell r="L1831" t="str">
            <v>DIA ÚTIL</v>
          </cell>
          <cell r="M1831">
            <v>1.6136999999999999E-2</v>
          </cell>
          <cell r="N1831">
            <v>1.5837044040781365</v>
          </cell>
        </row>
        <row r="1832">
          <cell r="K1832">
            <v>43889</v>
          </cell>
          <cell r="L1832" t="str">
            <v>DIA ÚTIL</v>
          </cell>
          <cell r="M1832">
            <v>1.6136999999999999E-2</v>
          </cell>
          <cell r="N1832">
            <v>1.5839599664578228</v>
          </cell>
        </row>
        <row r="1833">
          <cell r="K1833">
            <v>43890</v>
          </cell>
          <cell r="M1833">
            <v>0</v>
          </cell>
          <cell r="N1833">
            <v>1.5839599664578228</v>
          </cell>
        </row>
        <row r="1834">
          <cell r="K1834">
            <v>43891</v>
          </cell>
          <cell r="M1834">
            <v>0</v>
          </cell>
          <cell r="N1834">
            <v>1.5839599664578228</v>
          </cell>
        </row>
        <row r="1835">
          <cell r="K1835">
            <v>43892</v>
          </cell>
          <cell r="L1835" t="str">
            <v>DIA ÚTIL</v>
          </cell>
          <cell r="M1835">
            <v>1.6136999999999999E-2</v>
          </cell>
          <cell r="N1835">
            <v>1.5842155700776102</v>
          </cell>
        </row>
        <row r="1836">
          <cell r="K1836">
            <v>43893</v>
          </cell>
          <cell r="L1836" t="str">
            <v>DIA ÚTIL</v>
          </cell>
          <cell r="M1836">
            <v>1.6136999999999999E-2</v>
          </cell>
          <cell r="N1836">
            <v>1.5844712149441535</v>
          </cell>
        </row>
        <row r="1837">
          <cell r="K1837">
            <v>43894</v>
          </cell>
          <cell r="L1837" t="str">
            <v>DIA ÚTIL</v>
          </cell>
          <cell r="M1837">
            <v>1.6136999999999999E-2</v>
          </cell>
          <cell r="N1837">
            <v>1.5847269010641092</v>
          </cell>
        </row>
        <row r="1838">
          <cell r="K1838">
            <v>43895</v>
          </cell>
          <cell r="L1838" t="str">
            <v>DIA ÚTIL</v>
          </cell>
          <cell r="M1838">
            <v>1.6136999999999999E-2</v>
          </cell>
          <cell r="N1838">
            <v>1.584982628444134</v>
          </cell>
        </row>
        <row r="1839">
          <cell r="K1839">
            <v>43896</v>
          </cell>
          <cell r="L1839" t="str">
            <v>DIA ÚTIL</v>
          </cell>
          <cell r="M1839">
            <v>1.6136999999999999E-2</v>
          </cell>
          <cell r="N1839">
            <v>1.5852383970908861</v>
          </cell>
        </row>
        <row r="1840">
          <cell r="K1840">
            <v>43897</v>
          </cell>
          <cell r="M1840">
            <v>0</v>
          </cell>
          <cell r="N1840">
            <v>1.5852383970908861</v>
          </cell>
        </row>
        <row r="1841">
          <cell r="K1841">
            <v>43898</v>
          </cell>
          <cell r="M1841">
            <v>0</v>
          </cell>
          <cell r="N1841">
            <v>1.5852383970908861</v>
          </cell>
        </row>
        <row r="1842">
          <cell r="K1842">
            <v>43899</v>
          </cell>
          <cell r="L1842" t="str">
            <v>DIA ÚTIL</v>
          </cell>
          <cell r="M1842">
            <v>1.6136999999999999E-2</v>
          </cell>
          <cell r="N1842">
            <v>1.5854942070110247</v>
          </cell>
        </row>
        <row r="1843">
          <cell r="K1843">
            <v>43900</v>
          </cell>
          <cell r="L1843" t="str">
            <v>DIA ÚTIL</v>
          </cell>
          <cell r="M1843">
            <v>1.6136999999999999E-2</v>
          </cell>
          <cell r="N1843">
            <v>1.5857500582112101</v>
          </cell>
        </row>
        <row r="1844">
          <cell r="K1844">
            <v>43901</v>
          </cell>
          <cell r="L1844" t="str">
            <v>DIA ÚTIL</v>
          </cell>
          <cell r="M1844">
            <v>1.6136999999999999E-2</v>
          </cell>
          <cell r="N1844">
            <v>1.5860059506981037</v>
          </cell>
        </row>
        <row r="1845">
          <cell r="K1845">
            <v>43902</v>
          </cell>
          <cell r="L1845" t="str">
            <v>DIA ÚTIL</v>
          </cell>
          <cell r="M1845">
            <v>1.6136999999999999E-2</v>
          </cell>
          <cell r="N1845">
            <v>1.586261884478368</v>
          </cell>
        </row>
        <row r="1846">
          <cell r="K1846">
            <v>43903</v>
          </cell>
          <cell r="L1846" t="str">
            <v>DIA ÚTIL</v>
          </cell>
          <cell r="M1846">
            <v>1.6136999999999999E-2</v>
          </cell>
          <cell r="N1846">
            <v>1.5865178595586664</v>
          </cell>
        </row>
        <row r="1847">
          <cell r="K1847">
            <v>43904</v>
          </cell>
          <cell r="M1847">
            <v>0</v>
          </cell>
          <cell r="N1847">
            <v>1.5865178595586664</v>
          </cell>
        </row>
        <row r="1848">
          <cell r="K1848">
            <v>43905</v>
          </cell>
          <cell r="M1848">
            <v>0</v>
          </cell>
          <cell r="N1848">
            <v>1.5865178595586664</v>
          </cell>
        </row>
        <row r="1849">
          <cell r="K1849">
            <v>43906</v>
          </cell>
          <cell r="L1849" t="str">
            <v>DIA ÚTIL</v>
          </cell>
          <cell r="M1849">
            <v>1.6136999999999999E-2</v>
          </cell>
          <cell r="N1849">
            <v>1.5867738759456635</v>
          </cell>
        </row>
        <row r="1850">
          <cell r="K1850">
            <v>43907</v>
          </cell>
          <cell r="L1850" t="str">
            <v>DIA ÚTIL</v>
          </cell>
          <cell r="M1850">
            <v>1.6136999999999999E-2</v>
          </cell>
          <cell r="N1850">
            <v>1.587029933646025</v>
          </cell>
        </row>
        <row r="1851">
          <cell r="K1851">
            <v>43908</v>
          </cell>
          <cell r="L1851" t="str">
            <v>DIA ÚTIL</v>
          </cell>
          <cell r="M1851">
            <v>1.6136999999999999E-2</v>
          </cell>
          <cell r="N1851">
            <v>1.5872860326664175</v>
          </cell>
        </row>
        <row r="1852">
          <cell r="K1852">
            <v>43909</v>
          </cell>
          <cell r="L1852" t="str">
            <v>DIA ÚTIL</v>
          </cell>
          <cell r="M1852">
            <v>1.4227E-2</v>
          </cell>
          <cell r="N1852">
            <v>1.587511855850285</v>
          </cell>
        </row>
        <row r="1853">
          <cell r="K1853">
            <v>43910</v>
          </cell>
          <cell r="L1853" t="str">
            <v>DIA ÚTIL</v>
          </cell>
          <cell r="M1853">
            <v>1.4227E-2</v>
          </cell>
          <cell r="N1853">
            <v>1.5877377111620168</v>
          </cell>
        </row>
        <row r="1854">
          <cell r="K1854">
            <v>43911</v>
          </cell>
          <cell r="M1854">
            <v>0</v>
          </cell>
          <cell r="N1854">
            <v>1.5877377111620168</v>
          </cell>
        </row>
        <row r="1855">
          <cell r="K1855">
            <v>43912</v>
          </cell>
          <cell r="M1855">
            <v>0</v>
          </cell>
          <cell r="N1855">
            <v>1.5877377111620168</v>
          </cell>
        </row>
        <row r="1856">
          <cell r="K1856">
            <v>43913</v>
          </cell>
          <cell r="L1856" t="str">
            <v>DIA ÚTIL</v>
          </cell>
          <cell r="M1856">
            <v>1.4227E-2</v>
          </cell>
          <cell r="N1856">
            <v>1.5879635986061837</v>
          </cell>
        </row>
        <row r="1857">
          <cell r="K1857">
            <v>43914</v>
          </cell>
          <cell r="L1857" t="str">
            <v>DIA ÚTIL</v>
          </cell>
          <cell r="M1857">
            <v>1.4227E-2</v>
          </cell>
          <cell r="N1857">
            <v>1.5881895181873575</v>
          </cell>
        </row>
        <row r="1858">
          <cell r="K1858">
            <v>43915</v>
          </cell>
          <cell r="L1858" t="str">
            <v>DIA ÚTIL</v>
          </cell>
          <cell r="M1858">
            <v>1.4227E-2</v>
          </cell>
          <cell r="N1858">
            <v>1.5884154699101101</v>
          </cell>
        </row>
        <row r="1859">
          <cell r="K1859">
            <v>43916</v>
          </cell>
          <cell r="L1859" t="str">
            <v>DIA ÚTIL</v>
          </cell>
          <cell r="M1859">
            <v>1.4227E-2</v>
          </cell>
          <cell r="N1859">
            <v>1.5886414537790141</v>
          </cell>
        </row>
        <row r="1860">
          <cell r="K1860">
            <v>43917</v>
          </cell>
          <cell r="L1860" t="str">
            <v>DIA ÚTIL</v>
          </cell>
          <cell r="M1860">
            <v>1.4227E-2</v>
          </cell>
          <cell r="N1860">
            <v>1.5888674697986434</v>
          </cell>
        </row>
        <row r="1861">
          <cell r="K1861">
            <v>43918</v>
          </cell>
          <cell r="M1861">
            <v>0</v>
          </cell>
          <cell r="N1861">
            <v>1.5888674697986434</v>
          </cell>
        </row>
        <row r="1862">
          <cell r="K1862">
            <v>43919</v>
          </cell>
          <cell r="M1862">
            <v>0</v>
          </cell>
          <cell r="N1862">
            <v>1.5888674697986434</v>
          </cell>
        </row>
        <row r="1863">
          <cell r="K1863">
            <v>43920</v>
          </cell>
          <cell r="L1863" t="str">
            <v>DIA ÚTIL</v>
          </cell>
          <cell r="M1863">
            <v>1.4227E-2</v>
          </cell>
          <cell r="N1863">
            <v>1.5890935179735717</v>
          </cell>
        </row>
        <row r="1864">
          <cell r="K1864">
            <v>43921</v>
          </cell>
          <cell r="L1864" t="str">
            <v>DIA ÚTIL</v>
          </cell>
          <cell r="M1864">
            <v>1.4227E-2</v>
          </cell>
          <cell r="N1864">
            <v>1.5893195983083739</v>
          </cell>
        </row>
        <row r="1865">
          <cell r="K1865">
            <v>43922</v>
          </cell>
          <cell r="L1865" t="str">
            <v>DIA ÚTIL</v>
          </cell>
          <cell r="M1865">
            <v>1.4227E-2</v>
          </cell>
          <cell r="N1865">
            <v>1.5895457108076252</v>
          </cell>
        </row>
        <row r="1866">
          <cell r="K1866">
            <v>43923</v>
          </cell>
          <cell r="L1866" t="str">
            <v>DIA ÚTIL</v>
          </cell>
          <cell r="M1866">
            <v>1.4227E-2</v>
          </cell>
          <cell r="N1866">
            <v>1.5897718554759017</v>
          </cell>
        </row>
        <row r="1867">
          <cell r="K1867">
            <v>43924</v>
          </cell>
          <cell r="L1867" t="str">
            <v>DIA ÚTIL</v>
          </cell>
          <cell r="M1867">
            <v>1.4227E-2</v>
          </cell>
          <cell r="N1867">
            <v>1.5899980323177803</v>
          </cell>
        </row>
        <row r="1868">
          <cell r="K1868">
            <v>43925</v>
          </cell>
          <cell r="M1868">
            <v>0</v>
          </cell>
          <cell r="N1868">
            <v>1.5899980323177803</v>
          </cell>
        </row>
        <row r="1869">
          <cell r="K1869">
            <v>43926</v>
          </cell>
          <cell r="M1869">
            <v>0</v>
          </cell>
          <cell r="N1869">
            <v>1.5899980323177803</v>
          </cell>
        </row>
        <row r="1870">
          <cell r="K1870">
            <v>43927</v>
          </cell>
          <cell r="L1870" t="str">
            <v>DIA ÚTIL</v>
          </cell>
          <cell r="M1870">
            <v>1.4227E-2</v>
          </cell>
          <cell r="N1870">
            <v>1.590224241337838</v>
          </cell>
        </row>
        <row r="1871">
          <cell r="K1871">
            <v>43928</v>
          </cell>
          <cell r="L1871" t="str">
            <v>DIA ÚTIL</v>
          </cell>
          <cell r="M1871">
            <v>1.4227E-2</v>
          </cell>
          <cell r="N1871">
            <v>1.5904504825406531</v>
          </cell>
        </row>
        <row r="1872">
          <cell r="K1872">
            <v>43929</v>
          </cell>
          <cell r="L1872" t="str">
            <v>DIA ÚTIL</v>
          </cell>
          <cell r="M1872">
            <v>1.4227E-2</v>
          </cell>
          <cell r="N1872">
            <v>1.5906767559308042</v>
          </cell>
        </row>
        <row r="1873">
          <cell r="K1873">
            <v>43930</v>
          </cell>
          <cell r="L1873" t="str">
            <v>DIA ÚTIL</v>
          </cell>
          <cell r="M1873">
            <v>1.4227E-2</v>
          </cell>
          <cell r="N1873">
            <v>1.5909030615128705</v>
          </cell>
        </row>
        <row r="1874">
          <cell r="K1874">
            <v>43931</v>
          </cell>
          <cell r="M1874">
            <v>0</v>
          </cell>
          <cell r="N1874">
            <v>1.5909030615128705</v>
          </cell>
        </row>
        <row r="1875">
          <cell r="K1875">
            <v>43932</v>
          </cell>
          <cell r="M1875">
            <v>0</v>
          </cell>
          <cell r="N1875">
            <v>1.5909030615128705</v>
          </cell>
        </row>
        <row r="1876">
          <cell r="K1876">
            <v>43933</v>
          </cell>
          <cell r="M1876">
            <v>0</v>
          </cell>
          <cell r="N1876">
            <v>1.5909030615128705</v>
          </cell>
        </row>
        <row r="1877">
          <cell r="K1877">
            <v>43934</v>
          </cell>
          <cell r="L1877" t="str">
            <v>DIA ÚTIL</v>
          </cell>
          <cell r="M1877">
            <v>1.4227E-2</v>
          </cell>
          <cell r="N1877">
            <v>1.5911293992914319</v>
          </cell>
        </row>
        <row r="1878">
          <cell r="K1878">
            <v>43935</v>
          </cell>
          <cell r="L1878" t="str">
            <v>DIA ÚTIL</v>
          </cell>
          <cell r="M1878">
            <v>1.4227E-2</v>
          </cell>
          <cell r="N1878">
            <v>1.5913557692710691</v>
          </cell>
        </row>
        <row r="1879">
          <cell r="K1879">
            <v>43936</v>
          </cell>
          <cell r="L1879" t="str">
            <v>DIA ÚTIL</v>
          </cell>
          <cell r="M1879">
            <v>1.4227E-2</v>
          </cell>
          <cell r="N1879">
            <v>1.5915821714563634</v>
          </cell>
        </row>
        <row r="1880">
          <cell r="K1880">
            <v>43937</v>
          </cell>
          <cell r="L1880" t="str">
            <v>DIA ÚTIL</v>
          </cell>
          <cell r="M1880">
            <v>1.4227E-2</v>
          </cell>
          <cell r="N1880">
            <v>1.5918086058518965</v>
          </cell>
        </row>
        <row r="1881">
          <cell r="K1881">
            <v>43938</v>
          </cell>
          <cell r="L1881" t="str">
            <v>DIA ÚTIL</v>
          </cell>
          <cell r="M1881">
            <v>1.4227E-2</v>
          </cell>
          <cell r="N1881">
            <v>1.5920350724622512</v>
          </cell>
        </row>
        <row r="1882">
          <cell r="K1882">
            <v>43939</v>
          </cell>
          <cell r="M1882">
            <v>0</v>
          </cell>
          <cell r="N1882">
            <v>1.5920350724622512</v>
          </cell>
        </row>
        <row r="1883">
          <cell r="K1883">
            <v>43940</v>
          </cell>
          <cell r="M1883">
            <v>0</v>
          </cell>
          <cell r="N1883">
            <v>1.5920350724622512</v>
          </cell>
        </row>
        <row r="1884">
          <cell r="K1884">
            <v>43941</v>
          </cell>
          <cell r="L1884" t="str">
            <v>DIA ÚTIL</v>
          </cell>
          <cell r="M1884">
            <v>1.4227E-2</v>
          </cell>
          <cell r="N1884">
            <v>1.5922615712920103</v>
          </cell>
        </row>
        <row r="1885">
          <cell r="K1885">
            <v>43942</v>
          </cell>
          <cell r="M1885">
            <v>0</v>
          </cell>
          <cell r="N1885">
            <v>1.5922615712920103</v>
          </cell>
        </row>
        <row r="1886">
          <cell r="K1886">
            <v>43943</v>
          </cell>
          <cell r="L1886" t="str">
            <v>DIA ÚTIL</v>
          </cell>
          <cell r="M1886">
            <v>1.4227E-2</v>
          </cell>
          <cell r="N1886">
            <v>1.592488102345758</v>
          </cell>
        </row>
        <row r="1887">
          <cell r="K1887">
            <v>43944</v>
          </cell>
          <cell r="L1887" t="str">
            <v>DIA ÚTIL</v>
          </cell>
          <cell r="M1887">
            <v>1.4227E-2</v>
          </cell>
          <cell r="N1887">
            <v>1.5927146656280786</v>
          </cell>
        </row>
        <row r="1888">
          <cell r="K1888">
            <v>43945</v>
          </cell>
          <cell r="L1888" t="str">
            <v>DIA ÚTIL</v>
          </cell>
          <cell r="M1888">
            <v>1.4227E-2</v>
          </cell>
          <cell r="N1888">
            <v>1.5929412611435576</v>
          </cell>
        </row>
        <row r="1889">
          <cell r="K1889">
            <v>43946</v>
          </cell>
          <cell r="M1889">
            <v>0</v>
          </cell>
          <cell r="N1889">
            <v>1.5929412611435576</v>
          </cell>
        </row>
        <row r="1890">
          <cell r="K1890">
            <v>43947</v>
          </cell>
          <cell r="M1890">
            <v>0</v>
          </cell>
          <cell r="N1890">
            <v>1.5929412611435576</v>
          </cell>
        </row>
        <row r="1891">
          <cell r="K1891">
            <v>43948</v>
          </cell>
          <cell r="L1891" t="str">
            <v>DIA ÚTIL</v>
          </cell>
          <cell r="M1891">
            <v>1.4227E-2</v>
          </cell>
          <cell r="N1891">
            <v>1.5931678888967804</v>
          </cell>
        </row>
        <row r="1892">
          <cell r="K1892">
            <v>43949</v>
          </cell>
          <cell r="L1892" t="str">
            <v>DIA ÚTIL</v>
          </cell>
          <cell r="M1892">
            <v>1.4227E-2</v>
          </cell>
          <cell r="N1892">
            <v>1.5933945488923338</v>
          </cell>
        </row>
        <row r="1893">
          <cell r="K1893">
            <v>43950</v>
          </cell>
          <cell r="L1893" t="str">
            <v>DIA ÚTIL</v>
          </cell>
          <cell r="M1893">
            <v>1.4227E-2</v>
          </cell>
          <cell r="N1893">
            <v>1.5936212411348047</v>
          </cell>
        </row>
        <row r="1894">
          <cell r="K1894">
            <v>43951</v>
          </cell>
          <cell r="L1894" t="str">
            <v>DIA ÚTIL</v>
          </cell>
          <cell r="M1894">
            <v>1.4227E-2</v>
          </cell>
          <cell r="N1894">
            <v>1.5938479656287809</v>
          </cell>
        </row>
        <row r="1895">
          <cell r="K1895">
            <v>43952</v>
          </cell>
          <cell r="M1895">
            <v>0</v>
          </cell>
          <cell r="N1895">
            <v>1.5938479656287809</v>
          </cell>
        </row>
        <row r="1896">
          <cell r="K1896">
            <v>43953</v>
          </cell>
          <cell r="M1896">
            <v>0</v>
          </cell>
          <cell r="N1896">
            <v>1.5938479656287809</v>
          </cell>
        </row>
        <row r="1897">
          <cell r="K1897">
            <v>43954</v>
          </cell>
          <cell r="M1897">
            <v>0</v>
          </cell>
          <cell r="N1897">
            <v>1.5938479656287809</v>
          </cell>
        </row>
        <row r="1898">
          <cell r="K1898">
            <v>43955</v>
          </cell>
          <cell r="L1898" t="str">
            <v>DIA ÚTIL</v>
          </cell>
          <cell r="M1898">
            <v>1.4227E-2</v>
          </cell>
          <cell r="N1898">
            <v>1.594074722378851</v>
          </cell>
        </row>
        <row r="1899">
          <cell r="K1899">
            <v>43956</v>
          </cell>
          <cell r="L1899" t="str">
            <v>DIA ÚTIL</v>
          </cell>
          <cell r="M1899">
            <v>1.4227E-2</v>
          </cell>
          <cell r="N1899">
            <v>1.5943015113896037</v>
          </cell>
        </row>
        <row r="1900">
          <cell r="K1900">
            <v>43957</v>
          </cell>
          <cell r="L1900" t="str">
            <v>DIA ÚTIL</v>
          </cell>
          <cell r="M1900">
            <v>1.4227E-2</v>
          </cell>
          <cell r="N1900">
            <v>1.5945283326656292</v>
          </cell>
        </row>
        <row r="1901">
          <cell r="K1901">
            <v>43958</v>
          </cell>
          <cell r="L1901" t="str">
            <v>DIA ÚTIL</v>
          </cell>
          <cell r="M1901">
            <v>1.1344999999999999E-2</v>
          </cell>
          <cell r="N1901">
            <v>1.59470923190497</v>
          </cell>
        </row>
        <row r="1902">
          <cell r="K1902">
            <v>43959</v>
          </cell>
          <cell r="L1902" t="str">
            <v>DIA ÚTIL</v>
          </cell>
          <cell r="M1902">
            <v>1.1344999999999999E-2</v>
          </cell>
          <cell r="N1902">
            <v>1.5948901516673295</v>
          </cell>
        </row>
        <row r="1903">
          <cell r="K1903">
            <v>43960</v>
          </cell>
          <cell r="M1903">
            <v>0</v>
          </cell>
          <cell r="N1903">
            <v>1.5948901516673295</v>
          </cell>
        </row>
        <row r="1904">
          <cell r="K1904">
            <v>43961</v>
          </cell>
          <cell r="M1904">
            <v>0</v>
          </cell>
          <cell r="N1904">
            <v>1.5948901516673295</v>
          </cell>
        </row>
        <row r="1905">
          <cell r="K1905">
            <v>43962</v>
          </cell>
          <cell r="L1905" t="str">
            <v>DIA ÚTIL</v>
          </cell>
          <cell r="M1905">
            <v>1.1344999999999999E-2</v>
          </cell>
          <cell r="N1905">
            <v>1.5950710919550362</v>
          </cell>
        </row>
        <row r="1906">
          <cell r="K1906">
            <v>43963</v>
          </cell>
          <cell r="L1906" t="str">
            <v>DIA ÚTIL</v>
          </cell>
          <cell r="M1906">
            <v>1.1344999999999999E-2</v>
          </cell>
          <cell r="N1906">
            <v>1.5952520527704184</v>
          </cell>
        </row>
        <row r="1907">
          <cell r="K1907">
            <v>43964</v>
          </cell>
          <cell r="L1907" t="str">
            <v>DIA ÚTIL</v>
          </cell>
          <cell r="M1907">
            <v>1.1344999999999999E-2</v>
          </cell>
          <cell r="N1907">
            <v>1.5954330341158052</v>
          </cell>
        </row>
        <row r="1908">
          <cell r="K1908">
            <v>43965</v>
          </cell>
          <cell r="L1908" t="str">
            <v>DIA ÚTIL</v>
          </cell>
          <cell r="M1908">
            <v>1.1344999999999999E-2</v>
          </cell>
          <cell r="N1908">
            <v>1.5956140359935256</v>
          </cell>
        </row>
        <row r="1909">
          <cell r="K1909">
            <v>43966</v>
          </cell>
          <cell r="L1909" t="str">
            <v>DIA ÚTIL</v>
          </cell>
          <cell r="M1909">
            <v>1.1344999999999999E-2</v>
          </cell>
          <cell r="N1909">
            <v>1.5957950584059091</v>
          </cell>
        </row>
        <row r="1910">
          <cell r="K1910">
            <v>43967</v>
          </cell>
          <cell r="M1910">
            <v>0</v>
          </cell>
          <cell r="N1910">
            <v>1.5957950584059091</v>
          </cell>
        </row>
        <row r="1911">
          <cell r="K1911">
            <v>43968</v>
          </cell>
          <cell r="M1911">
            <v>0</v>
          </cell>
          <cell r="N1911">
            <v>1.5957950584059091</v>
          </cell>
        </row>
        <row r="1912">
          <cell r="K1912">
            <v>43969</v>
          </cell>
          <cell r="L1912" t="str">
            <v>DIA ÚTIL</v>
          </cell>
          <cell r="M1912">
            <v>1.1344999999999999E-2</v>
          </cell>
          <cell r="N1912">
            <v>1.5959761013552851</v>
          </cell>
        </row>
        <row r="1913">
          <cell r="K1913">
            <v>43970</v>
          </cell>
          <cell r="L1913" t="str">
            <v>DIA ÚTIL</v>
          </cell>
          <cell r="M1913">
            <v>1.1344999999999999E-2</v>
          </cell>
          <cell r="N1913">
            <v>1.5961571648439838</v>
          </cell>
        </row>
        <row r="1914">
          <cell r="K1914">
            <v>43971</v>
          </cell>
          <cell r="L1914" t="str">
            <v>DIA ÚTIL</v>
          </cell>
          <cell r="M1914">
            <v>1.1344999999999999E-2</v>
          </cell>
          <cell r="N1914">
            <v>1.5963382488743354</v>
          </cell>
        </row>
        <row r="1915">
          <cell r="K1915">
            <v>43972</v>
          </cell>
          <cell r="L1915" t="str">
            <v>DIA ÚTIL</v>
          </cell>
          <cell r="M1915">
            <v>1.1344999999999999E-2</v>
          </cell>
          <cell r="N1915">
            <v>1.5965193534486701</v>
          </cell>
        </row>
        <row r="1916">
          <cell r="K1916">
            <v>43973</v>
          </cell>
          <cell r="L1916" t="str">
            <v>DIA ÚTIL</v>
          </cell>
          <cell r="M1916">
            <v>1.1344999999999999E-2</v>
          </cell>
          <cell r="N1916">
            <v>1.5967004785693188</v>
          </cell>
        </row>
        <row r="1917">
          <cell r="K1917">
            <v>43974</v>
          </cell>
          <cell r="M1917">
            <v>0</v>
          </cell>
          <cell r="N1917">
            <v>1.5967004785693188</v>
          </cell>
        </row>
        <row r="1918">
          <cell r="K1918">
            <v>43975</v>
          </cell>
          <cell r="M1918">
            <v>0</v>
          </cell>
          <cell r="N1918">
            <v>1.5967004785693188</v>
          </cell>
        </row>
        <row r="1919">
          <cell r="K1919">
            <v>43976</v>
          </cell>
          <cell r="L1919" t="str">
            <v>DIA ÚTIL</v>
          </cell>
          <cell r="M1919">
            <v>1.1344999999999999E-2</v>
          </cell>
          <cell r="N1919">
            <v>1.5968816242386126</v>
          </cell>
        </row>
        <row r="1920">
          <cell r="K1920">
            <v>43977</v>
          </cell>
          <cell r="L1920" t="str">
            <v>DIA ÚTIL</v>
          </cell>
          <cell r="M1920">
            <v>1.1344999999999999E-2</v>
          </cell>
          <cell r="N1920">
            <v>1.5970627904588823</v>
          </cell>
        </row>
        <row r="1921">
          <cell r="K1921">
            <v>43978</v>
          </cell>
          <cell r="L1921" t="str">
            <v>DIA ÚTIL</v>
          </cell>
          <cell r="M1921">
            <v>1.1344999999999999E-2</v>
          </cell>
          <cell r="N1921">
            <v>1.5972439772324598</v>
          </cell>
        </row>
        <row r="1922">
          <cell r="K1922">
            <v>43979</v>
          </cell>
          <cell r="L1922" t="str">
            <v>DIA ÚTIL</v>
          </cell>
          <cell r="M1922">
            <v>1.1344999999999999E-2</v>
          </cell>
          <cell r="N1922">
            <v>1.5974251845616767</v>
          </cell>
        </row>
        <row r="1923">
          <cell r="K1923">
            <v>43980</v>
          </cell>
          <cell r="L1923" t="str">
            <v>DIA ÚTIL</v>
          </cell>
          <cell r="M1923">
            <v>1.1344999999999999E-2</v>
          </cell>
          <cell r="N1923">
            <v>1.5976064124488651</v>
          </cell>
        </row>
        <row r="1924">
          <cell r="K1924">
            <v>43981</v>
          </cell>
          <cell r="M1924">
            <v>0</v>
          </cell>
          <cell r="N1924">
            <v>1.5976064124488651</v>
          </cell>
        </row>
        <row r="1925">
          <cell r="K1925">
            <v>43982</v>
          </cell>
          <cell r="M1925">
            <v>0</v>
          </cell>
          <cell r="N1925">
            <v>1.5976064124488651</v>
          </cell>
        </row>
        <row r="1926">
          <cell r="K1926">
            <v>43983</v>
          </cell>
          <cell r="L1926" t="str">
            <v>DIA ÚTIL</v>
          </cell>
          <cell r="M1926">
            <v>1.1344999999999999E-2</v>
          </cell>
          <cell r="N1926">
            <v>1.5977876608963575</v>
          </cell>
        </row>
        <row r="1927">
          <cell r="K1927">
            <v>43984</v>
          </cell>
          <cell r="L1927" t="str">
            <v>DIA ÚTIL</v>
          </cell>
          <cell r="M1927">
            <v>1.1344999999999999E-2</v>
          </cell>
          <cell r="N1927">
            <v>1.5979689299064861</v>
          </cell>
        </row>
        <row r="1928">
          <cell r="K1928">
            <v>43985</v>
          </cell>
          <cell r="L1928" t="str">
            <v>DIA ÚTIL</v>
          </cell>
          <cell r="M1928">
            <v>1.1344999999999999E-2</v>
          </cell>
          <cell r="N1928">
            <v>1.598150219481584</v>
          </cell>
        </row>
        <row r="1929">
          <cell r="K1929">
            <v>43986</v>
          </cell>
          <cell r="L1929" t="str">
            <v>DIA ÚTIL</v>
          </cell>
          <cell r="M1929">
            <v>1.1344999999999999E-2</v>
          </cell>
          <cell r="N1929">
            <v>1.5983315296239842</v>
          </cell>
        </row>
        <row r="1930">
          <cell r="K1930">
            <v>43987</v>
          </cell>
          <cell r="L1930" t="str">
            <v>DIA ÚTIL</v>
          </cell>
          <cell r="M1930">
            <v>1.1344999999999999E-2</v>
          </cell>
          <cell r="N1930">
            <v>1.5985128603360199</v>
          </cell>
        </row>
        <row r="1931">
          <cell r="K1931">
            <v>43988</v>
          </cell>
          <cell r="M1931">
            <v>0</v>
          </cell>
          <cell r="N1931">
            <v>1.5985128603360199</v>
          </cell>
        </row>
        <row r="1932">
          <cell r="K1932">
            <v>43989</v>
          </cell>
          <cell r="M1932">
            <v>0</v>
          </cell>
          <cell r="N1932">
            <v>1.5985128603360199</v>
          </cell>
        </row>
        <row r="1933">
          <cell r="K1933">
            <v>43990</v>
          </cell>
          <cell r="L1933" t="str">
            <v>DIA ÚTIL</v>
          </cell>
          <cell r="M1933">
            <v>1.1344999999999999E-2</v>
          </cell>
          <cell r="N1933">
            <v>1.5986942116200249</v>
          </cell>
        </row>
        <row r="1934">
          <cell r="K1934">
            <v>43991</v>
          </cell>
          <cell r="L1934" t="str">
            <v>DIA ÚTIL</v>
          </cell>
          <cell r="M1934">
            <v>1.1344999999999999E-2</v>
          </cell>
          <cell r="N1934">
            <v>1.598875583478333</v>
          </cell>
        </row>
        <row r="1935">
          <cell r="K1935">
            <v>43992</v>
          </cell>
          <cell r="L1935" t="str">
            <v>DIA ÚTIL</v>
          </cell>
          <cell r="M1935">
            <v>1.1344999999999999E-2</v>
          </cell>
          <cell r="N1935">
            <v>1.5990569759132787</v>
          </cell>
        </row>
        <row r="1936">
          <cell r="K1936">
            <v>43993</v>
          </cell>
          <cell r="M1936">
            <v>0</v>
          </cell>
          <cell r="N1936">
            <v>1.5990569759132787</v>
          </cell>
        </row>
        <row r="1937">
          <cell r="K1937">
            <v>43994</v>
          </cell>
          <cell r="L1937" t="str">
            <v>DIA ÚTIL</v>
          </cell>
          <cell r="M1937">
            <v>1.1344999999999999E-2</v>
          </cell>
          <cell r="N1937">
            <v>1.5992383889271959</v>
          </cell>
        </row>
        <row r="1938">
          <cell r="K1938">
            <v>43995</v>
          </cell>
          <cell r="M1938">
            <v>0</v>
          </cell>
          <cell r="N1938">
            <v>1.5992383889271959</v>
          </cell>
        </row>
        <row r="1939">
          <cell r="K1939">
            <v>43996</v>
          </cell>
          <cell r="M1939">
            <v>0</v>
          </cell>
          <cell r="N1939">
            <v>1.5992383889271959</v>
          </cell>
        </row>
        <row r="1940">
          <cell r="K1940">
            <v>43997</v>
          </cell>
          <cell r="L1940" t="str">
            <v>DIA ÚTIL</v>
          </cell>
          <cell r="M1940">
            <v>1.1344999999999999E-2</v>
          </cell>
          <cell r="N1940">
            <v>1.5994198225224197</v>
          </cell>
        </row>
        <row r="1941">
          <cell r="K1941">
            <v>43998</v>
          </cell>
          <cell r="L1941" t="str">
            <v>DIA ÚTIL</v>
          </cell>
          <cell r="M1941">
            <v>1.1344999999999999E-2</v>
          </cell>
          <cell r="N1941">
            <v>1.5996012767012848</v>
          </cell>
        </row>
        <row r="1942">
          <cell r="K1942">
            <v>43999</v>
          </cell>
          <cell r="L1942" t="str">
            <v>DIA ÚTIL</v>
          </cell>
          <cell r="M1942">
            <v>1.1344999999999999E-2</v>
          </cell>
          <cell r="N1942">
            <v>1.5997827514661265</v>
          </cell>
        </row>
        <row r="1943">
          <cell r="K1943">
            <v>44000</v>
          </cell>
          <cell r="L1943" t="str">
            <v>DIA ÚTIL</v>
          </cell>
          <cell r="M1943">
            <v>8.4419999999999999E-3</v>
          </cell>
          <cell r="N1943">
            <v>1.5999178051260055</v>
          </cell>
        </row>
        <row r="1944">
          <cell r="K1944">
            <v>44001</v>
          </cell>
          <cell r="L1944" t="str">
            <v>DIA ÚTIL</v>
          </cell>
          <cell r="M1944">
            <v>8.4419999999999999E-3</v>
          </cell>
          <cell r="N1944">
            <v>1.6000528701871144</v>
          </cell>
        </row>
        <row r="1945">
          <cell r="K1945">
            <v>44002</v>
          </cell>
          <cell r="M1945">
            <v>0</v>
          </cell>
          <cell r="N1945">
            <v>1.6000528701871144</v>
          </cell>
        </row>
        <row r="1946">
          <cell r="K1946">
            <v>44003</v>
          </cell>
          <cell r="M1946">
            <v>0</v>
          </cell>
          <cell r="N1946">
            <v>1.6000528701871144</v>
          </cell>
        </row>
        <row r="1947">
          <cell r="K1947">
            <v>44004</v>
          </cell>
          <cell r="L1947" t="str">
            <v>DIA ÚTIL</v>
          </cell>
          <cell r="M1947">
            <v>8.4419999999999999E-3</v>
          </cell>
          <cell r="N1947">
            <v>1.6001879466504156</v>
          </cell>
        </row>
        <row r="1948">
          <cell r="K1948">
            <v>44005</v>
          </cell>
          <cell r="L1948" t="str">
            <v>DIA ÚTIL</v>
          </cell>
          <cell r="M1948">
            <v>8.4419999999999999E-3</v>
          </cell>
          <cell r="N1948">
            <v>1.600323034516872</v>
          </cell>
        </row>
        <row r="1949">
          <cell r="K1949">
            <v>44006</v>
          </cell>
          <cell r="L1949" t="str">
            <v>DIA ÚTIL</v>
          </cell>
          <cell r="M1949">
            <v>8.4419999999999999E-3</v>
          </cell>
          <cell r="N1949">
            <v>1.6004581337874459</v>
          </cell>
        </row>
        <row r="1950">
          <cell r="K1950">
            <v>44007</v>
          </cell>
          <cell r="L1950" t="str">
            <v>DIA ÚTIL</v>
          </cell>
          <cell r="M1950">
            <v>8.4419999999999999E-3</v>
          </cell>
          <cell r="N1950">
            <v>1.6005932444631004</v>
          </cell>
        </row>
        <row r="1951">
          <cell r="K1951">
            <v>44008</v>
          </cell>
          <cell r="L1951" t="str">
            <v>DIA ÚTIL</v>
          </cell>
          <cell r="M1951">
            <v>8.4419999999999999E-3</v>
          </cell>
          <cell r="N1951">
            <v>1.600728366544798</v>
          </cell>
        </row>
        <row r="1952">
          <cell r="K1952">
            <v>44009</v>
          </cell>
          <cell r="M1952">
            <v>0</v>
          </cell>
          <cell r="N1952">
            <v>1.600728366544798</v>
          </cell>
        </row>
        <row r="1953">
          <cell r="K1953">
            <v>44010</v>
          </cell>
          <cell r="M1953">
            <v>0</v>
          </cell>
          <cell r="N1953">
            <v>1.600728366544798</v>
          </cell>
        </row>
        <row r="1954">
          <cell r="K1954">
            <v>44011</v>
          </cell>
          <cell r="L1954" t="str">
            <v>DIA ÚTIL</v>
          </cell>
          <cell r="M1954">
            <v>8.4419999999999999E-3</v>
          </cell>
          <cell r="N1954">
            <v>1.6008635000335019</v>
          </cell>
        </row>
        <row r="1955">
          <cell r="K1955">
            <v>44012</v>
          </cell>
          <cell r="L1955" t="str">
            <v>DIA ÚTIL</v>
          </cell>
          <cell r="M1955">
            <v>8.4419999999999999E-3</v>
          </cell>
          <cell r="N1955">
            <v>1.6009986449301747</v>
          </cell>
        </row>
        <row r="1956">
          <cell r="K1956">
            <v>44013</v>
          </cell>
          <cell r="L1956" t="str">
            <v>DIA ÚTIL</v>
          </cell>
          <cell r="M1956">
            <v>8.4419999999999999E-3</v>
          </cell>
          <cell r="N1956">
            <v>1.6011338012357799</v>
          </cell>
        </row>
        <row r="1957">
          <cell r="K1957">
            <v>44014</v>
          </cell>
          <cell r="L1957" t="str">
            <v>DIA ÚTIL</v>
          </cell>
          <cell r="M1957">
            <v>8.4419999999999999E-3</v>
          </cell>
          <cell r="N1957">
            <v>1.6012689689512802</v>
          </cell>
        </row>
        <row r="1958">
          <cell r="K1958">
            <v>44015</v>
          </cell>
          <cell r="L1958" t="str">
            <v>DIA ÚTIL</v>
          </cell>
          <cell r="M1958">
            <v>8.4419999999999999E-3</v>
          </cell>
          <cell r="N1958">
            <v>1.6014041480776393</v>
          </cell>
        </row>
        <row r="1959">
          <cell r="K1959">
            <v>44016</v>
          </cell>
          <cell r="M1959">
            <v>0</v>
          </cell>
          <cell r="N1959">
            <v>1.6014041480776393</v>
          </cell>
        </row>
        <row r="1960">
          <cell r="K1960">
            <v>44017</v>
          </cell>
          <cell r="M1960">
            <v>0</v>
          </cell>
          <cell r="N1960">
            <v>1.6014041480776393</v>
          </cell>
        </row>
        <row r="1961">
          <cell r="K1961">
            <v>44018</v>
          </cell>
          <cell r="L1961" t="str">
            <v>DIA ÚTIL</v>
          </cell>
          <cell r="M1961">
            <v>8.4419999999999999E-3</v>
          </cell>
          <cell r="N1961">
            <v>1.6015393386158201</v>
          </cell>
        </row>
        <row r="1962">
          <cell r="K1962">
            <v>44019</v>
          </cell>
          <cell r="L1962" t="str">
            <v>DIA ÚTIL</v>
          </cell>
          <cell r="M1962">
            <v>8.4419999999999999E-3</v>
          </cell>
          <cell r="N1962">
            <v>1.6016745405667863</v>
          </cell>
        </row>
        <row r="1963">
          <cell r="K1963">
            <v>44020</v>
          </cell>
          <cell r="L1963" t="str">
            <v>DIA ÚTIL</v>
          </cell>
          <cell r="M1963">
            <v>8.4419999999999999E-3</v>
          </cell>
          <cell r="N1963">
            <v>1.601809753931501</v>
          </cell>
        </row>
        <row r="1964">
          <cell r="K1964">
            <v>44021</v>
          </cell>
          <cell r="L1964" t="str">
            <v>DIA ÚTIL</v>
          </cell>
          <cell r="M1964">
            <v>8.4419999999999999E-3</v>
          </cell>
          <cell r="N1964">
            <v>1.6019449787109281</v>
          </cell>
        </row>
        <row r="1965">
          <cell r="K1965">
            <v>44022</v>
          </cell>
          <cell r="L1965" t="str">
            <v>DIA ÚTIL</v>
          </cell>
          <cell r="M1965">
            <v>8.4419999999999999E-3</v>
          </cell>
          <cell r="N1965">
            <v>1.6020802149060309</v>
          </cell>
        </row>
        <row r="1966">
          <cell r="K1966">
            <v>44023</v>
          </cell>
          <cell r="M1966">
            <v>0</v>
          </cell>
          <cell r="N1966">
            <v>1.6020802149060309</v>
          </cell>
        </row>
        <row r="1967">
          <cell r="K1967">
            <v>44024</v>
          </cell>
          <cell r="M1967">
            <v>0</v>
          </cell>
          <cell r="N1967">
            <v>1.6020802149060309</v>
          </cell>
        </row>
        <row r="1968">
          <cell r="K1968">
            <v>44025</v>
          </cell>
          <cell r="L1968" t="str">
            <v>DIA ÚTIL</v>
          </cell>
          <cell r="M1968">
            <v>8.4419999999999999E-3</v>
          </cell>
          <cell r="N1968">
            <v>1.6022154625177734</v>
          </cell>
        </row>
        <row r="1969">
          <cell r="K1969">
            <v>44026</v>
          </cell>
          <cell r="L1969" t="str">
            <v>DIA ÚTIL</v>
          </cell>
          <cell r="M1969">
            <v>8.4419999999999999E-3</v>
          </cell>
          <cell r="N1969">
            <v>1.6023507215471193</v>
          </cell>
        </row>
        <row r="1970">
          <cell r="K1970">
            <v>44027</v>
          </cell>
          <cell r="L1970" t="str">
            <v>DIA ÚTIL</v>
          </cell>
          <cell r="M1970">
            <v>8.4419999999999999E-3</v>
          </cell>
          <cell r="N1970">
            <v>1.6024859919950325</v>
          </cell>
        </row>
        <row r="1971">
          <cell r="K1971">
            <v>44028</v>
          </cell>
          <cell r="L1971" t="str">
            <v>DIA ÚTIL</v>
          </cell>
          <cell r="M1971">
            <v>8.4419999999999999E-3</v>
          </cell>
          <cell r="N1971">
            <v>1.6026212738624768</v>
          </cell>
        </row>
        <row r="1972">
          <cell r="K1972">
            <v>44029</v>
          </cell>
          <cell r="L1972" t="str">
            <v>DIA ÚTIL</v>
          </cell>
          <cell r="M1972">
            <v>8.4419999999999999E-3</v>
          </cell>
          <cell r="N1972">
            <v>1.6027565671504165</v>
          </cell>
        </row>
        <row r="1973">
          <cell r="K1973">
            <v>44030</v>
          </cell>
          <cell r="M1973">
            <v>0</v>
          </cell>
          <cell r="N1973">
            <v>1.6027565671504165</v>
          </cell>
        </row>
        <row r="1974">
          <cell r="K1974">
            <v>44031</v>
          </cell>
          <cell r="M1974">
            <v>0</v>
          </cell>
          <cell r="N1974">
            <v>1.6027565671504165</v>
          </cell>
        </row>
        <row r="1975">
          <cell r="K1975">
            <v>44032</v>
          </cell>
          <cell r="L1975" t="str">
            <v>DIA ÚTIL</v>
          </cell>
          <cell r="M1975">
            <v>8.4419999999999999E-3</v>
          </cell>
          <cell r="N1975">
            <v>1.6028918718598155</v>
          </cell>
        </row>
        <row r="1976">
          <cell r="K1976">
            <v>44033</v>
          </cell>
          <cell r="L1976" t="str">
            <v>DIA ÚTIL</v>
          </cell>
          <cell r="M1976">
            <v>8.4419999999999999E-3</v>
          </cell>
          <cell r="N1976">
            <v>1.603027187991638</v>
          </cell>
        </row>
        <row r="1977">
          <cell r="K1977">
            <v>44034</v>
          </cell>
          <cell r="L1977" t="str">
            <v>DIA ÚTIL</v>
          </cell>
          <cell r="M1977">
            <v>8.4419999999999999E-3</v>
          </cell>
          <cell r="N1977">
            <v>1.6031625155468483</v>
          </cell>
        </row>
        <row r="1978">
          <cell r="K1978">
            <v>44035</v>
          </cell>
          <cell r="L1978" t="str">
            <v>DIA ÚTIL</v>
          </cell>
          <cell r="M1978">
            <v>8.4419999999999999E-3</v>
          </cell>
          <cell r="N1978">
            <v>1.6032978545264109</v>
          </cell>
        </row>
        <row r="1979">
          <cell r="K1979">
            <v>44036</v>
          </cell>
          <cell r="L1979" t="str">
            <v>DIA ÚTIL</v>
          </cell>
          <cell r="M1979">
            <v>8.4419999999999999E-3</v>
          </cell>
          <cell r="N1979">
            <v>1.6034332049312903</v>
          </cell>
        </row>
        <row r="1980">
          <cell r="K1980">
            <v>44037</v>
          </cell>
          <cell r="M1980">
            <v>0</v>
          </cell>
          <cell r="N1980">
            <v>1.6034332049312903</v>
          </cell>
        </row>
        <row r="1981">
          <cell r="K1981">
            <v>44038</v>
          </cell>
          <cell r="M1981">
            <v>0</v>
          </cell>
          <cell r="N1981">
            <v>1.6034332049312903</v>
          </cell>
        </row>
        <row r="1982">
          <cell r="K1982">
            <v>44039</v>
          </cell>
          <cell r="L1982" t="str">
            <v>DIA ÚTIL</v>
          </cell>
          <cell r="M1982">
            <v>8.4419999999999999E-3</v>
          </cell>
          <cell r="N1982">
            <v>1.6035685667624506</v>
          </cell>
        </row>
        <row r="1983">
          <cell r="K1983">
            <v>44040</v>
          </cell>
          <cell r="L1983" t="str">
            <v>DIA ÚTIL</v>
          </cell>
          <cell r="M1983">
            <v>8.4419999999999999E-3</v>
          </cell>
          <cell r="N1983">
            <v>1.6037039400208568</v>
          </cell>
        </row>
        <row r="1984">
          <cell r="K1984">
            <v>44041</v>
          </cell>
          <cell r="L1984" t="str">
            <v>DIA ÚTIL</v>
          </cell>
          <cell r="M1984">
            <v>8.4419999999999999E-3</v>
          </cell>
          <cell r="N1984">
            <v>1.6038393247074736</v>
          </cell>
        </row>
        <row r="1985">
          <cell r="K1985">
            <v>44042</v>
          </cell>
          <cell r="L1985" t="str">
            <v>DIA ÚTIL</v>
          </cell>
          <cell r="M1985">
            <v>8.4419999999999999E-3</v>
          </cell>
          <cell r="N1985">
            <v>1.6039747208232655</v>
          </cell>
        </row>
        <row r="1986">
          <cell r="K1986">
            <v>44043</v>
          </cell>
          <cell r="L1986" t="str">
            <v>DIA ÚTIL</v>
          </cell>
          <cell r="M1986">
            <v>8.4419999999999999E-3</v>
          </cell>
          <cell r="N1986">
            <v>1.6041101283691976</v>
          </cell>
        </row>
        <row r="1987">
          <cell r="K1987">
            <v>44044</v>
          </cell>
          <cell r="M1987">
            <v>0</v>
          </cell>
          <cell r="N1987">
            <v>1.6041101283691976</v>
          </cell>
        </row>
        <row r="1988">
          <cell r="K1988">
            <v>44045</v>
          </cell>
          <cell r="M1988">
            <v>0</v>
          </cell>
          <cell r="N1988">
            <v>1.6041101283691976</v>
          </cell>
        </row>
        <row r="1989">
          <cell r="K1989">
            <v>44046</v>
          </cell>
          <cell r="L1989" t="str">
            <v>DIA ÚTIL</v>
          </cell>
          <cell r="M1989">
            <v>8.4419999999999999E-3</v>
          </cell>
          <cell r="N1989">
            <v>1.6042455473462347</v>
          </cell>
        </row>
        <row r="1990">
          <cell r="K1990">
            <v>44047</v>
          </cell>
          <cell r="L1990" t="str">
            <v>DIA ÚTIL</v>
          </cell>
          <cell r="M1990">
            <v>8.4419999999999999E-3</v>
          </cell>
          <cell r="N1990">
            <v>1.6043809777553417</v>
          </cell>
        </row>
        <row r="1991">
          <cell r="K1991">
            <v>44048</v>
          </cell>
          <cell r="L1991" t="str">
            <v>DIA ÚTIL</v>
          </cell>
          <cell r="M1991">
            <v>8.4419999999999999E-3</v>
          </cell>
          <cell r="N1991">
            <v>1.6045164195974839</v>
          </cell>
        </row>
        <row r="1992">
          <cell r="K1992">
            <v>44049</v>
          </cell>
          <cell r="L1992" t="str">
            <v>DIA ÚTIL</v>
          </cell>
          <cell r="M1992">
            <v>7.4689999999999999E-3</v>
          </cell>
          <cell r="N1992">
            <v>1.6046362609288636</v>
          </cell>
        </row>
        <row r="1993">
          <cell r="K1993">
            <v>44050</v>
          </cell>
          <cell r="L1993" t="str">
            <v>DIA ÚTIL</v>
          </cell>
          <cell r="M1993">
            <v>7.4689999999999999E-3</v>
          </cell>
          <cell r="N1993">
            <v>1.6047561112111923</v>
          </cell>
        </row>
        <row r="1994">
          <cell r="K1994">
            <v>44051</v>
          </cell>
          <cell r="M1994">
            <v>0</v>
          </cell>
          <cell r="N1994">
            <v>1.6047561112111923</v>
          </cell>
        </row>
        <row r="1995">
          <cell r="K1995">
            <v>44052</v>
          </cell>
          <cell r="M1995">
            <v>0</v>
          </cell>
          <cell r="N1995">
            <v>1.6047561112111923</v>
          </cell>
        </row>
        <row r="1996">
          <cell r="K1996">
            <v>44053</v>
          </cell>
          <cell r="L1996" t="str">
            <v>DIA ÚTIL</v>
          </cell>
          <cell r="M1996">
            <v>7.4689999999999999E-3</v>
          </cell>
          <cell r="N1996">
            <v>1.6048759704451385</v>
          </cell>
        </row>
        <row r="1997">
          <cell r="K1997">
            <v>44054</v>
          </cell>
          <cell r="L1997" t="str">
            <v>DIA ÚTIL</v>
          </cell>
          <cell r="M1997">
            <v>7.4689999999999999E-3</v>
          </cell>
          <cell r="N1997">
            <v>1.604995838631371</v>
          </cell>
        </row>
        <row r="1998">
          <cell r="K1998">
            <v>44055</v>
          </cell>
          <cell r="L1998" t="str">
            <v>DIA ÚTIL</v>
          </cell>
          <cell r="M1998">
            <v>7.4689999999999999E-3</v>
          </cell>
          <cell r="N1998">
            <v>1.6051157157705582</v>
          </cell>
        </row>
        <row r="1999">
          <cell r="K1999">
            <v>44056</v>
          </cell>
          <cell r="L1999" t="str">
            <v>DIA ÚTIL</v>
          </cell>
          <cell r="M1999">
            <v>7.4689999999999999E-3</v>
          </cell>
          <cell r="N1999">
            <v>1.6052356018633691</v>
          </cell>
        </row>
        <row r="2000">
          <cell r="K2000">
            <v>44057</v>
          </cell>
          <cell r="L2000" t="str">
            <v>DIA ÚTIL</v>
          </cell>
          <cell r="M2000">
            <v>7.4689999999999999E-3</v>
          </cell>
          <cell r="N2000">
            <v>1.6053554969104722</v>
          </cell>
        </row>
        <row r="2001">
          <cell r="K2001">
            <v>44058</v>
          </cell>
          <cell r="M2001">
            <v>0</v>
          </cell>
          <cell r="N2001">
            <v>1.6053554969104722</v>
          </cell>
        </row>
        <row r="2002">
          <cell r="K2002">
            <v>44059</v>
          </cell>
          <cell r="M2002">
            <v>0</v>
          </cell>
          <cell r="N2002">
            <v>1.6053554969104722</v>
          </cell>
        </row>
        <row r="2003">
          <cell r="K2003">
            <v>44060</v>
          </cell>
          <cell r="L2003" t="str">
            <v>DIA ÚTIL</v>
          </cell>
          <cell r="M2003">
            <v>7.4689999999999999E-3</v>
          </cell>
          <cell r="N2003">
            <v>1.6054754009125363</v>
          </cell>
        </row>
        <row r="2004">
          <cell r="K2004">
            <v>44061</v>
          </cell>
          <cell r="L2004" t="str">
            <v>DIA ÚTIL</v>
          </cell>
          <cell r="M2004">
            <v>7.4689999999999999E-3</v>
          </cell>
          <cell r="N2004">
            <v>1.6055953138702304</v>
          </cell>
        </row>
        <row r="2005">
          <cell r="K2005">
            <v>44062</v>
          </cell>
          <cell r="L2005" t="str">
            <v>DIA ÚTIL</v>
          </cell>
          <cell r="M2005">
            <v>7.4689999999999999E-3</v>
          </cell>
          <cell r="N2005">
            <v>1.6057152357842233</v>
          </cell>
        </row>
        <row r="2006">
          <cell r="K2006">
            <v>44063</v>
          </cell>
          <cell r="L2006" t="str">
            <v>DIA ÚTIL</v>
          </cell>
          <cell r="M2006">
            <v>7.4689999999999999E-3</v>
          </cell>
          <cell r="N2006">
            <v>1.6058351666551838</v>
          </cell>
        </row>
        <row r="2007">
          <cell r="K2007">
            <v>44064</v>
          </cell>
          <cell r="L2007" t="str">
            <v>DIA ÚTIL</v>
          </cell>
          <cell r="M2007">
            <v>7.4689999999999999E-3</v>
          </cell>
          <cell r="N2007">
            <v>1.6059551064837811</v>
          </cell>
        </row>
        <row r="2008">
          <cell r="K2008">
            <v>44065</v>
          </cell>
          <cell r="M2008">
            <v>0</v>
          </cell>
          <cell r="N2008">
            <v>1.6059551064837811</v>
          </cell>
        </row>
        <row r="2009">
          <cell r="K2009">
            <v>44066</v>
          </cell>
          <cell r="M2009">
            <v>0</v>
          </cell>
          <cell r="N2009">
            <v>1.6059551064837811</v>
          </cell>
        </row>
        <row r="2010">
          <cell r="K2010">
            <v>44067</v>
          </cell>
          <cell r="L2010" t="str">
            <v>DIA ÚTIL</v>
          </cell>
          <cell r="M2010">
            <v>7.4689999999999999E-3</v>
          </cell>
          <cell r="N2010">
            <v>1.6060750552706844</v>
          </cell>
        </row>
        <row r="2011">
          <cell r="K2011">
            <v>44068</v>
          </cell>
          <cell r="L2011" t="str">
            <v>DIA ÚTIL</v>
          </cell>
          <cell r="M2011">
            <v>7.4689999999999999E-3</v>
          </cell>
          <cell r="N2011">
            <v>1.6061950130165625</v>
          </cell>
        </row>
        <row r="2012">
          <cell r="K2012">
            <v>44069</v>
          </cell>
          <cell r="L2012" t="str">
            <v>DIA ÚTIL</v>
          </cell>
          <cell r="M2012">
            <v>7.4689999999999999E-3</v>
          </cell>
          <cell r="N2012">
            <v>1.6063149797220846</v>
          </cell>
        </row>
        <row r="2013">
          <cell r="K2013">
            <v>44070</v>
          </cell>
          <cell r="L2013" t="str">
            <v>DIA ÚTIL</v>
          </cell>
          <cell r="M2013">
            <v>7.4689999999999999E-3</v>
          </cell>
          <cell r="N2013">
            <v>1.60643495538792</v>
          </cell>
        </row>
        <row r="2014">
          <cell r="K2014">
            <v>44071</v>
          </cell>
          <cell r="L2014" t="str">
            <v>DIA ÚTIL</v>
          </cell>
          <cell r="M2014">
            <v>7.4689999999999999E-3</v>
          </cell>
          <cell r="N2014">
            <v>1.6065549400147379</v>
          </cell>
        </row>
        <row r="2015">
          <cell r="K2015">
            <v>44072</v>
          </cell>
          <cell r="M2015">
            <v>0</v>
          </cell>
          <cell r="N2015">
            <v>1.6065549400147379</v>
          </cell>
        </row>
        <row r="2016">
          <cell r="K2016">
            <v>44073</v>
          </cell>
          <cell r="M2016">
            <v>0</v>
          </cell>
          <cell r="N2016">
            <v>1.6065549400147379</v>
          </cell>
        </row>
        <row r="2017">
          <cell r="K2017">
            <v>44074</v>
          </cell>
          <cell r="L2017" t="str">
            <v>DIA ÚTIL</v>
          </cell>
          <cell r="M2017">
            <v>7.4689999999999999E-3</v>
          </cell>
          <cell r="N2017">
            <v>1.6066749336032076</v>
          </cell>
        </row>
        <row r="2018">
          <cell r="K2018">
            <v>44075</v>
          </cell>
          <cell r="L2018" t="str">
            <v>DIA ÚTIL</v>
          </cell>
          <cell r="M2018">
            <v>7.4689999999999999E-3</v>
          </cell>
          <cell r="N2018">
            <v>1.6067949361539984</v>
          </cell>
        </row>
        <row r="2019">
          <cell r="K2019">
            <v>44076</v>
          </cell>
          <cell r="L2019" t="str">
            <v>DIA ÚTIL</v>
          </cell>
          <cell r="M2019">
            <v>7.4689999999999999E-3</v>
          </cell>
          <cell r="N2019">
            <v>1.6069149476677795</v>
          </cell>
        </row>
        <row r="2020">
          <cell r="K2020">
            <v>44077</v>
          </cell>
          <cell r="L2020" t="str">
            <v>DIA ÚTIL</v>
          </cell>
          <cell r="M2020">
            <v>7.4689999999999999E-3</v>
          </cell>
          <cell r="N2020">
            <v>1.6070349681452207</v>
          </cell>
        </row>
        <row r="2021">
          <cell r="K2021">
            <v>44078</v>
          </cell>
          <cell r="L2021" t="str">
            <v>DIA ÚTIL</v>
          </cell>
          <cell r="M2021">
            <v>7.4689999999999999E-3</v>
          </cell>
          <cell r="N2021">
            <v>1.6071549975869914</v>
          </cell>
        </row>
        <row r="2022">
          <cell r="K2022">
            <v>44079</v>
          </cell>
          <cell r="M2022">
            <v>0</v>
          </cell>
          <cell r="N2022">
            <v>1.6071549975869914</v>
          </cell>
        </row>
        <row r="2023">
          <cell r="K2023">
            <v>44080</v>
          </cell>
          <cell r="M2023">
            <v>0</v>
          </cell>
          <cell r="N2023">
            <v>1.6071549975869914</v>
          </cell>
        </row>
        <row r="2024">
          <cell r="K2024">
            <v>44081</v>
          </cell>
          <cell r="M2024">
            <v>0</v>
          </cell>
          <cell r="N2024">
            <v>1.6071549975869914</v>
          </cell>
        </row>
        <row r="2025">
          <cell r="K2025">
            <v>44082</v>
          </cell>
          <cell r="L2025" t="str">
            <v>DIA ÚTIL</v>
          </cell>
          <cell r="M2025">
            <v>7.4689999999999999E-3</v>
          </cell>
          <cell r="N2025">
            <v>1.6072750359937611</v>
          </cell>
        </row>
        <row r="2026">
          <cell r="K2026">
            <v>44083</v>
          </cell>
          <cell r="L2026" t="str">
            <v>DIA ÚTIL</v>
          </cell>
          <cell r="M2026">
            <v>7.4689999999999999E-3</v>
          </cell>
          <cell r="N2026">
            <v>1.6073950833661994</v>
          </cell>
        </row>
        <row r="2027">
          <cell r="K2027">
            <v>44084</v>
          </cell>
          <cell r="L2027" t="str">
            <v>DIA ÚTIL</v>
          </cell>
          <cell r="M2027">
            <v>7.4689999999999999E-3</v>
          </cell>
          <cell r="N2027">
            <v>1.6075151397049758</v>
          </cell>
        </row>
        <row r="2028">
          <cell r="K2028">
            <v>44085</v>
          </cell>
          <cell r="L2028" t="str">
            <v>DIA ÚTIL</v>
          </cell>
          <cell r="M2028">
            <v>7.4689999999999999E-3</v>
          </cell>
          <cell r="N2028">
            <v>1.6076352050107603</v>
          </cell>
        </row>
        <row r="2029">
          <cell r="K2029">
            <v>44086</v>
          </cell>
          <cell r="M2029">
            <v>0</v>
          </cell>
          <cell r="N2029">
            <v>1.6076352050107603</v>
          </cell>
        </row>
        <row r="2030">
          <cell r="K2030">
            <v>44087</v>
          </cell>
          <cell r="M2030">
            <v>0</v>
          </cell>
          <cell r="N2030">
            <v>1.6076352050107603</v>
          </cell>
        </row>
        <row r="2031">
          <cell r="K2031">
            <v>44088</v>
          </cell>
          <cell r="L2031" t="str">
            <v>DIA ÚTIL</v>
          </cell>
          <cell r="M2031">
            <v>7.4689999999999999E-3</v>
          </cell>
          <cell r="N2031">
            <v>1.6077552792842225</v>
          </cell>
        </row>
        <row r="2032">
          <cell r="K2032">
            <v>44089</v>
          </cell>
          <cell r="L2032" t="str">
            <v>DIA ÚTIL</v>
          </cell>
          <cell r="M2032">
            <v>7.4689999999999999E-3</v>
          </cell>
          <cell r="N2032">
            <v>1.607875362526032</v>
          </cell>
        </row>
        <row r="2033">
          <cell r="K2033">
            <v>44090</v>
          </cell>
          <cell r="L2033" t="str">
            <v>DIA ÚTIL</v>
          </cell>
          <cell r="M2033">
            <v>7.4689999999999999E-3</v>
          </cell>
          <cell r="N2033">
            <v>1.6079954547368589</v>
          </cell>
        </row>
        <row r="2034">
          <cell r="K2034">
            <v>44091</v>
          </cell>
          <cell r="L2034" t="str">
            <v>DIA ÚTIL</v>
          </cell>
          <cell r="M2034">
            <v>7.4689999999999999E-3</v>
          </cell>
          <cell r="N2034">
            <v>1.608115555917373</v>
          </cell>
        </row>
        <row r="2035">
          <cell r="K2035">
            <v>44092</v>
          </cell>
          <cell r="L2035" t="str">
            <v>DIA ÚTIL</v>
          </cell>
          <cell r="M2035">
            <v>7.4689999999999999E-3</v>
          </cell>
          <cell r="N2035">
            <v>1.6082356660682444</v>
          </cell>
        </row>
        <row r="2036">
          <cell r="K2036">
            <v>44093</v>
          </cell>
          <cell r="M2036">
            <v>0</v>
          </cell>
          <cell r="N2036">
            <v>1.6082356660682444</v>
          </cell>
        </row>
        <row r="2037">
          <cell r="K2037">
            <v>44094</v>
          </cell>
          <cell r="M2037">
            <v>0</v>
          </cell>
          <cell r="N2037">
            <v>1.6082356660682444</v>
          </cell>
        </row>
        <row r="2038">
          <cell r="K2038">
            <v>44095</v>
          </cell>
          <cell r="L2038" t="str">
            <v>DIA ÚTIL</v>
          </cell>
          <cell r="M2038">
            <v>7.4689999999999999E-3</v>
          </cell>
          <cell r="N2038">
            <v>1.6083557851901429</v>
          </cell>
        </row>
        <row r="2039">
          <cell r="K2039">
            <v>44096</v>
          </cell>
          <cell r="L2039" t="str">
            <v>DIA ÚTIL</v>
          </cell>
          <cell r="M2039">
            <v>7.4689999999999999E-3</v>
          </cell>
          <cell r="N2039">
            <v>1.6084759132837387</v>
          </cell>
        </row>
        <row r="2040">
          <cell r="K2040">
            <v>44097</v>
          </cell>
          <cell r="L2040" t="str">
            <v>DIA ÚTIL</v>
          </cell>
          <cell r="M2040">
            <v>7.4689999999999999E-3</v>
          </cell>
          <cell r="N2040">
            <v>1.6085960503497019</v>
          </cell>
        </row>
        <row r="2041">
          <cell r="K2041">
            <v>44098</v>
          </cell>
          <cell r="L2041" t="str">
            <v>DIA ÚTIL</v>
          </cell>
          <cell r="M2041">
            <v>7.4689999999999999E-3</v>
          </cell>
          <cell r="N2041">
            <v>1.6087161963887024</v>
          </cell>
        </row>
        <row r="2042">
          <cell r="K2042">
            <v>44099</v>
          </cell>
          <cell r="L2042" t="str">
            <v>DIA ÚTIL</v>
          </cell>
          <cell r="M2042">
            <v>7.4689999999999999E-3</v>
          </cell>
          <cell r="N2042">
            <v>1.6088363514014106</v>
          </cell>
        </row>
        <row r="2043">
          <cell r="K2043">
            <v>44100</v>
          </cell>
          <cell r="M2043">
            <v>0</v>
          </cell>
          <cell r="N2043">
            <v>1.6088363514014106</v>
          </cell>
        </row>
        <row r="2044">
          <cell r="K2044">
            <v>44101</v>
          </cell>
          <cell r="M2044">
            <v>0</v>
          </cell>
          <cell r="N2044">
            <v>1.6088363514014106</v>
          </cell>
        </row>
        <row r="2045">
          <cell r="K2045">
            <v>44102</v>
          </cell>
          <cell r="L2045" t="str">
            <v>DIA ÚTIL</v>
          </cell>
          <cell r="M2045">
            <v>7.4689999999999999E-3</v>
          </cell>
          <cell r="N2045">
            <v>1.6089565153884966</v>
          </cell>
        </row>
        <row r="2046">
          <cell r="K2046">
            <v>44103</v>
          </cell>
          <cell r="L2046" t="str">
            <v>DIA ÚTIL</v>
          </cell>
          <cell r="M2046">
            <v>7.4689999999999999E-3</v>
          </cell>
          <cell r="N2046">
            <v>1.6090766883506309</v>
          </cell>
        </row>
        <row r="2047">
          <cell r="K2047">
            <v>44104</v>
          </cell>
          <cell r="L2047" t="str">
            <v>DIA ÚTIL</v>
          </cell>
          <cell r="M2047">
            <v>7.4689999999999999E-3</v>
          </cell>
          <cell r="N2047">
            <v>1.6091968702884838</v>
          </cell>
        </row>
        <row r="2048">
          <cell r="K2048">
            <v>44105</v>
          </cell>
          <cell r="L2048" t="str">
            <v>DIA ÚTIL</v>
          </cell>
          <cell r="M2048">
            <v>7.4689999999999999E-3</v>
          </cell>
          <cell r="N2048">
            <v>1.6093170612027254</v>
          </cell>
        </row>
        <row r="2049">
          <cell r="K2049">
            <v>44106</v>
          </cell>
          <cell r="L2049" t="str">
            <v>DIA ÚTIL</v>
          </cell>
          <cell r="M2049">
            <v>7.4689999999999999E-3</v>
          </cell>
          <cell r="N2049">
            <v>1.6094372610940266</v>
          </cell>
        </row>
        <row r="2050">
          <cell r="K2050">
            <v>44107</v>
          </cell>
          <cell r="M2050">
            <v>0</v>
          </cell>
          <cell r="N2050">
            <v>1.6094372610940266</v>
          </cell>
        </row>
        <row r="2051">
          <cell r="K2051">
            <v>44108</v>
          </cell>
          <cell r="M2051">
            <v>0</v>
          </cell>
          <cell r="N2051">
            <v>1.6094372610940266</v>
          </cell>
        </row>
        <row r="2052">
          <cell r="K2052">
            <v>44109</v>
          </cell>
          <cell r="L2052" t="str">
            <v>DIA ÚTIL</v>
          </cell>
          <cell r="M2052">
            <v>7.4689999999999999E-3</v>
          </cell>
          <cell r="N2052">
            <v>1.6095574699630577</v>
          </cell>
        </row>
        <row r="2053">
          <cell r="K2053">
            <v>44110</v>
          </cell>
          <cell r="L2053" t="str">
            <v>DIA ÚTIL</v>
          </cell>
          <cell r="M2053">
            <v>7.4689999999999999E-3</v>
          </cell>
          <cell r="N2053">
            <v>1.609677687810489</v>
          </cell>
        </row>
        <row r="2054">
          <cell r="K2054">
            <v>44111</v>
          </cell>
          <cell r="L2054" t="str">
            <v>DIA ÚTIL</v>
          </cell>
          <cell r="M2054">
            <v>7.4689999999999999E-3</v>
          </cell>
          <cell r="N2054">
            <v>1.6097979146369914</v>
          </cell>
        </row>
        <row r="2055">
          <cell r="K2055">
            <v>44112</v>
          </cell>
          <cell r="L2055" t="str">
            <v>DIA ÚTIL</v>
          </cell>
          <cell r="M2055">
            <v>7.4689999999999999E-3</v>
          </cell>
          <cell r="N2055">
            <v>1.6099181504432356</v>
          </cell>
        </row>
        <row r="2056">
          <cell r="K2056">
            <v>44113</v>
          </cell>
          <cell r="L2056" t="str">
            <v>DIA ÚTIL</v>
          </cell>
          <cell r="M2056">
            <v>7.4689999999999999E-3</v>
          </cell>
          <cell r="N2056">
            <v>1.610038395229892</v>
          </cell>
        </row>
        <row r="2057">
          <cell r="K2057">
            <v>44114</v>
          </cell>
          <cell r="M2057">
            <v>0</v>
          </cell>
          <cell r="N2057">
            <v>1.610038395229892</v>
          </cell>
        </row>
        <row r="2058">
          <cell r="K2058">
            <v>44115</v>
          </cell>
          <cell r="M2058">
            <v>0</v>
          </cell>
          <cell r="N2058">
            <v>1.610038395229892</v>
          </cell>
        </row>
        <row r="2059">
          <cell r="K2059">
            <v>44116</v>
          </cell>
          <cell r="M2059">
            <v>0</v>
          </cell>
          <cell r="N2059">
            <v>1.610038395229892</v>
          </cell>
        </row>
        <row r="2060">
          <cell r="K2060">
            <v>44117</v>
          </cell>
          <cell r="L2060" t="str">
            <v>DIA ÚTIL</v>
          </cell>
          <cell r="M2060">
            <v>7.4689999999999999E-3</v>
          </cell>
          <cell r="N2060">
            <v>1.6101586489976316</v>
          </cell>
        </row>
        <row r="2061">
          <cell r="K2061">
            <v>44118</v>
          </cell>
          <cell r="L2061" t="str">
            <v>DIA ÚTIL</v>
          </cell>
          <cell r="M2061">
            <v>7.4689999999999999E-3</v>
          </cell>
          <cell r="N2061">
            <v>1.6102789117471252</v>
          </cell>
        </row>
        <row r="2062">
          <cell r="K2062">
            <v>44119</v>
          </cell>
          <cell r="L2062" t="str">
            <v>DIA ÚTIL</v>
          </cell>
          <cell r="M2062">
            <v>7.4689999999999999E-3</v>
          </cell>
          <cell r="N2062">
            <v>1.6103991834790434</v>
          </cell>
        </row>
        <row r="2063">
          <cell r="K2063">
            <v>44120</v>
          </cell>
          <cell r="L2063" t="str">
            <v>DIA ÚTIL</v>
          </cell>
          <cell r="M2063">
            <v>7.4689999999999999E-3</v>
          </cell>
          <cell r="N2063">
            <v>1.6105194641940574</v>
          </cell>
        </row>
        <row r="2064">
          <cell r="K2064">
            <v>44121</v>
          </cell>
          <cell r="M2064">
            <v>0</v>
          </cell>
          <cell r="N2064">
            <v>1.6105194641940574</v>
          </cell>
        </row>
        <row r="2065">
          <cell r="K2065">
            <v>44122</v>
          </cell>
          <cell r="M2065">
            <v>0</v>
          </cell>
          <cell r="N2065">
            <v>1.6105194641940574</v>
          </cell>
        </row>
        <row r="2066">
          <cell r="K2066">
            <v>44123</v>
          </cell>
          <cell r="L2066" t="str">
            <v>DIA ÚTIL</v>
          </cell>
          <cell r="M2066">
            <v>7.4689999999999999E-3</v>
          </cell>
          <cell r="N2066">
            <v>1.6106397538928381</v>
          </cell>
        </row>
        <row r="2067">
          <cell r="K2067">
            <v>44124</v>
          </cell>
          <cell r="L2067" t="str">
            <v>DIA ÚTIL</v>
          </cell>
          <cell r="M2067">
            <v>7.4689999999999999E-3</v>
          </cell>
          <cell r="N2067">
            <v>1.6107600525760561</v>
          </cell>
        </row>
        <row r="2068">
          <cell r="K2068">
            <v>44125</v>
          </cell>
          <cell r="L2068" t="str">
            <v>DIA ÚTIL</v>
          </cell>
          <cell r="M2068">
            <v>7.4689999999999999E-3</v>
          </cell>
          <cell r="N2068">
            <v>1.6108803602443829</v>
          </cell>
        </row>
        <row r="2069">
          <cell r="K2069">
            <v>44126</v>
          </cell>
          <cell r="L2069" t="str">
            <v>DIA ÚTIL</v>
          </cell>
          <cell r="M2069">
            <v>7.4689999999999999E-3</v>
          </cell>
          <cell r="N2069">
            <v>1.6110006768984895</v>
          </cell>
        </row>
        <row r="2070">
          <cell r="K2070">
            <v>44127</v>
          </cell>
          <cell r="L2070" t="str">
            <v>DIA ÚTIL</v>
          </cell>
          <cell r="M2070">
            <v>7.4689999999999999E-3</v>
          </cell>
          <cell r="N2070">
            <v>1.611121002539047</v>
          </cell>
        </row>
        <row r="2071">
          <cell r="K2071">
            <v>44128</v>
          </cell>
          <cell r="M2071">
            <v>0</v>
          </cell>
          <cell r="N2071">
            <v>1.611121002539047</v>
          </cell>
        </row>
        <row r="2072">
          <cell r="K2072">
            <v>44129</v>
          </cell>
          <cell r="M2072">
            <v>0</v>
          </cell>
          <cell r="N2072">
            <v>1.611121002539047</v>
          </cell>
        </row>
        <row r="2073">
          <cell r="K2073">
            <v>44130</v>
          </cell>
          <cell r="L2073" t="str">
            <v>DIA ÚTIL</v>
          </cell>
          <cell r="M2073">
            <v>7.4689999999999999E-3</v>
          </cell>
          <cell r="N2073">
            <v>1.6112413371667265</v>
          </cell>
        </row>
        <row r="2074">
          <cell r="K2074">
            <v>44131</v>
          </cell>
          <cell r="L2074" t="str">
            <v>DIA ÚTIL</v>
          </cell>
          <cell r="M2074">
            <v>7.4689999999999999E-3</v>
          </cell>
          <cell r="N2074">
            <v>1.6113616807821993</v>
          </cell>
        </row>
        <row r="2075">
          <cell r="K2075">
            <v>44132</v>
          </cell>
          <cell r="L2075" t="str">
            <v>DIA ÚTIL</v>
          </cell>
          <cell r="M2075">
            <v>7.4689999999999999E-3</v>
          </cell>
          <cell r="N2075">
            <v>1.6114820333861368</v>
          </cell>
        </row>
        <row r="2076">
          <cell r="K2076">
            <v>44133</v>
          </cell>
          <cell r="L2076" t="str">
            <v>DIA ÚTIL</v>
          </cell>
          <cell r="M2076">
            <v>7.4689999999999999E-3</v>
          </cell>
          <cell r="N2076">
            <v>1.6116023949792104</v>
          </cell>
        </row>
        <row r="2077">
          <cell r="K2077">
            <v>44134</v>
          </cell>
          <cell r="L2077" t="str">
            <v>DIA ÚTIL</v>
          </cell>
          <cell r="M2077">
            <v>7.4689999999999999E-3</v>
          </cell>
          <cell r="N2077">
            <v>1.6117227655620914</v>
          </cell>
        </row>
        <row r="2078">
          <cell r="K2078">
            <v>44135</v>
          </cell>
          <cell r="M2078">
            <v>0</v>
          </cell>
          <cell r="N2078">
            <v>1.6117227655620914</v>
          </cell>
        </row>
        <row r="2079">
          <cell r="K2079">
            <v>44136</v>
          </cell>
          <cell r="M2079">
            <v>0</v>
          </cell>
          <cell r="N2079">
            <v>1.6117227655620914</v>
          </cell>
        </row>
        <row r="2080">
          <cell r="K2080">
            <v>44137</v>
          </cell>
          <cell r="M2080">
            <v>0</v>
          </cell>
          <cell r="N2080">
            <v>1.6117227655620914</v>
          </cell>
        </row>
        <row r="2081">
          <cell r="K2081">
            <v>44138</v>
          </cell>
          <cell r="L2081" t="str">
            <v>DIA ÚTIL</v>
          </cell>
          <cell r="M2081">
            <v>7.4689999999999999E-3</v>
          </cell>
          <cell r="N2081">
            <v>1.6118431451354511</v>
          </cell>
        </row>
        <row r="2082">
          <cell r="K2082">
            <v>44139</v>
          </cell>
          <cell r="L2082" t="str">
            <v>DIA ÚTIL</v>
          </cell>
          <cell r="M2082">
            <v>7.4689999999999999E-3</v>
          </cell>
          <cell r="N2082">
            <v>1.6119635336999611</v>
          </cell>
        </row>
        <row r="2083">
          <cell r="K2083">
            <v>44140</v>
          </cell>
          <cell r="L2083" t="str">
            <v>DIA ÚTIL</v>
          </cell>
          <cell r="M2083">
            <v>7.4689999999999999E-3</v>
          </cell>
          <cell r="N2083">
            <v>1.6120839312562931</v>
          </cell>
        </row>
        <row r="2084">
          <cell r="K2084">
            <v>44141</v>
          </cell>
          <cell r="L2084" t="str">
            <v>DIA ÚTIL</v>
          </cell>
          <cell r="M2084">
            <v>7.4689999999999999E-3</v>
          </cell>
          <cell r="N2084">
            <v>1.6122043378051185</v>
          </cell>
        </row>
        <row r="2085">
          <cell r="K2085">
            <v>44142</v>
          </cell>
          <cell r="M2085">
            <v>0</v>
          </cell>
          <cell r="N2085">
            <v>1.6122043378051185</v>
          </cell>
        </row>
        <row r="2086">
          <cell r="K2086">
            <v>44143</v>
          </cell>
          <cell r="M2086">
            <v>0</v>
          </cell>
          <cell r="N2086">
            <v>1.6122043378051185</v>
          </cell>
        </row>
        <row r="2087">
          <cell r="K2087">
            <v>44144</v>
          </cell>
          <cell r="L2087" t="str">
            <v>DIA ÚTIL</v>
          </cell>
          <cell r="M2087">
            <v>7.4689999999999999E-3</v>
          </cell>
          <cell r="N2087">
            <v>1.612324753347109</v>
          </cell>
        </row>
        <row r="2088">
          <cell r="K2088">
            <v>44145</v>
          </cell>
          <cell r="L2088" t="str">
            <v>DIA ÚTIL</v>
          </cell>
          <cell r="M2088">
            <v>7.4689999999999999E-3</v>
          </cell>
          <cell r="N2088">
            <v>1.6124451778829363</v>
          </cell>
        </row>
        <row r="2089">
          <cell r="K2089">
            <v>44146</v>
          </cell>
          <cell r="L2089" t="str">
            <v>DIA ÚTIL</v>
          </cell>
          <cell r="M2089">
            <v>7.4689999999999999E-3</v>
          </cell>
          <cell r="N2089">
            <v>1.6125656114132723</v>
          </cell>
        </row>
        <row r="2090">
          <cell r="K2090">
            <v>44147</v>
          </cell>
          <cell r="L2090" t="str">
            <v>DIA ÚTIL</v>
          </cell>
          <cell r="M2090">
            <v>7.4689999999999999E-3</v>
          </cell>
          <cell r="N2090">
            <v>1.6126860539387886</v>
          </cell>
        </row>
        <row r="2091">
          <cell r="K2091">
            <v>44148</v>
          </cell>
          <cell r="L2091" t="str">
            <v>DIA ÚTIL</v>
          </cell>
          <cell r="M2091">
            <v>7.4689999999999999E-3</v>
          </cell>
          <cell r="N2091">
            <v>1.6128065054601572</v>
          </cell>
        </row>
        <row r="2092">
          <cell r="K2092">
            <v>44149</v>
          </cell>
          <cell r="M2092">
            <v>0</v>
          </cell>
          <cell r="N2092">
            <v>1.6128065054601572</v>
          </cell>
        </row>
        <row r="2093">
          <cell r="K2093">
            <v>44150</v>
          </cell>
          <cell r="M2093">
            <v>0</v>
          </cell>
          <cell r="N2093">
            <v>1.6128065054601572</v>
          </cell>
        </row>
        <row r="2094">
          <cell r="K2094">
            <v>44151</v>
          </cell>
          <cell r="L2094" t="str">
            <v>DIA ÚTIL</v>
          </cell>
          <cell r="M2094">
            <v>7.4689999999999999E-3</v>
          </cell>
          <cell r="N2094">
            <v>1.6129269659780499</v>
          </cell>
        </row>
        <row r="2095">
          <cell r="K2095">
            <v>44152</v>
          </cell>
          <cell r="L2095" t="str">
            <v>DIA ÚTIL</v>
          </cell>
          <cell r="M2095">
            <v>7.4689999999999999E-3</v>
          </cell>
          <cell r="N2095">
            <v>1.6130474354931386</v>
          </cell>
        </row>
        <row r="2096">
          <cell r="K2096">
            <v>44153</v>
          </cell>
          <cell r="L2096" t="str">
            <v>DIA ÚTIL</v>
          </cell>
          <cell r="M2096">
            <v>7.4689999999999999E-3</v>
          </cell>
          <cell r="N2096">
            <v>1.6131679140060955</v>
          </cell>
        </row>
        <row r="2097">
          <cell r="K2097">
            <v>44154</v>
          </cell>
          <cell r="L2097" t="str">
            <v>DIA ÚTIL</v>
          </cell>
          <cell r="M2097">
            <v>7.4689999999999999E-3</v>
          </cell>
          <cell r="N2097">
            <v>1.6132884015175926</v>
          </cell>
        </row>
        <row r="2098">
          <cell r="K2098">
            <v>44155</v>
          </cell>
          <cell r="L2098" t="str">
            <v>DIA ÚTIL</v>
          </cell>
          <cell r="M2098">
            <v>7.4689999999999999E-3</v>
          </cell>
          <cell r="N2098">
            <v>1.6134088980283019</v>
          </cell>
        </row>
        <row r="2099">
          <cell r="K2099">
            <v>44156</v>
          </cell>
          <cell r="M2099">
            <v>0</v>
          </cell>
          <cell r="N2099">
            <v>1.6134088980283019</v>
          </cell>
        </row>
        <row r="2100">
          <cell r="K2100">
            <v>44157</v>
          </cell>
          <cell r="M2100">
            <v>0</v>
          </cell>
          <cell r="N2100">
            <v>1.6134088980283019</v>
          </cell>
        </row>
        <row r="2101">
          <cell r="K2101">
            <v>44158</v>
          </cell>
          <cell r="L2101" t="str">
            <v>DIA ÚTIL</v>
          </cell>
          <cell r="M2101">
            <v>7.4689999999999999E-3</v>
          </cell>
          <cell r="N2101">
            <v>1.6135294035388956</v>
          </cell>
        </row>
        <row r="2102">
          <cell r="K2102">
            <v>44159</v>
          </cell>
          <cell r="L2102" t="str">
            <v>DIA ÚTIL</v>
          </cell>
          <cell r="M2102">
            <v>7.4689999999999999E-3</v>
          </cell>
          <cell r="N2102">
            <v>1.6136499180500459</v>
          </cell>
        </row>
        <row r="2103">
          <cell r="K2103">
            <v>44160</v>
          </cell>
          <cell r="L2103" t="str">
            <v>DIA ÚTIL</v>
          </cell>
          <cell r="M2103">
            <v>7.4689999999999999E-3</v>
          </cell>
          <cell r="N2103">
            <v>1.613770441562425</v>
          </cell>
        </row>
        <row r="2104">
          <cell r="K2104">
            <v>44161</v>
          </cell>
          <cell r="L2104" t="str">
            <v>DIA ÚTIL</v>
          </cell>
          <cell r="M2104">
            <v>7.4689999999999999E-3</v>
          </cell>
          <cell r="N2104">
            <v>1.6138909740767051</v>
          </cell>
        </row>
        <row r="2105">
          <cell r="K2105">
            <v>44162</v>
          </cell>
          <cell r="L2105" t="str">
            <v>DIA ÚTIL</v>
          </cell>
          <cell r="M2105">
            <v>7.4689999999999999E-3</v>
          </cell>
          <cell r="N2105">
            <v>1.6140115155935588</v>
          </cell>
        </row>
        <row r="2106">
          <cell r="K2106">
            <v>44163</v>
          </cell>
          <cell r="M2106">
            <v>0</v>
          </cell>
          <cell r="N2106">
            <v>1.6140115155935588</v>
          </cell>
        </row>
        <row r="2107">
          <cell r="K2107">
            <v>44164</v>
          </cell>
          <cell r="M2107">
            <v>0</v>
          </cell>
          <cell r="N2107">
            <v>1.6140115155935588</v>
          </cell>
        </row>
        <row r="2108">
          <cell r="K2108">
            <v>44165</v>
          </cell>
          <cell r="L2108" t="str">
            <v>DIA ÚTIL</v>
          </cell>
          <cell r="M2108">
            <v>7.4689999999999999E-3</v>
          </cell>
          <cell r="N2108">
            <v>1.6141320661136584</v>
          </cell>
        </row>
        <row r="2109">
          <cell r="K2109">
            <v>44166</v>
          </cell>
          <cell r="L2109" t="str">
            <v>DIA ÚTIL</v>
          </cell>
          <cell r="M2109">
            <v>7.4689999999999999E-3</v>
          </cell>
          <cell r="N2109">
            <v>1.6142526256376764</v>
          </cell>
        </row>
        <row r="2110">
          <cell r="K2110">
            <v>44167</v>
          </cell>
          <cell r="L2110" t="str">
            <v>DIA ÚTIL</v>
          </cell>
          <cell r="M2110">
            <v>7.4689999999999999E-3</v>
          </cell>
          <cell r="N2110">
            <v>1.6143731941662851</v>
          </cell>
        </row>
        <row r="2111">
          <cell r="K2111">
            <v>44168</v>
          </cell>
          <cell r="L2111" t="str">
            <v>DIA ÚTIL</v>
          </cell>
          <cell r="M2111">
            <v>7.4689999999999999E-3</v>
          </cell>
          <cell r="N2111">
            <v>1.6144937717001573</v>
          </cell>
        </row>
        <row r="2112">
          <cell r="K2112">
            <v>44169</v>
          </cell>
          <cell r="L2112" t="str">
            <v>DIA ÚTIL</v>
          </cell>
          <cell r="M2112">
            <v>7.4689999999999999E-3</v>
          </cell>
          <cell r="N2112">
            <v>1.6146143582399655</v>
          </cell>
        </row>
        <row r="2113">
          <cell r="K2113">
            <v>44170</v>
          </cell>
          <cell r="M2113">
            <v>0</v>
          </cell>
          <cell r="N2113">
            <v>1.6146143582399655</v>
          </cell>
        </row>
        <row r="2114">
          <cell r="K2114">
            <v>44171</v>
          </cell>
          <cell r="M2114">
            <v>0</v>
          </cell>
          <cell r="N2114">
            <v>1.6146143582399655</v>
          </cell>
        </row>
        <row r="2115">
          <cell r="K2115">
            <v>44172</v>
          </cell>
          <cell r="L2115" t="str">
            <v>DIA ÚTIL</v>
          </cell>
          <cell r="M2115">
            <v>7.4689999999999999E-3</v>
          </cell>
          <cell r="N2115">
            <v>1.6147349537863822</v>
          </cell>
        </row>
        <row r="2116">
          <cell r="K2116">
            <v>44173</v>
          </cell>
          <cell r="L2116" t="str">
            <v>DIA ÚTIL</v>
          </cell>
          <cell r="M2116">
            <v>7.4689999999999999E-3</v>
          </cell>
          <cell r="N2116">
            <v>1.6148555583400803</v>
          </cell>
        </row>
        <row r="2117">
          <cell r="K2117">
            <v>44174</v>
          </cell>
          <cell r="L2117" t="str">
            <v>DIA ÚTIL</v>
          </cell>
          <cell r="M2117">
            <v>7.4689999999999999E-3</v>
          </cell>
          <cell r="N2117">
            <v>1.6149761719017326</v>
          </cell>
        </row>
        <row r="2118">
          <cell r="K2118">
            <v>44175</v>
          </cell>
          <cell r="L2118" t="str">
            <v>DIA ÚTIL</v>
          </cell>
          <cell r="M2118">
            <v>7.4689999999999999E-3</v>
          </cell>
          <cell r="N2118">
            <v>1.6150967944720118</v>
          </cell>
        </row>
        <row r="2119">
          <cell r="K2119">
            <v>44176</v>
          </cell>
          <cell r="L2119" t="str">
            <v>DIA ÚTIL</v>
          </cell>
          <cell r="M2119">
            <v>7.4689999999999999E-3</v>
          </cell>
          <cell r="N2119">
            <v>1.6152174260515908</v>
          </cell>
        </row>
        <row r="2120">
          <cell r="K2120">
            <v>44177</v>
          </cell>
          <cell r="M2120">
            <v>0</v>
          </cell>
          <cell r="N2120">
            <v>1.6152174260515908</v>
          </cell>
        </row>
        <row r="2121">
          <cell r="K2121">
            <v>44178</v>
          </cell>
          <cell r="M2121">
            <v>0</v>
          </cell>
          <cell r="N2121">
            <v>1.6152174260515908</v>
          </cell>
        </row>
        <row r="2122">
          <cell r="K2122">
            <v>44179</v>
          </cell>
          <cell r="L2122" t="str">
            <v>DIA ÚTIL</v>
          </cell>
          <cell r="M2122">
            <v>7.4689999999999999E-3</v>
          </cell>
          <cell r="N2122">
            <v>1.6153380666411425</v>
          </cell>
        </row>
        <row r="2123">
          <cell r="K2123">
            <v>44180</v>
          </cell>
          <cell r="L2123" t="str">
            <v>DIA ÚTIL</v>
          </cell>
          <cell r="M2123">
            <v>7.4689999999999999E-3</v>
          </cell>
          <cell r="N2123">
            <v>1.6154587162413399</v>
          </cell>
        </row>
        <row r="2124">
          <cell r="K2124">
            <v>44181</v>
          </cell>
          <cell r="L2124" t="str">
            <v>DIA ÚTIL</v>
          </cell>
          <cell r="M2124">
            <v>7.4689999999999999E-3</v>
          </cell>
          <cell r="N2124">
            <v>1.6155793748528557</v>
          </cell>
        </row>
        <row r="2125">
          <cell r="K2125">
            <v>44182</v>
          </cell>
          <cell r="L2125" t="str">
            <v>DIA ÚTIL</v>
          </cell>
          <cell r="M2125">
            <v>7.4689999999999999E-3</v>
          </cell>
          <cell r="N2125">
            <v>1.6157000424763635</v>
          </cell>
        </row>
        <row r="2126">
          <cell r="K2126">
            <v>44183</v>
          </cell>
          <cell r="L2126" t="str">
            <v>DIA ÚTIL</v>
          </cell>
          <cell r="M2126">
            <v>7.4689999999999999E-3</v>
          </cell>
          <cell r="N2126">
            <v>1.615820719112536</v>
          </cell>
        </row>
        <row r="2127">
          <cell r="K2127">
            <v>44184</v>
          </cell>
          <cell r="M2127">
            <v>0</v>
          </cell>
          <cell r="N2127">
            <v>1.615820719112536</v>
          </cell>
        </row>
        <row r="2128">
          <cell r="K2128">
            <v>44185</v>
          </cell>
          <cell r="M2128">
            <v>0</v>
          </cell>
          <cell r="N2128">
            <v>1.615820719112536</v>
          </cell>
        </row>
        <row r="2129">
          <cell r="K2129">
            <v>44186</v>
          </cell>
          <cell r="L2129" t="str">
            <v>DIA ÚTIL</v>
          </cell>
          <cell r="M2129">
            <v>7.4689999999999999E-3</v>
          </cell>
          <cell r="N2129">
            <v>1.6159414047620464</v>
          </cell>
        </row>
        <row r="2130">
          <cell r="K2130">
            <v>44187</v>
          </cell>
          <cell r="L2130" t="str">
            <v>DIA ÚTIL</v>
          </cell>
          <cell r="M2130">
            <v>7.4689999999999999E-3</v>
          </cell>
          <cell r="N2130">
            <v>1.6160620994255679</v>
          </cell>
        </row>
        <row r="2131">
          <cell r="K2131">
            <v>44188</v>
          </cell>
          <cell r="L2131" t="str">
            <v>DIA ÚTIL</v>
          </cell>
          <cell r="M2131">
            <v>7.4689999999999999E-3</v>
          </cell>
          <cell r="N2131">
            <v>1.6161828031037739</v>
          </cell>
        </row>
        <row r="2132">
          <cell r="K2132">
            <v>44189</v>
          </cell>
          <cell r="L2132" t="str">
            <v>DIA ÚTIL</v>
          </cell>
          <cell r="M2132">
            <v>7.4689999999999999E-3</v>
          </cell>
          <cell r="N2132">
            <v>1.6163035157973376</v>
          </cell>
        </row>
        <row r="2133">
          <cell r="K2133">
            <v>44190</v>
          </cell>
          <cell r="M2133">
            <v>0</v>
          </cell>
          <cell r="N2133">
            <v>1.6163035157973376</v>
          </cell>
        </row>
        <row r="2134">
          <cell r="K2134">
            <v>44191</v>
          </cell>
          <cell r="M2134">
            <v>0</v>
          </cell>
          <cell r="N2134">
            <v>1.6163035157973376</v>
          </cell>
        </row>
        <row r="2135">
          <cell r="K2135">
            <v>44192</v>
          </cell>
          <cell r="M2135">
            <v>0</v>
          </cell>
          <cell r="N2135">
            <v>1.6163035157973376</v>
          </cell>
        </row>
        <row r="2136">
          <cell r="K2136">
            <v>44193</v>
          </cell>
          <cell r="L2136" t="str">
            <v>DIA ÚTIL</v>
          </cell>
          <cell r="M2136">
            <v>7.4689999999999999E-3</v>
          </cell>
          <cell r="N2136">
            <v>1.6164242375069324</v>
          </cell>
        </row>
        <row r="2137">
          <cell r="K2137">
            <v>44194</v>
          </cell>
          <cell r="L2137" t="str">
            <v>DIA ÚTIL</v>
          </cell>
          <cell r="M2137">
            <v>7.4689999999999999E-3</v>
          </cell>
          <cell r="N2137">
            <v>1.6165449682332318</v>
          </cell>
        </row>
        <row r="2138">
          <cell r="K2138">
            <v>44195</v>
          </cell>
          <cell r="L2138" t="str">
            <v>DIA ÚTIL</v>
          </cell>
          <cell r="M2138">
            <v>7.4689999999999999E-3</v>
          </cell>
          <cell r="N2138">
            <v>1.6166657079769091</v>
          </cell>
        </row>
        <row r="2139">
          <cell r="K2139">
            <v>44196</v>
          </cell>
          <cell r="L2139" t="str">
            <v>DIA ÚTIL</v>
          </cell>
          <cell r="M2139">
            <v>7.4689999999999999E-3</v>
          </cell>
          <cell r="N2139">
            <v>1.6167864567386379</v>
          </cell>
        </row>
        <row r="2140">
          <cell r="K2140">
            <v>44197</v>
          </cell>
          <cell r="M2140">
            <v>0</v>
          </cell>
          <cell r="N2140">
            <v>1.6167864567386379</v>
          </cell>
        </row>
        <row r="2141">
          <cell r="K2141">
            <v>44198</v>
          </cell>
          <cell r="M2141">
            <v>0</v>
          </cell>
          <cell r="N2141">
            <v>1.6167864567386379</v>
          </cell>
        </row>
        <row r="2142">
          <cell r="K2142">
            <v>44199</v>
          </cell>
          <cell r="M2142">
            <v>0</v>
          </cell>
          <cell r="N2142">
            <v>1.6167864567386379</v>
          </cell>
        </row>
        <row r="2143">
          <cell r="K2143">
            <v>44200</v>
          </cell>
          <cell r="L2143" t="str">
            <v>DIA ÚTIL</v>
          </cell>
          <cell r="M2143">
            <v>7.4689999999999999E-3</v>
          </cell>
          <cell r="N2143">
            <v>1.6169072145190915</v>
          </cell>
        </row>
        <row r="2144">
          <cell r="K2144">
            <v>44201</v>
          </cell>
          <cell r="L2144" t="str">
            <v>DIA ÚTIL</v>
          </cell>
          <cell r="M2144">
            <v>7.4689999999999999E-3</v>
          </cell>
          <cell r="N2144">
            <v>1.6170279813189439</v>
          </cell>
        </row>
        <row r="2145">
          <cell r="K2145">
            <v>44202</v>
          </cell>
          <cell r="L2145" t="str">
            <v>DIA ÚTIL</v>
          </cell>
          <cell r="M2145">
            <v>7.4689999999999999E-3</v>
          </cell>
          <cell r="N2145">
            <v>1.6171487571388685</v>
          </cell>
        </row>
        <row r="2146">
          <cell r="K2146">
            <v>44203</v>
          </cell>
          <cell r="L2146" t="str">
            <v>DIA ÚTIL</v>
          </cell>
          <cell r="M2146">
            <v>7.4689999999999999E-3</v>
          </cell>
          <cell r="N2146">
            <v>1.6172695419795391</v>
          </cell>
        </row>
        <row r="2147">
          <cell r="K2147">
            <v>44204</v>
          </cell>
          <cell r="L2147" t="str">
            <v>DIA ÚTIL</v>
          </cell>
          <cell r="M2147">
            <v>7.4689999999999999E-3</v>
          </cell>
          <cell r="N2147">
            <v>1.6173903358416295</v>
          </cell>
        </row>
        <row r="2148">
          <cell r="K2148">
            <v>44205</v>
          </cell>
          <cell r="M2148">
            <v>0</v>
          </cell>
          <cell r="N2148">
            <v>1.6173903358416295</v>
          </cell>
        </row>
        <row r="2149">
          <cell r="K2149">
            <v>44206</v>
          </cell>
          <cell r="M2149">
            <v>0</v>
          </cell>
          <cell r="N2149">
            <v>1.6173903358416295</v>
          </cell>
        </row>
        <row r="2150">
          <cell r="K2150">
            <v>44207</v>
          </cell>
          <cell r="L2150" t="str">
            <v>DIA ÚTIL</v>
          </cell>
          <cell r="M2150">
            <v>7.4689999999999999E-3</v>
          </cell>
          <cell r="N2150">
            <v>1.6175111387258134</v>
          </cell>
        </row>
        <row r="2151">
          <cell r="K2151">
            <v>44208</v>
          </cell>
          <cell r="L2151" t="str">
            <v>DIA ÚTIL</v>
          </cell>
          <cell r="M2151">
            <v>7.4689999999999999E-3</v>
          </cell>
          <cell r="N2151">
            <v>1.6176319506327648</v>
          </cell>
        </row>
        <row r="2152">
          <cell r="K2152">
            <v>44209</v>
          </cell>
          <cell r="L2152" t="str">
            <v>DIA ÚTIL</v>
          </cell>
          <cell r="M2152">
            <v>7.4689999999999999E-3</v>
          </cell>
          <cell r="N2152">
            <v>1.6177527715631574</v>
          </cell>
        </row>
        <row r="2153">
          <cell r="K2153">
            <v>44210</v>
          </cell>
          <cell r="L2153" t="str">
            <v>DIA ÚTIL</v>
          </cell>
          <cell r="M2153">
            <v>7.4689999999999999E-3</v>
          </cell>
          <cell r="N2153">
            <v>1.6178736015176653</v>
          </cell>
        </row>
        <row r="2154">
          <cell r="K2154">
            <v>44211</v>
          </cell>
          <cell r="L2154" t="str">
            <v>DIA ÚTIL</v>
          </cell>
          <cell r="M2154">
            <v>7.4689999999999999E-3</v>
          </cell>
          <cell r="N2154">
            <v>1.6179944404969626</v>
          </cell>
        </row>
        <row r="2155">
          <cell r="K2155">
            <v>44212</v>
          </cell>
          <cell r="M2155">
            <v>0</v>
          </cell>
          <cell r="N2155">
            <v>1.6179944404969626</v>
          </cell>
        </row>
        <row r="2156">
          <cell r="K2156">
            <v>44213</v>
          </cell>
          <cell r="M2156">
            <v>0</v>
          </cell>
          <cell r="N2156">
            <v>1.6179944404969626</v>
          </cell>
        </row>
        <row r="2157">
          <cell r="K2157">
            <v>44214</v>
          </cell>
          <cell r="L2157" t="str">
            <v>DIA ÚTIL</v>
          </cell>
          <cell r="M2157">
            <v>7.4689999999999999E-3</v>
          </cell>
          <cell r="N2157">
            <v>1.6181152885017231</v>
          </cell>
        </row>
        <row r="2158">
          <cell r="K2158">
            <v>44215</v>
          </cell>
          <cell r="L2158" t="str">
            <v>DIA ÚTIL</v>
          </cell>
          <cell r="M2158">
            <v>7.4689999999999999E-3</v>
          </cell>
          <cell r="N2158">
            <v>1.6182361455326213</v>
          </cell>
        </row>
        <row r="2159">
          <cell r="K2159">
            <v>44216</v>
          </cell>
          <cell r="L2159" t="str">
            <v>DIA ÚTIL</v>
          </cell>
          <cell r="M2159">
            <v>7.4689999999999999E-3</v>
          </cell>
          <cell r="N2159">
            <v>1.618357011590331</v>
          </cell>
        </row>
        <row r="2160">
          <cell r="K2160">
            <v>44217</v>
          </cell>
          <cell r="L2160" t="str">
            <v>DIA ÚTIL</v>
          </cell>
          <cell r="M2160">
            <v>7.4689999999999999E-3</v>
          </cell>
          <cell r="N2160">
            <v>1.6184778866755265</v>
          </cell>
        </row>
        <row r="2161">
          <cell r="K2161">
            <v>44218</v>
          </cell>
          <cell r="L2161" t="str">
            <v>DIA ÚTIL</v>
          </cell>
          <cell r="M2161">
            <v>7.4689999999999999E-3</v>
          </cell>
          <cell r="N2161">
            <v>1.6185987707888823</v>
          </cell>
        </row>
        <row r="2162">
          <cell r="K2162">
            <v>44219</v>
          </cell>
          <cell r="M2162">
            <v>0</v>
          </cell>
          <cell r="N2162">
            <v>1.6185987707888823</v>
          </cell>
        </row>
        <row r="2163">
          <cell r="K2163">
            <v>44220</v>
          </cell>
          <cell r="M2163">
            <v>0</v>
          </cell>
          <cell r="N2163">
            <v>1.6185987707888823</v>
          </cell>
        </row>
        <row r="2164">
          <cell r="K2164">
            <v>44221</v>
          </cell>
          <cell r="L2164" t="str">
            <v>DIA ÚTIL</v>
          </cell>
          <cell r="M2164">
            <v>7.4689999999999999E-3</v>
          </cell>
          <cell r="N2164">
            <v>1.6187196639310724</v>
          </cell>
        </row>
        <row r="2165">
          <cell r="K2165">
            <v>44222</v>
          </cell>
          <cell r="L2165" t="str">
            <v>DIA ÚTIL</v>
          </cell>
          <cell r="M2165">
            <v>7.4689999999999999E-3</v>
          </cell>
          <cell r="N2165">
            <v>1.6188405661027712</v>
          </cell>
        </row>
        <row r="2166">
          <cell r="K2166">
            <v>44223</v>
          </cell>
          <cell r="L2166" t="str">
            <v>DIA ÚTIL</v>
          </cell>
          <cell r="M2166">
            <v>7.4689999999999999E-3</v>
          </cell>
          <cell r="N2166">
            <v>1.6189614773046532</v>
          </cell>
        </row>
        <row r="2167">
          <cell r="K2167">
            <v>44224</v>
          </cell>
          <cell r="L2167" t="str">
            <v>DIA ÚTIL</v>
          </cell>
          <cell r="M2167">
            <v>7.4689999999999999E-3</v>
          </cell>
          <cell r="N2167">
            <v>1.6190823975373929</v>
          </cell>
        </row>
        <row r="2168">
          <cell r="K2168">
            <v>44225</v>
          </cell>
          <cell r="L2168" t="str">
            <v>DIA ÚTIL</v>
          </cell>
          <cell r="M2168">
            <v>7.4689999999999999E-3</v>
          </cell>
          <cell r="N2168">
            <v>1.6192033268016648</v>
          </cell>
        </row>
        <row r="2169">
          <cell r="K2169">
            <v>44226</v>
          </cell>
          <cell r="M2169">
            <v>0</v>
          </cell>
          <cell r="N2169">
            <v>1.6192033268016648</v>
          </cell>
        </row>
        <row r="2170">
          <cell r="K2170">
            <v>44227</v>
          </cell>
          <cell r="M2170">
            <v>0</v>
          </cell>
          <cell r="N2170">
            <v>1.6192033268016648</v>
          </cell>
        </row>
        <row r="2171">
          <cell r="K2171">
            <v>44228</v>
          </cell>
          <cell r="L2171" t="str">
            <v>DIA ÚTIL</v>
          </cell>
          <cell r="M2171">
            <v>7.4689999999999999E-3</v>
          </cell>
          <cell r="N2171">
            <v>1.6193242650981434</v>
          </cell>
        </row>
        <row r="2172">
          <cell r="K2172">
            <v>44229</v>
          </cell>
          <cell r="L2172" t="str">
            <v>DIA ÚTIL</v>
          </cell>
          <cell r="M2172">
            <v>7.4689999999999999E-3</v>
          </cell>
          <cell r="N2172">
            <v>1.6194452124275034</v>
          </cell>
        </row>
        <row r="2173">
          <cell r="K2173">
            <v>44230</v>
          </cell>
          <cell r="L2173" t="str">
            <v>DIA ÚTIL</v>
          </cell>
          <cell r="M2173">
            <v>7.4689999999999999E-3</v>
          </cell>
          <cell r="N2173">
            <v>1.6195661687904195</v>
          </cell>
        </row>
        <row r="2174">
          <cell r="K2174">
            <v>44231</v>
          </cell>
          <cell r="L2174" t="str">
            <v>DIA ÚTIL</v>
          </cell>
          <cell r="M2174">
            <v>7.4689999999999999E-3</v>
          </cell>
          <cell r="N2174">
            <v>1.6196871341875663</v>
          </cell>
        </row>
        <row r="2175">
          <cell r="K2175">
            <v>44232</v>
          </cell>
          <cell r="L2175" t="str">
            <v>DIA ÚTIL</v>
          </cell>
          <cell r="M2175">
            <v>7.4689999999999999E-3</v>
          </cell>
          <cell r="N2175">
            <v>1.6198081086196185</v>
          </cell>
        </row>
        <row r="2176">
          <cell r="K2176">
            <v>44233</v>
          </cell>
          <cell r="M2176">
            <v>0</v>
          </cell>
          <cell r="N2176">
            <v>1.6198081086196185</v>
          </cell>
        </row>
        <row r="2177">
          <cell r="K2177">
            <v>44234</v>
          </cell>
          <cell r="M2177">
            <v>0</v>
          </cell>
          <cell r="N2177">
            <v>1.6198081086196185</v>
          </cell>
        </row>
        <row r="2178">
          <cell r="K2178">
            <v>44235</v>
          </cell>
          <cell r="L2178" t="str">
            <v>DIA ÚTIL</v>
          </cell>
          <cell r="M2178">
            <v>7.4689999999999999E-3</v>
          </cell>
          <cell r="N2178">
            <v>1.6199290920872513</v>
          </cell>
        </row>
        <row r="2179">
          <cell r="K2179">
            <v>44236</v>
          </cell>
          <cell r="L2179" t="str">
            <v>DIA ÚTIL</v>
          </cell>
          <cell r="M2179">
            <v>7.4689999999999999E-3</v>
          </cell>
          <cell r="N2179">
            <v>1.6200500845911392</v>
          </cell>
        </row>
        <row r="2180">
          <cell r="K2180">
            <v>44237</v>
          </cell>
          <cell r="L2180" t="str">
            <v>DIA ÚTIL</v>
          </cell>
          <cell r="M2180">
            <v>7.4689999999999999E-3</v>
          </cell>
          <cell r="N2180">
            <v>1.6201710861319571</v>
          </cell>
        </row>
        <row r="2181">
          <cell r="K2181">
            <v>44238</v>
          </cell>
          <cell r="L2181" t="str">
            <v>DIA ÚTIL</v>
          </cell>
          <cell r="M2181">
            <v>7.4689999999999999E-3</v>
          </cell>
          <cell r="N2181">
            <v>1.6202920967103802</v>
          </cell>
        </row>
        <row r="2182">
          <cell r="K2182">
            <v>44239</v>
          </cell>
          <cell r="L2182" t="str">
            <v>DIA ÚTIL</v>
          </cell>
          <cell r="M2182">
            <v>7.4689999999999999E-3</v>
          </cell>
          <cell r="N2182">
            <v>1.6204131163270834</v>
          </cell>
        </row>
        <row r="2183">
          <cell r="K2183">
            <v>44240</v>
          </cell>
          <cell r="M2183">
            <v>0</v>
          </cell>
          <cell r="N2183">
            <v>1.6204131163270834</v>
          </cell>
        </row>
        <row r="2184">
          <cell r="K2184">
            <v>44241</v>
          </cell>
          <cell r="M2184">
            <v>0</v>
          </cell>
          <cell r="N2184">
            <v>1.6204131163270834</v>
          </cell>
        </row>
        <row r="2185">
          <cell r="K2185">
            <v>44242</v>
          </cell>
          <cell r="M2185">
            <v>0</v>
          </cell>
          <cell r="N2185">
            <v>1.6204131163270834</v>
          </cell>
        </row>
        <row r="2186">
          <cell r="K2186">
            <v>44243</v>
          </cell>
          <cell r="M2186">
            <v>0</v>
          </cell>
          <cell r="N2186">
            <v>1.6204131163270834</v>
          </cell>
        </row>
        <row r="2187">
          <cell r="K2187">
            <v>44244</v>
          </cell>
          <cell r="L2187" t="str">
            <v>DIA ÚTIL</v>
          </cell>
          <cell r="M2187">
            <v>7.4689999999999999E-3</v>
          </cell>
          <cell r="N2187">
            <v>1.6205341449827417</v>
          </cell>
        </row>
        <row r="2188">
          <cell r="K2188">
            <v>44245</v>
          </cell>
          <cell r="L2188" t="str">
            <v>DIA ÚTIL</v>
          </cell>
          <cell r="M2188">
            <v>7.4689999999999999E-3</v>
          </cell>
          <cell r="N2188">
            <v>1.6206551826780304</v>
          </cell>
        </row>
        <row r="2189">
          <cell r="K2189">
            <v>44246</v>
          </cell>
          <cell r="L2189" t="str">
            <v>DIA ÚTIL</v>
          </cell>
          <cell r="M2189">
            <v>7.4689999999999999E-3</v>
          </cell>
          <cell r="N2189">
            <v>1.6207762294136245</v>
          </cell>
        </row>
        <row r="2190">
          <cell r="K2190">
            <v>44247</v>
          </cell>
          <cell r="M2190">
            <v>0</v>
          </cell>
          <cell r="N2190">
            <v>1.6207762294136245</v>
          </cell>
        </row>
        <row r="2191">
          <cell r="K2191">
            <v>44248</v>
          </cell>
          <cell r="M2191">
            <v>0</v>
          </cell>
          <cell r="N2191">
            <v>1.6207762294136245</v>
          </cell>
        </row>
        <row r="2192">
          <cell r="K2192">
            <v>44249</v>
          </cell>
          <cell r="L2192" t="str">
            <v>DIA ÚTIL</v>
          </cell>
          <cell r="M2192">
            <v>7.4689999999999999E-3</v>
          </cell>
          <cell r="N2192">
            <v>1.6208972851901993</v>
          </cell>
        </row>
        <row r="2193">
          <cell r="K2193">
            <v>44250</v>
          </cell>
          <cell r="L2193" t="str">
            <v>DIA ÚTIL</v>
          </cell>
          <cell r="M2193">
            <v>7.4689999999999999E-3</v>
          </cell>
          <cell r="N2193">
            <v>1.6210183500084301</v>
          </cell>
        </row>
        <row r="2194">
          <cell r="K2194">
            <v>44251</v>
          </cell>
          <cell r="L2194" t="str">
            <v>DIA ÚTIL</v>
          </cell>
          <cell r="M2194">
            <v>7.4689999999999999E-3</v>
          </cell>
          <cell r="N2194">
            <v>1.621139423868992</v>
          </cell>
        </row>
        <row r="2195">
          <cell r="K2195">
            <v>44252</v>
          </cell>
          <cell r="L2195" t="str">
            <v>DIA ÚTIL</v>
          </cell>
          <cell r="M2195">
            <v>7.4689999999999999E-3</v>
          </cell>
          <cell r="N2195">
            <v>1.6212605067725607</v>
          </cell>
        </row>
        <row r="2196">
          <cell r="K2196">
            <v>44253</v>
          </cell>
          <cell r="L2196" t="str">
            <v>DIA ÚTIL</v>
          </cell>
          <cell r="M2196">
            <v>7.4689999999999999E-3</v>
          </cell>
          <cell r="N2196">
            <v>1.6213815987198115</v>
          </cell>
        </row>
        <row r="2197">
          <cell r="K2197">
            <v>44254</v>
          </cell>
          <cell r="M2197">
            <v>0</v>
          </cell>
          <cell r="N2197">
            <v>1.6213815987198115</v>
          </cell>
        </row>
        <row r="2198">
          <cell r="K2198">
            <v>44255</v>
          </cell>
          <cell r="M2198">
            <v>0</v>
          </cell>
          <cell r="N2198">
            <v>1.6213815987198115</v>
          </cell>
        </row>
        <row r="2199">
          <cell r="K2199">
            <v>44256</v>
          </cell>
          <cell r="L2199" t="str">
            <v>DIA ÚTIL</v>
          </cell>
          <cell r="M2199">
            <v>7.4689999999999999E-3</v>
          </cell>
          <cell r="N2199">
            <v>1.6215026997114197</v>
          </cell>
        </row>
        <row r="2200">
          <cell r="K2200">
            <v>44257</v>
          </cell>
          <cell r="L2200" t="str">
            <v>DIA ÚTIL</v>
          </cell>
          <cell r="M2200">
            <v>7.4689999999999999E-3</v>
          </cell>
          <cell r="N2200">
            <v>1.6216238097480611</v>
          </cell>
        </row>
        <row r="2201">
          <cell r="K2201">
            <v>44258</v>
          </cell>
          <cell r="L2201" t="str">
            <v>DIA ÚTIL</v>
          </cell>
          <cell r="M2201">
            <v>7.4689999999999999E-3</v>
          </cell>
          <cell r="N2201">
            <v>1.6217449288304111</v>
          </cell>
        </row>
        <row r="2202">
          <cell r="K2202">
            <v>44259</v>
          </cell>
          <cell r="L2202" t="str">
            <v>DIA ÚTIL</v>
          </cell>
          <cell r="M2202">
            <v>7.4689999999999999E-3</v>
          </cell>
          <cell r="N2202">
            <v>1.6218660569591454</v>
          </cell>
        </row>
        <row r="2203">
          <cell r="K2203">
            <v>44260</v>
          </cell>
          <cell r="L2203" t="str">
            <v>DIA ÚTIL</v>
          </cell>
          <cell r="M2203">
            <v>7.4689999999999999E-3</v>
          </cell>
          <cell r="N2203">
            <v>1.6219871941349395</v>
          </cell>
        </row>
        <row r="2204">
          <cell r="K2204">
            <v>44261</v>
          </cell>
          <cell r="M2204">
            <v>0</v>
          </cell>
          <cell r="N2204">
            <v>1.6219871941349395</v>
          </cell>
        </row>
        <row r="2205">
          <cell r="K2205">
            <v>44262</v>
          </cell>
          <cell r="M2205">
            <v>0</v>
          </cell>
          <cell r="N2205">
            <v>1.6219871941349395</v>
          </cell>
        </row>
        <row r="2206">
          <cell r="K2206">
            <v>44263</v>
          </cell>
          <cell r="L2206" t="str">
            <v>DIA ÚTIL</v>
          </cell>
          <cell r="M2206">
            <v>7.4689999999999999E-3</v>
          </cell>
          <cell r="N2206">
            <v>1.6221083403584693</v>
          </cell>
        </row>
        <row r="2207">
          <cell r="K2207">
            <v>44264</v>
          </cell>
          <cell r="L2207" t="str">
            <v>DIA ÚTIL</v>
          </cell>
          <cell r="M2207">
            <v>7.4689999999999999E-3</v>
          </cell>
          <cell r="N2207">
            <v>1.6222294956304106</v>
          </cell>
        </row>
        <row r="2208">
          <cell r="K2208">
            <v>44265</v>
          </cell>
          <cell r="L2208" t="str">
            <v>DIA ÚTIL</v>
          </cell>
          <cell r="M2208">
            <v>7.4689999999999999E-3</v>
          </cell>
          <cell r="N2208">
            <v>1.6223506599514392</v>
          </cell>
        </row>
        <row r="2209">
          <cell r="K2209">
            <v>44266</v>
          </cell>
          <cell r="L2209" t="str">
            <v>DIA ÚTIL</v>
          </cell>
          <cell r="M2209">
            <v>7.4689999999999999E-3</v>
          </cell>
          <cell r="N2209">
            <v>1.622471833322231</v>
          </cell>
        </row>
        <row r="2210">
          <cell r="K2210">
            <v>44267</v>
          </cell>
          <cell r="L2210" t="str">
            <v>DIA ÚTIL</v>
          </cell>
          <cell r="M2210">
            <v>7.4689999999999999E-3</v>
          </cell>
          <cell r="N2210">
            <v>1.6225930157434618</v>
          </cell>
        </row>
        <row r="2211">
          <cell r="K2211">
            <v>44268</v>
          </cell>
          <cell r="M2211">
            <v>0</v>
          </cell>
          <cell r="N2211">
            <v>1.6225930157434618</v>
          </cell>
        </row>
        <row r="2212">
          <cell r="K2212">
            <v>44269</v>
          </cell>
          <cell r="M2212">
            <v>0</v>
          </cell>
          <cell r="N2212">
            <v>1.6225930157434618</v>
          </cell>
        </row>
        <row r="2213">
          <cell r="K2213">
            <v>44270</v>
          </cell>
          <cell r="L2213" t="str">
            <v>DIA ÚTIL</v>
          </cell>
          <cell r="M2213">
            <v>7.4689999999999999E-3</v>
          </cell>
          <cell r="N2213">
            <v>1.6227142072158076</v>
          </cell>
        </row>
        <row r="2214">
          <cell r="K2214">
            <v>44271</v>
          </cell>
          <cell r="L2214" t="str">
            <v>DIA ÚTIL</v>
          </cell>
          <cell r="M2214">
            <v>7.4689999999999999E-3</v>
          </cell>
          <cell r="N2214">
            <v>1.6228354077399445</v>
          </cell>
        </row>
        <row r="2215">
          <cell r="K2215">
            <v>44272</v>
          </cell>
          <cell r="L2215" t="str">
            <v>DIA ÚTIL</v>
          </cell>
          <cell r="M2215">
            <v>7.4689999999999999E-3</v>
          </cell>
          <cell r="N2215">
            <v>1.6229566173165484</v>
          </cell>
        </row>
        <row r="2216">
          <cell r="K2216">
            <v>44273</v>
          </cell>
          <cell r="L2216" t="str">
            <v>DIA ÚTIL</v>
          </cell>
          <cell r="M2216">
            <v>1.0378999999999999E-2</v>
          </cell>
          <cell r="N2216">
            <v>1.6231250639838597</v>
          </cell>
        </row>
        <row r="2217">
          <cell r="K2217">
            <v>44274</v>
          </cell>
          <cell r="L2217" t="str">
            <v>DIA ÚTIL</v>
          </cell>
          <cell r="M2217">
            <v>1.0378999999999999E-2</v>
          </cell>
          <cell r="N2217">
            <v>1.6232935281342507</v>
          </cell>
        </row>
        <row r="2218">
          <cell r="K2218">
            <v>44275</v>
          </cell>
          <cell r="M2218">
            <v>0</v>
          </cell>
          <cell r="N2218">
            <v>1.6232935281342507</v>
          </cell>
        </row>
        <row r="2219">
          <cell r="K2219">
            <v>44276</v>
          </cell>
          <cell r="M2219">
            <v>0</v>
          </cell>
          <cell r="N2219">
            <v>1.6232935281342507</v>
          </cell>
        </row>
        <row r="2220">
          <cell r="K2220">
            <v>44277</v>
          </cell>
          <cell r="L2220" t="str">
            <v>DIA ÚTIL</v>
          </cell>
          <cell r="M2220">
            <v>1.0378999999999999E-2</v>
          </cell>
          <cell r="N2220">
            <v>1.6234620097695358</v>
          </cell>
        </row>
        <row r="2221">
          <cell r="K2221">
            <v>44278</v>
          </cell>
          <cell r="L2221" t="str">
            <v>DIA ÚTIL</v>
          </cell>
          <cell r="M2221">
            <v>1.0378999999999999E-2</v>
          </cell>
          <cell r="N2221">
            <v>1.6236305088915299</v>
          </cell>
        </row>
        <row r="2222">
          <cell r="K2222">
            <v>44279</v>
          </cell>
          <cell r="L2222" t="str">
            <v>DIA ÚTIL</v>
          </cell>
          <cell r="M2222">
            <v>1.0378999999999999E-2</v>
          </cell>
          <cell r="N2222">
            <v>1.6237990255020478</v>
          </cell>
        </row>
        <row r="2223">
          <cell r="K2223">
            <v>44280</v>
          </cell>
          <cell r="L2223" t="str">
            <v>DIA ÚTIL</v>
          </cell>
          <cell r="M2223">
            <v>1.0378999999999999E-2</v>
          </cell>
          <cell r="N2223">
            <v>1.6239675596029048</v>
          </cell>
        </row>
        <row r="2224">
          <cell r="K2224">
            <v>44281</v>
          </cell>
          <cell r="L2224" t="str">
            <v>DIA ÚTIL</v>
          </cell>
          <cell r="M2224">
            <v>1.0378999999999999E-2</v>
          </cell>
          <cell r="N2224">
            <v>1.6241361111959161</v>
          </cell>
        </row>
        <row r="2225">
          <cell r="K2225">
            <v>44282</v>
          </cell>
          <cell r="M2225">
            <v>0</v>
          </cell>
          <cell r="N2225">
            <v>1.6241361111959161</v>
          </cell>
        </row>
        <row r="2226">
          <cell r="K2226">
            <v>44283</v>
          </cell>
          <cell r="M2226">
            <v>0</v>
          </cell>
          <cell r="N2226">
            <v>1.6241361111959161</v>
          </cell>
        </row>
        <row r="2227">
          <cell r="K2227">
            <v>44284</v>
          </cell>
          <cell r="L2227" t="str">
            <v>DIA ÚTIL</v>
          </cell>
          <cell r="M2227">
            <v>1.0378999999999999E-2</v>
          </cell>
          <cell r="N2227">
            <v>1.6243046802828971</v>
          </cell>
        </row>
        <row r="2228">
          <cell r="K2228">
            <v>44285</v>
          </cell>
          <cell r="L2228" t="str">
            <v>DIA ÚTIL</v>
          </cell>
          <cell r="M2228">
            <v>1.0378999999999999E-2</v>
          </cell>
          <cell r="N2228">
            <v>1.6244732668656638</v>
          </cell>
        </row>
        <row r="2229">
          <cell r="K2229">
            <v>44286</v>
          </cell>
          <cell r="L2229" t="str">
            <v>DIA ÚTIL</v>
          </cell>
          <cell r="M2229">
            <v>1.0378999999999999E-2</v>
          </cell>
          <cell r="N2229">
            <v>1.624641870946032</v>
          </cell>
        </row>
        <row r="2230">
          <cell r="K2230">
            <v>44287</v>
          </cell>
          <cell r="L2230" t="str">
            <v>DIA ÚTIL</v>
          </cell>
          <cell r="M2230">
            <v>1.0378999999999999E-2</v>
          </cell>
          <cell r="N2230">
            <v>1.6248104925258176</v>
          </cell>
        </row>
        <row r="2231">
          <cell r="K2231">
            <v>44288</v>
          </cell>
          <cell r="M2231">
            <v>0</v>
          </cell>
          <cell r="N2231">
            <v>1.6248104925258176</v>
          </cell>
        </row>
        <row r="2232">
          <cell r="K2232">
            <v>44289</v>
          </cell>
          <cell r="M2232">
            <v>0</v>
          </cell>
          <cell r="N2232">
            <v>1.6248104925258176</v>
          </cell>
        </row>
        <row r="2233">
          <cell r="K2233">
            <v>44290</v>
          </cell>
          <cell r="M2233">
            <v>0</v>
          </cell>
          <cell r="N2233">
            <v>1.6248104925258176</v>
          </cell>
        </row>
        <row r="2234">
          <cell r="K2234">
            <v>44291</v>
          </cell>
          <cell r="L2234" t="str">
            <v>DIA ÚTIL</v>
          </cell>
          <cell r="M2234">
            <v>1.0378999999999999E-2</v>
          </cell>
          <cell r="N2234">
            <v>1.6249791316068369</v>
          </cell>
        </row>
        <row r="2235">
          <cell r="K2235">
            <v>44292</v>
          </cell>
          <cell r="L2235" t="str">
            <v>DIA ÚTIL</v>
          </cell>
          <cell r="M2235">
            <v>1.0378999999999999E-2</v>
          </cell>
          <cell r="N2235">
            <v>1.6251477881909064</v>
          </cell>
        </row>
        <row r="2236">
          <cell r="K2236">
            <v>44293</v>
          </cell>
          <cell r="L2236" t="str">
            <v>DIA ÚTIL</v>
          </cell>
          <cell r="M2236">
            <v>1.0378999999999999E-2</v>
          </cell>
          <cell r="N2236">
            <v>1.6253164622798428</v>
          </cell>
        </row>
        <row r="2237">
          <cell r="K2237">
            <v>44294</v>
          </cell>
          <cell r="L2237" t="str">
            <v>DIA ÚTIL</v>
          </cell>
          <cell r="M2237">
            <v>1.0378999999999999E-2</v>
          </cell>
          <cell r="N2237">
            <v>1.6254851538754629</v>
          </cell>
        </row>
        <row r="2238">
          <cell r="K2238">
            <v>44295</v>
          </cell>
          <cell r="L2238" t="str">
            <v>DIA ÚTIL</v>
          </cell>
          <cell r="M2238">
            <v>1.0378999999999999E-2</v>
          </cell>
          <cell r="N2238">
            <v>1.6256538629795838</v>
          </cell>
        </row>
        <row r="2239">
          <cell r="K2239">
            <v>44296</v>
          </cell>
          <cell r="M2239">
            <v>0</v>
          </cell>
          <cell r="N2239">
            <v>1.6256538629795838</v>
          </cell>
        </row>
        <row r="2240">
          <cell r="K2240">
            <v>44297</v>
          </cell>
          <cell r="M2240">
            <v>0</v>
          </cell>
          <cell r="N2240">
            <v>1.6256538629795838</v>
          </cell>
        </row>
        <row r="2241">
          <cell r="K2241">
            <v>44298</v>
          </cell>
          <cell r="L2241" t="str">
            <v>DIA ÚTIL</v>
          </cell>
          <cell r="M2241">
            <v>1.0378999999999999E-2</v>
          </cell>
          <cell r="N2241">
            <v>1.6258225895940226</v>
          </cell>
        </row>
        <row r="2242">
          <cell r="K2242">
            <v>44299</v>
          </cell>
          <cell r="L2242" t="str">
            <v>DIA ÚTIL</v>
          </cell>
          <cell r="M2242">
            <v>1.0378999999999999E-2</v>
          </cell>
          <cell r="N2242">
            <v>1.6259913337205967</v>
          </cell>
        </row>
        <row r="2243">
          <cell r="K2243">
            <v>44300</v>
          </cell>
          <cell r="L2243" t="str">
            <v>DIA ÚTIL</v>
          </cell>
          <cell r="M2243">
            <v>1.0378999999999999E-2</v>
          </cell>
          <cell r="N2243">
            <v>1.6261600953611237</v>
          </cell>
        </row>
        <row r="2244">
          <cell r="K2244">
            <v>44301</v>
          </cell>
          <cell r="L2244" t="str">
            <v>DIA ÚTIL</v>
          </cell>
          <cell r="M2244">
            <v>1.0378999999999999E-2</v>
          </cell>
          <cell r="N2244">
            <v>1.6263288745174214</v>
          </cell>
        </row>
        <row r="2245">
          <cell r="K2245">
            <v>44302</v>
          </cell>
          <cell r="L2245" t="str">
            <v>DIA ÚTIL</v>
          </cell>
          <cell r="M2245">
            <v>1.0378999999999999E-2</v>
          </cell>
          <cell r="N2245">
            <v>1.6264976711913075</v>
          </cell>
        </row>
        <row r="2246">
          <cell r="K2246">
            <v>44303</v>
          </cell>
          <cell r="M2246">
            <v>0</v>
          </cell>
          <cell r="N2246">
            <v>1.6264976711913075</v>
          </cell>
        </row>
        <row r="2247">
          <cell r="K2247">
            <v>44304</v>
          </cell>
          <cell r="M2247">
            <v>0</v>
          </cell>
          <cell r="N2247">
            <v>1.6264976711913075</v>
          </cell>
        </row>
        <row r="2248">
          <cell r="K2248">
            <v>44305</v>
          </cell>
          <cell r="L2248" t="str">
            <v>DIA ÚTIL</v>
          </cell>
          <cell r="M2248">
            <v>1.0378999999999999E-2</v>
          </cell>
          <cell r="N2248">
            <v>1.6266664853846005</v>
          </cell>
        </row>
        <row r="2249">
          <cell r="K2249">
            <v>44306</v>
          </cell>
          <cell r="L2249" t="str">
            <v>DIA ÚTIL</v>
          </cell>
          <cell r="M2249">
            <v>1.0378999999999999E-2</v>
          </cell>
          <cell r="N2249">
            <v>1.6268353170991185</v>
          </cell>
        </row>
        <row r="2250">
          <cell r="K2250">
            <v>44307</v>
          </cell>
          <cell r="M2250">
            <v>0</v>
          </cell>
          <cell r="N2250">
            <v>1.6268353170991185</v>
          </cell>
        </row>
        <row r="2251">
          <cell r="K2251">
            <v>44308</v>
          </cell>
          <cell r="L2251" t="str">
            <v>DIA ÚTIL</v>
          </cell>
          <cell r="M2251">
            <v>1.0378999999999999E-2</v>
          </cell>
          <cell r="N2251">
            <v>1.6270041663366803</v>
          </cell>
        </row>
        <row r="2252">
          <cell r="K2252">
            <v>44309</v>
          </cell>
          <cell r="L2252" t="str">
            <v>DIA ÚTIL</v>
          </cell>
          <cell r="M2252">
            <v>1.0378999999999999E-2</v>
          </cell>
          <cell r="N2252">
            <v>1.6271730330991045</v>
          </cell>
        </row>
        <row r="2253">
          <cell r="K2253">
            <v>44310</v>
          </cell>
          <cell r="M2253">
            <v>0</v>
          </cell>
          <cell r="N2253">
            <v>1.6271730330991045</v>
          </cell>
        </row>
        <row r="2254">
          <cell r="K2254">
            <v>44311</v>
          </cell>
          <cell r="M2254">
            <v>0</v>
          </cell>
          <cell r="N2254">
            <v>1.6271730330991045</v>
          </cell>
        </row>
        <row r="2255">
          <cell r="K2255">
            <v>44312</v>
          </cell>
          <cell r="L2255" t="str">
            <v>DIA ÚTIL</v>
          </cell>
          <cell r="M2255">
            <v>1.0378999999999999E-2</v>
          </cell>
          <cell r="N2255">
            <v>1.62734191738821</v>
          </cell>
        </row>
        <row r="2256">
          <cell r="K2256">
            <v>44313</v>
          </cell>
          <cell r="L2256" t="str">
            <v>DIA ÚTIL</v>
          </cell>
          <cell r="M2256">
            <v>1.0378999999999999E-2</v>
          </cell>
          <cell r="N2256">
            <v>1.6275108192058159</v>
          </cell>
        </row>
        <row r="2257">
          <cell r="K2257">
            <v>44314</v>
          </cell>
          <cell r="L2257" t="str">
            <v>DIA ÚTIL</v>
          </cell>
          <cell r="M2257">
            <v>1.0378999999999999E-2</v>
          </cell>
          <cell r="N2257">
            <v>1.6276797385537414</v>
          </cell>
        </row>
        <row r="2258">
          <cell r="K2258">
            <v>44315</v>
          </cell>
          <cell r="L2258" t="str">
            <v>DIA ÚTIL</v>
          </cell>
          <cell r="M2258">
            <v>1.0378999999999999E-2</v>
          </cell>
          <cell r="N2258">
            <v>1.627848675433806</v>
          </cell>
        </row>
        <row r="2259">
          <cell r="K2259">
            <v>44316</v>
          </cell>
          <cell r="L2259" t="str">
            <v>DIA ÚTIL</v>
          </cell>
          <cell r="M2259">
            <v>1.0378999999999999E-2</v>
          </cell>
          <cell r="N2259">
            <v>1.6280176298478293</v>
          </cell>
        </row>
        <row r="2260">
          <cell r="K2260">
            <v>44317</v>
          </cell>
          <cell r="M2260">
            <v>0</v>
          </cell>
          <cell r="N2260">
            <v>1.6280176298478293</v>
          </cell>
        </row>
        <row r="2261">
          <cell r="K2261">
            <v>44318</v>
          </cell>
          <cell r="M2261">
            <v>0</v>
          </cell>
          <cell r="N2261">
            <v>1.6280176298478293</v>
          </cell>
        </row>
        <row r="2262">
          <cell r="K2262">
            <v>44319</v>
          </cell>
          <cell r="L2262" t="str">
            <v>DIA ÚTIL</v>
          </cell>
          <cell r="M2262">
            <v>1.0378999999999999E-2</v>
          </cell>
          <cell r="N2262">
            <v>1.6281866017976312</v>
          </cell>
        </row>
        <row r="2263">
          <cell r="K2263">
            <v>44320</v>
          </cell>
          <cell r="L2263" t="str">
            <v>DIA ÚTIL</v>
          </cell>
          <cell r="M2263">
            <v>1.0378999999999999E-2</v>
          </cell>
          <cell r="N2263">
            <v>1.6283555912850318</v>
          </cell>
        </row>
        <row r="2264">
          <cell r="K2264">
            <v>44321</v>
          </cell>
          <cell r="L2264" t="str">
            <v>DIA ÚTIL</v>
          </cell>
          <cell r="M2264">
            <v>1.0378999999999999E-2</v>
          </cell>
          <cell r="N2264">
            <v>1.6285245983118515</v>
          </cell>
        </row>
        <row r="2265">
          <cell r="K2265">
            <v>44322</v>
          </cell>
          <cell r="L2265" t="str">
            <v>DIA ÚTIL</v>
          </cell>
          <cell r="M2265">
            <v>1.3269E-2</v>
          </cell>
          <cell r="N2265">
            <v>1.6287406872408015</v>
          </cell>
        </row>
        <row r="2266">
          <cell r="K2266">
            <v>44323</v>
          </cell>
          <cell r="L2266" t="str">
            <v>DIA ÚTIL</v>
          </cell>
          <cell r="M2266">
            <v>1.3269E-2</v>
          </cell>
          <cell r="N2266">
            <v>1.6289568048425915</v>
          </cell>
        </row>
        <row r="2267">
          <cell r="K2267">
            <v>44324</v>
          </cell>
          <cell r="M2267">
            <v>0</v>
          </cell>
          <cell r="N2267">
            <v>1.6289568048425915</v>
          </cell>
        </row>
        <row r="2268">
          <cell r="K2268">
            <v>44325</v>
          </cell>
          <cell r="M2268">
            <v>0</v>
          </cell>
          <cell r="N2268">
            <v>1.6289568048425915</v>
          </cell>
        </row>
        <row r="2269">
          <cell r="K2269">
            <v>44326</v>
          </cell>
          <cell r="L2269" t="str">
            <v>DIA ÚTIL</v>
          </cell>
          <cell r="M2269">
            <v>1.3269E-2</v>
          </cell>
          <cell r="N2269">
            <v>1.6291729511210262</v>
          </cell>
        </row>
        <row r="2270">
          <cell r="K2270">
            <v>44327</v>
          </cell>
          <cell r="L2270" t="str">
            <v>DIA ÚTIL</v>
          </cell>
          <cell r="M2270">
            <v>1.3269E-2</v>
          </cell>
          <cell r="N2270">
            <v>1.6293891260799105</v>
          </cell>
        </row>
        <row r="2271">
          <cell r="K2271">
            <v>44328</v>
          </cell>
          <cell r="L2271" t="str">
            <v>DIA ÚTIL</v>
          </cell>
          <cell r="M2271">
            <v>1.3269E-2</v>
          </cell>
          <cell r="N2271">
            <v>1.6296053297230502</v>
          </cell>
        </row>
        <row r="2272">
          <cell r="K2272">
            <v>44329</v>
          </cell>
          <cell r="L2272" t="str">
            <v>DIA ÚTIL</v>
          </cell>
          <cell r="M2272">
            <v>1.3269E-2</v>
          </cell>
          <cell r="N2272">
            <v>1.6298215620542511</v>
          </cell>
        </row>
        <row r="2273">
          <cell r="K2273">
            <v>44330</v>
          </cell>
          <cell r="L2273" t="str">
            <v>DIA ÚTIL</v>
          </cell>
          <cell r="M2273">
            <v>1.3269E-2</v>
          </cell>
          <cell r="N2273">
            <v>1.6300378230773203</v>
          </cell>
        </row>
        <row r="2274">
          <cell r="K2274">
            <v>44331</v>
          </cell>
          <cell r="M2274">
            <v>0</v>
          </cell>
          <cell r="N2274">
            <v>1.6300378230773203</v>
          </cell>
        </row>
        <row r="2275">
          <cell r="K2275">
            <v>44332</v>
          </cell>
          <cell r="M2275">
            <v>0</v>
          </cell>
          <cell r="N2275">
            <v>1.6300378230773203</v>
          </cell>
        </row>
        <row r="2276">
          <cell r="K2276">
            <v>44333</v>
          </cell>
          <cell r="L2276" t="str">
            <v>DIA ÚTIL</v>
          </cell>
          <cell r="M2276">
            <v>1.3269E-2</v>
          </cell>
          <cell r="N2276">
            <v>1.6302541127960644</v>
          </cell>
        </row>
        <row r="2277">
          <cell r="K2277">
            <v>44334</v>
          </cell>
          <cell r="L2277" t="str">
            <v>DIA ÚTIL</v>
          </cell>
          <cell r="M2277">
            <v>1.3269E-2</v>
          </cell>
          <cell r="N2277">
            <v>1.6304704312142912</v>
          </cell>
        </row>
        <row r="2278">
          <cell r="K2278">
            <v>44335</v>
          </cell>
          <cell r="L2278" t="str">
            <v>DIA ÚTIL</v>
          </cell>
          <cell r="M2278">
            <v>1.3269E-2</v>
          </cell>
          <cell r="N2278">
            <v>1.6306867783358092</v>
          </cell>
        </row>
        <row r="2279">
          <cell r="K2279">
            <v>44336</v>
          </cell>
          <cell r="L2279" t="str">
            <v>DIA ÚTIL</v>
          </cell>
          <cell r="M2279">
            <v>1.3269E-2</v>
          </cell>
          <cell r="N2279">
            <v>1.6309031541644268</v>
          </cell>
        </row>
        <row r="2280">
          <cell r="K2280">
            <v>44337</v>
          </cell>
          <cell r="L2280" t="str">
            <v>DIA ÚTIL</v>
          </cell>
          <cell r="M2280">
            <v>1.3269E-2</v>
          </cell>
          <cell r="N2280">
            <v>1.6311195587039529</v>
          </cell>
        </row>
        <row r="2281">
          <cell r="K2281">
            <v>44338</v>
          </cell>
          <cell r="M2281">
            <v>0</v>
          </cell>
          <cell r="N2281">
            <v>1.6311195587039529</v>
          </cell>
        </row>
        <row r="2282">
          <cell r="K2282">
            <v>44339</v>
          </cell>
          <cell r="M2282">
            <v>0</v>
          </cell>
          <cell r="N2282">
            <v>1.6311195587039529</v>
          </cell>
        </row>
        <row r="2283">
          <cell r="K2283">
            <v>44340</v>
          </cell>
          <cell r="L2283" t="str">
            <v>DIA ÚTIL</v>
          </cell>
          <cell r="M2283">
            <v>1.3269E-2</v>
          </cell>
          <cell r="N2283">
            <v>1.6313359919581973</v>
          </cell>
        </row>
        <row r="2284">
          <cell r="K2284">
            <v>44341</v>
          </cell>
          <cell r="L2284" t="str">
            <v>DIA ÚTIL</v>
          </cell>
          <cell r="M2284">
            <v>1.3269E-2</v>
          </cell>
          <cell r="N2284">
            <v>1.6315524539309703</v>
          </cell>
        </row>
        <row r="2285">
          <cell r="K2285">
            <v>44342</v>
          </cell>
          <cell r="L2285" t="str">
            <v>DIA ÚTIL</v>
          </cell>
          <cell r="M2285">
            <v>1.3269E-2</v>
          </cell>
          <cell r="N2285">
            <v>1.6317689446260824</v>
          </cell>
        </row>
        <row r="2286">
          <cell r="K2286">
            <v>44343</v>
          </cell>
          <cell r="L2286" t="str">
            <v>DIA ÚTIL</v>
          </cell>
          <cell r="M2286">
            <v>1.3269E-2</v>
          </cell>
          <cell r="N2286">
            <v>1.6319854640473448</v>
          </cell>
        </row>
        <row r="2287">
          <cell r="K2287">
            <v>44344</v>
          </cell>
          <cell r="L2287" t="str">
            <v>DIA ÚTIL</v>
          </cell>
          <cell r="M2287">
            <v>1.3269E-2</v>
          </cell>
          <cell r="N2287">
            <v>1.6322020121985694</v>
          </cell>
        </row>
        <row r="2288">
          <cell r="K2288">
            <v>44345</v>
          </cell>
          <cell r="M2288">
            <v>0</v>
          </cell>
          <cell r="N2288">
            <v>1.6322020121985694</v>
          </cell>
        </row>
        <row r="2289">
          <cell r="K2289">
            <v>44346</v>
          </cell>
          <cell r="M2289">
            <v>0</v>
          </cell>
          <cell r="N2289">
            <v>1.6322020121985694</v>
          </cell>
        </row>
        <row r="2290">
          <cell r="K2290">
            <v>44347</v>
          </cell>
          <cell r="L2290" t="str">
            <v>DIA ÚTIL</v>
          </cell>
          <cell r="M2290">
            <v>1.3269E-2</v>
          </cell>
          <cell r="N2290">
            <v>1.6324185890835681</v>
          </cell>
        </row>
        <row r="2291">
          <cell r="K2291">
            <v>44348</v>
          </cell>
          <cell r="L2291" t="str">
            <v>DIA ÚTIL</v>
          </cell>
          <cell r="M2291">
            <v>1.3269E-2</v>
          </cell>
          <cell r="N2291">
            <v>1.6326351947061537</v>
          </cell>
        </row>
        <row r="2292">
          <cell r="K2292">
            <v>44349</v>
          </cell>
          <cell r="L2292" t="str">
            <v>DIA ÚTIL</v>
          </cell>
          <cell r="M2292">
            <v>1.3269E-2</v>
          </cell>
          <cell r="N2292">
            <v>1.6328518290701393</v>
          </cell>
        </row>
        <row r="2293">
          <cell r="K2293">
            <v>44350</v>
          </cell>
          <cell r="M2293">
            <v>0</v>
          </cell>
          <cell r="N2293">
            <v>1.6328518290701393</v>
          </cell>
        </row>
        <row r="2294">
          <cell r="K2294">
            <v>44351</v>
          </cell>
          <cell r="L2294" t="str">
            <v>DIA ÚTIL</v>
          </cell>
          <cell r="M2294">
            <v>1.3269E-2</v>
          </cell>
          <cell r="N2294">
            <v>1.6330684921793386</v>
          </cell>
        </row>
        <row r="2295">
          <cell r="K2295">
            <v>44352</v>
          </cell>
          <cell r="M2295">
            <v>0</v>
          </cell>
          <cell r="N2295">
            <v>1.6330684921793386</v>
          </cell>
        </row>
        <row r="2296">
          <cell r="K2296">
            <v>44353</v>
          </cell>
          <cell r="M2296">
            <v>0</v>
          </cell>
          <cell r="N2296">
            <v>1.6330684921793386</v>
          </cell>
        </row>
        <row r="2297">
          <cell r="K2297">
            <v>44354</v>
          </cell>
          <cell r="L2297" t="str">
            <v>DIA ÚTIL</v>
          </cell>
          <cell r="M2297">
            <v>1.3269E-2</v>
          </cell>
          <cell r="N2297">
            <v>1.633285184037566</v>
          </cell>
        </row>
        <row r="2298">
          <cell r="K2298">
            <v>44355</v>
          </cell>
          <cell r="L2298" t="str">
            <v>DIA ÚTIL</v>
          </cell>
          <cell r="M2298">
            <v>1.3269E-2</v>
          </cell>
          <cell r="N2298">
            <v>1.6335019046486359</v>
          </cell>
        </row>
        <row r="2299">
          <cell r="K2299">
            <v>44356</v>
          </cell>
          <cell r="L2299" t="str">
            <v>DIA ÚTIL</v>
          </cell>
          <cell r="M2299">
            <v>1.3269E-2</v>
          </cell>
          <cell r="N2299">
            <v>1.6337186540163637</v>
          </cell>
        </row>
        <row r="2300">
          <cell r="K2300">
            <v>44357</v>
          </cell>
          <cell r="L2300" t="str">
            <v>DIA ÚTIL</v>
          </cell>
          <cell r="M2300">
            <v>1.3269E-2</v>
          </cell>
          <cell r="N2300">
            <v>1.6339354321445652</v>
          </cell>
        </row>
        <row r="2301">
          <cell r="K2301">
            <v>44358</v>
          </cell>
          <cell r="L2301" t="str">
            <v>DIA ÚTIL</v>
          </cell>
          <cell r="M2301">
            <v>1.3269E-2</v>
          </cell>
          <cell r="N2301">
            <v>1.6341522390370564</v>
          </cell>
        </row>
        <row r="2302">
          <cell r="K2302">
            <v>44359</v>
          </cell>
          <cell r="M2302">
            <v>0</v>
          </cell>
          <cell r="N2302">
            <v>1.6341522390370564</v>
          </cell>
        </row>
        <row r="2303">
          <cell r="K2303">
            <v>44360</v>
          </cell>
          <cell r="M2303">
            <v>0</v>
          </cell>
          <cell r="N2303">
            <v>1.6341522390370564</v>
          </cell>
        </row>
        <row r="2304">
          <cell r="K2304">
            <v>44361</v>
          </cell>
          <cell r="L2304" t="str">
            <v>DIA ÚTIL</v>
          </cell>
          <cell r="M2304">
            <v>1.3269E-2</v>
          </cell>
          <cell r="N2304">
            <v>1.6343690746976542</v>
          </cell>
        </row>
        <row r="2305">
          <cell r="K2305">
            <v>44362</v>
          </cell>
          <cell r="L2305" t="str">
            <v>DIA ÚTIL</v>
          </cell>
          <cell r="M2305">
            <v>1.3269E-2</v>
          </cell>
          <cell r="N2305">
            <v>1.634585939130176</v>
          </cell>
        </row>
        <row r="2306">
          <cell r="K2306">
            <v>44363</v>
          </cell>
          <cell r="L2306" t="str">
            <v>DIA ÚTIL</v>
          </cell>
          <cell r="M2306">
            <v>1.3269E-2</v>
          </cell>
          <cell r="N2306">
            <v>1.6348028323384394</v>
          </cell>
        </row>
        <row r="2307">
          <cell r="K2307">
            <v>44364</v>
          </cell>
          <cell r="L2307" t="str">
            <v>DIA ÚTIL</v>
          </cell>
          <cell r="M2307">
            <v>1.6136999999999999E-2</v>
          </cell>
          <cell r="N2307">
            <v>1.635066640471494</v>
          </cell>
        </row>
        <row r="2308">
          <cell r="K2308">
            <v>44365</v>
          </cell>
          <cell r="L2308" t="str">
            <v>DIA ÚTIL</v>
          </cell>
          <cell r="M2308">
            <v>1.6136999999999999E-2</v>
          </cell>
          <cell r="N2308">
            <v>1.6353304911752669</v>
          </cell>
        </row>
        <row r="2309">
          <cell r="K2309">
            <v>44366</v>
          </cell>
          <cell r="M2309">
            <v>0</v>
          </cell>
          <cell r="N2309">
            <v>1.6353304911752669</v>
          </cell>
        </row>
        <row r="2310">
          <cell r="K2310">
            <v>44367</v>
          </cell>
          <cell r="M2310">
            <v>0</v>
          </cell>
          <cell r="N2310">
            <v>1.6353304911752669</v>
          </cell>
        </row>
        <row r="2311">
          <cell r="K2311">
            <v>44368</v>
          </cell>
          <cell r="L2311" t="str">
            <v>DIA ÚTIL</v>
          </cell>
          <cell r="M2311">
            <v>1.6136999999999999E-2</v>
          </cell>
          <cell r="N2311">
            <v>1.6355943844566279</v>
          </cell>
        </row>
        <row r="2312">
          <cell r="K2312">
            <v>44369</v>
          </cell>
          <cell r="L2312" t="str">
            <v>DIA ÚTIL</v>
          </cell>
          <cell r="M2312">
            <v>1.6136999999999999E-2</v>
          </cell>
          <cell r="N2312">
            <v>1.6358583203224477</v>
          </cell>
        </row>
        <row r="2313">
          <cell r="K2313">
            <v>44370</v>
          </cell>
          <cell r="L2313" t="str">
            <v>DIA ÚTIL</v>
          </cell>
          <cell r="M2313">
            <v>1.6136999999999999E-2</v>
          </cell>
          <cell r="N2313">
            <v>1.6361222987795982</v>
          </cell>
        </row>
        <row r="2314">
          <cell r="K2314">
            <v>44371</v>
          </cell>
          <cell r="L2314" t="str">
            <v>DIA ÚTIL</v>
          </cell>
          <cell r="M2314">
            <v>1.6136999999999999E-2</v>
          </cell>
          <cell r="N2314">
            <v>1.6363863198349524</v>
          </cell>
        </row>
        <row r="2315">
          <cell r="K2315">
            <v>44372</v>
          </cell>
          <cell r="L2315" t="str">
            <v>DIA ÚTIL</v>
          </cell>
          <cell r="M2315">
            <v>1.6136999999999999E-2</v>
          </cell>
          <cell r="N2315">
            <v>1.6366503834953843</v>
          </cell>
        </row>
        <row r="2316">
          <cell r="K2316">
            <v>44373</v>
          </cell>
          <cell r="M2316">
            <v>0</v>
          </cell>
          <cell r="N2316">
            <v>1.6366503834953843</v>
          </cell>
        </row>
        <row r="2317">
          <cell r="K2317">
            <v>44374</v>
          </cell>
          <cell r="M2317">
            <v>0</v>
          </cell>
          <cell r="N2317">
            <v>1.6366503834953843</v>
          </cell>
        </row>
        <row r="2318">
          <cell r="K2318">
            <v>44375</v>
          </cell>
          <cell r="L2318" t="str">
            <v>DIA ÚTIL</v>
          </cell>
          <cell r="M2318">
            <v>1.6136999999999999E-2</v>
          </cell>
          <cell r="N2318">
            <v>1.636914489767769</v>
          </cell>
        </row>
        <row r="2319">
          <cell r="K2319">
            <v>44376</v>
          </cell>
          <cell r="L2319" t="str">
            <v>DIA ÚTIL</v>
          </cell>
          <cell r="M2319">
            <v>1.6136999999999999E-2</v>
          </cell>
          <cell r="N2319">
            <v>1.6371786386589828</v>
          </cell>
        </row>
        <row r="2320">
          <cell r="K2320">
            <v>44377</v>
          </cell>
          <cell r="L2320" t="str">
            <v>DIA ÚTIL</v>
          </cell>
          <cell r="M2320">
            <v>1.6136999999999999E-2</v>
          </cell>
          <cell r="N2320">
            <v>1.6374428301759034</v>
          </cell>
        </row>
        <row r="2321">
          <cell r="K2321">
            <v>44378</v>
          </cell>
          <cell r="L2321" t="str">
            <v>DIA ÚTIL</v>
          </cell>
          <cell r="M2321">
            <v>1.6136999999999999E-2</v>
          </cell>
          <cell r="N2321">
            <v>1.637707064325409</v>
          </cell>
        </row>
        <row r="2322">
          <cell r="K2322">
            <v>44379</v>
          </cell>
          <cell r="L2322" t="str">
            <v>DIA ÚTIL</v>
          </cell>
          <cell r="M2322">
            <v>1.6136999999999999E-2</v>
          </cell>
          <cell r="N2322">
            <v>1.6379713411143793</v>
          </cell>
        </row>
        <row r="2323">
          <cell r="K2323">
            <v>44380</v>
          </cell>
          <cell r="M2323">
            <v>0</v>
          </cell>
          <cell r="N2323">
            <v>1.6379713411143793</v>
          </cell>
        </row>
        <row r="2324">
          <cell r="K2324">
            <v>44381</v>
          </cell>
          <cell r="M2324">
            <v>0</v>
          </cell>
          <cell r="N2324">
            <v>1.6379713411143793</v>
          </cell>
        </row>
        <row r="2325">
          <cell r="K2325">
            <v>44382</v>
          </cell>
          <cell r="L2325" t="str">
            <v>DIA ÚTIL</v>
          </cell>
          <cell r="M2325">
            <v>1.6136999999999999E-2</v>
          </cell>
          <cell r="N2325">
            <v>1.638235660549695</v>
          </cell>
        </row>
        <row r="2326">
          <cell r="K2326">
            <v>44383</v>
          </cell>
          <cell r="L2326" t="str">
            <v>DIA ÚTIL</v>
          </cell>
          <cell r="M2326">
            <v>1.6136999999999999E-2</v>
          </cell>
          <cell r="N2326">
            <v>1.638500022638238</v>
          </cell>
        </row>
        <row r="2327">
          <cell r="K2327">
            <v>44384</v>
          </cell>
          <cell r="L2327" t="str">
            <v>DIA ÚTIL</v>
          </cell>
          <cell r="M2327">
            <v>1.6136999999999999E-2</v>
          </cell>
          <cell r="N2327">
            <v>1.6387644273868913</v>
          </cell>
        </row>
        <row r="2328">
          <cell r="K2328">
            <v>44385</v>
          </cell>
          <cell r="L2328" t="str">
            <v>DIA ÚTIL</v>
          </cell>
          <cell r="M2328">
            <v>1.6136999999999999E-2</v>
          </cell>
          <cell r="N2328">
            <v>1.6390288748025388</v>
          </cell>
        </row>
        <row r="2329">
          <cell r="K2329">
            <v>44386</v>
          </cell>
          <cell r="L2329" t="str">
            <v>DIA ÚTIL</v>
          </cell>
          <cell r="M2329">
            <v>1.6136999999999999E-2</v>
          </cell>
          <cell r="N2329">
            <v>1.6392933648920658</v>
          </cell>
        </row>
        <row r="2330">
          <cell r="K2330">
            <v>44387</v>
          </cell>
          <cell r="M2330">
            <v>0</v>
          </cell>
          <cell r="N2330">
            <v>1.6392933648920658</v>
          </cell>
        </row>
        <row r="2331">
          <cell r="K2331">
            <v>44388</v>
          </cell>
          <cell r="M2331">
            <v>0</v>
          </cell>
          <cell r="N2331">
            <v>1.6392933648920658</v>
          </cell>
        </row>
        <row r="2332">
          <cell r="K2332">
            <v>44389</v>
          </cell>
          <cell r="L2332" t="str">
            <v>DIA ÚTIL</v>
          </cell>
          <cell r="M2332">
            <v>1.6136999999999999E-2</v>
          </cell>
          <cell r="N2332">
            <v>1.6395578976623586</v>
          </cell>
        </row>
        <row r="2333">
          <cell r="K2333">
            <v>44390</v>
          </cell>
          <cell r="L2333" t="str">
            <v>DIA ÚTIL</v>
          </cell>
          <cell r="M2333">
            <v>1.6136999999999999E-2</v>
          </cell>
          <cell r="N2333">
            <v>1.6398224731203044</v>
          </cell>
        </row>
        <row r="2334">
          <cell r="K2334">
            <v>44391</v>
          </cell>
          <cell r="L2334" t="str">
            <v>DIA ÚTIL</v>
          </cell>
          <cell r="M2334">
            <v>1.6136999999999999E-2</v>
          </cell>
          <cell r="N2334">
            <v>1.6400870912727918</v>
          </cell>
        </row>
        <row r="2335">
          <cell r="K2335">
            <v>44392</v>
          </cell>
          <cell r="L2335" t="str">
            <v>DIA ÚTIL</v>
          </cell>
          <cell r="M2335">
            <v>1.6136999999999999E-2</v>
          </cell>
          <cell r="N2335">
            <v>1.6403517521267106</v>
          </cell>
        </row>
        <row r="2336">
          <cell r="K2336">
            <v>44393</v>
          </cell>
          <cell r="L2336" t="str">
            <v>DIA ÚTIL</v>
          </cell>
          <cell r="M2336">
            <v>1.6136999999999999E-2</v>
          </cell>
          <cell r="N2336">
            <v>1.6406164556889513</v>
          </cell>
        </row>
        <row r="2337">
          <cell r="K2337">
            <v>44394</v>
          </cell>
          <cell r="M2337">
            <v>0</v>
          </cell>
          <cell r="N2337">
            <v>1.6406164556889513</v>
          </cell>
        </row>
        <row r="2338">
          <cell r="K2338">
            <v>44395</v>
          </cell>
          <cell r="M2338">
            <v>0</v>
          </cell>
          <cell r="N2338">
            <v>1.6406164556889513</v>
          </cell>
        </row>
        <row r="2339">
          <cell r="K2339">
            <v>44396</v>
          </cell>
          <cell r="L2339" t="str">
            <v>DIA ÚTIL</v>
          </cell>
          <cell r="M2339">
            <v>1.6136999999999999E-2</v>
          </cell>
          <cell r="N2339">
            <v>1.6408812019664059</v>
          </cell>
        </row>
        <row r="2340">
          <cell r="K2340">
            <v>44397</v>
          </cell>
          <cell r="L2340" t="str">
            <v>DIA ÚTIL</v>
          </cell>
          <cell r="M2340">
            <v>1.6136999999999999E-2</v>
          </cell>
          <cell r="N2340">
            <v>1.6411459909659674</v>
          </cell>
        </row>
        <row r="2341">
          <cell r="K2341">
            <v>44398</v>
          </cell>
          <cell r="L2341" t="str">
            <v>DIA ÚTIL</v>
          </cell>
          <cell r="M2341">
            <v>1.6136999999999999E-2</v>
          </cell>
          <cell r="N2341">
            <v>1.6414108226945296</v>
          </cell>
        </row>
        <row r="2342">
          <cell r="K2342">
            <v>44399</v>
          </cell>
          <cell r="L2342" t="str">
            <v>DIA ÚTIL</v>
          </cell>
          <cell r="M2342">
            <v>1.6136999999999999E-2</v>
          </cell>
          <cell r="N2342">
            <v>1.6416756971589879</v>
          </cell>
        </row>
        <row r="2343">
          <cell r="K2343">
            <v>44400</v>
          </cell>
          <cell r="L2343" t="str">
            <v>DIA ÚTIL</v>
          </cell>
          <cell r="M2343">
            <v>1.6136999999999999E-2</v>
          </cell>
          <cell r="N2343">
            <v>1.6419406143662385</v>
          </cell>
        </row>
        <row r="2344">
          <cell r="K2344">
            <v>44401</v>
          </cell>
          <cell r="M2344">
            <v>0</v>
          </cell>
          <cell r="N2344">
            <v>1.6419406143662385</v>
          </cell>
        </row>
        <row r="2345">
          <cell r="K2345">
            <v>44402</v>
          </cell>
          <cell r="M2345">
            <v>0</v>
          </cell>
          <cell r="N2345">
            <v>1.6419406143662385</v>
          </cell>
        </row>
        <row r="2346">
          <cell r="K2346">
            <v>44403</v>
          </cell>
          <cell r="L2346" t="str">
            <v>DIA ÚTIL</v>
          </cell>
          <cell r="M2346">
            <v>1.6136999999999999E-2</v>
          </cell>
          <cell r="N2346">
            <v>1.6422055743231789</v>
          </cell>
        </row>
        <row r="2347">
          <cell r="K2347">
            <v>44404</v>
          </cell>
          <cell r="L2347" t="str">
            <v>DIA ÚTIL</v>
          </cell>
          <cell r="M2347">
            <v>1.6136999999999999E-2</v>
          </cell>
          <cell r="N2347">
            <v>1.6424705770367076</v>
          </cell>
        </row>
        <row r="2348">
          <cell r="K2348">
            <v>44405</v>
          </cell>
          <cell r="L2348" t="str">
            <v>DIA ÚTIL</v>
          </cell>
          <cell r="M2348">
            <v>1.6136999999999999E-2</v>
          </cell>
          <cell r="N2348">
            <v>1.6427356225137242</v>
          </cell>
        </row>
        <row r="2349">
          <cell r="K2349">
            <v>44406</v>
          </cell>
          <cell r="L2349" t="str">
            <v>DIA ÚTIL</v>
          </cell>
          <cell r="M2349">
            <v>1.6136999999999999E-2</v>
          </cell>
          <cell r="N2349">
            <v>1.6430007107611293</v>
          </cell>
        </row>
        <row r="2350">
          <cell r="K2350">
            <v>44407</v>
          </cell>
          <cell r="L2350" t="str">
            <v>DIA ÚTIL</v>
          </cell>
          <cell r="M2350">
            <v>1.6136999999999999E-2</v>
          </cell>
          <cell r="N2350">
            <v>1.6432658417858248</v>
          </cell>
        </row>
        <row r="2351">
          <cell r="K2351">
            <v>44408</v>
          </cell>
          <cell r="M2351">
            <v>0</v>
          </cell>
          <cell r="N2351">
            <v>1.6432658417858248</v>
          </cell>
        </row>
        <row r="2352">
          <cell r="K2352">
            <v>44409</v>
          </cell>
          <cell r="M2352">
            <v>0</v>
          </cell>
          <cell r="N2352">
            <v>1.6432658417858248</v>
          </cell>
        </row>
        <row r="2353">
          <cell r="K2353">
            <v>44410</v>
          </cell>
          <cell r="L2353" t="str">
            <v>DIA ÚTIL</v>
          </cell>
          <cell r="M2353">
            <v>1.6136999999999999E-2</v>
          </cell>
          <cell r="N2353">
            <v>1.6435310155947138</v>
          </cell>
        </row>
        <row r="2354">
          <cell r="K2354">
            <v>44411</v>
          </cell>
          <cell r="L2354" t="str">
            <v>DIA ÚTIL</v>
          </cell>
          <cell r="M2354">
            <v>1.6136999999999999E-2</v>
          </cell>
          <cell r="N2354">
            <v>1.6437962321947004</v>
          </cell>
        </row>
        <row r="2355">
          <cell r="K2355">
            <v>44412</v>
          </cell>
          <cell r="L2355" t="str">
            <v>DIA ÚTIL</v>
          </cell>
          <cell r="M2355">
            <v>1.6136999999999999E-2</v>
          </cell>
          <cell r="N2355">
            <v>1.6440614915926897</v>
          </cell>
        </row>
        <row r="2356">
          <cell r="K2356">
            <v>44413</v>
          </cell>
          <cell r="L2356" t="str">
            <v>DIA ÚTIL</v>
          </cell>
          <cell r="M2356">
            <v>1.993E-2</v>
          </cell>
          <cell r="N2356">
            <v>1.6443891530479642</v>
          </cell>
        </row>
        <row r="2357">
          <cell r="K2357">
            <v>44414</v>
          </cell>
          <cell r="L2357" t="str">
            <v>DIA ÚTIL</v>
          </cell>
          <cell r="M2357">
            <v>1.993E-2</v>
          </cell>
          <cell r="N2357">
            <v>1.6447168798061667</v>
          </cell>
        </row>
        <row r="2358">
          <cell r="K2358">
            <v>44415</v>
          </cell>
          <cell r="M2358">
            <v>0</v>
          </cell>
          <cell r="N2358">
            <v>1.6447168798061667</v>
          </cell>
        </row>
        <row r="2359">
          <cell r="K2359">
            <v>44416</v>
          </cell>
          <cell r="M2359">
            <v>0</v>
          </cell>
          <cell r="N2359">
            <v>1.6447168798061667</v>
          </cell>
        </row>
        <row r="2360">
          <cell r="K2360">
            <v>44417</v>
          </cell>
          <cell r="L2360" t="str">
            <v>DIA ÚTIL</v>
          </cell>
          <cell r="M2360">
            <v>1.993E-2</v>
          </cell>
          <cell r="N2360">
            <v>1.645044671880312</v>
          </cell>
        </row>
        <row r="2361">
          <cell r="K2361">
            <v>44418</v>
          </cell>
          <cell r="L2361" t="str">
            <v>DIA ÚTIL</v>
          </cell>
          <cell r="M2361">
            <v>1.993E-2</v>
          </cell>
          <cell r="N2361">
            <v>1.6453725292834178</v>
          </cell>
        </row>
        <row r="2362">
          <cell r="K2362">
            <v>44419</v>
          </cell>
          <cell r="L2362" t="str">
            <v>DIA ÚTIL</v>
          </cell>
          <cell r="M2362">
            <v>1.993E-2</v>
          </cell>
          <cell r="N2362">
            <v>1.6457004520285041</v>
          </cell>
        </row>
        <row r="2363">
          <cell r="K2363">
            <v>44420</v>
          </cell>
          <cell r="L2363" t="str">
            <v>DIA ÚTIL</v>
          </cell>
          <cell r="M2363">
            <v>1.993E-2</v>
          </cell>
          <cell r="N2363">
            <v>1.6460284401285934</v>
          </cell>
        </row>
        <row r="2364">
          <cell r="K2364">
            <v>44421</v>
          </cell>
          <cell r="L2364" t="str">
            <v>DIA ÚTIL</v>
          </cell>
          <cell r="M2364">
            <v>1.993E-2</v>
          </cell>
          <cell r="N2364">
            <v>1.646356493596711</v>
          </cell>
        </row>
        <row r="2365">
          <cell r="K2365">
            <v>44422</v>
          </cell>
          <cell r="M2365">
            <v>0</v>
          </cell>
          <cell r="N2365">
            <v>1.646356493596711</v>
          </cell>
        </row>
        <row r="2366">
          <cell r="K2366">
            <v>44423</v>
          </cell>
          <cell r="M2366">
            <v>0</v>
          </cell>
          <cell r="N2366">
            <v>1.646356493596711</v>
          </cell>
        </row>
        <row r="2367">
          <cell r="K2367">
            <v>44424</v>
          </cell>
          <cell r="L2367" t="str">
            <v>DIA ÚTIL</v>
          </cell>
          <cell r="M2367">
            <v>1.993E-2</v>
          </cell>
          <cell r="N2367">
            <v>1.6466846124458849</v>
          </cell>
        </row>
        <row r="2368">
          <cell r="K2368">
            <v>44425</v>
          </cell>
          <cell r="L2368" t="str">
            <v>DIA ÚTIL</v>
          </cell>
          <cell r="M2368">
            <v>1.993E-2</v>
          </cell>
          <cell r="N2368">
            <v>1.6470127966891455</v>
          </cell>
        </row>
        <row r="2369">
          <cell r="K2369">
            <v>44426</v>
          </cell>
          <cell r="L2369" t="str">
            <v>DIA ÚTIL</v>
          </cell>
          <cell r="M2369">
            <v>1.993E-2</v>
          </cell>
          <cell r="N2369">
            <v>1.6473410463395257</v>
          </cell>
        </row>
        <row r="2370">
          <cell r="K2370">
            <v>44427</v>
          </cell>
          <cell r="L2370" t="str">
            <v>DIA ÚTIL</v>
          </cell>
          <cell r="M2370">
            <v>1.993E-2</v>
          </cell>
          <cell r="N2370">
            <v>1.6476693614100613</v>
          </cell>
        </row>
        <row r="2371">
          <cell r="K2371">
            <v>44428</v>
          </cell>
          <cell r="L2371" t="str">
            <v>DIA ÚTIL</v>
          </cell>
          <cell r="M2371">
            <v>1.993E-2</v>
          </cell>
          <cell r="N2371">
            <v>1.6479977419137903</v>
          </cell>
        </row>
        <row r="2372">
          <cell r="K2372">
            <v>44429</v>
          </cell>
          <cell r="M2372">
            <v>0</v>
          </cell>
          <cell r="N2372">
            <v>1.6479977419137903</v>
          </cell>
        </row>
        <row r="2373">
          <cell r="K2373">
            <v>44430</v>
          </cell>
          <cell r="M2373">
            <v>0</v>
          </cell>
          <cell r="N2373">
            <v>1.6479977419137903</v>
          </cell>
        </row>
        <row r="2374">
          <cell r="K2374">
            <v>44431</v>
          </cell>
          <cell r="L2374" t="str">
            <v>DIA ÚTIL</v>
          </cell>
          <cell r="M2374">
            <v>1.993E-2</v>
          </cell>
          <cell r="N2374">
            <v>1.6483261878637538</v>
          </cell>
        </row>
        <row r="2375">
          <cell r="K2375">
            <v>44432</v>
          </cell>
          <cell r="L2375" t="str">
            <v>DIA ÚTIL</v>
          </cell>
          <cell r="M2375">
            <v>1.993E-2</v>
          </cell>
          <cell r="N2375">
            <v>1.6486546992729951</v>
          </cell>
        </row>
        <row r="2376">
          <cell r="K2376">
            <v>44433</v>
          </cell>
          <cell r="L2376" t="str">
            <v>DIA ÚTIL</v>
          </cell>
          <cell r="M2376">
            <v>1.993E-2</v>
          </cell>
          <cell r="N2376">
            <v>1.6489832761545602</v>
          </cell>
        </row>
        <row r="2377">
          <cell r="K2377">
            <v>44434</v>
          </cell>
          <cell r="L2377" t="str">
            <v>DIA ÚTIL</v>
          </cell>
          <cell r="M2377">
            <v>1.993E-2</v>
          </cell>
          <cell r="N2377">
            <v>1.6493119185214977</v>
          </cell>
        </row>
        <row r="2378">
          <cell r="K2378">
            <v>44435</v>
          </cell>
          <cell r="L2378" t="str">
            <v>DIA ÚTIL</v>
          </cell>
          <cell r="M2378">
            <v>1.993E-2</v>
          </cell>
          <cell r="N2378">
            <v>1.649640626386859</v>
          </cell>
        </row>
        <row r="2379">
          <cell r="K2379">
            <v>44436</v>
          </cell>
          <cell r="M2379">
            <v>0</v>
          </cell>
          <cell r="N2379">
            <v>1.649640626386859</v>
          </cell>
        </row>
        <row r="2380">
          <cell r="K2380">
            <v>44437</v>
          </cell>
          <cell r="M2380">
            <v>0</v>
          </cell>
          <cell r="N2380">
            <v>1.649640626386859</v>
          </cell>
        </row>
        <row r="2381">
          <cell r="K2381">
            <v>44438</v>
          </cell>
          <cell r="L2381" t="str">
            <v>DIA ÚTIL</v>
          </cell>
          <cell r="M2381">
            <v>1.993E-2</v>
          </cell>
          <cell r="N2381">
            <v>1.6499693997636979</v>
          </cell>
        </row>
        <row r="2382">
          <cell r="K2382">
            <v>44439</v>
          </cell>
          <cell r="L2382" t="str">
            <v>DIA ÚTIL</v>
          </cell>
          <cell r="M2382">
            <v>1.993E-2</v>
          </cell>
          <cell r="N2382">
            <v>1.6502982386650709</v>
          </cell>
        </row>
        <row r="2383">
          <cell r="K2383">
            <v>44440</v>
          </cell>
          <cell r="L2383" t="str">
            <v>DIA ÚTIL</v>
          </cell>
          <cell r="M2383">
            <v>1.993E-2</v>
          </cell>
          <cell r="N2383">
            <v>1.6506271431040369</v>
          </cell>
        </row>
        <row r="2384">
          <cell r="K2384">
            <v>44441</v>
          </cell>
          <cell r="L2384" t="str">
            <v>DIA ÚTIL</v>
          </cell>
          <cell r="M2384">
            <v>1.993E-2</v>
          </cell>
          <cell r="N2384">
            <v>1.6509561130936576</v>
          </cell>
        </row>
        <row r="2385">
          <cell r="K2385">
            <v>44442</v>
          </cell>
          <cell r="L2385" t="str">
            <v>DIA ÚTIL</v>
          </cell>
          <cell r="M2385">
            <v>1.993E-2</v>
          </cell>
          <cell r="N2385">
            <v>1.6512851486469973</v>
          </cell>
        </row>
        <row r="2386">
          <cell r="K2386">
            <v>44443</v>
          </cell>
          <cell r="M2386">
            <v>0</v>
          </cell>
          <cell r="N2386">
            <v>1.6512851486469973</v>
          </cell>
        </row>
        <row r="2387">
          <cell r="K2387">
            <v>44444</v>
          </cell>
          <cell r="M2387">
            <v>0</v>
          </cell>
          <cell r="N2387">
            <v>1.6512851486469973</v>
          </cell>
        </row>
        <row r="2388">
          <cell r="K2388">
            <v>44445</v>
          </cell>
          <cell r="L2388" t="str">
            <v>DIA ÚTIL</v>
          </cell>
          <cell r="M2388">
            <v>1.993E-2</v>
          </cell>
          <cell r="N2388">
            <v>1.6516142497771227</v>
          </cell>
        </row>
        <row r="2389">
          <cell r="K2389">
            <v>44446</v>
          </cell>
          <cell r="M2389">
            <v>0</v>
          </cell>
          <cell r="N2389">
            <v>1.6516142497771227</v>
          </cell>
        </row>
        <row r="2390">
          <cell r="K2390">
            <v>44447</v>
          </cell>
          <cell r="L2390" t="str">
            <v>DIA ÚTIL</v>
          </cell>
          <cell r="M2390">
            <v>1.993E-2</v>
          </cell>
          <cell r="N2390">
            <v>1.6519434164971032</v>
          </cell>
        </row>
        <row r="2391">
          <cell r="K2391">
            <v>44448</v>
          </cell>
          <cell r="L2391" t="str">
            <v>DIA ÚTIL</v>
          </cell>
          <cell r="M2391">
            <v>1.993E-2</v>
          </cell>
          <cell r="N2391">
            <v>1.652272648820011</v>
          </cell>
        </row>
        <row r="2392">
          <cell r="K2392">
            <v>44449</v>
          </cell>
          <cell r="L2392" t="str">
            <v>DIA ÚTIL</v>
          </cell>
          <cell r="M2392">
            <v>1.993E-2</v>
          </cell>
          <cell r="N2392">
            <v>1.6526019467589208</v>
          </cell>
        </row>
        <row r="2393">
          <cell r="K2393">
            <v>44450</v>
          </cell>
          <cell r="M2393">
            <v>0</v>
          </cell>
          <cell r="N2393">
            <v>1.6526019467589208</v>
          </cell>
        </row>
        <row r="2394">
          <cell r="K2394">
            <v>44451</v>
          </cell>
          <cell r="M2394">
            <v>0</v>
          </cell>
          <cell r="N2394">
            <v>1.6526019467589208</v>
          </cell>
        </row>
        <row r="2395">
          <cell r="K2395">
            <v>44452</v>
          </cell>
          <cell r="L2395" t="str">
            <v>DIA ÚTIL</v>
          </cell>
          <cell r="M2395">
            <v>1.993E-2</v>
          </cell>
          <cell r="N2395">
            <v>1.6529313103269099</v>
          </cell>
        </row>
        <row r="2396">
          <cell r="K2396">
            <v>44453</v>
          </cell>
          <cell r="L2396" t="str">
            <v>DIA ÚTIL</v>
          </cell>
          <cell r="M2396">
            <v>1.993E-2</v>
          </cell>
          <cell r="N2396">
            <v>1.653260739537058</v>
          </cell>
        </row>
        <row r="2397">
          <cell r="K2397">
            <v>44454</v>
          </cell>
          <cell r="L2397" t="str">
            <v>DIA ÚTIL</v>
          </cell>
          <cell r="M2397">
            <v>1.993E-2</v>
          </cell>
          <cell r="N2397">
            <v>1.6535902344024478</v>
          </cell>
        </row>
        <row r="2398">
          <cell r="K2398">
            <v>44455</v>
          </cell>
          <cell r="L2398" t="str">
            <v>DIA ÚTIL</v>
          </cell>
          <cell r="M2398">
            <v>1.993E-2</v>
          </cell>
          <cell r="N2398">
            <v>1.6539197949361641</v>
          </cell>
        </row>
        <row r="2399">
          <cell r="K2399">
            <v>44456</v>
          </cell>
          <cell r="L2399" t="str">
            <v>DIA ÚTIL</v>
          </cell>
          <cell r="M2399">
            <v>1.993E-2</v>
          </cell>
          <cell r="N2399">
            <v>1.654249421151295</v>
          </cell>
        </row>
        <row r="2400">
          <cell r="K2400">
            <v>44457</v>
          </cell>
          <cell r="M2400">
            <v>0</v>
          </cell>
          <cell r="N2400">
            <v>1.654249421151295</v>
          </cell>
        </row>
        <row r="2401">
          <cell r="K2401">
            <v>44458</v>
          </cell>
          <cell r="M2401">
            <v>0</v>
          </cell>
          <cell r="N2401">
            <v>1.654249421151295</v>
          </cell>
        </row>
        <row r="2402">
          <cell r="K2402">
            <v>44459</v>
          </cell>
          <cell r="L2402" t="str">
            <v>DIA ÚTIL</v>
          </cell>
          <cell r="M2402">
            <v>1.993E-2</v>
          </cell>
          <cell r="N2402">
            <v>1.6545791130609304</v>
          </cell>
        </row>
        <row r="2403">
          <cell r="K2403">
            <v>44460</v>
          </cell>
          <cell r="L2403" t="str">
            <v>DIA ÚTIL</v>
          </cell>
          <cell r="M2403">
            <v>1.993E-2</v>
          </cell>
          <cell r="N2403">
            <v>1.6549088706781634</v>
          </cell>
        </row>
        <row r="2404">
          <cell r="K2404">
            <v>44461</v>
          </cell>
          <cell r="L2404" t="str">
            <v>DIA ÚTIL</v>
          </cell>
          <cell r="M2404">
            <v>1.993E-2</v>
          </cell>
          <cell r="N2404">
            <v>1.6552386940160895</v>
          </cell>
        </row>
        <row r="2405">
          <cell r="K2405">
            <v>44462</v>
          </cell>
          <cell r="L2405" t="str">
            <v>DIA ÚTIL</v>
          </cell>
          <cell r="M2405">
            <v>2.3687E-2</v>
          </cell>
          <cell r="N2405">
            <v>1.6556307704055411</v>
          </cell>
        </row>
        <row r="2406">
          <cell r="K2406">
            <v>44463</v>
          </cell>
          <cell r="L2406" t="str">
            <v>DIA ÚTIL</v>
          </cell>
          <cell r="M2406">
            <v>2.3687E-2</v>
          </cell>
          <cell r="N2406">
            <v>1.656022939666127</v>
          </cell>
        </row>
        <row r="2407">
          <cell r="K2407">
            <v>44464</v>
          </cell>
          <cell r="M2407">
            <v>0</v>
          </cell>
          <cell r="N2407">
            <v>1.656022939666127</v>
          </cell>
        </row>
        <row r="2408">
          <cell r="K2408">
            <v>44465</v>
          </cell>
          <cell r="M2408">
            <v>0</v>
          </cell>
          <cell r="N2408">
            <v>1.656022939666127</v>
          </cell>
        </row>
        <row r="2409">
          <cell r="K2409">
            <v>44466</v>
          </cell>
          <cell r="L2409" t="str">
            <v>DIA ÚTIL</v>
          </cell>
          <cell r="M2409">
            <v>2.3687E-2</v>
          </cell>
          <cell r="N2409">
            <v>1.6564152018198457</v>
          </cell>
        </row>
        <row r="2410">
          <cell r="K2410">
            <v>44467</v>
          </cell>
          <cell r="L2410" t="str">
            <v>DIA ÚTIL</v>
          </cell>
          <cell r="M2410">
            <v>2.3687E-2</v>
          </cell>
          <cell r="N2410">
            <v>1.6568075568887006</v>
          </cell>
        </row>
        <row r="2411">
          <cell r="K2411">
            <v>44468</v>
          </cell>
          <cell r="L2411" t="str">
            <v>DIA ÚTIL</v>
          </cell>
          <cell r="M2411">
            <v>2.3687E-2</v>
          </cell>
          <cell r="N2411">
            <v>1.6572000048947009</v>
          </cell>
        </row>
        <row r="2412">
          <cell r="K2412">
            <v>44469</v>
          </cell>
          <cell r="L2412" t="str">
            <v>DIA ÚTIL</v>
          </cell>
          <cell r="M2412">
            <v>2.3687E-2</v>
          </cell>
          <cell r="N2412">
            <v>1.6575925458598602</v>
          </cell>
        </row>
        <row r="2413">
          <cell r="K2413">
            <v>44470</v>
          </cell>
          <cell r="L2413" t="str">
            <v>DIA ÚTIL</v>
          </cell>
          <cell r="M2413">
            <v>2.3687E-2</v>
          </cell>
          <cell r="N2413">
            <v>1.657985179806198</v>
          </cell>
        </row>
        <row r="2414">
          <cell r="K2414">
            <v>44471</v>
          </cell>
          <cell r="M2414">
            <v>0</v>
          </cell>
          <cell r="N2414">
            <v>1.657985179806198</v>
          </cell>
        </row>
        <row r="2415">
          <cell r="K2415">
            <v>44472</v>
          </cell>
          <cell r="M2415">
            <v>0</v>
          </cell>
          <cell r="N2415">
            <v>1.657985179806198</v>
          </cell>
        </row>
        <row r="2416">
          <cell r="K2416">
            <v>44473</v>
          </cell>
          <cell r="L2416" t="str">
            <v>DIA ÚTIL</v>
          </cell>
          <cell r="M2416">
            <v>2.3687E-2</v>
          </cell>
          <cell r="N2416">
            <v>1.6583779067557385</v>
          </cell>
        </row>
        <row r="2417">
          <cell r="K2417">
            <v>44474</v>
          </cell>
          <cell r="L2417" t="str">
            <v>DIA ÚTIL</v>
          </cell>
          <cell r="M2417">
            <v>2.3687E-2</v>
          </cell>
          <cell r="N2417">
            <v>1.6587707267305116</v>
          </cell>
        </row>
        <row r="2418">
          <cell r="K2418">
            <v>44475</v>
          </cell>
          <cell r="L2418" t="str">
            <v>DIA ÚTIL</v>
          </cell>
          <cell r="M2418">
            <v>2.3687E-2</v>
          </cell>
          <cell r="N2418">
            <v>1.6591636397525522</v>
          </cell>
        </row>
        <row r="2419">
          <cell r="K2419">
            <v>44476</v>
          </cell>
          <cell r="L2419" t="str">
            <v>DIA ÚTIL</v>
          </cell>
          <cell r="M2419">
            <v>2.3687E-2</v>
          </cell>
          <cell r="N2419">
            <v>1.6595566458439004</v>
          </cell>
        </row>
        <row r="2420">
          <cell r="K2420">
            <v>44477</v>
          </cell>
          <cell r="L2420" t="str">
            <v>DIA ÚTIL</v>
          </cell>
          <cell r="M2420">
            <v>2.3687E-2</v>
          </cell>
          <cell r="N2420">
            <v>1.6599497450266014</v>
          </cell>
        </row>
        <row r="2421">
          <cell r="K2421">
            <v>44478</v>
          </cell>
          <cell r="M2421">
            <v>0</v>
          </cell>
          <cell r="N2421">
            <v>1.6599497450266014</v>
          </cell>
        </row>
        <row r="2422">
          <cell r="K2422">
            <v>44479</v>
          </cell>
          <cell r="M2422">
            <v>0</v>
          </cell>
          <cell r="N2422">
            <v>1.6599497450266014</v>
          </cell>
        </row>
        <row r="2423">
          <cell r="K2423">
            <v>44480</v>
          </cell>
          <cell r="L2423" t="str">
            <v>DIA ÚTIL</v>
          </cell>
          <cell r="M2423">
            <v>2.3687E-2</v>
          </cell>
          <cell r="N2423">
            <v>1.6603429373227059</v>
          </cell>
        </row>
        <row r="2424">
          <cell r="K2424">
            <v>44481</v>
          </cell>
          <cell r="M2424">
            <v>0</v>
          </cell>
          <cell r="N2424">
            <v>1.6603429373227059</v>
          </cell>
        </row>
        <row r="2425">
          <cell r="K2425">
            <v>44482</v>
          </cell>
          <cell r="L2425" t="str">
            <v>DIA ÚTIL</v>
          </cell>
          <cell r="M2425">
            <v>2.3687E-2</v>
          </cell>
          <cell r="N2425">
            <v>1.6607362227542695</v>
          </cell>
        </row>
        <row r="2426">
          <cell r="K2426">
            <v>44483</v>
          </cell>
          <cell r="L2426" t="str">
            <v>DIA ÚTIL</v>
          </cell>
          <cell r="M2426">
            <v>2.3687E-2</v>
          </cell>
          <cell r="N2426">
            <v>1.6611296013433532</v>
          </cell>
        </row>
        <row r="2427">
          <cell r="K2427">
            <v>44484</v>
          </cell>
          <cell r="L2427" t="str">
            <v>DIA ÚTIL</v>
          </cell>
          <cell r="M2427">
            <v>2.3687E-2</v>
          </cell>
          <cell r="N2427">
            <v>1.6615230731120234</v>
          </cell>
        </row>
        <row r="2428">
          <cell r="K2428">
            <v>44485</v>
          </cell>
          <cell r="M2428">
            <v>0</v>
          </cell>
          <cell r="N2428">
            <v>1.6615230731120234</v>
          </cell>
        </row>
        <row r="2429">
          <cell r="K2429">
            <v>44486</v>
          </cell>
          <cell r="M2429">
            <v>0</v>
          </cell>
          <cell r="N2429">
            <v>1.6615230731120234</v>
          </cell>
        </row>
        <row r="2430">
          <cell r="K2430">
            <v>44487</v>
          </cell>
          <cell r="L2430" t="str">
            <v>DIA ÚTIL</v>
          </cell>
          <cell r="M2430">
            <v>2.3687E-2</v>
          </cell>
          <cell r="N2430">
            <v>1.6619166380823513</v>
          </cell>
        </row>
        <row r="2431">
          <cell r="K2431">
            <v>44488</v>
          </cell>
          <cell r="L2431" t="str">
            <v>DIA ÚTIL</v>
          </cell>
          <cell r="M2431">
            <v>2.3687E-2</v>
          </cell>
          <cell r="N2431">
            <v>1.6623102962764138</v>
          </cell>
        </row>
        <row r="2432">
          <cell r="K2432">
            <v>44489</v>
          </cell>
          <cell r="L2432" t="str">
            <v>DIA ÚTIL</v>
          </cell>
          <cell r="M2432">
            <v>2.3687E-2</v>
          </cell>
          <cell r="N2432">
            <v>1.6627040477162927</v>
          </cell>
        </row>
        <row r="2433">
          <cell r="K2433">
            <v>44490</v>
          </cell>
          <cell r="L2433" t="str">
            <v>DIA ÚTIL</v>
          </cell>
          <cell r="M2433">
            <v>2.3687E-2</v>
          </cell>
          <cell r="N2433">
            <v>1.6630978924240751</v>
          </cell>
        </row>
        <row r="2434">
          <cell r="K2434">
            <v>44491</v>
          </cell>
          <cell r="L2434" t="str">
            <v>DIA ÚTIL</v>
          </cell>
          <cell r="M2434">
            <v>2.3687E-2</v>
          </cell>
          <cell r="N2434">
            <v>1.6634918304218536</v>
          </cell>
        </row>
        <row r="2435">
          <cell r="K2435">
            <v>44492</v>
          </cell>
          <cell r="M2435">
            <v>0</v>
          </cell>
          <cell r="N2435">
            <v>1.6634918304218536</v>
          </cell>
        </row>
        <row r="2436">
          <cell r="K2436">
            <v>44493</v>
          </cell>
          <cell r="M2436">
            <v>0</v>
          </cell>
          <cell r="N2436">
            <v>1.6634918304218536</v>
          </cell>
        </row>
        <row r="2437">
          <cell r="K2437">
            <v>44494</v>
          </cell>
          <cell r="L2437" t="str">
            <v>DIA ÚTIL</v>
          </cell>
          <cell r="M2437">
            <v>2.3687E-2</v>
          </cell>
          <cell r="N2437">
            <v>1.6638858617317256</v>
          </cell>
        </row>
        <row r="2438">
          <cell r="K2438">
            <v>44495</v>
          </cell>
          <cell r="L2438" t="str">
            <v>DIA ÚTIL</v>
          </cell>
          <cell r="M2438">
            <v>2.3687E-2</v>
          </cell>
          <cell r="N2438">
            <v>1.664279986375794</v>
          </cell>
        </row>
        <row r="2439">
          <cell r="K2439">
            <v>44496</v>
          </cell>
          <cell r="L2439" t="str">
            <v>DIA ÚTIL</v>
          </cell>
          <cell r="M2439">
            <v>2.3687E-2</v>
          </cell>
          <cell r="N2439">
            <v>1.6646742043761666</v>
          </cell>
        </row>
        <row r="2440">
          <cell r="K2440">
            <v>44497</v>
          </cell>
          <cell r="L2440" t="str">
            <v>DIA ÚTIL</v>
          </cell>
          <cell r="M2440">
            <v>2.9256000000000001E-2</v>
          </cell>
          <cell r="N2440">
            <v>1.6651612214613991</v>
          </cell>
        </row>
        <row r="2441">
          <cell r="K2441">
            <v>44498</v>
          </cell>
          <cell r="L2441" t="str">
            <v>DIA ÚTIL</v>
          </cell>
          <cell r="M2441">
            <v>2.9256000000000001E-2</v>
          </cell>
          <cell r="N2441">
            <v>1.66564838102835</v>
          </cell>
        </row>
        <row r="2442">
          <cell r="K2442">
            <v>44499</v>
          </cell>
          <cell r="M2442">
            <v>0</v>
          </cell>
          <cell r="N2442">
            <v>1.66564838102835</v>
          </cell>
        </row>
        <row r="2443">
          <cell r="K2443">
            <v>44500</v>
          </cell>
          <cell r="M2443">
            <v>0</v>
          </cell>
          <cell r="N2443">
            <v>1.66564838102835</v>
          </cell>
        </row>
        <row r="2444">
          <cell r="K2444">
            <v>44501</v>
          </cell>
          <cell r="L2444" t="str">
            <v>DIA ÚTIL</v>
          </cell>
          <cell r="M2444">
            <v>2.9256000000000001E-2</v>
          </cell>
          <cell r="N2444">
            <v>1.6661356831187037</v>
          </cell>
        </row>
        <row r="2445">
          <cell r="K2445">
            <v>44502</v>
          </cell>
          <cell r="M2445">
            <v>0</v>
          </cell>
          <cell r="N2445">
            <v>1.6661356831187037</v>
          </cell>
        </row>
        <row r="2446">
          <cell r="K2446">
            <v>44503</v>
          </cell>
          <cell r="L2446" t="str">
            <v>DIA ÚTIL</v>
          </cell>
          <cell r="M2446">
            <v>2.9256000000000001E-2</v>
          </cell>
          <cell r="N2446">
            <v>1.6666231277741572</v>
          </cell>
        </row>
        <row r="2447">
          <cell r="K2447">
            <v>44504</v>
          </cell>
          <cell r="L2447" t="str">
            <v>DIA ÚTIL</v>
          </cell>
          <cell r="M2447">
            <v>2.9256000000000001E-2</v>
          </cell>
          <cell r="N2447">
            <v>1.6671107150364191</v>
          </cell>
        </row>
        <row r="2448">
          <cell r="K2448">
            <v>44505</v>
          </cell>
          <cell r="L2448" t="str">
            <v>DIA ÚTIL</v>
          </cell>
          <cell r="M2448">
            <v>2.9256000000000001E-2</v>
          </cell>
          <cell r="N2448">
            <v>1.6675984449472103</v>
          </cell>
        </row>
        <row r="2449">
          <cell r="K2449">
            <v>44506</v>
          </cell>
          <cell r="M2449">
            <v>0</v>
          </cell>
          <cell r="N2449">
            <v>1.6675984449472103</v>
          </cell>
        </row>
        <row r="2450">
          <cell r="K2450">
            <v>44507</v>
          </cell>
          <cell r="M2450">
            <v>0</v>
          </cell>
          <cell r="N2450">
            <v>1.6675984449472103</v>
          </cell>
        </row>
        <row r="2451">
          <cell r="K2451">
            <v>44508</v>
          </cell>
          <cell r="L2451" t="str">
            <v>DIA ÚTIL</v>
          </cell>
          <cell r="M2451">
            <v>2.9256000000000001E-2</v>
          </cell>
          <cell r="N2451">
            <v>1.6680863175482643</v>
          </cell>
        </row>
        <row r="2452">
          <cell r="K2452">
            <v>44509</v>
          </cell>
          <cell r="L2452" t="str">
            <v>DIA ÚTIL</v>
          </cell>
          <cell r="M2452">
            <v>2.9256000000000001E-2</v>
          </cell>
          <cell r="N2452">
            <v>1.6685743328813265</v>
          </cell>
        </row>
        <row r="2453">
          <cell r="K2453">
            <v>44510</v>
          </cell>
          <cell r="L2453" t="str">
            <v>DIA ÚTIL</v>
          </cell>
          <cell r="M2453">
            <v>2.9256000000000001E-2</v>
          </cell>
          <cell r="N2453">
            <v>1.6690624909881544</v>
          </cell>
        </row>
        <row r="2454">
          <cell r="K2454">
            <v>44511</v>
          </cell>
          <cell r="L2454" t="str">
            <v>DIA ÚTIL</v>
          </cell>
          <cell r="M2454">
            <v>2.9256000000000001E-2</v>
          </cell>
          <cell r="N2454">
            <v>1.6695507919105181</v>
          </cell>
        </row>
        <row r="2455">
          <cell r="K2455">
            <v>44512</v>
          </cell>
          <cell r="L2455" t="str">
            <v>DIA ÚTIL</v>
          </cell>
          <cell r="M2455">
            <v>2.9256000000000001E-2</v>
          </cell>
          <cell r="N2455">
            <v>1.6700392356901996</v>
          </cell>
        </row>
        <row r="2456">
          <cell r="K2456">
            <v>44513</v>
          </cell>
          <cell r="M2456">
            <v>0</v>
          </cell>
          <cell r="N2456">
            <v>1.6700392356901996</v>
          </cell>
        </row>
        <row r="2457">
          <cell r="K2457">
            <v>44514</v>
          </cell>
          <cell r="M2457">
            <v>0</v>
          </cell>
          <cell r="N2457">
            <v>1.6700392356901996</v>
          </cell>
        </row>
        <row r="2458">
          <cell r="K2458">
            <v>44515</v>
          </cell>
          <cell r="M2458">
            <v>0</v>
          </cell>
          <cell r="N2458">
            <v>1.6700392356901996</v>
          </cell>
        </row>
        <row r="2459">
          <cell r="K2459">
            <v>44516</v>
          </cell>
          <cell r="L2459" t="str">
            <v>DIA ÚTIL</v>
          </cell>
          <cell r="M2459">
            <v>2.9256000000000001E-2</v>
          </cell>
          <cell r="N2459">
            <v>1.6705278223689934</v>
          </cell>
        </row>
        <row r="2460">
          <cell r="K2460">
            <v>44517</v>
          </cell>
          <cell r="L2460" t="str">
            <v>DIA ÚTIL</v>
          </cell>
          <cell r="M2460">
            <v>2.9256000000000001E-2</v>
          </cell>
          <cell r="N2460">
            <v>1.6710165519887059</v>
          </cell>
        </row>
        <row r="2461">
          <cell r="K2461">
            <v>44518</v>
          </cell>
          <cell r="L2461" t="str">
            <v>DIA ÚTIL</v>
          </cell>
          <cell r="M2461">
            <v>2.9256000000000001E-2</v>
          </cell>
          <cell r="N2461">
            <v>1.6715054245911558</v>
          </cell>
        </row>
        <row r="2462">
          <cell r="K2462">
            <v>44519</v>
          </cell>
          <cell r="L2462" t="str">
            <v>DIA ÚTIL</v>
          </cell>
          <cell r="M2462">
            <v>2.9256000000000001E-2</v>
          </cell>
          <cell r="N2462">
            <v>1.6719944402181743</v>
          </cell>
        </row>
        <row r="2463">
          <cell r="K2463">
            <v>44520</v>
          </cell>
          <cell r="M2463">
            <v>0</v>
          </cell>
          <cell r="N2463">
            <v>1.6719944402181743</v>
          </cell>
        </row>
        <row r="2464">
          <cell r="K2464">
            <v>44521</v>
          </cell>
          <cell r="M2464">
            <v>0</v>
          </cell>
          <cell r="N2464">
            <v>1.6719944402181743</v>
          </cell>
        </row>
        <row r="2465">
          <cell r="K2465">
            <v>44522</v>
          </cell>
          <cell r="L2465" t="str">
            <v>DIA ÚTIL</v>
          </cell>
          <cell r="M2465">
            <v>2.9256000000000001E-2</v>
          </cell>
          <cell r="N2465">
            <v>1.6724835989116047</v>
          </cell>
        </row>
        <row r="2466">
          <cell r="K2466">
            <v>44523</v>
          </cell>
          <cell r="L2466" t="str">
            <v>DIA ÚTIL</v>
          </cell>
          <cell r="M2466">
            <v>2.9256000000000001E-2</v>
          </cell>
          <cell r="N2466">
            <v>1.6729729007133025</v>
          </cell>
        </row>
        <row r="2467">
          <cell r="K2467">
            <v>44524</v>
          </cell>
          <cell r="L2467" t="str">
            <v>DIA ÚTIL</v>
          </cell>
          <cell r="M2467">
            <v>2.9256000000000001E-2</v>
          </cell>
          <cell r="N2467">
            <v>1.6734623456651354</v>
          </cell>
        </row>
        <row r="2468">
          <cell r="K2468">
            <v>44525</v>
          </cell>
          <cell r="L2468" t="str">
            <v>DIA ÚTIL</v>
          </cell>
          <cell r="M2468">
            <v>2.9256000000000001E-2</v>
          </cell>
          <cell r="N2468">
            <v>1.6739519338089834</v>
          </cell>
        </row>
        <row r="2469">
          <cell r="K2469">
            <v>44526</v>
          </cell>
          <cell r="L2469" t="str">
            <v>DIA ÚTIL</v>
          </cell>
          <cell r="M2469">
            <v>2.9256000000000001E-2</v>
          </cell>
          <cell r="N2469">
            <v>1.6744416651867389</v>
          </cell>
        </row>
        <row r="2470">
          <cell r="K2470">
            <v>44527</v>
          </cell>
          <cell r="M2470">
            <v>0</v>
          </cell>
          <cell r="N2470">
            <v>1.6744416651867389</v>
          </cell>
        </row>
        <row r="2471">
          <cell r="K2471">
            <v>44528</v>
          </cell>
          <cell r="M2471">
            <v>0</v>
          </cell>
          <cell r="N2471">
            <v>1.6744416651867389</v>
          </cell>
        </row>
        <row r="2472">
          <cell r="K2472">
            <v>44529</v>
          </cell>
          <cell r="L2472" t="str">
            <v>DIA ÚTIL</v>
          </cell>
          <cell r="M2472">
            <v>2.9256000000000001E-2</v>
          </cell>
          <cell r="N2472">
            <v>1.6749315398403062</v>
          </cell>
        </row>
        <row r="2473">
          <cell r="K2473">
            <v>44530</v>
          </cell>
          <cell r="L2473" t="str">
            <v>DIA ÚTIL</v>
          </cell>
          <cell r="M2473">
            <v>2.9256000000000001E-2</v>
          </cell>
          <cell r="N2473">
            <v>1.6754215578116021</v>
          </cell>
        </row>
        <row r="2474">
          <cell r="K2474">
            <v>44531</v>
          </cell>
          <cell r="L2474" t="str">
            <v>DIA ÚTIL</v>
          </cell>
          <cell r="M2474">
            <v>2.9256000000000001E-2</v>
          </cell>
          <cell r="N2474">
            <v>1.6759117191425557</v>
          </cell>
        </row>
        <row r="2475">
          <cell r="K2475">
            <v>44532</v>
          </cell>
          <cell r="L2475" t="str">
            <v>DIA ÚTIL</v>
          </cell>
          <cell r="M2475">
            <v>2.9256000000000001E-2</v>
          </cell>
          <cell r="N2475">
            <v>1.6764020238751083</v>
          </cell>
        </row>
        <row r="2476">
          <cell r="K2476">
            <v>44533</v>
          </cell>
          <cell r="L2476" t="str">
            <v>DIA ÚTIL</v>
          </cell>
          <cell r="M2476">
            <v>2.9256000000000001E-2</v>
          </cell>
          <cell r="N2476">
            <v>1.6768924720512133</v>
          </cell>
        </row>
        <row r="2477">
          <cell r="K2477">
            <v>44534</v>
          </cell>
          <cell r="M2477">
            <v>0</v>
          </cell>
          <cell r="N2477">
            <v>1.6768924720512133</v>
          </cell>
        </row>
        <row r="2478">
          <cell r="K2478">
            <v>44535</v>
          </cell>
          <cell r="M2478">
            <v>0</v>
          </cell>
          <cell r="N2478">
            <v>1.6768924720512133</v>
          </cell>
        </row>
        <row r="2479">
          <cell r="K2479">
            <v>44536</v>
          </cell>
          <cell r="L2479" t="str">
            <v>DIA ÚTIL</v>
          </cell>
          <cell r="M2479">
            <v>2.9256000000000001E-2</v>
          </cell>
          <cell r="N2479">
            <v>1.6773830637128369</v>
          </cell>
        </row>
        <row r="2480">
          <cell r="K2480">
            <v>44537</v>
          </cell>
          <cell r="L2480" t="str">
            <v>DIA ÚTIL</v>
          </cell>
          <cell r="M2480">
            <v>2.9256000000000001E-2</v>
          </cell>
          <cell r="N2480">
            <v>1.6778737989019568</v>
          </cell>
        </row>
        <row r="2481">
          <cell r="K2481">
            <v>44538</v>
          </cell>
          <cell r="L2481" t="str">
            <v>DIA ÚTIL</v>
          </cell>
          <cell r="M2481">
            <v>2.9256000000000001E-2</v>
          </cell>
          <cell r="N2481">
            <v>1.6783646776605636</v>
          </cell>
        </row>
        <row r="2482">
          <cell r="K2482">
            <v>44539</v>
          </cell>
          <cell r="L2482" t="str">
            <v>DIA ÚTIL</v>
          </cell>
          <cell r="M2482">
            <v>3.4749000000000002E-2</v>
          </cell>
          <cell r="N2482">
            <v>1.678947892602404</v>
          </cell>
        </row>
        <row r="2483">
          <cell r="K2483">
            <v>44540</v>
          </cell>
          <cell r="L2483" t="str">
            <v>DIA ÚTIL</v>
          </cell>
          <cell r="M2483">
            <v>3.4749000000000002E-2</v>
          </cell>
          <cell r="N2483">
            <v>1.6795313102056044</v>
          </cell>
        </row>
        <row r="2484">
          <cell r="K2484">
            <v>44541</v>
          </cell>
          <cell r="M2484">
            <v>0</v>
          </cell>
          <cell r="N2484">
            <v>1.6795313102056044</v>
          </cell>
        </row>
        <row r="2485">
          <cell r="K2485">
            <v>44542</v>
          </cell>
          <cell r="M2485">
            <v>0</v>
          </cell>
          <cell r="N2485">
            <v>1.6795313102056044</v>
          </cell>
        </row>
        <row r="2486">
          <cell r="K2486">
            <v>44543</v>
          </cell>
          <cell r="L2486" t="str">
            <v>DIA ÚTIL</v>
          </cell>
          <cell r="M2486">
            <v>3.4749000000000002E-2</v>
          </cell>
          <cell r="N2486">
            <v>1.6801149305405878</v>
          </cell>
        </row>
        <row r="2487">
          <cell r="K2487">
            <v>44544</v>
          </cell>
          <cell r="L2487" t="str">
            <v>DIA ÚTIL</v>
          </cell>
          <cell r="M2487">
            <v>3.4749000000000002E-2</v>
          </cell>
          <cell r="N2487">
            <v>1.6806987536778013</v>
          </cell>
        </row>
        <row r="2488">
          <cell r="K2488">
            <v>44545</v>
          </cell>
          <cell r="L2488" t="str">
            <v>DIA ÚTIL</v>
          </cell>
          <cell r="M2488">
            <v>3.4749000000000002E-2</v>
          </cell>
          <cell r="N2488">
            <v>1.6812827796877168</v>
          </cell>
        </row>
        <row r="2489">
          <cell r="K2489">
            <v>44546</v>
          </cell>
          <cell r="L2489" t="str">
            <v>DIA ÚTIL</v>
          </cell>
          <cell r="M2489">
            <v>3.4749000000000002E-2</v>
          </cell>
          <cell r="N2489">
            <v>1.6818670086408305</v>
          </cell>
        </row>
        <row r="2490">
          <cell r="K2490">
            <v>44547</v>
          </cell>
          <cell r="L2490" t="str">
            <v>DIA ÚTIL</v>
          </cell>
          <cell r="M2490">
            <v>3.4749000000000002E-2</v>
          </cell>
          <cell r="N2490">
            <v>1.6824514406076632</v>
          </cell>
        </row>
        <row r="2491">
          <cell r="K2491">
            <v>44548</v>
          </cell>
          <cell r="M2491">
            <v>0</v>
          </cell>
          <cell r="N2491">
            <v>1.6824514406076632</v>
          </cell>
        </row>
        <row r="2492">
          <cell r="K2492">
            <v>44549</v>
          </cell>
          <cell r="M2492">
            <v>0</v>
          </cell>
          <cell r="N2492">
            <v>1.6824514406076632</v>
          </cell>
        </row>
        <row r="2493">
          <cell r="K2493">
            <v>44550</v>
          </cell>
          <cell r="L2493" t="str">
            <v>DIA ÚTIL</v>
          </cell>
          <cell r="M2493">
            <v>3.4749000000000002E-2</v>
          </cell>
          <cell r="N2493">
            <v>1.6830360756587599</v>
          </cell>
        </row>
        <row r="2494">
          <cell r="K2494">
            <v>44551</v>
          </cell>
          <cell r="L2494" t="str">
            <v>DIA ÚTIL</v>
          </cell>
          <cell r="M2494">
            <v>3.4749000000000002E-2</v>
          </cell>
          <cell r="N2494">
            <v>1.6836209138646905</v>
          </cell>
        </row>
        <row r="2495">
          <cell r="K2495">
            <v>44552</v>
          </cell>
          <cell r="L2495" t="str">
            <v>DIA ÚTIL</v>
          </cell>
          <cell r="M2495">
            <v>3.4749000000000002E-2</v>
          </cell>
          <cell r="N2495">
            <v>1.6842059552960493</v>
          </cell>
        </row>
        <row r="2496">
          <cell r="K2496">
            <v>44553</v>
          </cell>
          <cell r="L2496" t="str">
            <v>DIA ÚTIL</v>
          </cell>
          <cell r="M2496">
            <v>3.4749000000000002E-2</v>
          </cell>
          <cell r="N2496">
            <v>1.6847912000234551</v>
          </cell>
        </row>
        <row r="2497">
          <cell r="K2497">
            <v>44554</v>
          </cell>
          <cell r="L2497" t="str">
            <v>DIA ÚTIL</v>
          </cell>
          <cell r="M2497">
            <v>3.4749000000000002E-2</v>
          </cell>
          <cell r="N2497">
            <v>1.6853766481175512</v>
          </cell>
        </row>
        <row r="2498">
          <cell r="K2498">
            <v>44555</v>
          </cell>
          <cell r="M2498">
            <v>0</v>
          </cell>
          <cell r="N2498">
            <v>1.6853766481175512</v>
          </cell>
        </row>
        <row r="2499">
          <cell r="K2499">
            <v>44556</v>
          </cell>
          <cell r="M2499">
            <v>0</v>
          </cell>
          <cell r="N2499">
            <v>1.6853766481175512</v>
          </cell>
        </row>
        <row r="2500">
          <cell r="K2500">
            <v>44557</v>
          </cell>
          <cell r="L2500" t="str">
            <v>DIA ÚTIL</v>
          </cell>
          <cell r="M2500">
            <v>3.4749000000000002E-2</v>
          </cell>
          <cell r="N2500">
            <v>1.6859622996490056</v>
          </cell>
        </row>
        <row r="2501">
          <cell r="K2501">
            <v>44558</v>
          </cell>
          <cell r="L2501" t="str">
            <v>DIA ÚTIL</v>
          </cell>
          <cell r="M2501">
            <v>3.4749000000000002E-2</v>
          </cell>
          <cell r="N2501">
            <v>1.6865481546885106</v>
          </cell>
        </row>
        <row r="2502">
          <cell r="K2502">
            <v>44559</v>
          </cell>
          <cell r="L2502" t="str">
            <v>DIA ÚTIL</v>
          </cell>
          <cell r="M2502">
            <v>3.4749000000000002E-2</v>
          </cell>
          <cell r="N2502">
            <v>1.6871342133067833</v>
          </cell>
        </row>
        <row r="2503">
          <cell r="K2503">
            <v>44560</v>
          </cell>
          <cell r="L2503" t="str">
            <v>DIA ÚTIL</v>
          </cell>
          <cell r="M2503">
            <v>3.4749000000000002E-2</v>
          </cell>
          <cell r="N2503">
            <v>1.6877204755745652</v>
          </cell>
        </row>
        <row r="2504">
          <cell r="K2504">
            <v>44561</v>
          </cell>
          <cell r="L2504" t="str">
            <v>DIA ÚTIL</v>
          </cell>
          <cell r="M2504">
            <v>3.4749000000000002E-2</v>
          </cell>
          <cell r="N2504">
            <v>1.6883069415626226</v>
          </cell>
        </row>
        <row r="2505">
          <cell r="K2505">
            <v>44562</v>
          </cell>
          <cell r="M2505">
            <v>0</v>
          </cell>
          <cell r="N2505">
            <v>1.6883069415626226</v>
          </cell>
        </row>
        <row r="2506">
          <cell r="K2506">
            <v>44563</v>
          </cell>
          <cell r="M2506">
            <v>0</v>
          </cell>
          <cell r="N2506">
            <v>1.6883069415626226</v>
          </cell>
        </row>
        <row r="2507">
          <cell r="K2507">
            <v>44564</v>
          </cell>
          <cell r="L2507" t="str">
            <v>DIA ÚTIL</v>
          </cell>
          <cell r="M2507">
            <v>3.4749000000000002E-2</v>
          </cell>
          <cell r="N2507">
            <v>1.6888936113417463</v>
          </cell>
        </row>
        <row r="2508">
          <cell r="K2508">
            <v>44565</v>
          </cell>
          <cell r="L2508" t="str">
            <v>DIA ÚTIL</v>
          </cell>
          <cell r="M2508">
            <v>3.4749000000000002E-2</v>
          </cell>
          <cell r="N2508">
            <v>1.6894804849827514</v>
          </cell>
        </row>
        <row r="2509">
          <cell r="K2509">
            <v>44566</v>
          </cell>
          <cell r="L2509" t="str">
            <v>DIA ÚTIL</v>
          </cell>
          <cell r="M2509">
            <v>3.4749000000000002E-2</v>
          </cell>
          <cell r="N2509">
            <v>1.6900675625564781</v>
          </cell>
        </row>
        <row r="2510">
          <cell r="K2510">
            <v>44567</v>
          </cell>
          <cell r="L2510" t="str">
            <v>DIA ÚTIL</v>
          </cell>
          <cell r="M2510">
            <v>3.4749000000000002E-2</v>
          </cell>
          <cell r="N2510">
            <v>1.6906548441337907</v>
          </cell>
        </row>
        <row r="2511">
          <cell r="K2511">
            <v>44568</v>
          </cell>
          <cell r="L2511" t="str">
            <v>DIA ÚTIL</v>
          </cell>
          <cell r="M2511">
            <v>3.4749000000000002E-2</v>
          </cell>
          <cell r="N2511">
            <v>1.6912423297855788</v>
          </cell>
        </row>
        <row r="2512">
          <cell r="K2512">
            <v>44569</v>
          </cell>
          <cell r="M2512">
            <v>0</v>
          </cell>
          <cell r="N2512">
            <v>1.6912423297855788</v>
          </cell>
        </row>
        <row r="2513">
          <cell r="K2513">
            <v>44570</v>
          </cell>
          <cell r="M2513">
            <v>0</v>
          </cell>
          <cell r="N2513">
            <v>1.6912423297855788</v>
          </cell>
        </row>
        <row r="2514">
          <cell r="K2514">
            <v>44571</v>
          </cell>
          <cell r="L2514" t="str">
            <v>DIA ÚTIL</v>
          </cell>
          <cell r="M2514">
            <v>3.4749000000000002E-2</v>
          </cell>
          <cell r="N2514">
            <v>1.691830019582756</v>
          </cell>
        </row>
        <row r="2515">
          <cell r="K2515">
            <v>44572</v>
          </cell>
          <cell r="L2515" t="str">
            <v>DIA ÚTIL</v>
          </cell>
          <cell r="M2515">
            <v>3.4749000000000002E-2</v>
          </cell>
          <cell r="N2515">
            <v>1.6924179135962609</v>
          </cell>
        </row>
        <row r="2516">
          <cell r="K2516">
            <v>44573</v>
          </cell>
          <cell r="L2516" t="str">
            <v>DIA ÚTIL</v>
          </cell>
          <cell r="M2516">
            <v>3.4749000000000002E-2</v>
          </cell>
          <cell r="N2516">
            <v>1.6930060118970565</v>
          </cell>
        </row>
        <row r="2517">
          <cell r="K2517">
            <v>44574</v>
          </cell>
          <cell r="L2517" t="str">
            <v>DIA ÚTIL</v>
          </cell>
          <cell r="M2517">
            <v>3.4749000000000002E-2</v>
          </cell>
          <cell r="N2517">
            <v>1.6935943145561305</v>
          </cell>
        </row>
        <row r="2518">
          <cell r="K2518">
            <v>44575</v>
          </cell>
          <cell r="L2518" t="str">
            <v>DIA ÚTIL</v>
          </cell>
          <cell r="M2518">
            <v>3.4749000000000002E-2</v>
          </cell>
          <cell r="N2518">
            <v>1.6941828216444956</v>
          </cell>
        </row>
        <row r="2519">
          <cell r="K2519">
            <v>44576</v>
          </cell>
          <cell r="M2519">
            <v>0</v>
          </cell>
          <cell r="N2519">
            <v>1.6941828216444956</v>
          </cell>
        </row>
        <row r="2520">
          <cell r="K2520">
            <v>44577</v>
          </cell>
          <cell r="M2520">
            <v>0</v>
          </cell>
          <cell r="N2520">
            <v>1.6941828216444956</v>
          </cell>
        </row>
        <row r="2521">
          <cell r="K2521">
            <v>44578</v>
          </cell>
          <cell r="L2521" t="str">
            <v>DIA ÚTIL</v>
          </cell>
          <cell r="M2521">
            <v>3.4749000000000002E-2</v>
          </cell>
          <cell r="N2521">
            <v>1.694771533233189</v>
          </cell>
        </row>
        <row r="2522">
          <cell r="K2522">
            <v>44579</v>
          </cell>
          <cell r="L2522" t="str">
            <v>DIA ÚTIL</v>
          </cell>
          <cell r="M2522">
            <v>3.4749000000000002E-2</v>
          </cell>
          <cell r="N2522">
            <v>1.6953604493932721</v>
          </cell>
        </row>
        <row r="2523">
          <cell r="K2523">
            <v>44580</v>
          </cell>
          <cell r="L2523" t="str">
            <v>DIA ÚTIL</v>
          </cell>
          <cell r="M2523">
            <v>3.4749000000000002E-2</v>
          </cell>
          <cell r="N2523">
            <v>1.6959495701958318</v>
          </cell>
        </row>
        <row r="2524">
          <cell r="K2524">
            <v>44581</v>
          </cell>
          <cell r="L2524" t="str">
            <v>DIA ÚTIL</v>
          </cell>
          <cell r="M2524">
            <v>3.4749000000000002E-2</v>
          </cell>
          <cell r="N2524">
            <v>1.6965388957119791</v>
          </cell>
        </row>
        <row r="2525">
          <cell r="K2525">
            <v>44582</v>
          </cell>
          <cell r="L2525" t="str">
            <v>DIA ÚTIL</v>
          </cell>
          <cell r="M2525">
            <v>3.4749000000000002E-2</v>
          </cell>
          <cell r="N2525">
            <v>1.6971284260128501</v>
          </cell>
        </row>
        <row r="2526">
          <cell r="K2526">
            <v>44583</v>
          </cell>
          <cell r="M2526">
            <v>0</v>
          </cell>
          <cell r="N2526">
            <v>1.6971284260128501</v>
          </cell>
        </row>
        <row r="2527">
          <cell r="K2527">
            <v>44584</v>
          </cell>
          <cell r="M2527">
            <v>0</v>
          </cell>
          <cell r="N2527">
            <v>1.6971284260128501</v>
          </cell>
        </row>
        <row r="2528">
          <cell r="K2528">
            <v>44585</v>
          </cell>
          <cell r="L2528" t="str">
            <v>DIA ÚTIL</v>
          </cell>
          <cell r="M2528">
            <v>3.4749000000000002E-2</v>
          </cell>
          <cell r="N2528">
            <v>1.6977181611696053</v>
          </cell>
        </row>
        <row r="2529">
          <cell r="K2529">
            <v>44586</v>
          </cell>
          <cell r="L2529" t="str">
            <v>DIA ÚTIL</v>
          </cell>
          <cell r="M2529">
            <v>3.4749000000000002E-2</v>
          </cell>
          <cell r="N2529">
            <v>1.69830810125343</v>
          </cell>
        </row>
        <row r="2530">
          <cell r="K2530">
            <v>44587</v>
          </cell>
          <cell r="L2530" t="str">
            <v>DIA ÚTIL</v>
          </cell>
          <cell r="M2530">
            <v>3.4749000000000002E-2</v>
          </cell>
          <cell r="N2530">
            <v>1.6988982463355347</v>
          </cell>
        </row>
        <row r="2531">
          <cell r="K2531">
            <v>44588</v>
          </cell>
          <cell r="L2531" t="str">
            <v>DIA ÚTIL</v>
          </cell>
          <cell r="M2531">
            <v>3.4749000000000002E-2</v>
          </cell>
          <cell r="N2531">
            <v>1.6994885964871538</v>
          </cell>
        </row>
        <row r="2532">
          <cell r="K2532">
            <v>44589</v>
          </cell>
          <cell r="L2532" t="str">
            <v>DIA ÚTIL</v>
          </cell>
          <cell r="M2532">
            <v>3.4749000000000002E-2</v>
          </cell>
          <cell r="N2532">
            <v>1.700079151779547</v>
          </cell>
        </row>
        <row r="2533">
          <cell r="K2533">
            <v>44590</v>
          </cell>
          <cell r="M2533">
            <v>0</v>
          </cell>
          <cell r="N2533">
            <v>1.700079151779547</v>
          </cell>
        </row>
        <row r="2534">
          <cell r="K2534">
            <v>44591</v>
          </cell>
          <cell r="M2534">
            <v>0</v>
          </cell>
          <cell r="N2534">
            <v>1.700079151779547</v>
          </cell>
        </row>
        <row r="2535">
          <cell r="K2535">
            <v>44592</v>
          </cell>
          <cell r="L2535" t="str">
            <v>DIA ÚTIL</v>
          </cell>
          <cell r="M2535">
            <v>3.4749000000000002E-2</v>
          </cell>
          <cell r="N2535">
            <v>1.700669912283999</v>
          </cell>
        </row>
        <row r="2536">
          <cell r="K2536">
            <v>44593</v>
          </cell>
          <cell r="L2536" t="str">
            <v>DIA ÚTIL</v>
          </cell>
          <cell r="M2536">
            <v>3.4749000000000002E-2</v>
          </cell>
          <cell r="N2536">
            <v>1.7012608780718186</v>
          </cell>
        </row>
        <row r="2537">
          <cell r="K2537">
            <v>44594</v>
          </cell>
          <cell r="L2537" t="str">
            <v>DIA ÚTIL</v>
          </cell>
          <cell r="M2537">
            <v>3.4749000000000002E-2</v>
          </cell>
          <cell r="N2537">
            <v>1.7018520492143399</v>
          </cell>
        </row>
        <row r="2538">
          <cell r="K2538">
            <v>44595</v>
          </cell>
          <cell r="L2538" t="str">
            <v>DIA ÚTIL</v>
          </cell>
          <cell r="M2538">
            <v>4.0168000000000002E-2</v>
          </cell>
          <cell r="N2538">
            <v>1.7025356491454682</v>
          </cell>
        </row>
        <row r="2539">
          <cell r="K2539">
            <v>44596</v>
          </cell>
          <cell r="L2539" t="str">
            <v>DIA ÚTIL</v>
          </cell>
          <cell r="M2539">
            <v>4.0168000000000002E-2</v>
          </cell>
          <cell r="N2539">
            <v>1.7032195236650169</v>
          </cell>
        </row>
        <row r="2540">
          <cell r="K2540">
            <v>44597</v>
          </cell>
          <cell r="M2540">
            <v>0</v>
          </cell>
          <cell r="N2540">
            <v>1.7032195236650169</v>
          </cell>
        </row>
        <row r="2541">
          <cell r="K2541">
            <v>44598</v>
          </cell>
          <cell r="M2541">
            <v>0</v>
          </cell>
          <cell r="N2541">
            <v>1.7032195236650169</v>
          </cell>
        </row>
        <row r="2542">
          <cell r="K2542">
            <v>44599</v>
          </cell>
          <cell r="L2542" t="str">
            <v>DIA ÚTIL</v>
          </cell>
          <cell r="M2542">
            <v>4.0168000000000002E-2</v>
          </cell>
          <cell r="N2542">
            <v>1.7039036728832826</v>
          </cell>
        </row>
        <row r="2543">
          <cell r="K2543">
            <v>44600</v>
          </cell>
          <cell r="L2543" t="str">
            <v>DIA ÚTIL</v>
          </cell>
          <cell r="M2543">
            <v>4.0168000000000002E-2</v>
          </cell>
          <cell r="N2543">
            <v>1.7045880969106062</v>
          </cell>
        </row>
        <row r="2544">
          <cell r="K2544">
            <v>44601</v>
          </cell>
          <cell r="L2544" t="str">
            <v>DIA ÚTIL</v>
          </cell>
          <cell r="M2544">
            <v>4.0168000000000002E-2</v>
          </cell>
          <cell r="N2544">
            <v>1.7052727958573732</v>
          </cell>
        </row>
        <row r="2545">
          <cell r="K2545">
            <v>44602</v>
          </cell>
          <cell r="L2545" t="str">
            <v>DIA ÚTIL</v>
          </cell>
          <cell r="M2545">
            <v>4.0168000000000002E-2</v>
          </cell>
          <cell r="N2545">
            <v>1.7059577698340131</v>
          </cell>
        </row>
        <row r="2546">
          <cell r="K2546">
            <v>44603</v>
          </cell>
          <cell r="L2546" t="str">
            <v>DIA ÚTIL</v>
          </cell>
          <cell r="M2546">
            <v>4.0168000000000002E-2</v>
          </cell>
          <cell r="N2546">
            <v>1.706643018951</v>
          </cell>
        </row>
        <row r="2547">
          <cell r="K2547">
            <v>44604</v>
          </cell>
          <cell r="M2547">
            <v>0</v>
          </cell>
          <cell r="N2547">
            <v>1.706643018951</v>
          </cell>
        </row>
        <row r="2548">
          <cell r="K2548">
            <v>44605</v>
          </cell>
          <cell r="M2548">
            <v>0</v>
          </cell>
          <cell r="N2548">
            <v>1.706643018951</v>
          </cell>
        </row>
        <row r="2549">
          <cell r="K2549">
            <v>44606</v>
          </cell>
          <cell r="L2549" t="str">
            <v>DIA ÚTIL</v>
          </cell>
          <cell r="M2549">
            <v>4.0168000000000002E-2</v>
          </cell>
          <cell r="N2549">
            <v>1.7073285433188521</v>
          </cell>
        </row>
        <row r="2550">
          <cell r="K2550">
            <v>44607</v>
          </cell>
          <cell r="L2550" t="str">
            <v>DIA ÚTIL</v>
          </cell>
          <cell r="M2550">
            <v>4.0168000000000002E-2</v>
          </cell>
          <cell r="N2550">
            <v>1.7080143430481323</v>
          </cell>
        </row>
        <row r="2551">
          <cell r="K2551">
            <v>44608</v>
          </cell>
          <cell r="L2551" t="str">
            <v>DIA ÚTIL</v>
          </cell>
          <cell r="M2551">
            <v>4.0168000000000002E-2</v>
          </cell>
          <cell r="N2551">
            <v>1.7087004182494478</v>
          </cell>
        </row>
        <row r="2552">
          <cell r="K2552">
            <v>44609</v>
          </cell>
          <cell r="L2552" t="str">
            <v>DIA ÚTIL</v>
          </cell>
          <cell r="M2552">
            <v>4.0168000000000002E-2</v>
          </cell>
          <cell r="N2552">
            <v>1.7093867690334503</v>
          </cell>
        </row>
        <row r="2553">
          <cell r="K2553">
            <v>44610</v>
          </cell>
          <cell r="L2553" t="str">
            <v>DIA ÚTIL</v>
          </cell>
          <cell r="M2553">
            <v>4.0168000000000002E-2</v>
          </cell>
          <cell r="N2553">
            <v>1.7100733955108356</v>
          </cell>
        </row>
        <row r="2554">
          <cell r="K2554">
            <v>44611</v>
          </cell>
          <cell r="M2554">
            <v>0</v>
          </cell>
          <cell r="N2554">
            <v>1.7100733955108356</v>
          </cell>
        </row>
        <row r="2555">
          <cell r="K2555">
            <v>44612</v>
          </cell>
          <cell r="M2555">
            <v>0</v>
          </cell>
          <cell r="N2555">
            <v>1.7100733955108356</v>
          </cell>
        </row>
        <row r="2556">
          <cell r="K2556">
            <v>44613</v>
          </cell>
          <cell r="L2556" t="str">
            <v>DIA ÚTIL</v>
          </cell>
          <cell r="M2556">
            <v>4.0168000000000002E-2</v>
          </cell>
          <cell r="N2556">
            <v>1.7107602977923444</v>
          </cell>
        </row>
        <row r="2557">
          <cell r="K2557">
            <v>44614</v>
          </cell>
          <cell r="L2557" t="str">
            <v>DIA ÚTIL</v>
          </cell>
          <cell r="M2557">
            <v>4.0168000000000002E-2</v>
          </cell>
          <cell r="N2557">
            <v>1.7114474759887615</v>
          </cell>
        </row>
        <row r="2558">
          <cell r="K2558">
            <v>44615</v>
          </cell>
          <cell r="L2558" t="str">
            <v>DIA ÚTIL</v>
          </cell>
          <cell r="M2558">
            <v>4.0168000000000002E-2</v>
          </cell>
          <cell r="N2558">
            <v>1.7121349302109166</v>
          </cell>
        </row>
        <row r="2559">
          <cell r="K2559">
            <v>44616</v>
          </cell>
          <cell r="L2559" t="str">
            <v>DIA ÚTIL</v>
          </cell>
          <cell r="M2559">
            <v>4.0168000000000002E-2</v>
          </cell>
          <cell r="N2559">
            <v>1.7128226605696837</v>
          </cell>
        </row>
        <row r="2560">
          <cell r="K2560">
            <v>44617</v>
          </cell>
          <cell r="L2560" t="str">
            <v>DIA ÚTIL</v>
          </cell>
          <cell r="M2560">
            <v>4.0168000000000002E-2</v>
          </cell>
          <cell r="N2560">
            <v>1.7135106671759812</v>
          </cell>
        </row>
        <row r="2561">
          <cell r="K2561">
            <v>44618</v>
          </cell>
          <cell r="M2561">
            <v>0</v>
          </cell>
          <cell r="N2561">
            <v>1.7135106671759812</v>
          </cell>
        </row>
        <row r="2562">
          <cell r="K2562">
            <v>44619</v>
          </cell>
          <cell r="M2562">
            <v>0</v>
          </cell>
          <cell r="N2562">
            <v>1.7135106671759812</v>
          </cell>
        </row>
        <row r="2563">
          <cell r="K2563">
            <v>44620</v>
          </cell>
          <cell r="M2563">
            <v>0</v>
          </cell>
          <cell r="N2563">
            <v>1.7135106671759812</v>
          </cell>
        </row>
        <row r="2564">
          <cell r="K2564">
            <v>44621</v>
          </cell>
          <cell r="M2564">
            <v>0</v>
          </cell>
          <cell r="N2564">
            <v>1.7135106671759812</v>
          </cell>
        </row>
        <row r="2565">
          <cell r="K2565">
            <v>44622</v>
          </cell>
          <cell r="L2565" t="str">
            <v>DIA ÚTIL</v>
          </cell>
          <cell r="M2565">
            <v>4.0168000000000002E-2</v>
          </cell>
          <cell r="N2565">
            <v>1.7141989501407724</v>
          </cell>
        </row>
        <row r="2566">
          <cell r="K2566">
            <v>44623</v>
          </cell>
          <cell r="L2566" t="str">
            <v>DIA ÚTIL</v>
          </cell>
          <cell r="M2566">
            <v>4.0168000000000002E-2</v>
          </cell>
          <cell r="N2566">
            <v>1.7148875095750649</v>
          </cell>
        </row>
        <row r="2567">
          <cell r="K2567">
            <v>44624</v>
          </cell>
          <cell r="L2567" t="str">
            <v>DIA ÚTIL</v>
          </cell>
          <cell r="M2567">
            <v>4.0168000000000002E-2</v>
          </cell>
          <cell r="N2567">
            <v>1.7155763455899109</v>
          </cell>
        </row>
        <row r="2568">
          <cell r="K2568">
            <v>44625</v>
          </cell>
          <cell r="M2568">
            <v>0</v>
          </cell>
          <cell r="N2568">
            <v>1.7155763455899109</v>
          </cell>
        </row>
        <row r="2569">
          <cell r="K2569">
            <v>44626</v>
          </cell>
          <cell r="M2569">
            <v>0</v>
          </cell>
          <cell r="N2569">
            <v>1.7155763455899109</v>
          </cell>
        </row>
        <row r="2570">
          <cell r="K2570">
            <v>44627</v>
          </cell>
          <cell r="L2570" t="str">
            <v>DIA ÚTIL</v>
          </cell>
          <cell r="M2570">
            <v>4.0168000000000002E-2</v>
          </cell>
          <cell r="N2570">
            <v>1.7162654582964074</v>
          </cell>
        </row>
        <row r="2571">
          <cell r="K2571">
            <v>44628</v>
          </cell>
          <cell r="L2571" t="str">
            <v>DIA ÚTIL</v>
          </cell>
          <cell r="M2571">
            <v>4.0168000000000002E-2</v>
          </cell>
          <cell r="N2571">
            <v>1.716954847805696</v>
          </cell>
        </row>
        <row r="2572">
          <cell r="K2572">
            <v>44629</v>
          </cell>
          <cell r="L2572" t="str">
            <v>DIA ÚTIL</v>
          </cell>
          <cell r="M2572">
            <v>4.0168000000000002E-2</v>
          </cell>
          <cell r="N2572">
            <v>1.7176445142289625</v>
          </cell>
        </row>
        <row r="2573">
          <cell r="K2573">
            <v>44630</v>
          </cell>
          <cell r="L2573" t="str">
            <v>DIA ÚTIL</v>
          </cell>
          <cell r="M2573">
            <v>4.0168000000000002E-2</v>
          </cell>
          <cell r="N2573">
            <v>1.718334457677438</v>
          </cell>
        </row>
        <row r="2574">
          <cell r="K2574">
            <v>44631</v>
          </cell>
          <cell r="L2574" t="str">
            <v>DIA ÚTIL</v>
          </cell>
          <cell r="M2574">
            <v>4.0168000000000002E-2</v>
          </cell>
          <cell r="N2574">
            <v>1.7190246782623977</v>
          </cell>
        </row>
        <row r="2575">
          <cell r="K2575">
            <v>44632</v>
          </cell>
          <cell r="M2575">
            <v>0</v>
          </cell>
          <cell r="N2575">
            <v>1.7190246782623977</v>
          </cell>
        </row>
        <row r="2576">
          <cell r="K2576">
            <v>44633</v>
          </cell>
          <cell r="M2576">
            <v>0</v>
          </cell>
          <cell r="N2576">
            <v>1.7190246782623977</v>
          </cell>
        </row>
        <row r="2577">
          <cell r="K2577">
            <v>44634</v>
          </cell>
          <cell r="L2577" t="str">
            <v>DIA ÚTIL</v>
          </cell>
          <cell r="M2577">
            <v>4.0168000000000002E-2</v>
          </cell>
          <cell r="N2577">
            <v>1.7197151760951621</v>
          </cell>
        </row>
        <row r="2578">
          <cell r="K2578">
            <v>44635</v>
          </cell>
          <cell r="L2578" t="str">
            <v>DIA ÚTIL</v>
          </cell>
          <cell r="M2578">
            <v>4.0168000000000002E-2</v>
          </cell>
          <cell r="N2578">
            <v>1.7204059512870959</v>
          </cell>
        </row>
        <row r="2579">
          <cell r="K2579">
            <v>44636</v>
          </cell>
          <cell r="L2579" t="str">
            <v>DIA ÚTIL</v>
          </cell>
          <cell r="M2579">
            <v>4.0168000000000002E-2</v>
          </cell>
          <cell r="N2579">
            <v>1.721097003949609</v>
          </cell>
        </row>
        <row r="2580">
          <cell r="K2580">
            <v>44637</v>
          </cell>
          <cell r="L2580" t="str">
            <v>DIA ÚTIL</v>
          </cell>
          <cell r="M2580">
            <v>4.3739E-2</v>
          </cell>
          <cell r="N2580">
            <v>1.7218497945681666</v>
          </cell>
        </row>
        <row r="2581">
          <cell r="K2581">
            <v>44638</v>
          </cell>
          <cell r="L2581" t="str">
            <v>DIA ÚTIL</v>
          </cell>
          <cell r="M2581">
            <v>4.3739E-2</v>
          </cell>
          <cell r="N2581">
            <v>1.7226029144498129</v>
          </cell>
        </row>
        <row r="2582">
          <cell r="K2582">
            <v>44639</v>
          </cell>
          <cell r="M2582">
            <v>0</v>
          </cell>
          <cell r="N2582">
            <v>1.7226029144498129</v>
          </cell>
        </row>
        <row r="2583">
          <cell r="K2583">
            <v>44640</v>
          </cell>
          <cell r="M2583">
            <v>0</v>
          </cell>
          <cell r="N2583">
            <v>1.7226029144498129</v>
          </cell>
        </row>
        <row r="2584">
          <cell r="K2584">
            <v>44641</v>
          </cell>
          <cell r="L2584" t="str">
            <v>DIA ÚTIL</v>
          </cell>
          <cell r="M2584">
            <v>4.3739E-2</v>
          </cell>
          <cell r="N2584">
            <v>1.7233563637385643</v>
          </cell>
        </row>
        <row r="2585">
          <cell r="K2585">
            <v>44642</v>
          </cell>
          <cell r="L2585" t="str">
            <v>DIA ÚTIL</v>
          </cell>
          <cell r="M2585">
            <v>4.3739E-2</v>
          </cell>
          <cell r="N2585">
            <v>1.7241101425785001</v>
          </cell>
        </row>
        <row r="2586">
          <cell r="K2586">
            <v>44643</v>
          </cell>
          <cell r="L2586" t="str">
            <v>DIA ÚTIL</v>
          </cell>
          <cell r="M2586">
            <v>4.3739E-2</v>
          </cell>
          <cell r="N2586">
            <v>1.7248642511137626</v>
          </cell>
        </row>
        <row r="2587">
          <cell r="K2587">
            <v>44644</v>
          </cell>
          <cell r="L2587" t="str">
            <v>DIA ÚTIL</v>
          </cell>
          <cell r="M2587">
            <v>4.3739E-2</v>
          </cell>
          <cell r="N2587">
            <v>1.7256186894885575</v>
          </cell>
        </row>
        <row r="2588">
          <cell r="K2588">
            <v>44645</v>
          </cell>
          <cell r="L2588" t="str">
            <v>DIA ÚTIL</v>
          </cell>
          <cell r="M2588">
            <v>4.3739E-2</v>
          </cell>
          <cell r="N2588">
            <v>1.726373457847153</v>
          </cell>
        </row>
        <row r="2589">
          <cell r="K2589">
            <v>44646</v>
          </cell>
          <cell r="M2589">
            <v>0</v>
          </cell>
          <cell r="N2589">
            <v>1.726373457847153</v>
          </cell>
        </row>
        <row r="2590">
          <cell r="K2590">
            <v>44647</v>
          </cell>
          <cell r="M2590">
            <v>0</v>
          </cell>
          <cell r="N2590">
            <v>1.726373457847153</v>
          </cell>
        </row>
        <row r="2591">
          <cell r="K2591">
            <v>44648</v>
          </cell>
          <cell r="L2591" t="str">
            <v>DIA ÚTIL</v>
          </cell>
          <cell r="M2591">
            <v>4.3739E-2</v>
          </cell>
          <cell r="N2591">
            <v>1.727128556333881</v>
          </cell>
        </row>
        <row r="2592">
          <cell r="K2592">
            <v>44649</v>
          </cell>
          <cell r="L2592" t="str">
            <v>DIA ÚTIL</v>
          </cell>
          <cell r="M2592">
            <v>4.3739E-2</v>
          </cell>
          <cell r="N2592">
            <v>1.727883985093136</v>
          </cell>
        </row>
        <row r="2593">
          <cell r="K2593">
            <v>44650</v>
          </cell>
          <cell r="L2593" t="str">
            <v>DIA ÚTIL</v>
          </cell>
          <cell r="M2593">
            <v>4.3739E-2</v>
          </cell>
          <cell r="N2593">
            <v>1.7286397442693762</v>
          </cell>
        </row>
        <row r="2594">
          <cell r="K2594">
            <v>44651</v>
          </cell>
          <cell r="L2594" t="str">
            <v>DIA ÚTIL</v>
          </cell>
          <cell r="M2594">
            <v>4.3739E-2</v>
          </cell>
          <cell r="N2594">
            <v>1.7293958340071223</v>
          </cell>
        </row>
        <row r="2595">
          <cell r="K2595">
            <v>44652</v>
          </cell>
          <cell r="L2595" t="str">
            <v>DIA ÚTIL</v>
          </cell>
          <cell r="M2595">
            <v>4.3739E-2</v>
          </cell>
          <cell r="N2595">
            <v>1.7301522544509589</v>
          </cell>
        </row>
        <row r="2596">
          <cell r="K2596">
            <v>44653</v>
          </cell>
          <cell r="M2596">
            <v>0</v>
          </cell>
          <cell r="N2596">
            <v>1.7301522544509589</v>
          </cell>
        </row>
        <row r="2597">
          <cell r="K2597">
            <v>44654</v>
          </cell>
          <cell r="M2597">
            <v>0</v>
          </cell>
          <cell r="N2597">
            <v>1.7301522544509589</v>
          </cell>
        </row>
        <row r="2598">
          <cell r="K2598">
            <v>44655</v>
          </cell>
          <cell r="L2598" t="str">
            <v>DIA ÚTIL</v>
          </cell>
          <cell r="M2598">
            <v>4.3739E-2</v>
          </cell>
          <cell r="N2598">
            <v>1.7309090057455334</v>
          </cell>
        </row>
        <row r="2599">
          <cell r="K2599">
            <v>44656</v>
          </cell>
          <cell r="L2599" t="str">
            <v>DIA ÚTIL</v>
          </cell>
          <cell r="M2599">
            <v>4.3739E-2</v>
          </cell>
          <cell r="N2599">
            <v>1.7316660880355565</v>
          </cell>
        </row>
        <row r="2600">
          <cell r="K2600">
            <v>44657</v>
          </cell>
          <cell r="L2600" t="str">
            <v>DIA ÚTIL</v>
          </cell>
          <cell r="M2600">
            <v>4.3739E-2</v>
          </cell>
          <cell r="N2600">
            <v>1.7324235014658025</v>
          </cell>
        </row>
        <row r="2601">
          <cell r="K2601">
            <v>44658</v>
          </cell>
          <cell r="L2601" t="str">
            <v>DIA ÚTIL</v>
          </cell>
          <cell r="M2601">
            <v>4.3739E-2</v>
          </cell>
          <cell r="N2601">
            <v>1.7331812461811087</v>
          </cell>
        </row>
        <row r="2602">
          <cell r="K2602">
            <v>44659</v>
          </cell>
          <cell r="L2602" t="str">
            <v>DIA ÚTIL</v>
          </cell>
          <cell r="M2602">
            <v>4.3739E-2</v>
          </cell>
          <cell r="N2602">
            <v>1.7339393223263759</v>
          </cell>
        </row>
        <row r="2603">
          <cell r="K2603">
            <v>44660</v>
          </cell>
          <cell r="M2603">
            <v>0</v>
          </cell>
          <cell r="N2603">
            <v>1.7339393223263759</v>
          </cell>
        </row>
        <row r="2604">
          <cell r="K2604">
            <v>44661</v>
          </cell>
          <cell r="M2604">
            <v>0</v>
          </cell>
          <cell r="N2604">
            <v>1.7339393223263759</v>
          </cell>
        </row>
        <row r="2605">
          <cell r="K2605">
            <v>44662</v>
          </cell>
          <cell r="L2605" t="str">
            <v>DIA ÚTIL</v>
          </cell>
          <cell r="M2605">
            <v>4.3739E-2</v>
          </cell>
          <cell r="N2605">
            <v>1.7346977300465685</v>
          </cell>
        </row>
        <row r="2606">
          <cell r="K2606">
            <v>44663</v>
          </cell>
          <cell r="L2606" t="str">
            <v>DIA ÚTIL</v>
          </cell>
          <cell r="M2606">
            <v>4.3739E-2</v>
          </cell>
          <cell r="N2606">
            <v>1.7354564694867136</v>
          </cell>
        </row>
        <row r="2607">
          <cell r="K2607">
            <v>44664</v>
          </cell>
          <cell r="L2607" t="str">
            <v>DIA ÚTIL</v>
          </cell>
          <cell r="M2607">
            <v>4.3739E-2</v>
          </cell>
          <cell r="N2607">
            <v>1.7362155407919027</v>
          </cell>
        </row>
        <row r="2608">
          <cell r="K2608">
            <v>44665</v>
          </cell>
          <cell r="L2608" t="str">
            <v>DIA ÚTIL</v>
          </cell>
          <cell r="M2608">
            <v>4.3739E-2</v>
          </cell>
          <cell r="N2608">
            <v>1.7369749441072897</v>
          </cell>
        </row>
        <row r="2609">
          <cell r="K2609">
            <v>44666</v>
          </cell>
          <cell r="M2609">
            <v>0</v>
          </cell>
          <cell r="N2609">
            <v>1.7369749441072897</v>
          </cell>
        </row>
        <row r="2610">
          <cell r="K2610">
            <v>44667</v>
          </cell>
          <cell r="M2610">
            <v>0</v>
          </cell>
          <cell r="N2610">
            <v>1.7369749441072897</v>
          </cell>
        </row>
        <row r="2611">
          <cell r="K2611">
            <v>44668</v>
          </cell>
          <cell r="M2611">
            <v>0</v>
          </cell>
          <cell r="N2611">
            <v>1.7369749441072897</v>
          </cell>
        </row>
        <row r="2612">
          <cell r="K2612">
            <v>44669</v>
          </cell>
          <cell r="L2612" t="str">
            <v>DIA ÚTIL</v>
          </cell>
          <cell r="M2612">
            <v>4.3739E-2</v>
          </cell>
          <cell r="N2612">
            <v>1.737734679578093</v>
          </cell>
        </row>
        <row r="2613">
          <cell r="K2613">
            <v>44670</v>
          </cell>
          <cell r="L2613" t="str">
            <v>DIA ÚTIL</v>
          </cell>
          <cell r="M2613">
            <v>4.3739E-2</v>
          </cell>
          <cell r="N2613">
            <v>1.7384947473495937</v>
          </cell>
        </row>
        <row r="2614">
          <cell r="K2614">
            <v>44671</v>
          </cell>
          <cell r="L2614" t="str">
            <v>DIA ÚTIL</v>
          </cell>
          <cell r="M2614">
            <v>4.3739E-2</v>
          </cell>
          <cell r="N2614">
            <v>1.7392551475671372</v>
          </cell>
        </row>
        <row r="2615">
          <cell r="K2615">
            <v>44672</v>
          </cell>
          <cell r="M2615">
            <v>0</v>
          </cell>
          <cell r="N2615">
            <v>1.7392551475671372</v>
          </cell>
        </row>
        <row r="2616">
          <cell r="K2616">
            <v>44673</v>
          </cell>
          <cell r="L2616" t="str">
            <v>DIA ÚTIL</v>
          </cell>
          <cell r="M2616">
            <v>4.3739E-2</v>
          </cell>
          <cell r="N2616">
            <v>1.7400158803761316</v>
          </cell>
        </row>
        <row r="2617">
          <cell r="K2617">
            <v>44674</v>
          </cell>
          <cell r="M2617">
            <v>0</v>
          </cell>
          <cell r="N2617">
            <v>1.7400158803761316</v>
          </cell>
        </row>
        <row r="2618">
          <cell r="K2618">
            <v>44675</v>
          </cell>
          <cell r="M2618">
            <v>0</v>
          </cell>
          <cell r="N2618">
            <v>1.7400158803761316</v>
          </cell>
        </row>
        <row r="2619">
          <cell r="K2619">
            <v>44676</v>
          </cell>
          <cell r="L2619" t="str">
            <v>DIA ÚTIL</v>
          </cell>
          <cell r="M2619">
            <v>4.3739E-2</v>
          </cell>
          <cell r="N2619">
            <v>1.7407769459220495</v>
          </cell>
        </row>
        <row r="2620">
          <cell r="K2620">
            <v>44677</v>
          </cell>
          <cell r="L2620" t="str">
            <v>DIA ÚTIL</v>
          </cell>
          <cell r="M2620">
            <v>4.3739E-2</v>
          </cell>
          <cell r="N2620">
            <v>1.7415383443504264</v>
          </cell>
        </row>
        <row r="2621">
          <cell r="K2621">
            <v>44678</v>
          </cell>
          <cell r="L2621" t="str">
            <v>DIA ÚTIL</v>
          </cell>
          <cell r="M2621">
            <v>4.3739E-2</v>
          </cell>
          <cell r="N2621">
            <v>1.7423000758068621</v>
          </cell>
        </row>
        <row r="2622">
          <cell r="K2622">
            <v>44679</v>
          </cell>
          <cell r="L2622" t="str">
            <v>DIA ÚTIL</v>
          </cell>
          <cell r="M2622">
            <v>4.3739E-2</v>
          </cell>
          <cell r="N2622">
            <v>1.7430621404370195</v>
          </cell>
        </row>
        <row r="2623">
          <cell r="K2623">
            <v>44680</v>
          </cell>
          <cell r="L2623" t="str">
            <v>DIA ÚTIL</v>
          </cell>
          <cell r="M2623">
            <v>4.3739E-2</v>
          </cell>
          <cell r="N2623">
            <v>1.7438245383866253</v>
          </cell>
        </row>
        <row r="2624">
          <cell r="K2624">
            <v>44681</v>
          </cell>
          <cell r="M2624">
            <v>0</v>
          </cell>
          <cell r="N2624">
            <v>1.7438245383866253</v>
          </cell>
        </row>
        <row r="2625">
          <cell r="K2625">
            <v>44682</v>
          </cell>
          <cell r="M2625">
            <v>0</v>
          </cell>
          <cell r="N2625">
            <v>1.7438245383866253</v>
          </cell>
        </row>
        <row r="2626">
          <cell r="K2626">
            <v>44683</v>
          </cell>
          <cell r="L2626" t="str">
            <v>DIA ÚTIL</v>
          </cell>
          <cell r="M2626">
            <v>4.3739E-2</v>
          </cell>
          <cell r="N2626">
            <v>1.7445872698014704</v>
          </cell>
        </row>
        <row r="2627">
          <cell r="K2627">
            <v>44684</v>
          </cell>
          <cell r="L2627" t="str">
            <v>DIA ÚTIL</v>
          </cell>
          <cell r="M2627">
            <v>4.3739E-2</v>
          </cell>
          <cell r="N2627">
            <v>1.7453503348274091</v>
          </cell>
        </row>
        <row r="2628">
          <cell r="K2628">
            <v>44685</v>
          </cell>
          <cell r="L2628" t="str">
            <v>DIA ÚTIL</v>
          </cell>
          <cell r="M2628">
            <v>4.3739E-2</v>
          </cell>
          <cell r="N2628">
            <v>1.7461137336103594</v>
          </cell>
        </row>
        <row r="2629">
          <cell r="K2629">
            <v>44686</v>
          </cell>
          <cell r="L2629" t="str">
            <v>DIA ÚTIL</v>
          </cell>
          <cell r="M2629">
            <v>4.7279000000000002E-2</v>
          </cell>
          <cell r="N2629">
            <v>1.7469392787224729</v>
          </cell>
        </row>
        <row r="2630">
          <cell r="K2630">
            <v>44687</v>
          </cell>
          <cell r="L2630" t="str">
            <v>DIA ÚTIL</v>
          </cell>
          <cell r="M2630">
            <v>4.7279000000000002E-2</v>
          </cell>
          <cell r="N2630">
            <v>1.7477652141440598</v>
          </cell>
        </row>
        <row r="2631">
          <cell r="K2631">
            <v>44688</v>
          </cell>
          <cell r="M2631">
            <v>0</v>
          </cell>
          <cell r="N2631">
            <v>1.7477652141440598</v>
          </cell>
        </row>
        <row r="2632">
          <cell r="K2632">
            <v>44689</v>
          </cell>
          <cell r="M2632">
            <v>0</v>
          </cell>
          <cell r="N2632">
            <v>1.7477652141440598</v>
          </cell>
        </row>
        <row r="2633">
          <cell r="K2633">
            <v>44690</v>
          </cell>
          <cell r="L2633" t="str">
            <v>DIA ÚTIL</v>
          </cell>
          <cell r="M2633">
            <v>4.7279000000000002E-2</v>
          </cell>
          <cell r="N2633">
            <v>1.7485915400596548</v>
          </cell>
        </row>
        <row r="2634">
          <cell r="K2634">
            <v>44691</v>
          </cell>
          <cell r="L2634" t="str">
            <v>DIA ÚTIL</v>
          </cell>
          <cell r="M2634">
            <v>4.7279000000000002E-2</v>
          </cell>
          <cell r="N2634">
            <v>1.7494182566538794</v>
          </cell>
        </row>
        <row r="2635">
          <cell r="K2635">
            <v>44692</v>
          </cell>
          <cell r="L2635" t="str">
            <v>DIA ÚTIL</v>
          </cell>
          <cell r="M2635">
            <v>4.7279000000000002E-2</v>
          </cell>
          <cell r="N2635">
            <v>1.7502453641114426</v>
          </cell>
        </row>
        <row r="2636">
          <cell r="K2636">
            <v>44693</v>
          </cell>
          <cell r="L2636" t="str">
            <v>DIA ÚTIL</v>
          </cell>
          <cell r="M2636">
            <v>4.7279000000000002E-2</v>
          </cell>
          <cell r="N2636">
            <v>1.7510728626171406</v>
          </cell>
        </row>
        <row r="2637">
          <cell r="K2637">
            <v>44694</v>
          </cell>
          <cell r="L2637" t="str">
            <v>DIA ÚTIL</v>
          </cell>
          <cell r="M2637">
            <v>4.7279000000000002E-2</v>
          </cell>
          <cell r="N2637">
            <v>1.7519007523558572</v>
          </cell>
        </row>
        <row r="2638">
          <cell r="K2638">
            <v>44695</v>
          </cell>
          <cell r="M2638">
            <v>0</v>
          </cell>
          <cell r="N2638">
            <v>1.7519007523558572</v>
          </cell>
        </row>
        <row r="2639">
          <cell r="K2639">
            <v>44696</v>
          </cell>
          <cell r="M2639">
            <v>0</v>
          </cell>
          <cell r="N2639">
            <v>1.7519007523558572</v>
          </cell>
        </row>
        <row r="2640">
          <cell r="K2640">
            <v>44697</v>
          </cell>
          <cell r="L2640" t="str">
            <v>DIA ÚTIL</v>
          </cell>
          <cell r="M2640">
            <v>4.7279000000000002E-2</v>
          </cell>
          <cell r="N2640">
            <v>1.7527290335125634</v>
          </cell>
        </row>
        <row r="2641">
          <cell r="K2641">
            <v>44698</v>
          </cell>
          <cell r="L2641" t="str">
            <v>DIA ÚTIL</v>
          </cell>
          <cell r="M2641">
            <v>4.7279000000000002E-2</v>
          </cell>
          <cell r="N2641">
            <v>1.7535577062723176</v>
          </cell>
        </row>
        <row r="2642">
          <cell r="K2642">
            <v>44699</v>
          </cell>
          <cell r="L2642" t="str">
            <v>DIA ÚTIL</v>
          </cell>
          <cell r="M2642">
            <v>4.7279000000000002E-2</v>
          </cell>
          <cell r="N2642">
            <v>1.7543867708202658</v>
          </cell>
        </row>
        <row r="2643">
          <cell r="K2643">
            <v>44700</v>
          </cell>
          <cell r="L2643" t="str">
            <v>DIA ÚTIL</v>
          </cell>
          <cell r="M2643">
            <v>4.7279000000000002E-2</v>
          </cell>
          <cell r="N2643">
            <v>1.7552162273416418</v>
          </cell>
        </row>
        <row r="2644">
          <cell r="K2644">
            <v>44701</v>
          </cell>
          <cell r="L2644" t="str">
            <v>DIA ÚTIL</v>
          </cell>
          <cell r="M2644">
            <v>4.7279000000000002E-2</v>
          </cell>
          <cell r="N2644">
            <v>1.7560460760217664</v>
          </cell>
        </row>
        <row r="2645">
          <cell r="K2645">
            <v>44702</v>
          </cell>
          <cell r="M2645">
            <v>0</v>
          </cell>
          <cell r="N2645">
            <v>1.7560460760217664</v>
          </cell>
        </row>
        <row r="2646">
          <cell r="K2646">
            <v>44703</v>
          </cell>
          <cell r="M2646">
            <v>0</v>
          </cell>
          <cell r="N2646">
            <v>1.7560460760217664</v>
          </cell>
        </row>
        <row r="2647">
          <cell r="K2647">
            <v>44704</v>
          </cell>
          <cell r="L2647" t="str">
            <v>DIA ÚTIL</v>
          </cell>
          <cell r="M2647">
            <v>4.7279000000000002E-2</v>
          </cell>
          <cell r="N2647">
            <v>1.7568763170460486</v>
          </cell>
        </row>
        <row r="2648">
          <cell r="K2648">
            <v>44705</v>
          </cell>
          <cell r="L2648" t="str">
            <v>DIA ÚTIL</v>
          </cell>
          <cell r="M2648">
            <v>4.7279000000000002E-2</v>
          </cell>
          <cell r="N2648">
            <v>1.7577069505999847</v>
          </cell>
        </row>
        <row r="2649">
          <cell r="K2649">
            <v>44706</v>
          </cell>
          <cell r="L2649" t="str">
            <v>DIA ÚTIL</v>
          </cell>
          <cell r="M2649">
            <v>4.7279000000000002E-2</v>
          </cell>
          <cell r="N2649">
            <v>1.7585379768691587</v>
          </cell>
        </row>
        <row r="2650">
          <cell r="K2650">
            <v>44707</v>
          </cell>
          <cell r="L2650" t="str">
            <v>DIA ÚTIL</v>
          </cell>
          <cell r="M2650">
            <v>4.7279000000000002E-2</v>
          </cell>
          <cell r="N2650">
            <v>1.7593693960392425</v>
          </cell>
        </row>
        <row r="2651">
          <cell r="K2651">
            <v>44708</v>
          </cell>
          <cell r="L2651" t="str">
            <v>DIA ÚTIL</v>
          </cell>
          <cell r="M2651">
            <v>4.7279000000000002E-2</v>
          </cell>
          <cell r="N2651">
            <v>1.7602012082959957</v>
          </cell>
        </row>
        <row r="2652">
          <cell r="K2652">
            <v>44709</v>
          </cell>
          <cell r="M2652">
            <v>0</v>
          </cell>
          <cell r="N2652">
            <v>1.7602012082959957</v>
          </cell>
        </row>
        <row r="2653">
          <cell r="K2653">
            <v>44710</v>
          </cell>
          <cell r="M2653">
            <v>0</v>
          </cell>
          <cell r="N2653">
            <v>1.7602012082959957</v>
          </cell>
        </row>
        <row r="2654">
          <cell r="K2654">
            <v>44711</v>
          </cell>
          <cell r="L2654" t="str">
            <v>DIA ÚTIL</v>
          </cell>
          <cell r="M2654">
            <v>4.7279000000000002E-2</v>
          </cell>
          <cell r="N2654">
            <v>1.7610334138252657</v>
          </cell>
        </row>
        <row r="2655">
          <cell r="K2655">
            <v>44712</v>
          </cell>
          <cell r="L2655" t="str">
            <v>DIA ÚTIL</v>
          </cell>
          <cell r="M2655">
            <v>4.7279000000000002E-2</v>
          </cell>
          <cell r="N2655">
            <v>1.7618660128129879</v>
          </cell>
        </row>
        <row r="2656">
          <cell r="K2656">
            <v>44713</v>
          </cell>
          <cell r="L2656" t="str">
            <v>DIA ÚTIL</v>
          </cell>
          <cell r="M2656">
            <v>4.7279000000000002E-2</v>
          </cell>
          <cell r="N2656">
            <v>1.7626990054451857</v>
          </cell>
        </row>
        <row r="2657">
          <cell r="K2657">
            <v>44714</v>
          </cell>
          <cell r="L2657" t="str">
            <v>DIA ÚTIL</v>
          </cell>
          <cell r="M2657">
            <v>4.7279000000000002E-2</v>
          </cell>
          <cell r="N2657">
            <v>1.76353239190797</v>
          </cell>
        </row>
        <row r="2658">
          <cell r="K2658">
            <v>44715</v>
          </cell>
          <cell r="L2658" t="str">
            <v>DIA ÚTIL</v>
          </cell>
          <cell r="M2658">
            <v>4.7279000000000002E-2</v>
          </cell>
          <cell r="N2658">
            <v>1.7643661723875399</v>
          </cell>
        </row>
        <row r="2659">
          <cell r="K2659">
            <v>44716</v>
          </cell>
          <cell r="M2659">
            <v>0</v>
          </cell>
          <cell r="N2659">
            <v>1.7643661723875399</v>
          </cell>
        </row>
        <row r="2660">
          <cell r="K2660">
            <v>44717</v>
          </cell>
          <cell r="M2660">
            <v>0</v>
          </cell>
          <cell r="N2660">
            <v>1.7643661723875399</v>
          </cell>
        </row>
        <row r="2661">
          <cell r="K2661">
            <v>44718</v>
          </cell>
          <cell r="L2661" t="str">
            <v>DIA ÚTIL</v>
          </cell>
          <cell r="M2661">
            <v>4.7279000000000002E-2</v>
          </cell>
          <cell r="N2661">
            <v>1.7652003470701829</v>
          </cell>
        </row>
        <row r="2662">
          <cell r="K2662">
            <v>44719</v>
          </cell>
          <cell r="L2662" t="str">
            <v>DIA ÚTIL</v>
          </cell>
          <cell r="M2662">
            <v>4.7279000000000002E-2</v>
          </cell>
          <cell r="N2662">
            <v>1.7660349161422739</v>
          </cell>
        </row>
        <row r="2663">
          <cell r="K2663">
            <v>44720</v>
          </cell>
          <cell r="L2663" t="str">
            <v>DIA ÚTIL</v>
          </cell>
          <cell r="M2663">
            <v>4.7279000000000002E-2</v>
          </cell>
          <cell r="N2663">
            <v>1.7668698797902767</v>
          </cell>
        </row>
        <row r="2664">
          <cell r="K2664">
            <v>44721</v>
          </cell>
          <cell r="L2664" t="str">
            <v>DIA ÚTIL</v>
          </cell>
          <cell r="M2664">
            <v>4.7279000000000002E-2</v>
          </cell>
          <cell r="N2664">
            <v>1.7677052382007425</v>
          </cell>
        </row>
        <row r="2665">
          <cell r="K2665">
            <v>44722</v>
          </cell>
          <cell r="L2665" t="str">
            <v>DIA ÚTIL</v>
          </cell>
          <cell r="M2665">
            <v>4.7279000000000002E-2</v>
          </cell>
          <cell r="N2665">
            <v>1.7685409915603112</v>
          </cell>
        </row>
        <row r="2666">
          <cell r="K2666">
            <v>44723</v>
          </cell>
          <cell r="M2666">
            <v>0</v>
          </cell>
          <cell r="N2666">
            <v>1.7685409915603112</v>
          </cell>
        </row>
        <row r="2667">
          <cell r="K2667">
            <v>44724</v>
          </cell>
          <cell r="M2667">
            <v>0</v>
          </cell>
          <cell r="N2667">
            <v>1.7685409915603112</v>
          </cell>
        </row>
        <row r="2668">
          <cell r="K2668">
            <v>44725</v>
          </cell>
          <cell r="L2668" t="str">
            <v>DIA ÚTIL</v>
          </cell>
          <cell r="M2668">
            <v>4.7279000000000002E-2</v>
          </cell>
          <cell r="N2668">
            <v>1.7693771400557108</v>
          </cell>
        </row>
        <row r="2669">
          <cell r="K2669">
            <v>44726</v>
          </cell>
          <cell r="L2669" t="str">
            <v>DIA ÚTIL</v>
          </cell>
          <cell r="M2669">
            <v>4.7279000000000002E-2</v>
          </cell>
          <cell r="N2669">
            <v>1.7702136838737574</v>
          </cell>
        </row>
        <row r="2670">
          <cell r="K2670">
            <v>44727</v>
          </cell>
          <cell r="L2670" t="str">
            <v>DIA ÚTIL</v>
          </cell>
          <cell r="M2670">
            <v>4.7279000000000002E-2</v>
          </cell>
          <cell r="N2670">
            <v>1.7710506232013559</v>
          </cell>
        </row>
        <row r="2671">
          <cell r="K2671">
            <v>44728</v>
          </cell>
          <cell r="M2671">
            <v>0</v>
          </cell>
          <cell r="N2671">
            <v>1.7710506232013559</v>
          </cell>
        </row>
        <row r="2672">
          <cell r="K2672">
            <v>44729</v>
          </cell>
          <cell r="L2672" t="str">
            <v>DIA ÚTIL</v>
          </cell>
          <cell r="M2672">
            <v>4.9036999999999997E-2</v>
          </cell>
          <cell r="N2672">
            <v>1.7719190932954552</v>
          </cell>
        </row>
        <row r="2673">
          <cell r="K2673">
            <v>44730</v>
          </cell>
          <cell r="M2673">
            <v>0</v>
          </cell>
          <cell r="N2673">
            <v>1.7719190932954552</v>
          </cell>
        </row>
        <row r="2674">
          <cell r="K2674">
            <v>44731</v>
          </cell>
          <cell r="M2674">
            <v>0</v>
          </cell>
          <cell r="N2674">
            <v>1.7719190932954552</v>
          </cell>
        </row>
        <row r="2675">
          <cell r="K2675">
            <v>44732</v>
          </cell>
          <cell r="L2675" t="str">
            <v>DIA ÚTIL</v>
          </cell>
          <cell r="M2675">
            <v>4.9036999999999997E-2</v>
          </cell>
          <cell r="N2675">
            <v>1.7727879892612346</v>
          </cell>
        </row>
        <row r="2676">
          <cell r="K2676">
            <v>44733</v>
          </cell>
          <cell r="L2676" t="str">
            <v>DIA ÚTIL</v>
          </cell>
          <cell r="M2676">
            <v>4.9036999999999997E-2</v>
          </cell>
          <cell r="N2676">
            <v>1.7736573113075287</v>
          </cell>
        </row>
        <row r="2677">
          <cell r="K2677">
            <v>44734</v>
          </cell>
          <cell r="L2677" t="str">
            <v>DIA ÚTIL</v>
          </cell>
          <cell r="M2677">
            <v>4.9036999999999997E-2</v>
          </cell>
          <cell r="N2677">
            <v>1.7745270596432747</v>
          </cell>
        </row>
        <row r="2678">
          <cell r="K2678">
            <v>44735</v>
          </cell>
          <cell r="L2678" t="str">
            <v>DIA ÚTIL</v>
          </cell>
          <cell r="M2678">
            <v>4.9036999999999997E-2</v>
          </cell>
          <cell r="N2678">
            <v>1.7753972344775122</v>
          </cell>
        </row>
        <row r="2679">
          <cell r="K2679">
            <v>44736</v>
          </cell>
          <cell r="L2679" t="str">
            <v>DIA ÚTIL</v>
          </cell>
          <cell r="M2679">
            <v>4.9036999999999997E-2</v>
          </cell>
          <cell r="N2679">
            <v>1.7762678360193831</v>
          </cell>
        </row>
        <row r="2680">
          <cell r="K2680">
            <v>44737</v>
          </cell>
          <cell r="M2680">
            <v>0</v>
          </cell>
          <cell r="N2680">
            <v>1.7762678360193831</v>
          </cell>
        </row>
        <row r="2681">
          <cell r="K2681">
            <v>44738</v>
          </cell>
          <cell r="M2681">
            <v>0</v>
          </cell>
          <cell r="N2681">
            <v>1.7762678360193831</v>
          </cell>
        </row>
        <row r="2682">
          <cell r="K2682">
            <v>44739</v>
          </cell>
          <cell r="L2682" t="str">
            <v>DIA ÚTIL</v>
          </cell>
          <cell r="M2682">
            <v>4.9036999999999997E-2</v>
          </cell>
          <cell r="N2682">
            <v>1.7771388644781321</v>
          </cell>
        </row>
        <row r="2683">
          <cell r="K2683">
            <v>44740</v>
          </cell>
          <cell r="L2683" t="str">
            <v>DIA ÚTIL</v>
          </cell>
          <cell r="M2683">
            <v>4.9036999999999997E-2</v>
          </cell>
          <cell r="N2683">
            <v>1.7780103200631063</v>
          </cell>
        </row>
        <row r="2684">
          <cell r="K2684">
            <v>44741</v>
          </cell>
          <cell r="L2684" t="str">
            <v>DIA ÚTIL</v>
          </cell>
          <cell r="M2684">
            <v>4.9036999999999997E-2</v>
          </cell>
          <cell r="N2684">
            <v>1.7788822029837559</v>
          </cell>
        </row>
        <row r="2685">
          <cell r="K2685">
            <v>44742</v>
          </cell>
          <cell r="L2685" t="str">
            <v>DIA ÚTIL</v>
          </cell>
          <cell r="M2685">
            <v>4.9036999999999997E-2</v>
          </cell>
          <cell r="N2685">
            <v>1.7797545134496331</v>
          </cell>
        </row>
        <row r="2686">
          <cell r="K2686">
            <v>44743</v>
          </cell>
          <cell r="L2686" t="str">
            <v>DIA ÚTIL</v>
          </cell>
          <cell r="M2686">
            <v>4.9036999999999997E-2</v>
          </cell>
          <cell r="N2686">
            <v>1.7806272516703936</v>
          </cell>
        </row>
        <row r="2687">
          <cell r="K2687">
            <v>44744</v>
          </cell>
          <cell r="M2687">
            <v>0</v>
          </cell>
          <cell r="N2687">
            <v>1.7806272516703936</v>
          </cell>
        </row>
        <row r="2688">
          <cell r="K2688">
            <v>44745</v>
          </cell>
          <cell r="M2688">
            <v>0</v>
          </cell>
          <cell r="N2688">
            <v>1.7806272516703936</v>
          </cell>
        </row>
        <row r="2689">
          <cell r="K2689">
            <v>44746</v>
          </cell>
          <cell r="L2689" t="str">
            <v>DIA ÚTIL</v>
          </cell>
          <cell r="M2689">
            <v>4.9036999999999997E-2</v>
          </cell>
          <cell r="N2689">
            <v>1.7815004178557954</v>
          </cell>
        </row>
        <row r="2690">
          <cell r="K2690">
            <v>44747</v>
          </cell>
          <cell r="L2690" t="str">
            <v>DIA ÚTIL</v>
          </cell>
          <cell r="M2690">
            <v>4.9036999999999997E-2</v>
          </cell>
          <cell r="N2690">
            <v>1.7823740122156995</v>
          </cell>
        </row>
        <row r="2691">
          <cell r="K2691">
            <v>44748</v>
          </cell>
          <cell r="L2691" t="str">
            <v>DIA ÚTIL</v>
          </cell>
          <cell r="M2691">
            <v>4.9036999999999997E-2</v>
          </cell>
          <cell r="N2691">
            <v>1.7832480349600699</v>
          </cell>
        </row>
        <row r="2692">
          <cell r="K2692">
            <v>44749</v>
          </cell>
          <cell r="L2692" t="str">
            <v>DIA ÚTIL</v>
          </cell>
          <cell r="M2692">
            <v>4.9036999999999997E-2</v>
          </cell>
          <cell r="N2692">
            <v>1.7841224862989733</v>
          </cell>
        </row>
        <row r="2693">
          <cell r="K2693">
            <v>44750</v>
          </cell>
          <cell r="L2693" t="str">
            <v>DIA ÚTIL</v>
          </cell>
          <cell r="M2693">
            <v>4.9036999999999997E-2</v>
          </cell>
          <cell r="N2693">
            <v>1.7849973664425798</v>
          </cell>
        </row>
        <row r="2694">
          <cell r="K2694">
            <v>44751</v>
          </cell>
          <cell r="M2694">
            <v>0</v>
          </cell>
          <cell r="N2694">
            <v>1.7849973664425798</v>
          </cell>
        </row>
        <row r="2695">
          <cell r="K2695">
            <v>44752</v>
          </cell>
          <cell r="M2695">
            <v>0</v>
          </cell>
          <cell r="N2695">
            <v>1.7849973664425798</v>
          </cell>
        </row>
        <row r="2696">
          <cell r="K2696">
            <v>44753</v>
          </cell>
          <cell r="L2696" t="str">
            <v>DIA ÚTIL</v>
          </cell>
          <cell r="M2696">
            <v>4.9036999999999997E-2</v>
          </cell>
          <cell r="N2696">
            <v>1.7858726756011623</v>
          </cell>
        </row>
        <row r="2697">
          <cell r="K2697">
            <v>44754</v>
          </cell>
          <cell r="L2697" t="str">
            <v>DIA ÚTIL</v>
          </cell>
          <cell r="M2697">
            <v>4.9036999999999997E-2</v>
          </cell>
          <cell r="N2697">
            <v>1.7867484139850969</v>
          </cell>
        </row>
        <row r="2698">
          <cell r="K2698">
            <v>44755</v>
          </cell>
          <cell r="L2698" t="str">
            <v>DIA ÚTIL</v>
          </cell>
          <cell r="M2698">
            <v>4.9036999999999997E-2</v>
          </cell>
          <cell r="N2698">
            <v>1.7876245818048628</v>
          </cell>
        </row>
        <row r="2699">
          <cell r="K2699">
            <v>44756</v>
          </cell>
          <cell r="L2699" t="str">
            <v>DIA ÚTIL</v>
          </cell>
          <cell r="M2699">
            <v>4.9036999999999997E-2</v>
          </cell>
          <cell r="N2699">
            <v>1.7885011792710426</v>
          </cell>
        </row>
        <row r="2700">
          <cell r="K2700">
            <v>44757</v>
          </cell>
          <cell r="L2700" t="str">
            <v>DIA ÚTIL</v>
          </cell>
          <cell r="M2700">
            <v>4.9036999999999997E-2</v>
          </cell>
          <cell r="N2700">
            <v>1.7893782065943218</v>
          </cell>
        </row>
        <row r="2701">
          <cell r="K2701">
            <v>44758</v>
          </cell>
          <cell r="M2701">
            <v>0</v>
          </cell>
          <cell r="N2701">
            <v>1.7893782065943218</v>
          </cell>
        </row>
        <row r="2702">
          <cell r="K2702">
            <v>44759</v>
          </cell>
          <cell r="M2702">
            <v>0</v>
          </cell>
          <cell r="N2702">
            <v>1.7893782065943218</v>
          </cell>
        </row>
        <row r="2703">
          <cell r="K2703">
            <v>44760</v>
          </cell>
          <cell r="L2703" t="str">
            <v>DIA ÚTIL</v>
          </cell>
          <cell r="M2703">
            <v>4.9036999999999997E-2</v>
          </cell>
          <cell r="N2703">
            <v>1.7902556639854896</v>
          </cell>
        </row>
        <row r="2704">
          <cell r="K2704">
            <v>44761</v>
          </cell>
          <cell r="L2704" t="str">
            <v>DIA ÚTIL</v>
          </cell>
          <cell r="M2704">
            <v>4.9036999999999997E-2</v>
          </cell>
          <cell r="N2704">
            <v>1.7911335516554383</v>
          </cell>
        </row>
        <row r="2705">
          <cell r="K2705">
            <v>44762</v>
          </cell>
          <cell r="L2705" t="str">
            <v>DIA ÚTIL</v>
          </cell>
          <cell r="M2705">
            <v>4.9036999999999997E-2</v>
          </cell>
          <cell r="N2705">
            <v>1.7920118698151637</v>
          </cell>
        </row>
        <row r="2706">
          <cell r="K2706">
            <v>44763</v>
          </cell>
          <cell r="L2706" t="str">
            <v>DIA ÚTIL</v>
          </cell>
          <cell r="M2706">
            <v>4.9036999999999997E-2</v>
          </cell>
          <cell r="N2706">
            <v>1.7928906186757652</v>
          </cell>
        </row>
        <row r="2707">
          <cell r="K2707">
            <v>44764</v>
          </cell>
          <cell r="L2707" t="str">
            <v>DIA ÚTIL</v>
          </cell>
          <cell r="M2707">
            <v>4.9036999999999997E-2</v>
          </cell>
          <cell r="N2707">
            <v>1.7937697984484453</v>
          </cell>
        </row>
        <row r="2708">
          <cell r="K2708">
            <v>44765</v>
          </cell>
          <cell r="M2708">
            <v>0</v>
          </cell>
          <cell r="N2708">
            <v>1.7937697984484453</v>
          </cell>
        </row>
        <row r="2709">
          <cell r="K2709">
            <v>44766</v>
          </cell>
          <cell r="M2709">
            <v>0</v>
          </cell>
          <cell r="N2709">
            <v>1.7937697984484453</v>
          </cell>
        </row>
        <row r="2710">
          <cell r="K2710">
            <v>44767</v>
          </cell>
          <cell r="L2710" t="str">
            <v>DIA ÚTIL</v>
          </cell>
          <cell r="M2710">
            <v>4.9036999999999997E-2</v>
          </cell>
          <cell r="N2710">
            <v>1.7946494093445107</v>
          </cell>
        </row>
        <row r="2711">
          <cell r="K2711">
            <v>44768</v>
          </cell>
          <cell r="L2711" t="str">
            <v>DIA ÚTIL</v>
          </cell>
          <cell r="M2711">
            <v>4.9036999999999997E-2</v>
          </cell>
          <cell r="N2711">
            <v>1.795529451575371</v>
          </cell>
        </row>
        <row r="2712">
          <cell r="K2712">
            <v>44769</v>
          </cell>
          <cell r="L2712" t="str">
            <v>DIA ÚTIL</v>
          </cell>
          <cell r="M2712">
            <v>4.9036999999999997E-2</v>
          </cell>
          <cell r="N2712">
            <v>1.7964099253525401</v>
          </cell>
        </row>
        <row r="2713">
          <cell r="K2713">
            <v>44770</v>
          </cell>
          <cell r="L2713" t="str">
            <v>DIA ÚTIL</v>
          </cell>
          <cell r="M2713">
            <v>4.9036999999999997E-2</v>
          </cell>
          <cell r="N2713">
            <v>1.7972908308876354</v>
          </cell>
        </row>
        <row r="2714">
          <cell r="K2714">
            <v>44771</v>
          </cell>
          <cell r="L2714" t="str">
            <v>DIA ÚTIL</v>
          </cell>
          <cell r="M2714">
            <v>4.9036999999999997E-2</v>
          </cell>
          <cell r="N2714">
            <v>1.7981721683923779</v>
          </cell>
        </row>
        <row r="2715">
          <cell r="K2715">
            <v>44772</v>
          </cell>
          <cell r="M2715">
            <v>0</v>
          </cell>
          <cell r="N2715">
            <v>1.7981721683923779</v>
          </cell>
        </row>
        <row r="2716">
          <cell r="K2716">
            <v>44773</v>
          </cell>
          <cell r="M2716">
            <v>0</v>
          </cell>
          <cell r="N2716">
            <v>1.7981721683923779</v>
          </cell>
        </row>
        <row r="2717">
          <cell r="K2717">
            <v>44774</v>
          </cell>
          <cell r="L2717" t="str">
            <v>DIA ÚTIL</v>
          </cell>
          <cell r="M2717">
            <v>4.9036999999999997E-2</v>
          </cell>
          <cell r="N2717">
            <v>1.7990539380785926</v>
          </cell>
        </row>
        <row r="2718">
          <cell r="K2718">
            <v>44775</v>
          </cell>
          <cell r="L2718" t="str">
            <v>DIA ÚTIL</v>
          </cell>
          <cell r="M2718">
            <v>4.9036999999999997E-2</v>
          </cell>
          <cell r="N2718">
            <v>1.7999361401582084</v>
          </cell>
        </row>
        <row r="2719">
          <cell r="K2719">
            <v>44776</v>
          </cell>
          <cell r="L2719" t="str">
            <v>DIA ÚTIL</v>
          </cell>
          <cell r="M2719">
            <v>4.9036999999999997E-2</v>
          </cell>
          <cell r="N2719">
            <v>1.8008187748432578</v>
          </cell>
        </row>
        <row r="2720">
          <cell r="K2720">
            <v>44777</v>
          </cell>
          <cell r="L2720" t="str">
            <v>DIA ÚTIL</v>
          </cell>
          <cell r="M2720">
            <v>4.9036999999999997E-2</v>
          </cell>
          <cell r="N2720">
            <v>1.8017018423458779</v>
          </cell>
        </row>
        <row r="2721">
          <cell r="K2721">
            <v>44778</v>
          </cell>
          <cell r="L2721" t="str">
            <v>DIA ÚTIL</v>
          </cell>
          <cell r="M2721">
            <v>4.9036999999999997E-2</v>
          </cell>
          <cell r="N2721">
            <v>1.8025853428783092</v>
          </cell>
        </row>
        <row r="2722">
          <cell r="K2722">
            <v>44779</v>
          </cell>
          <cell r="M2722">
            <v>0</v>
          </cell>
          <cell r="N2722">
            <v>1.8025853428783092</v>
          </cell>
        </row>
        <row r="2723">
          <cell r="K2723">
            <v>44780</v>
          </cell>
          <cell r="M2723">
            <v>0</v>
          </cell>
          <cell r="N2723">
            <v>1.8025853428783092</v>
          </cell>
        </row>
        <row r="2724">
          <cell r="K2724">
            <v>44781</v>
          </cell>
          <cell r="L2724" t="str">
            <v>DIA ÚTIL</v>
          </cell>
          <cell r="M2724">
            <v>4.9036999999999997E-2</v>
          </cell>
          <cell r="N2724">
            <v>1.8034692766528966</v>
          </cell>
        </row>
        <row r="2725">
          <cell r="K2725">
            <v>44782</v>
          </cell>
          <cell r="L2725" t="str">
            <v>DIA ÚTIL</v>
          </cell>
          <cell r="M2725">
            <v>4.9036999999999997E-2</v>
          </cell>
          <cell r="N2725">
            <v>1.8043536438820891</v>
          </cell>
        </row>
        <row r="2726">
          <cell r="K2726">
            <v>44783</v>
          </cell>
          <cell r="L2726" t="str">
            <v>DIA ÚTIL</v>
          </cell>
          <cell r="M2726">
            <v>4.9036999999999997E-2</v>
          </cell>
          <cell r="N2726">
            <v>1.8052384447784398</v>
          </cell>
        </row>
        <row r="2727">
          <cell r="K2727">
            <v>44784</v>
          </cell>
          <cell r="L2727" t="str">
            <v>DIA ÚTIL</v>
          </cell>
          <cell r="M2727">
            <v>4.9036999999999997E-2</v>
          </cell>
          <cell r="N2727">
            <v>1.8061236795546058</v>
          </cell>
        </row>
        <row r="2728">
          <cell r="K2728">
            <v>44785</v>
          </cell>
          <cell r="L2728" t="str">
            <v>DIA ÚTIL</v>
          </cell>
          <cell r="M2728">
            <v>4.9036999999999997E-2</v>
          </cell>
          <cell r="N2728">
            <v>1.8070093484233491</v>
          </cell>
        </row>
        <row r="2729">
          <cell r="K2729">
            <v>44786</v>
          </cell>
          <cell r="M2729">
            <v>0</v>
          </cell>
          <cell r="N2729">
            <v>1.8070093484233491</v>
          </cell>
        </row>
        <row r="2730">
          <cell r="K2730">
            <v>44787</v>
          </cell>
          <cell r="M2730">
            <v>0</v>
          </cell>
          <cell r="N2730">
            <v>1.8070093484233491</v>
          </cell>
        </row>
        <row r="2731">
          <cell r="K2731">
            <v>44788</v>
          </cell>
          <cell r="L2731" t="str">
            <v>DIA ÚTIL</v>
          </cell>
          <cell r="M2731">
            <v>4.9036999999999997E-2</v>
          </cell>
          <cell r="N2731">
            <v>1.8078954515975356</v>
          </cell>
        </row>
        <row r="2732">
          <cell r="K2732">
            <v>44789</v>
          </cell>
          <cell r="L2732" t="str">
            <v>DIA ÚTIL</v>
          </cell>
          <cell r="M2732">
            <v>4.9036999999999997E-2</v>
          </cell>
          <cell r="N2732">
            <v>1.8087819892901356</v>
          </cell>
        </row>
        <row r="2733">
          <cell r="K2733">
            <v>44790</v>
          </cell>
          <cell r="L2733" t="str">
            <v>DIA ÚTIL</v>
          </cell>
          <cell r="M2733">
            <v>4.9036999999999997E-2</v>
          </cell>
          <cell r="N2733">
            <v>1.8096689617142239</v>
          </cell>
        </row>
        <row r="2734">
          <cell r="K2734">
            <v>44791</v>
          </cell>
          <cell r="L2734" t="str">
            <v>DIA ÚTIL</v>
          </cell>
          <cell r="M2734">
            <v>4.9036999999999997E-2</v>
          </cell>
          <cell r="N2734">
            <v>1.8105563690829798</v>
          </cell>
        </row>
        <row r="2735">
          <cell r="K2735">
            <v>44792</v>
          </cell>
          <cell r="L2735" t="str">
            <v>DIA ÚTIL</v>
          </cell>
          <cell r="M2735">
            <v>4.9036999999999997E-2</v>
          </cell>
          <cell r="N2735">
            <v>1.8114442116096872</v>
          </cell>
        </row>
        <row r="2736">
          <cell r="K2736">
            <v>44793</v>
          </cell>
          <cell r="M2736">
            <v>0</v>
          </cell>
          <cell r="N2736">
            <v>1.8114442116096872</v>
          </cell>
        </row>
        <row r="2737">
          <cell r="K2737">
            <v>44794</v>
          </cell>
          <cell r="M2737">
            <v>0</v>
          </cell>
          <cell r="N2737">
            <v>1.8114442116096872</v>
          </cell>
        </row>
        <row r="2738">
          <cell r="K2738">
            <v>44795</v>
          </cell>
          <cell r="L2738" t="str">
            <v>DIA ÚTIL</v>
          </cell>
          <cell r="M2738">
            <v>4.9036999999999997E-2</v>
          </cell>
          <cell r="N2738">
            <v>1.8123324895077344</v>
          </cell>
        </row>
        <row r="2739">
          <cell r="K2739">
            <v>44796</v>
          </cell>
          <cell r="L2739" t="str">
            <v>DIA ÚTIL</v>
          </cell>
          <cell r="M2739">
            <v>4.9036999999999997E-2</v>
          </cell>
          <cell r="N2739">
            <v>1.8132212029906145</v>
          </cell>
        </row>
        <row r="2740">
          <cell r="K2740">
            <v>44797</v>
          </cell>
          <cell r="L2740" t="str">
            <v>DIA ÚTIL</v>
          </cell>
          <cell r="M2740">
            <v>4.9036999999999997E-2</v>
          </cell>
          <cell r="N2740">
            <v>1.8141103522719251</v>
          </cell>
        </row>
        <row r="2741">
          <cell r="K2741">
            <v>44798</v>
          </cell>
          <cell r="L2741" t="str">
            <v>DIA ÚTIL</v>
          </cell>
          <cell r="M2741">
            <v>4.9036999999999997E-2</v>
          </cell>
          <cell r="N2741">
            <v>1.8149999375653687</v>
          </cell>
        </row>
        <row r="2742">
          <cell r="K2742">
            <v>44799</v>
          </cell>
          <cell r="L2742" t="str">
            <v>DIA ÚTIL</v>
          </cell>
          <cell r="M2742">
            <v>4.9036999999999997E-2</v>
          </cell>
          <cell r="N2742">
            <v>1.8158899590847528</v>
          </cell>
        </row>
        <row r="2743">
          <cell r="K2743">
            <v>44800</v>
          </cell>
          <cell r="M2743">
            <v>0</v>
          </cell>
          <cell r="N2743">
            <v>1.8158899590847528</v>
          </cell>
        </row>
        <row r="2744">
          <cell r="K2744">
            <v>44801</v>
          </cell>
          <cell r="M2744">
            <v>0</v>
          </cell>
          <cell r="N2744">
            <v>1.8158899590847528</v>
          </cell>
        </row>
        <row r="2745">
          <cell r="K2745">
            <v>44802</v>
          </cell>
          <cell r="L2745" t="str">
            <v>DIA ÚTIL</v>
          </cell>
          <cell r="M2745">
            <v>4.9036999999999997E-2</v>
          </cell>
          <cell r="N2745">
            <v>1.8167804170439894</v>
          </cell>
        </row>
        <row r="2746">
          <cell r="K2746">
            <v>44803</v>
          </cell>
          <cell r="L2746" t="str">
            <v>DIA ÚTIL</v>
          </cell>
          <cell r="M2746">
            <v>4.9036999999999997E-2</v>
          </cell>
          <cell r="N2746">
            <v>1.8176713116570955</v>
          </cell>
        </row>
        <row r="2747">
          <cell r="K2747">
            <v>44804</v>
          </cell>
          <cell r="L2747" t="str">
            <v>DIA ÚTIL</v>
          </cell>
          <cell r="M2747">
            <v>4.9036999999999997E-2</v>
          </cell>
          <cell r="N2747">
            <v>1.8185626431381929</v>
          </cell>
        </row>
        <row r="2748">
          <cell r="K2748">
            <v>44805</v>
          </cell>
          <cell r="L2748" t="str">
            <v>DIA ÚTIL</v>
          </cell>
          <cell r="M2748">
            <v>4.9036999999999997E-2</v>
          </cell>
          <cell r="N2748">
            <v>1.8194544117015088</v>
          </cell>
        </row>
        <row r="2749">
          <cell r="K2749">
            <v>44806</v>
          </cell>
          <cell r="L2749" t="str">
            <v>DIA ÚTIL</v>
          </cell>
          <cell r="M2749">
            <v>4.9036999999999997E-2</v>
          </cell>
          <cell r="N2749">
            <v>1.8203466175613749</v>
          </cell>
        </row>
        <row r="2750">
          <cell r="K2750">
            <v>44807</v>
          </cell>
          <cell r="M2750">
            <v>0</v>
          </cell>
          <cell r="N2750">
            <v>1.8203466175613749</v>
          </cell>
        </row>
        <row r="2751">
          <cell r="K2751">
            <v>44808</v>
          </cell>
          <cell r="M2751">
            <v>0</v>
          </cell>
          <cell r="N2751">
            <v>1.8203466175613749</v>
          </cell>
        </row>
        <row r="2752">
          <cell r="K2752">
            <v>44809</v>
          </cell>
          <cell r="L2752" t="str">
            <v>DIA ÚTIL</v>
          </cell>
          <cell r="M2752">
            <v>4.9036999999999997E-2</v>
          </cell>
          <cell r="N2752">
            <v>1.8212392609322285</v>
          </cell>
        </row>
        <row r="2753">
          <cell r="K2753">
            <v>44810</v>
          </cell>
          <cell r="L2753" t="str">
            <v>DIA ÚTIL</v>
          </cell>
          <cell r="M2753">
            <v>4.9036999999999997E-2</v>
          </cell>
          <cell r="N2753">
            <v>1.822132342028612</v>
          </cell>
        </row>
        <row r="2754">
          <cell r="K2754">
            <v>44811</v>
          </cell>
          <cell r="M2754">
            <v>0</v>
          </cell>
          <cell r="N2754">
            <v>1.822132342028612</v>
          </cell>
        </row>
        <row r="2755">
          <cell r="K2755">
            <v>44812</v>
          </cell>
          <cell r="L2755" t="str">
            <v>DIA ÚTIL</v>
          </cell>
          <cell r="M2755">
            <v>4.9036999999999997E-2</v>
          </cell>
          <cell r="N2755">
            <v>1.8230258610651726</v>
          </cell>
        </row>
        <row r="2756">
          <cell r="K2756">
            <v>44813</v>
          </cell>
          <cell r="L2756" t="str">
            <v>DIA ÚTIL</v>
          </cell>
          <cell r="M2756">
            <v>4.9036999999999997E-2</v>
          </cell>
          <cell r="N2756">
            <v>1.8239198182566634</v>
          </cell>
        </row>
        <row r="2757">
          <cell r="K2757">
            <v>44814</v>
          </cell>
          <cell r="M2757">
            <v>0</v>
          </cell>
          <cell r="N2757">
            <v>1.8239198182566634</v>
          </cell>
        </row>
        <row r="2758">
          <cell r="K2758">
            <v>44815</v>
          </cell>
          <cell r="M2758">
            <v>0</v>
          </cell>
          <cell r="N2758">
            <v>1.8239198182566634</v>
          </cell>
        </row>
        <row r="2759">
          <cell r="K2759">
            <v>44816</v>
          </cell>
          <cell r="L2759" t="str">
            <v>DIA ÚTIL</v>
          </cell>
          <cell r="M2759">
            <v>4.9036999999999997E-2</v>
          </cell>
          <cell r="N2759">
            <v>1.824814213817942</v>
          </cell>
        </row>
        <row r="2760">
          <cell r="K2760">
            <v>44817</v>
          </cell>
          <cell r="L2760" t="str">
            <v>DIA ÚTIL</v>
          </cell>
          <cell r="M2760">
            <v>4.9036999999999997E-2</v>
          </cell>
          <cell r="N2760">
            <v>1.8257090479639719</v>
          </cell>
        </row>
        <row r="2761">
          <cell r="K2761">
            <v>44818</v>
          </cell>
          <cell r="L2761" t="str">
            <v>DIA ÚTIL</v>
          </cell>
          <cell r="M2761">
            <v>4.9036999999999997E-2</v>
          </cell>
          <cell r="N2761">
            <v>1.8266043209098222</v>
          </cell>
        </row>
        <row r="2762">
          <cell r="K2762">
            <v>44819</v>
          </cell>
          <cell r="L2762" t="str">
            <v>DIA ÚTIL</v>
          </cell>
          <cell r="M2762">
            <v>4.9036999999999997E-2</v>
          </cell>
          <cell r="N2762">
            <v>1.8275000328706668</v>
          </cell>
        </row>
        <row r="2763">
          <cell r="K2763">
            <v>44820</v>
          </cell>
          <cell r="L2763" t="str">
            <v>DIA ÚTIL</v>
          </cell>
          <cell r="M2763">
            <v>4.9036999999999997E-2</v>
          </cell>
          <cell r="N2763">
            <v>1.8283961840617857</v>
          </cell>
        </row>
        <row r="2764">
          <cell r="K2764">
            <v>44821</v>
          </cell>
          <cell r="M2764">
            <v>0</v>
          </cell>
          <cell r="N2764">
            <v>1.8283961840617857</v>
          </cell>
        </row>
        <row r="2765">
          <cell r="K2765">
            <v>44822</v>
          </cell>
          <cell r="M2765">
            <v>0</v>
          </cell>
          <cell r="N2765">
            <v>1.8283961840617857</v>
          </cell>
        </row>
        <row r="2766">
          <cell r="K2766">
            <v>44823</v>
          </cell>
          <cell r="L2766" t="str">
            <v>DIA ÚTIL</v>
          </cell>
          <cell r="M2766">
            <v>4.9036999999999997E-2</v>
          </cell>
          <cell r="N2766">
            <v>1.8292927746985643</v>
          </cell>
        </row>
        <row r="2767">
          <cell r="K2767">
            <v>44824</v>
          </cell>
          <cell r="L2767" t="str">
            <v>DIA ÚTIL</v>
          </cell>
          <cell r="M2767">
            <v>4.9036999999999997E-2</v>
          </cell>
          <cell r="N2767">
            <v>1.8301898049964933</v>
          </cell>
        </row>
        <row r="2768">
          <cell r="K2768">
            <v>44825</v>
          </cell>
          <cell r="L2768" t="str">
            <v>DIA ÚTIL</v>
          </cell>
          <cell r="M2768">
            <v>4.9036999999999997E-2</v>
          </cell>
          <cell r="N2768">
            <v>1.8310872751711695</v>
          </cell>
        </row>
        <row r="2769">
          <cell r="K2769">
            <v>44826</v>
          </cell>
          <cell r="L2769" t="str">
            <v>DIA ÚTIL</v>
          </cell>
          <cell r="M2769">
            <v>4.9036999999999997E-2</v>
          </cell>
          <cell r="N2769">
            <v>1.8319851854382954</v>
          </cell>
        </row>
        <row r="2770">
          <cell r="K2770">
            <v>44827</v>
          </cell>
          <cell r="L2770" t="str">
            <v>DIA ÚTIL</v>
          </cell>
          <cell r="M2770">
            <v>4.9036999999999997E-2</v>
          </cell>
          <cell r="N2770">
            <v>1.8328835360136788</v>
          </cell>
        </row>
        <row r="2771">
          <cell r="K2771">
            <v>44828</v>
          </cell>
          <cell r="M2771">
            <v>0</v>
          </cell>
          <cell r="N2771">
            <v>1.8328835360136788</v>
          </cell>
        </row>
        <row r="2772">
          <cell r="K2772">
            <v>44829</v>
          </cell>
          <cell r="M2772">
            <v>0</v>
          </cell>
          <cell r="N2772">
            <v>1.8328835360136788</v>
          </cell>
        </row>
        <row r="2773">
          <cell r="K2773">
            <v>44830</v>
          </cell>
          <cell r="L2773" t="str">
            <v>DIA ÚTIL</v>
          </cell>
          <cell r="M2773">
            <v>4.9036999999999997E-2</v>
          </cell>
          <cell r="N2773">
            <v>1.8337823271132341</v>
          </cell>
        </row>
        <row r="2774">
          <cell r="K2774">
            <v>44831</v>
          </cell>
          <cell r="L2774" t="str">
            <v>DIA ÚTIL</v>
          </cell>
          <cell r="M2774">
            <v>4.9036999999999997E-2</v>
          </cell>
          <cell r="N2774">
            <v>1.8346815589529808</v>
          </cell>
        </row>
        <row r="2775">
          <cell r="K2775">
            <v>44832</v>
          </cell>
          <cell r="L2775" t="str">
            <v>DIA ÚTIL</v>
          </cell>
          <cell r="M2775">
            <v>4.9036999999999997E-2</v>
          </cell>
          <cell r="N2775">
            <v>1.8355812317490448</v>
          </cell>
        </row>
        <row r="2776">
          <cell r="K2776">
            <v>44833</v>
          </cell>
          <cell r="L2776" t="str">
            <v>DIA ÚTIL</v>
          </cell>
          <cell r="M2776">
            <v>4.9036999999999997E-2</v>
          </cell>
          <cell r="N2776">
            <v>1.8364813457176576</v>
          </cell>
        </row>
        <row r="2777">
          <cell r="K2777">
            <v>44834</v>
          </cell>
          <cell r="L2777" t="str">
            <v>DIA ÚTIL</v>
          </cell>
          <cell r="M2777">
            <v>4.9036999999999997E-2</v>
          </cell>
          <cell r="N2777">
            <v>1.8373819010751573</v>
          </cell>
        </row>
        <row r="2778">
          <cell r="K2778">
            <v>44835</v>
          </cell>
          <cell r="M2778">
            <v>0</v>
          </cell>
          <cell r="N2778">
            <v>1.8373819010751573</v>
          </cell>
        </row>
        <row r="2779">
          <cell r="K2779">
            <v>44836</v>
          </cell>
          <cell r="M2779">
            <v>0</v>
          </cell>
          <cell r="N2779">
            <v>1.8373819010751573</v>
          </cell>
        </row>
        <row r="2780">
          <cell r="K2780">
            <v>44837</v>
          </cell>
          <cell r="L2780" t="str">
            <v>DIA ÚTIL</v>
          </cell>
          <cell r="M2780">
            <v>4.9036999999999997E-2</v>
          </cell>
          <cell r="N2780">
            <v>1.8382828980379877</v>
          </cell>
        </row>
        <row r="2781">
          <cell r="K2781">
            <v>44838</v>
          </cell>
          <cell r="L2781" t="str">
            <v>DIA ÚTIL</v>
          </cell>
          <cell r="M2781">
            <v>4.9036999999999997E-2</v>
          </cell>
          <cell r="N2781">
            <v>1.8391843368226988</v>
          </cell>
        </row>
        <row r="2782">
          <cell r="K2782">
            <v>44839</v>
          </cell>
          <cell r="L2782" t="str">
            <v>DIA ÚTIL</v>
          </cell>
          <cell r="M2782">
            <v>4.9036999999999997E-2</v>
          </cell>
          <cell r="N2782">
            <v>1.8400862176459467</v>
          </cell>
        </row>
        <row r="2783">
          <cell r="K2783">
            <v>44840</v>
          </cell>
          <cell r="L2783" t="str">
            <v>DIA ÚTIL</v>
          </cell>
          <cell r="M2783">
            <v>4.9036999999999997E-2</v>
          </cell>
          <cell r="N2783">
            <v>1.8409885407244939</v>
          </cell>
        </row>
        <row r="2784">
          <cell r="K2784">
            <v>44841</v>
          </cell>
          <cell r="L2784" t="str">
            <v>DIA ÚTIL</v>
          </cell>
          <cell r="M2784">
            <v>4.9036999999999997E-2</v>
          </cell>
          <cell r="N2784">
            <v>1.8418913062752091</v>
          </cell>
        </row>
        <row r="2785">
          <cell r="K2785">
            <v>44842</v>
          </cell>
          <cell r="M2785">
            <v>0</v>
          </cell>
          <cell r="N2785">
            <v>1.8418913062752091</v>
          </cell>
        </row>
        <row r="2786">
          <cell r="K2786">
            <v>44843</v>
          </cell>
          <cell r="M2786">
            <v>0</v>
          </cell>
          <cell r="N2786">
            <v>1.8418913062752091</v>
          </cell>
        </row>
        <row r="2787">
          <cell r="K2787">
            <v>44844</v>
          </cell>
          <cell r="L2787" t="str">
            <v>DIA ÚTIL</v>
          </cell>
          <cell r="M2787">
            <v>4.9036999999999997E-2</v>
          </cell>
          <cell r="N2787">
            <v>1.8427945145150675</v>
          </cell>
        </row>
        <row r="2788">
          <cell r="K2788">
            <v>44845</v>
          </cell>
          <cell r="L2788" t="str">
            <v>DIA ÚTIL</v>
          </cell>
          <cell r="M2788">
            <v>4.9036999999999997E-2</v>
          </cell>
          <cell r="N2788">
            <v>1.8436981656611504</v>
          </cell>
        </row>
        <row r="2789">
          <cell r="K2789">
            <v>44846</v>
          </cell>
          <cell r="M2789">
            <v>0</v>
          </cell>
          <cell r="N2789">
            <v>1.8436981656611504</v>
          </cell>
        </row>
        <row r="2790">
          <cell r="K2790">
            <v>44847</v>
          </cell>
          <cell r="L2790" t="str">
            <v>DIA ÚTIL</v>
          </cell>
          <cell r="M2790">
            <v>4.9036999999999997E-2</v>
          </cell>
          <cell r="N2790">
            <v>1.8446022599306457</v>
          </cell>
        </row>
        <row r="2791">
          <cell r="K2791">
            <v>44848</v>
          </cell>
          <cell r="L2791" t="str">
            <v>DIA ÚTIL</v>
          </cell>
          <cell r="M2791">
            <v>4.9036999999999997E-2</v>
          </cell>
          <cell r="N2791">
            <v>1.8455067975408481</v>
          </cell>
        </row>
        <row r="2792">
          <cell r="K2792">
            <v>44849</v>
          </cell>
          <cell r="M2792">
            <v>0</v>
          </cell>
          <cell r="N2792">
            <v>1.8455067975408481</v>
          </cell>
        </row>
        <row r="2793">
          <cell r="K2793">
            <v>44850</v>
          </cell>
          <cell r="M2793">
            <v>0</v>
          </cell>
          <cell r="N2793">
            <v>1.8455067975408481</v>
          </cell>
        </row>
        <row r="2794">
          <cell r="K2794">
            <v>44851</v>
          </cell>
          <cell r="L2794" t="str">
            <v>DIA ÚTIL</v>
          </cell>
          <cell r="M2794">
            <v>4.9036999999999997E-2</v>
          </cell>
          <cell r="N2794">
            <v>1.8464117787091583</v>
          </cell>
        </row>
        <row r="2795">
          <cell r="K2795">
            <v>44852</v>
          </cell>
          <cell r="L2795" t="str">
            <v>DIA ÚTIL</v>
          </cell>
          <cell r="M2795">
            <v>4.9036999999999997E-2</v>
          </cell>
          <cell r="N2795">
            <v>1.8473172036530841</v>
          </cell>
        </row>
        <row r="2796">
          <cell r="K2796">
            <v>44853</v>
          </cell>
          <cell r="L2796" t="str">
            <v>DIA ÚTIL</v>
          </cell>
          <cell r="M2796">
            <v>4.9036999999999997E-2</v>
          </cell>
          <cell r="N2796">
            <v>1.8482230725902395</v>
          </cell>
        </row>
        <row r="2797">
          <cell r="K2797">
            <v>44854</v>
          </cell>
          <cell r="L2797" t="str">
            <v>DIA ÚTIL</v>
          </cell>
          <cell r="M2797">
            <v>4.9036999999999997E-2</v>
          </cell>
          <cell r="N2797">
            <v>1.8491293857383457</v>
          </cell>
        </row>
        <row r="2798">
          <cell r="K2798">
            <v>44855</v>
          </cell>
          <cell r="L2798" t="str">
            <v>DIA ÚTIL</v>
          </cell>
          <cell r="M2798">
            <v>4.9036999999999997E-2</v>
          </cell>
          <cell r="N2798">
            <v>1.8500361433152304</v>
          </cell>
        </row>
        <row r="2799">
          <cell r="K2799">
            <v>44856</v>
          </cell>
          <cell r="M2799">
            <v>0</v>
          </cell>
          <cell r="N2799">
            <v>1.8500361433152304</v>
          </cell>
        </row>
        <row r="2800">
          <cell r="K2800">
            <v>44857</v>
          </cell>
          <cell r="M2800">
            <v>0</v>
          </cell>
          <cell r="N2800">
            <v>1.8500361433152304</v>
          </cell>
        </row>
        <row r="2801">
          <cell r="K2801">
            <v>44858</v>
          </cell>
          <cell r="L2801" t="str">
            <v>DIA ÚTIL</v>
          </cell>
          <cell r="M2801">
            <v>4.9036999999999997E-2</v>
          </cell>
          <cell r="N2801">
            <v>1.850943345538828</v>
          </cell>
        </row>
        <row r="2802">
          <cell r="K2802">
            <v>44859</v>
          </cell>
          <cell r="L2802" t="str">
            <v>DIA ÚTIL</v>
          </cell>
          <cell r="M2802">
            <v>4.9036999999999997E-2</v>
          </cell>
          <cell r="N2802">
            <v>1.85185099262718</v>
          </cell>
        </row>
        <row r="2803">
          <cell r="K2803">
            <v>44860</v>
          </cell>
          <cell r="L2803" t="str">
            <v>DIA ÚTIL</v>
          </cell>
          <cell r="M2803">
            <v>4.9036999999999997E-2</v>
          </cell>
          <cell r="N2803">
            <v>1.8527590847984348</v>
          </cell>
        </row>
        <row r="2804">
          <cell r="K2804">
            <v>44861</v>
          </cell>
          <cell r="L2804" t="str">
            <v>DIA ÚTIL</v>
          </cell>
          <cell r="M2804">
            <v>4.9036999999999997E-2</v>
          </cell>
          <cell r="N2804">
            <v>1.8536676222708475</v>
          </cell>
        </row>
        <row r="2805">
          <cell r="K2805">
            <v>44862</v>
          </cell>
          <cell r="L2805" t="str">
            <v>DIA ÚTIL</v>
          </cell>
          <cell r="M2805">
            <v>4.9036999999999997E-2</v>
          </cell>
          <cell r="N2805">
            <v>1.8545766052627806</v>
          </cell>
        </row>
        <row r="2806">
          <cell r="K2806">
            <v>44863</v>
          </cell>
          <cell r="M2806">
            <v>0</v>
          </cell>
          <cell r="N2806">
            <v>1.8545766052627806</v>
          </cell>
        </row>
        <row r="2807">
          <cell r="K2807">
            <v>44864</v>
          </cell>
          <cell r="M2807">
            <v>0</v>
          </cell>
          <cell r="N2807">
            <v>1.8545766052627806</v>
          </cell>
        </row>
        <row r="2808">
          <cell r="K2808">
            <v>44865</v>
          </cell>
          <cell r="L2808" t="str">
            <v>DIA ÚTIL</v>
          </cell>
          <cell r="M2808">
            <v>4.9036999999999997E-2</v>
          </cell>
          <cell r="N2808">
            <v>1.8554860339927035</v>
          </cell>
        </row>
        <row r="2809">
          <cell r="K2809">
            <v>44866</v>
          </cell>
          <cell r="L2809" t="str">
            <v>DIA ÚTIL</v>
          </cell>
          <cell r="M2809">
            <v>4.9036999999999997E-2</v>
          </cell>
          <cell r="N2809">
            <v>1.8563959086791926</v>
          </cell>
        </row>
        <row r="2810">
          <cell r="K2810">
            <v>44867</v>
          </cell>
          <cell r="M2810">
            <v>0</v>
          </cell>
          <cell r="N2810">
            <v>1.8563959086791926</v>
          </cell>
        </row>
        <row r="2811">
          <cell r="K2811">
            <v>44868</v>
          </cell>
          <cell r="L2811" t="str">
            <v>DIA ÚTIL</v>
          </cell>
          <cell r="M2811">
            <v>4.9036999999999997E-2</v>
          </cell>
          <cell r="N2811">
            <v>1.8573062295409317</v>
          </cell>
        </row>
        <row r="2812">
          <cell r="K2812">
            <v>44869</v>
          </cell>
          <cell r="L2812" t="str">
            <v>DIA ÚTIL</v>
          </cell>
          <cell r="M2812">
            <v>4.9036999999999997E-2</v>
          </cell>
          <cell r="N2812">
            <v>1.8582169967967119</v>
          </cell>
        </row>
        <row r="2813">
          <cell r="K2813">
            <v>44870</v>
          </cell>
          <cell r="M2813">
            <v>0</v>
          </cell>
          <cell r="N2813">
            <v>1.8582169967967119</v>
          </cell>
        </row>
        <row r="2814">
          <cell r="K2814">
            <v>44871</v>
          </cell>
          <cell r="M2814">
            <v>0</v>
          </cell>
          <cell r="N2814">
            <v>1.8582169967967119</v>
          </cell>
        </row>
        <row r="2815">
          <cell r="K2815">
            <v>44872</v>
          </cell>
          <cell r="L2815" t="str">
            <v>DIA ÚTIL</v>
          </cell>
          <cell r="M2815">
            <v>4.9036999999999997E-2</v>
          </cell>
          <cell r="N2815">
            <v>1.8591282106654312</v>
          </cell>
        </row>
        <row r="2816">
          <cell r="K2816">
            <v>44873</v>
          </cell>
          <cell r="L2816" t="str">
            <v>DIA ÚTIL</v>
          </cell>
          <cell r="M2816">
            <v>4.9036999999999997E-2</v>
          </cell>
          <cell r="N2816">
            <v>1.8600398713660953</v>
          </cell>
        </row>
        <row r="2817">
          <cell r="K2817">
            <v>44874</v>
          </cell>
          <cell r="L2817" t="str">
            <v>DIA ÚTIL</v>
          </cell>
          <cell r="M2817">
            <v>4.9036999999999997E-2</v>
          </cell>
          <cell r="N2817">
            <v>1.8609519791178173</v>
          </cell>
        </row>
        <row r="2818">
          <cell r="K2818">
            <v>44875</v>
          </cell>
          <cell r="L2818" t="str">
            <v>DIA ÚTIL</v>
          </cell>
          <cell r="M2818">
            <v>4.9036999999999997E-2</v>
          </cell>
          <cell r="N2818">
            <v>1.8618645341398175</v>
          </cell>
        </row>
        <row r="2819">
          <cell r="K2819">
            <v>44876</v>
          </cell>
          <cell r="L2819" t="str">
            <v>DIA ÚTIL</v>
          </cell>
          <cell r="M2819">
            <v>4.9036999999999997E-2</v>
          </cell>
          <cell r="N2819">
            <v>1.8627775366514236</v>
          </cell>
        </row>
        <row r="2820">
          <cell r="K2820">
            <v>44877</v>
          </cell>
          <cell r="M2820">
            <v>0</v>
          </cell>
          <cell r="N2820">
            <v>1.8627775366514236</v>
          </cell>
        </row>
        <row r="2821">
          <cell r="K2821">
            <v>44878</v>
          </cell>
          <cell r="M2821">
            <v>0</v>
          </cell>
          <cell r="N2821">
            <v>1.8627775366514236</v>
          </cell>
        </row>
        <row r="2822">
          <cell r="K2822">
            <v>44879</v>
          </cell>
          <cell r="L2822" t="str">
            <v>DIA ÚTIL</v>
          </cell>
          <cell r="M2822">
            <v>4.9036999999999997E-2</v>
          </cell>
          <cell r="N2822">
            <v>1.8636909868720715</v>
          </cell>
        </row>
        <row r="2823">
          <cell r="K2823">
            <v>44880</v>
          </cell>
          <cell r="M2823">
            <v>0</v>
          </cell>
          <cell r="N2823">
            <v>1.8636909868720715</v>
          </cell>
        </row>
        <row r="2824">
          <cell r="K2824">
            <v>44881</v>
          </cell>
          <cell r="L2824" t="str">
            <v>DIA ÚTIL</v>
          </cell>
          <cell r="M2824">
            <v>4.9036999999999997E-2</v>
          </cell>
          <cell r="N2824">
            <v>1.8646048850213039</v>
          </cell>
        </row>
        <row r="2825">
          <cell r="K2825">
            <v>44882</v>
          </cell>
          <cell r="L2825" t="str">
            <v>DIA ÚTIL</v>
          </cell>
          <cell r="M2825">
            <v>4.9036999999999997E-2</v>
          </cell>
          <cell r="N2825">
            <v>1.8655192313187721</v>
          </cell>
        </row>
        <row r="2826">
          <cell r="K2826">
            <v>44883</v>
          </cell>
          <cell r="L2826" t="str">
            <v>DIA ÚTIL</v>
          </cell>
          <cell r="M2826">
            <v>4.9036999999999997E-2</v>
          </cell>
          <cell r="N2826">
            <v>1.866434025984234</v>
          </cell>
        </row>
        <row r="2827">
          <cell r="K2827">
            <v>44884</v>
          </cell>
          <cell r="M2827">
            <v>0</v>
          </cell>
          <cell r="N2827">
            <v>1.866434025984234</v>
          </cell>
        </row>
        <row r="2828">
          <cell r="K2828">
            <v>44885</v>
          </cell>
          <cell r="M2828">
            <v>0</v>
          </cell>
          <cell r="N2828">
            <v>1.866434025984234</v>
          </cell>
        </row>
        <row r="2829">
          <cell r="K2829">
            <v>44886</v>
          </cell>
          <cell r="L2829" t="str">
            <v>DIA ÚTIL</v>
          </cell>
          <cell r="M2829">
            <v>4.9036999999999997E-2</v>
          </cell>
          <cell r="N2829">
            <v>1.867349269237556</v>
          </cell>
        </row>
        <row r="2830">
          <cell r="K2830">
            <v>44887</v>
          </cell>
          <cell r="L2830" t="str">
            <v>DIA ÚTIL</v>
          </cell>
          <cell r="M2830">
            <v>4.9036999999999997E-2</v>
          </cell>
          <cell r="N2830">
            <v>1.8682649612987121</v>
          </cell>
        </row>
        <row r="2831">
          <cell r="K2831">
            <v>44888</v>
          </cell>
          <cell r="L2831" t="str">
            <v>DIA ÚTIL</v>
          </cell>
          <cell r="M2831">
            <v>4.9036999999999997E-2</v>
          </cell>
          <cell r="N2831">
            <v>1.8691811023877842</v>
          </cell>
        </row>
        <row r="2832">
          <cell r="K2832">
            <v>44889</v>
          </cell>
          <cell r="L2832" t="str">
            <v>DIA ÚTIL</v>
          </cell>
          <cell r="M2832">
            <v>4.9036999999999997E-2</v>
          </cell>
          <cell r="N2832">
            <v>1.8700976927249622</v>
          </cell>
        </row>
        <row r="2833">
          <cell r="K2833">
            <v>44890</v>
          </cell>
          <cell r="L2833" t="str">
            <v>DIA ÚTIL</v>
          </cell>
          <cell r="M2833">
            <v>4.9036999999999997E-2</v>
          </cell>
          <cell r="N2833">
            <v>1.871014732530544</v>
          </cell>
        </row>
        <row r="2834">
          <cell r="K2834">
            <v>44891</v>
          </cell>
          <cell r="M2834">
            <v>0</v>
          </cell>
          <cell r="N2834">
            <v>1.871014732530544</v>
          </cell>
        </row>
        <row r="2835">
          <cell r="K2835">
            <v>44892</v>
          </cell>
          <cell r="M2835">
            <v>0</v>
          </cell>
          <cell r="N2835">
            <v>1.871014732530544</v>
          </cell>
        </row>
        <row r="2836">
          <cell r="K2836">
            <v>44893</v>
          </cell>
          <cell r="L2836" t="str">
            <v>DIA ÚTIL</v>
          </cell>
          <cell r="M2836">
            <v>4.9036999999999997E-2</v>
          </cell>
          <cell r="N2836">
            <v>1.871932222024935</v>
          </cell>
        </row>
        <row r="2837">
          <cell r="K2837">
            <v>44894</v>
          </cell>
          <cell r="L2837" t="str">
            <v>DIA ÚTIL</v>
          </cell>
          <cell r="M2837">
            <v>4.9036999999999997E-2</v>
          </cell>
          <cell r="N2837">
            <v>1.8728501614286495</v>
          </cell>
        </row>
        <row r="2838">
          <cell r="K2838">
            <v>44895</v>
          </cell>
          <cell r="L2838" t="str">
            <v>DIA ÚTIL</v>
          </cell>
          <cell r="M2838">
            <v>4.9036999999999997E-2</v>
          </cell>
          <cell r="N2838">
            <v>1.8737685509623094</v>
          </cell>
        </row>
        <row r="2839">
          <cell r="K2839">
            <v>44896</v>
          </cell>
          <cell r="L2839" t="str">
            <v>DIA ÚTIL</v>
          </cell>
          <cell r="M2839">
            <v>4.9036999999999997E-2</v>
          </cell>
          <cell r="N2839">
            <v>1.874687390846645</v>
          </cell>
        </row>
        <row r="2840">
          <cell r="K2840">
            <v>44897</v>
          </cell>
          <cell r="L2840" t="str">
            <v>DIA ÚTIL</v>
          </cell>
          <cell r="M2840">
            <v>4.9036999999999997E-2</v>
          </cell>
          <cell r="N2840">
            <v>1.8756066813024947</v>
          </cell>
        </row>
        <row r="2841">
          <cell r="K2841">
            <v>44898</v>
          </cell>
          <cell r="M2841">
            <v>0</v>
          </cell>
          <cell r="N2841">
            <v>1.8756066813024947</v>
          </cell>
        </row>
        <row r="2842">
          <cell r="K2842">
            <v>44899</v>
          </cell>
          <cell r="M2842">
            <v>0</v>
          </cell>
          <cell r="N2842">
            <v>1.8756066813024947</v>
          </cell>
        </row>
        <row r="2843">
          <cell r="K2843">
            <v>44900</v>
          </cell>
          <cell r="L2843" t="str">
            <v>DIA ÚTIL</v>
          </cell>
          <cell r="M2843">
            <v>4.9036999999999997E-2</v>
          </cell>
          <cell r="N2843">
            <v>1.8765264225508052</v>
          </cell>
        </row>
        <row r="2844">
          <cell r="K2844">
            <v>44901</v>
          </cell>
          <cell r="L2844" t="str">
            <v>DIA ÚTIL</v>
          </cell>
          <cell r="M2844">
            <v>4.9036999999999997E-2</v>
          </cell>
          <cell r="N2844">
            <v>1.8774466148126314</v>
          </cell>
        </row>
        <row r="2845">
          <cell r="K2845">
            <v>44902</v>
          </cell>
          <cell r="L2845" t="str">
            <v>DIA ÚTIL</v>
          </cell>
          <cell r="M2845">
            <v>4.9036999999999997E-2</v>
          </cell>
          <cell r="N2845">
            <v>1.8783672583091373</v>
          </cell>
        </row>
        <row r="2846">
          <cell r="K2846">
            <v>44903</v>
          </cell>
          <cell r="L2846" t="str">
            <v>DIA ÚTIL</v>
          </cell>
          <cell r="M2846">
            <v>4.9036999999999997E-2</v>
          </cell>
          <cell r="N2846">
            <v>1.8792883532615945</v>
          </cell>
        </row>
        <row r="2847">
          <cell r="K2847">
            <v>44904</v>
          </cell>
          <cell r="L2847" t="str">
            <v>DIA ÚTIL</v>
          </cell>
          <cell r="M2847">
            <v>4.9036999999999997E-2</v>
          </cell>
          <cell r="N2847">
            <v>1.8802098998913834</v>
          </cell>
        </row>
        <row r="2848">
          <cell r="K2848">
            <v>44905</v>
          </cell>
          <cell r="M2848">
            <v>0</v>
          </cell>
          <cell r="N2848">
            <v>1.8802098998913834</v>
          </cell>
        </row>
        <row r="2849">
          <cell r="K2849">
            <v>44906</v>
          </cell>
          <cell r="M2849">
            <v>0</v>
          </cell>
          <cell r="N2849">
            <v>1.8802098998913834</v>
          </cell>
        </row>
        <row r="2850">
          <cell r="K2850">
            <v>44907</v>
          </cell>
          <cell r="L2850" t="str">
            <v>DIA ÚTIL</v>
          </cell>
          <cell r="M2850">
            <v>4.9036999999999997E-2</v>
          </cell>
          <cell r="N2850">
            <v>1.8811318984199934</v>
          </cell>
        </row>
        <row r="2851">
          <cell r="K2851">
            <v>44908</v>
          </cell>
          <cell r="L2851" t="str">
            <v>DIA ÚTIL</v>
          </cell>
          <cell r="M2851">
            <v>4.9036999999999997E-2</v>
          </cell>
          <cell r="N2851">
            <v>1.8820543490690218</v>
          </cell>
        </row>
        <row r="2852">
          <cell r="K2852">
            <v>44909</v>
          </cell>
          <cell r="L2852" t="str">
            <v>DIA ÚTIL</v>
          </cell>
          <cell r="M2852">
            <v>4.9036999999999997E-2</v>
          </cell>
          <cell r="N2852">
            <v>1.8829772520601749</v>
          </cell>
        </row>
        <row r="2853">
          <cell r="K2853">
            <v>44910</v>
          </cell>
          <cell r="L2853" t="str">
            <v>DIA ÚTIL</v>
          </cell>
          <cell r="M2853">
            <v>4.9036999999999997E-2</v>
          </cell>
          <cell r="N2853">
            <v>1.8839006076152678</v>
          </cell>
        </row>
        <row r="2854">
          <cell r="K2854">
            <v>44911</v>
          </cell>
          <cell r="L2854" t="str">
            <v>DIA ÚTIL</v>
          </cell>
          <cell r="M2854">
            <v>4.9036999999999997E-2</v>
          </cell>
          <cell r="N2854">
            <v>1.8848244159562242</v>
          </cell>
        </row>
        <row r="2855">
          <cell r="K2855">
            <v>44912</v>
          </cell>
          <cell r="M2855">
            <v>0</v>
          </cell>
          <cell r="N2855">
            <v>1.8848244159562242</v>
          </cell>
        </row>
        <row r="2856">
          <cell r="K2856">
            <v>44913</v>
          </cell>
          <cell r="M2856">
            <v>0</v>
          </cell>
          <cell r="N2856">
            <v>1.8848244159562242</v>
          </cell>
        </row>
        <row r="2857">
          <cell r="K2857">
            <v>44914</v>
          </cell>
          <cell r="L2857" t="str">
            <v>DIA ÚTIL</v>
          </cell>
          <cell r="M2857">
            <v>4.9036999999999997E-2</v>
          </cell>
          <cell r="N2857">
            <v>1.8857486773050767</v>
          </cell>
        </row>
        <row r="2858">
          <cell r="K2858">
            <v>44915</v>
          </cell>
          <cell r="L2858" t="str">
            <v>DIA ÚTIL</v>
          </cell>
          <cell r="M2858">
            <v>4.9036999999999997E-2</v>
          </cell>
          <cell r="N2858">
            <v>1.8866733918839669</v>
          </cell>
        </row>
        <row r="2859">
          <cell r="K2859">
            <v>44916</v>
          </cell>
          <cell r="L2859" t="str">
            <v>DIA ÚTIL</v>
          </cell>
          <cell r="M2859">
            <v>4.9036999999999997E-2</v>
          </cell>
          <cell r="N2859">
            <v>1.8875985599151452</v>
          </cell>
        </row>
        <row r="2860">
          <cell r="K2860">
            <v>44917</v>
          </cell>
          <cell r="L2860" t="str">
            <v>DIA ÚTIL</v>
          </cell>
          <cell r="M2860">
            <v>4.9036999999999997E-2</v>
          </cell>
          <cell r="N2860">
            <v>1.888524181620971</v>
          </cell>
        </row>
        <row r="2861">
          <cell r="K2861">
            <v>44918</v>
          </cell>
          <cell r="L2861" t="str">
            <v>DIA ÚTIL</v>
          </cell>
          <cell r="M2861">
            <v>4.9036999999999997E-2</v>
          </cell>
          <cell r="N2861">
            <v>1.8894502572239127</v>
          </cell>
        </row>
        <row r="2862">
          <cell r="K2862">
            <v>44919</v>
          </cell>
          <cell r="M2862">
            <v>0</v>
          </cell>
          <cell r="N2862">
            <v>1.8894502572239127</v>
          </cell>
        </row>
        <row r="2863">
          <cell r="K2863">
            <v>44920</v>
          </cell>
          <cell r="M2863">
            <v>0</v>
          </cell>
          <cell r="N2863">
            <v>1.8894502572239127</v>
          </cell>
        </row>
        <row r="2864">
          <cell r="K2864">
            <v>44921</v>
          </cell>
          <cell r="L2864" t="str">
            <v>DIA ÚTIL</v>
          </cell>
          <cell r="M2864">
            <v>4.9036999999999997E-2</v>
          </cell>
          <cell r="N2864">
            <v>1.8903767869465478</v>
          </cell>
        </row>
        <row r="2865">
          <cell r="K2865">
            <v>44922</v>
          </cell>
          <cell r="L2865" t="str">
            <v>DIA ÚTIL</v>
          </cell>
          <cell r="M2865">
            <v>4.9036999999999997E-2</v>
          </cell>
          <cell r="N2865">
            <v>1.8913037710115628</v>
          </cell>
        </row>
        <row r="2866">
          <cell r="K2866">
            <v>44923</v>
          </cell>
          <cell r="L2866" t="str">
            <v>DIA ÚTIL</v>
          </cell>
          <cell r="M2866">
            <v>4.9036999999999997E-2</v>
          </cell>
          <cell r="N2866">
            <v>1.892231209641754</v>
          </cell>
        </row>
        <row r="2867">
          <cell r="K2867">
            <v>44924</v>
          </cell>
          <cell r="L2867" t="str">
            <v>DIA ÚTIL</v>
          </cell>
          <cell r="M2867">
            <v>4.9036999999999997E-2</v>
          </cell>
          <cell r="N2867">
            <v>1.8931591030600261</v>
          </cell>
        </row>
        <row r="2868">
          <cell r="K2868">
            <v>44925</v>
          </cell>
          <cell r="L2868" t="str">
            <v>DIA ÚTIL</v>
          </cell>
          <cell r="M2868">
            <v>4.9036999999999997E-2</v>
          </cell>
          <cell r="N2868">
            <v>1.8940874514893937</v>
          </cell>
        </row>
        <row r="2869">
          <cell r="K2869">
            <v>44926</v>
          </cell>
          <cell r="M2869">
            <v>0</v>
          </cell>
          <cell r="N2869">
            <v>1.8940874514893937</v>
          </cell>
        </row>
        <row r="2870">
          <cell r="K2870">
            <v>44927</v>
          </cell>
          <cell r="M2870">
            <v>0</v>
          </cell>
          <cell r="N2870">
            <v>1.8940874514893937</v>
          </cell>
        </row>
        <row r="2871">
          <cell r="K2871">
            <v>44928</v>
          </cell>
          <cell r="L2871" t="str">
            <v>DIA ÚTIL</v>
          </cell>
          <cell r="M2871">
            <v>4.9036999999999997E-2</v>
          </cell>
          <cell r="N2871">
            <v>1.8950162551529808</v>
          </cell>
        </row>
        <row r="2872">
          <cell r="K2872">
            <v>44929</v>
          </cell>
          <cell r="L2872" t="str">
            <v>DIA ÚTIL</v>
          </cell>
          <cell r="M2872">
            <v>4.9036999999999997E-2</v>
          </cell>
          <cell r="N2872">
            <v>1.8959455142740202</v>
          </cell>
        </row>
        <row r="2873">
          <cell r="K2873">
            <v>44930</v>
          </cell>
          <cell r="L2873" t="str">
            <v>DIA ÚTIL</v>
          </cell>
          <cell r="M2873">
            <v>4.9036999999999997E-2</v>
          </cell>
          <cell r="N2873">
            <v>1.896875229075855</v>
          </cell>
        </row>
        <row r="2874">
          <cell r="K2874">
            <v>44931</v>
          </cell>
          <cell r="L2874" t="str">
            <v>DIA ÚTIL</v>
          </cell>
          <cell r="M2874">
            <v>4.9036999999999997E-2</v>
          </cell>
          <cell r="N2874">
            <v>1.8978053997819371</v>
          </cell>
        </row>
        <row r="2875">
          <cell r="K2875">
            <v>44932</v>
          </cell>
          <cell r="L2875" t="str">
            <v>DIA ÚTIL</v>
          </cell>
          <cell r="M2875">
            <v>4.9036999999999997E-2</v>
          </cell>
          <cell r="N2875">
            <v>1.8987360266158282</v>
          </cell>
        </row>
        <row r="2876">
          <cell r="K2876">
            <v>44933</v>
          </cell>
          <cell r="M2876">
            <v>0</v>
          </cell>
          <cell r="N2876">
            <v>1.8987360266158282</v>
          </cell>
        </row>
        <row r="2877">
          <cell r="K2877">
            <v>44934</v>
          </cell>
          <cell r="M2877">
            <v>0</v>
          </cell>
          <cell r="N2877">
            <v>1.8987360266158282</v>
          </cell>
        </row>
        <row r="2878">
          <cell r="K2878">
            <v>44935</v>
          </cell>
          <cell r="L2878" t="str">
            <v>DIA ÚTIL</v>
          </cell>
          <cell r="M2878">
            <v>4.9036999999999997E-2</v>
          </cell>
          <cell r="N2878">
            <v>1.8996671098011999</v>
          </cell>
        </row>
        <row r="2879">
          <cell r="K2879">
            <v>44936</v>
          </cell>
          <cell r="L2879" t="str">
            <v>DIA ÚTIL</v>
          </cell>
          <cell r="M2879">
            <v>4.9036999999999997E-2</v>
          </cell>
          <cell r="N2879">
            <v>1.9005986495618332</v>
          </cell>
        </row>
        <row r="2880">
          <cell r="K2880">
            <v>44937</v>
          </cell>
          <cell r="L2880" t="str">
            <v>DIA ÚTIL</v>
          </cell>
          <cell r="M2880">
            <v>4.9036999999999997E-2</v>
          </cell>
          <cell r="N2880">
            <v>1.901530646121619</v>
          </cell>
        </row>
        <row r="2881">
          <cell r="K2881">
            <v>44938</v>
          </cell>
          <cell r="L2881" t="str">
            <v>DIA ÚTIL</v>
          </cell>
          <cell r="M2881">
            <v>4.9036999999999997E-2</v>
          </cell>
          <cell r="N2881">
            <v>1.9024630997045577</v>
          </cell>
        </row>
        <row r="2882">
          <cell r="K2882">
            <v>44939</v>
          </cell>
          <cell r="L2882" t="str">
            <v>DIA ÚTIL</v>
          </cell>
          <cell r="M2882">
            <v>4.9036999999999997E-2</v>
          </cell>
          <cell r="N2882">
            <v>1.90339601053476</v>
          </cell>
        </row>
        <row r="2883">
          <cell r="K2883">
            <v>44940</v>
          </cell>
          <cell r="M2883">
            <v>0</v>
          </cell>
          <cell r="N2883">
            <v>1.90339601053476</v>
          </cell>
        </row>
        <row r="2884">
          <cell r="K2884">
            <v>44941</v>
          </cell>
          <cell r="M2884">
            <v>0</v>
          </cell>
          <cell r="N2884">
            <v>1.90339601053476</v>
          </cell>
        </row>
        <row r="2885">
          <cell r="K2885">
            <v>44942</v>
          </cell>
          <cell r="L2885" t="str">
            <v>DIA ÚTIL</v>
          </cell>
          <cell r="M2885">
            <v>4.9036999999999997E-2</v>
          </cell>
          <cell r="N2885">
            <v>1.9043293788364462</v>
          </cell>
        </row>
        <row r="2886">
          <cell r="K2886">
            <v>44943</v>
          </cell>
          <cell r="L2886" t="str">
            <v>DIA ÚTIL</v>
          </cell>
          <cell r="M2886">
            <v>4.9036999999999997E-2</v>
          </cell>
          <cell r="N2886">
            <v>1.9052632048339464</v>
          </cell>
        </row>
        <row r="2887">
          <cell r="K2887">
            <v>44944</v>
          </cell>
          <cell r="L2887" t="str">
            <v>DIA ÚTIL</v>
          </cell>
          <cell r="M2887">
            <v>4.9036999999999997E-2</v>
          </cell>
          <cell r="N2887">
            <v>1.906197488751701</v>
          </cell>
        </row>
        <row r="2888">
          <cell r="K2888">
            <v>44945</v>
          </cell>
          <cell r="L2888" t="str">
            <v>DIA ÚTIL</v>
          </cell>
          <cell r="M2888">
            <v>4.9036999999999997E-2</v>
          </cell>
          <cell r="N2888">
            <v>1.9071322308142604</v>
          </cell>
        </row>
        <row r="2889">
          <cell r="K2889">
            <v>44946</v>
          </cell>
          <cell r="L2889" t="str">
            <v>DIA ÚTIL</v>
          </cell>
          <cell r="M2889">
            <v>4.9036999999999997E-2</v>
          </cell>
          <cell r="N2889">
            <v>1.9080674312462849</v>
          </cell>
        </row>
        <row r="2890">
          <cell r="K2890">
            <v>44947</v>
          </cell>
          <cell r="M2890">
            <v>0</v>
          </cell>
          <cell r="N2890">
            <v>1.9080674312462849</v>
          </cell>
        </row>
        <row r="2891">
          <cell r="K2891">
            <v>44948</v>
          </cell>
          <cell r="M2891">
            <v>0</v>
          </cell>
          <cell r="N2891">
            <v>1.9080674312462849</v>
          </cell>
        </row>
        <row r="2892">
          <cell r="K2892">
            <v>44949</v>
          </cell>
          <cell r="L2892" t="str">
            <v>DIA ÚTIL</v>
          </cell>
          <cell r="M2892">
            <v>4.9036999999999997E-2</v>
          </cell>
          <cell r="N2892">
            <v>1.9090030902725452</v>
          </cell>
        </row>
        <row r="2893">
          <cell r="K2893">
            <v>44950</v>
          </cell>
          <cell r="L2893" t="str">
            <v>DIA ÚTIL</v>
          </cell>
          <cell r="M2893">
            <v>4.9036999999999997E-2</v>
          </cell>
          <cell r="N2893">
            <v>1.9099392081179223</v>
          </cell>
        </row>
        <row r="2894">
          <cell r="K2894">
            <v>44951</v>
          </cell>
          <cell r="L2894" t="str">
            <v>DIA ÚTIL</v>
          </cell>
          <cell r="M2894">
            <v>4.9036999999999997E-2</v>
          </cell>
          <cell r="N2894">
            <v>1.9108757850074072</v>
          </cell>
        </row>
        <row r="2895">
          <cell r="K2895">
            <v>44952</v>
          </cell>
          <cell r="L2895" t="str">
            <v>DIA ÚTIL</v>
          </cell>
          <cell r="M2895">
            <v>4.9036999999999997E-2</v>
          </cell>
          <cell r="N2895">
            <v>1.9118128211661014</v>
          </cell>
        </row>
        <row r="2896">
          <cell r="K2896">
            <v>44953</v>
          </cell>
          <cell r="L2896" t="str">
            <v>DIA ÚTIL</v>
          </cell>
          <cell r="M2896">
            <v>4.9036999999999997E-2</v>
          </cell>
          <cell r="N2896">
            <v>1.9127503168192168</v>
          </cell>
        </row>
        <row r="2897">
          <cell r="K2897">
            <v>44954</v>
          </cell>
          <cell r="M2897">
            <v>0</v>
          </cell>
          <cell r="N2897">
            <v>1.9127503168192168</v>
          </cell>
        </row>
        <row r="2898">
          <cell r="K2898">
            <v>44955</v>
          </cell>
          <cell r="M2898">
            <v>0</v>
          </cell>
          <cell r="N2898">
            <v>1.9127503168192168</v>
          </cell>
        </row>
        <row r="2899">
          <cell r="K2899">
            <v>44956</v>
          </cell>
          <cell r="L2899" t="str">
            <v>DIA ÚTIL</v>
          </cell>
          <cell r="M2899">
            <v>4.9036999999999997E-2</v>
          </cell>
          <cell r="N2899">
            <v>1.9136882721920756</v>
          </cell>
        </row>
        <row r="2900">
          <cell r="K2900">
            <v>44957</v>
          </cell>
          <cell r="L2900" t="str">
            <v>DIA ÚTIL</v>
          </cell>
          <cell r="M2900">
            <v>4.9036999999999997E-2</v>
          </cell>
          <cell r="N2900">
            <v>1.9146266875101106</v>
          </cell>
        </row>
        <row r="2901">
          <cell r="K2901">
            <v>44958</v>
          </cell>
          <cell r="L2901" t="str">
            <v>DIA ÚTIL</v>
          </cell>
          <cell r="M2901">
            <v>4.9036999999999997E-2</v>
          </cell>
          <cell r="N2901">
            <v>1.915565562998865</v>
          </cell>
        </row>
        <row r="2902">
          <cell r="K2902">
            <v>44959</v>
          </cell>
          <cell r="L2902" t="str">
            <v>DIA ÚTIL</v>
          </cell>
          <cell r="M2902">
            <v>4.9036999999999997E-2</v>
          </cell>
          <cell r="N2902">
            <v>1.916504898883993</v>
          </cell>
        </row>
        <row r="2903">
          <cell r="K2903">
            <v>44960</v>
          </cell>
          <cell r="L2903" t="str">
            <v>DIA ÚTIL</v>
          </cell>
          <cell r="M2903">
            <v>4.9036999999999997E-2</v>
          </cell>
          <cell r="N2903">
            <v>1.9174446953912589</v>
          </cell>
        </row>
        <row r="2904">
          <cell r="K2904">
            <v>44961</v>
          </cell>
          <cell r="M2904">
            <v>0</v>
          </cell>
          <cell r="N2904">
            <v>1.9174446953912589</v>
          </cell>
        </row>
        <row r="2905">
          <cell r="K2905">
            <v>44962</v>
          </cell>
          <cell r="M2905">
            <v>0</v>
          </cell>
          <cell r="N2905">
            <v>1.9174446953912589</v>
          </cell>
        </row>
        <row r="2906">
          <cell r="K2906">
            <v>44963</v>
          </cell>
          <cell r="L2906" t="str">
            <v>DIA ÚTIL</v>
          </cell>
          <cell r="M2906">
            <v>4.9036999999999997E-2</v>
          </cell>
          <cell r="N2906">
            <v>1.9183849527465382</v>
          </cell>
        </row>
        <row r="2907">
          <cell r="K2907">
            <v>44964</v>
          </cell>
          <cell r="L2907" t="str">
            <v>DIA ÚTIL</v>
          </cell>
          <cell r="M2907">
            <v>4.9036999999999997E-2</v>
          </cell>
          <cell r="N2907">
            <v>1.9193256711758166</v>
          </cell>
        </row>
        <row r="2908">
          <cell r="K2908">
            <v>44965</v>
          </cell>
          <cell r="L2908" t="str">
            <v>DIA ÚTIL</v>
          </cell>
          <cell r="M2908">
            <v>4.9036999999999997E-2</v>
          </cell>
          <cell r="N2908">
            <v>1.9202668509051912</v>
          </cell>
        </row>
        <row r="2909">
          <cell r="K2909">
            <v>44966</v>
          </cell>
          <cell r="L2909" t="str">
            <v>DIA ÚTIL</v>
          </cell>
          <cell r="M2909">
            <v>4.9036999999999997E-2</v>
          </cell>
          <cell r="N2909">
            <v>1.9212084921608696</v>
          </cell>
        </row>
        <row r="2910">
          <cell r="K2910">
            <v>44967</v>
          </cell>
          <cell r="L2910" t="str">
            <v>DIA ÚTIL</v>
          </cell>
          <cell r="M2910">
            <v>4.9036999999999997E-2</v>
          </cell>
          <cell r="N2910">
            <v>1.9221505951691706</v>
          </cell>
        </row>
        <row r="2911">
          <cell r="K2911">
            <v>44968</v>
          </cell>
          <cell r="M2911">
            <v>0</v>
          </cell>
          <cell r="N2911">
            <v>1.9221505951691706</v>
          </cell>
        </row>
        <row r="2912">
          <cell r="K2912">
            <v>44969</v>
          </cell>
          <cell r="M2912">
            <v>0</v>
          </cell>
          <cell r="N2912">
            <v>1.9221505951691706</v>
          </cell>
        </row>
        <row r="2913">
          <cell r="K2913">
            <v>44970</v>
          </cell>
          <cell r="L2913" t="str">
            <v>DIA ÚTIL</v>
          </cell>
          <cell r="M2913">
            <v>4.9036999999999997E-2</v>
          </cell>
          <cell r="N2913">
            <v>1.923093160156524</v>
          </cell>
        </row>
        <row r="2914">
          <cell r="K2914">
            <v>44971</v>
          </cell>
          <cell r="L2914" t="str">
            <v>DIA ÚTIL</v>
          </cell>
          <cell r="M2914">
            <v>4.9036999999999997E-2</v>
          </cell>
          <cell r="N2914">
            <v>1.92403618734947</v>
          </cell>
        </row>
        <row r="2915">
          <cell r="K2915">
            <v>44972</v>
          </cell>
          <cell r="L2915" t="str">
            <v>DIA ÚTIL</v>
          </cell>
          <cell r="M2915">
            <v>4.9036999999999997E-2</v>
          </cell>
          <cell r="N2915">
            <v>1.9249796769746608</v>
          </cell>
        </row>
        <row r="2916">
          <cell r="K2916">
            <v>44973</v>
          </cell>
          <cell r="L2916" t="str">
            <v>DIA ÚTIL</v>
          </cell>
          <cell r="M2916">
            <v>4.9036999999999997E-2</v>
          </cell>
          <cell r="N2916">
            <v>1.9259236292588591</v>
          </cell>
        </row>
        <row r="2917">
          <cell r="K2917">
            <v>44974</v>
          </cell>
          <cell r="L2917" t="str">
            <v>DIA ÚTIL</v>
          </cell>
          <cell r="M2917">
            <v>4.9036999999999997E-2</v>
          </cell>
          <cell r="N2917">
            <v>1.9268680444289388</v>
          </cell>
        </row>
        <row r="2918">
          <cell r="K2918">
            <v>44975</v>
          </cell>
          <cell r="M2918">
            <v>0</v>
          </cell>
          <cell r="N2918">
            <v>1.9268680444289388</v>
          </cell>
        </row>
        <row r="2919">
          <cell r="K2919">
            <v>44976</v>
          </cell>
          <cell r="M2919">
            <v>0</v>
          </cell>
          <cell r="N2919">
            <v>1.9268680444289388</v>
          </cell>
        </row>
        <row r="2920">
          <cell r="K2920">
            <v>44977</v>
          </cell>
          <cell r="M2920">
            <v>0</v>
          </cell>
          <cell r="N2920">
            <v>1.9268680444289388</v>
          </cell>
        </row>
        <row r="2921">
          <cell r="K2921">
            <v>44978</v>
          </cell>
          <cell r="M2921">
            <v>0</v>
          </cell>
          <cell r="N2921">
            <v>1.9268680444289388</v>
          </cell>
        </row>
        <row r="2922">
          <cell r="K2922">
            <v>44979</v>
          </cell>
          <cell r="L2922" t="str">
            <v>DIA ÚTIL</v>
          </cell>
          <cell r="M2922">
            <v>4.9036999999999997E-2</v>
          </cell>
          <cell r="N2922">
            <v>1.9278129227118856</v>
          </cell>
        </row>
        <row r="2923">
          <cell r="K2923">
            <v>44980</v>
          </cell>
          <cell r="L2923" t="str">
            <v>DIA ÚTIL</v>
          </cell>
          <cell r="M2923">
            <v>4.9036999999999997E-2</v>
          </cell>
          <cell r="N2923">
            <v>1.928758264334796</v>
          </cell>
        </row>
        <row r="2924">
          <cell r="K2924">
            <v>44981</v>
          </cell>
          <cell r="L2924" t="str">
            <v>DIA ÚTIL</v>
          </cell>
          <cell r="M2924">
            <v>4.9036999999999997E-2</v>
          </cell>
          <cell r="N2924">
            <v>1.9297040695248779</v>
          </cell>
        </row>
        <row r="2925">
          <cell r="K2925">
            <v>44982</v>
          </cell>
          <cell r="M2925">
            <v>0</v>
          </cell>
          <cell r="N2925">
            <v>1.9297040695248779</v>
          </cell>
        </row>
        <row r="2926">
          <cell r="K2926">
            <v>44983</v>
          </cell>
          <cell r="M2926">
            <v>0</v>
          </cell>
          <cell r="N2926">
            <v>1.9297040695248779</v>
          </cell>
        </row>
        <row r="2927">
          <cell r="K2927">
            <v>44984</v>
          </cell>
          <cell r="L2927" t="str">
            <v>DIA ÚTIL</v>
          </cell>
          <cell r="M2927">
            <v>4.9036999999999997E-2</v>
          </cell>
          <cell r="N2927">
            <v>1.9306503385094509</v>
          </cell>
        </row>
        <row r="2928">
          <cell r="K2928">
            <v>44985</v>
          </cell>
          <cell r="L2928" t="str">
            <v>DIA ÚTIL</v>
          </cell>
          <cell r="M2928">
            <v>4.9036999999999997E-2</v>
          </cell>
          <cell r="N2928">
            <v>1.9315970715159458</v>
          </cell>
        </row>
        <row r="2929">
          <cell r="K2929">
            <v>44986</v>
          </cell>
          <cell r="L2929" t="str">
            <v>DIA ÚTIL</v>
          </cell>
          <cell r="M2929">
            <v>4.9036999999999997E-2</v>
          </cell>
          <cell r="N2929">
            <v>1.9325442687719052</v>
          </cell>
        </row>
        <row r="2930">
          <cell r="K2930">
            <v>44987</v>
          </cell>
          <cell r="L2930" t="str">
            <v>DIA ÚTIL</v>
          </cell>
          <cell r="M2930">
            <v>4.9036999999999997E-2</v>
          </cell>
          <cell r="N2930">
            <v>1.9334919305049831</v>
          </cell>
        </row>
        <row r="2931">
          <cell r="K2931">
            <v>44988</v>
          </cell>
          <cell r="L2931" t="str">
            <v>DIA ÚTIL</v>
          </cell>
          <cell r="M2931">
            <v>4.9036999999999997E-2</v>
          </cell>
          <cell r="N2931">
            <v>1.934440056942945</v>
          </cell>
        </row>
        <row r="2932">
          <cell r="K2932">
            <v>44989</v>
          </cell>
          <cell r="M2932">
            <v>0</v>
          </cell>
          <cell r="N2932">
            <v>1.934440056942945</v>
          </cell>
        </row>
        <row r="2933">
          <cell r="K2933">
            <v>44990</v>
          </cell>
          <cell r="M2933">
            <v>0</v>
          </cell>
          <cell r="N2933">
            <v>1.934440056942945</v>
          </cell>
        </row>
        <row r="2934">
          <cell r="K2934">
            <v>44991</v>
          </cell>
          <cell r="L2934" t="str">
            <v>DIA ÚTIL</v>
          </cell>
          <cell r="M2934">
            <v>4.9036999999999997E-2</v>
          </cell>
          <cell r="N2934">
            <v>1.9353886483136682</v>
          </cell>
        </row>
        <row r="2935">
          <cell r="K2935">
            <v>44992</v>
          </cell>
          <cell r="L2935" t="str">
            <v>DIA ÚTIL</v>
          </cell>
          <cell r="M2935">
            <v>4.9036999999999997E-2</v>
          </cell>
          <cell r="N2935">
            <v>1.936337704845142</v>
          </cell>
        </row>
        <row r="2936">
          <cell r="K2936">
            <v>44993</v>
          </cell>
          <cell r="L2936" t="str">
            <v>DIA ÚTIL</v>
          </cell>
          <cell r="M2936">
            <v>4.9036999999999997E-2</v>
          </cell>
          <cell r="N2936">
            <v>1.9372872267654671</v>
          </cell>
        </row>
        <row r="2937">
          <cell r="K2937">
            <v>44994</v>
          </cell>
          <cell r="L2937" t="str">
            <v>DIA ÚTIL</v>
          </cell>
          <cell r="M2937">
            <v>4.9036999999999997E-2</v>
          </cell>
          <cell r="N2937">
            <v>1.9382372143028561</v>
          </cell>
        </row>
        <row r="2938">
          <cell r="K2938">
            <v>44995</v>
          </cell>
          <cell r="L2938" t="str">
            <v>DIA ÚTIL</v>
          </cell>
          <cell r="M2938">
            <v>4.9036999999999997E-2</v>
          </cell>
          <cell r="N2938">
            <v>1.9391876676856339</v>
          </cell>
        </row>
        <row r="2939">
          <cell r="K2939">
            <v>44996</v>
          </cell>
          <cell r="M2939">
            <v>0</v>
          </cell>
          <cell r="N2939">
            <v>1.9391876676856339</v>
          </cell>
        </row>
        <row r="2940">
          <cell r="K2940">
            <v>44997</v>
          </cell>
          <cell r="M2940">
            <v>0</v>
          </cell>
          <cell r="N2940">
            <v>1.9391876676856339</v>
          </cell>
        </row>
        <row r="2941">
          <cell r="K2941">
            <v>44998</v>
          </cell>
          <cell r="L2941" t="str">
            <v>DIA ÚTIL</v>
          </cell>
          <cell r="M2941">
            <v>4.9036999999999997E-2</v>
          </cell>
          <cell r="N2941">
            <v>1.940138587142237</v>
          </cell>
        </row>
        <row r="2942">
          <cell r="K2942">
            <v>44999</v>
          </cell>
          <cell r="L2942" t="str">
            <v>DIA ÚTIL</v>
          </cell>
          <cell r="M2942">
            <v>4.9036999999999997E-2</v>
          </cell>
          <cell r="N2942">
            <v>1.9410899729012141</v>
          </cell>
        </row>
        <row r="2943">
          <cell r="K2943">
            <v>45000</v>
          </cell>
          <cell r="L2943" t="str">
            <v>DIA ÚTIL</v>
          </cell>
          <cell r="M2943">
            <v>4.9036999999999997E-2</v>
          </cell>
          <cell r="N2943">
            <v>1.9420418251912257</v>
          </cell>
        </row>
        <row r="2944">
          <cell r="K2944">
            <v>45001</v>
          </cell>
          <cell r="L2944" t="str">
            <v>DIA ÚTIL</v>
          </cell>
          <cell r="M2944">
            <v>4.9036999999999997E-2</v>
          </cell>
          <cell r="N2944">
            <v>1.9429941442410448</v>
          </cell>
        </row>
        <row r="2945">
          <cell r="K2945">
            <v>45002</v>
          </cell>
          <cell r="L2945" t="str">
            <v>DIA ÚTIL</v>
          </cell>
          <cell r="M2945">
            <v>4.9036999999999997E-2</v>
          </cell>
          <cell r="N2945">
            <v>1.9439469302795565</v>
          </cell>
        </row>
        <row r="2946">
          <cell r="K2946">
            <v>45003</v>
          </cell>
          <cell r="M2946">
            <v>0</v>
          </cell>
          <cell r="N2946">
            <v>1.9439469302795565</v>
          </cell>
        </row>
        <row r="2947">
          <cell r="K2947">
            <v>45004</v>
          </cell>
          <cell r="M2947">
            <v>0</v>
          </cell>
          <cell r="N2947">
            <v>1.9439469302795565</v>
          </cell>
        </row>
        <row r="2948">
          <cell r="K2948">
            <v>45005</v>
          </cell>
          <cell r="L2948" t="str">
            <v>DIA ÚTIL</v>
          </cell>
          <cell r="M2948">
            <v>4.9036999999999997E-2</v>
          </cell>
          <cell r="N2948">
            <v>1.9449001835357578</v>
          </cell>
        </row>
        <row r="2949">
          <cell r="K2949">
            <v>45006</v>
          </cell>
          <cell r="L2949" t="str">
            <v>DIA ÚTIL</v>
          </cell>
          <cell r="M2949">
            <v>4.9036999999999997E-2</v>
          </cell>
          <cell r="N2949">
            <v>1.9458539042387584</v>
          </cell>
        </row>
        <row r="2950">
          <cell r="K2950">
            <v>45007</v>
          </cell>
          <cell r="L2950" t="str">
            <v>DIA ÚTIL</v>
          </cell>
          <cell r="M2950">
            <v>4.9036999999999997E-2</v>
          </cell>
          <cell r="N2950">
            <v>1.94680809261778</v>
          </cell>
        </row>
        <row r="2951">
          <cell r="K2951">
            <v>45008</v>
          </cell>
          <cell r="L2951" t="str">
            <v>DIA ÚTIL</v>
          </cell>
          <cell r="M2951">
            <v>4.9036999999999997E-2</v>
          </cell>
          <cell r="N2951">
            <v>1.9477627489021572</v>
          </cell>
        </row>
        <row r="2952">
          <cell r="K2952">
            <v>45009</v>
          </cell>
          <cell r="L2952" t="str">
            <v>DIA ÚTIL</v>
          </cell>
          <cell r="M2952">
            <v>4.9036999999999997E-2</v>
          </cell>
          <cell r="N2952">
            <v>1.9487178733213364</v>
          </cell>
        </row>
        <row r="2953">
          <cell r="K2953">
            <v>45010</v>
          </cell>
          <cell r="M2953">
            <v>0</v>
          </cell>
          <cell r="N2953">
            <v>1.9487178733213364</v>
          </cell>
        </row>
        <row r="2954">
          <cell r="K2954">
            <v>45011</v>
          </cell>
          <cell r="M2954">
            <v>0</v>
          </cell>
          <cell r="N2954">
            <v>1.9487178733213364</v>
          </cell>
        </row>
        <row r="2955">
          <cell r="K2955">
            <v>45012</v>
          </cell>
          <cell r="L2955" t="str">
            <v>DIA ÚTIL</v>
          </cell>
          <cell r="M2955">
            <v>4.9036999999999997E-2</v>
          </cell>
          <cell r="N2955">
            <v>1.9496734661048771</v>
          </cell>
        </row>
        <row r="2956">
          <cell r="K2956">
            <v>45013</v>
          </cell>
          <cell r="L2956" t="str">
            <v>DIA ÚTIL</v>
          </cell>
          <cell r="M2956">
            <v>4.9036999999999997E-2</v>
          </cell>
          <cell r="N2956">
            <v>1.9506295274824512</v>
          </cell>
        </row>
        <row r="2957">
          <cell r="K2957">
            <v>45014</v>
          </cell>
          <cell r="L2957" t="str">
            <v>DIA ÚTIL</v>
          </cell>
          <cell r="M2957">
            <v>4.9036999999999997E-2</v>
          </cell>
          <cell r="N2957">
            <v>1.9515860576838429</v>
          </cell>
        </row>
        <row r="2958">
          <cell r="K2958">
            <v>45015</v>
          </cell>
          <cell r="L2958" t="str">
            <v>DIA ÚTIL</v>
          </cell>
          <cell r="M2958">
            <v>4.9036999999999997E-2</v>
          </cell>
          <cell r="N2958">
            <v>1.9525430569389495</v>
          </cell>
        </row>
        <row r="2959">
          <cell r="K2959">
            <v>45016</v>
          </cell>
          <cell r="L2959" t="str">
            <v>DIA ÚTIL</v>
          </cell>
          <cell r="M2959">
            <v>4.9036999999999997E-2</v>
          </cell>
          <cell r="N2959">
            <v>1.9535005254777809</v>
          </cell>
        </row>
        <row r="2960">
          <cell r="K2960">
            <v>45017</v>
          </cell>
          <cell r="M2960">
            <v>0</v>
          </cell>
          <cell r="N2960">
            <v>1.9535005254777809</v>
          </cell>
        </row>
        <row r="2961">
          <cell r="K2961">
            <v>45018</v>
          </cell>
          <cell r="M2961">
            <v>0</v>
          </cell>
          <cell r="N2961">
            <v>1.9535005254777809</v>
          </cell>
        </row>
        <row r="2962">
          <cell r="K2962">
            <v>45019</v>
          </cell>
          <cell r="L2962" t="str">
            <v>DIA ÚTIL</v>
          </cell>
          <cell r="M2962">
            <v>4.9036999999999997E-2</v>
          </cell>
          <cell r="N2962">
            <v>1.9544584635304596</v>
          </cell>
        </row>
        <row r="2963">
          <cell r="K2963">
            <v>45020</v>
          </cell>
          <cell r="L2963" t="str">
            <v>DIA ÚTIL</v>
          </cell>
          <cell r="M2963">
            <v>4.9036999999999997E-2</v>
          </cell>
          <cell r="N2963">
            <v>1.9554168713272211</v>
          </cell>
        </row>
        <row r="2964">
          <cell r="K2964">
            <v>45021</v>
          </cell>
          <cell r="L2964" t="str">
            <v>DIA ÚTIL</v>
          </cell>
          <cell r="M2964">
            <v>4.9036999999999997E-2</v>
          </cell>
          <cell r="N2964">
            <v>1.9563757490984139</v>
          </cell>
        </row>
        <row r="2965">
          <cell r="K2965">
            <v>45022</v>
          </cell>
          <cell r="L2965" t="str">
            <v>DIA ÚTIL</v>
          </cell>
          <cell r="M2965">
            <v>4.9036999999999997E-2</v>
          </cell>
          <cell r="N2965">
            <v>1.9573350970744994</v>
          </cell>
        </row>
        <row r="2966">
          <cell r="K2966">
            <v>45023</v>
          </cell>
          <cell r="M2966">
            <v>0</v>
          </cell>
          <cell r="N2966">
            <v>1.9573350970744994</v>
          </cell>
        </row>
        <row r="2967">
          <cell r="K2967">
            <v>45024</v>
          </cell>
          <cell r="M2967">
            <v>0</v>
          </cell>
          <cell r="N2967">
            <v>1.9573350970744994</v>
          </cell>
        </row>
        <row r="2968">
          <cell r="K2968">
            <v>45025</v>
          </cell>
          <cell r="M2968">
            <v>0</v>
          </cell>
          <cell r="N2968">
            <v>1.9573350970744994</v>
          </cell>
        </row>
        <row r="2969">
          <cell r="K2969">
            <v>45026</v>
          </cell>
          <cell r="L2969" t="str">
            <v>DIA ÚTIL</v>
          </cell>
          <cell r="M2969">
            <v>4.9036999999999997E-2</v>
          </cell>
          <cell r="N2969">
            <v>1.9582949154860518</v>
          </cell>
        </row>
        <row r="2970">
          <cell r="K2970">
            <v>45027</v>
          </cell>
          <cell r="L2970" t="str">
            <v>DIA ÚTIL</v>
          </cell>
          <cell r="M2970">
            <v>4.9036999999999997E-2</v>
          </cell>
          <cell r="N2970">
            <v>1.9592552045637588</v>
          </cell>
        </row>
        <row r="2971">
          <cell r="K2971">
            <v>45028</v>
          </cell>
          <cell r="L2971" t="str">
            <v>DIA ÚTIL</v>
          </cell>
          <cell r="M2971">
            <v>4.9036999999999997E-2</v>
          </cell>
          <cell r="N2971">
            <v>1.960215964538421</v>
          </cell>
        </row>
        <row r="2972">
          <cell r="K2972">
            <v>45029</v>
          </cell>
          <cell r="L2972" t="str">
            <v>DIA ÚTIL</v>
          </cell>
          <cell r="M2972">
            <v>4.9036999999999997E-2</v>
          </cell>
          <cell r="N2972">
            <v>1.9611771956409518</v>
          </cell>
        </row>
        <row r="2973">
          <cell r="K2973">
            <v>45030</v>
          </cell>
          <cell r="L2973" t="str">
            <v>DIA ÚTIL</v>
          </cell>
          <cell r="M2973">
            <v>4.9036999999999997E-2</v>
          </cell>
          <cell r="N2973">
            <v>1.9621388981023784</v>
          </cell>
        </row>
        <row r="2974">
          <cell r="K2974">
            <v>45031</v>
          </cell>
          <cell r="M2974">
            <v>0</v>
          </cell>
          <cell r="N2974">
            <v>1.9621388981023784</v>
          </cell>
        </row>
        <row r="2975">
          <cell r="K2975">
            <v>45032</v>
          </cell>
          <cell r="M2975">
            <v>0</v>
          </cell>
          <cell r="N2975">
            <v>1.9621388981023784</v>
          </cell>
        </row>
        <row r="2976">
          <cell r="K2976">
            <v>45033</v>
          </cell>
          <cell r="L2976" t="str">
            <v>DIA ÚTIL</v>
          </cell>
          <cell r="M2976">
            <v>4.9036999999999997E-2</v>
          </cell>
          <cell r="N2976">
            <v>1.9631010721538411</v>
          </cell>
        </row>
        <row r="2977">
          <cell r="K2977">
            <v>45034</v>
          </cell>
          <cell r="L2977" t="str">
            <v>DIA ÚTIL</v>
          </cell>
          <cell r="M2977">
            <v>4.9036999999999997E-2</v>
          </cell>
          <cell r="N2977">
            <v>1.9640637180265934</v>
          </cell>
        </row>
        <row r="2978">
          <cell r="K2978">
            <v>45035</v>
          </cell>
          <cell r="L2978" t="str">
            <v>DIA ÚTIL</v>
          </cell>
          <cell r="M2978">
            <v>4.9036999999999997E-2</v>
          </cell>
          <cell r="N2978">
            <v>1.9650268359520022</v>
          </cell>
        </row>
        <row r="2979">
          <cell r="K2979">
            <v>45036</v>
          </cell>
          <cell r="L2979" t="str">
            <v>DIA ÚTIL</v>
          </cell>
          <cell r="M2979">
            <v>4.9036999999999997E-2</v>
          </cell>
          <cell r="N2979">
            <v>1.9659904261615482</v>
          </cell>
        </row>
        <row r="2980">
          <cell r="K2980">
            <v>45037</v>
          </cell>
          <cell r="M2980">
            <v>0</v>
          </cell>
          <cell r="N2980">
            <v>1.9659904261615482</v>
          </cell>
        </row>
        <row r="2981">
          <cell r="K2981">
            <v>45038</v>
          </cell>
          <cell r="M2981">
            <v>0</v>
          </cell>
          <cell r="N2981">
            <v>1.9659904261615482</v>
          </cell>
        </row>
        <row r="2982">
          <cell r="K2982">
            <v>45039</v>
          </cell>
          <cell r="M2982">
            <v>0</v>
          </cell>
          <cell r="N2982">
            <v>1.9659904261615482</v>
          </cell>
        </row>
        <row r="2983">
          <cell r="K2983">
            <v>45040</v>
          </cell>
          <cell r="L2983" t="str">
            <v>DIA ÚTIL</v>
          </cell>
          <cell r="M2983">
            <v>4.9036999999999997E-2</v>
          </cell>
          <cell r="N2983">
            <v>1.9669544888868251</v>
          </cell>
        </row>
        <row r="2984">
          <cell r="K2984">
            <v>45041</v>
          </cell>
          <cell r="L2984" t="str">
            <v>DIA ÚTIL</v>
          </cell>
          <cell r="M2984">
            <v>4.9036999999999997E-2</v>
          </cell>
          <cell r="N2984">
            <v>1.9679190243595406</v>
          </cell>
        </row>
        <row r="2985">
          <cell r="K2985">
            <v>45042</v>
          </cell>
          <cell r="L2985" t="str">
            <v>DIA ÚTIL</v>
          </cell>
          <cell r="M2985">
            <v>4.9036999999999997E-2</v>
          </cell>
          <cell r="N2985">
            <v>1.9688840328115158</v>
          </cell>
        </row>
        <row r="2986">
          <cell r="K2986">
            <v>45043</v>
          </cell>
          <cell r="L2986" t="str">
            <v>DIA ÚTIL</v>
          </cell>
          <cell r="M2986">
            <v>4.9036999999999997E-2</v>
          </cell>
          <cell r="N2986">
            <v>1.9698495144746857</v>
          </cell>
        </row>
        <row r="2987">
          <cell r="K2987">
            <v>45044</v>
          </cell>
          <cell r="L2987" t="str">
            <v>DIA ÚTIL</v>
          </cell>
          <cell r="M2987">
            <v>4.9036999999999997E-2</v>
          </cell>
          <cell r="N2987">
            <v>1.9708154695810989</v>
          </cell>
        </row>
        <row r="2988">
          <cell r="K2988">
            <v>45045</v>
          </cell>
          <cell r="M2988">
            <v>0</v>
          </cell>
          <cell r="N2988">
            <v>1.9708154695810989</v>
          </cell>
        </row>
        <row r="2989">
          <cell r="K2989">
            <v>45046</v>
          </cell>
          <cell r="M2989">
            <v>0</v>
          </cell>
          <cell r="N2989">
            <v>1.9708154695810989</v>
          </cell>
        </row>
        <row r="2990">
          <cell r="K2990">
            <v>45047</v>
          </cell>
          <cell r="M2990">
            <v>0</v>
          </cell>
          <cell r="N2990">
            <v>1.9708154695810989</v>
          </cell>
        </row>
        <row r="2991">
          <cell r="K2991">
            <v>45048</v>
          </cell>
          <cell r="L2991" t="str">
            <v>DIA ÚTIL</v>
          </cell>
          <cell r="M2991">
            <v>4.9036999999999997E-2</v>
          </cell>
          <cell r="N2991">
            <v>1.9717818983629174</v>
          </cell>
        </row>
        <row r="2992">
          <cell r="K2992">
            <v>45049</v>
          </cell>
          <cell r="L2992" t="str">
            <v>DIA ÚTIL</v>
          </cell>
          <cell r="M2992">
            <v>4.9036999999999997E-2</v>
          </cell>
          <cell r="N2992">
            <v>1.9727488010524177</v>
          </cell>
        </row>
        <row r="2993">
          <cell r="K2993">
            <v>45050</v>
          </cell>
          <cell r="L2993" t="str">
            <v>DIA ÚTIL</v>
          </cell>
          <cell r="M2993">
            <v>4.9036999999999997E-2</v>
          </cell>
          <cell r="N2993">
            <v>1.9737161778819898</v>
          </cell>
        </row>
        <row r="2994">
          <cell r="K2994">
            <v>45051</v>
          </cell>
          <cell r="L2994" t="str">
            <v>DIA ÚTIL</v>
          </cell>
          <cell r="M2994">
            <v>4.9036999999999997E-2</v>
          </cell>
          <cell r="N2994">
            <v>1.9746840290841379</v>
          </cell>
        </row>
        <row r="2995">
          <cell r="K2995">
            <v>45052</v>
          </cell>
          <cell r="M2995">
            <v>0</v>
          </cell>
          <cell r="N2995">
            <v>1.9746840290841379</v>
          </cell>
        </row>
        <row r="2996">
          <cell r="K2996">
            <v>45053</v>
          </cell>
          <cell r="M2996">
            <v>0</v>
          </cell>
          <cell r="N2996">
            <v>1.9746840290841379</v>
          </cell>
        </row>
        <row r="2997">
          <cell r="K2997">
            <v>45054</v>
          </cell>
          <cell r="L2997" t="str">
            <v>DIA ÚTIL</v>
          </cell>
          <cell r="M2997">
            <v>4.9036999999999997E-2</v>
          </cell>
          <cell r="N2997">
            <v>1.9756523548914799</v>
          </cell>
        </row>
        <row r="2998">
          <cell r="K2998">
            <v>45055</v>
          </cell>
          <cell r="L2998" t="str">
            <v>DIA ÚTIL</v>
          </cell>
          <cell r="M2998">
            <v>4.9036999999999997E-2</v>
          </cell>
          <cell r="N2998">
            <v>1.9766211555367483</v>
          </cell>
        </row>
        <row r="2999">
          <cell r="K2999">
            <v>45056</v>
          </cell>
          <cell r="L2999" t="str">
            <v>DIA ÚTIL</v>
          </cell>
          <cell r="M2999">
            <v>4.9036999999999997E-2</v>
          </cell>
          <cell r="N2999">
            <v>1.977590431252789</v>
          </cell>
        </row>
        <row r="3000">
          <cell r="K3000">
            <v>45057</v>
          </cell>
          <cell r="L3000" t="str">
            <v>DIA ÚTIL</v>
          </cell>
          <cell r="M3000">
            <v>4.9036999999999997E-2</v>
          </cell>
          <cell r="N3000">
            <v>1.9785601822725625</v>
          </cell>
        </row>
        <row r="3001">
          <cell r="K3001">
            <v>45058</v>
          </cell>
          <cell r="L3001" t="str">
            <v>DIA ÚTIL</v>
          </cell>
          <cell r="M3001">
            <v>4.9036999999999997E-2</v>
          </cell>
          <cell r="N3001">
            <v>1.9795304088291437</v>
          </cell>
        </row>
        <row r="3002">
          <cell r="K3002">
            <v>45059</v>
          </cell>
          <cell r="M3002">
            <v>0</v>
          </cell>
          <cell r="N3002">
            <v>1.9795304088291437</v>
          </cell>
        </row>
        <row r="3003">
          <cell r="K3003">
            <v>45060</v>
          </cell>
          <cell r="M3003">
            <v>0</v>
          </cell>
          <cell r="N3003">
            <v>1.9795304088291437</v>
          </cell>
        </row>
        <row r="3004">
          <cell r="K3004">
            <v>45061</v>
          </cell>
          <cell r="L3004" t="str">
            <v>DIA ÚTIL</v>
          </cell>
          <cell r="M3004">
            <v>4.9036999999999997E-2</v>
          </cell>
          <cell r="N3004">
            <v>1.9805011111557214</v>
          </cell>
        </row>
        <row r="3005">
          <cell r="K3005">
            <v>45062</v>
          </cell>
          <cell r="L3005" t="str">
            <v>DIA ÚTIL</v>
          </cell>
          <cell r="M3005">
            <v>4.9036999999999997E-2</v>
          </cell>
          <cell r="N3005">
            <v>1.9814722894855989</v>
          </cell>
        </row>
        <row r="3006">
          <cell r="K3006">
            <v>45063</v>
          </cell>
          <cell r="L3006" t="str">
            <v>DIA ÚTIL</v>
          </cell>
          <cell r="M3006">
            <v>4.9036999999999997E-2</v>
          </cell>
          <cell r="N3006">
            <v>1.9824439440521942</v>
          </cell>
        </row>
        <row r="3007">
          <cell r="K3007">
            <v>45064</v>
          </cell>
          <cell r="L3007" t="str">
            <v>DIA ÚTIL</v>
          </cell>
          <cell r="M3007">
            <v>4.9036999999999997E-2</v>
          </cell>
          <cell r="N3007">
            <v>1.9834160750890393</v>
          </cell>
        </row>
        <row r="3008">
          <cell r="K3008">
            <v>45065</v>
          </cell>
          <cell r="L3008" t="str">
            <v>DIA ÚTIL</v>
          </cell>
          <cell r="M3008">
            <v>4.9036999999999997E-2</v>
          </cell>
          <cell r="N3008">
            <v>1.9843886828297808</v>
          </cell>
        </row>
        <row r="3009">
          <cell r="K3009">
            <v>45066</v>
          </cell>
          <cell r="M3009">
            <v>0</v>
          </cell>
          <cell r="N3009">
            <v>1.9843886828297808</v>
          </cell>
        </row>
        <row r="3010">
          <cell r="K3010">
            <v>45067</v>
          </cell>
          <cell r="M3010">
            <v>0</v>
          </cell>
          <cell r="N3010">
            <v>1.9843886828297808</v>
          </cell>
        </row>
        <row r="3011">
          <cell r="K3011">
            <v>45068</v>
          </cell>
          <cell r="L3011" t="str">
            <v>DIA ÚTIL</v>
          </cell>
          <cell r="M3011">
            <v>4.9036999999999997E-2</v>
          </cell>
          <cell r="N3011">
            <v>1.9853617675081801</v>
          </cell>
        </row>
        <row r="3012">
          <cell r="K3012">
            <v>45069</v>
          </cell>
          <cell r="L3012" t="str">
            <v>DIA ÚTIL</v>
          </cell>
          <cell r="M3012">
            <v>4.9036999999999997E-2</v>
          </cell>
          <cell r="N3012">
            <v>1.9863353293581132</v>
          </cell>
        </row>
        <row r="3013">
          <cell r="K3013">
            <v>45070</v>
          </cell>
          <cell r="L3013" t="str">
            <v>DIA ÚTIL</v>
          </cell>
          <cell r="M3013">
            <v>4.9036999999999997E-2</v>
          </cell>
          <cell r="N3013">
            <v>1.9873093686135708</v>
          </cell>
        </row>
        <row r="3014">
          <cell r="K3014">
            <v>45071</v>
          </cell>
          <cell r="L3014" t="str">
            <v>DIA ÚTIL</v>
          </cell>
          <cell r="M3014">
            <v>4.9036999999999997E-2</v>
          </cell>
          <cell r="N3014">
            <v>1.988283885508658</v>
          </cell>
        </row>
        <row r="3015">
          <cell r="K3015">
            <v>45072</v>
          </cell>
          <cell r="L3015" t="str">
            <v>DIA ÚTIL</v>
          </cell>
          <cell r="M3015">
            <v>4.9036999999999997E-2</v>
          </cell>
          <cell r="N3015">
            <v>1.989258880277595</v>
          </cell>
        </row>
        <row r="3016">
          <cell r="K3016">
            <v>45073</v>
          </cell>
          <cell r="M3016">
            <v>0</v>
          </cell>
          <cell r="N3016">
            <v>1.989258880277595</v>
          </cell>
        </row>
        <row r="3017">
          <cell r="K3017">
            <v>45074</v>
          </cell>
          <cell r="M3017">
            <v>0</v>
          </cell>
          <cell r="N3017">
            <v>1.989258880277595</v>
          </cell>
        </row>
        <row r="3018">
          <cell r="K3018">
            <v>45075</v>
          </cell>
          <cell r="L3018" t="str">
            <v>DIA ÚTIL</v>
          </cell>
          <cell r="M3018">
            <v>4.9036999999999997E-2</v>
          </cell>
          <cell r="N3018">
            <v>1.9902343531547169</v>
          </cell>
        </row>
        <row r="3019">
          <cell r="K3019">
            <v>45076</v>
          </cell>
          <cell r="L3019" t="str">
            <v>DIA ÚTIL</v>
          </cell>
          <cell r="M3019">
            <v>4.9036999999999997E-2</v>
          </cell>
          <cell r="N3019">
            <v>1.9912103043744735</v>
          </cell>
        </row>
        <row r="3020">
          <cell r="K3020">
            <v>45077</v>
          </cell>
          <cell r="L3020" t="str">
            <v>DIA ÚTIL</v>
          </cell>
          <cell r="M3020">
            <v>4.9036999999999997E-2</v>
          </cell>
          <cell r="N3020">
            <v>1.9921867341714299</v>
          </cell>
        </row>
        <row r="3021">
          <cell r="K3021">
            <v>45078</v>
          </cell>
          <cell r="L3021" t="str">
            <v>DIA ÚTIL</v>
          </cell>
          <cell r="M3021">
            <v>4.9036999999999997E-2</v>
          </cell>
          <cell r="N3021">
            <v>1.9931636427802657</v>
          </cell>
        </row>
        <row r="3022">
          <cell r="K3022">
            <v>45079</v>
          </cell>
          <cell r="L3022" t="str">
            <v>DIA ÚTIL</v>
          </cell>
          <cell r="M3022">
            <v>4.9036999999999997E-2</v>
          </cell>
          <cell r="N3022">
            <v>1.9941410304357761</v>
          </cell>
        </row>
        <row r="3023">
          <cell r="K3023">
            <v>45080</v>
          </cell>
          <cell r="M3023">
            <v>0</v>
          </cell>
          <cell r="N3023">
            <v>1.9941410304357761</v>
          </cell>
        </row>
        <row r="3024">
          <cell r="K3024">
            <v>45081</v>
          </cell>
          <cell r="M3024">
            <v>0</v>
          </cell>
          <cell r="N3024">
            <v>1.9941410304357761</v>
          </cell>
        </row>
        <row r="3025">
          <cell r="K3025">
            <v>45082</v>
          </cell>
          <cell r="L3025" t="str">
            <v>DIA ÚTIL</v>
          </cell>
          <cell r="M3025">
            <v>4.9036999999999997E-2</v>
          </cell>
          <cell r="N3025">
            <v>1.9951188973728711</v>
          </cell>
        </row>
        <row r="3026">
          <cell r="K3026">
            <v>45083</v>
          </cell>
          <cell r="L3026" t="str">
            <v>DIA ÚTIL</v>
          </cell>
          <cell r="M3026">
            <v>4.9036999999999997E-2</v>
          </cell>
          <cell r="N3026">
            <v>1.9960972438265761</v>
          </cell>
        </row>
        <row r="3027">
          <cell r="K3027">
            <v>45084</v>
          </cell>
          <cell r="L3027" t="str">
            <v>DIA ÚTIL</v>
          </cell>
          <cell r="M3027">
            <v>4.9036999999999997E-2</v>
          </cell>
          <cell r="N3027">
            <v>1.9970760700320314</v>
          </cell>
        </row>
        <row r="3028">
          <cell r="K3028">
            <v>45085</v>
          </cell>
          <cell r="M3028">
            <v>0</v>
          </cell>
          <cell r="N3028">
            <v>1.9970760700320314</v>
          </cell>
        </row>
        <row r="3029">
          <cell r="K3029">
            <v>45086</v>
          </cell>
          <cell r="L3029" t="str">
            <v>DIA ÚTIL</v>
          </cell>
          <cell r="M3029">
            <v>4.9036999999999997E-2</v>
          </cell>
          <cell r="N3029">
            <v>1.998055376224493</v>
          </cell>
        </row>
        <row r="3030">
          <cell r="K3030">
            <v>45087</v>
          </cell>
          <cell r="M3030">
            <v>0</v>
          </cell>
          <cell r="N3030">
            <v>1.998055376224493</v>
          </cell>
        </row>
        <row r="3031">
          <cell r="K3031">
            <v>45088</v>
          </cell>
          <cell r="M3031">
            <v>0</v>
          </cell>
          <cell r="N3031">
            <v>1.998055376224493</v>
          </cell>
        </row>
        <row r="3032">
          <cell r="K3032">
            <v>45089</v>
          </cell>
          <cell r="L3032" t="str">
            <v>DIA ÚTIL</v>
          </cell>
          <cell r="M3032">
            <v>4.9036999999999997E-2</v>
          </cell>
          <cell r="N3032">
            <v>1.9990351626393323</v>
          </cell>
        </row>
        <row r="3033">
          <cell r="K3033">
            <v>45090</v>
          </cell>
          <cell r="L3033" t="str">
            <v>DIA ÚTIL</v>
          </cell>
          <cell r="M3033">
            <v>4.9036999999999997E-2</v>
          </cell>
          <cell r="N3033">
            <v>2.000015429512036</v>
          </cell>
        </row>
        <row r="3034">
          <cell r="K3034">
            <v>45091</v>
          </cell>
          <cell r="L3034" t="str">
            <v>DIA ÚTIL</v>
          </cell>
          <cell r="M3034">
            <v>4.9036999999999997E-2</v>
          </cell>
          <cell r="N3034">
            <v>2.0009961770782061</v>
          </cell>
        </row>
        <row r="3035">
          <cell r="K3035">
            <v>45092</v>
          </cell>
          <cell r="L3035" t="str">
            <v>DIA ÚTIL</v>
          </cell>
          <cell r="M3035">
            <v>4.9036999999999997E-2</v>
          </cell>
          <cell r="N3035">
            <v>2.0019774055735602</v>
          </cell>
        </row>
        <row r="3036">
          <cell r="K3036">
            <v>45093</v>
          </cell>
          <cell r="L3036" t="str">
            <v>DIA ÚTIL</v>
          </cell>
          <cell r="M3036">
            <v>4.9036999999999997E-2</v>
          </cell>
          <cell r="N3036">
            <v>2.0029591152339314</v>
          </cell>
        </row>
        <row r="3037">
          <cell r="K3037">
            <v>45094</v>
          </cell>
          <cell r="M3037">
            <v>0</v>
          </cell>
          <cell r="N3037">
            <v>2.0029591152339314</v>
          </cell>
        </row>
        <row r="3038">
          <cell r="K3038">
            <v>45095</v>
          </cell>
          <cell r="M3038">
            <v>0</v>
          </cell>
          <cell r="N3038">
            <v>2.0029591152339314</v>
          </cell>
        </row>
        <row r="3039">
          <cell r="K3039">
            <v>45096</v>
          </cell>
          <cell r="L3039" t="str">
            <v>DIA ÚTIL</v>
          </cell>
          <cell r="M3039">
            <v>4.9036999999999997E-2</v>
          </cell>
          <cell r="N3039">
            <v>2.0039413062952689</v>
          </cell>
        </row>
        <row r="3040">
          <cell r="K3040">
            <v>45097</v>
          </cell>
          <cell r="L3040" t="str">
            <v>DIA ÚTIL</v>
          </cell>
          <cell r="M3040">
            <v>4.9036999999999997E-2</v>
          </cell>
          <cell r="N3040">
            <v>2.0049239789936371</v>
          </cell>
        </row>
        <row r="3041">
          <cell r="K3041">
            <v>45098</v>
          </cell>
          <cell r="L3041" t="str">
            <v>DIA ÚTIL</v>
          </cell>
          <cell r="M3041">
            <v>4.9036999999999997E-2</v>
          </cell>
          <cell r="N3041">
            <v>2.0059071335652163</v>
          </cell>
        </row>
        <row r="3042">
          <cell r="K3042">
            <v>45099</v>
          </cell>
          <cell r="L3042" t="str">
            <v>DIA ÚTIL</v>
          </cell>
          <cell r="M3042">
            <v>4.9036999999999997E-2</v>
          </cell>
          <cell r="N3042">
            <v>2.006890770246303</v>
          </cell>
        </row>
        <row r="3043">
          <cell r="K3043">
            <v>45100</v>
          </cell>
          <cell r="L3043" t="str">
            <v>DIA ÚTIL</v>
          </cell>
          <cell r="M3043">
            <v>4.9036999999999997E-2</v>
          </cell>
          <cell r="N3043">
            <v>2.0078748892733089</v>
          </cell>
        </row>
        <row r="3044">
          <cell r="K3044">
            <v>45101</v>
          </cell>
          <cell r="M3044">
            <v>0</v>
          </cell>
          <cell r="N3044">
            <v>2.0078748892733089</v>
          </cell>
        </row>
        <row r="3045">
          <cell r="K3045">
            <v>45102</v>
          </cell>
          <cell r="M3045">
            <v>0</v>
          </cell>
          <cell r="N3045">
            <v>2.0078748892733089</v>
          </cell>
        </row>
        <row r="3046">
          <cell r="K3046">
            <v>45103</v>
          </cell>
          <cell r="L3046" t="str">
            <v>DIA ÚTIL</v>
          </cell>
          <cell r="M3046">
            <v>4.9036999999999997E-2</v>
          </cell>
          <cell r="N3046">
            <v>2.0088594908827622</v>
          </cell>
        </row>
        <row r="3047">
          <cell r="K3047">
            <v>45104</v>
          </cell>
          <cell r="L3047" t="str">
            <v>DIA ÚTIL</v>
          </cell>
          <cell r="M3047">
            <v>4.9036999999999997E-2</v>
          </cell>
          <cell r="N3047">
            <v>2.0098445753113063</v>
          </cell>
        </row>
        <row r="3048">
          <cell r="K3048">
            <v>45105</v>
          </cell>
          <cell r="L3048" t="str">
            <v>DIA ÚTIL</v>
          </cell>
          <cell r="M3048">
            <v>4.9036999999999997E-2</v>
          </cell>
          <cell r="N3048">
            <v>2.0108301427957018</v>
          </cell>
        </row>
        <row r="3049">
          <cell r="K3049">
            <v>45106</v>
          </cell>
          <cell r="L3049" t="str">
            <v>DIA ÚTIL</v>
          </cell>
          <cell r="M3049">
            <v>4.9036999999999997E-2</v>
          </cell>
          <cell r="N3049">
            <v>2.0118161935728245</v>
          </cell>
        </row>
        <row r="3050">
          <cell r="K3050">
            <v>45107</v>
          </cell>
          <cell r="L3050" t="str">
            <v>DIA ÚTIL</v>
          </cell>
          <cell r="M3050">
            <v>4.9036999999999997E-2</v>
          </cell>
          <cell r="N3050">
            <v>2.012802727879667</v>
          </cell>
        </row>
        <row r="3051">
          <cell r="K3051">
            <v>45108</v>
          </cell>
          <cell r="M3051">
            <v>0</v>
          </cell>
          <cell r="N3051">
            <v>2.012802727879667</v>
          </cell>
        </row>
        <row r="3052">
          <cell r="K3052">
            <v>45109</v>
          </cell>
          <cell r="M3052">
            <v>0</v>
          </cell>
          <cell r="N3052">
            <v>2.012802727879667</v>
          </cell>
        </row>
        <row r="3053">
          <cell r="K3053">
            <v>45110</v>
          </cell>
          <cell r="L3053" t="str">
            <v>DIA ÚTIL</v>
          </cell>
          <cell r="M3053">
            <v>4.9036999999999997E-2</v>
          </cell>
          <cell r="N3053">
            <v>2.0137897459533374</v>
          </cell>
        </row>
        <row r="3054">
          <cell r="K3054">
            <v>45111</v>
          </cell>
          <cell r="L3054" t="str">
            <v>DIA ÚTIL</v>
          </cell>
          <cell r="M3054">
            <v>4.9036999999999997E-2</v>
          </cell>
          <cell r="N3054">
            <v>2.0147772480310606</v>
          </cell>
        </row>
        <row r="3055">
          <cell r="K3055">
            <v>45112</v>
          </cell>
          <cell r="L3055" t="str">
            <v>DIA ÚTIL</v>
          </cell>
          <cell r="M3055">
            <v>4.9036999999999997E-2</v>
          </cell>
          <cell r="N3055">
            <v>2.015765234350178</v>
          </cell>
        </row>
        <row r="3056">
          <cell r="K3056">
            <v>45113</v>
          </cell>
          <cell r="L3056" t="str">
            <v>DIA ÚTIL</v>
          </cell>
          <cell r="M3056">
            <v>4.9036999999999997E-2</v>
          </cell>
          <cell r="N3056">
            <v>2.0167537051481466</v>
          </cell>
        </row>
        <row r="3057">
          <cell r="K3057">
            <v>45114</v>
          </cell>
          <cell r="L3057" t="str">
            <v>DIA ÚTIL</v>
          </cell>
          <cell r="M3057">
            <v>4.9036999999999997E-2</v>
          </cell>
          <cell r="N3057">
            <v>2.0177426606625404</v>
          </cell>
        </row>
        <row r="3058">
          <cell r="K3058">
            <v>45115</v>
          </cell>
          <cell r="M3058">
            <v>0</v>
          </cell>
          <cell r="N3058">
            <v>2.0177426606625404</v>
          </cell>
        </row>
        <row r="3059">
          <cell r="K3059">
            <v>45116</v>
          </cell>
          <cell r="M3059">
            <v>0</v>
          </cell>
          <cell r="N3059">
            <v>2.0177426606625404</v>
          </cell>
        </row>
        <row r="3060">
          <cell r="K3060">
            <v>45117</v>
          </cell>
          <cell r="L3060" t="str">
            <v>DIA ÚTIL</v>
          </cell>
          <cell r="M3060">
            <v>4.9036999999999997E-2</v>
          </cell>
          <cell r="N3060">
            <v>2.0187321011310497</v>
          </cell>
        </row>
        <row r="3061">
          <cell r="K3061">
            <v>45118</v>
          </cell>
          <cell r="L3061" t="str">
            <v>DIA ÚTIL</v>
          </cell>
          <cell r="M3061">
            <v>4.9036999999999997E-2</v>
          </cell>
          <cell r="N3061">
            <v>2.0197220267914817</v>
          </cell>
        </row>
        <row r="3062">
          <cell r="K3062">
            <v>45119</v>
          </cell>
          <cell r="L3062" t="str">
            <v>DIA ÚTIL</v>
          </cell>
          <cell r="M3062">
            <v>4.9036999999999997E-2</v>
          </cell>
          <cell r="N3062">
            <v>2.0207124378817598</v>
          </cell>
        </row>
        <row r="3063">
          <cell r="K3063">
            <v>45120</v>
          </cell>
          <cell r="L3063" t="str">
            <v>DIA ÚTIL</v>
          </cell>
          <cell r="M3063">
            <v>4.9036999999999997E-2</v>
          </cell>
          <cell r="N3063">
            <v>2.0217033346399242</v>
          </cell>
        </row>
        <row r="3064">
          <cell r="K3064">
            <v>45121</v>
          </cell>
          <cell r="L3064" t="str">
            <v>DIA ÚTIL</v>
          </cell>
          <cell r="M3064">
            <v>4.9036999999999997E-2</v>
          </cell>
          <cell r="N3064">
            <v>2.0226947173041316</v>
          </cell>
        </row>
        <row r="3065">
          <cell r="K3065">
            <v>45122</v>
          </cell>
          <cell r="M3065">
            <v>0</v>
          </cell>
          <cell r="N3065">
            <v>2.0226947173041316</v>
          </cell>
        </row>
        <row r="3066">
          <cell r="K3066">
            <v>45123</v>
          </cell>
          <cell r="M3066">
            <v>0</v>
          </cell>
          <cell r="N3066">
            <v>2.0226947173041316</v>
          </cell>
        </row>
        <row r="3067">
          <cell r="K3067">
            <v>45124</v>
          </cell>
          <cell r="L3067" t="str">
            <v>DIA ÚTIL</v>
          </cell>
          <cell r="M3067">
            <v>4.9036999999999997E-2</v>
          </cell>
          <cell r="N3067">
            <v>2.0236865861126563</v>
          </cell>
        </row>
        <row r="3068">
          <cell r="K3068">
            <v>45125</v>
          </cell>
          <cell r="L3068" t="str">
            <v>DIA ÚTIL</v>
          </cell>
          <cell r="M3068">
            <v>4.9036999999999997E-2</v>
          </cell>
          <cell r="N3068">
            <v>2.0246789413038884</v>
          </cell>
        </row>
        <row r="3069">
          <cell r="K3069">
            <v>45126</v>
          </cell>
          <cell r="L3069" t="str">
            <v>DIA ÚTIL</v>
          </cell>
          <cell r="M3069">
            <v>4.9036999999999997E-2</v>
          </cell>
          <cell r="N3069">
            <v>2.0256717831163358</v>
          </cell>
        </row>
        <row r="3070">
          <cell r="K3070">
            <v>45127</v>
          </cell>
          <cell r="L3070" t="str">
            <v>DIA ÚTIL</v>
          </cell>
          <cell r="M3070">
            <v>4.9036999999999997E-2</v>
          </cell>
          <cell r="N3070">
            <v>2.0266651117886227</v>
          </cell>
        </row>
        <row r="3071">
          <cell r="K3071">
            <v>45128</v>
          </cell>
          <cell r="L3071" t="str">
            <v>DIA ÚTIL</v>
          </cell>
          <cell r="M3071">
            <v>4.9036999999999997E-2</v>
          </cell>
          <cell r="N3071">
            <v>2.0276589275594907</v>
          </cell>
        </row>
        <row r="3072">
          <cell r="K3072">
            <v>45129</v>
          </cell>
          <cell r="M3072">
            <v>0</v>
          </cell>
          <cell r="N3072">
            <v>2.0276589275594907</v>
          </cell>
        </row>
        <row r="3073">
          <cell r="K3073">
            <v>45130</v>
          </cell>
          <cell r="M3073">
            <v>0</v>
          </cell>
          <cell r="N3073">
            <v>2.0276589275594907</v>
          </cell>
        </row>
        <row r="3074">
          <cell r="K3074">
            <v>45131</v>
          </cell>
          <cell r="L3074" t="str">
            <v>DIA ÚTIL</v>
          </cell>
          <cell r="M3074">
            <v>4.9036999999999997E-2</v>
          </cell>
          <cell r="N3074">
            <v>2.028653230667798</v>
          </cell>
        </row>
        <row r="3075">
          <cell r="K3075">
            <v>45132</v>
          </cell>
          <cell r="L3075" t="str">
            <v>DIA ÚTIL</v>
          </cell>
          <cell r="M3075">
            <v>4.9036999999999997E-2</v>
          </cell>
          <cell r="N3075">
            <v>2.0296480213525205</v>
          </cell>
        </row>
        <row r="3076">
          <cell r="K3076">
            <v>45133</v>
          </cell>
          <cell r="L3076" t="str">
            <v>DIA ÚTIL</v>
          </cell>
          <cell r="M3076">
            <v>4.9036999999999997E-2</v>
          </cell>
          <cell r="N3076">
            <v>2.0306432998527515</v>
          </cell>
        </row>
        <row r="3077">
          <cell r="K3077">
            <v>45134</v>
          </cell>
          <cell r="L3077" t="str">
            <v>DIA ÚTIL</v>
          </cell>
          <cell r="M3077">
            <v>4.9036999999999997E-2</v>
          </cell>
          <cell r="N3077">
            <v>2.0316390664077004</v>
          </cell>
        </row>
        <row r="3078">
          <cell r="K3078">
            <v>45135</v>
          </cell>
          <cell r="L3078" t="str">
            <v>DIA ÚTIL</v>
          </cell>
          <cell r="M3078">
            <v>4.9036999999999997E-2</v>
          </cell>
          <cell r="N3078">
            <v>2.032635321256695</v>
          </cell>
        </row>
        <row r="3079">
          <cell r="K3079">
            <v>45136</v>
          </cell>
          <cell r="M3079">
            <v>0</v>
          </cell>
          <cell r="N3079">
            <v>2.032635321256695</v>
          </cell>
        </row>
        <row r="3080">
          <cell r="K3080">
            <v>45137</v>
          </cell>
          <cell r="M3080">
            <v>0</v>
          </cell>
          <cell r="N3080">
            <v>2.032635321256695</v>
          </cell>
        </row>
        <row r="3081">
          <cell r="K3081">
            <v>45138</v>
          </cell>
          <cell r="L3081" t="str">
            <v>DIA ÚTIL</v>
          </cell>
          <cell r="M3081">
            <v>4.9036999999999997E-2</v>
          </cell>
          <cell r="N3081">
            <v>2.0336320646391797</v>
          </cell>
        </row>
        <row r="3082">
          <cell r="K3082">
            <v>45139</v>
          </cell>
          <cell r="L3082" t="str">
            <v>DIA ÚTIL</v>
          </cell>
          <cell r="M3082">
            <v>4.9036999999999997E-2</v>
          </cell>
          <cell r="N3082">
            <v>2.034629296794717</v>
          </cell>
        </row>
        <row r="3083">
          <cell r="K3083">
            <v>45140</v>
          </cell>
          <cell r="L3083" t="str">
            <v>DIA ÚTIL</v>
          </cell>
          <cell r="M3083">
            <v>4.9036999999999997E-2</v>
          </cell>
          <cell r="N3083">
            <v>2.0356270179629865</v>
          </cell>
        </row>
        <row r="3084">
          <cell r="K3084">
            <v>45141</v>
          </cell>
          <cell r="L3084" t="str">
            <v>DIA ÚTIL</v>
          </cell>
          <cell r="M3084">
            <v>4.9036999999999997E-2</v>
          </cell>
          <cell r="N3084">
            <v>2.0366252283837851</v>
          </cell>
        </row>
        <row r="3085">
          <cell r="K3085">
            <v>45142</v>
          </cell>
          <cell r="L3085" t="str">
            <v>DIA ÚTIL</v>
          </cell>
          <cell r="M3085">
            <v>4.9036999999999997E-2</v>
          </cell>
          <cell r="N3085">
            <v>2.0376239282970277</v>
          </cell>
        </row>
        <row r="3086">
          <cell r="K3086">
            <v>45143</v>
          </cell>
          <cell r="M3086">
            <v>0</v>
          </cell>
          <cell r="N3086">
            <v>2.0376239282970277</v>
          </cell>
        </row>
        <row r="3087">
          <cell r="K3087">
            <v>45144</v>
          </cell>
          <cell r="M3087">
            <v>0</v>
          </cell>
          <cell r="N3087">
            <v>2.0376239282970277</v>
          </cell>
        </row>
        <row r="3088">
          <cell r="K3088">
            <v>45145</v>
          </cell>
          <cell r="L3088" t="str">
            <v>DIA ÚTIL</v>
          </cell>
          <cell r="M3088">
            <v>4.9036999999999997E-2</v>
          </cell>
          <cell r="N3088">
            <v>2.038623117942747</v>
          </cell>
        </row>
        <row r="3089">
          <cell r="K3089">
            <v>45146</v>
          </cell>
          <cell r="L3089" t="str">
            <v>DIA ÚTIL</v>
          </cell>
          <cell r="M3089">
            <v>4.9036999999999997E-2</v>
          </cell>
          <cell r="N3089">
            <v>2.0396227975610928</v>
          </cell>
        </row>
        <row r="3090">
          <cell r="K3090">
            <v>45147</v>
          </cell>
          <cell r="L3090" t="str">
            <v>DIA ÚTIL</v>
          </cell>
          <cell r="M3090">
            <v>4.9036999999999997E-2</v>
          </cell>
          <cell r="N3090">
            <v>2.0406229673923328</v>
          </cell>
        </row>
        <row r="3091">
          <cell r="K3091">
            <v>45148</v>
          </cell>
          <cell r="L3091" t="str">
            <v>DIA ÚTIL</v>
          </cell>
          <cell r="M3091">
            <v>4.9036999999999997E-2</v>
          </cell>
          <cell r="N3091">
            <v>2.0416236276768531</v>
          </cell>
        </row>
        <row r="3092">
          <cell r="K3092">
            <v>45149</v>
          </cell>
          <cell r="L3092" t="str">
            <v>DIA ÚTIL</v>
          </cell>
          <cell r="M3092">
            <v>4.9036999999999997E-2</v>
          </cell>
          <cell r="N3092">
            <v>2.0426247786551572</v>
          </cell>
        </row>
        <row r="3093">
          <cell r="K3093">
            <v>45150</v>
          </cell>
          <cell r="M3093">
            <v>0</v>
          </cell>
          <cell r="N3093">
            <v>2.0426247786551572</v>
          </cell>
        </row>
        <row r="3094">
          <cell r="K3094">
            <v>45151</v>
          </cell>
          <cell r="M3094">
            <v>0</v>
          </cell>
          <cell r="N3094">
            <v>2.0426247786551572</v>
          </cell>
        </row>
        <row r="3095">
          <cell r="K3095">
            <v>45152</v>
          </cell>
          <cell r="L3095" t="str">
            <v>DIA ÚTIL</v>
          </cell>
          <cell r="M3095">
            <v>4.9036999999999997E-2</v>
          </cell>
          <cell r="N3095">
            <v>2.0436264205678665</v>
          </cell>
        </row>
        <row r="3096">
          <cell r="K3096">
            <v>45153</v>
          </cell>
          <cell r="L3096" t="str">
            <v>DIA ÚTIL</v>
          </cell>
          <cell r="M3096">
            <v>4.9036999999999997E-2</v>
          </cell>
          <cell r="N3096">
            <v>2.0446285536557203</v>
          </cell>
        </row>
        <row r="3097">
          <cell r="K3097">
            <v>45154</v>
          </cell>
          <cell r="L3097" t="str">
            <v>DIA ÚTIL</v>
          </cell>
          <cell r="M3097">
            <v>4.9036999999999997E-2</v>
          </cell>
          <cell r="N3097">
            <v>2.0456311781595766</v>
          </cell>
        </row>
        <row r="3098">
          <cell r="K3098">
            <v>45155</v>
          </cell>
          <cell r="L3098" t="str">
            <v>DIA ÚTIL</v>
          </cell>
          <cell r="M3098">
            <v>4.9036999999999997E-2</v>
          </cell>
          <cell r="N3098">
            <v>2.0466342943204108</v>
          </cell>
        </row>
        <row r="3099">
          <cell r="K3099">
            <v>45156</v>
          </cell>
          <cell r="L3099" t="str">
            <v>DIA ÚTIL</v>
          </cell>
          <cell r="M3099">
            <v>4.9036999999999997E-2</v>
          </cell>
          <cell r="N3099">
            <v>2.047637902379317</v>
          </cell>
        </row>
        <row r="3100">
          <cell r="K3100">
            <v>45157</v>
          </cell>
          <cell r="M3100">
            <v>0</v>
          </cell>
          <cell r="N3100">
            <v>2.047637902379317</v>
          </cell>
        </row>
        <row r="3101">
          <cell r="K3101">
            <v>45158</v>
          </cell>
          <cell r="M3101">
            <v>0</v>
          </cell>
          <cell r="N3101">
            <v>2.047637902379317</v>
          </cell>
        </row>
        <row r="3102">
          <cell r="K3102">
            <v>45159</v>
          </cell>
          <cell r="L3102" t="str">
            <v>DIA ÚTIL</v>
          </cell>
          <cell r="M3102">
            <v>4.9036999999999997E-2</v>
          </cell>
          <cell r="N3102">
            <v>2.0486420025775067</v>
          </cell>
        </row>
        <row r="3103">
          <cell r="K3103">
            <v>45160</v>
          </cell>
          <cell r="L3103" t="str">
            <v>DIA ÚTIL</v>
          </cell>
          <cell r="M3103">
            <v>4.9036999999999997E-2</v>
          </cell>
          <cell r="N3103">
            <v>2.049646595156311</v>
          </cell>
        </row>
        <row r="3104">
          <cell r="K3104">
            <v>45161</v>
          </cell>
          <cell r="L3104" t="str">
            <v>DIA ÚTIL</v>
          </cell>
          <cell r="M3104">
            <v>4.9036999999999997E-2</v>
          </cell>
          <cell r="N3104">
            <v>2.0506516803571779</v>
          </cell>
        </row>
        <row r="3105">
          <cell r="K3105">
            <v>45162</v>
          </cell>
          <cell r="L3105" t="str">
            <v>DIA ÚTIL</v>
          </cell>
          <cell r="M3105">
            <v>4.9036999999999997E-2</v>
          </cell>
          <cell r="N3105">
            <v>2.0516572584216748</v>
          </cell>
        </row>
        <row r="3106">
          <cell r="K3106">
            <v>45163</v>
          </cell>
          <cell r="L3106" t="str">
            <v>DIA ÚTIL</v>
          </cell>
          <cell r="M3106">
            <v>4.9036999999999997E-2</v>
          </cell>
          <cell r="N3106">
            <v>2.0526633295914873</v>
          </cell>
        </row>
        <row r="3107">
          <cell r="K3107">
            <v>45164</v>
          </cell>
          <cell r="M3107">
            <v>0</v>
          </cell>
          <cell r="N3107">
            <v>2.0526633295914873</v>
          </cell>
        </row>
        <row r="3108">
          <cell r="K3108">
            <v>45165</v>
          </cell>
          <cell r="M3108">
            <v>0</v>
          </cell>
          <cell r="N3108">
            <v>2.0526633295914873</v>
          </cell>
        </row>
        <row r="3109">
          <cell r="K3109">
            <v>45166</v>
          </cell>
          <cell r="L3109" t="str">
            <v>DIA ÚTIL</v>
          </cell>
          <cell r="M3109">
            <v>4.9036999999999997E-2</v>
          </cell>
          <cell r="N3109">
            <v>2.053669894108419</v>
          </cell>
        </row>
        <row r="3110">
          <cell r="K3110">
            <v>45167</v>
          </cell>
          <cell r="L3110" t="str">
            <v>DIA ÚTIL</v>
          </cell>
          <cell r="M3110">
            <v>4.9036999999999997E-2</v>
          </cell>
          <cell r="N3110">
            <v>2.0546769522143933</v>
          </cell>
        </row>
        <row r="3111">
          <cell r="K3111">
            <v>45168</v>
          </cell>
          <cell r="L3111" t="str">
            <v>DIA ÚTIL</v>
          </cell>
          <cell r="M3111">
            <v>4.9036999999999997E-2</v>
          </cell>
          <cell r="N3111">
            <v>2.0556845041514507</v>
          </cell>
        </row>
        <row r="3112">
          <cell r="K3112">
            <v>45169</v>
          </cell>
          <cell r="L3112" t="str">
            <v>DIA ÚTIL</v>
          </cell>
          <cell r="M3112">
            <v>4.9036999999999997E-2</v>
          </cell>
          <cell r="N3112">
            <v>2.0566925501617517</v>
          </cell>
        </row>
        <row r="3113">
          <cell r="K3113">
            <v>45170</v>
          </cell>
          <cell r="L3113" t="str">
            <v>DIA ÚTIL</v>
          </cell>
          <cell r="M3113">
            <v>4.9036999999999997E-2</v>
          </cell>
          <cell r="N3113">
            <v>2.0577010904875745</v>
          </cell>
        </row>
        <row r="3114">
          <cell r="K3114">
            <v>45171</v>
          </cell>
          <cell r="M3114">
            <v>0</v>
          </cell>
          <cell r="N3114">
            <v>2.0577010904875745</v>
          </cell>
        </row>
        <row r="3115">
          <cell r="K3115">
            <v>45172</v>
          </cell>
          <cell r="M3115">
            <v>0</v>
          </cell>
          <cell r="N3115">
            <v>2.0577010904875745</v>
          </cell>
        </row>
        <row r="3116">
          <cell r="K3116">
            <v>45173</v>
          </cell>
          <cell r="L3116" t="str">
            <v>DIA ÚTIL</v>
          </cell>
          <cell r="M3116">
            <v>4.9036999999999997E-2</v>
          </cell>
          <cell r="N3116">
            <v>2.0587101253713169</v>
          </cell>
        </row>
        <row r="3117">
          <cell r="K3117">
            <v>45174</v>
          </cell>
          <cell r="L3117" t="str">
            <v>DIA ÚTIL</v>
          </cell>
          <cell r="M3117">
            <v>4.9036999999999997E-2</v>
          </cell>
          <cell r="N3117">
            <v>2.0597196550554955</v>
          </cell>
        </row>
        <row r="3118">
          <cell r="K3118">
            <v>45175</v>
          </cell>
          <cell r="L3118" t="str">
            <v>DIA ÚTIL</v>
          </cell>
          <cell r="M3118">
            <v>4.9036999999999997E-2</v>
          </cell>
          <cell r="N3118">
            <v>2.060729679782745</v>
          </cell>
        </row>
        <row r="3119">
          <cell r="K3119">
            <v>45176</v>
          </cell>
          <cell r="M3119">
            <v>0</v>
          </cell>
          <cell r="N3119">
            <v>2.060729679782745</v>
          </cell>
        </row>
        <row r="3120">
          <cell r="K3120">
            <v>45177</v>
          </cell>
          <cell r="L3120" t="str">
            <v>DIA ÚTIL</v>
          </cell>
          <cell r="M3120">
            <v>4.9036999999999997E-2</v>
          </cell>
          <cell r="N3120">
            <v>2.0617401997958202</v>
          </cell>
        </row>
        <row r="3121">
          <cell r="K3121">
            <v>45178</v>
          </cell>
          <cell r="M3121">
            <v>0</v>
          </cell>
          <cell r="N3121">
            <v>2.0617401997958202</v>
          </cell>
        </row>
        <row r="3122">
          <cell r="K3122">
            <v>45179</v>
          </cell>
          <cell r="M3122">
            <v>0</v>
          </cell>
          <cell r="N3122">
            <v>2.0617401997958202</v>
          </cell>
        </row>
        <row r="3123">
          <cell r="K3123">
            <v>45180</v>
          </cell>
          <cell r="L3123" t="str">
            <v>DIA ÚTIL</v>
          </cell>
          <cell r="M3123">
            <v>4.9036999999999997E-2</v>
          </cell>
          <cell r="N3123">
            <v>2.0627512153375944</v>
          </cell>
        </row>
        <row r="3124">
          <cell r="K3124">
            <v>45181</v>
          </cell>
          <cell r="L3124" t="str">
            <v>DIA ÚTIL</v>
          </cell>
          <cell r="M3124">
            <v>4.9036999999999997E-2</v>
          </cell>
          <cell r="N3124">
            <v>2.0637627266510599</v>
          </cell>
        </row>
        <row r="3125">
          <cell r="K3125">
            <v>45182</v>
          </cell>
          <cell r="L3125" t="str">
            <v>DIA ÚTIL</v>
          </cell>
          <cell r="M3125">
            <v>4.9036999999999997E-2</v>
          </cell>
          <cell r="N3125">
            <v>2.0647747339793279</v>
          </cell>
        </row>
        <row r="3126">
          <cell r="K3126">
            <v>45183</v>
          </cell>
          <cell r="L3126" t="str">
            <v>DIA ÚTIL</v>
          </cell>
          <cell r="M3126">
            <v>4.9036999999999997E-2</v>
          </cell>
          <cell r="N3126">
            <v>2.0657872375656297</v>
          </cell>
        </row>
        <row r="3127">
          <cell r="K3127">
            <v>45184</v>
          </cell>
          <cell r="L3127" t="str">
            <v>DIA ÚTIL</v>
          </cell>
          <cell r="M3127">
            <v>4.9036999999999997E-2</v>
          </cell>
          <cell r="N3127">
            <v>2.066800237653315</v>
          </cell>
        </row>
        <row r="3128">
          <cell r="K3128">
            <v>45185</v>
          </cell>
          <cell r="M3128">
            <v>0</v>
          </cell>
          <cell r="N3128">
            <v>2.066800237653315</v>
          </cell>
        </row>
        <row r="3129">
          <cell r="K3129">
            <v>45186</v>
          </cell>
          <cell r="M3129">
            <v>0</v>
          </cell>
          <cell r="N3129">
            <v>2.066800237653315</v>
          </cell>
        </row>
        <row r="3130">
          <cell r="K3130">
            <v>45187</v>
          </cell>
          <cell r="L3130" t="str">
            <v>DIA ÚTIL</v>
          </cell>
          <cell r="M3130">
            <v>4.9036999999999997E-2</v>
          </cell>
          <cell r="N3130">
            <v>2.0678137344858531</v>
          </cell>
        </row>
        <row r="3131">
          <cell r="K3131">
            <v>45188</v>
          </cell>
          <cell r="L3131" t="str">
            <v>DIA ÚTIL</v>
          </cell>
          <cell r="M3131">
            <v>4.9036999999999997E-2</v>
          </cell>
          <cell r="N3131">
            <v>2.0688277283068333</v>
          </cell>
        </row>
        <row r="3132">
          <cell r="K3132">
            <v>45189</v>
          </cell>
          <cell r="L3132" t="str">
            <v>DIA ÚTIL</v>
          </cell>
          <cell r="M3132">
            <v>4.9036999999999997E-2</v>
          </cell>
          <cell r="N3132">
            <v>2.069842219359963</v>
          </cell>
        </row>
        <row r="3133">
          <cell r="K3133">
            <v>45190</v>
          </cell>
          <cell r="L3133" t="str">
            <v>DIA ÚTIL</v>
          </cell>
          <cell r="M3133">
            <v>4.9036999999999997E-2</v>
          </cell>
          <cell r="N3133">
            <v>2.0708572078890706</v>
          </cell>
        </row>
        <row r="3134">
          <cell r="K3134">
            <v>45191</v>
          </cell>
          <cell r="L3134" t="str">
            <v>DIA ÚTIL</v>
          </cell>
          <cell r="M3134">
            <v>4.9036999999999997E-2</v>
          </cell>
          <cell r="N3134">
            <v>2.0718726941381034</v>
          </cell>
        </row>
        <row r="3135">
          <cell r="K3135">
            <v>45192</v>
          </cell>
          <cell r="M3135">
            <v>0</v>
          </cell>
          <cell r="N3135">
            <v>2.0718726941381034</v>
          </cell>
        </row>
        <row r="3136">
          <cell r="K3136">
            <v>45193</v>
          </cell>
          <cell r="M3136">
            <v>0</v>
          </cell>
          <cell r="N3136">
            <v>2.0718726941381034</v>
          </cell>
        </row>
        <row r="3137">
          <cell r="K3137">
            <v>45194</v>
          </cell>
          <cell r="L3137" t="str">
            <v>DIA ÚTIL</v>
          </cell>
          <cell r="M3137">
            <v>4.9036999999999997E-2</v>
          </cell>
          <cell r="N3137">
            <v>2.072888678351128</v>
          </cell>
        </row>
        <row r="3138">
          <cell r="K3138">
            <v>45195</v>
          </cell>
          <cell r="L3138" t="str">
            <v>DIA ÚTIL</v>
          </cell>
          <cell r="M3138">
            <v>4.9036999999999997E-2</v>
          </cell>
          <cell r="N3138">
            <v>2.0739051607723313</v>
          </cell>
        </row>
        <row r="3139">
          <cell r="K3139">
            <v>45196</v>
          </cell>
          <cell r="L3139" t="str">
            <v>DIA ÚTIL</v>
          </cell>
          <cell r="M3139">
            <v>4.9036999999999997E-2</v>
          </cell>
          <cell r="N3139">
            <v>2.0749221416460193</v>
          </cell>
        </row>
        <row r="3140">
          <cell r="K3140">
            <v>45197</v>
          </cell>
          <cell r="L3140" t="str">
            <v>DIA ÚTIL</v>
          </cell>
          <cell r="M3140">
            <v>4.9036999999999997E-2</v>
          </cell>
          <cell r="N3140">
            <v>2.0759396212166186</v>
          </cell>
        </row>
        <row r="3141">
          <cell r="K3141">
            <v>45198</v>
          </cell>
          <cell r="L3141" t="str">
            <v>DIA ÚTIL</v>
          </cell>
          <cell r="M3141">
            <v>4.9036999999999997E-2</v>
          </cell>
          <cell r="N3141">
            <v>2.0769575997286749</v>
          </cell>
        </row>
        <row r="3142">
          <cell r="K3142">
            <v>45199</v>
          </cell>
          <cell r="M3142">
            <v>0</v>
          </cell>
          <cell r="N3142">
            <v>2.0769575997286749</v>
          </cell>
        </row>
        <row r="3143">
          <cell r="K3143">
            <v>45200</v>
          </cell>
          <cell r="M3143">
            <v>0</v>
          </cell>
          <cell r="N3143">
            <v>2.0769575997286749</v>
          </cell>
        </row>
        <row r="3144">
          <cell r="K3144">
            <v>45201</v>
          </cell>
          <cell r="L3144" t="str">
            <v>DIA ÚTIL</v>
          </cell>
          <cell r="M3144">
            <v>4.9036999999999997E-2</v>
          </cell>
          <cell r="N3144">
            <v>2.0779760774268539</v>
          </cell>
        </row>
        <row r="3145">
          <cell r="K3145">
            <v>45202</v>
          </cell>
          <cell r="L3145" t="str">
            <v>DIA ÚTIL</v>
          </cell>
          <cell r="M3145">
            <v>4.9036999999999997E-2</v>
          </cell>
          <cell r="N3145">
            <v>2.0789950545559419</v>
          </cell>
        </row>
        <row r="3146">
          <cell r="K3146">
            <v>45203</v>
          </cell>
          <cell r="L3146" t="str">
            <v>DIA ÚTIL</v>
          </cell>
          <cell r="M3146">
            <v>4.9036999999999997E-2</v>
          </cell>
          <cell r="N3146">
            <v>2.0800145313608445</v>
          </cell>
        </row>
        <row r="3147">
          <cell r="K3147">
            <v>45204</v>
          </cell>
          <cell r="L3147" t="str">
            <v>DIA ÚTIL</v>
          </cell>
          <cell r="M3147">
            <v>4.9036999999999997E-2</v>
          </cell>
          <cell r="N3147">
            <v>2.0810345080865882</v>
          </cell>
        </row>
        <row r="3148">
          <cell r="K3148">
            <v>45205</v>
          </cell>
          <cell r="L3148" t="str">
            <v>DIA ÚTIL</v>
          </cell>
          <cell r="M3148">
            <v>4.9036999999999997E-2</v>
          </cell>
          <cell r="N3148">
            <v>2.0820549849783188</v>
          </cell>
        </row>
        <row r="3149">
          <cell r="K3149">
            <v>45206</v>
          </cell>
          <cell r="M3149">
            <v>0</v>
          </cell>
          <cell r="N3149">
            <v>2.0820549849783188</v>
          </cell>
        </row>
        <row r="3150">
          <cell r="K3150">
            <v>45207</v>
          </cell>
          <cell r="M3150">
            <v>0</v>
          </cell>
          <cell r="N3150">
            <v>2.0820549849783188</v>
          </cell>
        </row>
        <row r="3151">
          <cell r="K3151">
            <v>45208</v>
          </cell>
          <cell r="L3151" t="str">
            <v>DIA ÚTIL</v>
          </cell>
          <cell r="M3151">
            <v>4.9036999999999997E-2</v>
          </cell>
          <cell r="N3151">
            <v>2.0830759622813027</v>
          </cell>
        </row>
        <row r="3152">
          <cell r="K3152">
            <v>45209</v>
          </cell>
          <cell r="L3152" t="str">
            <v>DIA ÚTIL</v>
          </cell>
          <cell r="M3152">
            <v>4.9036999999999997E-2</v>
          </cell>
          <cell r="N3152">
            <v>2.0840974402409267</v>
          </cell>
        </row>
        <row r="3153">
          <cell r="K3153">
            <v>45210</v>
          </cell>
          <cell r="L3153" t="str">
            <v>DIA ÚTIL</v>
          </cell>
          <cell r="M3153">
            <v>4.9036999999999997E-2</v>
          </cell>
          <cell r="N3153">
            <v>2.0851194191026976</v>
          </cell>
        </row>
        <row r="3154">
          <cell r="K3154">
            <v>45211</v>
          </cell>
          <cell r="M3154">
            <v>0</v>
          </cell>
          <cell r="N3154">
            <v>2.0851194191026976</v>
          </cell>
        </row>
        <row r="3155">
          <cell r="K3155">
            <v>45212</v>
          </cell>
          <cell r="L3155" t="str">
            <v>DIA ÚTIL</v>
          </cell>
          <cell r="M3155">
            <v>4.9036999999999997E-2</v>
          </cell>
          <cell r="N3155">
            <v>2.0861418991122433</v>
          </cell>
        </row>
        <row r="3156">
          <cell r="K3156">
            <v>45213</v>
          </cell>
          <cell r="M3156">
            <v>0</v>
          </cell>
          <cell r="N3156">
            <v>2.0861418991122433</v>
          </cell>
        </row>
        <row r="3157">
          <cell r="K3157">
            <v>45214</v>
          </cell>
          <cell r="M3157">
            <v>0</v>
          </cell>
          <cell r="N3157">
            <v>2.0861418991122433</v>
          </cell>
        </row>
        <row r="3158">
          <cell r="K3158">
            <v>45215</v>
          </cell>
          <cell r="L3158" t="str">
            <v>DIA ÚTIL</v>
          </cell>
          <cell r="M3158">
            <v>4.9036999999999997E-2</v>
          </cell>
          <cell r="N3158">
            <v>2.0871648805153113</v>
          </cell>
        </row>
        <row r="3159">
          <cell r="K3159">
            <v>45216</v>
          </cell>
          <cell r="L3159" t="str">
            <v>DIA ÚTIL</v>
          </cell>
          <cell r="M3159">
            <v>4.9036999999999997E-2</v>
          </cell>
          <cell r="N3159">
            <v>2.0881883635577698</v>
          </cell>
        </row>
        <row r="3160">
          <cell r="K3160">
            <v>45217</v>
          </cell>
          <cell r="L3160" t="str">
            <v>DIA ÚTIL</v>
          </cell>
          <cell r="M3160">
            <v>4.9036999999999997E-2</v>
          </cell>
          <cell r="N3160">
            <v>2.0892123484856078</v>
          </cell>
        </row>
        <row r="3161">
          <cell r="K3161">
            <v>45218</v>
          </cell>
          <cell r="L3161" t="str">
            <v>DIA ÚTIL</v>
          </cell>
          <cell r="M3161">
            <v>4.9036999999999997E-2</v>
          </cell>
          <cell r="N3161">
            <v>2.090236835544935</v>
          </cell>
        </row>
        <row r="3162">
          <cell r="K3162">
            <v>45219</v>
          </cell>
          <cell r="L3162" t="str">
            <v>DIA ÚTIL</v>
          </cell>
          <cell r="M3162">
            <v>4.9036999999999997E-2</v>
          </cell>
          <cell r="N3162">
            <v>2.0912618249819812</v>
          </cell>
        </row>
        <row r="3163">
          <cell r="K3163">
            <v>45220</v>
          </cell>
          <cell r="M3163">
            <v>0</v>
          </cell>
          <cell r="N3163">
            <v>2.0912618249819812</v>
          </cell>
        </row>
        <row r="3164">
          <cell r="K3164">
            <v>45221</v>
          </cell>
          <cell r="M3164">
            <v>0</v>
          </cell>
          <cell r="N3164">
            <v>2.0912618249819812</v>
          </cell>
        </row>
        <row r="3165">
          <cell r="K3165">
            <v>45222</v>
          </cell>
          <cell r="L3165" t="str">
            <v>DIA ÚTIL</v>
          </cell>
          <cell r="M3165">
            <v>4.9036999999999997E-2</v>
          </cell>
          <cell r="N3165">
            <v>2.0922873170430978</v>
          </cell>
        </row>
        <row r="3166">
          <cell r="K3166">
            <v>45223</v>
          </cell>
          <cell r="L3166" t="str">
            <v>DIA ÚTIL</v>
          </cell>
          <cell r="M3166">
            <v>4.9036999999999997E-2</v>
          </cell>
          <cell r="N3166">
            <v>2.0933133119747565</v>
          </cell>
        </row>
        <row r="3167">
          <cell r="K3167">
            <v>45224</v>
          </cell>
          <cell r="L3167" t="str">
            <v>DIA ÚTIL</v>
          </cell>
          <cell r="M3167">
            <v>4.9036999999999997E-2</v>
          </cell>
          <cell r="N3167">
            <v>2.0943398100235497</v>
          </cell>
        </row>
        <row r="3168">
          <cell r="K3168">
            <v>45225</v>
          </cell>
          <cell r="L3168" t="str">
            <v>DIA ÚTIL</v>
          </cell>
          <cell r="M3168">
            <v>4.9036999999999997E-2</v>
          </cell>
          <cell r="N3168">
            <v>2.095366811436191</v>
          </cell>
        </row>
        <row r="3169">
          <cell r="K3169">
            <v>45226</v>
          </cell>
          <cell r="L3169" t="str">
            <v>DIA ÚTIL</v>
          </cell>
          <cell r="M3169">
            <v>4.9036999999999997E-2</v>
          </cell>
          <cell r="N3169">
            <v>2.0963943164595151</v>
          </cell>
        </row>
        <row r="3170">
          <cell r="K3170">
            <v>45227</v>
          </cell>
          <cell r="M3170">
            <v>0</v>
          </cell>
          <cell r="N3170">
            <v>2.0963943164595151</v>
          </cell>
        </row>
        <row r="3171">
          <cell r="K3171">
            <v>45228</v>
          </cell>
          <cell r="M3171">
            <v>0</v>
          </cell>
          <cell r="N3171">
            <v>2.0963943164595151</v>
          </cell>
        </row>
        <row r="3172">
          <cell r="K3172">
            <v>45229</v>
          </cell>
          <cell r="L3172" t="str">
            <v>DIA ÚTIL</v>
          </cell>
          <cell r="M3172">
            <v>4.9036999999999997E-2</v>
          </cell>
          <cell r="N3172">
            <v>2.0974223253404776</v>
          </cell>
        </row>
        <row r="3173">
          <cell r="K3173">
            <v>45230</v>
          </cell>
          <cell r="L3173" t="str">
            <v>DIA ÚTIL</v>
          </cell>
          <cell r="M3173">
            <v>4.9036999999999997E-2</v>
          </cell>
          <cell r="N3173">
            <v>2.0984508383261549</v>
          </cell>
        </row>
        <row r="3174">
          <cell r="K3174">
            <v>45231</v>
          </cell>
          <cell r="L3174" t="str">
            <v>DIA ÚTIL</v>
          </cell>
          <cell r="M3174">
            <v>4.9036999999999997E-2</v>
          </cell>
          <cell r="N3174">
            <v>2.0994798556637448</v>
          </cell>
        </row>
        <row r="3175">
          <cell r="K3175">
            <v>45232</v>
          </cell>
          <cell r="M3175">
            <v>0</v>
          </cell>
          <cell r="N3175">
            <v>2.0994798556637448</v>
          </cell>
        </row>
        <row r="3176">
          <cell r="K3176">
            <v>45233</v>
          </cell>
          <cell r="L3176" t="str">
            <v>DIA ÚTIL</v>
          </cell>
          <cell r="M3176">
            <v>4.9036999999999997E-2</v>
          </cell>
          <cell r="N3176">
            <v>2.100509377600567</v>
          </cell>
        </row>
        <row r="3177">
          <cell r="K3177">
            <v>45234</v>
          </cell>
          <cell r="M3177">
            <v>0</v>
          </cell>
          <cell r="N3177">
            <v>2.100509377600567</v>
          </cell>
        </row>
        <row r="3178">
          <cell r="K3178">
            <v>45235</v>
          </cell>
          <cell r="M3178">
            <v>0</v>
          </cell>
          <cell r="N3178">
            <v>2.100509377600567</v>
          </cell>
        </row>
        <row r="3179">
          <cell r="K3179">
            <v>45236</v>
          </cell>
          <cell r="L3179" t="str">
            <v>DIA ÚTIL</v>
          </cell>
          <cell r="M3179">
            <v>4.9036999999999997E-2</v>
          </cell>
          <cell r="N3179">
            <v>2.1015394043840612</v>
          </cell>
        </row>
        <row r="3180">
          <cell r="K3180">
            <v>45237</v>
          </cell>
          <cell r="L3180" t="str">
            <v>DIA ÚTIL</v>
          </cell>
          <cell r="M3180">
            <v>4.9036999999999997E-2</v>
          </cell>
          <cell r="N3180">
            <v>2.1025699362617893</v>
          </cell>
        </row>
        <row r="3181">
          <cell r="K3181">
            <v>45238</v>
          </cell>
          <cell r="L3181" t="str">
            <v>DIA ÚTIL</v>
          </cell>
          <cell r="M3181">
            <v>4.9036999999999997E-2</v>
          </cell>
          <cell r="N3181">
            <v>2.1036009734814343</v>
          </cell>
        </row>
        <row r="3182">
          <cell r="K3182">
            <v>45239</v>
          </cell>
          <cell r="L3182" t="str">
            <v>DIA ÚTIL</v>
          </cell>
          <cell r="M3182">
            <v>4.9036999999999997E-2</v>
          </cell>
          <cell r="N3182">
            <v>2.1046325162908004</v>
          </cell>
        </row>
        <row r="3183">
          <cell r="K3183">
            <v>45240</v>
          </cell>
          <cell r="L3183" t="str">
            <v>DIA ÚTIL</v>
          </cell>
          <cell r="M3183">
            <v>4.9036999999999997E-2</v>
          </cell>
          <cell r="N3183">
            <v>2.1056645649378143</v>
          </cell>
        </row>
        <row r="3184">
          <cell r="K3184">
            <v>45241</v>
          </cell>
          <cell r="M3184">
            <v>0</v>
          </cell>
          <cell r="N3184">
            <v>2.1056645649378143</v>
          </cell>
        </row>
        <row r="3185">
          <cell r="K3185">
            <v>45242</v>
          </cell>
          <cell r="M3185">
            <v>0</v>
          </cell>
          <cell r="N3185">
            <v>2.1056645649378143</v>
          </cell>
        </row>
        <row r="3186">
          <cell r="K3186">
            <v>45243</v>
          </cell>
          <cell r="L3186" t="str">
            <v>DIA ÚTIL</v>
          </cell>
          <cell r="M3186">
            <v>4.9036999999999997E-2</v>
          </cell>
          <cell r="N3186">
            <v>2.1066971196705229</v>
          </cell>
        </row>
        <row r="3187">
          <cell r="K3187">
            <v>45244</v>
          </cell>
          <cell r="L3187" t="str">
            <v>DIA ÚTIL</v>
          </cell>
          <cell r="M3187">
            <v>4.9036999999999997E-2</v>
          </cell>
          <cell r="N3187">
            <v>2.1077301807370961</v>
          </cell>
        </row>
        <row r="3188">
          <cell r="K3188">
            <v>45245</v>
          </cell>
          <cell r="M3188">
            <v>0</v>
          </cell>
          <cell r="N3188">
            <v>2.1077301807370961</v>
          </cell>
        </row>
        <row r="3189">
          <cell r="K3189">
            <v>45246</v>
          </cell>
          <cell r="L3189" t="str">
            <v>DIA ÚTIL</v>
          </cell>
          <cell r="M3189">
            <v>4.9036999999999997E-2</v>
          </cell>
          <cell r="N3189">
            <v>2.1087637483858241</v>
          </cell>
        </row>
        <row r="3190">
          <cell r="K3190">
            <v>45247</v>
          </cell>
          <cell r="L3190" t="str">
            <v>DIA ÚTIL</v>
          </cell>
          <cell r="M3190">
            <v>4.9036999999999997E-2</v>
          </cell>
          <cell r="N3190">
            <v>2.1097978228651204</v>
          </cell>
        </row>
        <row r="3191">
          <cell r="K3191">
            <v>45248</v>
          </cell>
          <cell r="M3191">
            <v>0</v>
          </cell>
          <cell r="N3191">
            <v>2.1097978228651204</v>
          </cell>
        </row>
        <row r="3192">
          <cell r="K3192">
            <v>45249</v>
          </cell>
          <cell r="M3192">
            <v>0</v>
          </cell>
          <cell r="N3192">
            <v>2.1097978228651204</v>
          </cell>
        </row>
        <row r="3193">
          <cell r="K3193">
            <v>45250</v>
          </cell>
          <cell r="L3193" t="str">
            <v>DIA ÚTIL</v>
          </cell>
          <cell r="M3193">
            <v>4.9036999999999997E-2</v>
          </cell>
          <cell r="N3193">
            <v>2.1108324044235189</v>
          </cell>
        </row>
        <row r="3194">
          <cell r="K3194">
            <v>45251</v>
          </cell>
          <cell r="L3194" t="str">
            <v>DIA ÚTIL</v>
          </cell>
          <cell r="M3194">
            <v>4.9036999999999997E-2</v>
          </cell>
          <cell r="N3194">
            <v>2.1118674933096764</v>
          </cell>
        </row>
        <row r="3195">
          <cell r="K3195">
            <v>45252</v>
          </cell>
          <cell r="L3195" t="str">
            <v>DIA ÚTIL</v>
          </cell>
          <cell r="M3195">
            <v>4.9036999999999997E-2</v>
          </cell>
          <cell r="N3195">
            <v>2.1129030897723706</v>
          </cell>
        </row>
        <row r="3196">
          <cell r="K3196">
            <v>45253</v>
          </cell>
          <cell r="L3196" t="str">
            <v>DIA ÚTIL</v>
          </cell>
          <cell r="M3196">
            <v>4.9036999999999997E-2</v>
          </cell>
          <cell r="N3196">
            <v>2.1139391940605026</v>
          </cell>
        </row>
        <row r="3197">
          <cell r="K3197">
            <v>45254</v>
          </cell>
          <cell r="L3197" t="str">
            <v>DIA ÚTIL</v>
          </cell>
          <cell r="M3197">
            <v>4.9036999999999997E-2</v>
          </cell>
          <cell r="N3197">
            <v>2.1149758064230944</v>
          </cell>
        </row>
        <row r="3198">
          <cell r="K3198">
            <v>45255</v>
          </cell>
          <cell r="M3198">
            <v>0</v>
          </cell>
          <cell r="N3198">
            <v>2.1149758064230944</v>
          </cell>
        </row>
        <row r="3199">
          <cell r="K3199">
            <v>45256</v>
          </cell>
          <cell r="M3199">
            <v>0</v>
          </cell>
          <cell r="N3199">
            <v>2.1149758064230944</v>
          </cell>
        </row>
        <row r="3200">
          <cell r="K3200">
            <v>45257</v>
          </cell>
          <cell r="L3200" t="str">
            <v>DIA ÚTIL</v>
          </cell>
          <cell r="M3200">
            <v>4.9036999999999997E-2</v>
          </cell>
          <cell r="N3200">
            <v>2.1160129271092902</v>
          </cell>
        </row>
        <row r="3201">
          <cell r="K3201">
            <v>45258</v>
          </cell>
          <cell r="L3201" t="str">
            <v>DIA ÚTIL</v>
          </cell>
          <cell r="M3201">
            <v>4.9036999999999997E-2</v>
          </cell>
          <cell r="N3201">
            <v>2.117050556368357</v>
          </cell>
        </row>
        <row r="3202">
          <cell r="K3202">
            <v>45259</v>
          </cell>
          <cell r="L3202" t="str">
            <v>DIA ÚTIL</v>
          </cell>
          <cell r="M3202">
            <v>4.9036999999999997E-2</v>
          </cell>
          <cell r="N3202">
            <v>2.1180886944496837</v>
          </cell>
        </row>
        <row r="3203">
          <cell r="K3203">
            <v>45260</v>
          </cell>
          <cell r="L3203" t="str">
            <v>DIA ÚTIL</v>
          </cell>
          <cell r="M3203">
            <v>4.9036999999999997E-2</v>
          </cell>
          <cell r="N3203">
            <v>2.1191273416027814</v>
          </cell>
        </row>
        <row r="3204">
          <cell r="K3204">
            <v>45261</v>
          </cell>
          <cell r="L3204" t="str">
            <v>DIA ÚTIL</v>
          </cell>
          <cell r="M3204">
            <v>4.9036999999999997E-2</v>
          </cell>
          <cell r="N3204">
            <v>2.1201664980772832</v>
          </cell>
        </row>
        <row r="3205">
          <cell r="K3205">
            <v>45262</v>
          </cell>
          <cell r="M3205">
            <v>0</v>
          </cell>
          <cell r="N3205">
            <v>2.1201664980772832</v>
          </cell>
        </row>
        <row r="3206">
          <cell r="K3206">
            <v>45263</v>
          </cell>
          <cell r="M3206">
            <v>0</v>
          </cell>
          <cell r="N3206">
            <v>2.1201664980772832</v>
          </cell>
        </row>
        <row r="3207">
          <cell r="K3207">
            <v>45264</v>
          </cell>
          <cell r="L3207" t="str">
            <v>DIA ÚTIL</v>
          </cell>
          <cell r="M3207">
            <v>4.9036999999999997E-2</v>
          </cell>
          <cell r="N3207">
            <v>2.1212061641229454</v>
          </cell>
        </row>
        <row r="3208">
          <cell r="K3208">
            <v>45265</v>
          </cell>
          <cell r="L3208" t="str">
            <v>DIA ÚTIL</v>
          </cell>
          <cell r="M3208">
            <v>4.9036999999999997E-2</v>
          </cell>
          <cell r="N3208">
            <v>2.1222463399896463</v>
          </cell>
        </row>
        <row r="3209">
          <cell r="K3209">
            <v>45266</v>
          </cell>
          <cell r="L3209" t="str">
            <v>DIA ÚTIL</v>
          </cell>
          <cell r="M3209">
            <v>4.9036999999999997E-2</v>
          </cell>
          <cell r="N3209">
            <v>2.1232870259273873</v>
          </cell>
        </row>
        <row r="3210">
          <cell r="K3210">
            <v>45267</v>
          </cell>
          <cell r="L3210" t="str">
            <v>DIA ÚTIL</v>
          </cell>
          <cell r="M3210">
            <v>4.9036999999999997E-2</v>
          </cell>
          <cell r="N3210">
            <v>2.1243282221862914</v>
          </cell>
        </row>
        <row r="3211">
          <cell r="K3211">
            <v>45268</v>
          </cell>
          <cell r="L3211" t="str">
            <v>DIA ÚTIL</v>
          </cell>
          <cell r="M3211">
            <v>4.9036999999999997E-2</v>
          </cell>
          <cell r="N3211">
            <v>2.125369929016605</v>
          </cell>
        </row>
        <row r="3212">
          <cell r="K3212">
            <v>45269</v>
          </cell>
          <cell r="M3212">
            <v>0</v>
          </cell>
          <cell r="N3212">
            <v>2.125369929016605</v>
          </cell>
        </row>
        <row r="3213">
          <cell r="K3213">
            <v>45270</v>
          </cell>
          <cell r="M3213">
            <v>0</v>
          </cell>
          <cell r="N3213">
            <v>2.125369929016605</v>
          </cell>
        </row>
        <row r="3214">
          <cell r="K3214">
            <v>45271</v>
          </cell>
          <cell r="L3214" t="str">
            <v>DIA ÚTIL</v>
          </cell>
          <cell r="M3214">
            <v>4.9036999999999997E-2</v>
          </cell>
          <cell r="N3214">
            <v>2.1264121466686969</v>
          </cell>
        </row>
        <row r="3215">
          <cell r="K3215">
            <v>45272</v>
          </cell>
          <cell r="L3215" t="str">
            <v>DIA ÚTIL</v>
          </cell>
          <cell r="M3215">
            <v>4.9036999999999997E-2</v>
          </cell>
          <cell r="N3215">
            <v>2.1274548753930591</v>
          </cell>
        </row>
        <row r="3216">
          <cell r="K3216">
            <v>45273</v>
          </cell>
          <cell r="L3216" t="str">
            <v>DIA ÚTIL</v>
          </cell>
          <cell r="M3216">
            <v>4.9036999999999997E-2</v>
          </cell>
          <cell r="N3216">
            <v>2.1284981154403058</v>
          </cell>
        </row>
        <row r="3217">
          <cell r="K3217">
            <v>45274</v>
          </cell>
          <cell r="L3217" t="str">
            <v>DIA ÚTIL</v>
          </cell>
          <cell r="M3217">
            <v>4.9036999999999997E-2</v>
          </cell>
          <cell r="N3217">
            <v>2.1295418670611745</v>
          </cell>
        </row>
        <row r="3218">
          <cell r="K3218">
            <v>45275</v>
          </cell>
          <cell r="L3218" t="str">
            <v>DIA ÚTIL</v>
          </cell>
          <cell r="M3218">
            <v>4.9036999999999997E-2</v>
          </cell>
          <cell r="N3218">
            <v>2.1305861305065257</v>
          </cell>
        </row>
        <row r="3219">
          <cell r="K3219">
            <v>45276</v>
          </cell>
          <cell r="M3219">
            <v>0</v>
          </cell>
          <cell r="N3219">
            <v>2.1305861305065257</v>
          </cell>
        </row>
        <row r="3220">
          <cell r="K3220">
            <v>45277</v>
          </cell>
          <cell r="M3220">
            <v>0</v>
          </cell>
          <cell r="N3220">
            <v>2.1305861305065257</v>
          </cell>
        </row>
        <row r="3221">
          <cell r="K3221">
            <v>45278</v>
          </cell>
          <cell r="L3221" t="str">
            <v>DIA ÚTIL</v>
          </cell>
          <cell r="M3221">
            <v>4.9036999999999997E-2</v>
          </cell>
          <cell r="N3221">
            <v>2.1316309060273424</v>
          </cell>
        </row>
        <row r="3222">
          <cell r="K3222">
            <v>45279</v>
          </cell>
          <cell r="L3222" t="str">
            <v>DIA ÚTIL</v>
          </cell>
          <cell r="M3222">
            <v>4.9036999999999997E-2</v>
          </cell>
          <cell r="N3222">
            <v>2.1326761938747314</v>
          </cell>
        </row>
        <row r="3223">
          <cell r="K3223">
            <v>45280</v>
          </cell>
          <cell r="L3223" t="str">
            <v>DIA ÚTIL</v>
          </cell>
          <cell r="M3223">
            <v>4.9036999999999997E-2</v>
          </cell>
          <cell r="N3223">
            <v>2.1337219942999219</v>
          </cell>
        </row>
        <row r="3224">
          <cell r="K3224">
            <v>45281</v>
          </cell>
          <cell r="L3224" t="str">
            <v>DIA ÚTIL</v>
          </cell>
          <cell r="M3224">
            <v>4.9036999999999997E-2</v>
          </cell>
          <cell r="N3224">
            <v>2.1347683075542667</v>
          </cell>
        </row>
        <row r="3225">
          <cell r="K3225">
            <v>45282</v>
          </cell>
          <cell r="L3225" t="str">
            <v>DIA ÚTIL</v>
          </cell>
          <cell r="M3225">
            <v>4.9036999999999997E-2</v>
          </cell>
          <cell r="N3225">
            <v>2.1358151338892424</v>
          </cell>
        </row>
        <row r="3226">
          <cell r="K3226">
            <v>45283</v>
          </cell>
          <cell r="M3226">
            <v>0</v>
          </cell>
          <cell r="N3226">
            <v>2.1358151338892424</v>
          </cell>
        </row>
        <row r="3227">
          <cell r="K3227">
            <v>45284</v>
          </cell>
          <cell r="M3227">
            <v>0</v>
          </cell>
          <cell r="N3227">
            <v>2.1358151338892424</v>
          </cell>
        </row>
        <row r="3228">
          <cell r="K3228">
            <v>45285</v>
          </cell>
          <cell r="M3228">
            <v>0</v>
          </cell>
          <cell r="N3228">
            <v>2.1358151338892424</v>
          </cell>
        </row>
        <row r="3229">
          <cell r="K3229">
            <v>45286</v>
          </cell>
          <cell r="L3229" t="str">
            <v>DIA ÚTIL</v>
          </cell>
          <cell r="M3229">
            <v>4.9036999999999997E-2</v>
          </cell>
          <cell r="N3229">
            <v>2.1368624735564477</v>
          </cell>
        </row>
        <row r="3230">
          <cell r="K3230">
            <v>45287</v>
          </cell>
          <cell r="L3230" t="str">
            <v>DIA ÚTIL</v>
          </cell>
          <cell r="M3230">
            <v>4.9036999999999997E-2</v>
          </cell>
          <cell r="N3230">
            <v>2.1379103268076056</v>
          </cell>
        </row>
        <row r="3231">
          <cell r="K3231">
            <v>45288</v>
          </cell>
          <cell r="L3231" t="str">
            <v>DIA ÚTIL</v>
          </cell>
          <cell r="M3231">
            <v>4.9036999999999997E-2</v>
          </cell>
          <cell r="N3231">
            <v>2.1389586938945624</v>
          </cell>
        </row>
        <row r="3232">
          <cell r="K3232">
            <v>45289</v>
          </cell>
          <cell r="L3232" t="str">
            <v>DIA ÚTIL</v>
          </cell>
          <cell r="M3232">
            <v>4.9036999999999997E-2</v>
          </cell>
          <cell r="N3232">
            <v>2.1400075750692875</v>
          </cell>
        </row>
        <row r="3233">
          <cell r="K3233">
            <v>45290</v>
          </cell>
          <cell r="M3233">
            <v>0</v>
          </cell>
          <cell r="N3233">
            <v>2.1400075750692875</v>
          </cell>
        </row>
        <row r="3234">
          <cell r="K3234">
            <v>45291</v>
          </cell>
          <cell r="M3234">
            <v>0</v>
          </cell>
          <cell r="N3234">
            <v>2.1400075750692875</v>
          </cell>
        </row>
        <row r="3235">
          <cell r="K3235">
            <v>45292</v>
          </cell>
          <cell r="M3235">
            <v>0</v>
          </cell>
          <cell r="N3235">
            <v>2.1400075750692875</v>
          </cell>
        </row>
        <row r="3236">
          <cell r="K3236">
            <v>45293</v>
          </cell>
          <cell r="L3236" t="str">
            <v>DIA ÚTIL</v>
          </cell>
          <cell r="M3236">
            <v>4.9036999999999997E-2</v>
          </cell>
          <cell r="N3236">
            <v>2.1410569705838745</v>
          </cell>
        </row>
        <row r="3237">
          <cell r="K3237">
            <v>45294</v>
          </cell>
          <cell r="L3237" t="str">
            <v>DIA ÚTIL</v>
          </cell>
          <cell r="M3237">
            <v>4.9036999999999997E-2</v>
          </cell>
          <cell r="N3237">
            <v>2.1421068806905397</v>
          </cell>
        </row>
        <row r="3238">
          <cell r="K3238">
            <v>45295</v>
          </cell>
          <cell r="L3238" t="str">
            <v>DIA ÚTIL</v>
          </cell>
          <cell r="M3238">
            <v>4.9036999999999997E-2</v>
          </cell>
          <cell r="N3238">
            <v>2.143157305641624</v>
          </cell>
        </row>
        <row r="3239">
          <cell r="K3239">
            <v>45296</v>
          </cell>
          <cell r="L3239" t="str">
            <v>DIA ÚTIL</v>
          </cell>
          <cell r="M3239">
            <v>4.9036999999999997E-2</v>
          </cell>
          <cell r="N3239">
            <v>2.1442082456895917</v>
          </cell>
        </row>
        <row r="3240">
          <cell r="K3240">
            <v>45297</v>
          </cell>
          <cell r="M3240">
            <v>0</v>
          </cell>
          <cell r="N3240">
            <v>2.1442082456895917</v>
          </cell>
        </row>
        <row r="3241">
          <cell r="K3241">
            <v>45298</v>
          </cell>
          <cell r="M3241">
            <v>0</v>
          </cell>
          <cell r="N3241">
            <v>2.1442082456895917</v>
          </cell>
        </row>
        <row r="3242">
          <cell r="K3242">
            <v>45299</v>
          </cell>
          <cell r="L3242" t="str">
            <v>DIA ÚTIL</v>
          </cell>
          <cell r="M3242">
            <v>4.9036999999999997E-2</v>
          </cell>
          <cell r="N3242">
            <v>2.1452597010870305</v>
          </cell>
        </row>
        <row r="3243">
          <cell r="K3243">
            <v>45300</v>
          </cell>
          <cell r="L3243" t="str">
            <v>DIA ÚTIL</v>
          </cell>
          <cell r="M3243">
            <v>4.9036999999999997E-2</v>
          </cell>
          <cell r="N3243">
            <v>2.1463116720866529</v>
          </cell>
        </row>
        <row r="3244">
          <cell r="K3244">
            <v>45301</v>
          </cell>
          <cell r="L3244" t="str">
            <v>DIA ÚTIL</v>
          </cell>
          <cell r="M3244">
            <v>4.9036999999999997E-2</v>
          </cell>
          <cell r="N3244">
            <v>2.147364158941294</v>
          </cell>
        </row>
        <row r="3245">
          <cell r="K3245">
            <v>45302</v>
          </cell>
          <cell r="L3245" t="str">
            <v>DIA ÚTIL</v>
          </cell>
          <cell r="M3245">
            <v>4.9036999999999997E-2</v>
          </cell>
          <cell r="N3245">
            <v>2.1484171619039141</v>
          </cell>
        </row>
        <row r="3246">
          <cell r="K3246">
            <v>45303</v>
          </cell>
          <cell r="L3246" t="str">
            <v>DIA ÚTIL</v>
          </cell>
          <cell r="M3246">
            <v>4.9036999999999997E-2</v>
          </cell>
          <cell r="N3246">
            <v>2.149470681227597</v>
          </cell>
        </row>
        <row r="3247">
          <cell r="K3247">
            <v>45304</v>
          </cell>
          <cell r="M3247">
            <v>0</v>
          </cell>
          <cell r="N3247">
            <v>2.149470681227597</v>
          </cell>
        </row>
        <row r="3248">
          <cell r="K3248">
            <v>45305</v>
          </cell>
          <cell r="M3248">
            <v>0</v>
          </cell>
          <cell r="N3248">
            <v>2.149470681227597</v>
          </cell>
        </row>
        <row r="3249">
          <cell r="K3249">
            <v>45306</v>
          </cell>
          <cell r="L3249" t="str">
            <v>DIA ÚTIL</v>
          </cell>
          <cell r="M3249">
            <v>4.9036999999999997E-2</v>
          </cell>
          <cell r="N3249">
            <v>2.1505247171655508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61.520363310185" createdVersion="4" refreshedVersion="7" minRefreshableVersion="3" recordCount="911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911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45" maxValue="19231"/>
    </cacheField>
    <cacheField name="Daj" numFmtId="4">
      <sharedItems containsSemiMixedTypes="0" containsString="0" containsNumber="1" minValue="-45" maxValue="19231"/>
    </cacheField>
    <cacheField name="TUSD_E" numFmtId="4">
      <sharedItems containsSemiMixedTypes="0" containsString="0" containsNumber="1" minValue="-34.091999999999999" maxValue="12955.120999999999"/>
    </cacheField>
    <cacheField name="TUSD_Eaj" numFmtId="4">
      <sharedItems containsSemiMixedTypes="0" containsString="0" containsNumber="1" minValue="-34.091999999999999" maxValue="12955.120999999999"/>
    </cacheField>
    <cacheField name="TE_E" numFmtId="4">
      <sharedItems containsSemiMixedTypes="0" containsString="0" containsNumber="1" minValue="-34.091999999999999" maxValue="12955.120999999999"/>
    </cacheField>
    <cacheField name="TE_Eaj" numFmtId="4">
      <sharedItems containsSemiMixedTypes="0" containsString="0" containsNumber="1" minValue="-34.091999999999999" maxValue="12955.120999999999"/>
    </cacheField>
    <cacheField name="TUSD/KW" numFmtId="4">
      <sharedItems containsString="0" containsBlank="1" containsNumber="1" minValue="6.87" maxValue="52.95"/>
    </cacheField>
    <cacheField name="TUSD/MWh" numFmtId="4">
      <sharedItems containsString="0" containsBlank="1" containsNumber="1" minValue="85.01" maxValue="1553.42"/>
    </cacheField>
    <cacheField name="TE" numFmtId="4">
      <sharedItems containsString="0" containsBlank="1" containsNumber="1" minValue="95.29" maxValue="173.25"/>
    </cacheField>
    <cacheField name="ReceitaD" numFmtId="4">
      <sharedItems containsString="0" containsBlank="1" containsNumber="1" minValue="-1223.55" maxValue="815588.85000000009"/>
    </cacheField>
    <cacheField name="ReceitaE" numFmtId="4">
      <sharedItems containsString="0" containsBlank="1" containsNumber="1" minValue="-18460.477080000001" maxValue="7015068.4702899996"/>
    </cacheField>
    <cacheField name="Total" numFmtId="4">
      <sharedItems containsString="0" containsBlank="1" containsNumber="1" minValue="-18460.477080000001" maxValue="7015068.4702899996"/>
    </cacheField>
    <cacheField name="Total com Tar de aplicação" numFmtId="4">
      <sharedItems containsString="0" containsBlank="1" containsNumber="1" minValue="-17349.077880000001" maxValue="6592731.5256899996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2098.1983856329357" maxValue="797325.29531501059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minValue="-87.259747843516905" maxValue="33159.116266052173"/>
    </cacheField>
    <cacheField name="CUSD" numFmtId="4">
      <sharedItems containsString="0" containsBlank="1" containsNumber="1" minValue="-83.837050722601504" maxValue="31858.475196363954"/>
    </cacheField>
    <cacheField name="DISTRIBUICAO" numFmtId="4">
      <sharedItems containsString="0" containsBlank="1" containsNumber="1" minValue="-8029.9310107194342" maxValue="3051411.7055474175"/>
    </cacheField>
    <cacheField name="EnergiaRevenda" numFmtId="4">
      <sharedItems containsString="0" containsBlank="1" containsNumber="1" minValue="-5807.2473231944905" maxValue="2206781.4076296706"/>
    </cacheField>
    <cacheField name="ESSERR" numFmtId="4">
      <sharedItems containsString="0" containsBlank="1" containsNumber="1" minValue="-99.113405523212293" maxValue="37663.56216341909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324.18186021457785" maxValue="123190.6378354142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41.178251106053843" maxValue="15647.929885231473"/>
    </cacheField>
    <cacheField name="TUST_FR" numFmtId="4">
      <sharedItems containsString="0" containsBlank="1" containsNumber="1" minValue="-185.23532101374468" maxValue="70390.296761906167"/>
    </cacheField>
    <cacheField name="TUST_RB" numFmtId="4">
      <sharedItems containsString="0" containsBlank="1" containsNumber="1" minValue="-863.72497468258416" maxValue="328219.56933400256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04.77538289912661" maxValue="115816.08480815195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11.33" maxValue="9943.84"/>
    </cacheField>
    <cacheField name="Cofins" numFmtId="4">
      <sharedItems containsSemiMixedTypes="0" containsString="0" containsNumber="1" minValue="-97.37" maxValue="53564.84"/>
    </cacheField>
    <cacheField name="ICMS" numFmtId="4">
      <sharedItems containsSemiMixedTypes="0" containsString="0" containsNumber="1" minValue="-4788.8100000000004" maxValue="2812070.52"/>
    </cacheField>
    <cacheField name="UC" numFmtId="4">
      <sharedItems containsSemiMixedTypes="0" containsString="0" containsNumber="1" containsInteger="1" minValue="0" maxValue="46701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12699.207833106509" maxValue="172575"/>
    </cacheField>
    <cacheField name="Subs_GerFI" numFmtId="4">
      <sharedItems containsString="0" containsBlank="1" containsNumber="1" minValue="20042.099999999999" maxValue="20042.099999999999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19.87644579999994" maxValue="22518.687833999982"/>
    </cacheField>
    <cacheField name="Subs_Rural" numFmtId="4">
      <sharedItems containsString="0" containsBlank="1" containsNumber="1" minValue="-2081.6575199999997" maxValue="529678.83062000014"/>
    </cacheField>
    <cacheField name="Subs_Irrigante" numFmtId="4">
      <sharedItems containsString="0" containsBlank="1" containsNumber="1" minValue="64.302810000000008" maxValue="370.64799200000004"/>
    </cacheField>
    <cacheField name="Subs_BaixaRenda" numFmtId="4">
      <sharedItems containsString="0" containsBlank="1" containsNumber="1" minValue="5.0952000000000002" maxValue="20298.577969999998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6112.0227060936168" maxValue="2322597.4924378227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5266.524700000002" maxValue="6592731.0168000003"/>
    </cacheField>
    <cacheField name="FinAj" numFmtId="4">
      <sharedItems containsSemiMixedTypes="0" containsString="0" containsNumber="1" minValue="-422337.48348999862" maxValue="72492.916079999995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702038.00698999991" maxValue="1847.4454799999999"/>
    </cacheField>
    <cacheField name="FinPostTE" numFmtId="4">
      <sharedItems containsSemiMixedTypes="0" containsString="0" containsNumber="1" minValue="-736.04628000000014" maxValue="279701.06239000004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4335.3015008016373" maxValue="335630.81851649424"/>
    </cacheField>
    <cacheField name="finCT_TUST_FR" numFmtId="4">
      <sharedItems containsString="0" containsBlank="1" containsNumber="1" minValue="-18.458303809148816" maxValue="7014.2426171032421"/>
    </cacheField>
    <cacheField name="finCT_TUST_RB" numFmtId="4">
      <sharedItems containsString="0" containsBlank="1" containsNumber="1" minValue="-86.068347564543274" maxValue="32706.378533635812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86.3243839235829" maxValue="32803.67355920659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735.96317611856739" maxValue="279669.48252259614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38.624747030373385" maxValue="14677.5862775102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27074.643966422766" maxValue="71.24817762051679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3723.1987161306606" maxValue="9.797769594766919"/>
    </cacheField>
    <cacheField name="finCT_TFSEE" numFmtId="4">
      <sharedItems containsString="0" containsBlank="1" containsNumber="1" minValue="-442.70231100389719" maxValue="1.1649916034550998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1076.9413609421774" maxValue="645904.99657089578"/>
    </cacheField>
    <cacheField name="DIST_E" numFmtId="4">
      <sharedItems containsString="0" containsBlank="1" containsNumber="1" minValue="-8029.9310107194342" maxValue="3051411.7055474175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702038.00698999967" maxValue="1847.4454800000003"/>
    </cacheField>
    <cacheField name="Fin_TE" numFmtId="4">
      <sharedItems containsString="0" containsBlank="1" containsNumber="1" minValue="-736.04628000000048" maxValue="279701.06238999963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758022.42743081553" maxValue="1994.7710712984745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minValue="-535.84244617079798" maxValue="203622.66006918557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40" maxValue="240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1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449.3459999999995"/>
    <n v="9449.3459999999995"/>
    <n v="9449.3459999999995"/>
    <n v="9449.3459999999995"/>
    <m/>
    <n v="368.24"/>
    <n v="173.25"/>
    <m/>
    <n v="5116726.3655399997"/>
    <n v="5116726.3655399997"/>
    <n v="4808677.6859400002"/>
    <n v="0"/>
    <n v="581561.7306842379"/>
    <n v="0"/>
    <n v="0"/>
    <n v="24185.954160687117"/>
    <n v="23237.278537410879"/>
    <n v="2225671.6084834458"/>
    <n v="1609606.0443634449"/>
    <n v="27471.455532885841"/>
    <n v="0"/>
    <n v="0"/>
    <n v="0"/>
    <n v="0"/>
    <n v="89854.117214923754"/>
    <m/>
    <n v="11413.456012436509"/>
    <n v="51342.034485508164"/>
    <n v="239400.33247145894"/>
    <n v="0"/>
    <n v="0"/>
    <n v="0"/>
    <n v="0"/>
    <n v="0"/>
    <n v="0"/>
    <n v="0"/>
    <n v="0"/>
    <n v="0"/>
    <n v="0"/>
    <m/>
    <n v="0"/>
    <n v="0"/>
    <n v="0"/>
    <n v="0"/>
    <n v="0"/>
    <n v="84475.186122736442"/>
    <n v="0"/>
    <n v="3531.47"/>
    <n v="32180.33"/>
    <n v="2270175.1800000002"/>
    <n v="46089"/>
    <m/>
    <m/>
    <m/>
    <m/>
    <m/>
    <m/>
    <m/>
    <m/>
    <m/>
    <n v="1694081.2304861813"/>
    <m/>
    <m/>
    <m/>
    <m/>
    <m/>
    <m/>
    <m/>
    <m/>
    <m/>
    <m/>
    <m/>
    <m/>
    <n v="4808679.7215"/>
    <n v="-308046.67403999902"/>
    <m/>
    <m/>
    <m/>
    <m/>
    <n v="-512060.05973999994"/>
    <n v="204011.38014000002"/>
    <n v="31"/>
    <n v="244806.02940146811"/>
    <n v="5116.1239958279111"/>
    <n v="23855.731426306069"/>
    <n v="0"/>
    <n v="0"/>
    <n v="0"/>
    <n v="0"/>
    <n v="0"/>
    <n v="23926.697522315277"/>
    <n v="0"/>
    <n v="0"/>
    <n v="203988.3460754219"/>
    <n v="0"/>
    <n v="0"/>
    <n v="0"/>
    <n v="10705.696317390306"/>
    <n v="0"/>
    <n v="-19747.9960754934"/>
    <m/>
    <n v="0"/>
    <n v="0"/>
    <n v="0"/>
    <n v="0"/>
    <n v="-2715.6668699176516"/>
    <n v="-322.9029903831397"/>
    <n v="0"/>
    <n v="0"/>
    <m/>
    <m/>
    <m/>
    <n v="2225671.6084834458"/>
    <n v="0"/>
    <n v="0"/>
    <n v="-512060.05973999994"/>
    <n v="204011.38014000002"/>
    <n v="0"/>
    <n v="0"/>
    <n v="-552894.58064912446"/>
    <n v="0"/>
    <n v="0"/>
    <n v="0"/>
    <n v="0"/>
    <n v="0"/>
    <n v="0"/>
    <n v="0"/>
    <n v="0"/>
    <n v="0"/>
    <n v="0"/>
    <n v="0"/>
    <n v="0"/>
    <n v="148520.493821255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2.7050000000000001"/>
    <n v="-2.7050000000000001"/>
    <n v="-2.7050000000000001"/>
    <n v="-2.7050000000000001"/>
    <m/>
    <n v="368.24"/>
    <n v="173.25"/>
    <m/>
    <n v="-1464.73045"/>
    <n v="-1464.73045"/>
    <n v="-1376.54745"/>
    <n v="0"/>
    <n v="-166.47972055429693"/>
    <n v="0"/>
    <n v="0"/>
    <n v="-6.923548572002618"/>
    <n v="-6.6519776547177374"/>
    <n v="-637.12787117200719"/>
    <n v="-460.77097293327165"/>
    <n v="-7.8640667001140825"/>
    <n v="0"/>
    <n v="0"/>
    <n v="0"/>
    <n v="0"/>
    <n v="-25.721926900165233"/>
    <m/>
    <n v="-3.2672524123511573"/>
    <n v="-14.697334956651982"/>
    <n v="-68.531504649665322"/>
    <n v="0"/>
    <n v="0"/>
    <n v="0"/>
    <n v="0"/>
    <n v="0"/>
    <n v="0"/>
    <n v="0"/>
    <n v="0"/>
    <n v="0"/>
    <n v="0"/>
    <m/>
    <n v="0"/>
    <n v="0"/>
    <n v="0"/>
    <n v="0"/>
    <n v="0"/>
    <n v="-24.182136886722329"/>
    <n v="0"/>
    <n v="-1.47"/>
    <n v="-13.53"/>
    <n v="-657.48"/>
    <n v="0"/>
    <m/>
    <m/>
    <m/>
    <m/>
    <m/>
    <m/>
    <m/>
    <m/>
    <m/>
    <n v="-484.95310981999398"/>
    <m/>
    <m/>
    <m/>
    <m/>
    <m/>
    <m/>
    <m/>
    <m/>
    <m/>
    <m/>
    <m/>
    <m/>
    <n v="-1379.0918999999999"/>
    <n v="85.60855000000015"/>
    <m/>
    <m/>
    <m/>
    <m/>
    <n v="146.58394999999999"/>
    <n v="-58.400950000000009"/>
    <n v="31"/>
    <n v="-70.078956737426211"/>
    <n v="-1.4645580137201577"/>
    <n v="-6.8290179561800386"/>
    <n v="0"/>
    <n v="0"/>
    <n v="0"/>
    <n v="0"/>
    <n v="0"/>
    <n v="-6.8493329377358831"/>
    <n v="0"/>
    <n v="0"/>
    <n v="-58.394356195023079"/>
    <n v="0"/>
    <n v="0"/>
    <n v="0"/>
    <n v="-3.0646468590038687"/>
    <n v="0"/>
    <n v="5.6531245002785795"/>
    <m/>
    <n v="0"/>
    <n v="0"/>
    <n v="0"/>
    <n v="0"/>
    <n v="0.77739548145736492"/>
    <n v="9.2435242501057058E-2"/>
    <n v="0"/>
    <n v="0"/>
    <m/>
    <m/>
    <m/>
    <n v="-637.12787117200719"/>
    <n v="0"/>
    <n v="0"/>
    <n v="146.58394999999996"/>
    <n v="-58.400949999999966"/>
    <n v="0"/>
    <n v="0"/>
    <n v="158.27337052277289"/>
    <n v="0"/>
    <n v="0"/>
    <n v="0"/>
    <n v="0"/>
    <n v="0"/>
    <n v="0"/>
    <n v="0"/>
    <n v="0"/>
    <n v="0"/>
    <n v="0"/>
    <n v="0"/>
    <n v="0"/>
    <n v="-42.51595145171913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134.80699999999999"/>
    <n v="134.80699999999999"/>
    <n v="134.80699999999999"/>
    <n v="134.80699999999999"/>
    <m/>
    <n v="368.24"/>
    <n v="173.25"/>
    <m/>
    <n v="72996.642429999993"/>
    <n v="72996.642429999993"/>
    <n v="68601.934229999999"/>
    <n v="0"/>
    <n v="8296.7215115575254"/>
    <n v="0"/>
    <n v="0"/>
    <n v="345.04355354748867"/>
    <n v="331.50948306821954"/>
    <n v="31752.050620733742"/>
    <n v="22963.087818194286"/>
    <n v="391.91543055167426"/>
    <n v="0"/>
    <n v="0"/>
    <n v="0"/>
    <n v="0"/>
    <n v="1281.8838445954063"/>
    <m/>
    <n v="162.82754009309517"/>
    <n v="732.45975360494776"/>
    <n v="3415.3517734962784"/>
    <n v="0"/>
    <n v="0"/>
    <n v="0"/>
    <n v="0"/>
    <n v="0"/>
    <n v="0"/>
    <n v="0"/>
    <n v="0"/>
    <n v="0"/>
    <n v="0"/>
    <m/>
    <n v="0"/>
    <n v="0"/>
    <n v="0"/>
    <n v="0"/>
    <n v="0"/>
    <n v="1205.1465165576253"/>
    <n v="0"/>
    <n v="50.29"/>
    <n v="459.91"/>
    <n v="61796.65"/>
    <n v="792"/>
    <m/>
    <m/>
    <m/>
    <m/>
    <m/>
    <m/>
    <m/>
    <m/>
    <m/>
    <n v="24168.234334751913"/>
    <m/>
    <m/>
    <m/>
    <m/>
    <m/>
    <m/>
    <m/>
    <m/>
    <m/>
    <m/>
    <m/>
    <m/>
    <n v="68603.460900000005"/>
    <n v="-4393.2115299999859"/>
    <m/>
    <m/>
    <m/>
    <m/>
    <n v="-7305.1913299999987"/>
    <n v="2910.4831300000001"/>
    <n v="31"/>
    <n v="3492.4709504259517"/>
    <n v="72.988048856034311"/>
    <n v="340.33250411044764"/>
    <n v="0"/>
    <n v="0"/>
    <n v="0"/>
    <n v="0"/>
    <n v="0"/>
    <n v="341.34492618756417"/>
    <n v="0"/>
    <n v="0"/>
    <n v="2910.154519623833"/>
    <n v="0"/>
    <n v="0"/>
    <n v="0"/>
    <n v="152.73044329823824"/>
    <n v="0"/>
    <n v="-281.73040832127845"/>
    <m/>
    <n v="0"/>
    <n v="0"/>
    <n v="0"/>
    <n v="0"/>
    <n v="-38.742459396976983"/>
    <n v="-4.6066239319186764"/>
    <n v="0"/>
    <n v="0"/>
    <m/>
    <m/>
    <m/>
    <n v="31752.050620733742"/>
    <n v="0"/>
    <n v="0"/>
    <n v="-7305.1913299999942"/>
    <n v="2910.4831300000005"/>
    <n v="0"/>
    <n v="0"/>
    <n v="-7887.7479704485959"/>
    <n v="0"/>
    <n v="0"/>
    <n v="0"/>
    <n v="0"/>
    <n v="0"/>
    <n v="0"/>
    <n v="0"/>
    <n v="0"/>
    <n v="0"/>
    <n v="0"/>
    <n v="0"/>
    <n v="0"/>
    <n v="2118.8347014239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22.736999999999998"/>
    <n v="22.736999999999998"/>
    <n v="22.736999999999998"/>
    <n v="22.736999999999998"/>
    <m/>
    <n v="281.47000000000003"/>
    <n v="173.25"/>
    <m/>
    <n v="10338.968639999999"/>
    <n v="10338.968639999999"/>
    <n v="9651.8564999999999"/>
    <n v="0"/>
    <n v="0"/>
    <n v="0"/>
    <n v="0"/>
    <n v="58.196201065295199"/>
    <n v="55.913499421559031"/>
    <n v="5355.4071744317662"/>
    <n v="3873.0312796982612"/>
    <n v="66.101768783916398"/>
    <n v="0"/>
    <n v="0"/>
    <n v="0"/>
    <n v="0"/>
    <n v="0"/>
    <m/>
    <n v="27.46303811446516"/>
    <n v="123.53911456909283"/>
    <n v="576.04466588519051"/>
    <n v="0"/>
    <n v="0"/>
    <n v="0"/>
    <n v="0"/>
    <n v="0"/>
    <n v="0"/>
    <n v="0"/>
    <n v="0"/>
    <n v="0"/>
    <n v="0"/>
    <m/>
    <n v="0"/>
    <n v="0"/>
    <n v="0"/>
    <n v="0"/>
    <n v="0"/>
    <n v="203.26404672584306"/>
    <n v="0"/>
    <n v="0"/>
    <n v="15.54"/>
    <n v="1387.89"/>
    <n v="20"/>
    <m/>
    <m/>
    <m/>
    <m/>
    <m/>
    <m/>
    <m/>
    <n v="6273.8204099999994"/>
    <m/>
    <n v="4076.2953264241041"/>
    <m/>
    <m/>
    <m/>
    <m/>
    <m/>
    <m/>
    <m/>
    <m/>
    <m/>
    <m/>
    <m/>
    <m/>
    <n v="3378.4817999999996"/>
    <n v="-240.36912000000075"/>
    <m/>
    <m/>
    <m/>
    <m/>
    <n v="-1178.0039700000007"/>
    <n v="490.89183000000003"/>
    <n v="31"/>
    <n v="643.10387140982766"/>
    <n v="12.310408709040715"/>
    <n v="57.401619693037105"/>
    <n v="0"/>
    <n v="0"/>
    <n v="0"/>
    <n v="0"/>
    <n v="0"/>
    <n v="57.572378190499357"/>
    <n v="0"/>
    <n v="0"/>
    <n v="490.83640547365621"/>
    <n v="0"/>
    <n v="0"/>
    <n v="0"/>
    <n v="25.760027960506847"/>
    <n v="0"/>
    <n v="0"/>
    <m/>
    <n v="0"/>
    <n v="0"/>
    <n v="0"/>
    <n v="0"/>
    <n v="0"/>
    <n v="-0.77696861691184438"/>
    <n v="0"/>
    <n v="0"/>
    <m/>
    <m/>
    <m/>
    <n v="5355.4071744317662"/>
    <n v="0"/>
    <n v="0"/>
    <n v="-1178.0039700000007"/>
    <n v="490.89183000000048"/>
    <n v="0"/>
    <n v="0"/>
    <n v="-1330.373983577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8.524999999999999"/>
    <n v="48.524999999999999"/>
    <n v="48.524999999999999"/>
    <n v="48.524999999999999"/>
    <m/>
    <n v="281.47000000000003"/>
    <n v="173.25"/>
    <m/>
    <n v="22065.288"/>
    <n v="22065.288"/>
    <n v="20598.862500000003"/>
    <n v="0"/>
    <n v="0"/>
    <n v="0"/>
    <n v="0"/>
    <n v="124.20155063084178"/>
    <n v="119.32983944368878"/>
    <n v="11429.438058640166"/>
    <n v="8265.7713351523125"/>
    <n v="141.07350706951416"/>
    <n v="0"/>
    <n v="0"/>
    <n v="0"/>
    <n v="0"/>
    <n v="0"/>
    <m/>
    <n v="58.611247064450978"/>
    <n v="263.65551895435766"/>
    <n v="1229.3867885859556"/>
    <n v="0"/>
    <n v="0"/>
    <n v="0"/>
    <n v="0"/>
    <n v="0"/>
    <n v="0"/>
    <n v="0"/>
    <n v="0"/>
    <n v="0"/>
    <n v="0"/>
    <m/>
    <n v="0"/>
    <n v="0"/>
    <n v="0"/>
    <n v="0"/>
    <n v="0"/>
    <n v="433.80339830987094"/>
    <n v="0"/>
    <n v="7.33"/>
    <n v="80.739999999999995"/>
    <n v="5520.89"/>
    <n v="116"/>
    <m/>
    <m/>
    <m/>
    <m/>
    <m/>
    <m/>
    <m/>
    <n v="8240.0302499999998"/>
    <m/>
    <n v="8699.5747334621828"/>
    <m/>
    <m/>
    <m/>
    <m/>
    <m/>
    <m/>
    <m/>
    <m/>
    <m/>
    <m/>
    <m/>
    <m/>
    <n v="12360.1057"/>
    <n v="-879.00005000000056"/>
    <m/>
    <m/>
    <m/>
    <m/>
    <n v="-2514.0802500000013"/>
    <n v="1047.6547500000001"/>
    <n v="31"/>
    <n v="1372.5036442873698"/>
    <n v="26.272708915257112"/>
    <n v="122.50576573886724"/>
    <n v="0"/>
    <n v="0"/>
    <n v="0"/>
    <n v="0"/>
    <n v="0"/>
    <n v="122.87019623054853"/>
    <n v="0"/>
    <n v="0"/>
    <n v="1047.5364637203311"/>
    <n v="0"/>
    <n v="0"/>
    <n v="0"/>
    <n v="54.976705668452041"/>
    <n v="0"/>
    <n v="0"/>
    <m/>
    <n v="0"/>
    <n v="0"/>
    <n v="0"/>
    <n v="0"/>
    <n v="0"/>
    <n v="-1.658195986086433"/>
    <n v="0"/>
    <n v="0"/>
    <m/>
    <m/>
    <m/>
    <n v="11429.438058640166"/>
    <n v="0"/>
    <n v="0"/>
    <n v="-2514.0802500000009"/>
    <n v="1047.6547500000015"/>
    <n v="0"/>
    <n v="0"/>
    <n v="-2839.2662863650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50.924999999999997"/>
    <n v="50.924999999999997"/>
    <n v="50.924999999999997"/>
    <n v="50.924999999999997"/>
    <m/>
    <n v="281.47000000000003"/>
    <n v="173.25"/>
    <m/>
    <n v="23156.616000000002"/>
    <n v="23156.616000000002"/>
    <n v="21617.662499999999"/>
    <n v="0"/>
    <n v="0"/>
    <n v="0"/>
    <n v="0"/>
    <n v="130.34444030655575"/>
    <n v="125.23177895249565"/>
    <n v="11994.72711254509"/>
    <n v="8674.5884645570641"/>
    <n v="148.05086754281317"/>
    <n v="0"/>
    <n v="0"/>
    <n v="0"/>
    <n v="0"/>
    <n v="0"/>
    <m/>
    <n v="61.510103178921511"/>
    <n v="276.6956682689472"/>
    <n v="1290.19108106625"/>
    <n v="0"/>
    <n v="0"/>
    <n v="0"/>
    <n v="0"/>
    <n v="0"/>
    <n v="0"/>
    <n v="0"/>
    <n v="0"/>
    <n v="0"/>
    <n v="0"/>
    <m/>
    <n v="0"/>
    <n v="0"/>
    <n v="0"/>
    <n v="0"/>
    <n v="0"/>
    <n v="455.25889868995728"/>
    <n v="0"/>
    <n v="16.63"/>
    <n v="146.47999999999999"/>
    <n v="10283.290000000001"/>
    <n v="375"/>
    <m/>
    <m/>
    <m/>
    <m/>
    <m/>
    <m/>
    <m/>
    <n v="2162.2755000000002"/>
    <m/>
    <n v="9129.8473632470213"/>
    <m/>
    <m/>
    <m/>
    <m/>
    <m/>
    <m/>
    <m/>
    <m/>
    <m/>
    <m/>
    <m/>
    <m/>
    <n v="19457.297200000001"/>
    <n v="-1383.279799999993"/>
    <m/>
    <m/>
    <m/>
    <m/>
    <n v="-2638.4242500000014"/>
    <n v="1099.4707500000002"/>
    <n v="31"/>
    <n v="1440.3863593062179"/>
    <n v="27.572131921884989"/>
    <n v="128.56478351884221"/>
    <n v="0"/>
    <n v="0"/>
    <n v="0"/>
    <n v="0"/>
    <n v="0"/>
    <n v="128.94723839341952"/>
    <n v="0"/>
    <n v="0"/>
    <n v="1099.3466133942875"/>
    <n v="0"/>
    <n v="0"/>
    <n v="0"/>
    <n v="57.695800848344561"/>
    <n v="0"/>
    <n v="0"/>
    <m/>
    <n v="0"/>
    <n v="0"/>
    <n v="0"/>
    <n v="0"/>
    <n v="0"/>
    <n v="-1.7402087705605709"/>
    <n v="0"/>
    <n v="0"/>
    <m/>
    <m/>
    <m/>
    <n v="11994.72711254509"/>
    <n v="0"/>
    <n v="0"/>
    <n v="-2638.4242500000018"/>
    <n v="1099.4707499999986"/>
    <n v="0"/>
    <n v="0"/>
    <n v="-2979.6936761080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27.248999999999999"/>
    <n v="27.248999999999999"/>
    <n v="27.248999999999999"/>
    <n v="27.248999999999999"/>
    <m/>
    <n v="281.47000000000003"/>
    <n v="173.25"/>
    <m/>
    <n v="12390.665280000001"/>
    <n v="12390.665280000001"/>
    <n v="11567.200499999999"/>
    <n v="0"/>
    <n v="0"/>
    <n v="0"/>
    <n v="0"/>
    <n v="69.744833655637464"/>
    <n v="67.00914569811593"/>
    <n v="6418.1505957730215"/>
    <n v="4641.6074829791942"/>
    <n v="79.219206473718529"/>
    <n v="0"/>
    <n v="0"/>
    <n v="0"/>
    <n v="0"/>
    <n v="0"/>
    <m/>
    <n v="32.912887609669752"/>
    <n v="148.0545952805212"/>
    <n v="690.35673574814439"/>
    <n v="0"/>
    <n v="0"/>
    <n v="0"/>
    <n v="0"/>
    <n v="0"/>
    <n v="0"/>
    <n v="0"/>
    <n v="0"/>
    <n v="0"/>
    <n v="0"/>
    <m/>
    <n v="0"/>
    <n v="0"/>
    <n v="0"/>
    <n v="0"/>
    <n v="0"/>
    <n v="243.60038744040543"/>
    <n v="0"/>
    <n v="13.26"/>
    <n v="107.1"/>
    <n v="7710.57"/>
    <n v="247"/>
    <m/>
    <m/>
    <m/>
    <m/>
    <m/>
    <m/>
    <m/>
    <m/>
    <m/>
    <n v="4885.2078704195992"/>
    <m/>
    <m/>
    <m/>
    <m/>
    <m/>
    <m/>
    <m/>
    <m/>
    <m/>
    <m/>
    <m/>
    <m/>
    <n v="11567.625"/>
    <n v="-823.07028000000173"/>
    <m/>
    <m/>
    <m/>
    <m/>
    <n v="-1411.7706900000007"/>
    <n v="588.30591000000004"/>
    <n v="31"/>
    <n v="770.72337564526424"/>
    <n v="14.75332396150111"/>
    <n v="68.792573119389772"/>
    <n v="0"/>
    <n v="0"/>
    <n v="0"/>
    <n v="0"/>
    <n v="0"/>
    <n v="68.997217456696887"/>
    <n v="0"/>
    <n v="0"/>
    <n v="588.23948686069525"/>
    <n v="0"/>
    <n v="0"/>
    <n v="0"/>
    <n v="30.871926898704771"/>
    <n v="0"/>
    <n v="0"/>
    <m/>
    <n v="0"/>
    <n v="0"/>
    <n v="0"/>
    <n v="0"/>
    <n v="0"/>
    <n v="-0.93115265172322026"/>
    <n v="0"/>
    <n v="0"/>
    <m/>
    <m/>
    <m/>
    <n v="6418.1505957730215"/>
    <n v="0"/>
    <n v="0"/>
    <n v="-1411.7706900000003"/>
    <n v="588.30591000000004"/>
    <n v="0"/>
    <n v="0"/>
    <n v="-1594.3774762939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Ponta"/>
    <s v="CATIVO"/>
    <x v="0"/>
    <n v="0"/>
    <n v="0"/>
    <n v="0.65200000000000002"/>
    <n v="0.65200000000000002"/>
    <n v="0.65200000000000002"/>
    <n v="0.65200000000000002"/>
    <m/>
    <n v="775.22"/>
    <n v="173.25"/>
    <m/>
    <n v="618.40244000000007"/>
    <n v="618.40244000000007"/>
    <n v="545.39800000000002"/>
    <n v="0"/>
    <n v="40.127459445989501"/>
    <n v="0"/>
    <n v="0"/>
    <n v="4.1717501897477156"/>
    <n v="4.0081352245441026"/>
    <n v="383.9254122290086"/>
    <n v="111.06198682162407"/>
    <n v="1.8955162619128951"/>
    <n v="0"/>
    <n v="0"/>
    <n v="0"/>
    <n v="0"/>
    <n v="6.199887740816167"/>
    <m/>
    <n v="0.78752257776449341"/>
    <n v="8.8559328196323026"/>
    <n v="41.293601179479055"/>
    <n v="0"/>
    <n v="0"/>
    <n v="0"/>
    <n v="0"/>
    <n v="0"/>
    <n v="0"/>
    <n v="0"/>
    <n v="0"/>
    <n v="0"/>
    <n v="0"/>
    <m/>
    <n v="0"/>
    <n v="0"/>
    <n v="0"/>
    <n v="0"/>
    <n v="0"/>
    <n v="5.8287442699234591"/>
    <n v="0"/>
    <n v="0"/>
    <n v="0"/>
    <n v="0"/>
    <n v="0"/>
    <m/>
    <m/>
    <m/>
    <m/>
    <m/>
    <m/>
    <m/>
    <m/>
    <m/>
    <n v="116.89073109154754"/>
    <m/>
    <m/>
    <m/>
    <m/>
    <m/>
    <m/>
    <m/>
    <m/>
    <m/>
    <m/>
    <m/>
    <m/>
    <n v="543.72500000000002"/>
    <n v="-74.70744000000002"/>
    <m/>
    <m/>
    <m/>
    <m/>
    <n v="-87.081120000000041"/>
    <n v="14.076680000000003"/>
    <n v="31"/>
    <n v="22.365861997959456"/>
    <n v="0.88247477642803851"/>
    <n v="4.1148190948317946"/>
    <n v="0"/>
    <n v="0"/>
    <n v="0"/>
    <n v="0"/>
    <n v="0"/>
    <n v="4.1270512375968265"/>
    <n v="0"/>
    <n v="0"/>
    <n v="14.075090661425151"/>
    <n v="0"/>
    <n v="0"/>
    <n v="0"/>
    <n v="0.73868752387080416"/>
    <n v="0"/>
    <n v="-1.3626015431355398"/>
    <m/>
    <n v="0"/>
    <n v="0"/>
    <n v="0"/>
    <n v="0"/>
    <n v="-0.18737961327548991"/>
    <n v="-2.2280139782140274E-2"/>
    <n v="0"/>
    <n v="0"/>
    <m/>
    <m/>
    <m/>
    <n v="383.9254122290086"/>
    <n v="0"/>
    <n v="0"/>
    <n v="-87.081119999999999"/>
    <n v="14.07668000000001"/>
    <n v="0"/>
    <n v="0"/>
    <n v="-95.373584757877836"/>
    <n v="0"/>
    <n v="0"/>
    <n v="0"/>
    <n v="0"/>
    <n v="0"/>
    <n v="0"/>
    <n v="0"/>
    <n v="0"/>
    <n v="0"/>
    <n v="0"/>
    <n v="0"/>
    <n v="0"/>
    <n v="10.24783746636631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Fora ponta"/>
    <s v="CATIVO"/>
    <x v="0"/>
    <n v="0"/>
    <n v="0"/>
    <n v="4.569"/>
    <n v="4.569"/>
    <n v="4.569"/>
    <n v="4.569"/>
    <m/>
    <n v="232.58"/>
    <n v="173.25"/>
    <m/>
    <n v="1854.2372700000001"/>
    <n v="1854.2372700000001"/>
    <n v="1826.18361"/>
    <n v="0"/>
    <n v="281.19994203792334"/>
    <n v="0"/>
    <n v="0"/>
    <n v="5.8472631100702328"/>
    <n v="5.6179086699455345"/>
    <n v="538.08451818574883"/>
    <n v="778.28561010429507"/>
    <n v="13.283150001042973"/>
    <n v="0"/>
    <n v="0"/>
    <n v="0"/>
    <n v="0"/>
    <n v="43.446759337099799"/>
    <m/>
    <n v="5.5186973279232676"/>
    <n v="12.413094601890133"/>
    <n v="57.878085904680383"/>
    <n v="0"/>
    <n v="0"/>
    <n v="0"/>
    <n v="0"/>
    <n v="0"/>
    <n v="0"/>
    <n v="0"/>
    <n v="0"/>
    <n v="0"/>
    <n v="0"/>
    <m/>
    <n v="0"/>
    <n v="0"/>
    <n v="0"/>
    <n v="0"/>
    <n v="0"/>
    <n v="40.845908848589396"/>
    <n v="0"/>
    <n v="0"/>
    <n v="0"/>
    <n v="0"/>
    <n v="0"/>
    <m/>
    <m/>
    <m/>
    <m/>
    <m/>
    <m/>
    <m/>
    <m/>
    <m/>
    <n v="819.13151895288445"/>
    <m/>
    <m/>
    <m/>
    <m/>
    <m/>
    <m/>
    <m/>
    <m/>
    <m/>
    <m/>
    <m/>
    <m/>
    <n v="1826.5833"/>
    <n v="-27.683970000000045"/>
    <m/>
    <m/>
    <m/>
    <m/>
    <n v="-126.69837000000008"/>
    <n v="98.644710000000018"/>
    <n v="31"/>
    <n v="105.58111400153302"/>
    <n v="1.2369383448008353"/>
    <n v="5.7674275493135951"/>
    <n v="0"/>
    <n v="0"/>
    <n v="0"/>
    <n v="0"/>
    <n v="0"/>
    <n v="5.7845845087828556"/>
    <n v="0"/>
    <n v="0"/>
    <n v="98.633572441796787"/>
    <n v="0"/>
    <n v="0"/>
    <n v="0"/>
    <n v="5.1764774487203979"/>
    <n v="0"/>
    <n v="-9.5486602002857239"/>
    <m/>
    <n v="0"/>
    <n v="0"/>
    <n v="0"/>
    <n v="0"/>
    <n v="-1.3130942531529399"/>
    <n v="-0.15613183844263645"/>
    <n v="0"/>
    <n v="0"/>
    <m/>
    <m/>
    <m/>
    <n v="538.08451818574883"/>
    <n v="0"/>
    <n v="0"/>
    <n v="-126.69837000000007"/>
    <n v="98.644710000000032"/>
    <n v="0"/>
    <n v="0"/>
    <n v="-133.66932161156137"/>
    <n v="0"/>
    <n v="0"/>
    <n v="0"/>
    <n v="0"/>
    <n v="0"/>
    <n v="0"/>
    <n v="0"/>
    <n v="0"/>
    <n v="0"/>
    <n v="0"/>
    <n v="0"/>
    <n v="0"/>
    <n v="71.81344997519583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0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5"/>
    <n v="17.77"/>
    <n v="1265.48"/>
    <n v="1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1"/>
    <s v="Regular"/>
    <s v="Branca"/>
    <s v="B1"/>
    <s v="Residencial"/>
    <s v="Residencial"/>
    <s v="Não se aplica"/>
    <s v="Não se aplica"/>
    <s v="Intermediário"/>
    <s v="CATIVO"/>
    <x v="0"/>
    <n v="0"/>
    <n v="0"/>
    <n v="0.40799999999999997"/>
    <n v="0.40799999999999997"/>
    <n v="0.40799999999999997"/>
    <n v="0.40799999999999997"/>
    <m/>
    <n v="503.9"/>
    <n v="173.25"/>
    <m/>
    <n v="276.27719999999999"/>
    <n v="276.27719999999999"/>
    <n v="252.18071999999998"/>
    <n v="0"/>
    <n v="25.11043474534312"/>
    <n v="0"/>
    <n v="0"/>
    <n v="1.5662518186517354"/>
    <n v="1.5048313851499706"/>
    <n v="144.14862086962484"/>
    <n v="69.498911998807699"/>
    <n v="1.1861512804608301"/>
    <n v="0"/>
    <n v="0"/>
    <n v="0"/>
    <n v="0"/>
    <n v="3.8796843531487668"/>
    <m/>
    <n v="0.49280553945998967"/>
    <n v="3.3249239883142083"/>
    <n v="15.503437887594485"/>
    <n v="0"/>
    <n v="0"/>
    <n v="0"/>
    <n v="0"/>
    <n v="0"/>
    <n v="0"/>
    <n v="0"/>
    <n v="0"/>
    <n v="0"/>
    <n v="0"/>
    <m/>
    <n v="0"/>
    <n v="0"/>
    <n v="0"/>
    <n v="0"/>
    <n v="0"/>
    <n v="3.6474350646146796"/>
    <n v="0"/>
    <n v="0"/>
    <n v="0"/>
    <n v="0"/>
    <n v="0"/>
    <m/>
    <m/>
    <m/>
    <m/>
    <m/>
    <m/>
    <m/>
    <m/>
    <m/>
    <n v="73.146347063422382"/>
    <m/>
    <m/>
    <m/>
    <m/>
    <m/>
    <m/>
    <m/>
    <m/>
    <m/>
    <m/>
    <m/>
    <m/>
    <n v="253.4169"/>
    <n v="-22.890299999999968"/>
    <m/>
    <m/>
    <m/>
    <m/>
    <n v="-32.905199999999986"/>
    <n v="8.808720000000001"/>
    <n v="31"/>
    <n v="11.71178632989114"/>
    <n v="0.33132156860125095"/>
    <n v="1.5448844477898103"/>
    <n v="0"/>
    <n v="0"/>
    <n v="0"/>
    <n v="0"/>
    <n v="0"/>
    <n v="1.5494777203192183"/>
    <n v="0"/>
    <n v="0"/>
    <n v="8.8077254445727959"/>
    <n v="0"/>
    <n v="0"/>
    <n v="0"/>
    <n v="0.46224618058173039"/>
    <n v="0"/>
    <n v="-0.85267090429340442"/>
    <m/>
    <n v="0"/>
    <n v="0"/>
    <n v="0"/>
    <n v="0"/>
    <n v="-0.11725595431963187"/>
    <n v="-1.3942173360603105E-2"/>
    <n v="0"/>
    <n v="0"/>
    <m/>
    <m/>
    <m/>
    <n v="144.14862086962484"/>
    <n v="0"/>
    <n v="0"/>
    <n v="-32.905200000000008"/>
    <n v="8.8087200000000081"/>
    <n v="0"/>
    <n v="0"/>
    <n v="-35.808962554528222"/>
    <n v="0"/>
    <n v="0"/>
    <n v="0"/>
    <n v="0"/>
    <n v="0"/>
    <n v="0"/>
    <n v="0"/>
    <n v="0"/>
    <n v="0"/>
    <n v="0"/>
    <n v="0"/>
    <n v="0"/>
    <n v="6.41275718754210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2"/>
    <s v="Regular"/>
    <s v="Convencional"/>
    <s v="B3"/>
    <s v="Industrial"/>
    <s v="Não se aplica"/>
    <s v="Não se aplica"/>
    <s v="Não se aplica"/>
    <s v="Não se aplica"/>
    <s v="CATIVO"/>
    <x v="0"/>
    <n v="0"/>
    <n v="0"/>
    <n v="557.70600000000002"/>
    <n v="557.70600000000002"/>
    <n v="557.70600000000002"/>
    <n v="557.70600000000002"/>
    <m/>
    <n v="368.24"/>
    <n v="173.25"/>
    <m/>
    <n v="301992.22194000002"/>
    <n v="301992.22194000002"/>
    <n v="283811.00634000002"/>
    <n v="0"/>
    <n v="34324.117941388067"/>
    <n v="0"/>
    <n v="0"/>
    <n v="1427.4693456182226"/>
    <n v="1371.4779482077672"/>
    <n v="131360.4571237913"/>
    <n v="94999.90248825257"/>
    <n v="1621.3815833840385"/>
    <n v="0"/>
    <n v="0"/>
    <n v="0"/>
    <n v="0"/>
    <n v="5303.2432398460451"/>
    <m/>
    <n v="673.62893674037514"/>
    <n v="3030.2372973510355"/>
    <n v="14129.549475839649"/>
    <n v="0"/>
    <n v="0"/>
    <n v="0"/>
    <n v="0"/>
    <n v="0"/>
    <n v="0"/>
    <n v="0"/>
    <n v="0"/>
    <n v="0"/>
    <n v="0"/>
    <m/>
    <n v="0"/>
    <n v="0"/>
    <n v="0"/>
    <n v="0"/>
    <n v="0"/>
    <n v="4985.7755395735167"/>
    <n v="0"/>
    <n v="219.62"/>
    <n v="1898.55"/>
    <n v="67188.92"/>
    <n v="347"/>
    <m/>
    <m/>
    <m/>
    <m/>
    <m/>
    <m/>
    <m/>
    <m/>
    <m/>
    <n v="99985.678027826085"/>
    <m/>
    <m/>
    <m/>
    <m/>
    <m/>
    <m/>
    <m/>
    <m/>
    <m/>
    <m/>
    <m/>
    <m/>
    <n v="283813.04190000001"/>
    <n v="-18179.210040000034"/>
    <m/>
    <m/>
    <m/>
    <m/>
    <n v="-30222.08814"/>
    <n v="12040.872540000002"/>
    <n v="31"/>
    <n v="14448.596911720117"/>
    <n v="301.95666972266645"/>
    <n v="1407.9794041661135"/>
    <n v="0"/>
    <n v="0"/>
    <n v="0"/>
    <n v="0"/>
    <n v="0"/>
    <n v="1412.1678652025614"/>
    <n v="0"/>
    <n v="0"/>
    <n v="12039.513055860079"/>
    <n v="0"/>
    <n v="0"/>
    <n v="0"/>
    <n v="631.85654016547596"/>
    <n v="0"/>
    <n v="-1165.5384297790661"/>
    <m/>
    <n v="0"/>
    <n v="0"/>
    <n v="0"/>
    <n v="0"/>
    <n v="-160.2802677935897"/>
    <n v="-19.057925824138579"/>
    <n v="0"/>
    <n v="0"/>
    <m/>
    <m/>
    <m/>
    <n v="131360.4571237913"/>
    <n v="0"/>
    <n v="0"/>
    <n v="-30222.088140000007"/>
    <n v="12040.872539999997"/>
    <n v="0"/>
    <n v="0"/>
    <n v="-32632.165759990239"/>
    <n v="0"/>
    <n v="0"/>
    <n v="0"/>
    <n v="0"/>
    <n v="0"/>
    <n v="0"/>
    <n v="0"/>
    <n v="0"/>
    <n v="0"/>
    <n v="0"/>
    <n v="0"/>
    <n v="0"/>
    <n v="8765.767549106274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58.402000000000001"/>
    <n v="58.402000000000001"/>
    <n v="58.402000000000001"/>
    <n v="58.402000000000001"/>
    <m/>
    <n v="368.24"/>
    <n v="173.25"/>
    <m/>
    <n v="31624.098980000002"/>
    <n v="31624.098980000002"/>
    <n v="29720.193780000001"/>
    <n v="0"/>
    <n v="3594.3617892096299"/>
    <n v="0"/>
    <n v="0"/>
    <n v="149.48210118376966"/>
    <n v="143.61877966389105"/>
    <n v="13755.838052564719"/>
    <n v="9948.2241631234501"/>
    <n v="169.7882526506701"/>
    <n v="0"/>
    <n v="0"/>
    <n v="0"/>
    <n v="0"/>
    <n v="555.34638625635864"/>
    <m/>
    <n v="70.541247832211567"/>
    <n v="317.32116677944146"/>
    <n v="1479.6217872642346"/>
    <n v="0"/>
    <n v="0"/>
    <n v="0"/>
    <n v="0"/>
    <n v="0"/>
    <n v="0"/>
    <n v="0"/>
    <n v="0"/>
    <n v="0"/>
    <n v="0"/>
    <m/>
    <n v="0"/>
    <n v="0"/>
    <n v="0"/>
    <n v="0"/>
    <n v="0"/>
    <n v="522.10172216575131"/>
    <n v="0"/>
    <n v="23.12"/>
    <n v="199.78"/>
    <n v="10138.65"/>
    <n v="39"/>
    <m/>
    <m/>
    <m/>
    <m/>
    <m/>
    <m/>
    <m/>
    <m/>
    <m/>
    <n v="10470.325885289201"/>
    <m/>
    <m/>
    <m/>
    <m/>
    <m/>
    <m/>
    <m/>
    <m/>
    <m/>
    <m/>
    <m/>
    <m/>
    <n v="29719.175999999999"/>
    <n v="-1904.9529799999982"/>
    <m/>
    <m/>
    <m/>
    <m/>
    <n v="-3164.80438"/>
    <n v="1260.8991800000001"/>
    <n v="31"/>
    <n v="1513.0318785135496"/>
    <n v="31.620376013783527"/>
    <n v="147.44114849420544"/>
    <n v="0"/>
    <n v="0"/>
    <n v="0"/>
    <n v="0"/>
    <n v="0"/>
    <n v="147.87975683166397"/>
    <n v="0"/>
    <n v="0"/>
    <n v="1260.7568171910298"/>
    <n v="0"/>
    <n v="0"/>
    <n v="0"/>
    <n v="66.166915290034808"/>
    <n v="0"/>
    <n v="-122.05315233466536"/>
    <m/>
    <n v="0"/>
    <n v="0"/>
    <n v="0"/>
    <n v="0"/>
    <n v="-16.784270206311703"/>
    <n v="-1.9957127661910334"/>
    <n v="0"/>
    <n v="0"/>
    <m/>
    <m/>
    <m/>
    <n v="13755.838052564719"/>
    <n v="0"/>
    <n v="0"/>
    <n v="-3164.8043799999978"/>
    <n v="1260.8991800000003"/>
    <n v="0"/>
    <n v="0"/>
    <n v="-3417.1835065696796"/>
    <n v="0"/>
    <n v="0"/>
    <n v="0"/>
    <n v="0"/>
    <n v="0"/>
    <n v="0"/>
    <n v="0"/>
    <n v="0"/>
    <n v="0"/>
    <n v="0"/>
    <n v="0"/>
    <n v="0"/>
    <n v="917.9358952618487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"/>
    <s v="Regular"/>
    <s v="Azul"/>
    <s v="A4"/>
    <s v="Industrial"/>
    <s v="Não se aplica"/>
    <s v="Não se aplica"/>
    <s v="Não se aplica"/>
    <s v="Ponta"/>
    <s v="CATIVO"/>
    <x v="0"/>
    <n v="15378"/>
    <n v="15378"/>
    <n v="649.05799999999999"/>
    <n v="649.05799999999999"/>
    <n v="649.05799999999999"/>
    <n v="649.05799999999999"/>
    <n v="52.95"/>
    <n v="85.01"/>
    <n v="173.25"/>
    <n v="814265.10000000009"/>
    <n v="167625.71908000001"/>
    <n v="981890.81908000016"/>
    <n v="861349.49286"/>
    <n v="0"/>
    <n v="34753.36235980472"/>
    <n v="0"/>
    <n v="0"/>
    <n v="12112.731645663607"/>
    <n v="11637.328457168247"/>
    <n v="644856.65372117341"/>
    <n v="110560.84515716208"/>
    <n v="1886.9631808660429"/>
    <n v="0"/>
    <n v="0"/>
    <n v="0"/>
    <n v="0"/>
    <n v="6171.9121737402756"/>
    <m/>
    <n v="519.77462114249056"/>
    <n v="25712.798473304199"/>
    <n v="119893.42234273053"/>
    <n v="0"/>
    <n v="0"/>
    <n v="0"/>
    <n v="0"/>
    <n v="0"/>
    <n v="0"/>
    <n v="0"/>
    <n v="0"/>
    <n v="0"/>
    <n v="0"/>
    <m/>
    <n v="0"/>
    <n v="0"/>
    <n v="0"/>
    <n v="0"/>
    <n v="0"/>
    <n v="4854.0818844521373"/>
    <n v="0"/>
    <n v="0"/>
    <n v="0"/>
    <n v="0"/>
    <n v="0"/>
    <m/>
    <m/>
    <m/>
    <m/>
    <m/>
    <m/>
    <m/>
    <m/>
    <m/>
    <n v="115414.92704161422"/>
    <m/>
    <m/>
    <m/>
    <m/>
    <m/>
    <m/>
    <m/>
    <m/>
    <m/>
    <m/>
    <m/>
    <m/>
    <n v="861350.05019999994"/>
    <n v="-120540.79888000025"/>
    <m/>
    <m/>
    <m/>
    <m/>
    <n v="-134554.48844000004"/>
    <n v="14013.162220000002"/>
    <n v="31"/>
    <n v="39737.334440216364"/>
    <n v="2562.2254082333311"/>
    <n v="11947.123271141711"/>
    <n v="0"/>
    <n v="0"/>
    <n v="0"/>
    <n v="0"/>
    <n v="0"/>
    <n v="11982.592432853837"/>
    <n v="0"/>
    <n v="0"/>
    <n v="14011.580052949823"/>
    <n v="0"/>
    <n v="0"/>
    <n v="0"/>
    <n v="615.16676008484865"/>
    <n v="0"/>
    <n v="-1180.1142119240321"/>
    <m/>
    <n v="0"/>
    <n v="0"/>
    <n v="0"/>
    <n v="0"/>
    <n v="-186.53410587939197"/>
    <n v="-14.705167243760229"/>
    <n v="0"/>
    <n v="0"/>
    <m/>
    <m/>
    <n v="644856.65372117341"/>
    <n v="0"/>
    <n v="0"/>
    <n v="0"/>
    <n v="-134554.4884400001"/>
    <n v="14013.162219999998"/>
    <n v="0"/>
    <n v="0"/>
    <n v="-160193.33120796847"/>
    <n v="0"/>
    <n v="0"/>
    <n v="0"/>
    <n v="0"/>
    <n v="0"/>
    <n v="0"/>
    <n v="0"/>
    <n v="0"/>
    <n v="0"/>
    <n v="0"/>
    <n v="0"/>
    <n v="0"/>
    <n v="8875.38891796468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5"/>
    <s v="Regular"/>
    <s v="Azul"/>
    <s v="A4"/>
    <s v="Industrial"/>
    <s v="Não se aplica"/>
    <s v="Não se aplica"/>
    <s v="Não se aplica"/>
    <s v="Fora ponta"/>
    <s v="CATIVO"/>
    <x v="0"/>
    <n v="16598"/>
    <n v="16598"/>
    <n v="6617.8419999999996"/>
    <n v="6617.8419999999996"/>
    <n v="6617.8419999999996"/>
    <n v="6617.8419999999996"/>
    <n v="27.19"/>
    <n v="85.01"/>
    <n v="173.25"/>
    <n v="451299.62"/>
    <n v="1709123.8749199999"/>
    <n v="2160423.49492"/>
    <n v="2205366.5101399999"/>
    <n v="0"/>
    <n v="354347.77949880407"/>
    <n v="0"/>
    <n v="0"/>
    <n v="3870.6637816707075"/>
    <n v="3718.5302638702979"/>
    <n v="397223.83797596139"/>
    <n v="1127286.3205392489"/>
    <n v="19239.612162224166"/>
    <n v="0"/>
    <n v="0"/>
    <n v="0"/>
    <n v="0"/>
    <n v="62929.259948555744"/>
    <m/>
    <n v="5299.6593807192303"/>
    <n v="8214.0984264395211"/>
    <n v="38309.65861630471"/>
    <n v="0"/>
    <n v="0"/>
    <n v="0"/>
    <n v="0"/>
    <n v="0"/>
    <n v="0"/>
    <n v="0"/>
    <n v="0"/>
    <n v="0"/>
    <n v="0"/>
    <m/>
    <n v="0"/>
    <n v="0"/>
    <n v="0"/>
    <n v="0"/>
    <n v="0"/>
    <n v="49492.567638587767"/>
    <n v="0"/>
    <n v="0"/>
    <n v="0"/>
    <n v="0"/>
    <n v="0"/>
    <m/>
    <m/>
    <m/>
    <m/>
    <m/>
    <m/>
    <m/>
    <m/>
    <m/>
    <n v="1176778.8881778365"/>
    <m/>
    <m/>
    <m/>
    <m/>
    <m/>
    <m/>
    <m/>
    <m/>
    <m/>
    <m/>
    <m/>
    <m/>
    <n v="2205365.9528000001"/>
    <n v="44942.427880000323"/>
    <m/>
    <m/>
    <m/>
    <m/>
    <n v="-97936.193560000043"/>
    <n v="142879.20878000002"/>
    <n v="31"/>
    <n v="143515.8290285808"/>
    <n v="818.51735103059036"/>
    <n v="3817.475596417491"/>
    <n v="0"/>
    <n v="0"/>
    <n v="0"/>
    <n v="0"/>
    <n v="0"/>
    <n v="3828.8540849548799"/>
    <n v="0"/>
    <n v="0"/>
    <n v="142863.07689108443"/>
    <n v="0"/>
    <n v="0"/>
    <n v="0"/>
    <n v="6272.2844828866364"/>
    <n v="0"/>
    <n v="-12032.529290861159"/>
    <m/>
    <n v="0"/>
    <n v="0"/>
    <n v="0"/>
    <n v="0"/>
    <n v="-1901.9151452121223"/>
    <n v="-149.93494171981729"/>
    <n v="0"/>
    <n v="0"/>
    <m/>
    <m/>
    <n v="397223.83797596139"/>
    <n v="0"/>
    <n v="0"/>
    <n v="0"/>
    <n v="-97936.193560000043"/>
    <n v="142879.20877999999"/>
    <n v="0"/>
    <n v="0"/>
    <n v="-98677.13928884652"/>
    <n v="0"/>
    <n v="0"/>
    <n v="0"/>
    <n v="0"/>
    <n v="0"/>
    <n v="0"/>
    <n v="0"/>
    <n v="0"/>
    <n v="0"/>
    <n v="0"/>
    <n v="0"/>
    <n v="0"/>
    <n v="90494.1030657372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50.34"/>
    <n v="21860.31"/>
    <n v="741185.52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7"/>
    <s v="Regular"/>
    <s v="Verde"/>
    <s v="A4"/>
    <s v="Industrial"/>
    <s v="Não se aplica"/>
    <s v="Não se aplica"/>
    <s v="Não se aplica"/>
    <s v="Ponta"/>
    <s v="CATIVO"/>
    <x v="0"/>
    <n v="0"/>
    <n v="0"/>
    <n v="205.518"/>
    <n v="205.518"/>
    <n v="205.518"/>
    <n v="205.518"/>
    <m/>
    <n v="1358.36"/>
    <n v="173.25"/>
    <m/>
    <n v="314773.42397999996"/>
    <n v="314773.42397999996"/>
    <n v="275994.23255999997"/>
    <n v="0"/>
    <n v="11004.31937586833"/>
    <n v="0"/>
    <n v="0"/>
    <n v="3892.9401105429547"/>
    <n v="3740.2540389319479"/>
    <n v="207266.48894137639"/>
    <n v="35008.032833752361"/>
    <n v="597.48882072977665"/>
    <n v="0"/>
    <n v="0"/>
    <n v="0"/>
    <n v="0"/>
    <n v="1954.2768845353635"/>
    <m/>
    <n v="164.58165616626309"/>
    <n v="8264.0477555411271"/>
    <n v="38533.823722008921"/>
    <n v="0"/>
    <n v="0"/>
    <n v="0"/>
    <n v="0"/>
    <n v="0"/>
    <n v="0"/>
    <n v="0"/>
    <n v="0"/>
    <n v="0"/>
    <n v="0"/>
    <m/>
    <n v="0"/>
    <n v="0"/>
    <n v="0"/>
    <n v="0"/>
    <n v="0"/>
    <n v="1536.9985436260463"/>
    <n v="0"/>
    <n v="0"/>
    <n v="0"/>
    <n v="0"/>
    <n v="0"/>
    <m/>
    <m/>
    <m/>
    <m/>
    <m/>
    <m/>
    <m/>
    <m/>
    <m/>
    <n v="36545.031377378407"/>
    <m/>
    <m/>
    <m/>
    <m/>
    <m/>
    <m/>
    <m/>
    <m/>
    <m/>
    <m/>
    <m/>
    <m/>
    <n v="275996.91839999997"/>
    <n v="-38776.535580000025"/>
    <m/>
    <m/>
    <m/>
    <m/>
    <n v="-43216.325039999996"/>
    <n v="4437.1336200000005"/>
    <n v="31"/>
    <n v="12708.557193227956"/>
    <n v="823.49469491173113"/>
    <n v="3839.8131700609229"/>
    <n v="0"/>
    <n v="0"/>
    <n v="0"/>
    <n v="0"/>
    <n v="0"/>
    <n v="3851.2223753769235"/>
    <n v="0"/>
    <n v="0"/>
    <n v="4436.6326419551697"/>
    <n v="0"/>
    <n v="0"/>
    <n v="0"/>
    <n v="194.78666344012072"/>
    <n v="0"/>
    <n v="-373.67186384915294"/>
    <m/>
    <n v="0"/>
    <n v="0"/>
    <n v="0"/>
    <n v="0"/>
    <n v="-59.064238283975783"/>
    <n v="-4.6562503837917859"/>
    <n v="0"/>
    <n v="0"/>
    <m/>
    <m/>
    <m/>
    <n v="207266.48894137639"/>
    <n v="0"/>
    <n v="0"/>
    <n v="-43216.325039999996"/>
    <n v="4437.1336200000005"/>
    <n v="0"/>
    <n v="0"/>
    <n v="-51488.511624562409"/>
    <n v="0"/>
    <n v="0"/>
    <n v="0"/>
    <n v="0"/>
    <n v="0"/>
    <n v="0"/>
    <n v="0"/>
    <n v="0"/>
    <n v="0"/>
    <n v="0"/>
    <n v="0"/>
    <n v="0"/>
    <n v="2810.306905765381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8"/>
    <s v="Sistema de Compensação"/>
    <s v="Verde"/>
    <s v="A4"/>
    <s v="Industrial"/>
    <s v="Não se aplica"/>
    <s v="Não se aplica"/>
    <s v="Não se aplica"/>
    <s v="Ponta"/>
    <s v="CATIVO"/>
    <x v="0"/>
    <n v="0"/>
    <n v="0"/>
    <n v="0.36699999999999999"/>
    <n v="0.36699999999999999"/>
    <n v="0.36699999999999999"/>
    <n v="0.36699999999999999"/>
    <m/>
    <n v="1358.36"/>
    <n v="173.25"/>
    <m/>
    <n v="562.10086999999999"/>
    <n v="562.10086999999999"/>
    <n v="492.85163999999997"/>
    <n v="0"/>
    <n v="19.650761543726958"/>
    <n v="0"/>
    <n v="0"/>
    <n v="6.9517464191421885"/>
    <n v="6.6790900665052444"/>
    <n v="370.12233206573211"/>
    <n v="62.514952704809872"/>
    <n v="1.0669547057086388"/>
    <n v="0"/>
    <n v="0"/>
    <n v="0"/>
    <n v="0"/>
    <n v="3.4898141117784252"/>
    <m/>
    <n v="0.29389867463199598"/>
    <n v="14.75737174497413"/>
    <n v="68.811069132520132"/>
    <n v="0"/>
    <n v="0"/>
    <n v="0"/>
    <n v="0"/>
    <n v="0"/>
    <n v="0"/>
    <n v="0"/>
    <n v="0"/>
    <n v="0"/>
    <n v="0"/>
    <m/>
    <n v="0"/>
    <n v="0"/>
    <n v="0"/>
    <n v="0"/>
    <n v="0"/>
    <n v="2.7446669659628791"/>
    <n v="0"/>
    <n v="0"/>
    <n v="0"/>
    <n v="0"/>
    <n v="0"/>
    <m/>
    <m/>
    <m/>
    <m/>
    <m/>
    <m/>
    <m/>
    <m/>
    <m/>
    <n v="65.25961967077275"/>
    <m/>
    <m/>
    <m/>
    <m/>
    <m/>
    <m/>
    <m/>
    <m/>
    <m/>
    <m/>
    <m/>
    <m/>
    <n v="496.88039999999995"/>
    <n v="-65.250470000000007"/>
    <m/>
    <m/>
    <m/>
    <m/>
    <n v="-77.172759999999982"/>
    <n v="7.9235300000000013"/>
    <n v="31"/>
    <n v="22.69407297616101"/>
    <n v="1.4705405513512453"/>
    <n v="6.8568759593435118"/>
    <n v="0"/>
    <n v="0"/>
    <n v="0"/>
    <n v="0"/>
    <n v="0"/>
    <n v="6.8772497385305957"/>
    <n v="0"/>
    <n v="0"/>
    <n v="7.9226353876426714"/>
    <n v="0"/>
    <n v="0"/>
    <n v="0"/>
    <n v="0.34783671251435067"/>
    <n v="0"/>
    <n v="-0.66727767899959645"/>
    <m/>
    <n v="0"/>
    <n v="0"/>
    <n v="0"/>
    <n v="0"/>
    <n v="-0.10547288047868841"/>
    <n v="-8.3148137430861802E-3"/>
    <n v="0"/>
    <n v="0"/>
    <m/>
    <m/>
    <m/>
    <n v="370.12233206573211"/>
    <n v="0"/>
    <n v="0"/>
    <n v="-77.172759999999982"/>
    <n v="7.9235300000000066"/>
    <n v="0"/>
    <n v="0"/>
    <n v="-91.944665509660524"/>
    <n v="0"/>
    <n v="0"/>
    <n v="0"/>
    <n v="0"/>
    <n v="0"/>
    <n v="0"/>
    <n v="0"/>
    <n v="0"/>
    <n v="0"/>
    <n v="0"/>
    <n v="0"/>
    <n v="0"/>
    <n v="5.018454025515501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"/>
    <s v="Regular"/>
    <s v="Verde"/>
    <s v="A4"/>
    <s v="Industrial"/>
    <s v="Não se aplica"/>
    <s v="Não se aplica"/>
    <s v="Não se aplica"/>
    <s v="Fora ponta"/>
    <s v="CATIVO"/>
    <x v="0"/>
    <n v="0"/>
    <n v="0"/>
    <n v="3479.0419999999999"/>
    <n v="3479.0419999999999"/>
    <n v="3479.0419999999999"/>
    <n v="3479.0419999999999"/>
    <m/>
    <n v="85.01"/>
    <n v="173.25"/>
    <m/>
    <n v="898497.38691999996"/>
    <n v="898497.38691999996"/>
    <n v="969504.63413999998"/>
    <n v="0"/>
    <n v="186282.90120602431"/>
    <n v="0"/>
    <n v="0"/>
    <n v="0"/>
    <n v="0"/>
    <n v="0"/>
    <n v="592621.65146606846"/>
    <n v="10114.387556561293"/>
    <n v="0"/>
    <n v="0"/>
    <n v="0"/>
    <n v="0"/>
    <n v="33082.315714086748"/>
    <m/>
    <n v="2786.0649394796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18.560355851296"/>
    <n v="0"/>
    <n v="0"/>
    <n v="0"/>
    <n v="0"/>
    <n v="0"/>
    <m/>
    <m/>
    <m/>
    <m/>
    <m/>
    <m/>
    <m/>
    <m/>
    <m/>
    <n v="618640.21182191977"/>
    <m/>
    <m/>
    <m/>
    <m/>
    <m/>
    <m/>
    <m/>
    <m/>
    <m/>
    <m/>
    <m/>
    <m/>
    <n v="969504.07679999992"/>
    <n v="71006.659879999934"/>
    <m/>
    <m/>
    <m/>
    <m/>
    <n v="-4105.2695600000234"/>
    <n v="75112.516780000005"/>
    <n v="31"/>
    <n v="70997.167733219918"/>
    <n v="0"/>
    <n v="0"/>
    <n v="0"/>
    <n v="0"/>
    <n v="0"/>
    <n v="0"/>
    <n v="0"/>
    <n v="0"/>
    <n v="0"/>
    <n v="0"/>
    <n v="75104.036142493715"/>
    <n v="0"/>
    <n v="0"/>
    <n v="0"/>
    <n v="3297.3801961290264"/>
    <n v="0"/>
    <n v="-6325.577849869529"/>
    <m/>
    <n v="0"/>
    <n v="0"/>
    <n v="0"/>
    <n v="0"/>
    <n v="-999.84899467667128"/>
    <n v="-78.821760856604669"/>
    <n v="0"/>
    <n v="0"/>
    <m/>
    <m/>
    <m/>
    <n v="0"/>
    <n v="0"/>
    <n v="0"/>
    <n v="-4105.2695599999861"/>
    <n v="75112.516779999947"/>
    <n v="0"/>
    <n v="0"/>
    <n v="0"/>
    <n v="0"/>
    <n v="0"/>
    <n v="0"/>
    <n v="0"/>
    <n v="0"/>
    <n v="0"/>
    <n v="0"/>
    <n v="0"/>
    <n v="0"/>
    <n v="0"/>
    <n v="0"/>
    <n v="0"/>
    <n v="47573.3305990122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11.845000000000001"/>
    <n v="11.845000000000001"/>
    <n v="11.845000000000001"/>
    <n v="11.845000000000001"/>
    <m/>
    <n v="85.01"/>
    <n v="173.25"/>
    <m/>
    <n v="3059.0897000000004"/>
    <n v="3059.0897000000004"/>
    <n v="3300.8461500000003"/>
    <n v="0"/>
    <n v="634.23234464699135"/>
    <n v="0"/>
    <n v="0"/>
    <n v="0"/>
    <n v="0"/>
    <n v="0"/>
    <n v="2017.6828740830326"/>
    <n v="34.436181169261111"/>
    <n v="0"/>
    <n v="0"/>
    <n v="0"/>
    <n v="0"/>
    <n v="112.63446363491948"/>
    <m/>
    <n v="9.4856397847847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4687225695646"/>
    <n v="0"/>
    <n v="0"/>
    <n v="0"/>
    <n v="0"/>
    <n v="0"/>
    <m/>
    <m/>
    <m/>
    <m/>
    <m/>
    <m/>
    <m/>
    <m/>
    <m/>
    <n v="2106.2675613087281"/>
    <m/>
    <m/>
    <m/>
    <m/>
    <m/>
    <m/>
    <m/>
    <m/>
    <m/>
    <m/>
    <m/>
    <m/>
    <n v="3302.2394999999997"/>
    <n v="243.11979999999903"/>
    <m/>
    <m/>
    <m/>
    <m/>
    <n v="-13.977100000000082"/>
    <n v="255.73355000000006"/>
    <n v="31"/>
    <n v="241.72213264455831"/>
    <n v="0"/>
    <n v="0"/>
    <n v="0"/>
    <n v="0"/>
    <n v="0"/>
    <n v="0"/>
    <n v="0"/>
    <n v="0"/>
    <n v="0"/>
    <n v="0"/>
    <n v="255.70467620334489"/>
    <n v="0"/>
    <n v="0"/>
    <n v="0"/>
    <n v="11.226500980197514"/>
    <n v="0"/>
    <n v="-21.536523454360236"/>
    <m/>
    <n v="0"/>
    <n v="0"/>
    <n v="0"/>
    <n v="0"/>
    <n v="-3.4041587718530479"/>
    <n v="-0.26836231277072464"/>
    <n v="0"/>
    <n v="0"/>
    <m/>
    <m/>
    <m/>
    <n v="0"/>
    <n v="0"/>
    <n v="0"/>
    <n v="-13.977100000000064"/>
    <n v="255.73354999999992"/>
    <n v="0"/>
    <n v="0"/>
    <n v="0"/>
    <n v="0"/>
    <n v="0"/>
    <n v="0"/>
    <n v="0"/>
    <n v="0"/>
    <n v="0"/>
    <n v="0"/>
    <n v="0"/>
    <n v="0"/>
    <n v="0"/>
    <n v="0"/>
    <n v="0"/>
    <n v="161.9716292431365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"/>
    <s v="Regular"/>
    <s v="Verde"/>
    <s v="A4"/>
    <s v="Industrial"/>
    <s v="Não se aplica"/>
    <s v="Não se aplica"/>
    <s v="Não se aplica"/>
    <s v="Não se aplica"/>
    <s v="CATIVO"/>
    <x v="0"/>
    <n v="19218"/>
    <n v="19218"/>
    <n v="0"/>
    <n v="0"/>
    <n v="0"/>
    <n v="0"/>
    <n v="27.19"/>
    <m/>
    <m/>
    <n v="522537.42000000004"/>
    <m/>
    <n v="522537.42000000004"/>
    <n v="418183.68000000005"/>
    <n v="0"/>
    <n v="0"/>
    <n v="0"/>
    <n v="0"/>
    <n v="4481.6493888509249"/>
    <n v="4305.5015430208086"/>
    <n v="459925.75721303927"/>
    <m/>
    <m/>
    <m/>
    <n v="0"/>
    <n v="0"/>
    <n v="0"/>
    <n v="0"/>
    <m/>
    <n v="0"/>
    <n v="9510.6966838965363"/>
    <n v="44356.851384994814"/>
    <n v="0"/>
    <n v="0"/>
    <m/>
    <m/>
    <n v="0"/>
    <n v="0"/>
    <n v="0"/>
    <m/>
    <m/>
    <n v="0"/>
    <m/>
    <n v="0"/>
    <n v="0"/>
    <n v="0"/>
    <n v="0"/>
    <m/>
    <n v="0"/>
    <n v="0"/>
    <n v="1380.1"/>
    <n v="11834.48"/>
    <n v="419336.5"/>
    <n v="113"/>
    <m/>
    <m/>
    <m/>
    <m/>
    <m/>
    <m/>
    <m/>
    <m/>
    <m/>
    <n v="0"/>
    <m/>
    <m/>
    <m/>
    <m/>
    <m/>
    <m/>
    <m/>
    <m/>
    <m/>
    <m/>
    <m/>
    <m/>
    <n v="418183.68000000005"/>
    <n v="-104353.77000000002"/>
    <m/>
    <m/>
    <m/>
    <m/>
    <n v="-104353.73999999999"/>
    <n v="0"/>
    <n v="31"/>
    <n v="9801.0260434221127"/>
    <n v="947.7205959817984"/>
    <n v="4420.0654302898765"/>
    <n v="0"/>
    <n v="0"/>
    <m/>
    <m/>
    <m/>
    <n v="4433.24001715043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9925.75721303927"/>
    <m/>
    <n v="0"/>
    <n v="0"/>
    <n v="-104353.73999999999"/>
    <m/>
    <n v="0"/>
    <m/>
    <n v="-114253.3596127878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2"/>
    <s v="Sistema de Compensação"/>
    <s v="Verde"/>
    <s v="A4"/>
    <s v="Industrial"/>
    <s v="Não se aplica"/>
    <s v="Não se aplica"/>
    <s v="Não se aplica"/>
    <s v="Não se aplica"/>
    <s v="CATIVO"/>
    <x v="0"/>
    <n v="275"/>
    <n v="275"/>
    <n v="0"/>
    <n v="0"/>
    <n v="0"/>
    <n v="0"/>
    <n v="27.19"/>
    <m/>
    <m/>
    <n v="7477.25"/>
    <m/>
    <n v="7477.25"/>
    <n v="5984"/>
    <n v="0"/>
    <n v="0"/>
    <n v="0"/>
    <n v="0"/>
    <n v="64.130168692580099"/>
    <n v="61.609580826866605"/>
    <n v="6581.3083168688618"/>
    <m/>
    <m/>
    <m/>
    <n v="0"/>
    <n v="0"/>
    <n v="0"/>
    <n v="0"/>
    <m/>
    <n v="0"/>
    <n v="136.09332854987761"/>
    <n v="634.72443182815982"/>
    <n v="0"/>
    <n v="0"/>
    <m/>
    <m/>
    <n v="0"/>
    <n v="0"/>
    <n v="0"/>
    <m/>
    <m/>
    <n v="0"/>
    <m/>
    <n v="0"/>
    <n v="0"/>
    <n v="0"/>
    <n v="0"/>
    <m/>
    <n v="0"/>
    <n v="0"/>
    <n v="7.58"/>
    <n v="64.989999999999995"/>
    <n v="1687.58"/>
    <n v="1"/>
    <m/>
    <m/>
    <m/>
    <m/>
    <m/>
    <m/>
    <m/>
    <m/>
    <m/>
    <n v="0"/>
    <m/>
    <m/>
    <m/>
    <m/>
    <m/>
    <m/>
    <m/>
    <m/>
    <m/>
    <m/>
    <m/>
    <m/>
    <n v="5984"/>
    <n v="-1493.2800000000007"/>
    <m/>
    <m/>
    <m/>
    <m/>
    <n v="-1493.25"/>
    <n v="0"/>
    <n v="31"/>
    <n v="140.2477969581164"/>
    <n v="13.561409298313777"/>
    <n v="63.248932944620378"/>
    <n v="0"/>
    <n v="0"/>
    <m/>
    <m/>
    <m/>
    <n v="63.4374547151820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81.3083168688618"/>
    <m/>
    <n v="0"/>
    <n v="0"/>
    <n v="-1493.25"/>
    <m/>
    <n v="0"/>
    <m/>
    <n v="-1634.90862178773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3"/>
    <s v="Regular"/>
    <s v="Branca"/>
    <s v="B3"/>
    <s v="Industrial"/>
    <s v="Não se aplica"/>
    <s v="Não se aplica"/>
    <s v="Não se aplica"/>
    <s v="Ponta"/>
    <s v="CATIVO"/>
    <x v="0"/>
    <n v="0"/>
    <n v="0"/>
    <n v="1.6E-2"/>
    <n v="1.6E-2"/>
    <n v="1.6E-2"/>
    <n v="1.6E-2"/>
    <m/>
    <n v="1553.42"/>
    <n v="173.25"/>
    <m/>
    <n v="27.626719999999999"/>
    <n v="27.626719999999999"/>
    <n v="26.211840000000002"/>
    <n v="0"/>
    <n v="0.98472293118992638"/>
    <n v="0"/>
    <n v="0"/>
    <n v="1.7351879368097121"/>
    <n v="0.1199939216662472"/>
    <n v="11.494206455079985"/>
    <n v="2.7254475293650082"/>
    <n v="4.6515736488660003E-2"/>
    <n v="0"/>
    <n v="0"/>
    <n v="0"/>
    <n v="0"/>
    <n v="0.15214448443720657"/>
    <m/>
    <n v="1.932570742980352E-2"/>
    <n v="5.0488634355239519"/>
    <n v="4.9056975117085759"/>
    <n v="0"/>
    <n v="0"/>
    <n v="0"/>
    <n v="0"/>
    <n v="0"/>
    <n v="0"/>
    <n v="0"/>
    <n v="0"/>
    <n v="0"/>
    <n v="0"/>
    <m/>
    <n v="0"/>
    <n v="0"/>
    <n v="0"/>
    <n v="0"/>
    <n v="0"/>
    <n v="0.1430366692005757"/>
    <n v="0"/>
    <n v="0"/>
    <n v="0"/>
    <n v="0"/>
    <n v="0"/>
    <m/>
    <m/>
    <m/>
    <m/>
    <m/>
    <m/>
    <m/>
    <m/>
    <m/>
    <n v="2.868484198565584"/>
    <m/>
    <m/>
    <m/>
    <m/>
    <m/>
    <m/>
    <m/>
    <m/>
    <m/>
    <m/>
    <m/>
    <m/>
    <n v="32.764800000000001"/>
    <n v="5.1080799999999975"/>
    <m/>
    <m/>
    <m/>
    <m/>
    <n v="-1.7603199999999997"/>
    <n v="0.34544000000000008"/>
    <n v="31"/>
    <n v="1.4404499017061703"/>
    <n v="0.50310844969404833"/>
    <n v="0.48884227139479997"/>
    <n v="0"/>
    <n v="0"/>
    <n v="0"/>
    <n v="0"/>
    <n v="0"/>
    <n v="0.12355398088474159"/>
    <n v="0"/>
    <n v="0"/>
    <n v="0.34540099782638389"/>
    <n v="0"/>
    <n v="0"/>
    <n v="0"/>
    <n v="1.8127301199283519E-2"/>
    <n v="0"/>
    <n v="-3.3438074678172836E-2"/>
    <m/>
    <n v="0"/>
    <n v="0"/>
    <n v="0"/>
    <n v="0"/>
    <n v="-4.5982727184169514E-3"/>
    <n v="-5.4675189649424152E-4"/>
    <n v="0"/>
    <n v="0"/>
    <m/>
    <m/>
    <m/>
    <n v="11.494206455079985"/>
    <n v="0"/>
    <n v="0"/>
    <n v="-1.7603200000000001"/>
    <n v="0.34543999999999997"/>
    <n v="0"/>
    <n v="0"/>
    <n v="-2.8553558546789279"/>
    <n v="0"/>
    <n v="0"/>
    <n v="0"/>
    <n v="0"/>
    <n v="0"/>
    <n v="0"/>
    <n v="0"/>
    <n v="0"/>
    <n v="0"/>
    <n v="0"/>
    <n v="0"/>
    <n v="0"/>
    <n v="0.2514806740212592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4"/>
    <s v="Regular"/>
    <s v="Branca"/>
    <s v="B3"/>
    <s v="Industrial"/>
    <s v="Não se aplica"/>
    <s v="Não se aplica"/>
    <s v="Não se aplica"/>
    <s v="Fora ponta"/>
    <s v="CATIVO"/>
    <x v="0"/>
    <n v="0"/>
    <n v="0"/>
    <n v="1.3340000000000001"/>
    <n v="1.3340000000000001"/>
    <n v="1.3340000000000001"/>
    <n v="1.3340000000000001"/>
    <m/>
    <n v="388.22"/>
    <n v="173.25"/>
    <m/>
    <n v="749.00098000000003"/>
    <n v="749.00098000000003"/>
    <n v="747.0800200000001"/>
    <n v="0"/>
    <n v="82.101274387960117"/>
    <n v="0"/>
    <n v="0"/>
    <n v="28.934258846301951"/>
    <n v="2.0009005159460185"/>
    <n v="191.66603629870124"/>
    <n v="227.23418776080754"/>
    <n v="3.8782495297420279"/>
    <n v="0"/>
    <n v="0"/>
    <n v="0"/>
    <n v="0"/>
    <n v="12.685046389952097"/>
    <m/>
    <n v="1.6112808569598684"/>
    <n v="84.189797787361911"/>
    <n v="81.802506007740519"/>
    <n v="0"/>
    <n v="0"/>
    <n v="0"/>
    <n v="0"/>
    <n v="0"/>
    <n v="0"/>
    <n v="0"/>
    <n v="0"/>
    <n v="0"/>
    <n v="0"/>
    <m/>
    <n v="0"/>
    <n v="0"/>
    <n v="0"/>
    <n v="0"/>
    <n v="0"/>
    <n v="11.925682294597999"/>
    <n v="0"/>
    <n v="0"/>
    <n v="0"/>
    <n v="0"/>
    <n v="0"/>
    <m/>
    <m/>
    <m/>
    <m/>
    <m/>
    <m/>
    <m/>
    <m/>
    <m/>
    <n v="239.15987005540555"/>
    <m/>
    <m/>
    <m/>
    <m/>
    <m/>
    <m/>
    <m/>
    <m/>
    <m/>
    <m/>
    <m/>
    <m/>
    <n v="744.83990000000006"/>
    <n v="-4.1910799999999426"/>
    <m/>
    <m/>
    <m/>
    <m/>
    <n v="-30.72202000000004"/>
    <n v="28.801060000000007"/>
    <n v="31"/>
    <n v="45.693348860819469"/>
    <n v="8.3893333986481053"/>
    <n v="8.1514448755081474"/>
    <n v="0"/>
    <n v="0"/>
    <n v="0"/>
    <n v="0"/>
    <n v="0"/>
    <n v="2.0602645589589312"/>
    <n v="0"/>
    <n v="0"/>
    <n v="28.797808193774785"/>
    <n v="0"/>
    <n v="0"/>
    <n v="0"/>
    <n v="1.5113637374902638"/>
    <n v="0"/>
    <n v="-2.7878994762926652"/>
    <m/>
    <n v="0"/>
    <n v="0"/>
    <n v="0"/>
    <n v="0"/>
    <n v="-0.383380987898013"/>
    <n v="-4.5585439370207093E-2"/>
    <n v="0"/>
    <n v="0"/>
    <m/>
    <m/>
    <m/>
    <n v="191.66603629870124"/>
    <n v="0"/>
    <n v="0"/>
    <n v="-30.722019999999986"/>
    <n v="28.801059999999978"/>
    <n v="0"/>
    <n v="0"/>
    <n v="-47.613094564411909"/>
    <n v="0"/>
    <n v="0"/>
    <n v="0"/>
    <n v="0"/>
    <n v="0"/>
    <n v="0"/>
    <n v="0"/>
    <n v="0"/>
    <n v="0"/>
    <n v="0"/>
    <n v="0"/>
    <n v="0"/>
    <n v="20.96720119652248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"/>
    <s v="Regular"/>
    <s v="Branca"/>
    <s v="B3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"/>
    <n v="4.29"/>
    <n v="151.8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6"/>
    <s v="Regular"/>
    <s v="Branca"/>
    <s v="B3"/>
    <s v="Industrial"/>
    <s v="Não se aplica"/>
    <s v="Não se aplica"/>
    <s v="Não se aplica"/>
    <s v="Intermediário"/>
    <s v="CATIVO"/>
    <x v="0"/>
    <n v="0"/>
    <n v="0"/>
    <n v="6.6000000000000003E-2"/>
    <n v="6.6000000000000003E-2"/>
    <n v="6.6000000000000003E-2"/>
    <n v="6.6000000000000003E-2"/>
    <m/>
    <n v="970.82"/>
    <n v="173.25"/>
    <m/>
    <n v="75.508620000000008"/>
    <n v="75.508620000000008"/>
    <n v="72.542580000000001"/>
    <n v="0"/>
    <n v="4.0619820911584466"/>
    <n v="0"/>
    <n v="0"/>
    <n v="4.2945901436040437"/>
    <n v="0.29698523400098259"/>
    <n v="28.44816808395111"/>
    <n v="11.242471058630658"/>
    <n v="0.19187741301572253"/>
    <n v="0"/>
    <n v="0"/>
    <n v="0"/>
    <n v="0"/>
    <n v="0.62759599830347712"/>
    <m/>
    <n v="7.9718543147939525E-2"/>
    <n v="12.495937002921769"/>
    <n v="12.141601341478752"/>
    <n v="0"/>
    <n v="0"/>
    <n v="0"/>
    <n v="0"/>
    <n v="0"/>
    <n v="0"/>
    <n v="0"/>
    <n v="0"/>
    <n v="0"/>
    <n v="0"/>
    <m/>
    <n v="0"/>
    <n v="0"/>
    <n v="0"/>
    <n v="0"/>
    <n v="0"/>
    <n v="0.59002626045237472"/>
    <n v="0"/>
    <n v="0"/>
    <n v="0"/>
    <n v="0"/>
    <n v="0"/>
    <m/>
    <m/>
    <m/>
    <m/>
    <m/>
    <m/>
    <m/>
    <m/>
    <m/>
    <n v="11.832497319083032"/>
    <m/>
    <m/>
    <m/>
    <m/>
    <m/>
    <m/>
    <m/>
    <m/>
    <m/>
    <m/>
    <m/>
    <m/>
    <n v="76.939099999999996"/>
    <n v="1.4004799999999733"/>
    <m/>
    <m/>
    <m/>
    <m/>
    <n v="-4.3909800000000061"/>
    <n v="1.4249400000000003"/>
    <n v="31"/>
    <n v="4.1012733724027441"/>
    <n v="1.2451934129927817"/>
    <n v="1.2098846217020629"/>
    <n v="0"/>
    <n v="0"/>
    <n v="0"/>
    <n v="0"/>
    <n v="0"/>
    <n v="0.30579638881099708"/>
    <n v="0"/>
    <n v="0"/>
    <n v="1.4247791160338341"/>
    <n v="0"/>
    <n v="0"/>
    <n v="0"/>
    <n v="7.477511744704457E-2"/>
    <n v="0"/>
    <n v="-0.137932058047463"/>
    <m/>
    <n v="0"/>
    <n v="0"/>
    <n v="0"/>
    <n v="0"/>
    <n v="-1.8967874963469966E-2"/>
    <n v="-2.2553515730387441E-3"/>
    <n v="0"/>
    <n v="0"/>
    <m/>
    <m/>
    <m/>
    <n v="28.44816808395111"/>
    <n v="0"/>
    <n v="0"/>
    <n v="-4.3909800000000061"/>
    <n v="1.4249400000000012"/>
    <n v="0"/>
    <n v="0"/>
    <n v="-7.0670075059857247"/>
    <n v="0"/>
    <n v="0"/>
    <n v="0"/>
    <n v="0"/>
    <n v="0"/>
    <n v="0"/>
    <n v="0"/>
    <n v="0"/>
    <n v="0"/>
    <n v="0"/>
    <n v="0"/>
    <n v="0"/>
    <n v="1.037357780337694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7"/>
    <s v="Regular"/>
    <s v="Convencional"/>
    <s v="B3"/>
    <s v="Comercial"/>
    <s v="Não se aplica"/>
    <s v="Não se aplica"/>
    <s v="Não se aplica"/>
    <s v="Não se aplica"/>
    <s v="CATIVO"/>
    <x v="0"/>
    <n v="0"/>
    <n v="0"/>
    <n v="2379.7240000000002"/>
    <n v="2379.7240000000002"/>
    <n v="2379.7240000000002"/>
    <n v="2379.7240000000002"/>
    <m/>
    <n v="368.24"/>
    <n v="173.25"/>
    <m/>
    <n v="1288596.7487600001"/>
    <n v="1288596.7487600001"/>
    <n v="1211017.7463600002"/>
    <n v="0"/>
    <n v="146460.54954393854"/>
    <n v="0"/>
    <n v="0"/>
    <n v="6090.992496103645"/>
    <n v="5852.0779565232951"/>
    <n v="560513.30354784988"/>
    <n v="405363.30602316343"/>
    <n v="6918.4134062337462"/>
    <n v="0"/>
    <n v="0"/>
    <n v="0"/>
    <n v="0"/>
    <n v="22628.867567677935"/>
    <m/>
    <n v="2874.3656117301093"/>
    <n v="12929.98178646347"/>
    <n v="60290.597549323546"/>
    <n v="0"/>
    <n v="0"/>
    <n v="0"/>
    <n v="0"/>
    <n v="0"/>
    <n v="0"/>
    <n v="0"/>
    <n v="0"/>
    <n v="0"/>
    <n v="0"/>
    <m/>
    <n v="0"/>
    <n v="0"/>
    <n v="0"/>
    <n v="0"/>
    <n v="0"/>
    <n v="21274.237161041925"/>
    <n v="0"/>
    <n v="924.76"/>
    <n v="8106.55"/>
    <n v="578965.61"/>
    <n v="4221"/>
    <m/>
    <m/>
    <m/>
    <m/>
    <m/>
    <m/>
    <m/>
    <m/>
    <m/>
    <n v="426637.54318420537"/>
    <m/>
    <m/>
    <m/>
    <m/>
    <m/>
    <m/>
    <m/>
    <m/>
    <m/>
    <m/>
    <m/>
    <m/>
    <n v="1211015.7108"/>
    <n v="-77581.067960000131"/>
    <m/>
    <m/>
    <m/>
    <m/>
    <n v="-128957.24356"/>
    <n v="51378.241160000012"/>
    <n v="31"/>
    <n v="61651.968666548491"/>
    <n v="1288.4450479268708"/>
    <n v="6007.8291780970612"/>
    <n v="0"/>
    <n v="0"/>
    <n v="0"/>
    <n v="0"/>
    <n v="0"/>
    <n v="6025.7012849983694"/>
    <n v="0"/>
    <n v="0"/>
    <n v="51372.440259462106"/>
    <n v="0"/>
    <n v="0"/>
    <n v="0"/>
    <n v="2696.1233574477374"/>
    <n v="0"/>
    <n v="-4973.3368015900196"/>
    <m/>
    <n v="0"/>
    <n v="0"/>
    <n v="0"/>
    <n v="0"/>
    <n v="-683.9137466601278"/>
    <n v="-81.319913133303544"/>
    <n v="0"/>
    <n v="0"/>
    <m/>
    <m/>
    <m/>
    <n v="560513.30354784988"/>
    <n v="0"/>
    <n v="0"/>
    <n v="-128957.24355999997"/>
    <n v="51378.241160000034"/>
    <n v="0"/>
    <n v="0"/>
    <n v="-139241.01234526263"/>
    <n v="0"/>
    <n v="0"/>
    <n v="0"/>
    <n v="0"/>
    <n v="0"/>
    <n v="0"/>
    <n v="0"/>
    <n v="0"/>
    <n v="0"/>
    <n v="0"/>
    <n v="0"/>
    <n v="0"/>
    <n v="37403.41221903543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"/>
    <s v="Refaturamento - Regular"/>
    <s v="Convencional"/>
    <s v="B3"/>
    <s v="Comercial"/>
    <s v="Não se aplica"/>
    <s v="Não se aplica"/>
    <s v="Não se aplica"/>
    <s v="Não se aplica"/>
    <s v="CATIVO"/>
    <x v="0"/>
    <n v="0"/>
    <n v="0"/>
    <n v="-0.38100000000000001"/>
    <n v="-0.38100000000000001"/>
    <n v="-0.38100000000000001"/>
    <n v="-0.38100000000000001"/>
    <m/>
    <n v="368.24"/>
    <n v="173.25"/>
    <m/>
    <n v="-206.30769000000001"/>
    <n v="-206.30769000000001"/>
    <n v="-193.88709"/>
    <n v="0"/>
    <n v="-23.448714798960122"/>
    <n v="0"/>
    <n v="0"/>
    <n v="-0.97518373601959241"/>
    <n v="-0.93693289702308979"/>
    <n v="-89.739637307406568"/>
    <n v="-64.899719293004253"/>
    <n v="-1.1076559751362163"/>
    <n v="0"/>
    <n v="0"/>
    <n v="0"/>
    <n v="0"/>
    <n v="-3.6229405356609812"/>
    <m/>
    <n v="-0.46019340817219628"/>
    <n v="-2.0701237036910927"/>
    <n v="-9.6526814312467621"/>
    <n v="0"/>
    <n v="0"/>
    <n v="0"/>
    <n v="0"/>
    <n v="0"/>
    <n v="0"/>
    <n v="0"/>
    <n v="0"/>
    <n v="0"/>
    <n v="0"/>
    <m/>
    <n v="0"/>
    <n v="0"/>
    <n v="0"/>
    <n v="0"/>
    <n v="0"/>
    <n v="-3.4060606853387085"/>
    <n v="0"/>
    <n v="-0.32"/>
    <n v="-3.13"/>
    <n v="-89.66"/>
    <n v="0"/>
    <m/>
    <m/>
    <m/>
    <m/>
    <m/>
    <m/>
    <m/>
    <m/>
    <m/>
    <n v="-68.305779978342969"/>
    <m/>
    <m/>
    <m/>
    <m/>
    <m/>
    <m/>
    <m/>
    <m/>
    <m/>
    <m/>
    <m/>
    <m/>
    <n v="-193.37819999999999"/>
    <n v="12.899490000000043"/>
    <m/>
    <m/>
    <m/>
    <m/>
    <n v="20.64639"/>
    <n v="-8.2257900000000017"/>
    <n v="31"/>
    <n v="-9.8706404868611202"/>
    <n v="-0.20628340230217335"/>
    <n v="-0.9618690725710124"/>
    <n v="0"/>
    <n v="0"/>
    <n v="0"/>
    <n v="0"/>
    <n v="0"/>
    <n v="-0.96473044335577496"/>
    <n v="0"/>
    <n v="0"/>
    <n v="-8.2248612607407665"/>
    <n v="0"/>
    <n v="0"/>
    <n v="0"/>
    <n v="-0.43165635980793882"/>
    <n v="0"/>
    <n v="0.79624415327398879"/>
    <m/>
    <n v="0"/>
    <n v="0"/>
    <n v="0"/>
    <n v="0"/>
    <n v="0.10949636910730343"/>
    <n v="1.3019529535269081E-2"/>
    <n v="0"/>
    <n v="0"/>
    <m/>
    <m/>
    <m/>
    <n v="-89.739637307406568"/>
    <n v="0"/>
    <n v="0"/>
    <n v="20.646389999999997"/>
    <n v="-8.2257900000000035"/>
    <n v="0"/>
    <n v="0"/>
    <n v="22.292848121691861"/>
    <n v="0"/>
    <n v="0"/>
    <n v="0"/>
    <n v="0"/>
    <n v="0"/>
    <n v="0"/>
    <n v="0"/>
    <n v="0"/>
    <n v="0"/>
    <n v="0"/>
    <n v="0"/>
    <n v="0"/>
    <n v="-5.988383550131234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9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160.89500000000001"/>
    <n v="160.89500000000001"/>
    <n v="160.89500000000001"/>
    <n v="160.89500000000001"/>
    <m/>
    <n v="368.24"/>
    <n v="173.25"/>
    <m/>
    <n v="87123.033550000007"/>
    <n v="87123.033550000007"/>
    <n v="81877.856550000011"/>
    <n v="0"/>
    <n v="9902.3122508627002"/>
    <n v="0"/>
    <n v="0"/>
    <n v="411.81676432249958"/>
    <n v="395.66356552895024"/>
    <n v="37896.742636680261"/>
    <n v="27406.930014823938"/>
    <n v="467.75933889643449"/>
    <n v="0"/>
    <n v="0"/>
    <n v="0"/>
    <n v="0"/>
    <n v="1529.955426470272"/>
    <m/>
    <n v="194.33810605738984"/>
    <n v="874.20617665453642"/>
    <n v="4076.2944327570808"/>
    <n v="0"/>
    <n v="0"/>
    <n v="0"/>
    <n v="0"/>
    <n v="0"/>
    <n v="0"/>
    <n v="0"/>
    <n v="0"/>
    <n v="0"/>
    <n v="0"/>
    <m/>
    <n v="0"/>
    <n v="0"/>
    <n v="0"/>
    <n v="0"/>
    <n v="0"/>
    <n v="1438.3678056891642"/>
    <n v="0"/>
    <n v="63.06"/>
    <n v="549.79999999999995"/>
    <n v="62665.72"/>
    <n v="199"/>
    <m/>
    <m/>
    <m/>
    <m/>
    <m/>
    <m/>
    <m/>
    <m/>
    <m/>
    <n v="28845.297820513104"/>
    <m/>
    <m/>
    <m/>
    <m/>
    <m/>
    <m/>
    <m/>
    <m/>
    <m/>
    <m/>
    <m/>
    <m/>
    <n v="81880.401000000013"/>
    <n v="-5242.6625499999936"/>
    <m/>
    <m/>
    <m/>
    <m/>
    <n v="-8718.9000500000002"/>
    <n v="3473.723050000001"/>
    <n v="31"/>
    <n v="4168.3377982506936"/>
    <n v="87.112776938079264"/>
    <n v="406.19402737877454"/>
    <n v="0"/>
    <n v="0"/>
    <n v="0"/>
    <n v="0"/>
    <n v="0"/>
    <n v="407.40237449797223"/>
    <n v="0"/>
    <n v="0"/>
    <n v="3473.3308465797527"/>
    <n v="0"/>
    <n v="0"/>
    <n v="0"/>
    <n v="182.28700790366997"/>
    <n v="0"/>
    <n v="-336.25118908403783"/>
    <m/>
    <n v="0"/>
    <n v="0"/>
    <n v="0"/>
    <n v="0"/>
    <n v="-46.239943064356112"/>
    <n v="-5.498102899152542"/>
    <n v="0"/>
    <n v="0"/>
    <m/>
    <m/>
    <m/>
    <n v="37896.742636680261"/>
    <n v="0"/>
    <n v="0"/>
    <n v="-8718.9000499999966"/>
    <n v="3473.7230500000042"/>
    <n v="0"/>
    <n v="0"/>
    <n v="-9414.193696954364"/>
    <n v="0"/>
    <n v="0"/>
    <n v="0"/>
    <n v="0"/>
    <n v="0"/>
    <n v="0"/>
    <n v="0"/>
    <n v="0"/>
    <n v="0"/>
    <n v="0"/>
    <n v="0"/>
    <n v="0"/>
    <n v="2528.873940415656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-10"/>
    <n v="-10"/>
    <n v="-10"/>
    <n v="-10"/>
    <m/>
    <n v="368.24"/>
    <n v="173.25"/>
    <m/>
    <n v="-5414.9"/>
    <n v="-5414.9"/>
    <n v="-5088.8999999999996"/>
    <n v="0"/>
    <n v="-615.45183199370399"/>
    <n v="0"/>
    <n v="0"/>
    <n v="-25.595373648808199"/>
    <n v="-24.591414620028601"/>
    <n v="-2355.37105793718"/>
    <n v="-1703.4047058531301"/>
    <n v="-29.072335305412501"/>
    <n v="0"/>
    <n v="0"/>
    <n v="0"/>
    <n v="0"/>
    <n v="-95.090302773254095"/>
    <m/>
    <n v="-12.078567143627199"/>
    <n v="-54.333955477456499"/>
    <n v="-253.35121866789399"/>
    <n v="0"/>
    <n v="0"/>
    <n v="0"/>
    <n v="0"/>
    <n v="0"/>
    <n v="0"/>
    <n v="0"/>
    <n v="0"/>
    <n v="0"/>
    <n v="0"/>
    <m/>
    <n v="0"/>
    <n v="0"/>
    <n v="0"/>
    <n v="0"/>
    <n v="0"/>
    <n v="-89.397918250359808"/>
    <n v="0"/>
    <n v="-3.92"/>
    <n v="-33.6"/>
    <n v="-2399.96"/>
    <n v="1"/>
    <m/>
    <m/>
    <m/>
    <m/>
    <m/>
    <m/>
    <m/>
    <m/>
    <m/>
    <n v="-1792.80262410349"/>
    <m/>
    <m/>
    <m/>
    <m/>
    <m/>
    <m/>
    <m/>
    <m/>
    <m/>
    <m/>
    <m/>
    <m/>
    <n v="-5088.8999999999996"/>
    <n v="325.96999999999935"/>
    <m/>
    <m/>
    <m/>
    <m/>
    <n v="541.9"/>
    <n v="-215.90000000000003"/>
    <n v="31"/>
    <n v="-259.0719287890056"/>
    <n v="-5.4142625276161027"/>
    <n v="-25.245907416562034"/>
    <n v="0"/>
    <n v="0"/>
    <n v="0"/>
    <n v="0"/>
    <n v="0"/>
    <n v="-25.321009011962602"/>
    <n v="0"/>
    <n v="0"/>
    <n v="-215.87562364148994"/>
    <n v="0"/>
    <n v="0"/>
    <n v="0"/>
    <n v="-11.329563249552194"/>
    <n v="0"/>
    <n v="20.898796673857987"/>
    <m/>
    <n v="0"/>
    <n v="0"/>
    <n v="0"/>
    <n v="0"/>
    <n v="2.8739204490105834"/>
    <n v="0.34171993530889999"/>
    <n v="0"/>
    <n v="0"/>
    <m/>
    <m/>
    <m/>
    <n v="-2355.37105793718"/>
    <n v="0"/>
    <n v="0"/>
    <n v="541.90000000000009"/>
    <n v="-215.90000000000009"/>
    <n v="0"/>
    <n v="0"/>
    <n v="585.11412392892021"/>
    <n v="0"/>
    <n v="0"/>
    <n v="0"/>
    <n v="0"/>
    <n v="0"/>
    <n v="0"/>
    <n v="0"/>
    <n v="0"/>
    <n v="0"/>
    <n v="0"/>
    <n v="0"/>
    <n v="0"/>
    <n v="-157.175421263287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"/>
    <s v="Regular"/>
    <s v="Verde"/>
    <s v="A4"/>
    <s v="Comercial"/>
    <s v="Não se aplica"/>
    <s v="Não se aplica"/>
    <s v="Não se aplica"/>
    <s v="Ponta"/>
    <s v="CATIVO"/>
    <x v="0"/>
    <n v="0"/>
    <n v="0"/>
    <n v="73.894999999999996"/>
    <n v="73.894999999999996"/>
    <n v="73.894999999999996"/>
    <n v="73.894999999999996"/>
    <m/>
    <n v="1358.36"/>
    <n v="173.25"/>
    <m/>
    <n v="113178.32094999998"/>
    <n v="113178.32094999998"/>
    <n v="99235.073399999979"/>
    <n v="0"/>
    <n v="3956.6567418902"/>
    <n v="0"/>
    <n v="0"/>
    <n v="1399.7256175545288"/>
    <n v="1344.8265952708584"/>
    <n v="74523.677732962591"/>
    <n v="12587.309073901704"/>
    <n v="214.83002173934568"/>
    <n v="0"/>
    <n v="0"/>
    <n v="0"/>
    <n v="0"/>
    <n v="702.66979234296116"/>
    <m/>
    <n v="59.17613777093009"/>
    <n v="2971.3787059805541"/>
    <n v="13855.0243965874"/>
    <n v="0"/>
    <n v="0"/>
    <n v="0"/>
    <n v="0"/>
    <n v="0"/>
    <n v="0"/>
    <n v="0"/>
    <n v="0"/>
    <n v="0"/>
    <n v="0"/>
    <m/>
    <n v="0"/>
    <n v="0"/>
    <n v="0"/>
    <n v="0"/>
    <n v="0"/>
    <n v="552.63532820116325"/>
    <n v="0"/>
    <n v="0"/>
    <n v="0"/>
    <n v="0"/>
    <n v="0"/>
    <m/>
    <m/>
    <m/>
    <m/>
    <m/>
    <m/>
    <m/>
    <m/>
    <m/>
    <n v="13139.944402102868"/>
    <m/>
    <m/>
    <m/>
    <m/>
    <m/>
    <m/>
    <m/>
    <m/>
    <m/>
    <m/>
    <m/>
    <m/>
    <n v="99241.788000000015"/>
    <n v="-13936.562949999949"/>
    <m/>
    <m/>
    <m/>
    <m/>
    <n v="-15538.640599999997"/>
    <n v="1595.3930500000001"/>
    <n v="31"/>
    <n v="4569.4237672300151"/>
    <n v="296.0915368994556"/>
    <n v="1380.6235668002391"/>
    <n v="0"/>
    <n v="0"/>
    <n v="0"/>
    <n v="0"/>
    <n v="0"/>
    <n v="1384.7258022580882"/>
    <n v="0"/>
    <n v="0"/>
    <n v="1595.2129208987881"/>
    <n v="0"/>
    <n v="0"/>
    <n v="0"/>
    <n v="70.036495561983543"/>
    <n v="0"/>
    <n v="-134.35554247867867"/>
    <m/>
    <n v="0"/>
    <n v="0"/>
    <n v="0"/>
    <n v="0"/>
    <n v="-21.23683515796381"/>
    <n v="-1.6741775518946937"/>
    <n v="0"/>
    <n v="0"/>
    <m/>
    <m/>
    <m/>
    <n v="74523.677732962591"/>
    <n v="0"/>
    <n v="0"/>
    <n v="-15538.640599999999"/>
    <n v="1595.3930499999988"/>
    <n v="0"/>
    <n v="0"/>
    <n v="-18512.945661679456"/>
    <n v="0"/>
    <n v="0"/>
    <n v="0"/>
    <n v="0"/>
    <n v="0"/>
    <n v="0"/>
    <n v="0"/>
    <n v="0"/>
    <n v="0"/>
    <n v="0"/>
    <n v="0"/>
    <n v="0"/>
    <n v="1010.45956461980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2"/>
    <s v="Sistema de Compensação"/>
    <s v="Verde"/>
    <s v="A4"/>
    <s v="Comercial"/>
    <s v="Não se aplica"/>
    <s v="Não se aplica"/>
    <s v="Não se aplica"/>
    <s v="Ponta"/>
    <s v="CATIVO"/>
    <x v="0"/>
    <n v="0"/>
    <n v="0"/>
    <n v="3.7669999999999999"/>
    <n v="3.7669999999999999"/>
    <n v="3.7669999999999999"/>
    <n v="3.7669999999999999"/>
    <m/>
    <n v="1358.36"/>
    <n v="173.25"/>
    <m/>
    <n v="5769.5748699999995"/>
    <n v="5769.5748699999995"/>
    <n v="5058.7796399999997"/>
    <n v="0"/>
    <n v="201.70141344746443"/>
    <n v="0"/>
    <n v="0"/>
    <n v="71.354846759969007"/>
    <n v="68.556218748025216"/>
    <n v="3799.0485691869558"/>
    <n v="641.67255269487407"/>
    <n v="10.95154870954889"/>
    <n v="0"/>
    <n v="0"/>
    <n v="0"/>
    <n v="0"/>
    <n v="35.820517054684821"/>
    <m/>
    <n v="3.0166656875714684"/>
    <n v="151.47416720250013"/>
    <n v="706.29781313951867"/>
    <n v="0"/>
    <n v="0"/>
    <n v="0"/>
    <n v="0"/>
    <n v="0"/>
    <n v="0"/>
    <n v="0"/>
    <n v="0"/>
    <n v="0"/>
    <n v="0"/>
    <m/>
    <n v="0"/>
    <n v="0"/>
    <n v="0"/>
    <n v="0"/>
    <n v="0"/>
    <n v="28.172099348180286"/>
    <n v="0"/>
    <n v="0"/>
    <n v="0"/>
    <n v="0"/>
    <n v="0"/>
    <m/>
    <m/>
    <m/>
    <m/>
    <m/>
    <m/>
    <m/>
    <m/>
    <m/>
    <n v="669.84465204305434"/>
    <m/>
    <m/>
    <m/>
    <m/>
    <m/>
    <m/>
    <m/>
    <m/>
    <m/>
    <m/>
    <m/>
    <m/>
    <n v="5062.8083999999999"/>
    <n v="-706.79647000000023"/>
    <m/>
    <m/>
    <m/>
    <m/>
    <n v="-792.12475999999992"/>
    <n v="81.329530000000005"/>
    <n v="31"/>
    <n v="232.93889073896048"/>
    <n v="15.094076994387308"/>
    <n v="70.381067408302442"/>
    <n v="0"/>
    <n v="0"/>
    <n v="0"/>
    <n v="0"/>
    <n v="0"/>
    <n v="70.590190095489803"/>
    <n v="0"/>
    <n v="0"/>
    <n v="81.320347425749219"/>
    <n v="0"/>
    <n v="0"/>
    <n v="0"/>
    <n v="3.5703021690505707"/>
    <n v="0"/>
    <n v="-6.8491417351266364"/>
    <m/>
    <n v="0"/>
    <n v="0"/>
    <n v="0"/>
    <n v="0"/>
    <n v="-1.0826058331422956"/>
    <n v="-8.5345785749879166E-2"/>
    <n v="0"/>
    <n v="0"/>
    <m/>
    <m/>
    <m/>
    <n v="3799.0485691869558"/>
    <n v="0"/>
    <n v="0"/>
    <n v="-792.1247599999997"/>
    <n v="81.329529999999977"/>
    <n v="0"/>
    <n v="0"/>
    <n v="-943.74810619861319"/>
    <n v="0"/>
    <n v="0"/>
    <n v="0"/>
    <n v="0"/>
    <n v="0"/>
    <n v="0"/>
    <n v="0"/>
    <n v="0"/>
    <n v="0"/>
    <n v="0"/>
    <n v="0"/>
    <n v="0"/>
    <n v="51.510943635195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"/>
    <s v="Regular"/>
    <s v="Verde"/>
    <s v="A4"/>
    <s v="Comercial"/>
    <s v="Não se aplica"/>
    <s v="Não se aplica"/>
    <s v="Não se aplica"/>
    <s v="Fora ponta"/>
    <s v="CATIVO"/>
    <x v="0"/>
    <n v="0"/>
    <n v="0"/>
    <n v="823.31899999999996"/>
    <n v="823.31899999999996"/>
    <n v="823.31899999999996"/>
    <n v="823.31899999999996"/>
    <m/>
    <n v="85.01"/>
    <n v="173.25"/>
    <m/>
    <n v="212630.36494"/>
    <n v="212630.36494"/>
    <n v="229434.30572999999"/>
    <n v="0"/>
    <n v="44084.047257274484"/>
    <n v="0"/>
    <n v="0"/>
    <n v="0"/>
    <n v="0"/>
    <n v="0"/>
    <n v="140244.54590182932"/>
    <n v="2393.5806031316915"/>
    <n v="0"/>
    <n v="0"/>
    <n v="0"/>
    <n v="0"/>
    <n v="7828.9652988972784"/>
    <m/>
    <n v="659.32523950773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57.320059263192"/>
    <n v="0"/>
    <n v="0"/>
    <n v="0"/>
    <n v="0"/>
    <n v="0"/>
    <m/>
    <m/>
    <m/>
    <m/>
    <m/>
    <m/>
    <m/>
    <m/>
    <m/>
    <n v="146401.86596109252"/>
    <m/>
    <m/>
    <m/>
    <m/>
    <m/>
    <m/>
    <m/>
    <m/>
    <m/>
    <m/>
    <m/>
    <m/>
    <n v="229434.58440000002"/>
    <n v="16804.189460000052"/>
    <m/>
    <m/>
    <m/>
    <m/>
    <n v="-971.51642000000561"/>
    <n v="17775.45721"/>
    <n v="31"/>
    <n v="16801.555468702834"/>
    <n v="0"/>
    <n v="0"/>
    <n v="0"/>
    <n v="0"/>
    <n v="0"/>
    <n v="0"/>
    <n v="0"/>
    <n v="0"/>
    <n v="0"/>
    <n v="0"/>
    <n v="17773.450258088764"/>
    <n v="0"/>
    <n v="0"/>
    <n v="0"/>
    <n v="780.3285403558657"/>
    <n v="0"/>
    <n v="-1496.9547449489619"/>
    <m/>
    <n v="0"/>
    <n v="0"/>
    <n v="0"/>
    <n v="0"/>
    <n v="-236.61533101589521"/>
    <n v="-18.653253776958991"/>
    <n v="0"/>
    <n v="0"/>
    <m/>
    <m/>
    <m/>
    <n v="0"/>
    <n v="0"/>
    <n v="0"/>
    <n v="-971.51642000001448"/>
    <n v="17775.457210000022"/>
    <n v="0"/>
    <n v="0"/>
    <n v="0"/>
    <n v="0"/>
    <n v="0"/>
    <n v="0"/>
    <n v="0"/>
    <n v="0"/>
    <n v="0"/>
    <n v="0"/>
    <n v="0"/>
    <n v="0"/>
    <n v="0"/>
    <n v="0"/>
    <n v="0"/>
    <n v="11258.27942733895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33.32"/>
    <n v="33.32"/>
    <n v="33.32"/>
    <n v="33.32"/>
    <m/>
    <n v="85.01"/>
    <n v="173.25"/>
    <m/>
    <n v="8605.2232000000004"/>
    <n v="8605.2232000000004"/>
    <n v="9285.2844000000005"/>
    <n v="0"/>
    <n v="1784.0963886566274"/>
    <n v="0"/>
    <n v="0"/>
    <n v="0"/>
    <n v="0"/>
    <n v="0"/>
    <n v="5675.7444799026289"/>
    <n v="96.869021237634456"/>
    <n v="0"/>
    <n v="0"/>
    <n v="0"/>
    <n v="0"/>
    <n v="316.84088884048265"/>
    <m/>
    <n v="26.68311672680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1888373457306"/>
    <n v="0"/>
    <n v="0"/>
    <n v="0"/>
    <n v="0"/>
    <n v="0"/>
    <m/>
    <m/>
    <m/>
    <m/>
    <m/>
    <m/>
    <m/>
    <m/>
    <m/>
    <n v="5924.9333172483593"/>
    <m/>
    <m/>
    <m/>
    <m/>
    <m/>
    <m/>
    <m/>
    <m/>
    <m/>
    <m/>
    <m/>
    <m/>
    <n v="9285.2844000000005"/>
    <n v="680.03119999999944"/>
    <m/>
    <m/>
    <m/>
    <m/>
    <n v="-39.317600000000226"/>
    <n v="719.37880000000007"/>
    <n v="31"/>
    <n v="679.96466523568597"/>
    <n v="0"/>
    <n v="0"/>
    <n v="0"/>
    <n v="0"/>
    <n v="0"/>
    <n v="0"/>
    <n v="0"/>
    <n v="0"/>
    <n v="0"/>
    <n v="0"/>
    <n v="719.29757797344519"/>
    <n v="0"/>
    <n v="0"/>
    <n v="0"/>
    <n v="31.580161474054961"/>
    <n v="0"/>
    <n v="-60.582267750045048"/>
    <m/>
    <n v="0"/>
    <n v="0"/>
    <n v="0"/>
    <n v="0"/>
    <n v="-9.5759029361032617"/>
    <n v="-0.75490352566657037"/>
    <n v="0"/>
    <n v="0"/>
    <m/>
    <m/>
    <m/>
    <n v="0"/>
    <n v="0"/>
    <n v="0"/>
    <n v="-39.317600000000311"/>
    <n v="719.37880000000041"/>
    <n v="0"/>
    <n v="0"/>
    <n v="0"/>
    <n v="0"/>
    <n v="0"/>
    <n v="0"/>
    <n v="0"/>
    <n v="0"/>
    <n v="0"/>
    <n v="0"/>
    <n v="0"/>
    <n v="0"/>
    <n v="0"/>
    <n v="0"/>
    <n v="0"/>
    <n v="455.6263981748679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"/>
    <s v="Regular"/>
    <s v="Verde"/>
    <s v="A4"/>
    <s v="Comercial"/>
    <s v="Não se aplica"/>
    <s v="Não se aplica"/>
    <s v="Não se aplica"/>
    <s v="Não se aplica"/>
    <s v="CATIVO"/>
    <x v="0"/>
    <n v="3721"/>
    <n v="3721"/>
    <n v="0"/>
    <n v="0"/>
    <n v="0"/>
    <n v="0"/>
    <n v="27.19"/>
    <m/>
    <m/>
    <n v="101173.99"/>
    <m/>
    <n v="101173.99"/>
    <n v="80968.960000000006"/>
    <n v="0"/>
    <n v="0"/>
    <n v="0"/>
    <n v="0"/>
    <n v="867.73948256396568"/>
    <n v="833.63363729734772"/>
    <n v="89051.084534796493"/>
    <m/>
    <m/>
    <m/>
    <n v="0"/>
    <n v="0"/>
    <n v="0"/>
    <n v="0"/>
    <m/>
    <n v="0"/>
    <n v="1841.4664564876166"/>
    <n v="8588.3985848457542"/>
    <n v="0"/>
    <n v="0"/>
    <m/>
    <m/>
    <n v="0"/>
    <n v="0"/>
    <n v="0"/>
    <m/>
    <m/>
    <n v="0"/>
    <m/>
    <n v="0"/>
    <n v="0"/>
    <n v="0"/>
    <n v="0"/>
    <m/>
    <n v="0"/>
    <n v="0"/>
    <n v="339.81"/>
    <n v="2913.98"/>
    <n v="196295.24"/>
    <n v="37"/>
    <m/>
    <m/>
    <m/>
    <m/>
    <m/>
    <m/>
    <m/>
    <m/>
    <m/>
    <n v="0"/>
    <m/>
    <m/>
    <m/>
    <m/>
    <m/>
    <m/>
    <m/>
    <m/>
    <m/>
    <m/>
    <m/>
    <m/>
    <n v="80968.960000000006"/>
    <n v="-20205.059999999983"/>
    <m/>
    <m/>
    <m/>
    <m/>
    <n v="-20205.03"/>
    <n v="0"/>
    <n v="31"/>
    <n v="1897.6801908405505"/>
    <n v="183.49819636009306"/>
    <n v="855.81556177066523"/>
    <n v="0"/>
    <n v="0"/>
    <m/>
    <m/>
    <m/>
    <n v="858.366432709790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89051.084534796493"/>
    <m/>
    <n v="0"/>
    <n v="0"/>
    <n v="-20205.03"/>
    <m/>
    <n v="0"/>
    <m/>
    <n v="-22121.79993335327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6"/>
    <s v="Sistema de Compensação"/>
    <s v="Verde"/>
    <s v="A4"/>
    <s v="Comercial"/>
    <s v="Não se aplica"/>
    <s v="Não se aplica"/>
    <s v="Não se aplica"/>
    <s v="Não se aplica"/>
    <s v="CATIVO"/>
    <x v="0"/>
    <n v="660"/>
    <n v="660"/>
    <n v="0"/>
    <n v="0"/>
    <n v="0"/>
    <n v="0"/>
    <n v="27.19"/>
    <m/>
    <m/>
    <n v="17945.400000000001"/>
    <m/>
    <n v="17945.400000000001"/>
    <n v="14361.6"/>
    <n v="0"/>
    <n v="0"/>
    <n v="0"/>
    <n v="0"/>
    <n v="153.91240486219226"/>
    <n v="147.86299398447986"/>
    <n v="15795.139960485269"/>
    <m/>
    <m/>
    <m/>
    <n v="0"/>
    <n v="0"/>
    <n v="0"/>
    <n v="0"/>
    <m/>
    <n v="0"/>
    <n v="326.62398851970624"/>
    <n v="1523.3386363875834"/>
    <n v="0"/>
    <n v="0"/>
    <m/>
    <m/>
    <n v="0"/>
    <n v="0"/>
    <n v="0"/>
    <m/>
    <m/>
    <n v="0"/>
    <m/>
    <n v="0"/>
    <n v="0"/>
    <n v="0"/>
    <n v="0"/>
    <m/>
    <n v="0"/>
    <n v="0"/>
    <n v="22.34"/>
    <n v="191.72"/>
    <n v="13982.51"/>
    <n v="6"/>
    <m/>
    <m/>
    <m/>
    <m/>
    <m/>
    <m/>
    <m/>
    <m/>
    <m/>
    <n v="0"/>
    <m/>
    <m/>
    <m/>
    <m/>
    <m/>
    <m/>
    <m/>
    <m/>
    <m/>
    <m/>
    <m/>
    <m/>
    <n v="14361.6"/>
    <n v="-3583.8299999999963"/>
    <m/>
    <m/>
    <m/>
    <m/>
    <n v="-3583.7999999999997"/>
    <n v="0"/>
    <n v="31"/>
    <n v="336.59471269947881"/>
    <n v="32.547382315953087"/>
    <n v="151.79743906708904"/>
    <n v="0"/>
    <n v="0"/>
    <m/>
    <m/>
    <m/>
    <n v="152.249891316436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795.139960485269"/>
    <m/>
    <n v="0"/>
    <n v="0"/>
    <n v="-3583.8000000000011"/>
    <m/>
    <n v="0"/>
    <m/>
    <n v="-3923.780692290558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7"/>
    <s v="Regular"/>
    <s v="Branca"/>
    <s v="B3"/>
    <s v="Comercial"/>
    <s v="Não se aplica"/>
    <s v="Não se aplica"/>
    <s v="Não se aplica"/>
    <s v="Ponta"/>
    <s v="CATIVO"/>
    <x v="0"/>
    <n v="0"/>
    <n v="0"/>
    <n v="0.56599999999999995"/>
    <n v="0.56599999999999995"/>
    <n v="0.56599999999999995"/>
    <n v="0.56599999999999995"/>
    <m/>
    <n v="1553.42"/>
    <n v="173.25"/>
    <m/>
    <n v="977.29521999999997"/>
    <n v="977.29521999999997"/>
    <n v="927.24383999999998"/>
    <n v="0"/>
    <n v="34.834573690843641"/>
    <n v="0"/>
    <n v="0"/>
    <n v="61.382273264643558"/>
    <n v="4.2447849789434944"/>
    <n v="406.60755334845442"/>
    <n v="96.412706351287156"/>
    <n v="1.6454941782863475"/>
    <n v="0"/>
    <n v="0"/>
    <n v="0"/>
    <n v="0"/>
    <n v="5.3821111369661816"/>
    <m/>
    <n v="0.68364690032929942"/>
    <n v="178.60354403165979"/>
    <n v="173.53904947669085"/>
    <n v="0"/>
    <n v="0"/>
    <n v="0"/>
    <n v="0"/>
    <n v="0"/>
    <n v="0"/>
    <n v="0"/>
    <n v="0"/>
    <n v="0"/>
    <n v="0"/>
    <m/>
    <n v="0"/>
    <n v="0"/>
    <n v="0"/>
    <n v="0"/>
    <n v="0"/>
    <n v="5.0599221729703645"/>
    <n v="0"/>
    <n v="0"/>
    <n v="0"/>
    <n v="0"/>
    <n v="0"/>
    <m/>
    <m/>
    <m/>
    <m/>
    <m/>
    <m/>
    <m/>
    <m/>
    <m/>
    <n v="101.47262852425752"/>
    <m/>
    <m/>
    <m/>
    <m/>
    <m/>
    <m/>
    <m/>
    <m/>
    <m/>
    <m/>
    <m/>
    <m/>
    <n v="933.79679999999996"/>
    <n v="-43.528419999999983"/>
    <m/>
    <m/>
    <m/>
    <m/>
    <n v="-62.271319999999982"/>
    <n v="12.219940000000001"/>
    <n v="31"/>
    <n v="50.955915272855918"/>
    <n v="17.79746140792696"/>
    <n v="17.292795350591064"/>
    <n v="0"/>
    <n v="0"/>
    <n v="0"/>
    <n v="0"/>
    <n v="0"/>
    <n v="4.370722073797733"/>
    <n v="0"/>
    <n v="0"/>
    <n v="12.218560298108329"/>
    <n v="0"/>
    <n v="0"/>
    <n v="0"/>
    <n v="0.64125327992465486"/>
    <n v="0"/>
    <n v="-1.182871891740362"/>
    <m/>
    <n v="0"/>
    <n v="0"/>
    <n v="0"/>
    <n v="0"/>
    <n v="-0.16266389741399934"/>
    <n v="-1.9341348338483777E-2"/>
    <n v="0"/>
    <n v="0"/>
    <m/>
    <m/>
    <m/>
    <n v="406.60755334845442"/>
    <n v="0"/>
    <n v="0"/>
    <n v="-62.27132000000006"/>
    <n v="12.219940000000008"/>
    <n v="0"/>
    <n v="0"/>
    <n v="-101.00821335926707"/>
    <n v="0"/>
    <n v="0"/>
    <n v="0"/>
    <n v="0"/>
    <n v="0"/>
    <n v="0"/>
    <n v="0"/>
    <n v="0"/>
    <n v="0"/>
    <n v="0"/>
    <n v="0"/>
    <n v="0"/>
    <n v="8.896128843502044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"/>
    <s v="Regular"/>
    <s v="Branca"/>
    <s v="B3"/>
    <s v="Comercial"/>
    <s v="Não se aplica"/>
    <s v="Não se aplica"/>
    <s v="Não se aplica"/>
    <s v="Fora ponta"/>
    <s v="CATIVO"/>
    <x v="0"/>
    <n v="0"/>
    <n v="0"/>
    <n v="5.5490000000000004"/>
    <n v="5.5490000000000004"/>
    <n v="5.5490000000000004"/>
    <n v="5.5490000000000004"/>
    <m/>
    <n v="388.22"/>
    <n v="173.25"/>
    <m/>
    <n v="3115.5970300000004"/>
    <n v="3115.5970300000004"/>
    <n v="3107.6064700000006"/>
    <n v="0"/>
    <n v="341.51422157330637"/>
    <n v="0"/>
    <n v="0"/>
    <n v="120.35697326696366"/>
    <n v="8.3230861791487687"/>
    <n v="797.26749281971013"/>
    <n v="945.21927127790195"/>
    <n v="16.132238860973398"/>
    <n v="0"/>
    <n v="0"/>
    <n v="0"/>
    <n v="0"/>
    <n v="52.765609008878705"/>
    <m/>
    <n v="6.7023969079987333"/>
    <n v="350.20179004653016"/>
    <n v="340.27144365588612"/>
    <n v="0"/>
    <n v="0"/>
    <n v="0"/>
    <n v="0"/>
    <n v="0"/>
    <n v="0"/>
    <n v="0"/>
    <n v="0"/>
    <n v="0"/>
    <n v="0"/>
    <m/>
    <n v="0"/>
    <n v="0"/>
    <n v="0"/>
    <n v="0"/>
    <n v="0"/>
    <n v="49.606904837124659"/>
    <n v="0"/>
    <n v="0"/>
    <n v="0"/>
    <n v="0"/>
    <n v="0"/>
    <m/>
    <m/>
    <m/>
    <m/>
    <m/>
    <m/>
    <m/>
    <m/>
    <m/>
    <n v="994.82617611502656"/>
    <m/>
    <m/>
    <m/>
    <m/>
    <m/>
    <m/>
    <m/>
    <m/>
    <m/>
    <m/>
    <m/>
    <m/>
    <n v="3108.1665000000003"/>
    <n v="-7.4605300000007446"/>
    <m/>
    <m/>
    <m/>
    <m/>
    <n v="-127.79347000000017"/>
    <n v="119.80291000000003"/>
    <n v="31"/>
    <n v="190.06925999151917"/>
    <n v="34.896859841902824"/>
    <n v="33.907322049621257"/>
    <n v="0"/>
    <n v="0"/>
    <n v="0"/>
    <n v="0"/>
    <n v="0"/>
    <n v="8.5700210177384601"/>
    <n v="0"/>
    <n v="0"/>
    <n v="119.78938355866262"/>
    <n v="0"/>
    <n v="0"/>
    <n v="0"/>
    <n v="6.2867746471765145"/>
    <n v="0"/>
    <n v="-11.596742274323844"/>
    <m/>
    <n v="0"/>
    <n v="0"/>
    <n v="0"/>
    <n v="0"/>
    <n v="-1.5947384571559837"/>
    <n v="-0.18962039210290804"/>
    <n v="0"/>
    <n v="0"/>
    <m/>
    <m/>
    <m/>
    <n v="797.26749281971013"/>
    <n v="0"/>
    <n v="0"/>
    <n v="-127.79347000000007"/>
    <n v="119.80291000000011"/>
    <n v="0"/>
    <n v="0"/>
    <n v="-198.05476891898184"/>
    <n v="0"/>
    <n v="0"/>
    <n v="0"/>
    <n v="0"/>
    <n v="0"/>
    <n v="0"/>
    <n v="0"/>
    <n v="0"/>
    <n v="0"/>
    <n v="0"/>
    <n v="0"/>
    <n v="0"/>
    <n v="87.2166412589979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9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46"/>
    <n v="21.38"/>
    <n v="1526.66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0"/>
    <s v="Regular"/>
    <s v="Branca"/>
    <s v="B3"/>
    <s v="Comercial"/>
    <s v="Não se aplica"/>
    <s v="Não se aplica"/>
    <s v="Não se aplica"/>
    <s v="Intermediário"/>
    <s v="CATIVO"/>
    <x v="0"/>
    <n v="0"/>
    <n v="0"/>
    <n v="0.41599999999999998"/>
    <n v="0.41599999999999998"/>
    <n v="0.41599999999999998"/>
    <n v="0.41599999999999998"/>
    <m/>
    <n v="970.82"/>
    <n v="173.25"/>
    <m/>
    <n v="475.93312000000003"/>
    <n v="475.93312000000003"/>
    <n v="457.23807999999997"/>
    <n v="0"/>
    <n v="25.602796210938084"/>
    <n v="0"/>
    <n v="0"/>
    <n v="27.068931814231547"/>
    <n v="1.8719069294607384"/>
    <n v="179.30966549884334"/>
    <n v="70.861635763490199"/>
    <n v="1.2094091487051601"/>
    <n v="0"/>
    <n v="0"/>
    <n v="0"/>
    <n v="0"/>
    <n v="3.9557565953673701"/>
    <m/>
    <n v="0.50246839317489145"/>
    <n v="78.762269594173574"/>
    <n v="76.528881182653947"/>
    <n v="0"/>
    <n v="0"/>
    <n v="0"/>
    <n v="0"/>
    <n v="0"/>
    <n v="0"/>
    <n v="0"/>
    <n v="0"/>
    <n v="0"/>
    <n v="0"/>
    <m/>
    <n v="0"/>
    <n v="0"/>
    <n v="0"/>
    <n v="0"/>
    <n v="0"/>
    <n v="3.7189533992149677"/>
    <n v="0"/>
    <n v="0"/>
    <n v="0"/>
    <n v="0"/>
    <n v="0"/>
    <m/>
    <m/>
    <m/>
    <m/>
    <m/>
    <m/>
    <m/>
    <m/>
    <m/>
    <n v="74.580589162705166"/>
    <m/>
    <m/>
    <m/>
    <m/>
    <m/>
    <m/>
    <m/>
    <m/>
    <m/>
    <m/>
    <m/>
    <m/>
    <n v="461.63459999999998"/>
    <n v="-14.328520000000026"/>
    <m/>
    <m/>
    <m/>
    <m/>
    <n v="-27.676480000000033"/>
    <n v="8.981440000000001"/>
    <n v="31"/>
    <n v="25.850450347265792"/>
    <n v="7.8484918152272201"/>
    <n v="7.625939433758461"/>
    <n v="0"/>
    <n v="0"/>
    <n v="0"/>
    <n v="0"/>
    <n v="0"/>
    <n v="1.9274439052329508"/>
    <n v="0"/>
    <n v="0"/>
    <n v="8.980425943485983"/>
    <n v="0"/>
    <n v="0"/>
    <n v="0"/>
    <n v="0.47130983118137149"/>
    <n v="0"/>
    <n v="-0.86938994163249461"/>
    <m/>
    <n v="0"/>
    <n v="0"/>
    <n v="0"/>
    <n v="0"/>
    <n v="-0.11955509067884051"/>
    <n v="-1.4215549308850217E-2"/>
    <n v="0"/>
    <n v="0"/>
    <m/>
    <m/>
    <m/>
    <n v="179.30966549884334"/>
    <n v="0"/>
    <n v="0"/>
    <n v="-27.676480000000083"/>
    <n v="8.9814399999999921"/>
    <n v="0"/>
    <n v="0"/>
    <n v="-44.543562461970623"/>
    <n v="0"/>
    <n v="0"/>
    <n v="0"/>
    <n v="0"/>
    <n v="0"/>
    <n v="0"/>
    <n v="0"/>
    <n v="0"/>
    <n v="0"/>
    <n v="0"/>
    <n v="0"/>
    <n v="0"/>
    <n v="6.538497524552738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"/>
    <s v="Regular"/>
    <s v="Convencional"/>
    <s v="B2"/>
    <s v="Rural"/>
    <s v="Não se aplica"/>
    <s v="Não se aplica"/>
    <s v="Não se aplica"/>
    <s v="Não se aplica"/>
    <s v="CATIVO"/>
    <x v="0"/>
    <n v="0"/>
    <n v="0"/>
    <n v="5986.2250000000004"/>
    <n v="5986.2250000000004"/>
    <n v="5986.2250000000004"/>
    <n v="5986.2250000000004"/>
    <m/>
    <n v="368.24"/>
    <n v="173.25"/>
    <m/>
    <n v="3241480.9752500006"/>
    <n v="3241480.9752500006"/>
    <n v="3046330.0402500005"/>
    <n v="0"/>
    <n v="368423.31429765112"/>
    <n v="0"/>
    <n v="0"/>
    <n v="15321.966562083688"/>
    <n v="14720.974098378072"/>
    <n v="1409978.1111299996"/>
    <n v="1019696.3835295654"/>
    <n v="17403.354041364295"/>
    <n v="0"/>
    <n v="0"/>
    <n v="0"/>
    <n v="0"/>
    <n v="56923.194771882307"/>
    <m/>
    <n v="7230.5020599359732"/>
    <n v="32525.528262803702"/>
    <n v="151661.73989702138"/>
    <n v="0"/>
    <n v="0"/>
    <n v="0"/>
    <n v="0"/>
    <n v="0"/>
    <n v="0"/>
    <n v="0"/>
    <n v="0"/>
    <n v="0"/>
    <n v="0"/>
    <m/>
    <n v="0"/>
    <n v="0"/>
    <n v="0"/>
    <n v="0"/>
    <n v="0"/>
    <n v="53515.605317826019"/>
    <n v="0"/>
    <n v="1903.7"/>
    <n v="17010.27"/>
    <n v="173819.34"/>
    <n v="15966"/>
    <m/>
    <m/>
    <m/>
    <m/>
    <m/>
    <n v="365518.89850000001"/>
    <m/>
    <m/>
    <m/>
    <n v="1073211.9888473914"/>
    <m/>
    <m/>
    <m/>
    <m/>
    <m/>
    <m/>
    <m/>
    <m/>
    <m/>
    <m/>
    <m/>
    <m/>
    <n v="2680813.3808999998"/>
    <n v="-171682.72385000018"/>
    <m/>
    <m/>
    <m/>
    <m/>
    <n v="-324393.53275000001"/>
    <n v="129242.59775000003"/>
    <n v="31"/>
    <n v="155086.28569149622"/>
    <n v="3241.0993699378741"/>
    <n v="15112.768212470895"/>
    <n v="0"/>
    <n v="0"/>
    <n v="0"/>
    <n v="0"/>
    <n v="0"/>
    <n v="15157.725717263584"/>
    <n v="0"/>
    <n v="0"/>
    <n v="129228.00551332778"/>
    <n v="0"/>
    <n v="0"/>
    <n v="0"/>
    <n v="6782.1314763550617"/>
    <n v="0"/>
    <n v="-12510.489911896584"/>
    <m/>
    <n v="0"/>
    <n v="0"/>
    <n v="0"/>
    <n v="0"/>
    <n v="-1720.3934439878431"/>
    <n v="-204.56124197445115"/>
    <n v="0"/>
    <n v="0"/>
    <m/>
    <m/>
    <m/>
    <n v="1409978.1111299996"/>
    <n v="0"/>
    <n v="0"/>
    <n v="-324393.53275000025"/>
    <n v="129242.59775000007"/>
    <n v="0"/>
    <n v="0"/>
    <n v="-350262.47965163994"/>
    <n v="0"/>
    <n v="0"/>
    <n v="0"/>
    <n v="0"/>
    <n v="0"/>
    <n v="0"/>
    <n v="0"/>
    <n v="0"/>
    <n v="0"/>
    <n v="0"/>
    <n v="0"/>
    <n v="0"/>
    <n v="94088.7436151820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34.091999999999999"/>
    <n v="-34.091999999999999"/>
    <n v="-34.091999999999999"/>
    <n v="-34.091999999999999"/>
    <m/>
    <n v="368.24"/>
    <n v="173.25"/>
    <m/>
    <n v="-18460.477080000001"/>
    <n v="-18460.477080000001"/>
    <n v="-17349.077880000001"/>
    <n v="0"/>
    <n v="-2098.1983856329357"/>
    <n v="0"/>
    <n v="0"/>
    <n v="-87.259747843516905"/>
    <n v="-83.837050722601504"/>
    <n v="-8029.9310107194342"/>
    <n v="-5807.2473231944905"/>
    <n v="-99.113405523212293"/>
    <n v="0"/>
    <n v="0"/>
    <n v="0"/>
    <n v="0"/>
    <n v="-324.18186021457785"/>
    <m/>
    <n v="-41.178251106053843"/>
    <n v="-185.23532101374468"/>
    <n v="-863.72497468258416"/>
    <n v="0"/>
    <n v="0"/>
    <n v="0"/>
    <n v="0"/>
    <n v="0"/>
    <n v="0"/>
    <n v="0"/>
    <n v="0"/>
    <n v="0"/>
    <n v="0"/>
    <m/>
    <n v="0"/>
    <n v="0"/>
    <n v="0"/>
    <n v="0"/>
    <n v="0"/>
    <n v="-304.77538289912661"/>
    <n v="0"/>
    <n v="-11.33"/>
    <n v="-97.37"/>
    <n v="-49.34"/>
    <n v="0"/>
    <m/>
    <m/>
    <m/>
    <m/>
    <m/>
    <n v="-2081.6575199999997"/>
    <m/>
    <m/>
    <m/>
    <n v="-6112.0227060936168"/>
    <m/>
    <m/>
    <m/>
    <m/>
    <m/>
    <m/>
    <m/>
    <m/>
    <m/>
    <m/>
    <m/>
    <m/>
    <n v="-15266.524700000002"/>
    <n v="978.62421999999788"/>
    <m/>
    <m/>
    <m/>
    <m/>
    <n v="1847.4454799999999"/>
    <n v="-736.04628000000014"/>
    <n v="31"/>
    <n v="-883.22801962747872"/>
    <n v="-18.458303809148816"/>
    <n v="-86.068347564543274"/>
    <n v="0"/>
    <n v="0"/>
    <n v="0"/>
    <n v="0"/>
    <n v="0"/>
    <n v="-86.3243839235829"/>
    <n v="0"/>
    <n v="0"/>
    <n v="-735.96317611856739"/>
    <n v="0"/>
    <n v="0"/>
    <n v="0"/>
    <n v="-38.624747030373385"/>
    <n v="0"/>
    <n v="71.248177620516799"/>
    <m/>
    <n v="0"/>
    <n v="0"/>
    <n v="0"/>
    <n v="0"/>
    <n v="9.797769594766919"/>
    <n v="1.1649916034550998"/>
    <n v="0"/>
    <n v="0"/>
    <m/>
    <m/>
    <m/>
    <n v="-8029.9310107194342"/>
    <n v="0"/>
    <n v="0"/>
    <n v="1847.4454800000003"/>
    <n v="-736.04628000000048"/>
    <n v="0"/>
    <n v="0"/>
    <n v="1994.7710712984745"/>
    <n v="0"/>
    <n v="0"/>
    <n v="0"/>
    <n v="0"/>
    <n v="0"/>
    <n v="0"/>
    <n v="0"/>
    <n v="0"/>
    <n v="0"/>
    <n v="0"/>
    <n v="0"/>
    <n v="0"/>
    <n v="-535.842446170797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3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210.96799999999999"/>
    <n v="210.96799999999999"/>
    <n v="210.96799999999999"/>
    <n v="210.96799999999999"/>
    <m/>
    <n v="368.24"/>
    <n v="173.25"/>
    <m/>
    <n v="114237.06232"/>
    <n v="114237.06232"/>
    <n v="107359.50552000001"/>
    <n v="0"/>
    <n v="12984.064209204773"/>
    <n v="0"/>
    <n v="0"/>
    <n v="539.98047879417675"/>
    <n v="518.80015595581938"/>
    <n v="49690.792135089097"/>
    <n v="35936.388398442308"/>
    <n v="613.33324347122641"/>
    <n v="0"/>
    <n v="0"/>
    <n v="0"/>
    <n v="0"/>
    <n v="2006.1010995467871"/>
    <m/>
    <n v="254.81911531567428"/>
    <n v="1146.2725919168042"/>
    <n v="5344.8999899928258"/>
    <n v="0"/>
    <n v="0"/>
    <n v="0"/>
    <n v="0"/>
    <n v="0"/>
    <n v="0"/>
    <n v="0"/>
    <n v="0"/>
    <n v="0"/>
    <n v="0"/>
    <m/>
    <n v="0"/>
    <n v="0"/>
    <n v="0"/>
    <n v="0"/>
    <n v="0"/>
    <n v="1886.0100017441907"/>
    <n v="0"/>
    <n v="69.88"/>
    <n v="605.9"/>
    <n v="2192.37"/>
    <n v="179"/>
    <m/>
    <m/>
    <m/>
    <m/>
    <m/>
    <n v="12881.70608"/>
    <m/>
    <m/>
    <m/>
    <n v="37822.398400186496"/>
    <m/>
    <m/>
    <m/>
    <m/>
    <m/>
    <m/>
    <m/>
    <m/>
    <m/>
    <m/>
    <m/>
    <m/>
    <n v="94478.695099999997"/>
    <n v="-6049.6965799999889"/>
    <m/>
    <m/>
    <m/>
    <m/>
    <n v="-11432.355919999998"/>
    <n v="4554.7991200000006"/>
    <n v="31"/>
    <n v="5465.5886672759007"/>
    <n v="114.22361369261125"/>
    <n v="532.60785958572524"/>
    <n v="0"/>
    <n v="0"/>
    <n v="0"/>
    <n v="0"/>
    <n v="0"/>
    <n v="534.19226292357268"/>
    <n v="0"/>
    <n v="0"/>
    <n v="4554.2848568397894"/>
    <n v="0"/>
    <n v="0"/>
    <n v="0"/>
    <n v="239.01752996315258"/>
    <n v="0"/>
    <n v="-440.89773366904774"/>
    <m/>
    <n v="0"/>
    <n v="0"/>
    <n v="0"/>
    <n v="0"/>
    <n v="-60.630524928686782"/>
    <n v="-7.2091971312247836"/>
    <n v="0"/>
    <n v="0"/>
    <m/>
    <m/>
    <m/>
    <n v="49690.792135089097"/>
    <n v="0"/>
    <n v="0"/>
    <n v="-11432.355919999987"/>
    <n v="4554.7991200000033"/>
    <n v="0"/>
    <n v="0"/>
    <n v="-12344.035649703641"/>
    <n v="0"/>
    <n v="0"/>
    <n v="0"/>
    <n v="0"/>
    <n v="0"/>
    <n v="0"/>
    <n v="0"/>
    <n v="0"/>
    <n v="0"/>
    <n v="0"/>
    <n v="0"/>
    <n v="0"/>
    <n v="3315.89842730731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4"/>
    <s v="Regular"/>
    <s v="Verde"/>
    <s v="A4"/>
    <s v="Rural"/>
    <s v="Não se aplica"/>
    <s v="Não se aplica"/>
    <s v="Não se aplica"/>
    <s v="Ponta"/>
    <s v="CATIVO"/>
    <x v="0"/>
    <n v="0"/>
    <n v="0"/>
    <n v="5.3550000000000004"/>
    <n v="5.1408000000000005"/>
    <n v="5.3550000000000004"/>
    <n v="5.1408000000000005"/>
    <m/>
    <n v="1358.36"/>
    <n v="173.25"/>
    <m/>
    <n v="8201.7715499999995"/>
    <n v="8201.7715499999995"/>
    <n v="7191.3365999999996"/>
    <n v="0"/>
    <n v="286.72977674838654"/>
    <n v="0"/>
    <n v="0"/>
    <n v="101.43488303680225"/>
    <n v="97.456477673393977"/>
    <n v="5400.5588234659281"/>
    <n v="912.17321998435114"/>
    <n v="15.568235556048396"/>
    <n v="0"/>
    <n v="0"/>
    <n v="0"/>
    <n v="0"/>
    <n v="50.920857135077576"/>
    <m/>
    <n v="4.2883580453796695"/>
    <n v="215.32895284560348"/>
    <n v="1004.0416218110228"/>
    <n v="0"/>
    <n v="0"/>
    <n v="0"/>
    <n v="0"/>
    <n v="0"/>
    <n v="0"/>
    <n v="0"/>
    <n v="0"/>
    <n v="0"/>
    <n v="0"/>
    <m/>
    <n v="0"/>
    <n v="0"/>
    <n v="0"/>
    <n v="0"/>
    <n v="0"/>
    <n v="40.048206001992419"/>
    <n v="0"/>
    <n v="0"/>
    <n v="0"/>
    <n v="0"/>
    <n v="0"/>
    <m/>
    <m/>
    <m/>
    <m/>
    <m/>
    <n v="287.65346399999987"/>
    <m/>
    <m/>
    <m/>
    <n v="952.22142598634355"/>
    <m/>
    <m/>
    <m/>
    <m/>
    <m/>
    <m/>
    <m/>
    <m/>
    <m/>
    <m/>
    <m/>
    <m/>
    <n v="6902.6087999999991"/>
    <n v="-971.1218880000024"/>
    <m/>
    <m/>
    <m/>
    <m/>
    <n v="-1126.0493999999999"/>
    <n v="115.61445000000003"/>
    <n v="31"/>
    <n v="331.13558797640962"/>
    <n v="21.457069897781793"/>
    <n v="100.05060153211036"/>
    <n v="0"/>
    <n v="0"/>
    <n v="0"/>
    <n v="0"/>
    <n v="0"/>
    <n v="100.34788106221075"/>
    <n v="0"/>
    <n v="0"/>
    <n v="115.6013964600179"/>
    <n v="0"/>
    <n v="0"/>
    <n v="0"/>
    <n v="5.0753830940445468"/>
    <n v="0"/>
    <n v="-9.7364358884000808"/>
    <m/>
    <n v="0"/>
    <n v="0"/>
    <n v="0"/>
    <n v="0"/>
    <n v="-1.5389844004451732"/>
    <n v="-0.12132378091069906"/>
    <n v="0"/>
    <n v="0"/>
    <m/>
    <m/>
    <m/>
    <n v="5400.5588234659281"/>
    <n v="0"/>
    <n v="0"/>
    <n v="-1126.0493999999999"/>
    <n v="115.61445000000003"/>
    <n v="0"/>
    <n v="0"/>
    <n v="-1341.5904190851006"/>
    <n v="0"/>
    <n v="0"/>
    <n v="0"/>
    <n v="0"/>
    <n v="0"/>
    <n v="0"/>
    <n v="0"/>
    <n v="0"/>
    <n v="0"/>
    <n v="0"/>
    <n v="0"/>
    <n v="0"/>
    <n v="73.22567113524664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"/>
    <s v="Regular"/>
    <s v="Verde"/>
    <s v="A4"/>
    <s v="Rural"/>
    <s v="Não se aplica"/>
    <s v="Não se aplica"/>
    <s v="Não se aplica"/>
    <s v="Fora ponta"/>
    <s v="CATIVO"/>
    <x v="0"/>
    <n v="0"/>
    <n v="0"/>
    <n v="65.353999999999999"/>
    <n v="62.739839999999994"/>
    <n v="65.353999999999999"/>
    <n v="62.739839999999994"/>
    <m/>
    <n v="85.01"/>
    <n v="173.25"/>
    <m/>
    <n v="16878.32404"/>
    <n v="16878.32404"/>
    <n v="18212.19918"/>
    <n v="0"/>
    <n v="3499.3347954461351"/>
    <n v="0"/>
    <n v="0"/>
    <n v="0"/>
    <n v="0"/>
    <n v="0"/>
    <n v="11132.431114632545"/>
    <n v="189.99934015499286"/>
    <n v="0"/>
    <n v="0"/>
    <n v="0"/>
    <n v="0"/>
    <n v="621.45316474432479"/>
    <m/>
    <n v="52.3363868716606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8.76012232571657"/>
    <n v="0"/>
    <n v="0"/>
    <n v="0"/>
    <n v="0"/>
    <n v="0"/>
    <m/>
    <m/>
    <m/>
    <m/>
    <m/>
    <n v="728.48796720000155"/>
    <m/>
    <m/>
    <m/>
    <n v="11621.191236958262"/>
    <m/>
    <m/>
    <m/>
    <m/>
    <m/>
    <m/>
    <m/>
    <m/>
    <m/>
    <m/>
    <m/>
    <m/>
    <n v="17483.755799999999"/>
    <n v="1280.5347216000009"/>
    <m/>
    <m/>
    <m/>
    <m/>
    <n v="-77.117720000000446"/>
    <n v="1410.9928600000003"/>
    <n v="31"/>
    <n v="1333.6857962728973"/>
    <n v="0"/>
    <n v="0"/>
    <n v="0"/>
    <n v="0"/>
    <n v="0"/>
    <n v="0"/>
    <n v="0"/>
    <n v="0"/>
    <n v="0"/>
    <n v="0"/>
    <n v="1410.8335507465945"/>
    <n v="0"/>
    <n v="0"/>
    <n v="0"/>
    <n v="61.941472778373054"/>
    <n v="0"/>
    <n v="-118.82633633062551"/>
    <m/>
    <n v="0"/>
    <n v="0"/>
    <n v="0"/>
    <n v="0"/>
    <n v="-18.782219702463749"/>
    <n v="-1.4806712189799853"/>
    <n v="0"/>
    <n v="0"/>
    <m/>
    <m/>
    <m/>
    <n v="0"/>
    <n v="0"/>
    <n v="0"/>
    <n v="-77.11772000000019"/>
    <n v="1410.9928600000003"/>
    <n v="0"/>
    <n v="0"/>
    <n v="0"/>
    <n v="0"/>
    <n v="0"/>
    <n v="0"/>
    <n v="0"/>
    <n v="0"/>
    <n v="0"/>
    <n v="0"/>
    <n v="0"/>
    <n v="0"/>
    <n v="0"/>
    <n v="0"/>
    <n v="0"/>
    <n v="893.66769586795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"/>
    <s v="Sistema de Compensação"/>
    <s v="Verde"/>
    <s v="A4"/>
    <s v="Rural"/>
    <s v="Não se aplica"/>
    <s v="Não se aplica"/>
    <s v="Não se aplica"/>
    <s v="Fora ponta"/>
    <s v="CATIVO"/>
    <x v="0"/>
    <n v="0"/>
    <n v="0"/>
    <n v="27.469000000000001"/>
    <n v="26.370239999999999"/>
    <n v="27.469000000000001"/>
    <n v="26.370239999999999"/>
    <m/>
    <n v="85.01"/>
    <n v="173.25"/>
    <m/>
    <n v="7094.1439399999999"/>
    <n v="7094.1439399999999"/>
    <n v="7654.7862300000006"/>
    <n v="0"/>
    <n v="1470.8086344540486"/>
    <n v="0"/>
    <n v="0"/>
    <n v="0"/>
    <n v="0"/>
    <n v="0"/>
    <n v="4679.0823865079628"/>
    <n v="79.858797850437611"/>
    <n v="0"/>
    <n v="0"/>
    <n v="0"/>
    <n v="0"/>
    <n v="261.2035526878517"/>
    <m/>
    <n v="21.997555023068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43121767856763"/>
    <n v="0"/>
    <n v="0"/>
    <n v="0"/>
    <n v="0"/>
    <n v="0"/>
    <m/>
    <m/>
    <m/>
    <m/>
    <m/>
    <n v="306.19144920000059"/>
    <m/>
    <m/>
    <m/>
    <n v="4884.5136041865308"/>
    <m/>
    <m/>
    <m/>
    <m/>
    <m/>
    <m/>
    <m/>
    <m/>
    <m/>
    <m/>
    <m/>
    <m/>
    <n v="7348.5279"/>
    <n v="538.1197175999996"/>
    <m/>
    <m/>
    <m/>
    <m/>
    <n v="-32.413420000000187"/>
    <n v="593.05571000000009"/>
    <n v="31"/>
    <n v="560.56270676347594"/>
    <n v="0"/>
    <n v="0"/>
    <n v="0"/>
    <n v="0"/>
    <n v="0"/>
    <n v="0"/>
    <n v="0"/>
    <n v="0"/>
    <n v="0"/>
    <n v="0"/>
    <n v="592.98875058080921"/>
    <n v="0"/>
    <n v="0"/>
    <n v="0"/>
    <n v="26.034677536939256"/>
    <n v="0"/>
    <n v="-49.944006987574767"/>
    <m/>
    <n v="0"/>
    <n v="0"/>
    <n v="0"/>
    <n v="0"/>
    <n v="-7.8943720813872176"/>
    <n v="-0.62234228531017521"/>
    <n v="0"/>
    <n v="0"/>
    <m/>
    <m/>
    <m/>
    <n v="0"/>
    <n v="0"/>
    <n v="0"/>
    <n v="-32.413420000000315"/>
    <n v="593.05571000000054"/>
    <n v="0"/>
    <n v="0"/>
    <n v="0"/>
    <n v="0"/>
    <n v="0"/>
    <n v="0"/>
    <n v="0"/>
    <n v="0"/>
    <n v="0"/>
    <n v="0"/>
    <n v="0"/>
    <n v="0"/>
    <n v="0"/>
    <n v="0"/>
    <n v="0"/>
    <n v="375.6182932612679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"/>
    <s v="Regular"/>
    <s v="Verde"/>
    <s v="A4"/>
    <s v="Rural"/>
    <s v="Não se aplica"/>
    <s v="Não se aplica"/>
    <s v="Não se aplica"/>
    <s v="Não se aplica"/>
    <s v="CATIVO"/>
    <x v="0"/>
    <n v="649"/>
    <n v="623.04"/>
    <n v="0"/>
    <n v="0"/>
    <n v="0"/>
    <n v="0"/>
    <n v="27.19"/>
    <m/>
    <m/>
    <n v="17646.310000000001"/>
    <m/>
    <n v="17646.310000000001"/>
    <n v="14122.240000000002"/>
    <n v="0"/>
    <n v="0"/>
    <n v="0"/>
    <n v="0"/>
    <n v="151.34719811448903"/>
    <n v="145.39861075140519"/>
    <n v="15531.887627810514"/>
    <m/>
    <m/>
    <m/>
    <n v="0"/>
    <n v="0"/>
    <n v="0"/>
    <n v="0"/>
    <m/>
    <n v="0"/>
    <n v="321.18025537771115"/>
    <n v="1497.9496591144571"/>
    <n v="0"/>
    <n v="0"/>
    <m/>
    <m/>
    <n v="0"/>
    <n v="0"/>
    <n v="0"/>
    <m/>
    <m/>
    <n v="0"/>
    <m/>
    <n v="0"/>
    <n v="0"/>
    <n v="0"/>
    <n v="0"/>
    <m/>
    <n v="0"/>
    <n v="0"/>
    <n v="30.08"/>
    <n v="258"/>
    <n v="23.91"/>
    <n v="4"/>
    <m/>
    <m/>
    <m/>
    <m/>
    <m/>
    <n v="564.88960000000088"/>
    <m/>
    <m/>
    <m/>
    <n v="0"/>
    <m/>
    <m/>
    <m/>
    <m/>
    <m/>
    <m/>
    <m/>
    <m/>
    <m/>
    <m/>
    <m/>
    <m/>
    <n v="13557.350399999999"/>
    <n v="-3383.1371999999974"/>
    <m/>
    <m/>
    <m/>
    <m/>
    <n v="-3524.0699999999997"/>
    <n v="0"/>
    <n v="31"/>
    <n v="330.98480082115429"/>
    <n v="32.004925944020556"/>
    <n v="149.26748174930435"/>
    <n v="0"/>
    <n v="0"/>
    <m/>
    <m/>
    <m/>
    <n v="149.71239312782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31.887627810514"/>
    <m/>
    <n v="0"/>
    <n v="0"/>
    <n v="-3524.0699999999997"/>
    <m/>
    <n v="0"/>
    <m/>
    <n v="-3858.384347419048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8"/>
    <s v="Sistema de Compensação"/>
    <s v="Verde"/>
    <s v="A4"/>
    <s v="Rural"/>
    <s v="Não se aplica"/>
    <s v="Não se aplica"/>
    <s v="Não se aplica"/>
    <s v="Não se aplica"/>
    <s v="CATIVO"/>
    <x v="0"/>
    <n v="115"/>
    <n v="110.39999999999999"/>
    <n v="0"/>
    <n v="0"/>
    <n v="0"/>
    <n v="0"/>
    <n v="27.19"/>
    <m/>
    <m/>
    <n v="3126.8500000000004"/>
    <m/>
    <n v="3126.8500000000004"/>
    <n v="2502.4"/>
    <n v="0"/>
    <n v="0"/>
    <n v="0"/>
    <n v="0"/>
    <n v="26.81807054416986"/>
    <n v="25.76400652759876"/>
    <n v="2752.1834779633423"/>
    <m/>
    <m/>
    <m/>
    <n v="0"/>
    <n v="0"/>
    <n v="0"/>
    <n v="0"/>
    <m/>
    <n v="0"/>
    <n v="56.911755575403362"/>
    <n v="265.43021694632137"/>
    <n v="0"/>
    <n v="0"/>
    <m/>
    <m/>
    <n v="0"/>
    <n v="0"/>
    <n v="0"/>
    <m/>
    <m/>
    <n v="0"/>
    <m/>
    <n v="0"/>
    <n v="0"/>
    <n v="0"/>
    <n v="0"/>
    <m/>
    <n v="0"/>
    <n v="0"/>
    <n v="8.16"/>
    <n v="70.010000000000005"/>
    <n v="4.78"/>
    <n v="1"/>
    <m/>
    <m/>
    <m/>
    <m/>
    <m/>
    <n v="100.09600000000019"/>
    <m/>
    <m/>
    <m/>
    <n v="0"/>
    <m/>
    <m/>
    <m/>
    <m/>
    <m/>
    <m/>
    <m/>
    <m/>
    <m/>
    <m/>
    <m/>
    <m/>
    <n v="2402.3040000000001"/>
    <n v="-599.50200000000041"/>
    <m/>
    <m/>
    <m/>
    <m/>
    <n v="-624.44999999999993"/>
    <n v="0"/>
    <n v="31"/>
    <n v="58.649078727939468"/>
    <n v="5.6711347974766753"/>
    <n v="26.449553776841242"/>
    <n v="0"/>
    <n v="0"/>
    <m/>
    <m/>
    <m/>
    <n v="26.5283901536215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2.1834779633423"/>
    <m/>
    <n v="0"/>
    <n v="0"/>
    <n v="-624.45000000000027"/>
    <m/>
    <n v="0"/>
    <m/>
    <n v="-683.6890600203246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482.28"/>
    <n v="482.28"/>
    <n v="482.28"/>
    <n v="482.28"/>
    <m/>
    <n v="368.24"/>
    <n v="173.25"/>
    <m/>
    <n v="261149.79719999997"/>
    <n v="261149.79719999997"/>
    <n v="245427.46919999999"/>
    <n v="0"/>
    <n v="29682.010953392353"/>
    <n v="0"/>
    <n v="0"/>
    <n v="1234.4136803347217"/>
    <n v="1185.9947442947393"/>
    <n v="113594.83538219432"/>
    <n v="82151.802153884753"/>
    <n v="1402.1005871094342"/>
    <n v="0"/>
    <n v="0"/>
    <n v="0"/>
    <n v="0"/>
    <n v="4586.0151221484984"/>
    <m/>
    <n v="582.52513620285254"/>
    <n v="2620.4180047667719"/>
    <n v="12218.622573915191"/>
    <n v="0"/>
    <n v="0"/>
    <n v="0"/>
    <n v="0"/>
    <n v="0"/>
    <n v="0"/>
    <n v="0"/>
    <n v="0"/>
    <n v="0"/>
    <n v="0"/>
    <m/>
    <n v="0"/>
    <n v="0"/>
    <n v="0"/>
    <n v="0"/>
    <n v="0"/>
    <n v="4311.4828013783526"/>
    <n v="0"/>
    <n v="188.14"/>
    <n v="1637.34"/>
    <n v="106362.34"/>
    <n v="583"/>
    <m/>
    <m/>
    <m/>
    <m/>
    <m/>
    <m/>
    <m/>
    <m/>
    <m/>
    <n v="86463.284955263109"/>
    <m/>
    <m/>
    <m/>
    <m/>
    <m/>
    <m/>
    <m/>
    <m/>
    <m/>
    <m/>
    <m/>
    <m/>
    <n v="245427.46919999999"/>
    <n v="-15722.358000000007"/>
    <m/>
    <m/>
    <m/>
    <m/>
    <n v="-26134.753199999999"/>
    <n v="10412.425200000001"/>
    <n v="31"/>
    <n v="12494.52098163616"/>
    <n v="261.11905318186928"/>
    <n v="1217.559622885954"/>
    <n v="0"/>
    <n v="0"/>
    <n v="0"/>
    <n v="0"/>
    <n v="0"/>
    <n v="1221.1816226289322"/>
    <n v="0"/>
    <n v="0"/>
    <n v="10411.249576981776"/>
    <n v="0"/>
    <n v="0"/>
    <n v="0"/>
    <n v="546.40217639940329"/>
    <n v="0"/>
    <n v="-1007.9071659868241"/>
    <m/>
    <n v="0"/>
    <n v="0"/>
    <n v="0"/>
    <n v="0"/>
    <n v="-138.60343541488328"/>
    <n v="-16.480469040077651"/>
    <n v="0"/>
    <n v="0"/>
    <m/>
    <m/>
    <m/>
    <n v="113594.83538219432"/>
    <n v="0"/>
    <n v="0"/>
    <n v="-26134.753200000006"/>
    <n v="10412.425199999998"/>
    <n v="0"/>
    <n v="0"/>
    <n v="-28218.883968843962"/>
    <n v="0"/>
    <n v="0"/>
    <n v="0"/>
    <n v="0"/>
    <n v="0"/>
    <n v="0"/>
    <n v="0"/>
    <n v="0"/>
    <n v="0"/>
    <n v="0"/>
    <n v="0"/>
    <n v="0"/>
    <n v="7580.25621668580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0"/>
    <s v="Sistema de Compensação"/>
    <s v="Convencional"/>
    <s v="B3"/>
    <s v="Poder público"/>
    <s v="Não se aplica"/>
    <s v="Não se aplica"/>
    <s v="Não se aplica"/>
    <s v="Não se aplica"/>
    <s v="CATIVO"/>
    <x v="0"/>
    <n v="0"/>
    <n v="0"/>
    <n v="1.25"/>
    <n v="1.25"/>
    <n v="1.25"/>
    <n v="1.25"/>
    <m/>
    <n v="368.24"/>
    <n v="173.25"/>
    <m/>
    <n v="676.86249999999995"/>
    <n v="676.86249999999995"/>
    <n v="636.11249999999995"/>
    <n v="0"/>
    <n v="76.931478999212999"/>
    <n v="0"/>
    <n v="0"/>
    <n v="3.1994217061010248"/>
    <n v="3.0739268275035752"/>
    <n v="294.4213822421475"/>
    <n v="212.92558823164126"/>
    <n v="3.6340419131765627"/>
    <n v="0"/>
    <n v="0"/>
    <n v="0"/>
    <n v="0"/>
    <n v="11.886287846656762"/>
    <m/>
    <n v="1.5098208929533998"/>
    <n v="6.7917444346820623"/>
    <n v="31.668902333486749"/>
    <n v="0"/>
    <n v="0"/>
    <n v="0"/>
    <n v="0"/>
    <n v="0"/>
    <n v="0"/>
    <n v="0"/>
    <n v="0"/>
    <n v="0"/>
    <n v="0"/>
    <m/>
    <n v="0"/>
    <n v="0"/>
    <n v="0"/>
    <n v="0"/>
    <n v="0"/>
    <n v="11.174739781294976"/>
    <n v="0"/>
    <n v="0.49"/>
    <n v="4.26"/>
    <n v="324.95999999999998"/>
    <n v="1"/>
    <m/>
    <m/>
    <m/>
    <m/>
    <m/>
    <m/>
    <m/>
    <m/>
    <m/>
    <n v="224.10032801293625"/>
    <m/>
    <m/>
    <m/>
    <m/>
    <m/>
    <m/>
    <m/>
    <m/>
    <m/>
    <m/>
    <m/>
    <m/>
    <n v="636.11249999999995"/>
    <n v="-40.779999999999973"/>
    <m/>
    <m/>
    <m/>
    <m/>
    <n v="-67.737499999999997"/>
    <n v="26.987500000000004"/>
    <n v="31"/>
    <n v="32.3839910986257"/>
    <n v="0.67678281595201284"/>
    <n v="3.1557384270702542"/>
    <n v="0"/>
    <n v="0"/>
    <n v="0"/>
    <n v="0"/>
    <n v="0"/>
    <n v="3.1651261264953252"/>
    <n v="0"/>
    <n v="0"/>
    <n v="26.984452955186242"/>
    <n v="0"/>
    <n v="0"/>
    <n v="0"/>
    <n v="1.4161954061940243"/>
    <n v="0"/>
    <n v="-2.6123495842322484"/>
    <m/>
    <n v="0"/>
    <n v="0"/>
    <n v="0"/>
    <n v="0"/>
    <n v="-0.35924005612632293"/>
    <n v="-4.2714991913612499E-2"/>
    <n v="0"/>
    <n v="0"/>
    <m/>
    <m/>
    <m/>
    <n v="294.4213822421475"/>
    <n v="0"/>
    <n v="0"/>
    <n v="-67.737500000000011"/>
    <n v="26.987500000000011"/>
    <n v="0"/>
    <n v="0"/>
    <n v="-73.139265491115026"/>
    <n v="0"/>
    <n v="0"/>
    <n v="0"/>
    <n v="0"/>
    <n v="0"/>
    <n v="0"/>
    <n v="0"/>
    <n v="0"/>
    <n v="0"/>
    <n v="0"/>
    <n v="0"/>
    <n v="0"/>
    <n v="19.6469276579108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1"/>
    <s v="Regular"/>
    <s v="Verde"/>
    <s v="A4"/>
    <s v="Poder público"/>
    <s v="Não se aplica"/>
    <s v="Não se aplica"/>
    <s v="Não se aplica"/>
    <s v="Ponta"/>
    <s v="CATIVO"/>
    <x v="0"/>
    <n v="0"/>
    <n v="0"/>
    <n v="3.0990000000000002"/>
    <n v="3.0990000000000002"/>
    <n v="3.0990000000000002"/>
    <n v="3.0990000000000002"/>
    <m/>
    <n v="1358.36"/>
    <n v="173.25"/>
    <m/>
    <n v="4746.45939"/>
    <n v="4746.45939"/>
    <n v="4161.7090799999996"/>
    <n v="0"/>
    <n v="165.9338147793184"/>
    <n v="0"/>
    <n v="0"/>
    <n v="58.701531751830096"/>
    <n v="56.39918287765601"/>
    <n v="3125.3654143643157"/>
    <n v="527.88511834388498"/>
    <n v="9.0095167111473344"/>
    <n v="0"/>
    <n v="0"/>
    <n v="0"/>
    <n v="0"/>
    <n v="29.468484829431446"/>
    <m/>
    <n v="2.4817220509115958"/>
    <n v="124.61333797731562"/>
    <n v="581.05041755226137"/>
    <n v="0"/>
    <n v="0"/>
    <n v="0"/>
    <n v="0"/>
    <n v="0"/>
    <n v="0"/>
    <n v="0"/>
    <n v="0"/>
    <n v="0"/>
    <n v="0"/>
    <m/>
    <n v="0"/>
    <n v="0"/>
    <n v="0"/>
    <n v="0"/>
    <n v="0"/>
    <n v="23.176356750732868"/>
    <n v="0"/>
    <n v="0"/>
    <n v="0"/>
    <n v="0"/>
    <n v="0"/>
    <m/>
    <m/>
    <m/>
    <m/>
    <m/>
    <m/>
    <m/>
    <m/>
    <m/>
    <n v="551.06147509461789"/>
    <m/>
    <m/>
    <m/>
    <m/>
    <m/>
    <m/>
    <m/>
    <m/>
    <m/>
    <m/>
    <m/>
    <m/>
    <n v="4163.0519999999997"/>
    <n v="-583.43739000000096"/>
    <m/>
    <m/>
    <m/>
    <m/>
    <n v="-651.65771999999993"/>
    <n v="66.907410000000013"/>
    <n v="31"/>
    <n v="191.63196771968114"/>
    <n v="12.417452775579036"/>
    <n v="57.900432147153992"/>
    <n v="0"/>
    <n v="0"/>
    <n v="0"/>
    <n v="0"/>
    <n v="0"/>
    <n v="58.072471225357809"/>
    <n v="0"/>
    <n v="0"/>
    <n v="66.899855766497808"/>
    <n v="0"/>
    <n v="0"/>
    <n v="0"/>
    <n v="2.9371824852369848"/>
    <n v="0"/>
    <n v="-5.634587267628774"/>
    <m/>
    <n v="0"/>
    <n v="0"/>
    <n v="0"/>
    <n v="0"/>
    <n v="-0.89062794714838134"/>
    <n v="-7.0211465367367776E-2"/>
    <n v="0"/>
    <n v="0"/>
    <m/>
    <m/>
    <m/>
    <n v="3125.3654143643157"/>
    <n v="0"/>
    <n v="0"/>
    <n v="-651.65772000000015"/>
    <n v="66.907410000000027"/>
    <n v="0"/>
    <n v="0"/>
    <n v="-776.39378314560736"/>
    <n v="0"/>
    <n v="0"/>
    <n v="0"/>
    <n v="0"/>
    <n v="0"/>
    <n v="0"/>
    <n v="0"/>
    <n v="0"/>
    <n v="0"/>
    <n v="0"/>
    <n v="0"/>
    <n v="0"/>
    <n v="42.37653685305869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"/>
    <s v="Sistema de Compensação"/>
    <s v="Verde"/>
    <s v="A4"/>
    <s v="Poder público"/>
    <s v="Não se aplica"/>
    <s v="Não se aplica"/>
    <s v="Não se aplica"/>
    <s v="Ponta"/>
    <s v="CATIVO"/>
    <x v="0"/>
    <n v="0"/>
    <n v="0"/>
    <n v="0.46100000000000002"/>
    <n v="0.46100000000000002"/>
    <n v="0.46100000000000002"/>
    <n v="0.46100000000000002"/>
    <m/>
    <n v="1358.36"/>
    <n v="173.25"/>
    <m/>
    <n v="706.07220999999993"/>
    <n v="706.07220999999993"/>
    <n v="619.08611999999994"/>
    <n v="0"/>
    <n v="24.683926625771466"/>
    <n v="0"/>
    <n v="0"/>
    <n v="8.7323027226826948"/>
    <n v="8.3898106829943266"/>
    <n v="464.92205744496596"/>
    <n v="78.52695693982929"/>
    <n v="1.3402346575795163"/>
    <n v="0"/>
    <n v="0"/>
    <n v="0"/>
    <n v="0"/>
    <n v="4.3836629578470143"/>
    <m/>
    <n v="0.36917517440149905"/>
    <n v="18.537189031152792"/>
    <n v="86.435702643301866"/>
    <n v="0"/>
    <n v="0"/>
    <n v="0"/>
    <n v="0"/>
    <n v="0"/>
    <n v="0"/>
    <n v="0"/>
    <n v="0"/>
    <n v="0"/>
    <n v="0"/>
    <m/>
    <n v="0"/>
    <n v="0"/>
    <n v="0"/>
    <n v="0"/>
    <n v="0"/>
    <n v="3.4476606847653604"/>
    <n v="0"/>
    <n v="0"/>
    <n v="0"/>
    <n v="0"/>
    <n v="0"/>
    <m/>
    <m/>
    <m/>
    <m/>
    <m/>
    <m/>
    <m/>
    <m/>
    <m/>
    <n v="81.974617624594657"/>
    <m/>
    <m/>
    <m/>
    <m/>
    <m/>
    <m/>
    <m/>
    <m/>
    <m/>
    <m/>
    <m/>
    <m/>
    <n v="617.7432"/>
    <n v="-88.359009999999898"/>
    <m/>
    <m/>
    <m/>
    <m/>
    <n v="-96.93907999999999"/>
    <n v="9.9529900000000016"/>
    <n v="31"/>
    <n v="28.506723820191382"/>
    <n v="1.8471912647763595"/>
    <n v="8.6131330170500178"/>
    <n v="0"/>
    <n v="0"/>
    <n v="0"/>
    <n v="0"/>
    <n v="0"/>
    <n v="8.638725148399466"/>
    <n v="0"/>
    <n v="0"/>
    <n v="9.951866249872694"/>
    <n v="0"/>
    <n v="0"/>
    <n v="0"/>
    <n v="0.43692840454799953"/>
    <n v="0"/>
    <n v="-0.83818803819840326"/>
    <m/>
    <n v="0"/>
    <n v="0"/>
    <n v="0"/>
    <n v="0"/>
    <n v="-0.13248773269938852"/>
    <n v="-1.0444493557391576E-2"/>
    <n v="0"/>
    <n v="0"/>
    <m/>
    <m/>
    <m/>
    <n v="464.92205744496596"/>
    <n v="0"/>
    <n v="0"/>
    <n v="-96.93907999999999"/>
    <n v="9.9529899999999998"/>
    <n v="0"/>
    <n v="0"/>
    <n v="-115.49452534047271"/>
    <n v="0"/>
    <n v="0"/>
    <n v="0"/>
    <n v="0"/>
    <n v="0"/>
    <n v="0"/>
    <n v="0"/>
    <n v="0"/>
    <n v="0"/>
    <n v="0"/>
    <n v="0"/>
    <n v="0"/>
    <n v="6.30383462060666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3"/>
    <s v="Regular"/>
    <s v="Verde"/>
    <s v="A4"/>
    <s v="Poder público"/>
    <s v="Não se aplica"/>
    <s v="Não se aplica"/>
    <s v="Não se aplica"/>
    <s v="Fora ponta"/>
    <s v="CATIVO"/>
    <x v="0"/>
    <n v="0"/>
    <n v="0"/>
    <n v="23.513000000000002"/>
    <n v="23.513000000000002"/>
    <n v="23.513000000000002"/>
    <n v="23.513000000000002"/>
    <m/>
    <n v="85.01"/>
    <n v="173.25"/>
    <m/>
    <n v="6072.467380000001"/>
    <n v="6072.467380000001"/>
    <n v="6552.3677100000004"/>
    <n v="0"/>
    <n v="1258.9873465331118"/>
    <n v="0"/>
    <n v="0"/>
    <n v="0"/>
    <n v="0"/>
    <n v="0"/>
    <n v="4005.2154848724649"/>
    <n v="68.357782003616421"/>
    <n v="0"/>
    <n v="0"/>
    <n v="0"/>
    <n v="0"/>
    <n v="223.58582891075238"/>
    <m/>
    <n v="18.8295355221311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84565223619938"/>
    <n v="0"/>
    <n v="0"/>
    <n v="0"/>
    <n v="0"/>
    <n v="0"/>
    <m/>
    <m/>
    <m/>
    <m/>
    <m/>
    <m/>
    <m/>
    <m/>
    <m/>
    <n v="4181.0611371086643"/>
    <m/>
    <m/>
    <m/>
    <m/>
    <m/>
    <m/>
    <m/>
    <m/>
    <m/>
    <m/>
    <m/>
    <m/>
    <n v="6551.5316999999995"/>
    <n v="479.03431999999884"/>
    <m/>
    <m/>
    <m/>
    <m/>
    <n v="-27.745340000000162"/>
    <n v="507.64567000000011"/>
    <n v="31"/>
    <n v="479.83220809383783"/>
    <n v="0"/>
    <n v="0"/>
    <n v="0"/>
    <n v="0"/>
    <n v="0"/>
    <n v="0"/>
    <n v="0"/>
    <n v="0"/>
    <n v="0"/>
    <n v="0"/>
    <n v="507.58835386823557"/>
    <n v="0"/>
    <n v="0"/>
    <n v="0"/>
    <n v="22.285244199863598"/>
    <n v="0"/>
    <n v="-42.751226338740025"/>
    <m/>
    <n v="0"/>
    <n v="0"/>
    <n v="0"/>
    <n v="0"/>
    <n v="-6.7574491517586068"/>
    <n v="-0.53271448376344566"/>
    <n v="0"/>
    <n v="0"/>
    <m/>
    <m/>
    <m/>
    <n v="0"/>
    <n v="0"/>
    <n v="0"/>
    <n v="-27.745340000000169"/>
    <n v="507.64566999999988"/>
    <n v="0"/>
    <n v="0"/>
    <n v="0"/>
    <n v="0"/>
    <n v="0"/>
    <n v="0"/>
    <n v="0"/>
    <n v="0"/>
    <n v="0"/>
    <n v="0"/>
    <n v="0"/>
    <n v="0"/>
    <n v="0"/>
    <n v="0"/>
    <n v="0"/>
    <n v="321.522914174239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"/>
    <s v="Sistema de Compensação"/>
    <s v="Verde"/>
    <s v="A4"/>
    <s v="Poder público"/>
    <s v="Não se aplica"/>
    <s v="Não se aplica"/>
    <s v="Não se aplica"/>
    <s v="Fora ponta"/>
    <s v="CATIVO"/>
    <x v="0"/>
    <n v="0"/>
    <n v="0"/>
    <n v="2.2650000000000001"/>
    <n v="2.2650000000000001"/>
    <n v="2.2650000000000001"/>
    <n v="2.2650000000000001"/>
    <m/>
    <n v="85.01"/>
    <n v="173.25"/>
    <m/>
    <n v="584.95890000000009"/>
    <n v="584.95890000000009"/>
    <n v="631.1875500000001"/>
    <n v="0"/>
    <n v="121.27786075351925"/>
    <n v="0"/>
    <n v="0"/>
    <n v="0"/>
    <n v="0"/>
    <n v="0"/>
    <n v="385.82116587573398"/>
    <n v="6.5848839466759319"/>
    <n v="0"/>
    <n v="0"/>
    <n v="0"/>
    <n v="0"/>
    <n v="21.537953578142055"/>
    <m/>
    <n v="1.8138433189140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39157160506596"/>
    <n v="0"/>
    <n v="0"/>
    <n v="0"/>
    <n v="0"/>
    <n v="0"/>
    <m/>
    <m/>
    <m/>
    <m/>
    <m/>
    <m/>
    <m/>
    <m/>
    <m/>
    <n v="402.76032303624061"/>
    <m/>
    <m/>
    <m/>
    <m/>
    <m/>
    <m/>
    <m/>
    <m/>
    <m/>
    <m/>
    <m/>
    <m/>
    <n v="632.58090000000004"/>
    <n v="47.591999999999985"/>
    <m/>
    <m/>
    <m/>
    <m/>
    <n v="-2.6727000000000154"/>
    <n v="48.901350000000008"/>
    <n v="31"/>
    <n v="46.222087837899835"/>
    <n v="0"/>
    <n v="0"/>
    <n v="0"/>
    <n v="0"/>
    <n v="0"/>
    <n v="0"/>
    <n v="0"/>
    <n v="0"/>
    <n v="0"/>
    <n v="0"/>
    <n v="48.895828754797435"/>
    <n v="0"/>
    <n v="0"/>
    <n v="0"/>
    <n v="2.1467306644278068"/>
    <n v="0"/>
    <n v="-4.1182123785669944"/>
    <m/>
    <n v="0"/>
    <n v="0"/>
    <n v="0"/>
    <n v="0"/>
    <n v="-0.6509429817009007"/>
    <n v="-5.1316221057466471E-2"/>
    <n v="0"/>
    <n v="0"/>
    <m/>
    <m/>
    <m/>
    <n v="0"/>
    <n v="0"/>
    <n v="0"/>
    <n v="-2.6727000000000203"/>
    <n v="48.901350000000036"/>
    <n v="0"/>
    <n v="0"/>
    <n v="0"/>
    <n v="0"/>
    <n v="0"/>
    <n v="0"/>
    <n v="0"/>
    <n v="0"/>
    <n v="0"/>
    <n v="0"/>
    <n v="0"/>
    <n v="0"/>
    <n v="0"/>
    <n v="0"/>
    <n v="0"/>
    <n v="30.9722026370370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"/>
    <s v="Regular"/>
    <s v="Verde"/>
    <s v="A4"/>
    <s v="Poder público"/>
    <s v="Não se aplica"/>
    <s v="Não se aplica"/>
    <s v="Não se aplica"/>
    <s v="Não se aplica"/>
    <s v="CATIVO"/>
    <x v="0"/>
    <n v="139"/>
    <n v="139"/>
    <n v="0"/>
    <n v="0"/>
    <n v="0"/>
    <n v="0"/>
    <n v="27.19"/>
    <m/>
    <m/>
    <n v="3779.4100000000003"/>
    <m/>
    <n v="3779.4100000000003"/>
    <n v="3024.6400000000003"/>
    <n v="0"/>
    <n v="0"/>
    <n v="0"/>
    <n v="0"/>
    <n v="32.414885266431398"/>
    <n v="31.140842672488937"/>
    <n v="3326.5522037991705"/>
    <m/>
    <m/>
    <m/>
    <n v="0"/>
    <n v="0"/>
    <n v="0"/>
    <n v="0"/>
    <m/>
    <n v="0"/>
    <n v="68.788991521574502"/>
    <n v="320.82434917859712"/>
    <n v="0"/>
    <n v="0"/>
    <m/>
    <m/>
    <n v="0"/>
    <n v="0"/>
    <n v="0"/>
    <m/>
    <m/>
    <n v="0"/>
    <m/>
    <n v="0"/>
    <n v="0"/>
    <n v="0"/>
    <n v="0"/>
    <m/>
    <n v="0"/>
    <n v="0"/>
    <n v="11.13"/>
    <n v="95.61"/>
    <n v="6458.74"/>
    <n v="4"/>
    <m/>
    <m/>
    <m/>
    <m/>
    <m/>
    <m/>
    <m/>
    <m/>
    <m/>
    <n v="0"/>
    <m/>
    <m/>
    <m/>
    <m/>
    <m/>
    <m/>
    <m/>
    <m/>
    <m/>
    <m/>
    <m/>
    <m/>
    <n v="3024.6400000000003"/>
    <n v="-754.80000000000064"/>
    <m/>
    <m/>
    <m/>
    <m/>
    <n v="-754.77"/>
    <n v="0"/>
    <n v="31"/>
    <n v="70.888886462466075"/>
    <n v="6.8546759726022373"/>
    <n v="31.969460652008138"/>
    <n v="0"/>
    <n v="0"/>
    <m/>
    <m/>
    <m/>
    <n v="32.0647498378556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26.5522037991705"/>
    <m/>
    <n v="0"/>
    <n v="0"/>
    <n v="-754.77"/>
    <m/>
    <n v="0"/>
    <m/>
    <n v="-826.371994285435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6"/>
    <s v="Sistema de Compensação"/>
    <s v="Verde"/>
    <s v="A4"/>
    <s v="Poder público"/>
    <s v="Não se aplica"/>
    <s v="Não se aplica"/>
    <s v="Não se aplica"/>
    <s v="Não se aplica"/>
    <s v="CATIVO"/>
    <x v="0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1.65"/>
    <n v="14.2"/>
    <n v="767.82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n v="31"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7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1600.942"/>
    <n v="1600.942"/>
    <n v="1600.942"/>
    <n v="1600.942"/>
    <m/>
    <n v="199.07"/>
    <n v="95.29"/>
    <m/>
    <n v="471253.28711999999"/>
    <n v="471253.28711999999"/>
    <n v="444853.75354000006"/>
    <n v="0"/>
    <n v="54191.647774861514"/>
    <n v="0"/>
    <n v="0"/>
    <n v="2253.7189774038648"/>
    <n v="2906.6428282125025"/>
    <n v="201102.91150092747"/>
    <n v="149987.8675128856"/>
    <n v="2559.8717445684774"/>
    <n v="0"/>
    <n v="0"/>
    <n v="0"/>
    <n v="0"/>
    <n v="8372.8732726330509"/>
    <m/>
    <n v="1063.5396992029032"/>
    <n v="4784.2031242494631"/>
    <n v="22308.033369413904"/>
    <n v="0"/>
    <n v="0"/>
    <n v="0"/>
    <n v="0"/>
    <n v="0"/>
    <n v="0"/>
    <n v="0"/>
    <n v="0"/>
    <n v="0"/>
    <n v="0"/>
    <m/>
    <n v="0"/>
    <n v="0"/>
    <n v="0"/>
    <n v="0"/>
    <n v="0"/>
    <n v="7871.6485121762153"/>
    <n v="0"/>
    <n v="407.91"/>
    <n v="3498.5"/>
    <n v="145771.10999999999"/>
    <n v="60"/>
    <m/>
    <m/>
    <m/>
    <m/>
    <m/>
    <m/>
    <m/>
    <m/>
    <m/>
    <n v="157859.51602506181"/>
    <m/>
    <m/>
    <m/>
    <m/>
    <m/>
    <m/>
    <m/>
    <m/>
    <m/>
    <m/>
    <m/>
    <m/>
    <n v="444853.19780000002"/>
    <n v="-26400.119319999998"/>
    <m/>
    <m/>
    <m/>
    <m/>
    <n v="-45402.715119999979"/>
    <n v="19003.181539999983"/>
    <n v="31"/>
    <n v="23575.070610145107"/>
    <n v="476.7356153717792"/>
    <n v="2222.9478431206917"/>
    <n v="0"/>
    <n v="0"/>
    <n v="0"/>
    <n v="0"/>
    <n v="0"/>
    <n v="2992.8790346116157"/>
    <n v="0"/>
    <n v="0"/>
    <n v="19008.239396511926"/>
    <n v="0"/>
    <n v="0"/>
    <n v="0"/>
    <n v="997.58855063251849"/>
    <n v="0"/>
    <n v="-1840.1768739550316"/>
    <m/>
    <n v="0"/>
    <n v="0"/>
    <n v="0"/>
    <n v="0"/>
    <n v="-253.05389733139145"/>
    <n v="-30.089058817030718"/>
    <n v="0"/>
    <n v="0"/>
    <m/>
    <m/>
    <m/>
    <n v="201102.91150092747"/>
    <n v="0"/>
    <n v="0"/>
    <n v="-45402.71511999995"/>
    <n v="19003.18153999999"/>
    <n v="0"/>
    <n v="0"/>
    <n v="-49957.374438264698"/>
    <n v="0"/>
    <n v="0"/>
    <n v="0"/>
    <n v="0"/>
    <n v="0"/>
    <n v="0"/>
    <n v="0"/>
    <n v="0"/>
    <n v="0"/>
    <n v="0"/>
    <n v="0"/>
    <n v="0"/>
    <n v="13839.5803297449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573.18600000000004"/>
    <n v="538.79484000000002"/>
    <n v="573.18600000000004"/>
    <n v="538.79484000000002"/>
    <m/>
    <n v="368.24"/>
    <n v="173.25"/>
    <m/>
    <n v="310374.48714000004"/>
    <n v="310374.48714000004"/>
    <n v="291688.62354"/>
    <n v="0"/>
    <n v="35276.837377314325"/>
    <n v="0"/>
    <n v="0"/>
    <n v="1467.0909840265776"/>
    <n v="1409.5454580395715"/>
    <n v="135006.57152147806"/>
    <n v="97636.772972913226"/>
    <n v="1666.3855584368171"/>
    <n v="0"/>
    <n v="0"/>
    <n v="0"/>
    <n v="0"/>
    <n v="5450.4430285390426"/>
    <m/>
    <n v="692.32655867871006"/>
    <n v="3114.346260430138"/>
    <n v="14521.737162337549"/>
    <n v="0"/>
    <n v="0"/>
    <n v="0"/>
    <n v="0"/>
    <n v="0"/>
    <n v="0"/>
    <n v="0"/>
    <n v="0"/>
    <n v="0"/>
    <n v="0"/>
    <m/>
    <n v="0"/>
    <n v="0"/>
    <n v="0"/>
    <n v="0"/>
    <n v="0"/>
    <n v="5124.1635170250738"/>
    <n v="0"/>
    <n v="207.43"/>
    <n v="1786.46"/>
    <n v="138379.31"/>
    <n v="196"/>
    <m/>
    <m/>
    <m/>
    <m/>
    <n v="17501.317412400007"/>
    <m/>
    <m/>
    <m/>
    <m/>
    <n v="102760.93648993829"/>
    <m/>
    <m/>
    <m/>
    <m/>
    <m/>
    <m/>
    <m/>
    <m/>
    <m/>
    <m/>
    <m/>
    <m/>
    <n v="274184.8431"/>
    <n v="-17567.204811600037"/>
    <m/>
    <m/>
    <m/>
    <m/>
    <n v="-31060.949339999999"/>
    <n v="12375.085740000002"/>
    <n v="31"/>
    <n v="14849.640257485444"/>
    <n v="310.33794811541657"/>
    <n v="1447.0600688469531"/>
    <n v="0"/>
    <n v="0"/>
    <n v="0"/>
    <n v="0"/>
    <n v="0"/>
    <n v="1451.3647871530795"/>
    <n v="0"/>
    <n v="0"/>
    <n v="12373.688521257107"/>
    <n v="0"/>
    <n v="0"/>
    <n v="0"/>
    <n v="649.39470407578301"/>
    <n v="0"/>
    <n v="-1197.8897670301958"/>
    <m/>
    <n v="0"/>
    <n v="0"/>
    <n v="0"/>
    <n v="0"/>
    <n v="-164.72909664865892"/>
    <n v="-19.586908283996763"/>
    <n v="0"/>
    <n v="0"/>
    <m/>
    <m/>
    <m/>
    <n v="135006.57152147806"/>
    <n v="0"/>
    <n v="0"/>
    <n v="-31060.949340000021"/>
    <n v="12375.085739999995"/>
    <n v="0"/>
    <n v="0"/>
    <n v="-33537.92242383222"/>
    <n v="0"/>
    <n v="0"/>
    <n v="0"/>
    <n v="0"/>
    <n v="0"/>
    <n v="0"/>
    <n v="0"/>
    <n v="0"/>
    <n v="0"/>
    <n v="0"/>
    <n v="0"/>
    <n v="0"/>
    <n v="9009.075101221842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"/>
    <s v="Regular"/>
    <s v="Azul"/>
    <s v="A4"/>
    <s v="Serviço público"/>
    <s v="Água, esgoto e saneamento"/>
    <s v="Não se aplica"/>
    <s v="Não se aplica"/>
    <s v="Ponta"/>
    <s v="CATIVO"/>
    <x v="0"/>
    <n v="66"/>
    <n v="62.04"/>
    <n v="3.2330000000000001"/>
    <n v="3.0390199999999998"/>
    <n v="3.2330000000000001"/>
    <n v="3.0390199999999998"/>
    <n v="52.95"/>
    <n v="85.01"/>
    <n v="173.25"/>
    <n v="3494.7000000000003"/>
    <n v="834.95458000000008"/>
    <n v="4329.6545800000004"/>
    <n v="3821.44011"/>
    <n v="0"/>
    <n v="173.10875223670098"/>
    <n v="0"/>
    <n v="0"/>
    <n v="51.98597272816999"/>
    <n v="49.945615696001056"/>
    <n v="2767.6251232668387"/>
    <n v="550.7107414023169"/>
    <n v="9.3990860042398623"/>
    <n v="0"/>
    <n v="0"/>
    <n v="0"/>
    <n v="0"/>
    <n v="30.74269488659305"/>
    <m/>
    <n v="2.5890311037745044"/>
    <n v="110.35535825452445"/>
    <n v="514.56404438940137"/>
    <n v="0"/>
    <n v="0"/>
    <n v="0"/>
    <n v="0"/>
    <n v="0"/>
    <n v="0"/>
    <n v="0"/>
    <n v="0"/>
    <n v="0"/>
    <n v="0"/>
    <m/>
    <n v="0"/>
    <n v="0"/>
    <n v="0"/>
    <n v="0"/>
    <n v="0"/>
    <n v="24.178496732855553"/>
    <n v="0"/>
    <n v="0"/>
    <n v="0"/>
    <n v="0"/>
    <n v="0"/>
    <m/>
    <m/>
    <m/>
    <m/>
    <n v="229.28640660000011"/>
    <m/>
    <m/>
    <m/>
    <m/>
    <n v="574.88923813517249"/>
    <m/>
    <m/>
    <m/>
    <m/>
    <m/>
    <m/>
    <m/>
    <m/>
    <m/>
    <m/>
    <m/>
    <m/>
    <n v="3592.4267999999997"/>
    <n v="-477.47850520000111"/>
    <m/>
    <m/>
    <m/>
    <m/>
    <n v="-578.01494000000014"/>
    <n v="69.800470000000018"/>
    <n v="31"/>
    <n v="179.67548142478336"/>
    <n v="10.996675571816894"/>
    <n v="51.27520717228208"/>
    <n v="0"/>
    <n v="0"/>
    <n v="0"/>
    <n v="0"/>
    <n v="0"/>
    <n v="51.427435334136646"/>
    <n v="0"/>
    <n v="0"/>
    <n v="69.792589123293737"/>
    <n v="0"/>
    <n v="0"/>
    <n v="0"/>
    <n v="3.0641855355828227"/>
    <n v="0"/>
    <n v="-5.8782254392525886"/>
    <m/>
    <n v="0"/>
    <n v="0"/>
    <n v="0"/>
    <n v="0"/>
    <n v="-0.92913848116512554"/>
    <n v="-7.3247391911165138E-2"/>
    <n v="0"/>
    <n v="0"/>
    <m/>
    <m/>
    <n v="2767.6251232668387"/>
    <n v="0"/>
    <n v="0"/>
    <n v="0"/>
    <n v="-578.01494000000002"/>
    <n v="69.800470000000018"/>
    <n v="0"/>
    <n v="0"/>
    <n v="-687.52502664364147"/>
    <n v="0"/>
    <n v="0"/>
    <n v="0"/>
    <n v="0"/>
    <n v="0"/>
    <n v="0"/>
    <n v="0"/>
    <n v="0"/>
    <n v="0"/>
    <n v="0"/>
    <n v="0"/>
    <n v="0"/>
    <n v="44.20888791414610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0"/>
    <s v="Regular"/>
    <s v="Azul"/>
    <s v="A4"/>
    <s v="Serviço público"/>
    <s v="Água, esgoto e saneamento"/>
    <s v="Não se aplica"/>
    <s v="Não se aplica"/>
    <s v="Fora ponta"/>
    <s v="CATIVO"/>
    <x v="0"/>
    <n v="66"/>
    <n v="62.04"/>
    <n v="21.670999999999999"/>
    <n v="20.370739999999998"/>
    <n v="21.670999999999999"/>
    <n v="20.370739999999998"/>
    <n v="27.19"/>
    <n v="85.01"/>
    <n v="173.25"/>
    <n v="1794.5400000000002"/>
    <n v="5596.7524599999997"/>
    <n v="7391.2924600000006"/>
    <n v="7475.2175699999998"/>
    <n v="0"/>
    <n v="1160.3587286487925"/>
    <n v="0"/>
    <n v="0"/>
    <n v="15.391240486219225"/>
    <n v="14.786299398447985"/>
    <n v="1579.5139960485269"/>
    <n v="3691.4483380543179"/>
    <n v="63.002657840359433"/>
    <n v="0"/>
    <n v="0"/>
    <n v="0"/>
    <n v="0"/>
    <n v="206.07019513991895"/>
    <m/>
    <n v="17.354436452179797"/>
    <n v="32.662398851970622"/>
    <n v="152.33386363875834"/>
    <n v="0"/>
    <n v="0"/>
    <n v="0"/>
    <n v="0"/>
    <n v="0"/>
    <n v="0"/>
    <n v="0"/>
    <n v="0"/>
    <n v="0"/>
    <n v="0"/>
    <m/>
    <n v="0"/>
    <n v="0"/>
    <n v="0"/>
    <n v="0"/>
    <n v="0"/>
    <n v="162.06996681030395"/>
    <n v="0"/>
    <n v="0"/>
    <n v="0"/>
    <n v="0"/>
    <n v="0"/>
    <m/>
    <m/>
    <m/>
    <m/>
    <n v="448.5130542000004"/>
    <m/>
    <m/>
    <m/>
    <m/>
    <n v="3853.5183048646218"/>
    <m/>
    <m/>
    <m/>
    <m/>
    <m/>
    <m/>
    <m/>
    <m/>
    <m/>
    <m/>
    <m/>
    <m/>
    <n v="7026.4983000000002"/>
    <n v="78.653387600000315"/>
    <m/>
    <m/>
    <m/>
    <m/>
    <n v="-383.95178000000016"/>
    <n v="467.87689000000006"/>
    <n v="31"/>
    <n v="475.90179600951888"/>
    <n v="3.2547382315953115"/>
    <n v="15.179743906708893"/>
    <n v="0"/>
    <n v="0"/>
    <n v="0"/>
    <n v="0"/>
    <n v="0"/>
    <n v="15.224989131643698"/>
    <n v="0"/>
    <n v="0"/>
    <n v="467.82406399347292"/>
    <n v="0"/>
    <n v="0"/>
    <n v="0"/>
    <n v="20.539426149587172"/>
    <n v="0"/>
    <n v="-39.402110576567338"/>
    <m/>
    <n v="0"/>
    <n v="0"/>
    <n v="0"/>
    <n v="0"/>
    <n v="-6.2280730050508453"/>
    <n v="-0.49098182187035633"/>
    <n v="0"/>
    <n v="0"/>
    <m/>
    <m/>
    <n v="1579.5139960485269"/>
    <n v="0"/>
    <n v="0"/>
    <n v="0"/>
    <n v="-383.95178000000033"/>
    <n v="467.87689"/>
    <n v="0"/>
    <n v="0"/>
    <n v="-392.37806922905588"/>
    <n v="0"/>
    <n v="0"/>
    <n v="0"/>
    <n v="0"/>
    <n v="0"/>
    <n v="0"/>
    <n v="0"/>
    <n v="0"/>
    <n v="0"/>
    <n v="0"/>
    <n v="0"/>
    <n v="0"/>
    <n v="296.3349242151129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"/>
    <s v="Regular"/>
    <s v="Azul"/>
    <s v="A4"/>
    <s v="Serviço público"/>
    <s v="Água, esgoto e saneamento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64"/>
    <n v="74.11"/>
    <n v="5706.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2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7.0369999999999999"/>
    <n v="7.0369999999999999"/>
    <n v="7.0369999999999999"/>
    <n v="7.0369999999999999"/>
    <m/>
    <n v="368.24"/>
    <n v="173.25"/>
    <m/>
    <n v="3810.46513"/>
    <n v="3810.46513"/>
    <n v="3581.0589300000001"/>
    <n v="0"/>
    <n v="433.09345417396952"/>
    <n v="0"/>
    <n v="0"/>
    <n v="18.01146443666633"/>
    <n v="17.304978468114125"/>
    <n v="1657.4746134703937"/>
    <n v="1198.6858915088476"/>
    <n v="20.458202354418777"/>
    <n v="0"/>
    <n v="0"/>
    <n v="0"/>
    <n v="0"/>
    <n v="66.915046061538902"/>
    <m/>
    <n v="8.4996876989704599"/>
    <n v="38.234804469486136"/>
    <n v="178.28325257659702"/>
    <n v="0"/>
    <n v="0"/>
    <n v="0"/>
    <n v="0"/>
    <n v="0"/>
    <n v="0"/>
    <n v="0"/>
    <n v="0"/>
    <n v="0"/>
    <n v="0"/>
    <m/>
    <n v="0"/>
    <n v="0"/>
    <n v="0"/>
    <n v="0"/>
    <n v="0"/>
    <n v="62.909315072778192"/>
    <n v="0"/>
    <n v="2.76"/>
    <n v="23.95"/>
    <n v="1710.04"/>
    <n v="5"/>
    <m/>
    <m/>
    <m/>
    <m/>
    <m/>
    <m/>
    <m/>
    <m/>
    <m/>
    <n v="1261.5952065816257"/>
    <m/>
    <m/>
    <m/>
    <m/>
    <m/>
    <m/>
    <m/>
    <m/>
    <m/>
    <m/>
    <m/>
    <m/>
    <n v="3582.5856000000003"/>
    <n v="-227.90953000000036"/>
    <m/>
    <m/>
    <m/>
    <m/>
    <n v="-381.33502999999996"/>
    <n v="151.92883000000003"/>
    <n v="31"/>
    <n v="182.30891628882273"/>
    <n v="3.8100165406834492"/>
    <n v="17.765545049034671"/>
    <n v="0"/>
    <n v="0"/>
    <n v="0"/>
    <n v="0"/>
    <n v="0"/>
    <n v="17.818394041718083"/>
    <n v="0"/>
    <n v="0"/>
    <n v="151.91167635651641"/>
    <n v="0"/>
    <n v="0"/>
    <n v="0"/>
    <n v="7.9726136587098821"/>
    <n v="0"/>
    <n v="-14.706483219393931"/>
    <m/>
    <n v="0"/>
    <n v="0"/>
    <n v="0"/>
    <n v="0"/>
    <n v="-2.022377819968753"/>
    <n v="-0.24046831847687322"/>
    <n v="0"/>
    <n v="0"/>
    <m/>
    <m/>
    <m/>
    <n v="1657.4746134703937"/>
    <n v="0"/>
    <n v="0"/>
    <n v="-381.33503000000019"/>
    <n v="151.92883000000006"/>
    <n v="0"/>
    <n v="0"/>
    <n v="-411.7448090087812"/>
    <n v="0"/>
    <n v="0"/>
    <n v="0"/>
    <n v="0"/>
    <n v="0"/>
    <n v="0"/>
    <n v="0"/>
    <n v="0"/>
    <n v="0"/>
    <n v="0"/>
    <n v="0"/>
    <n v="0"/>
    <n v="110.6043439429750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"/>
    <s v="Sistema de Compensação"/>
    <s v="Convencional"/>
    <s v="B3"/>
    <s v="Consumo próprio"/>
    <s v="Não se aplica"/>
    <s v="Não se aplica"/>
    <s v="Não se aplica"/>
    <s v="Não se aplica"/>
    <s v="CATIVO"/>
    <x v="0"/>
    <n v="0"/>
    <n v="0"/>
    <n v="1.81"/>
    <n v="1.81"/>
    <n v="1.81"/>
    <n v="1.81"/>
    <m/>
    <n v="368.24"/>
    <n v="173.25"/>
    <m/>
    <n v="980.09690000000001"/>
    <n v="980.09690000000001"/>
    <n v="921.09090000000015"/>
    <n v="0"/>
    <n v="111.39678159086043"/>
    <n v="0"/>
    <n v="0"/>
    <n v="4.6327626304342839"/>
    <n v="4.4510460462251773"/>
    <n v="426.32216148662962"/>
    <n v="308.31625175941656"/>
    <n v="5.2620926902796628"/>
    <n v="0"/>
    <n v="0"/>
    <n v="0"/>
    <n v="0"/>
    <n v="17.211344801958994"/>
    <m/>
    <n v="2.1862206529965231"/>
    <n v="9.8344459414196255"/>
    <n v="45.856570578888814"/>
    <n v="0"/>
    <n v="0"/>
    <n v="0"/>
    <n v="0"/>
    <n v="0"/>
    <n v="0"/>
    <n v="0"/>
    <n v="0"/>
    <n v="0"/>
    <n v="0"/>
    <m/>
    <n v="0"/>
    <n v="0"/>
    <n v="0"/>
    <n v="0"/>
    <n v="0"/>
    <n v="16.181023203315124"/>
    <n v="0"/>
    <n v="0.73"/>
    <n v="6.29"/>
    <n v="560.72"/>
    <n v="1"/>
    <m/>
    <m/>
    <m/>
    <m/>
    <m/>
    <m/>
    <m/>
    <m/>
    <m/>
    <n v="324.49727496273169"/>
    <m/>
    <m/>
    <m/>
    <m/>
    <m/>
    <m/>
    <m/>
    <m/>
    <m/>
    <m/>
    <m/>
    <m/>
    <n v="921.09090000000015"/>
    <n v="-59.035999999999831"/>
    <m/>
    <m/>
    <m/>
    <m/>
    <n v="-98.0839"/>
    <n v="39.077900000000007"/>
    <n v="31"/>
    <n v="46.892019110809883"/>
    <n v="0.97998151749851559"/>
    <n v="4.5695092423977286"/>
    <n v="0"/>
    <n v="0"/>
    <n v="0"/>
    <n v="0"/>
    <n v="0"/>
    <n v="4.5831026311652314"/>
    <n v="0"/>
    <n v="0"/>
    <n v="39.073487879109678"/>
    <n v="0"/>
    <n v="0"/>
    <n v="0"/>
    <n v="2.0506509481689505"/>
    <n v="0"/>
    <n v="-3.782682197968299"/>
    <m/>
    <n v="0"/>
    <n v="0"/>
    <n v="0"/>
    <n v="0"/>
    <n v="-0.52017960127091811"/>
    <n v="-6.18513082909109E-2"/>
    <n v="0"/>
    <n v="0"/>
    <m/>
    <m/>
    <m/>
    <n v="426.32216148662962"/>
    <n v="0"/>
    <n v="0"/>
    <n v="-98.083899999999971"/>
    <n v="39.077900000000056"/>
    <n v="0"/>
    <n v="0"/>
    <n v="-105.90565643113456"/>
    <n v="0"/>
    <n v="0"/>
    <n v="0"/>
    <n v="0"/>
    <n v="0"/>
    <n v="0"/>
    <n v="0"/>
    <n v="0"/>
    <n v="0"/>
    <n v="0"/>
    <n v="0"/>
    <n v="0"/>
    <n v="28.44875124865494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4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6"/>
    <n v="1.52"/>
    <n v="30.5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5"/>
    <s v="Regular"/>
    <s v="Convencional"/>
    <s v="B2"/>
    <s v="Rural"/>
    <s v="Agropecuária rural"/>
    <s v="IRRIG./AQUIC."/>
    <s v="Não se aplica"/>
    <s v="Não se aplica"/>
    <s v="CATIVO"/>
    <x v="0"/>
    <n v="0"/>
    <n v="0"/>
    <n v="0.43"/>
    <n v="0.43"/>
    <n v="0.43"/>
    <n v="0.43"/>
    <m/>
    <n v="368.24"/>
    <n v="173.25"/>
    <m/>
    <n v="232.8407"/>
    <n v="232.8407"/>
    <n v="218.8227"/>
    <n v="0"/>
    <n v="26.464428775729271"/>
    <n v="0"/>
    <n v="0"/>
    <n v="1.1006010668987525"/>
    <n v="1.0574308286612299"/>
    <n v="101.28095549129874"/>
    <n v="73.246402351684594"/>
    <n v="1.2501104181327376"/>
    <n v="0"/>
    <n v="0"/>
    <n v="0"/>
    <n v="0"/>
    <n v="4.0888830192499261"/>
    <m/>
    <n v="0.51937838717596951"/>
    <n v="2.3363600855306292"/>
    <n v="10.894102402719442"/>
    <n v="0"/>
    <n v="0"/>
    <n v="0"/>
    <n v="0"/>
    <n v="0"/>
    <n v="0"/>
    <n v="0"/>
    <n v="0"/>
    <n v="0"/>
    <n v="0"/>
    <m/>
    <n v="0"/>
    <n v="0"/>
    <n v="0"/>
    <n v="0"/>
    <n v="0"/>
    <n v="3.8441104847654715"/>
    <n v="0"/>
    <n v="0"/>
    <n v="0"/>
    <n v="0"/>
    <n v="0"/>
    <m/>
    <m/>
    <m/>
    <m/>
    <m/>
    <n v="26.255800000000001"/>
    <m/>
    <m/>
    <m/>
    <n v="77.09051283645006"/>
    <m/>
    <m/>
    <m/>
    <m/>
    <m/>
    <m/>
    <m/>
    <m/>
    <m/>
    <m/>
    <m/>
    <m/>
    <n v="192.5669"/>
    <n v="-12.362399999999951"/>
    <m/>
    <m/>
    <m/>
    <m/>
    <n v="-23.3017"/>
    <n v="9.2837000000000014"/>
    <n v="31"/>
    <n v="11.14009293792725"/>
    <n v="0.23281328868749229"/>
    <n v="1.0855740189121672"/>
    <n v="0"/>
    <n v="0"/>
    <n v="0"/>
    <n v="0"/>
    <n v="0"/>
    <n v="1.0888033875143917"/>
    <n v="0"/>
    <n v="0"/>
    <n v="9.2826518165840639"/>
    <n v="0"/>
    <n v="0"/>
    <n v="0"/>
    <n v="0.48717121973074518"/>
    <n v="0"/>
    <n v="-0.89864825697589268"/>
    <m/>
    <n v="0"/>
    <n v="0"/>
    <n v="0"/>
    <n v="0"/>
    <n v="-0.12357857930745553"/>
    <n v="-1.4693957218282594E-2"/>
    <n v="0"/>
    <n v="0"/>
    <m/>
    <m/>
    <m/>
    <n v="101.28095549129874"/>
    <n v="0"/>
    <n v="0"/>
    <n v="-23.301699999999983"/>
    <n v="9.2836999999999961"/>
    <n v="0"/>
    <n v="0"/>
    <n v="-25.159907328943575"/>
    <n v="0"/>
    <n v="0"/>
    <n v="0"/>
    <n v="0"/>
    <n v="0"/>
    <n v="0"/>
    <n v="0"/>
    <n v="0"/>
    <n v="0"/>
    <n v="0"/>
    <n v="0"/>
    <n v="0"/>
    <n v="6.75854311432134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6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26600000000000001"/>
    <n v="0.10639999999999999"/>
    <n v="0.26600000000000001"/>
    <n v="0.10639999999999999"/>
    <m/>
    <n v="368.24"/>
    <n v="173.25"/>
    <m/>
    <n v="144.03634"/>
    <n v="144.03634"/>
    <n v="135.36474000000001"/>
    <n v="0"/>
    <n v="16.371018731032528"/>
    <n v="0"/>
    <n v="0"/>
    <n v="0.68083693905829812"/>
    <n v="0.65413162889276089"/>
    <n v="62.652870141128993"/>
    <n v="45.310565175693263"/>
    <n v="0.77332411912397259"/>
    <n v="0"/>
    <n v="0"/>
    <n v="0"/>
    <n v="0"/>
    <n v="2.5294020537685591"/>
    <m/>
    <n v="0.32128988602048353"/>
    <n v="1.4452832157003428"/>
    <n v="6.739142416565981"/>
    <n v="0"/>
    <n v="0"/>
    <n v="0"/>
    <n v="0"/>
    <n v="0"/>
    <n v="0"/>
    <n v="0"/>
    <n v="0"/>
    <n v="0"/>
    <n v="0"/>
    <m/>
    <n v="0"/>
    <n v="0"/>
    <n v="0"/>
    <n v="0"/>
    <n v="0"/>
    <n v="2.3779846254595709"/>
    <n v="0"/>
    <n v="0"/>
    <n v="0"/>
    <n v="0"/>
    <n v="0"/>
    <m/>
    <m/>
    <m/>
    <m/>
    <m/>
    <m/>
    <n v="87.715628000000009"/>
    <m/>
    <m/>
    <n v="47.688549801152831"/>
    <m/>
    <m/>
    <m/>
    <m/>
    <m/>
    <m/>
    <m/>
    <m/>
    <m/>
    <m/>
    <m/>
    <m/>
    <n v="49.261300000000006"/>
    <n v="-1.4693639999999917"/>
    <m/>
    <m/>
    <m/>
    <m/>
    <n v="-14.414540000000001"/>
    <n v="5.7429400000000008"/>
    <n v="31"/>
    <n v="6.8913133057875342"/>
    <n v="0.14401938323458841"/>
    <n v="0.67154113728054909"/>
    <n v="0"/>
    <n v="0"/>
    <n v="0"/>
    <n v="0"/>
    <n v="0"/>
    <n v="0.67353883971820527"/>
    <n v="0"/>
    <n v="0"/>
    <n v="5.7422915888636297"/>
    <n v="0"/>
    <n v="0"/>
    <n v="0"/>
    <n v="0.30136638243808855"/>
    <n v="0"/>
    <n v="-0.55590799152462367"/>
    <m/>
    <n v="0"/>
    <n v="0"/>
    <n v="0"/>
    <n v="0"/>
    <n v="-7.6446283943681692E-2"/>
    <n v="-9.0897502792167684E-3"/>
    <n v="0"/>
    <n v="0"/>
    <m/>
    <m/>
    <m/>
    <n v="62.652870141128993"/>
    <n v="0"/>
    <n v="0"/>
    <n v="-14.414540000000002"/>
    <n v="5.7429399999999973"/>
    <n v="0"/>
    <n v="0"/>
    <n v="-15.564035696509279"/>
    <n v="0"/>
    <n v="0"/>
    <n v="0"/>
    <n v="0"/>
    <n v="0"/>
    <n v="0"/>
    <n v="0"/>
    <n v="0"/>
    <n v="0"/>
    <n v="0"/>
    <n v="0"/>
    <n v="0"/>
    <n v="4.180866205603434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"/>
    <s v="Regular"/>
    <s v="Convencional"/>
    <s v="B1"/>
    <s v="Residencial"/>
    <s v="Residencial"/>
    <s v="Não se aplica"/>
    <s v="Não se aplica"/>
    <s v="Não se aplica"/>
    <s v="CATIVO"/>
    <x v="1"/>
    <n v="0"/>
    <n v="0"/>
    <n v="9162.2039999999997"/>
    <n v="9162.2039999999997"/>
    <n v="9162.2039999999997"/>
    <n v="9162.2039999999997"/>
    <m/>
    <n v="368.24"/>
    <n v="173.25"/>
    <m/>
    <n v="4961241.8439600002"/>
    <n v="4961241.8439600002"/>
    <n v="4662553.9935599994"/>
    <n v="0"/>
    <n v="563889.52369000425"/>
    <n v="0"/>
    <n v="0"/>
    <n v="23451.003482660508"/>
    <n v="22531.155739728452"/>
    <n v="2158039.0128516261"/>
    <n v="1560694.140958637"/>
    <n v="26636.666682459163"/>
    <n v="0"/>
    <n v="0"/>
    <n v="0"/>
    <n v="0"/>
    <n v="87123.675243031976"/>
    <m/>
    <n v="11066.62961976097"/>
    <n v="49781.878421137379"/>
    <n v="232125.5549083853"/>
    <n v="0"/>
    <n v="0"/>
    <n v="0"/>
    <n v="0"/>
    <n v="0"/>
    <n v="0"/>
    <n v="0"/>
    <n v="0"/>
    <n v="0"/>
    <n v="0"/>
    <m/>
    <n v="0"/>
    <n v="0"/>
    <n v="0"/>
    <n v="0"/>
    <n v="0"/>
    <n v="81908.196418511958"/>
    <n v="0"/>
    <n v="3614.41"/>
    <n v="32838.269999999997"/>
    <n v="2316694.7999999998"/>
    <n v="46262"/>
    <m/>
    <m/>
    <m/>
    <m/>
    <m/>
    <m/>
    <m/>
    <m/>
    <m/>
    <n v="1642602.3373771489"/>
    <m/>
    <m/>
    <m/>
    <m/>
    <m/>
    <m/>
    <m/>
    <m/>
    <m/>
    <m/>
    <m/>
    <m/>
    <n v="4662551.9580000006"/>
    <n v="-298689.91595999897"/>
    <m/>
    <m/>
    <m/>
    <m/>
    <n v="-496499.83475999994"/>
    <n v="197811.98436000003"/>
    <n v="31"/>
    <n v="237366.9862238327"/>
    <n v="4960.6577787574424"/>
    <n v="23130.815391565411"/>
    <n v="0"/>
    <n v="0"/>
    <n v="0"/>
    <n v="0"/>
    <n v="0"/>
    <n v="23199.625005343976"/>
    <n v="0"/>
    <n v="0"/>
    <n v="197789.65024305531"/>
    <n v="0"/>
    <n v="0"/>
    <n v="0"/>
    <n v="10380.376972330021"/>
    <n v="0"/>
    <n v="-19147.903848040849"/>
    <m/>
    <n v="0"/>
    <n v="0"/>
    <n v="0"/>
    <n v="0"/>
    <n v="-2633.1445433606714"/>
    <n v="-313.09077581669408"/>
    <n v="0"/>
    <n v="0"/>
    <m/>
    <m/>
    <m/>
    <n v="2158039.0128516261"/>
    <n v="0"/>
    <n v="0"/>
    <n v="-496499.83476"/>
    <n v="197811.98436000012"/>
    <n v="0"/>
    <n v="0"/>
    <n v="-536093.49667180469"/>
    <n v="0"/>
    <n v="0"/>
    <n v="0"/>
    <n v="0"/>
    <n v="0"/>
    <n v="0"/>
    <n v="0"/>
    <n v="0"/>
    <n v="0"/>
    <n v="0"/>
    <n v="0"/>
    <n v="0"/>
    <n v="144007.3273400173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8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2.7160000000000002"/>
    <n v="-2.7160000000000002"/>
    <n v="-2.7160000000000002"/>
    <n v="-2.7160000000000002"/>
    <m/>
    <n v="368.24"/>
    <n v="173.25"/>
    <m/>
    <n v="-1470.6868400000001"/>
    <n v="-1470.6868400000001"/>
    <n v="-1382.1452400000003"/>
    <n v="0"/>
    <n v="-167.15671756949001"/>
    <n v="0"/>
    <n v="0"/>
    <n v="-6.9517034830163071"/>
    <n v="-6.6790282107997685"/>
    <n v="-639.71877933573819"/>
    <n v="-462.64471810971014"/>
    <n v="-7.8960462689500366"/>
    <n v="0"/>
    <n v="0"/>
    <n v="0"/>
    <n v="0"/>
    <n v="-25.826526233215816"/>
    <m/>
    <n v="-3.2805388362091477"/>
    <n v="-14.757102307677185"/>
    <n v="-68.810190990200013"/>
    <n v="0"/>
    <n v="0"/>
    <n v="0"/>
    <n v="0"/>
    <n v="0"/>
    <n v="0"/>
    <n v="0"/>
    <n v="0"/>
    <n v="0"/>
    <n v="0"/>
    <m/>
    <n v="0"/>
    <n v="0"/>
    <n v="0"/>
    <n v="0"/>
    <n v="0"/>
    <n v="-24.280474596797724"/>
    <n v="0"/>
    <n v="-1.63"/>
    <n v="-15.36"/>
    <n v="-686.54"/>
    <n v="0"/>
    <m/>
    <m/>
    <m/>
    <m/>
    <m/>
    <m/>
    <m/>
    <m/>
    <m/>
    <n v="-486.92519270650786"/>
    <m/>
    <m/>
    <m/>
    <m/>
    <m/>
    <m/>
    <m/>
    <m/>
    <m/>
    <m/>
    <m/>
    <m/>
    <n v="-1384.1808000000001"/>
    <n v="86.476040000000012"/>
    <m/>
    <m/>
    <m/>
    <m/>
    <n v="147.18003999999999"/>
    <n v="-58.63844000000001"/>
    <n v="31"/>
    <n v="-70.363935859093885"/>
    <n v="-1.4705137025005346"/>
    <n v="-6.8567884543382434"/>
    <n v="0"/>
    <n v="0"/>
    <n v="0"/>
    <n v="0"/>
    <n v="0"/>
    <n v="-6.877186047649043"/>
    <n v="0"/>
    <n v="0"/>
    <n v="-58.63181938102872"/>
    <n v="0"/>
    <n v="0"/>
    <n v="0"/>
    <n v="-3.0771093785783776"/>
    <n v="0"/>
    <n v="5.6761131766198218"/>
    <m/>
    <n v="0"/>
    <n v="0"/>
    <n v="0"/>
    <n v="0"/>
    <n v="0.78055679395127697"/>
    <n v="9.2811134429897191E-2"/>
    <n v="0"/>
    <n v="0"/>
    <m/>
    <m/>
    <m/>
    <n v="-639.71877933573819"/>
    <n v="0"/>
    <n v="0"/>
    <n v="147.18003999999996"/>
    <n v="-58.63844000000006"/>
    <n v="0"/>
    <n v="0"/>
    <n v="158.9169960590948"/>
    <n v="0"/>
    <n v="0"/>
    <n v="0"/>
    <n v="0"/>
    <n v="0"/>
    <n v="0"/>
    <n v="0"/>
    <n v="0"/>
    <n v="0"/>
    <n v="0"/>
    <n v="0"/>
    <n v="0"/>
    <n v="-42.68884441510875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16.413"/>
    <n v="116.413"/>
    <n v="116.413"/>
    <n v="116.413"/>
    <m/>
    <n v="368.24"/>
    <n v="173.25"/>
    <m/>
    <n v="63036.47537"/>
    <n v="63036.47537"/>
    <n v="59241.411569999997"/>
    <n v="0"/>
    <n v="7164.659411788306"/>
    <n v="0"/>
    <n v="0"/>
    <n v="297.96342325787089"/>
    <n v="286.27603501613896"/>
    <n v="27419.581096764094"/>
    <n v="19829.845202248041"/>
    <n v="338.43977699089857"/>
    <n v="0"/>
    <n v="0"/>
    <n v="0"/>
    <n v="0"/>
    <n v="1106.974741674283"/>
    <m/>
    <n v="140.6102236891073"/>
    <n v="632.51787589971434"/>
    <n v="2949.3375418785545"/>
    <n v="0"/>
    <n v="0"/>
    <n v="0"/>
    <n v="0"/>
    <n v="0"/>
    <n v="0"/>
    <n v="0"/>
    <n v="0"/>
    <n v="0"/>
    <n v="0"/>
    <m/>
    <n v="0"/>
    <n v="0"/>
    <n v="0"/>
    <n v="0"/>
    <n v="0"/>
    <n v="1040.7079857279136"/>
    <n v="0"/>
    <n v="46.06"/>
    <n v="416.07"/>
    <n v="60025.09"/>
    <n v="830"/>
    <m/>
    <m/>
    <m/>
    <m/>
    <m/>
    <m/>
    <m/>
    <m/>
    <m/>
    <n v="20870.553187975955"/>
    <m/>
    <m/>
    <m/>
    <m/>
    <m/>
    <m/>
    <m/>
    <m/>
    <m/>
    <m/>
    <m/>
    <m/>
    <n v="59239.884900000005"/>
    <n v="-3796.6204700000017"/>
    <m/>
    <m/>
    <m/>
    <m/>
    <n v="-6308.4204699999991"/>
    <n v="2513.3566700000001"/>
    <n v="31"/>
    <n v="3015.9340446114511"/>
    <n v="63.02905436273727"/>
    <n v="293.89518200842303"/>
    <n v="0"/>
    <n v="0"/>
    <n v="0"/>
    <n v="0"/>
    <n v="0"/>
    <n v="294.76946221096023"/>
    <n v="0"/>
    <n v="0"/>
    <n v="2513.0728974976773"/>
    <n v="0"/>
    <n v="0"/>
    <n v="0"/>
    <n v="131.89084465701194"/>
    <n v="0"/>
    <n v="-243.28916171938363"/>
    <m/>
    <n v="0"/>
    <n v="0"/>
    <n v="0"/>
    <n v="0"/>
    <n v="-33.456170123067068"/>
    <n v="-3.9780642829114754"/>
    <n v="0"/>
    <n v="0"/>
    <m/>
    <m/>
    <m/>
    <n v="27419.581096764094"/>
    <n v="0"/>
    <n v="0"/>
    <n v="-6308.4204699999973"/>
    <n v="2513.3566699999974"/>
    <n v="0"/>
    <n v="0"/>
    <n v="-6811.4890508937387"/>
    <n v="0"/>
    <n v="0"/>
    <n v="0"/>
    <n v="0"/>
    <n v="0"/>
    <n v="0"/>
    <n v="0"/>
    <n v="0"/>
    <n v="0"/>
    <n v="0"/>
    <n v="0"/>
    <n v="0"/>
    <n v="1829.72623155230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-4.2999999999999997E-2"/>
    <n v="-4.2999999999999997E-2"/>
    <n v="-4.2999999999999997E-2"/>
    <n v="-4.2999999999999997E-2"/>
    <m/>
    <n v="368.24"/>
    <n v="173.25"/>
    <m/>
    <n v="-23.28407"/>
    <n v="-23.28407"/>
    <n v="-21.882269999999998"/>
    <n v="0"/>
    <n v="-2.6464428775729267"/>
    <n v="0"/>
    <n v="0"/>
    <n v="-0.11006010668987525"/>
    <n v="-0.10574308286612298"/>
    <n v="-10.128095549129874"/>
    <n v="-7.3246402351684585"/>
    <n v="-0.12501104181327374"/>
    <n v="0"/>
    <n v="0"/>
    <n v="0"/>
    <n v="0"/>
    <n v="-0.40888830192499259"/>
    <m/>
    <n v="-5.1937838717596954E-2"/>
    <n v="-0.23363600855306291"/>
    <n v="-1.0894102402719441"/>
    <n v="0"/>
    <n v="0"/>
    <n v="0"/>
    <n v="0"/>
    <n v="0"/>
    <n v="0"/>
    <n v="0"/>
    <n v="0"/>
    <n v="0"/>
    <n v="0"/>
    <m/>
    <n v="0"/>
    <n v="0"/>
    <n v="0"/>
    <n v="0"/>
    <n v="0"/>
    <n v="-0.38441104847654711"/>
    <n v="0"/>
    <n v="-0.02"/>
    <n v="-0.15"/>
    <n v="-10.6"/>
    <n v="2"/>
    <m/>
    <m/>
    <m/>
    <m/>
    <m/>
    <m/>
    <m/>
    <m/>
    <m/>
    <n v="-7.7090512836450058"/>
    <m/>
    <m/>
    <m/>
    <m/>
    <m/>
    <m/>
    <m/>
    <m/>
    <m/>
    <m/>
    <m/>
    <m/>
    <n v="-20.355600000000003"/>
    <n v="2.8984699999999961"/>
    <m/>
    <m/>
    <m/>
    <m/>
    <n v="2.3301699999999999"/>
    <n v="-0.92837000000000003"/>
    <n v="31"/>
    <n v="-1.1140092937927228"/>
    <n v="-2.3281328868749257E-2"/>
    <n v="-0.10855740189121676"/>
    <n v="0"/>
    <n v="0"/>
    <n v="0"/>
    <n v="0"/>
    <n v="0"/>
    <n v="-0.10888033875143917"/>
    <n v="0"/>
    <n v="0"/>
    <n v="-0.92826518165840621"/>
    <n v="0"/>
    <n v="0"/>
    <n v="0"/>
    <n v="-4.8717121973074484E-2"/>
    <n v="0"/>
    <n v="8.9864825697589357E-2"/>
    <m/>
    <n v="0"/>
    <n v="0"/>
    <n v="0"/>
    <n v="0"/>
    <n v="1.2357857930745564E-2"/>
    <n v="1.4693957218282691E-3"/>
    <n v="0"/>
    <n v="0"/>
    <m/>
    <m/>
    <m/>
    <n v="-10.128095549129874"/>
    <n v="0"/>
    <n v="0"/>
    <n v="2.3301700000000007"/>
    <n v="-0.92837000000000014"/>
    <n v="0"/>
    <n v="0"/>
    <n v="2.5159907328943572"/>
    <n v="0"/>
    <n v="0"/>
    <n v="0"/>
    <n v="0"/>
    <n v="0"/>
    <n v="0"/>
    <n v="0"/>
    <n v="0"/>
    <n v="0"/>
    <n v="0"/>
    <n v="0"/>
    <n v="0"/>
    <n v="-0.6758543114321340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1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2.89"/>
    <n v="22.89"/>
    <n v="22.89"/>
    <n v="22.89"/>
    <m/>
    <n v="281.47000000000003"/>
    <n v="173.25"/>
    <m/>
    <n v="10408.540800000001"/>
    <n v="10408.540800000001"/>
    <n v="9716.8050000000003"/>
    <n v="0"/>
    <n v="0"/>
    <n v="0"/>
    <n v="0"/>
    <n v="58.587810282121971"/>
    <n v="56.289748065245469"/>
    <n v="5391.4443516182055"/>
    <n v="3899.0933716978147"/>
    <n v="66.546575514089213"/>
    <n v="0"/>
    <n v="0"/>
    <n v="0"/>
    <n v="0"/>
    <n v="0"/>
    <m/>
    <n v="27.647840191762658"/>
    <n v="124.37042408789793"/>
    <n v="579.92093953080939"/>
    <n v="0"/>
    <n v="0"/>
    <n v="0"/>
    <n v="0"/>
    <n v="0"/>
    <n v="0"/>
    <n v="0"/>
    <n v="0"/>
    <n v="0"/>
    <n v="0"/>
    <m/>
    <n v="0"/>
    <n v="0"/>
    <n v="0"/>
    <n v="0"/>
    <n v="0"/>
    <n v="204.63183487507359"/>
    <n v="0"/>
    <n v="0"/>
    <n v="15.81"/>
    <n v="1412.12"/>
    <n v="22"/>
    <m/>
    <m/>
    <m/>
    <m/>
    <m/>
    <m/>
    <m/>
    <n v="6316.0377000000008"/>
    <m/>
    <n v="4103.7252065728881"/>
    <m/>
    <m/>
    <m/>
    <m/>
    <m/>
    <m/>
    <m/>
    <m/>
    <m/>
    <m/>
    <m/>
    <m/>
    <n v="3400.7672999999995"/>
    <n v="-242.43510000000151"/>
    <m/>
    <m/>
    <m/>
    <m/>
    <n v="-1185.9309000000007"/>
    <n v="494.19510000000008"/>
    <n v="31"/>
    <n v="647.43139449228056"/>
    <n v="12.393246925713242"/>
    <n v="57.787882076510414"/>
    <n v="0"/>
    <n v="0"/>
    <n v="0"/>
    <n v="0"/>
    <n v="0"/>
    <n v="57.959789628382403"/>
    <n v="0"/>
    <n v="0"/>
    <n v="494.13930251537067"/>
    <n v="0"/>
    <n v="0"/>
    <n v="0"/>
    <n v="25.933370278224999"/>
    <n v="0"/>
    <n v="0"/>
    <m/>
    <n v="0"/>
    <n v="0"/>
    <n v="0"/>
    <n v="0"/>
    <n v="0"/>
    <n v="-0.78219693192206918"/>
    <n v="0"/>
    <n v="0"/>
    <m/>
    <m/>
    <m/>
    <n v="5391.4443516182055"/>
    <n v="0"/>
    <n v="0"/>
    <n v="-1185.9309000000003"/>
    <n v="494.19509999999991"/>
    <n v="0"/>
    <n v="0"/>
    <n v="-1339.3262296732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8.87"/>
    <n v="48.87"/>
    <n v="48.87"/>
    <n v="48.87"/>
    <m/>
    <n v="281.47000000000003"/>
    <n v="173.25"/>
    <m/>
    <n v="22222.166400000002"/>
    <n v="22222.166400000002"/>
    <n v="20745.314999999999"/>
    <n v="0"/>
    <n v="0"/>
    <n v="0"/>
    <n v="0"/>
    <n v="125.08459102172567"/>
    <n v="120.17824324807977"/>
    <n v="11510.698360138998"/>
    <n v="8324.5387975042468"/>
    <n v="142.0765026375509"/>
    <n v="0"/>
    <n v="0"/>
    <n v="0"/>
    <n v="0"/>
    <n v="0"/>
    <m/>
    <n v="59.027957630906116"/>
    <n v="265.53004041832986"/>
    <n v="1238.1274056299978"/>
    <n v="0"/>
    <n v="0"/>
    <n v="0"/>
    <n v="0"/>
    <n v="0"/>
    <n v="0"/>
    <n v="0"/>
    <n v="0"/>
    <n v="0"/>
    <n v="0"/>
    <m/>
    <n v="0"/>
    <n v="0"/>
    <n v="0"/>
    <n v="0"/>
    <n v="0"/>
    <n v="436.88762648950836"/>
    <n v="0"/>
    <n v="7.48"/>
    <n v="82.11"/>
    <n v="5648.88"/>
    <n v="114"/>
    <m/>
    <m/>
    <m/>
    <m/>
    <m/>
    <m/>
    <m/>
    <n v="8298.6146999999983"/>
    <m/>
    <n v="8761.4264239937547"/>
    <m/>
    <m/>
    <m/>
    <m/>
    <m/>
    <m/>
    <m/>
    <m/>
    <m/>
    <m/>
    <m/>
    <m/>
    <n v="12446.7003"/>
    <n v="-886.53179999999884"/>
    <m/>
    <m/>
    <m/>
    <m/>
    <n v="-2531.9547000000016"/>
    <n v="1055.1033000000002"/>
    <n v="31"/>
    <n v="1382.2617845713285"/>
    <n v="26.459500972459921"/>
    <n v="123.37674954473869"/>
    <n v="0"/>
    <n v="0"/>
    <n v="0"/>
    <n v="0"/>
    <n v="0"/>
    <n v="123.74377104146122"/>
    <n v="0"/>
    <n v="0"/>
    <n v="1054.9841727359599"/>
    <n v="0"/>
    <n v="0"/>
    <n v="0"/>
    <n v="55.367575600561565"/>
    <n v="0"/>
    <n v="0"/>
    <m/>
    <n v="0"/>
    <n v="0"/>
    <n v="0"/>
    <n v="0"/>
    <n v="0"/>
    <n v="-1.6699853238545899"/>
    <n v="0"/>
    <n v="0"/>
    <m/>
    <m/>
    <m/>
    <n v="11510.698360138998"/>
    <n v="0"/>
    <n v="0"/>
    <n v="-2531.954700000002"/>
    <n v="1055.1033000000007"/>
    <n v="0"/>
    <n v="0"/>
    <n v="-2859.452723640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3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52.515000000000001"/>
    <n v="52.515000000000001"/>
    <n v="52.515000000000001"/>
    <n v="52.515000000000001"/>
    <m/>
    <n v="281.47000000000003"/>
    <n v="173.25"/>
    <m/>
    <n v="23879.620800000001"/>
    <n v="23879.620800000001"/>
    <n v="22292.6175"/>
    <n v="0"/>
    <n v="0"/>
    <n v="0"/>
    <n v="0"/>
    <n v="134.41410471671625"/>
    <n v="129.14181387708021"/>
    <n v="12369.231110757102"/>
    <n v="8945.4298127877119"/>
    <n v="152.67336885637377"/>
    <n v="0"/>
    <n v="0"/>
    <n v="0"/>
    <n v="0"/>
    <n v="0"/>
    <m/>
    <n v="63.430595354758239"/>
    <n v="285.33476718986282"/>
    <n v="1330.4739248344454"/>
    <n v="0"/>
    <n v="0"/>
    <n v="0"/>
    <n v="0"/>
    <n v="0"/>
    <n v="0"/>
    <n v="0"/>
    <n v="0"/>
    <n v="0"/>
    <n v="0"/>
    <m/>
    <n v="0"/>
    <n v="0"/>
    <n v="0"/>
    <n v="0"/>
    <n v="0"/>
    <n v="469.4731676917645"/>
    <n v="0"/>
    <n v="17.87"/>
    <n v="158.51"/>
    <n v="11144.4"/>
    <n v="385"/>
    <m/>
    <m/>
    <m/>
    <m/>
    <m/>
    <m/>
    <m/>
    <n v="2229.7869000000005"/>
    <m/>
    <n v="9414.9029804794773"/>
    <m/>
    <m/>
    <m/>
    <m/>
    <m/>
    <m/>
    <m/>
    <m/>
    <m/>
    <m/>
    <m/>
    <m/>
    <n v="20064.7408"/>
    <n v="-1426.5277999999998"/>
    <m/>
    <m/>
    <m/>
    <m/>
    <n v="-2720.8021500000018"/>
    <n v="1133.7988500000001"/>
    <n v="31"/>
    <n v="1485.3586580062038"/>
    <n v="28.432999663775945"/>
    <n v="132.57888279807548"/>
    <n v="0"/>
    <n v="0"/>
    <n v="0"/>
    <n v="0"/>
    <n v="0"/>
    <n v="132.97327882632158"/>
    <n v="0"/>
    <n v="0"/>
    <n v="1133.6708375532853"/>
    <n v="0"/>
    <n v="0"/>
    <n v="0"/>
    <n v="59.497201405023361"/>
    <n v="0"/>
    <n v="0"/>
    <m/>
    <n v="0"/>
    <n v="0"/>
    <n v="0"/>
    <n v="0"/>
    <n v="0"/>
    <n v="-1.7945422402746871"/>
    <n v="0"/>
    <n v="0"/>
    <m/>
    <m/>
    <m/>
    <n v="12369.231110757102"/>
    <n v="0"/>
    <n v="0"/>
    <n v="-2720.8021500000013"/>
    <n v="1133.798850000001"/>
    <n v="0"/>
    <n v="0"/>
    <n v="-3072.7268218127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24.931000000000001"/>
    <n v="24.931000000000001"/>
    <n v="24.931000000000001"/>
    <n v="24.931000000000001"/>
    <m/>
    <n v="281.47000000000003"/>
    <n v="173.25"/>
    <m/>
    <n v="11336.624320000001"/>
    <n v="11336.624320000001"/>
    <n v="10583.209500000001"/>
    <n v="0"/>
    <n v="0"/>
    <n v="0"/>
    <n v="0"/>
    <n v="63.811826043843723"/>
    <n v="61.308855789193309"/>
    <n v="5872.1755845431844"/>
    <n v="4246.7582721624385"/>
    <n v="72.480239149923918"/>
    <n v="0"/>
    <n v="0"/>
    <n v="0"/>
    <n v="0"/>
    <n v="0"/>
    <m/>
    <n v="30.113075745776971"/>
    <n v="135.45998440084679"/>
    <n v="631.6299232609266"/>
    <n v="0"/>
    <n v="0"/>
    <n v="0"/>
    <n v="0"/>
    <n v="0"/>
    <n v="0"/>
    <n v="0"/>
    <n v="0"/>
    <n v="0"/>
    <n v="0"/>
    <m/>
    <n v="0"/>
    <n v="0"/>
    <n v="0"/>
    <n v="0"/>
    <n v="0"/>
    <n v="222.87794998997202"/>
    <n v="0"/>
    <n v="13.27"/>
    <n v="108.15"/>
    <n v="7738.25"/>
    <n v="241"/>
    <m/>
    <m/>
    <m/>
    <m/>
    <m/>
    <m/>
    <m/>
    <m/>
    <m/>
    <n v="4469.6362221524105"/>
    <m/>
    <m/>
    <m/>
    <m/>
    <m/>
    <m/>
    <m/>
    <m/>
    <m/>
    <m/>
    <m/>
    <m/>
    <n v="10582.785"/>
    <n v="-753.86932000000161"/>
    <m/>
    <m/>
    <m/>
    <m/>
    <n v="-1291.6751100000008"/>
    <n v="538.26029000000005"/>
    <n v="31"/>
    <n v="705.15998672289334"/>
    <n v="13.498297907599721"/>
    <n v="62.940571780230698"/>
    <n v="0"/>
    <n v="0"/>
    <n v="0"/>
    <n v="0"/>
    <n v="0"/>
    <n v="63.12780756772397"/>
    <n v="0"/>
    <n v="0"/>
    <n v="538.19951730059893"/>
    <n v="0"/>
    <n v="0"/>
    <n v="0"/>
    <n v="28.245734137458612"/>
    <n v="0"/>
    <n v="0"/>
    <m/>
    <n v="0"/>
    <n v="0"/>
    <n v="0"/>
    <n v="0"/>
    <n v="0"/>
    <n v="-0.85194197071861666"/>
    <n v="0"/>
    <n v="0"/>
    <m/>
    <m/>
    <m/>
    <n v="5872.1755845431844"/>
    <n v="0"/>
    <n v="0"/>
    <n v="-1291.6751100000001"/>
    <n v="538.26029000000017"/>
    <n v="0"/>
    <n v="0"/>
    <n v="-1458.7480223671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5"/>
    <s v="Regular"/>
    <s v="Branca"/>
    <s v="B1"/>
    <s v="Residencial"/>
    <s v="Residencial"/>
    <s v="Não se aplica"/>
    <s v="Não se aplica"/>
    <s v="Ponta"/>
    <s v="CATIVO"/>
    <x v="1"/>
    <n v="0"/>
    <n v="0"/>
    <n v="0.61399999999999999"/>
    <n v="0.61399999999999999"/>
    <n v="0.61399999999999999"/>
    <n v="0.61399999999999999"/>
    <m/>
    <n v="775.22"/>
    <n v="173.25"/>
    <m/>
    <n v="582.36058000000003"/>
    <n v="582.36058000000003"/>
    <n v="513.61099999999999"/>
    <n v="0"/>
    <n v="37.788742484413426"/>
    <n v="0"/>
    <n v="0"/>
    <n v="3.9286113750078178"/>
    <n v="3.774532251334477"/>
    <n v="361.54939127087619"/>
    <n v="104.58904893938218"/>
    <n v="1.7850413877523277"/>
    <n v="0"/>
    <n v="0"/>
    <n v="0"/>
    <n v="0"/>
    <n v="5.8385445902778015"/>
    <m/>
    <n v="0.74162402261870997"/>
    <n v="8.3397894957887004"/>
    <n v="38.88691890214745"/>
    <n v="0"/>
    <n v="0"/>
    <n v="0"/>
    <n v="0"/>
    <n v="0"/>
    <n v="0"/>
    <n v="0"/>
    <n v="0"/>
    <n v="0"/>
    <n v="0"/>
    <m/>
    <n v="0"/>
    <n v="0"/>
    <n v="0"/>
    <n v="0"/>
    <n v="0"/>
    <n v="5.4890321805720923"/>
    <n v="0"/>
    <n v="0"/>
    <n v="0"/>
    <n v="0"/>
    <n v="0"/>
    <m/>
    <m/>
    <m/>
    <m/>
    <m/>
    <m/>
    <m/>
    <m/>
    <m/>
    <n v="110.07808111995428"/>
    <m/>
    <m/>
    <m/>
    <m/>
    <m/>
    <m/>
    <m/>
    <m/>
    <m/>
    <m/>
    <m/>
    <m/>
    <n v="510.26499999999999"/>
    <n v="-72.125580000000014"/>
    <m/>
    <m/>
    <m/>
    <m/>
    <n v="-82.005840000000035"/>
    <n v="13.256260000000001"/>
    <n v="31"/>
    <n v="21.06233016372255"/>
    <n v="0.83104219743376717"/>
    <n v="3.8749983500409897"/>
    <n v="0"/>
    <n v="0"/>
    <n v="0"/>
    <n v="0"/>
    <n v="0"/>
    <n v="3.8865175765098949"/>
    <n v="0"/>
    <n v="0"/>
    <n v="13.25476329158748"/>
    <n v="0"/>
    <n v="0"/>
    <n v="0"/>
    <n v="0.69563518352250497"/>
    <n v="0"/>
    <n v="-1.2831861157748818"/>
    <m/>
    <n v="0"/>
    <n v="0"/>
    <n v="0"/>
    <n v="0"/>
    <n v="-0.1764587155692503"/>
    <n v="-2.0981604027966338E-2"/>
    <n v="0"/>
    <n v="0"/>
    <m/>
    <m/>
    <m/>
    <n v="361.54939127087619"/>
    <n v="0"/>
    <n v="0"/>
    <n v="-82.005840000000035"/>
    <n v="13.256259999999997"/>
    <n v="0"/>
    <n v="0"/>
    <n v="-89.815001597142611"/>
    <n v="0"/>
    <n v="0"/>
    <n v="0"/>
    <n v="0"/>
    <n v="0"/>
    <n v="0"/>
    <n v="0"/>
    <n v="0"/>
    <n v="0"/>
    <n v="0"/>
    <n v="0"/>
    <n v="0"/>
    <n v="9.65057086556582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"/>
    <s v="Regular"/>
    <s v="Branca"/>
    <s v="B1"/>
    <s v="Residencial"/>
    <s v="Residencial"/>
    <s v="Não se aplica"/>
    <s v="Não se aplica"/>
    <s v="Fora ponta"/>
    <s v="CATIVO"/>
    <x v="1"/>
    <n v="0"/>
    <n v="0"/>
    <n v="4.2640000000000002"/>
    <n v="4.2640000000000002"/>
    <n v="4.2640000000000002"/>
    <n v="4.2640000000000002"/>
    <m/>
    <n v="232.58"/>
    <n v="173.25"/>
    <m/>
    <n v="1730.4591200000002"/>
    <n v="1730.4591200000002"/>
    <n v="1704.2781600000001"/>
    <n v="0"/>
    <n v="262.42866116211542"/>
    <n v="0"/>
    <n v="0"/>
    <n v="5.4569336619259081"/>
    <n v="5.2428895969900982"/>
    <n v="502.16510955220684"/>
    <n v="726.33176657577462"/>
    <n v="12.396443774227892"/>
    <n v="0"/>
    <n v="0"/>
    <n v="0"/>
    <n v="0"/>
    <n v="40.546505102515553"/>
    <m/>
    <n v="5.1503010300426384"/>
    <n v="11.584468238664813"/>
    <n v="54.014479819995003"/>
    <n v="0"/>
    <n v="0"/>
    <n v="0"/>
    <n v="0"/>
    <n v="0"/>
    <n v="0"/>
    <n v="0"/>
    <n v="0"/>
    <n v="0"/>
    <n v="0"/>
    <m/>
    <n v="0"/>
    <n v="0"/>
    <n v="0"/>
    <n v="0"/>
    <n v="0"/>
    <n v="38.119272341953426"/>
    <n v="0"/>
    <n v="0"/>
    <n v="0"/>
    <n v="0"/>
    <n v="0"/>
    <m/>
    <m/>
    <m/>
    <m/>
    <m/>
    <m/>
    <m/>
    <m/>
    <m/>
    <n v="764.45103891772806"/>
    <m/>
    <m/>
    <m/>
    <m/>
    <m/>
    <m/>
    <m/>
    <m/>
    <m/>
    <m/>
    <m/>
    <m/>
    <n v="1702.6794"/>
    <n v="-27.809720000000198"/>
    <m/>
    <m/>
    <m/>
    <m/>
    <n v="-118.24072000000008"/>
    <n v="92.059760000000026"/>
    <n v="31"/>
    <n v="98.533129810141872"/>
    <n v="1.1543674988467405"/>
    <n v="5.382427461211023"/>
    <n v="0"/>
    <n v="0"/>
    <n v="0"/>
    <n v="0"/>
    <n v="0"/>
    <n v="5.3984391213504264"/>
    <n v="0"/>
    <n v="0"/>
    <n v="92.049365920731361"/>
    <n v="0"/>
    <n v="0"/>
    <n v="0"/>
    <n v="4.8309257696090526"/>
    <n v="0"/>
    <n v="-8.9112469017330795"/>
    <m/>
    <n v="0"/>
    <n v="0"/>
    <n v="0"/>
    <n v="0"/>
    <n v="-1.2254396794581197"/>
    <n v="-0.14570938041571502"/>
    <n v="0"/>
    <n v="0"/>
    <m/>
    <m/>
    <m/>
    <n v="502.16510955220684"/>
    <n v="0"/>
    <n v="0"/>
    <n v="-118.24072000000012"/>
    <n v="92.059759999999983"/>
    <n v="0"/>
    <n v="0"/>
    <n v="-124.74633122164533"/>
    <n v="0"/>
    <n v="0"/>
    <n v="0"/>
    <n v="0"/>
    <n v="0"/>
    <n v="0"/>
    <n v="0"/>
    <n v="0"/>
    <n v="0"/>
    <n v="0"/>
    <n v="0"/>
    <n v="0"/>
    <n v="67.0195996266655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5"/>
    <n v="17.510000000000002"/>
    <n v="1249.3900000000001"/>
    <n v="1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8"/>
    <s v="Regular"/>
    <s v="Branca"/>
    <s v="B1"/>
    <s v="Residencial"/>
    <s v="Residencial"/>
    <s v="Não se aplica"/>
    <s v="Não se aplica"/>
    <s v="Intermediário"/>
    <s v="CATIVO"/>
    <x v="1"/>
    <n v="0"/>
    <n v="0"/>
    <n v="0.39900000000000002"/>
    <n v="0.39900000000000002"/>
    <n v="0.39900000000000002"/>
    <n v="0.39900000000000002"/>
    <m/>
    <n v="503.9"/>
    <n v="173.25"/>
    <m/>
    <n v="270.18285000000003"/>
    <n v="270.18285000000003"/>
    <n v="246.61791000000002"/>
    <n v="0"/>
    <n v="24.556528096548792"/>
    <n v="0"/>
    <n v="0"/>
    <n v="1.5317021461814766"/>
    <n v="1.4716365751834273"/>
    <n v="140.96887187985371"/>
    <n v="67.965847763539884"/>
    <n v="1.1599861786859589"/>
    <n v="0"/>
    <n v="0"/>
    <n v="0"/>
    <n v="0"/>
    <n v="3.7941030806528389"/>
    <m/>
    <n v="0.48193482903072526"/>
    <n v="3.251580076807278"/>
    <n v="15.161450287132844"/>
    <n v="0"/>
    <n v="0"/>
    <n v="0"/>
    <n v="0"/>
    <n v="0"/>
    <n v="0"/>
    <n v="0"/>
    <n v="0"/>
    <n v="0"/>
    <n v="0"/>
    <m/>
    <n v="0"/>
    <n v="0"/>
    <n v="0"/>
    <n v="0"/>
    <n v="0"/>
    <n v="3.5669769381893563"/>
    <n v="0"/>
    <n v="0"/>
    <n v="0"/>
    <n v="0"/>
    <n v="0"/>
    <m/>
    <m/>
    <m/>
    <m/>
    <m/>
    <m/>
    <m/>
    <m/>
    <m/>
    <n v="71.53282470172924"/>
    <m/>
    <m/>
    <m/>
    <m/>
    <m/>
    <m/>
    <m/>
    <m/>
    <m/>
    <m/>
    <m/>
    <m/>
    <n v="247.23600000000002"/>
    <n v="-22.976849999999985"/>
    <m/>
    <m/>
    <m/>
    <m/>
    <n v="-32.179349999999992"/>
    <n v="8.6144100000000012"/>
    <n v="31"/>
    <n v="11.453438102025956"/>
    <n v="0.3240130045879881"/>
    <n v="1.5108061143826816"/>
    <n v="0"/>
    <n v="0"/>
    <n v="0"/>
    <n v="0"/>
    <n v="0"/>
    <n v="1.5152980647239418"/>
    <n v="0"/>
    <n v="0"/>
    <n v="8.6134373832954623"/>
    <n v="0"/>
    <n v="0"/>
    <n v="0"/>
    <n v="0.45204957365713261"/>
    <n v="0"/>
    <n v="-0.83386198728693728"/>
    <m/>
    <n v="0"/>
    <n v="0"/>
    <n v="0"/>
    <n v="0"/>
    <n v="-0.11466942591552298"/>
    <n v="-1.3634625418825097E-2"/>
    <n v="0"/>
    <n v="0"/>
    <m/>
    <m/>
    <m/>
    <n v="140.96887187985371"/>
    <n v="0"/>
    <n v="0"/>
    <n v="-32.179349999999999"/>
    <n v="8.6144100000000066"/>
    <n v="0"/>
    <n v="0"/>
    <n v="-35.019058968766572"/>
    <n v="0"/>
    <n v="0"/>
    <n v="0"/>
    <n v="0"/>
    <n v="0"/>
    <n v="0"/>
    <n v="0"/>
    <n v="0"/>
    <n v="0"/>
    <n v="0"/>
    <n v="0"/>
    <n v="0"/>
    <n v="6.2712993084051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"/>
    <s v="Regular"/>
    <s v="Convencional"/>
    <s v="B3"/>
    <s v="Industrial"/>
    <s v="Não se aplica"/>
    <s v="Não se aplica"/>
    <s v="Não se aplica"/>
    <s v="Não se aplica"/>
    <s v="CATIVO"/>
    <x v="1"/>
    <n v="0"/>
    <n v="0"/>
    <n v="592.10699999999997"/>
    <n v="592.10699999999997"/>
    <n v="592.10699999999997"/>
    <n v="592.10699999999997"/>
    <m/>
    <n v="368.24"/>
    <n v="173.25"/>
    <m/>
    <n v="320620.01942999999"/>
    <n v="320620.01942999999"/>
    <n v="301317.33123000001"/>
    <n v="0"/>
    <n v="36441.333788629607"/>
    <n v="0"/>
    <n v="0"/>
    <n v="1515.5199905074876"/>
    <n v="1456.0748736421274"/>
    <n v="139463.16910020099"/>
    <n v="100859.78501685792"/>
    <n v="1721.3933240681879"/>
    <n v="0"/>
    <n v="0"/>
    <n v="0"/>
    <n v="0"/>
    <n v="5630.3633904163162"/>
    <m/>
    <n v="715.18041557116692"/>
    <n v="3217.1515375890331"/>
    <n v="15001.103003179071"/>
    <n v="0"/>
    <n v="0"/>
    <n v="0"/>
    <n v="0"/>
    <n v="0"/>
    <n v="0"/>
    <n v="0"/>
    <n v="0"/>
    <n v="0"/>
    <n v="0"/>
    <m/>
    <n v="0"/>
    <n v="0"/>
    <n v="0"/>
    <n v="0"/>
    <n v="0"/>
    <n v="5293.3133181465791"/>
    <n v="0"/>
    <n v="246.04"/>
    <n v="2122.11"/>
    <n v="75230.710000000006"/>
    <n v="330"/>
    <m/>
    <m/>
    <m/>
    <m/>
    <m/>
    <m/>
    <m/>
    <m/>
    <m/>
    <n v="106153.0983350045"/>
    <m/>
    <m/>
    <m/>
    <m/>
    <m/>
    <m/>
    <m/>
    <m/>
    <m/>
    <m/>
    <m/>
    <m/>
    <n v="301318.8579"/>
    <n v="-19301.191530000011"/>
    <m/>
    <m/>
    <m/>
    <m/>
    <n v="-32086.278329999997"/>
    <n v="12783.59013"/>
    <n v="31"/>
    <n v="15339.830253947177"/>
    <n v="320.58227424391907"/>
    <n v="1494.8278502698286"/>
    <n v="0"/>
    <n v="0"/>
    <n v="0"/>
    <n v="0"/>
    <n v="0"/>
    <n v="1499.2746683046139"/>
    <n v="0"/>
    <n v="0"/>
    <n v="12782.146788749174"/>
    <n v="0"/>
    <n v="0"/>
    <n v="0"/>
    <n v="670.83137070026078"/>
    <n v="0"/>
    <n v="-1237.4323802168074"/>
    <m/>
    <n v="0"/>
    <n v="0"/>
    <n v="0"/>
    <n v="0"/>
    <n v="-170.16684153023198"/>
    <n v="-20.233476573594658"/>
    <n v="0"/>
    <n v="0"/>
    <m/>
    <m/>
    <m/>
    <n v="139463.16910020099"/>
    <n v="0"/>
    <n v="0"/>
    <n v="-32086.278330000001"/>
    <n v="12783.590130000011"/>
    <n v="0"/>
    <n v="0"/>
    <n v="-34645.016857718118"/>
    <n v="0"/>
    <n v="0"/>
    <n v="0"/>
    <n v="0"/>
    <n v="0"/>
    <n v="0"/>
    <n v="0"/>
    <n v="0"/>
    <n v="0"/>
    <n v="0"/>
    <n v="0"/>
    <n v="0"/>
    <n v="9306.46671579410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60.256999999999998"/>
    <n v="60.256999999999998"/>
    <n v="60.256999999999998"/>
    <n v="60.256999999999998"/>
    <m/>
    <n v="368.24"/>
    <n v="173.25"/>
    <m/>
    <n v="32628.56293"/>
    <n v="32628.56293"/>
    <n v="30664.184730000001"/>
    <n v="0"/>
    <n v="3708.528104044462"/>
    <n v="0"/>
    <n v="0"/>
    <n v="154.23004299562356"/>
    <n v="148.18048707590634"/>
    <n v="14192.759383812067"/>
    <n v="10264.205736059204"/>
    <n v="175.1811708498241"/>
    <n v="0"/>
    <n v="0"/>
    <n v="0"/>
    <n v="0"/>
    <n v="572.98563742079716"/>
    <m/>
    <n v="72.781822037354416"/>
    <n v="327.40011552050959"/>
    <n v="1526.6184383271288"/>
    <n v="0"/>
    <n v="0"/>
    <n v="0"/>
    <n v="0"/>
    <n v="0"/>
    <n v="0"/>
    <n v="0"/>
    <n v="0"/>
    <n v="0"/>
    <n v="0"/>
    <m/>
    <n v="0"/>
    <n v="0"/>
    <n v="0"/>
    <n v="0"/>
    <n v="0"/>
    <n v="538.68503600119311"/>
    <n v="0"/>
    <n v="25.68"/>
    <n v="221.29"/>
    <n v="11711.26"/>
    <n v="40"/>
    <m/>
    <m/>
    <m/>
    <m/>
    <m/>
    <m/>
    <m/>
    <m/>
    <m/>
    <n v="10802.890772060397"/>
    <m/>
    <m/>
    <m/>
    <m/>
    <m/>
    <m/>
    <m/>
    <m/>
    <m/>
    <m/>
    <m/>
    <m/>
    <n v="30665.7114"/>
    <n v="-1962.8815299999951"/>
    <m/>
    <m/>
    <m/>
    <m/>
    <n v="-3265.32683"/>
    <n v="1300.9486300000001"/>
    <n v="31"/>
    <n v="1561.0897213039061"/>
    <n v="32.624721712656367"/>
    <n v="152.12426431997778"/>
    <n v="0"/>
    <n v="0"/>
    <n v="0"/>
    <n v="0"/>
    <n v="0"/>
    <n v="152.57680400338302"/>
    <n v="0"/>
    <n v="0"/>
    <n v="1300.801745376526"/>
    <n v="0"/>
    <n v="0"/>
    <n v="0"/>
    <n v="68.26854927282659"/>
    <n v="0"/>
    <n v="-125.92987911766613"/>
    <m/>
    <n v="0"/>
    <n v="0"/>
    <n v="0"/>
    <n v="0"/>
    <n v="-17.317382449603087"/>
    <n v="-2.0591018141908393"/>
    <n v="0"/>
    <n v="0"/>
    <m/>
    <m/>
    <m/>
    <n v="14192.759383812067"/>
    <n v="0"/>
    <n v="0"/>
    <n v="-3265.3268300000018"/>
    <n v="1300.9486300000008"/>
    <n v="0"/>
    <n v="0"/>
    <n v="-3525.7221765584945"/>
    <n v="0"/>
    <n v="0"/>
    <n v="0"/>
    <n v="0"/>
    <n v="0"/>
    <n v="0"/>
    <n v="0"/>
    <n v="0"/>
    <n v="0"/>
    <n v="0"/>
    <n v="0"/>
    <n v="0"/>
    <n v="947.09193590618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1"/>
    <s v="Regular"/>
    <s v="Azul"/>
    <s v="A4"/>
    <s v="Industrial"/>
    <s v="Não se aplica"/>
    <s v="Não se aplica"/>
    <s v="Não se aplica"/>
    <s v="Ponta"/>
    <s v="CATIVO"/>
    <x v="1"/>
    <n v="15403"/>
    <n v="15403"/>
    <n v="749.04"/>
    <n v="749.04"/>
    <n v="749.04"/>
    <n v="749.04"/>
    <n v="52.95"/>
    <n v="85.01"/>
    <n v="173.25"/>
    <n v="815588.85000000009"/>
    <n v="193447.0704"/>
    <n v="1009035.9204000002"/>
    <n v="890317.72679999995"/>
    <n v="0"/>
    <n v="40106.829500581036"/>
    <n v="0"/>
    <n v="0"/>
    <n v="12132.423302000036"/>
    <n v="11656.247250992488"/>
    <n v="645904.99657089578"/>
    <n v="127591.82608722284"/>
    <n v="2177.6342037166178"/>
    <n v="0"/>
    <n v="0"/>
    <n v="0"/>
    <n v="0"/>
    <n v="7122.644038927825"/>
    <m/>
    <n v="599.84158922711242"/>
    <n v="25754.599745370306"/>
    <n v="120088.3329656053"/>
    <n v="0"/>
    <n v="0"/>
    <n v="0"/>
    <n v="0"/>
    <n v="0"/>
    <n v="0"/>
    <n v="0"/>
    <n v="0"/>
    <n v="0"/>
    <n v="0"/>
    <m/>
    <n v="0"/>
    <n v="0"/>
    <n v="0"/>
    <n v="0"/>
    <n v="0"/>
    <n v="5601.8129269341543"/>
    <n v="0"/>
    <n v="0"/>
    <n v="0"/>
    <n v="0"/>
    <n v="0"/>
    <m/>
    <m/>
    <m/>
    <m/>
    <m/>
    <m/>
    <m/>
    <m/>
    <m/>
    <n v="133193.639014157"/>
    <m/>
    <m/>
    <m/>
    <m/>
    <m/>
    <m/>
    <m/>
    <m/>
    <m/>
    <m/>
    <m/>
    <m/>
    <n v="890317.72679999995"/>
    <n v="-118718.22360000026"/>
    <m/>
    <m/>
    <m/>
    <m/>
    <n v="-134889.96720000004"/>
    <n v="16171.773600000002"/>
    <n v="31"/>
    <n v="41820.745315699431"/>
    <n v="2566.3908156469006"/>
    <n v="11966.545698100919"/>
    <n v="0"/>
    <n v="0"/>
    <n v="0"/>
    <n v="0"/>
    <n v="0"/>
    <n v="12002.072521995557"/>
    <n v="0"/>
    <n v="0"/>
    <n v="16169.947713242174"/>
    <n v="0"/>
    <n v="0"/>
    <n v="0"/>
    <n v="709.92809575408592"/>
    <n v="0"/>
    <n v="-1361.9010154710049"/>
    <m/>
    <n v="0"/>
    <n v="0"/>
    <n v="0"/>
    <n v="0"/>
    <n v="-215.26813731268976"/>
    <n v="-16.970376256461122"/>
    <n v="0"/>
    <n v="0"/>
    <m/>
    <m/>
    <n v="645904.99657089578"/>
    <n v="0"/>
    <n v="0"/>
    <n v="0"/>
    <n v="-134889.96720000019"/>
    <n v="16171.773600000015"/>
    <n v="0"/>
    <n v="0"/>
    <n v="-160453.75735442451"/>
    <n v="0"/>
    <n v="0"/>
    <n v="0"/>
    <n v="0"/>
    <n v="0"/>
    <n v="0"/>
    <n v="0"/>
    <n v="0"/>
    <n v="0"/>
    <n v="0"/>
    <n v="0"/>
    <n v="0"/>
    <n v="10242.5689462455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2"/>
    <s v="Regular"/>
    <s v="Azul"/>
    <s v="A4"/>
    <s v="Industrial"/>
    <s v="Não se aplica"/>
    <s v="Não se aplica"/>
    <s v="Não se aplica"/>
    <s v="Fora ponta"/>
    <s v="CATIVO"/>
    <x v="1"/>
    <n v="16504"/>
    <n v="16504"/>
    <n v="6854.7430000000004"/>
    <n v="6854.7430000000004"/>
    <n v="6854.7430000000004"/>
    <n v="6854.7430000000004"/>
    <n v="27.19"/>
    <n v="85.01"/>
    <n v="173.25"/>
    <n v="448743.76"/>
    <n v="1770305.9271800001"/>
    <n v="2219049.6871800004"/>
    <n v="2269338.2718100003"/>
    <n v="0"/>
    <n v="367032.47993605334"/>
    <n v="0"/>
    <n v="0"/>
    <n v="3848.7429240085166"/>
    <n v="3697.4709889694777"/>
    <n v="394974.22713310434"/>
    <n v="1167640.1483613802"/>
    <n v="19928.338692842921"/>
    <n v="0"/>
    <n v="0"/>
    <n v="0"/>
    <n v="0"/>
    <n v="65181.958730284416"/>
    <m/>
    <n v="5489.3729772287525"/>
    <n v="8167.5792523170176"/>
    <n v="38092.698265061634"/>
    <n v="0"/>
    <n v="0"/>
    <n v="0"/>
    <n v="0"/>
    <n v="0"/>
    <n v="0"/>
    <n v="0"/>
    <n v="0"/>
    <n v="0"/>
    <n v="0"/>
    <m/>
    <n v="0"/>
    <n v="0"/>
    <n v="0"/>
    <n v="0"/>
    <n v="0"/>
    <n v="51264.268861758268"/>
    <n v="0"/>
    <n v="0"/>
    <n v="0"/>
    <n v="0"/>
    <n v="0"/>
    <m/>
    <m/>
    <m/>
    <m/>
    <m/>
    <m/>
    <m/>
    <m/>
    <m/>
    <n v="1218904.4172231385"/>
    <m/>
    <m/>
    <m/>
    <m/>
    <m/>
    <m/>
    <m/>
    <m/>
    <m/>
    <m/>
    <m/>
    <m/>
    <n v="2269337.4358000001"/>
    <n v="50287.718620000407"/>
    <m/>
    <m/>
    <m/>
    <m/>
    <n v="-97705.316740000053"/>
    <n v="147993.90137000004"/>
    <n v="31"/>
    <n v="148302.35284161475"/>
    <n v="813.88181476134832"/>
    <n v="3795.8559611564197"/>
    <n v="0"/>
    <n v="0"/>
    <n v="0"/>
    <n v="0"/>
    <n v="0"/>
    <n v="3807.1700095249635"/>
    <n v="0"/>
    <n v="0"/>
    <n v="147977.19200271391"/>
    <n v="0"/>
    <n v="0"/>
    <n v="0"/>
    <n v="6496.8154502745456"/>
    <n v="0"/>
    <n v="-12463.261578143691"/>
    <m/>
    <n v="0"/>
    <n v="0"/>
    <n v="0"/>
    <n v="0"/>
    <n v="-1969.99860804122"/>
    <n v="-155.30221063139925"/>
    <n v="0"/>
    <n v="0"/>
    <m/>
    <m/>
    <n v="394974.22713310434"/>
    <n v="0"/>
    <n v="0"/>
    <n v="0"/>
    <n v="-97705.316740000038"/>
    <n v="147993.90137000009"/>
    <n v="0"/>
    <n v="0"/>
    <n v="-98118.297796308121"/>
    <n v="0"/>
    <n v="0"/>
    <n v="0"/>
    <n v="0"/>
    <n v="0"/>
    <n v="0"/>
    <n v="0"/>
    <n v="0"/>
    <n v="0"/>
    <n v="0"/>
    <n v="0"/>
    <n v="0"/>
    <n v="93733.54932486161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3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735.28"/>
    <n v="23445.52"/>
    <n v="813037.02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84"/>
    <s v="Regular"/>
    <s v="Verde"/>
    <s v="A4"/>
    <s v="Industrial"/>
    <s v="Não se aplica"/>
    <s v="Não se aplica"/>
    <s v="Não se aplica"/>
    <s v="Ponta"/>
    <s v="CATIVO"/>
    <x v="1"/>
    <n v="0"/>
    <n v="0"/>
    <n v="216.28700000000001"/>
    <n v="216.28700000000001"/>
    <n v="216.28700000000001"/>
    <n v="216.28700000000001"/>
    <m/>
    <n v="1358.36"/>
    <n v="173.25"/>
    <m/>
    <n v="331267.33207"/>
    <n v="331267.33207"/>
    <n v="290456.13803999999"/>
    <n v="0"/>
    <n v="11580.938043618728"/>
    <n v="0"/>
    <n v="0"/>
    <n v="4096.9274598283564"/>
    <n v="3936.2407444529154"/>
    <n v="218127.10854359946"/>
    <n v="36842.429361485592"/>
    <n v="628.79681862017537"/>
    <n v="0"/>
    <n v="0"/>
    <n v="0"/>
    <n v="0"/>
    <n v="2056.6796315918809"/>
    <m/>
    <n v="173.2056202728352"/>
    <n v="8697.0780997417442"/>
    <n v="40552.969235600503"/>
    <n v="0"/>
    <n v="0"/>
    <n v="0"/>
    <n v="0"/>
    <n v="0"/>
    <n v="0"/>
    <n v="0"/>
    <n v="0"/>
    <n v="0"/>
    <n v="0"/>
    <m/>
    <n v="0"/>
    <n v="0"/>
    <n v="0"/>
    <n v="0"/>
    <n v="0"/>
    <n v="1617.5361963684284"/>
    <n v="0"/>
    <n v="0"/>
    <n v="0"/>
    <n v="0"/>
    <n v="0"/>
    <m/>
    <m/>
    <m/>
    <m/>
    <m/>
    <m/>
    <m/>
    <m/>
    <m/>
    <n v="38459.965557854019"/>
    <m/>
    <m/>
    <m/>
    <m/>
    <m/>
    <m/>
    <m/>
    <m/>
    <m/>
    <m/>
    <m/>
    <m/>
    <n v="290460.16680000001"/>
    <n v="-40807.195270000026"/>
    <m/>
    <m/>
    <m/>
    <m/>
    <n v="-45480.830359999993"/>
    <n v="4669.6363300000012"/>
    <n v="31"/>
    <n v="13374.476735136064"/>
    <n v="866.64524313380571"/>
    <n v="4041.0167046826391"/>
    <n v="0"/>
    <n v="0"/>
    <n v="0"/>
    <n v="0"/>
    <n v="0"/>
    <n v="4053.0237444075392"/>
    <n v="0"/>
    <n v="0"/>
    <n v="4669.1091010546952"/>
    <n v="0"/>
    <n v="0"/>
    <n v="0"/>
    <n v="204.99334888172052"/>
    <n v="0"/>
    <n v="-393.25200914928064"/>
    <m/>
    <n v="0"/>
    <n v="0"/>
    <n v="0"/>
    <n v="0"/>
    <n v="-62.159163215515491"/>
    <n v="-4.9002346595391657"/>
    <n v="0"/>
    <n v="0"/>
    <m/>
    <m/>
    <m/>
    <n v="218127.10854359946"/>
    <n v="0"/>
    <n v="0"/>
    <n v="-45480.830359999993"/>
    <n v="4669.6363300000012"/>
    <n v="0"/>
    <n v="0"/>
    <n v="-54186.473757732805"/>
    <n v="0"/>
    <n v="0"/>
    <n v="0"/>
    <n v="0"/>
    <n v="0"/>
    <n v="0"/>
    <n v="0"/>
    <n v="0"/>
    <n v="0"/>
    <n v="0"/>
    <n v="0"/>
    <n v="0"/>
    <n v="2957.56502947321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5"/>
    <s v="Sistema de Compensação"/>
    <s v="Verde"/>
    <s v="A4"/>
    <s v="Industrial"/>
    <s v="Não se aplica"/>
    <s v="Não se aplica"/>
    <s v="Não se aplica"/>
    <s v="Ponta"/>
    <s v="CATIVO"/>
    <x v="1"/>
    <n v="0"/>
    <n v="0"/>
    <n v="0.33400000000000002"/>
    <n v="0.33400000000000002"/>
    <n v="0.33400000000000002"/>
    <n v="0.33400000000000002"/>
    <m/>
    <n v="1358.36"/>
    <n v="173.25"/>
    <m/>
    <n v="511.55773999999997"/>
    <n v="511.55773999999997"/>
    <n v="448.53527999999994"/>
    <n v="0"/>
    <n v="17.883799334073036"/>
    <n v="0"/>
    <n v="0"/>
    <n v="6.3266575040694581"/>
    <n v="6.0785179351846104"/>
    <n v="336.84157741132026"/>
    <n v="56.893717175494544"/>
    <n v="0.97101599920077764"/>
    <n v="0"/>
    <n v="0"/>
    <n v="0"/>
    <n v="0"/>
    <n v="3.1760161126266873"/>
    <m/>
    <n v="0.26747181832993644"/>
    <n v="13.43041461259226"/>
    <n v="62.623697793628686"/>
    <n v="0"/>
    <n v="0"/>
    <n v="0"/>
    <n v="0"/>
    <n v="0"/>
    <n v="0"/>
    <n v="0"/>
    <n v="0"/>
    <n v="0"/>
    <n v="0"/>
    <m/>
    <n v="0"/>
    <n v="0"/>
    <n v="0"/>
    <n v="0"/>
    <n v="0"/>
    <n v="2.4978712987237102"/>
    <n v="0"/>
    <n v="0"/>
    <n v="0"/>
    <n v="0"/>
    <n v="0"/>
    <m/>
    <m/>
    <m/>
    <m/>
    <m/>
    <m/>
    <m/>
    <m/>
    <m/>
    <n v="59.391588474218253"/>
    <m/>
    <m/>
    <m/>
    <m/>
    <m/>
    <m/>
    <m/>
    <m/>
    <m/>
    <m/>
    <m/>
    <m/>
    <n v="443.16359999999997"/>
    <n v="-68.424139999999966"/>
    <m/>
    <m/>
    <m/>
    <m/>
    <n v="-70.233519999999999"/>
    <n v="7.2110600000000016"/>
    <n v="31"/>
    <n v="20.653461509639726"/>
    <n v="1.3383121094041321"/>
    <n v="6.2403176305741894"/>
    <n v="0"/>
    <n v="0"/>
    <n v="0"/>
    <n v="0"/>
    <n v="0"/>
    <n v="6.2588594350659914"/>
    <n v="0"/>
    <n v="0"/>
    <n v="7.2102458296257623"/>
    <n v="0"/>
    <n v="0"/>
    <n v="0"/>
    <n v="0.31655984190679343"/>
    <n v="0"/>
    <n v="-0.60727723374895248"/>
    <m/>
    <n v="0"/>
    <n v="0"/>
    <n v="0"/>
    <n v="0"/>
    <n v="-9.5988942996954041E-2"/>
    <n v="-7.5671601912555286E-3"/>
    <n v="0"/>
    <n v="0"/>
    <m/>
    <m/>
    <m/>
    <n v="336.84157741132026"/>
    <n v="0"/>
    <n v="0"/>
    <n v="-70.233519999999999"/>
    <n v="7.2110599999999963"/>
    <n v="0"/>
    <n v="0"/>
    <n v="-83.677161526503028"/>
    <n v="0"/>
    <n v="0"/>
    <n v="0"/>
    <n v="0"/>
    <n v="0"/>
    <n v="0"/>
    <n v="0"/>
    <n v="0"/>
    <n v="0"/>
    <n v="0"/>
    <n v="0"/>
    <n v="0"/>
    <n v="4.567203391068604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6"/>
    <s v="Regular"/>
    <s v="Verde"/>
    <s v="A4"/>
    <s v="Industrial"/>
    <s v="Não se aplica"/>
    <s v="Não se aplica"/>
    <s v="Não se aplica"/>
    <s v="Fora ponta"/>
    <s v="CATIVO"/>
    <x v="1"/>
    <n v="0"/>
    <n v="0"/>
    <n v="3551.8620000000001"/>
    <n v="3551.8620000000001"/>
    <n v="3551.8620000000001"/>
    <n v="3551.8620000000001"/>
    <m/>
    <n v="85.01"/>
    <n v="173.25"/>
    <m/>
    <n v="917303.88011999999"/>
    <n v="917303.88011999999"/>
    <n v="989797.38354000007"/>
    <n v="0"/>
    <n v="190181.99781532731"/>
    <n v="0"/>
    <n v="0"/>
    <n v="0"/>
    <n v="0"/>
    <n v="0"/>
    <n v="605025.84453409107"/>
    <n v="10326.092302255307"/>
    <n v="0"/>
    <n v="0"/>
    <n v="0"/>
    <n v="0"/>
    <n v="33774.763298881582"/>
    <m/>
    <n v="2844.3802023862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63.156128225732"/>
    <n v="0"/>
    <n v="0"/>
    <n v="0"/>
    <n v="0"/>
    <n v="0"/>
    <m/>
    <m/>
    <m/>
    <m/>
    <m/>
    <m/>
    <m/>
    <m/>
    <m/>
    <n v="631589.0006623168"/>
    <m/>
    <m/>
    <m/>
    <m/>
    <m/>
    <m/>
    <m/>
    <m/>
    <m/>
    <m/>
    <m/>
    <m/>
    <n v="989796.82620000001"/>
    <n v="72492.916079999995"/>
    <m/>
    <m/>
    <m/>
    <m/>
    <n v="-4191.1971600000243"/>
    <n v="76684.700580000019"/>
    <n v="31"/>
    <n v="72483.212958983844"/>
    <n v="0"/>
    <n v="0"/>
    <n v="0"/>
    <n v="0"/>
    <n v="0"/>
    <n v="0"/>
    <n v="0"/>
    <n v="0"/>
    <n v="0"/>
    <n v="0"/>
    <n v="76676.042433850933"/>
    <n v="0"/>
    <n v="0"/>
    <n v="0"/>
    <n v="3366.3978239363678"/>
    <n v="0"/>
    <n v="-6457.9788323892863"/>
    <m/>
    <n v="0"/>
    <n v="0"/>
    <n v="0"/>
    <n v="0"/>
    <n v="-1020.7768833863629"/>
    <n v="-80.471583027644556"/>
    <n v="0"/>
    <n v="0"/>
    <m/>
    <m/>
    <m/>
    <n v="0"/>
    <n v="0"/>
    <n v="0"/>
    <n v="-4191.1971599999815"/>
    <n v="76684.700580000062"/>
    <n v="0"/>
    <n v="0"/>
    <n v="0"/>
    <n v="0"/>
    <n v="0"/>
    <n v="0"/>
    <n v="0"/>
    <n v="0"/>
    <n v="0"/>
    <n v="0"/>
    <n v="0"/>
    <n v="0"/>
    <n v="0"/>
    <n v="0"/>
    <n v="0"/>
    <n v="48569.09033235842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7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10.244999999999999"/>
    <n v="10.244999999999999"/>
    <n v="10.244999999999999"/>
    <n v="10.244999999999999"/>
    <m/>
    <n v="85.01"/>
    <n v="173.25"/>
    <m/>
    <n v="2645.8737000000001"/>
    <n v="2645.8737000000001"/>
    <n v="2854.9741499999996"/>
    <n v="0"/>
    <n v="548.56144963346776"/>
    <n v="0"/>
    <n v="0"/>
    <n v="0"/>
    <n v="0"/>
    <n v="0"/>
    <n v="1745.1381211465316"/>
    <n v="29.784607520395106"/>
    <n v="0"/>
    <n v="0"/>
    <n v="0"/>
    <n v="0"/>
    <n v="97.420015191198814"/>
    <m/>
    <n v="8.2043376610484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618836692887442"/>
    <n v="0"/>
    <n v="0"/>
    <n v="0"/>
    <n v="0"/>
    <n v="0"/>
    <m/>
    <m/>
    <m/>
    <m/>
    <m/>
    <m/>
    <m/>
    <m/>
    <m/>
    <n v="1821.7569578394191"/>
    <m/>
    <m/>
    <m/>
    <m/>
    <m/>
    <m/>
    <m/>
    <m/>
    <m/>
    <m/>
    <m/>
    <m/>
    <n v="2856.3675000000003"/>
    <n v="210.46379999999999"/>
    <m/>
    <m/>
    <m/>
    <m/>
    <n v="-12.089100000000069"/>
    <n v="221.18955000000003"/>
    <n v="31"/>
    <n v="209.07076816745484"/>
    <n v="0"/>
    <n v="0"/>
    <n v="0"/>
    <n v="0"/>
    <n v="0"/>
    <n v="0"/>
    <n v="0"/>
    <n v="0"/>
    <n v="0"/>
    <n v="0"/>
    <n v="221.16457642070645"/>
    <n v="0"/>
    <n v="0"/>
    <n v="0"/>
    <n v="9.7100466477098877"/>
    <n v="0"/>
    <n v="-18.627410957359302"/>
    <m/>
    <n v="0"/>
    <n v="0"/>
    <n v="0"/>
    <n v="0"/>
    <n v="-2.9443315000113444"/>
    <n v="-0.23211244359105709"/>
    <n v="0"/>
    <n v="0"/>
    <m/>
    <m/>
    <m/>
    <n v="0"/>
    <n v="0"/>
    <n v="0"/>
    <n v="-12.089100000000144"/>
    <n v="221.18954999999983"/>
    <n v="0"/>
    <n v="0"/>
    <n v="0"/>
    <n v="0"/>
    <n v="0"/>
    <n v="0"/>
    <n v="0"/>
    <n v="0"/>
    <n v="0"/>
    <n v="0"/>
    <n v="0"/>
    <n v="0"/>
    <n v="0"/>
    <n v="0"/>
    <n v="0"/>
    <n v="140.092810603286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8"/>
    <s v="Regular"/>
    <s v="Verde"/>
    <s v="A4"/>
    <s v="Industrial"/>
    <s v="Não se aplica"/>
    <s v="Não se aplica"/>
    <s v="Não se aplica"/>
    <s v="Não se aplica"/>
    <s v="CATIVO"/>
    <x v="1"/>
    <n v="19231"/>
    <n v="19231"/>
    <n v="0"/>
    <n v="0"/>
    <n v="0"/>
    <n v="0"/>
    <n v="27.19"/>
    <m/>
    <m/>
    <n v="522890.89"/>
    <m/>
    <n v="522890.89"/>
    <n v="418466.56000000006"/>
    <n v="0"/>
    <n v="0"/>
    <n v="0"/>
    <n v="0"/>
    <n v="4484.6809968254838"/>
    <n v="4308.4139959326239"/>
    <n v="460236.87360620033"/>
    <m/>
    <m/>
    <m/>
    <n v="0"/>
    <n v="0"/>
    <n v="0"/>
    <n v="0"/>
    <m/>
    <n v="0"/>
    <n v="9517.1301867007132"/>
    <n v="44386.856539953966"/>
    <n v="0"/>
    <n v="0"/>
    <m/>
    <m/>
    <n v="0"/>
    <n v="0"/>
    <n v="0"/>
    <m/>
    <m/>
    <n v="0"/>
    <m/>
    <n v="0"/>
    <n v="0"/>
    <n v="0"/>
    <n v="0"/>
    <m/>
    <n v="0"/>
    <n v="0"/>
    <n v="1457.92"/>
    <n v="12500.98"/>
    <n v="440420.98"/>
    <n v="111"/>
    <m/>
    <m/>
    <m/>
    <m/>
    <m/>
    <m/>
    <m/>
    <m/>
    <m/>
    <n v="0"/>
    <m/>
    <m/>
    <m/>
    <m/>
    <m/>
    <m/>
    <m/>
    <m/>
    <m/>
    <m/>
    <m/>
    <m/>
    <n v="418466.56000000006"/>
    <n v="-104424.35999999999"/>
    <m/>
    <m/>
    <m/>
    <m/>
    <n v="-104424.33"/>
    <n v="0"/>
    <n v="31"/>
    <n v="9807.6559392783092"/>
    <n v="948.36168078499031"/>
    <n v="4423.0553798472538"/>
    <n v="0"/>
    <n v="0"/>
    <m/>
    <m/>
    <m/>
    <n v="4436.23887864605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60236.87360620033"/>
    <m/>
    <n v="0"/>
    <n v="0"/>
    <n v="-104424.32999999996"/>
    <m/>
    <n v="0"/>
    <m/>
    <n v="-114330.6462021814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9"/>
    <s v="Sistema de Compensação"/>
    <s v="Verde"/>
    <s v="A4"/>
    <s v="Industrial"/>
    <s v="Não se aplica"/>
    <s v="Não se aplica"/>
    <s v="Não se aplica"/>
    <s v="Não se aplica"/>
    <s v="CATIVO"/>
    <x v="1"/>
    <n v="170"/>
    <n v="170"/>
    <n v="0"/>
    <n v="0"/>
    <n v="0"/>
    <n v="0"/>
    <n v="27.19"/>
    <m/>
    <m/>
    <n v="4622.3"/>
    <m/>
    <n v="4622.3"/>
    <n v="3699.2000000000003"/>
    <n v="0"/>
    <n v="0"/>
    <n v="0"/>
    <n v="0"/>
    <n v="39.64410428268588"/>
    <n v="38.085922692972083"/>
    <n v="4068.4451413371148"/>
    <m/>
    <m/>
    <m/>
    <n v="0"/>
    <n v="0"/>
    <n v="0"/>
    <n v="0"/>
    <m/>
    <n v="0"/>
    <n v="84.130421285378873"/>
    <n v="392.3751033119533"/>
    <n v="0"/>
    <n v="0"/>
    <m/>
    <m/>
    <n v="0"/>
    <n v="0"/>
    <n v="0"/>
    <m/>
    <m/>
    <n v="0"/>
    <m/>
    <n v="0"/>
    <n v="0"/>
    <n v="0"/>
    <n v="0"/>
    <m/>
    <n v="0"/>
    <n v="0"/>
    <n v="5.7"/>
    <n v="48.91"/>
    <n v="1800.67"/>
    <n v="2"/>
    <m/>
    <m/>
    <m/>
    <m/>
    <m/>
    <m/>
    <m/>
    <m/>
    <m/>
    <n v="0"/>
    <m/>
    <m/>
    <m/>
    <m/>
    <m/>
    <m/>
    <m/>
    <m/>
    <m/>
    <m/>
    <m/>
    <m/>
    <n v="3699.2000000000003"/>
    <n v="-923.13000000000056"/>
    <m/>
    <m/>
    <m/>
    <m/>
    <n v="-923.09999999999991"/>
    <n v="0"/>
    <n v="31"/>
    <n v="86.698638119562929"/>
    <n v="8.3834166571394348"/>
    <n v="39.099340365765386"/>
    <n v="0"/>
    <n v="0"/>
    <m/>
    <m/>
    <m/>
    <n v="39.2158810966580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68.4451413371148"/>
    <m/>
    <n v="0"/>
    <n v="0"/>
    <n v="-923.09999999999991"/>
    <m/>
    <n v="0"/>
    <m/>
    <n v="-1010.670784377871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90"/>
    <s v="Regular"/>
    <s v="Branca"/>
    <s v="B3"/>
    <s v="Industrial"/>
    <s v="Não se aplica"/>
    <s v="Não se aplica"/>
    <s v="Não se aplica"/>
    <s v="Ponta"/>
    <s v="CATIVO"/>
    <x v="1"/>
    <n v="0"/>
    <n v="0"/>
    <n v="1.4E-2"/>
    <n v="1.4E-2"/>
    <n v="1.4E-2"/>
    <n v="1.4E-2"/>
    <m/>
    <n v="1553.42"/>
    <n v="173.25"/>
    <m/>
    <n v="24.173380000000002"/>
    <n v="24.173380000000002"/>
    <n v="22.935360000000003"/>
    <n v="0"/>
    <n v="0.86163256479118555"/>
    <n v="0"/>
    <n v="0"/>
    <n v="1.518289444708498"/>
    <n v="0.10499468145796631"/>
    <n v="10.057430648194986"/>
    <n v="2.384766588194382"/>
    <n v="4.0701269427577506E-2"/>
    <n v="0"/>
    <n v="0"/>
    <n v="0"/>
    <n v="0"/>
    <n v="0.13312642388255574"/>
    <m/>
    <n v="1.690999400107808E-2"/>
    <n v="4.4177555060834584"/>
    <n v="4.2924853227450042"/>
    <n v="0"/>
    <n v="0"/>
    <n v="0"/>
    <n v="0"/>
    <n v="0"/>
    <n v="0"/>
    <n v="0"/>
    <n v="0"/>
    <n v="0"/>
    <n v="0"/>
    <m/>
    <n v="0"/>
    <n v="0"/>
    <n v="0"/>
    <n v="0"/>
    <n v="0"/>
    <n v="0.12515708555050373"/>
    <n v="0"/>
    <n v="0"/>
    <n v="0"/>
    <n v="0"/>
    <n v="0"/>
    <m/>
    <m/>
    <m/>
    <m/>
    <m/>
    <m/>
    <m/>
    <m/>
    <m/>
    <n v="2.5099236737448858"/>
    <m/>
    <m/>
    <m/>
    <m/>
    <m/>
    <m/>
    <m/>
    <m/>
    <m/>
    <m/>
    <m/>
    <m/>
    <n v="16.382400000000001"/>
    <n v="-7.8209800000000058"/>
    <m/>
    <m/>
    <m/>
    <m/>
    <n v="-1.5402799999999999"/>
    <n v="0.30226000000000003"/>
    <n v="31"/>
    <n v="1.2603936639929003"/>
    <n v="0.44021989348229162"/>
    <n v="0.42773698747044975"/>
    <n v="0"/>
    <n v="0"/>
    <n v="0"/>
    <n v="0"/>
    <n v="0"/>
    <n v="0.10810973327414888"/>
    <n v="0"/>
    <n v="0"/>
    <n v="0.3022258730980858"/>
    <n v="0"/>
    <n v="0"/>
    <n v="0"/>
    <n v="1.5861388549373079E-2"/>
    <n v="0"/>
    <n v="-2.9258315343401176E-2"/>
    <m/>
    <n v="0"/>
    <n v="0"/>
    <n v="0"/>
    <n v="0"/>
    <n v="-4.0234886286148464E-3"/>
    <n v="-4.7840790943246003E-4"/>
    <n v="0"/>
    <n v="0"/>
    <m/>
    <m/>
    <m/>
    <n v="10.057430648194986"/>
    <n v="0"/>
    <n v="0"/>
    <n v="-1.5402799999999992"/>
    <n v="0.30225999999999997"/>
    <n v="0"/>
    <n v="0"/>
    <n v="-2.4984363728440613"/>
    <n v="0"/>
    <n v="0"/>
    <n v="0"/>
    <n v="0"/>
    <n v="0"/>
    <n v="0"/>
    <n v="0"/>
    <n v="0"/>
    <n v="0"/>
    <n v="0"/>
    <n v="0"/>
    <n v="0"/>
    <n v="0.220045589768601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1"/>
    <s v="Regular"/>
    <s v="Branca"/>
    <s v="B3"/>
    <s v="Industrial"/>
    <s v="Não se aplica"/>
    <s v="Não se aplica"/>
    <s v="Não se aplica"/>
    <s v="Fora ponta"/>
    <s v="CATIVO"/>
    <x v="1"/>
    <n v="0"/>
    <n v="0"/>
    <n v="1.62"/>
    <n v="1.62"/>
    <n v="1.62"/>
    <n v="1.62"/>
    <m/>
    <n v="388.22"/>
    <n v="173.25"/>
    <m/>
    <n v="909.58140000000003"/>
    <n v="909.58140000000003"/>
    <n v="907.24860000000001"/>
    <n v="0"/>
    <n v="99.703196782980058"/>
    <n v="0"/>
    <n v="0"/>
    <n v="35.137555720396676"/>
    <n v="2.4298791872807719"/>
    <n v="232.75785517533436"/>
    <n v="275.95156234820706"/>
    <n v="4.709718319476826"/>
    <n v="0"/>
    <n v="0"/>
    <n v="0"/>
    <n v="0"/>
    <n v="15.404629049267164"/>
    <m/>
    <n v="1.9567278772676064"/>
    <n v="102.23948456936003"/>
    <n v="99.340374612098671"/>
    <n v="0"/>
    <n v="0"/>
    <n v="0"/>
    <n v="0"/>
    <n v="0"/>
    <n v="0"/>
    <n v="0"/>
    <n v="0"/>
    <n v="0"/>
    <n v="0"/>
    <m/>
    <n v="0"/>
    <n v="0"/>
    <n v="0"/>
    <n v="0"/>
    <n v="0"/>
    <n v="14.48246275655829"/>
    <n v="0"/>
    <n v="0"/>
    <n v="0"/>
    <n v="0"/>
    <n v="0"/>
    <m/>
    <m/>
    <m/>
    <m/>
    <m/>
    <m/>
    <m/>
    <m/>
    <m/>
    <n v="290.43402510476534"/>
    <m/>
    <m/>
    <m/>
    <m/>
    <m/>
    <m/>
    <m/>
    <m/>
    <m/>
    <m/>
    <m/>
    <m/>
    <n v="907.24860000000001"/>
    <n v="-2.3627999999999929"/>
    <m/>
    <m/>
    <m/>
    <m/>
    <n v="-37.308600000000048"/>
    <n v="34.975800000000007"/>
    <n v="31"/>
    <n v="55.489674028881154"/>
    <n v="10.18794610630431"/>
    <n v="9.8990559957445328"/>
    <n v="0"/>
    <n v="0"/>
    <n v="0"/>
    <n v="0"/>
    <n v="0"/>
    <n v="2.5019704539081475"/>
    <n v="0"/>
    <n v="0"/>
    <n v="34.971851029921368"/>
    <n v="0"/>
    <n v="0"/>
    <n v="0"/>
    <n v="1.8353892464274555"/>
    <n v="0"/>
    <n v="-3.385605061165009"/>
    <m/>
    <n v="0"/>
    <n v="0"/>
    <n v="0"/>
    <n v="0"/>
    <n v="-0.46557511273971564"/>
    <n v="-5.5358629520041891E-2"/>
    <n v="0"/>
    <n v="0"/>
    <m/>
    <m/>
    <m/>
    <n v="232.75785517533436"/>
    <n v="0"/>
    <n v="0"/>
    <n v="-37.308600000000069"/>
    <n v="34.975799999999992"/>
    <n v="0"/>
    <n v="0"/>
    <n v="-57.820999396062462"/>
    <n v="0"/>
    <n v="0"/>
    <n v="0"/>
    <n v="0"/>
    <n v="0"/>
    <n v="0"/>
    <n v="0"/>
    <n v="0"/>
    <n v="0"/>
    <n v="0"/>
    <n v="0"/>
    <n v="0"/>
    <n v="25.46241824465249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2"/>
    <s v="Regular"/>
    <s v="Branca"/>
    <s v="B3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2"/>
    <n v="6.24"/>
    <n v="220.5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93"/>
    <s v="Regular"/>
    <s v="Branca"/>
    <s v="B3"/>
    <s v="Industrial"/>
    <s v="Não se aplica"/>
    <s v="Não se aplica"/>
    <s v="Não se aplica"/>
    <s v="Intermediário"/>
    <s v="CATIVO"/>
    <x v="1"/>
    <n v="0"/>
    <n v="0"/>
    <n v="6.7000000000000004E-2"/>
    <n v="6.7000000000000004E-2"/>
    <n v="6.7000000000000004E-2"/>
    <n v="6.7000000000000004E-2"/>
    <m/>
    <n v="970.82"/>
    <n v="173.25"/>
    <m/>
    <n v="76.652690000000007"/>
    <n v="76.652690000000007"/>
    <n v="73.641710000000003"/>
    <n v="0"/>
    <n v="4.1235272743578166"/>
    <n v="0"/>
    <n v="0"/>
    <n v="4.3596596912344081"/>
    <n v="0.30148501027372476"/>
    <n v="28.879200933707946"/>
    <n v="11.412811529215972"/>
    <n v="0.19478464654626379"/>
    <n v="0"/>
    <n v="0"/>
    <n v="0"/>
    <n v="0"/>
    <n v="0.63710502858080253"/>
    <m/>
    <n v="8.092639986230224E-2"/>
    <n v="12.685269381753917"/>
    <n v="12.325564998167824"/>
    <n v="0"/>
    <n v="0"/>
    <n v="0"/>
    <n v="0"/>
    <n v="0"/>
    <n v="0"/>
    <n v="0"/>
    <n v="0"/>
    <n v="0"/>
    <n v="0"/>
    <m/>
    <n v="0"/>
    <n v="0"/>
    <n v="0"/>
    <n v="0"/>
    <n v="0"/>
    <n v="0.59896605227741073"/>
    <n v="0"/>
    <n v="0"/>
    <n v="0"/>
    <n v="0"/>
    <n v="0"/>
    <m/>
    <m/>
    <m/>
    <m/>
    <m/>
    <m/>
    <m/>
    <m/>
    <m/>
    <n v="12.011777581493384"/>
    <m/>
    <m/>
    <m/>
    <m/>
    <m/>
    <m/>
    <m/>
    <m/>
    <m/>
    <m/>
    <m/>
    <m/>
    <n v="76.939099999999996"/>
    <n v="0.25640999999997405"/>
    <m/>
    <m/>
    <m/>
    <m/>
    <n v="-4.4575100000000063"/>
    <n v="1.4465300000000003"/>
    <n v="31"/>
    <n v="4.1634138780452119"/>
    <n v="1.2640599798563095"/>
    <n v="1.2282162068793685"/>
    <n v="0"/>
    <n v="0"/>
    <n v="0"/>
    <n v="0"/>
    <n v="0"/>
    <n v="0.31042966742934552"/>
    <n v="0"/>
    <n v="0"/>
    <n v="1.4463666783979825"/>
    <n v="0"/>
    <n v="0"/>
    <n v="0"/>
    <n v="7.5908073771999707E-2"/>
    <n v="0"/>
    <n v="-0.14002193771484839"/>
    <m/>
    <n v="0"/>
    <n v="0"/>
    <n v="0"/>
    <n v="0"/>
    <n v="-1.9255267008370991E-2"/>
    <n v="-2.2895235665696262E-3"/>
    <n v="0"/>
    <n v="0"/>
    <m/>
    <m/>
    <m/>
    <n v="28.879200933707946"/>
    <n v="0"/>
    <n v="0"/>
    <n v="-4.4575100000000134"/>
    <n v="1.4465299999999992"/>
    <n v="0"/>
    <n v="0"/>
    <n v="-7.174083377288536"/>
    <n v="0"/>
    <n v="0"/>
    <n v="0"/>
    <n v="0"/>
    <n v="0"/>
    <n v="0"/>
    <n v="0"/>
    <n v="0"/>
    <n v="0"/>
    <n v="0"/>
    <n v="0"/>
    <n v="0"/>
    <n v="1.05307532246402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4"/>
    <s v="Regular"/>
    <s v="Convencional"/>
    <s v="B3"/>
    <s v="Comercial"/>
    <s v="Não se aplica"/>
    <s v="Não se aplica"/>
    <s v="Não se aplica"/>
    <s v="Não se aplica"/>
    <s v="CATIVO"/>
    <x v="1"/>
    <n v="0"/>
    <n v="0"/>
    <n v="2447.1550000000002"/>
    <n v="2447.1550000000002"/>
    <n v="2447.1550000000002"/>
    <n v="2447.1550000000002"/>
    <m/>
    <n v="368.24"/>
    <n v="173.25"/>
    <m/>
    <n v="1325109.9609500002"/>
    <n v="1325109.9609500002"/>
    <n v="1245332.7079500002"/>
    <n v="0"/>
    <n v="150610.60279225529"/>
    <n v="0"/>
    <n v="0"/>
    <n v="6263.5846601549238"/>
    <n v="6017.9003244476098"/>
    <n v="576395.80612862611"/>
    <n v="416849.53429520165"/>
    <n v="7114.4510704316735"/>
    <n v="0"/>
    <n v="0"/>
    <n v="0"/>
    <n v="0"/>
    <n v="23270.070988308264"/>
    <m/>
    <n v="2955.8125978363023"/>
    <n v="13296.361081643507"/>
    <n v="61998.970151923022"/>
    <n v="0"/>
    <n v="0"/>
    <n v="0"/>
    <n v="0"/>
    <n v="0"/>
    <n v="0"/>
    <n v="0"/>
    <n v="0"/>
    <n v="0"/>
    <n v="0"/>
    <m/>
    <n v="0"/>
    <n v="0"/>
    <n v="0"/>
    <n v="0"/>
    <n v="0"/>
    <n v="21877.056263595925"/>
    <n v="0"/>
    <n v="1004.62"/>
    <n v="8763"/>
    <n v="626184.89"/>
    <n v="4263"/>
    <m/>
    <m/>
    <m/>
    <m/>
    <m/>
    <m/>
    <m/>
    <m/>
    <m/>
    <n v="438726.59055879759"/>
    <m/>
    <m/>
    <m/>
    <m/>
    <m/>
    <m/>
    <m/>
    <m/>
    <m/>
    <m/>
    <m/>
    <m/>
    <n v="1245335.2524000001"/>
    <n v="-79774.738550000126"/>
    <m/>
    <m/>
    <m/>
    <m/>
    <n v="-132611.32945000002"/>
    <n v="52834.076450000015"/>
    <n v="31"/>
    <n v="63398.916589565808"/>
    <n v="1324.953961576839"/>
    <n v="6178.0648563976793"/>
    <n v="0"/>
    <n v="0"/>
    <n v="0"/>
    <n v="0"/>
    <n v="0"/>
    <n v="6196.4433808669346"/>
    <n v="0"/>
    <n v="0"/>
    <n v="52828.111177239043"/>
    <n v="0"/>
    <n v="0"/>
    <n v="0"/>
    <n v="2772.5197353957919"/>
    <n v="0"/>
    <n v="-5114.2594774415193"/>
    <m/>
    <n v="0"/>
    <n v="0"/>
    <n v="0"/>
    <n v="0"/>
    <n v="-703.29287963985189"/>
    <n v="-83.624164829085203"/>
    <n v="0"/>
    <n v="0"/>
    <m/>
    <m/>
    <m/>
    <n v="576395.80612862611"/>
    <n v="0"/>
    <n v="0"/>
    <n v="-132611.32944999996"/>
    <n v="52834.076450000051"/>
    <n v="0"/>
    <n v="0"/>
    <n v="-143186.49539432774"/>
    <n v="0"/>
    <n v="0"/>
    <n v="0"/>
    <n v="0"/>
    <n v="0"/>
    <n v="0"/>
    <n v="0"/>
    <n v="0"/>
    <n v="0"/>
    <n v="0"/>
    <n v="0"/>
    <n v="0"/>
    <n v="38463.261802155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5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0.17399999999999999"/>
    <n v="-0.17399999999999999"/>
    <n v="-0.17399999999999999"/>
    <n v="-0.17399999999999999"/>
    <m/>
    <n v="368.24"/>
    <n v="173.25"/>
    <m/>
    <n v="-94.219259999999991"/>
    <n v="-94.219259999999991"/>
    <n v="-88.546859999999995"/>
    <n v="0"/>
    <n v="-10.708861876690449"/>
    <n v="0"/>
    <n v="0"/>
    <n v="-0.44535950148926262"/>
    <n v="-0.42789061438849763"/>
    <n v="-40.983456408106932"/>
    <n v="-29.639241881844459"/>
    <n v="-0.50585863431417755"/>
    <n v="0"/>
    <n v="0"/>
    <n v="0"/>
    <n v="0"/>
    <n v="-1.6545712682546212"/>
    <m/>
    <n v="-0.21016706829911325"/>
    <n v="-0.94541082530774301"/>
    <n v="-4.4083112048213557"/>
    <n v="0"/>
    <n v="0"/>
    <n v="0"/>
    <n v="0"/>
    <n v="0"/>
    <n v="0"/>
    <n v="0"/>
    <n v="0"/>
    <n v="0"/>
    <n v="0"/>
    <m/>
    <n v="0"/>
    <n v="0"/>
    <n v="0"/>
    <n v="0"/>
    <n v="0"/>
    <n v="-1.5555237775562605"/>
    <n v="0"/>
    <n v="-0.23"/>
    <n v="-2.31"/>
    <n v="-41.21"/>
    <n v="0"/>
    <m/>
    <m/>
    <m/>
    <m/>
    <m/>
    <m/>
    <m/>
    <m/>
    <m/>
    <n v="-31.194765659400719"/>
    <m/>
    <m/>
    <m/>
    <m/>
    <m/>
    <m/>
    <m/>
    <m/>
    <m/>
    <m/>
    <m/>
    <m/>
    <n v="-86.511300000000006"/>
    <n v="7.6779599999999704"/>
    <m/>
    <m/>
    <m/>
    <m/>
    <n v="9.4290599999999998"/>
    <n v="-3.7566600000000006"/>
    <n v="31"/>
    <n v="-4.5078515609286924"/>
    <n v="-9.4208167980520119E-2"/>
    <n v="-0.43927878904817863"/>
    <n v="0"/>
    <n v="0"/>
    <n v="0"/>
    <n v="0"/>
    <n v="0"/>
    <n v="-0.44058555680814926"/>
    <n v="0"/>
    <n v="0"/>
    <n v="-3.7562358513619252"/>
    <n v="0"/>
    <n v="0"/>
    <n v="0"/>
    <n v="-0.19713440054220821"/>
    <n v="0"/>
    <n v="0.36363906212512909"/>
    <m/>
    <n v="0"/>
    <n v="0"/>
    <n v="0"/>
    <n v="0"/>
    <n v="5.0006215812784305E-2"/>
    <n v="5.9459268743748406E-3"/>
    <n v="0"/>
    <n v="0"/>
    <m/>
    <m/>
    <m/>
    <n v="-40.983456408106932"/>
    <n v="0"/>
    <n v="0"/>
    <n v="9.4290599999999927"/>
    <n v="-3.7566599999999966"/>
    <n v="0"/>
    <n v="0"/>
    <n v="10.180985756363214"/>
    <n v="0"/>
    <n v="0"/>
    <n v="0"/>
    <n v="0"/>
    <n v="0"/>
    <n v="0"/>
    <n v="0"/>
    <n v="0"/>
    <n v="0"/>
    <n v="0"/>
    <n v="0"/>
    <n v="0"/>
    <n v="-2.734852329981193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6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148.70599999999999"/>
    <n v="148.70599999999999"/>
    <n v="148.70599999999999"/>
    <n v="148.70599999999999"/>
    <m/>
    <n v="368.24"/>
    <n v="173.25"/>
    <m/>
    <n v="80522.81194"/>
    <n v="80522.81194"/>
    <n v="75674.996339999998"/>
    <n v="0"/>
    <n v="9152.138012845573"/>
    <n v="0"/>
    <n v="0"/>
    <n v="380.61856338196719"/>
    <n v="365.68909024859732"/>
    <n v="35025.780854160628"/>
    <n v="25330.650018859553"/>
    <n v="432.32306939266715"/>
    <n v="0"/>
    <n v="0"/>
    <n v="0"/>
    <n v="0"/>
    <n v="1414.0498564199522"/>
    <m/>
    <n v="179.61554056602262"/>
    <n v="807.97851832306458"/>
    <n v="3767.4846323227844"/>
    <n v="0"/>
    <n v="0"/>
    <n v="0"/>
    <n v="0"/>
    <n v="0"/>
    <n v="0"/>
    <n v="0"/>
    <n v="0"/>
    <n v="0"/>
    <n v="0"/>
    <m/>
    <n v="0"/>
    <n v="0"/>
    <n v="0"/>
    <n v="0"/>
    <n v="0"/>
    <n v="1329.4006831338004"/>
    <n v="0"/>
    <n v="61.94"/>
    <n v="536.36"/>
    <n v="64210.21"/>
    <n v="207"/>
    <m/>
    <m/>
    <m/>
    <m/>
    <m/>
    <m/>
    <m/>
    <m/>
    <m/>
    <n v="26660.050701993354"/>
    <m/>
    <m/>
    <m/>
    <m/>
    <m/>
    <m/>
    <m/>
    <m/>
    <m/>
    <m/>
    <m/>
    <m/>
    <n v="75677.031900000002"/>
    <n v="-4845.8100399999967"/>
    <m/>
    <m/>
    <m/>
    <m/>
    <n v="-8058.3781399999989"/>
    <n v="3210.5625400000004"/>
    <n v="31"/>
    <n v="3852.555024249792"/>
    <n v="80.513332343167917"/>
    <n v="375.4217908287269"/>
    <n v="0"/>
    <n v="0"/>
    <n v="0"/>
    <n v="0"/>
    <n v="0"/>
    <n v="376.53859661329096"/>
    <n v="0"/>
    <n v="0"/>
    <n v="3210.2000489231395"/>
    <n v="0"/>
    <n v="0"/>
    <n v="0"/>
    <n v="168.4774032587909"/>
    <n v="0"/>
    <n v="-310.7776458182725"/>
    <m/>
    <n v="0"/>
    <n v="0"/>
    <n v="0"/>
    <n v="0"/>
    <n v="-42.736921429056792"/>
    <n v="-5.0815804700045248"/>
    <n v="0"/>
    <n v="0"/>
    <m/>
    <m/>
    <m/>
    <n v="35025.780854160628"/>
    <n v="0"/>
    <n v="0"/>
    <n v="-8058.3781400000007"/>
    <n v="3210.5625400000026"/>
    <n v="0"/>
    <n v="0"/>
    <n v="-8700.9980912974024"/>
    <n v="0"/>
    <n v="0"/>
    <n v="0"/>
    <n v="0"/>
    <n v="0"/>
    <n v="0"/>
    <n v="0"/>
    <n v="0"/>
    <n v="0"/>
    <n v="0"/>
    <n v="0"/>
    <n v="0"/>
    <n v="2337.292819437835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7"/>
    <s v="Regular"/>
    <s v="Verde"/>
    <s v="A4"/>
    <s v="Comercial"/>
    <s v="Não se aplica"/>
    <s v="Não se aplica"/>
    <s v="Não se aplica"/>
    <s v="Ponta"/>
    <s v="CATIVO"/>
    <x v="1"/>
    <n v="0"/>
    <n v="0"/>
    <n v="74.875"/>
    <n v="74.875"/>
    <n v="74.875"/>
    <n v="74.875"/>
    <m/>
    <n v="1358.36"/>
    <n v="173.25"/>
    <m/>
    <n v="114679.29874999999"/>
    <n v="114679.29874999999"/>
    <n v="100551.13499999999"/>
    <n v="0"/>
    <n v="4009.1301650859837"/>
    <n v="0"/>
    <n v="0"/>
    <n v="1418.2888641233553"/>
    <n v="1362.6617676555318"/>
    <n v="75512.015295426958"/>
    <n v="12754.242735075311"/>
    <n v="217.6791105992761"/>
    <n v="0"/>
    <n v="0"/>
    <n v="0"/>
    <n v="0"/>
    <n v="711.98864201474009"/>
    <m/>
    <n v="59.96093532171853"/>
    <n v="3010.7853117300765"/>
    <n v="14038.770575742357"/>
    <n v="0"/>
    <n v="0"/>
    <n v="0"/>
    <n v="0"/>
    <n v="0"/>
    <n v="0"/>
    <n v="0"/>
    <n v="0"/>
    <n v="0"/>
    <n v="0"/>
    <m/>
    <n v="0"/>
    <n v="0"/>
    <n v="0"/>
    <n v="0"/>
    <n v="0"/>
    <n v="559.96441165250837"/>
    <n v="0"/>
    <n v="0"/>
    <n v="0"/>
    <n v="0"/>
    <n v="0"/>
    <m/>
    <m/>
    <m/>
    <m/>
    <m/>
    <m/>
    <m/>
    <m/>
    <m/>
    <n v="13314.20714672782"/>
    <m/>
    <m/>
    <m/>
    <m/>
    <m/>
    <m/>
    <m/>
    <m/>
    <m/>
    <m/>
    <m/>
    <m/>
    <n v="100557.84959999999"/>
    <n v="-14121.479149999985"/>
    <m/>
    <m/>
    <m/>
    <m/>
    <n v="-15744.714999999998"/>
    <n v="1616.5512500000002"/>
    <n v="31"/>
    <n v="4630.0237441145873"/>
    <n v="300.01832093303665"/>
    <n v="1398.9334808061176"/>
    <n v="0"/>
    <n v="0"/>
    <n v="0"/>
    <n v="0"/>
    <n v="0"/>
    <n v="1403.0901203609762"/>
    <n v="0"/>
    <n v="0"/>
    <n v="1616.368732015655"/>
    <n v="0"/>
    <n v="0"/>
    <n v="0"/>
    <n v="70.965323840632209"/>
    <n v="0"/>
    <n v="-136.1373738830921"/>
    <m/>
    <n v="0"/>
    <n v="0"/>
    <n v="0"/>
    <n v="0"/>
    <n v="-21.518479361966911"/>
    <n v="-1.6963805967672414"/>
    <n v="0"/>
    <n v="0"/>
    <m/>
    <m/>
    <m/>
    <n v="75512.015295426958"/>
    <n v="0"/>
    <n v="0"/>
    <n v="-15744.714999999997"/>
    <n v="1616.5512500000004"/>
    <n v="0"/>
    <n v="0"/>
    <n v="-18758.465476936872"/>
    <n v="0"/>
    <n v="0"/>
    <n v="0"/>
    <n v="0"/>
    <n v="0"/>
    <n v="0"/>
    <n v="0"/>
    <n v="0"/>
    <n v="0"/>
    <n v="0"/>
    <n v="0"/>
    <n v="0"/>
    <n v="1023.86034103671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8"/>
    <s v="Sistema de Compensação"/>
    <s v="Verde"/>
    <s v="A4"/>
    <s v="Comercial"/>
    <s v="Não se aplica"/>
    <s v="Não se aplica"/>
    <s v="Não se aplica"/>
    <s v="Ponta"/>
    <s v="CATIVO"/>
    <x v="1"/>
    <n v="0"/>
    <n v="0"/>
    <n v="4.3520000000000003"/>
    <n v="4.3520000000000003"/>
    <n v="4.3520000000000003"/>
    <n v="4.3520000000000003"/>
    <m/>
    <n v="1358.36"/>
    <n v="173.25"/>
    <m/>
    <n v="6665.5667200000007"/>
    <n v="6665.5667200000007"/>
    <n v="5844.3878400000003"/>
    <n v="0"/>
    <n v="233.024834436784"/>
    <n v="0"/>
    <n v="0"/>
    <n v="82.435968436258335"/>
    <n v="79.202724712345585"/>
    <n v="4389.0255835151665"/>
    <n v="741.3217279872822"/>
    <n v="12.652280324915521"/>
    <n v="0"/>
    <n v="0"/>
    <n v="0"/>
    <n v="0"/>
    <n v="41.383299766920189"/>
    <m/>
    <n v="3.485141776562525"/>
    <n v="174.9974981856333"/>
    <n v="815.98303232895819"/>
    <n v="0"/>
    <n v="0"/>
    <n v="0"/>
    <n v="0"/>
    <n v="0"/>
    <n v="0"/>
    <n v="0"/>
    <n v="0"/>
    <n v="0"/>
    <n v="0"/>
    <m/>
    <n v="0"/>
    <n v="0"/>
    <n v="0"/>
    <n v="0"/>
    <n v="0"/>
    <n v="32.547113449238282"/>
    <n v="0"/>
    <n v="0"/>
    <n v="0"/>
    <n v="0"/>
    <n v="0"/>
    <m/>
    <m/>
    <m/>
    <m/>
    <m/>
    <m/>
    <m/>
    <m/>
    <m/>
    <n v="773.86884143652048"/>
    <m/>
    <m/>
    <m/>
    <m/>
    <m/>
    <m/>
    <m/>
    <m/>
    <m/>
    <m/>
    <m/>
    <m/>
    <n v="5841.7019999999993"/>
    <n v="-823.89472000000205"/>
    <m/>
    <m/>
    <m/>
    <m/>
    <n v="-915.13855999999998"/>
    <n v="93.95968000000002"/>
    <n v="31"/>
    <n v="269.11336673638334"/>
    <n v="17.438126647086165"/>
    <n v="81.310965054667463"/>
    <n v="0"/>
    <n v="0"/>
    <n v="0"/>
    <n v="0"/>
    <n v="0"/>
    <n v="81.552563656907765"/>
    <n v="0"/>
    <n v="0"/>
    <n v="93.94907140877649"/>
    <n v="0"/>
    <n v="0"/>
    <n v="0"/>
    <n v="4.1247557843663643"/>
    <n v="0"/>
    <n v="-7.9127859918426395"/>
    <m/>
    <n v="0"/>
    <n v="0"/>
    <n v="0"/>
    <n v="0"/>
    <n v="-1.2507301794094161"/>
    <n v="-9.8599644168694933E-2"/>
    <n v="0"/>
    <n v="0"/>
    <m/>
    <m/>
    <m/>
    <n v="4389.0255835151665"/>
    <n v="0"/>
    <n v="0"/>
    <n v="-915.13856000000033"/>
    <n v="93.959680000000048"/>
    <n v="0"/>
    <n v="0"/>
    <n v="-1090.3084040818594"/>
    <n v="0"/>
    <n v="0"/>
    <n v="0"/>
    <n v="0"/>
    <n v="0"/>
    <n v="0"/>
    <n v="0"/>
    <n v="0"/>
    <n v="0"/>
    <n v="0"/>
    <n v="0"/>
    <n v="0"/>
    <n v="59.51038670039091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99"/>
    <s v="Regular"/>
    <s v="Verde"/>
    <s v="A4"/>
    <s v="Comercial"/>
    <s v="Não se aplica"/>
    <s v="Não se aplica"/>
    <s v="Não se aplica"/>
    <s v="Fora ponta"/>
    <s v="CATIVO"/>
    <x v="1"/>
    <n v="0"/>
    <n v="0"/>
    <n v="847.71100000000001"/>
    <n v="847.71100000000001"/>
    <n v="847.71100000000001"/>
    <n v="847.71100000000001"/>
    <m/>
    <n v="85.01"/>
    <n v="173.25"/>
    <m/>
    <n v="218929.84286"/>
    <n v="218929.84286"/>
    <n v="236231.62436999998"/>
    <n v="0"/>
    <n v="45390.100051755653"/>
    <n v="0"/>
    <n v="0"/>
    <n v="0"/>
    <n v="0"/>
    <n v="0"/>
    <n v="144399.49066034626"/>
    <n v="2464.4938434086539"/>
    <n v="0"/>
    <n v="0"/>
    <n v="0"/>
    <n v="0"/>
    <n v="8060.9095654218008"/>
    <m/>
    <n v="678.85869038409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39.7394506358532"/>
    <n v="0"/>
    <n v="0"/>
    <n v="0"/>
    <n v="0"/>
    <n v="0"/>
    <m/>
    <m/>
    <m/>
    <m/>
    <m/>
    <m/>
    <m/>
    <m/>
    <m/>
    <n v="150739.23011098211"/>
    <m/>
    <m/>
    <m/>
    <m/>
    <m/>
    <m/>
    <m/>
    <m/>
    <m/>
    <m/>
    <m/>
    <m/>
    <n v="236231.34570000001"/>
    <n v="17301.472840000002"/>
    <m/>
    <m/>
    <m/>
    <m/>
    <n v="-1000.2989800000058"/>
    <n v="18302.080490000004"/>
    <n v="31"/>
    <n v="17299.32552015633"/>
    <n v="0"/>
    <n v="0"/>
    <n v="0"/>
    <n v="0"/>
    <n v="0"/>
    <n v="0"/>
    <n v="0"/>
    <n v="0"/>
    <n v="0"/>
    <n v="0"/>
    <n v="18300.014079275134"/>
    <n v="0"/>
    <n v="0"/>
    <n v="0"/>
    <n v="803.44688665464037"/>
    <n v="0"/>
    <n v="-1541.3041649657462"/>
    <m/>
    <n v="0"/>
    <n v="0"/>
    <n v="0"/>
    <n v="0"/>
    <n v="-243.62539777512211"/>
    <n v="-19.205883032602969"/>
    <n v="0"/>
    <n v="0"/>
    <m/>
    <m/>
    <m/>
    <n v="0"/>
    <n v="0"/>
    <n v="0"/>
    <n v="-1000.2989800000068"/>
    <n v="18302.080489999993"/>
    <n v="0"/>
    <n v="0"/>
    <n v="0"/>
    <n v="0"/>
    <n v="0"/>
    <n v="0"/>
    <n v="0"/>
    <n v="0"/>
    <n v="0"/>
    <n v="0"/>
    <n v="0"/>
    <n v="0"/>
    <n v="0"/>
    <n v="0"/>
    <n v="0"/>
    <n v="11591.82201750346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00"/>
    <s v="Sistema de Compensação"/>
    <s v="Verde"/>
    <s v="A4"/>
    <s v="Comercial"/>
    <s v="Não se aplica"/>
    <s v="Não se aplica"/>
    <s v="Não se aplica"/>
    <s v="Fora ponta"/>
    <s v="CATIVO"/>
    <x v="1"/>
    <n v="0"/>
    <n v="0"/>
    <n v="27.042999999999999"/>
    <n v="27.042999999999999"/>
    <n v="27.042999999999999"/>
    <n v="27.042999999999999"/>
    <m/>
    <n v="85.01"/>
    <n v="173.25"/>
    <m/>
    <n v="6984.12518"/>
    <n v="6984.12518"/>
    <n v="7536.0728099999997"/>
    <n v="0"/>
    <n v="1447.9987586566979"/>
    <n v="0"/>
    <n v="0"/>
    <n v="0"/>
    <n v="0"/>
    <n v="0"/>
    <n v="4606.5173460386195"/>
    <n v="78.620316366427033"/>
    <n v="0"/>
    <n v="0"/>
    <n v="0"/>
    <n v="0"/>
    <n v="257.15270578971104"/>
    <m/>
    <n v="21.6564083326241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.24530997420746"/>
    <n v="0"/>
    <n v="0"/>
    <n v="0"/>
    <n v="0"/>
    <n v="0"/>
    <m/>
    <m/>
    <m/>
    <m/>
    <m/>
    <m/>
    <m/>
    <m/>
    <m/>
    <n v="4808.7626560128274"/>
    <m/>
    <m/>
    <m/>
    <m/>
    <m/>
    <m/>
    <m/>
    <m/>
    <m/>
    <m/>
    <m/>
    <m/>
    <n v="7535.2368000000006"/>
    <n v="551.08161999999993"/>
    <m/>
    <m/>
    <m/>
    <m/>
    <n v="-31.910740000000185"/>
    <n v="583.85837000000004"/>
    <n v="31"/>
    <n v="551.86928097144755"/>
    <n v="0"/>
    <n v="0"/>
    <n v="0"/>
    <n v="0"/>
    <n v="0"/>
    <n v="0"/>
    <n v="0"/>
    <n v="0"/>
    <n v="0"/>
    <n v="0"/>
    <n v="583.79244901368111"/>
    <n v="0"/>
    <n v="0"/>
    <n v="0"/>
    <n v="25.63092157091441"/>
    <n v="0"/>
    <n v="-49.169455785248147"/>
    <m/>
    <n v="0"/>
    <n v="0"/>
    <n v="0"/>
    <n v="0"/>
    <n v="-7.7719430702593399"/>
    <n v="-0.61269075764109004"/>
    <n v="0"/>
    <n v="0"/>
    <m/>
    <m/>
    <m/>
    <n v="0"/>
    <n v="0"/>
    <n v="0"/>
    <n v="-31.91074000000026"/>
    <n v="583.85836999999992"/>
    <n v="0"/>
    <n v="0"/>
    <n v="0"/>
    <n v="0"/>
    <n v="0"/>
    <n v="0"/>
    <n v="0"/>
    <n v="0"/>
    <n v="0"/>
    <n v="0"/>
    <n v="0"/>
    <n v="0"/>
    <n v="0"/>
    <n v="0"/>
    <n v="0"/>
    <n v="369.7930577984079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01"/>
    <s v="Regular"/>
    <s v="Verde"/>
    <s v="A4"/>
    <s v="Comercial"/>
    <s v="Não se aplica"/>
    <s v="Não se aplica"/>
    <s v="Não se aplica"/>
    <s v="Não se aplica"/>
    <s v="CATIVO"/>
    <x v="1"/>
    <n v="3876"/>
    <n v="3876"/>
    <n v="0"/>
    <n v="0"/>
    <n v="0"/>
    <n v="0"/>
    <n v="27.19"/>
    <m/>
    <m/>
    <n v="105388.44"/>
    <m/>
    <n v="105388.44"/>
    <n v="84341.760000000009"/>
    <n v="0"/>
    <n v="0"/>
    <n v="0"/>
    <n v="0"/>
    <n v="903.88557764523807"/>
    <n v="868.35903739976345"/>
    <n v="92760.549222486225"/>
    <m/>
    <m/>
    <m/>
    <n v="0"/>
    <n v="0"/>
    <n v="0"/>
    <n v="0"/>
    <m/>
    <n v="0"/>
    <n v="1918.1736053066384"/>
    <n v="8946.152355512535"/>
    <n v="0"/>
    <n v="0"/>
    <m/>
    <m/>
    <n v="0"/>
    <n v="0"/>
    <n v="0"/>
    <m/>
    <m/>
    <n v="0"/>
    <m/>
    <n v="0"/>
    <n v="0"/>
    <n v="0"/>
    <n v="0"/>
    <m/>
    <n v="0"/>
    <n v="0"/>
    <n v="360"/>
    <n v="3087.18"/>
    <n v="210223.76"/>
    <n v="39"/>
    <m/>
    <m/>
    <m/>
    <m/>
    <m/>
    <m/>
    <m/>
    <m/>
    <m/>
    <n v="0"/>
    <m/>
    <m/>
    <m/>
    <m/>
    <m/>
    <m/>
    <m/>
    <m/>
    <m/>
    <m/>
    <m/>
    <m/>
    <n v="84341.760000000009"/>
    <n v="-21046.709999999977"/>
    <m/>
    <m/>
    <m/>
    <m/>
    <n v="-21046.68"/>
    <n v="0"/>
    <n v="31"/>
    <n v="1976.7289491260326"/>
    <n v="191.14189978277909"/>
    <n v="891.46496033945004"/>
    <n v="0"/>
    <n v="0"/>
    <m/>
    <m/>
    <m/>
    <n v="894.122089003802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760.549222486225"/>
    <m/>
    <n v="0"/>
    <n v="0"/>
    <n v="-21046.679999999993"/>
    <m/>
    <n v="0"/>
    <m/>
    <n v="-23043.29388381546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02"/>
    <s v="Sistema de Compensação"/>
    <s v="Verde"/>
    <s v="A4"/>
    <s v="Comercial"/>
    <s v="Não se aplica"/>
    <s v="Não se aplica"/>
    <s v="Não se aplica"/>
    <s v="Não se aplica"/>
    <s v="CATIVO"/>
    <x v="1"/>
    <n v="648"/>
    <n v="648"/>
    <n v="0"/>
    <n v="0"/>
    <n v="0"/>
    <n v="0"/>
    <n v="27.19"/>
    <m/>
    <m/>
    <n v="17619.120000000003"/>
    <m/>
    <n v="17619.120000000003"/>
    <n v="14100.480000000001"/>
    <n v="0"/>
    <n v="0"/>
    <n v="0"/>
    <n v="0"/>
    <n v="151.11399750106148"/>
    <n v="145.17457591203475"/>
    <n v="15507.955597567356"/>
    <m/>
    <m/>
    <m/>
    <n v="0"/>
    <n v="0"/>
    <n v="0"/>
    <n v="0"/>
    <m/>
    <n v="0"/>
    <n v="320.68537054662067"/>
    <n v="1495.6415702714455"/>
    <n v="0"/>
    <n v="0"/>
    <m/>
    <m/>
    <n v="0"/>
    <n v="0"/>
    <n v="0"/>
    <m/>
    <m/>
    <n v="0"/>
    <m/>
    <n v="0"/>
    <n v="0"/>
    <n v="0"/>
    <n v="0"/>
    <m/>
    <n v="0"/>
    <n v="0"/>
    <n v="21.46"/>
    <n v="184.17"/>
    <n v="13393.7"/>
    <n v="5"/>
    <m/>
    <m/>
    <m/>
    <m/>
    <m/>
    <m/>
    <m/>
    <m/>
    <m/>
    <n v="0"/>
    <m/>
    <m/>
    <m/>
    <m/>
    <m/>
    <m/>
    <m/>
    <m/>
    <m/>
    <m/>
    <m/>
    <m/>
    <n v="14100.480000000001"/>
    <n v="-3518.6699999999964"/>
    <m/>
    <m/>
    <m/>
    <m/>
    <n v="-3518.64"/>
    <n v="0"/>
    <n v="31"/>
    <n v="330.47480883221579"/>
    <n v="31.955611728390295"/>
    <n v="149.03748562950568"/>
    <n v="0"/>
    <n v="0"/>
    <m/>
    <m/>
    <m/>
    <n v="149.481711474319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07.955597567356"/>
    <m/>
    <n v="0"/>
    <n v="0"/>
    <n v="-3518.6400000000012"/>
    <m/>
    <n v="0"/>
    <m/>
    <n v="-3852.43922515800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03"/>
    <s v="Regular"/>
    <s v="Branca"/>
    <s v="B3"/>
    <s v="Comercial"/>
    <s v="Não se aplica"/>
    <s v="Não se aplica"/>
    <s v="Não se aplica"/>
    <s v="Ponta"/>
    <s v="CATIVO"/>
    <x v="1"/>
    <n v="0"/>
    <n v="0"/>
    <n v="0.55800000000000005"/>
    <n v="0.55800000000000005"/>
    <n v="0.55800000000000005"/>
    <n v="0.55800000000000005"/>
    <m/>
    <n v="1553.42"/>
    <n v="173.25"/>
    <m/>
    <n v="963.4818600000001"/>
    <n v="963.4818600000001"/>
    <n v="914.13792000000012"/>
    <n v="0"/>
    <n v="34.342212225248687"/>
    <n v="0"/>
    <n v="0"/>
    <n v="60.514679296238711"/>
    <n v="4.184788018110372"/>
    <n v="400.86045012091449"/>
    <n v="95.049982586604656"/>
    <n v="1.6222363100420178"/>
    <n v="0"/>
    <n v="0"/>
    <n v="0"/>
    <n v="0"/>
    <n v="5.3060388947475792"/>
    <m/>
    <n v="0.67398404661439781"/>
    <n v="176.07911231389784"/>
    <n v="171.08620072083659"/>
    <n v="0"/>
    <n v="0"/>
    <n v="0"/>
    <n v="0"/>
    <n v="0"/>
    <n v="0"/>
    <n v="0"/>
    <n v="0"/>
    <n v="0"/>
    <n v="0"/>
    <m/>
    <n v="0"/>
    <n v="0"/>
    <n v="0"/>
    <n v="0"/>
    <n v="0"/>
    <n v="4.9884038383700773"/>
    <n v="0"/>
    <n v="0"/>
    <n v="0"/>
    <n v="0"/>
    <n v="0"/>
    <m/>
    <m/>
    <m/>
    <m/>
    <m/>
    <m/>
    <m/>
    <m/>
    <m/>
    <n v="100.03838642497473"/>
    <m/>
    <m/>
    <m/>
    <m/>
    <m/>
    <m/>
    <m/>
    <m/>
    <m/>
    <m/>
    <m/>
    <m/>
    <n v="917.41440000000011"/>
    <n v="-46.097459999999955"/>
    <m/>
    <m/>
    <m/>
    <m/>
    <n v="-61.391159999999992"/>
    <n v="12.047220000000003"/>
    <n v="31"/>
    <n v="50.235690322002824"/>
    <n v="17.545907183079947"/>
    <n v="17.04837421489367"/>
    <n v="0"/>
    <n v="0"/>
    <n v="0"/>
    <n v="0"/>
    <n v="0"/>
    <n v="4.3089450833553622"/>
    <n v="0"/>
    <n v="0"/>
    <n v="12.045859799195142"/>
    <n v="0"/>
    <n v="0"/>
    <n v="0"/>
    <n v="0.63218962932501288"/>
    <n v="0"/>
    <n v="-1.1661528544012754"/>
    <m/>
    <n v="0"/>
    <n v="0"/>
    <n v="0"/>
    <n v="0"/>
    <n v="-0.16036476105479114"/>
    <n v="-1.9067972390236609E-2"/>
    <n v="0"/>
    <n v="0"/>
    <m/>
    <m/>
    <m/>
    <n v="400.86045012091449"/>
    <n v="0"/>
    <n v="0"/>
    <n v="-61.391160000000013"/>
    <n v="12.04722000000001"/>
    <n v="0"/>
    <n v="0"/>
    <n v="-99.580535431927615"/>
    <n v="0"/>
    <n v="0"/>
    <n v="0"/>
    <n v="0"/>
    <n v="0"/>
    <n v="0"/>
    <n v="0"/>
    <n v="0"/>
    <n v="0"/>
    <n v="0"/>
    <n v="0"/>
    <n v="0"/>
    <n v="8.770388506491416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04"/>
    <s v="Regular"/>
    <s v="Branca"/>
    <s v="B3"/>
    <s v="Comercial"/>
    <s v="Não se aplica"/>
    <s v="Não se aplica"/>
    <s v="Não se aplica"/>
    <s v="Fora ponta"/>
    <s v="CATIVO"/>
    <x v="1"/>
    <n v="0"/>
    <n v="0"/>
    <n v="7.4649999999999999"/>
    <n v="7.4649999999999999"/>
    <n v="7.4649999999999999"/>
    <n v="7.4649999999999999"/>
    <m/>
    <n v="388.22"/>
    <n v="173.25"/>
    <m/>
    <n v="4191.3735500000003"/>
    <n v="4191.3735500000003"/>
    <n v="4180.6239500000001"/>
    <n v="0"/>
    <n v="459.43479258330001"/>
    <n v="0"/>
    <n v="0"/>
    <n v="161.91472435355627"/>
    <n v="11.196943292006766"/>
    <n v="1072.5539437554758"/>
    <n v="1271.5916129193615"/>
    <n v="21.702498305490433"/>
    <n v="0"/>
    <n v="0"/>
    <n v="0"/>
    <n v="0"/>
    <n v="70.984911020234179"/>
    <m/>
    <n v="9.0166503727177041"/>
    <n v="471.12206932732875"/>
    <n v="457.76289906130648"/>
    <n v="0"/>
    <n v="0"/>
    <n v="0"/>
    <n v="0"/>
    <n v="0"/>
    <n v="0"/>
    <n v="0"/>
    <n v="0"/>
    <n v="0"/>
    <n v="0"/>
    <m/>
    <n v="0"/>
    <n v="0"/>
    <n v="0"/>
    <n v="0"/>
    <n v="0"/>
    <n v="66.735545973893593"/>
    <n v="0"/>
    <n v="0"/>
    <n v="0"/>
    <n v="0"/>
    <n v="0"/>
    <m/>
    <m/>
    <m/>
    <m/>
    <m/>
    <m/>
    <m/>
    <m/>
    <m/>
    <n v="1338.327158893255"/>
    <m/>
    <m/>
    <m/>
    <m/>
    <m/>
    <m/>
    <m/>
    <m/>
    <m/>
    <m/>
    <m/>
    <m/>
    <n v="4183.4241000000002"/>
    <n v="-7.9794500000007247"/>
    <m/>
    <m/>
    <m/>
    <m/>
    <n v="-171.91895000000022"/>
    <n v="161.16935000000001"/>
    <n v="31"/>
    <n v="255.69778804049201"/>
    <n v="46.946307212075112"/>
    <n v="45.615094449526509"/>
    <n v="0"/>
    <n v="0"/>
    <n v="0"/>
    <n v="0"/>
    <n v="0"/>
    <n v="11.529141628656985"/>
    <n v="0"/>
    <n v="0"/>
    <n v="161.15115304837218"/>
    <n v="0"/>
    <n v="0"/>
    <n v="0"/>
    <n v="8.4575189657907117"/>
    <n v="0"/>
    <n v="-15.600951717035002"/>
    <m/>
    <n v="0"/>
    <n v="0"/>
    <n v="0"/>
    <n v="0"/>
    <n v="-2.1453816151864089"/>
    <n v="-0.25509393170809425"/>
    <n v="0"/>
    <n v="0"/>
    <m/>
    <m/>
    <m/>
    <n v="1072.5539437554758"/>
    <n v="0"/>
    <n v="0"/>
    <n v="-171.91895000000022"/>
    <n v="161.16935000000012"/>
    <n v="0"/>
    <n v="0"/>
    <n v="-266.44059289605309"/>
    <n v="0"/>
    <n v="0"/>
    <n v="0"/>
    <n v="0"/>
    <n v="0"/>
    <n v="0"/>
    <n v="0"/>
    <n v="0"/>
    <n v="0"/>
    <n v="0"/>
    <n v="0"/>
    <n v="0"/>
    <n v="117.331451973043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05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57"/>
    <n v="39.51"/>
    <n v="2821.52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06"/>
    <s v="Regular"/>
    <s v="Branca"/>
    <s v="B3"/>
    <s v="Comercial"/>
    <s v="Não se aplica"/>
    <s v="Não se aplica"/>
    <s v="Não se aplica"/>
    <s v="Intermediário"/>
    <s v="CATIVO"/>
    <x v="1"/>
    <n v="0"/>
    <n v="0"/>
    <n v="0.434"/>
    <n v="0.434"/>
    <n v="0.434"/>
    <n v="0.434"/>
    <m/>
    <n v="970.82"/>
    <n v="173.25"/>
    <m/>
    <n v="496.52638000000002"/>
    <n v="496.52638000000002"/>
    <n v="477.02242000000001"/>
    <n v="0"/>
    <n v="26.710609508526755"/>
    <n v="0"/>
    <n v="0"/>
    <n v="28.240183671578105"/>
    <n v="1.9529029023700974"/>
    <n v="187.06825679446638"/>
    <n v="73.927764234025844"/>
    <n v="1.2617393522549025"/>
    <n v="0"/>
    <n v="0"/>
    <n v="0"/>
    <n v="0"/>
    <n v="4.1269191403592282"/>
    <m/>
    <n v="0.52420981403342048"/>
    <n v="82.170252413152241"/>
    <n v="79.840227003057251"/>
    <n v="0"/>
    <n v="0"/>
    <n v="0"/>
    <n v="0"/>
    <n v="0"/>
    <n v="0"/>
    <n v="0"/>
    <n v="0"/>
    <n v="0"/>
    <n v="0"/>
    <m/>
    <n v="0"/>
    <n v="0"/>
    <n v="0"/>
    <n v="0"/>
    <n v="0"/>
    <n v="3.8798696520656155"/>
    <n v="0"/>
    <n v="0"/>
    <n v="0"/>
    <n v="0"/>
    <n v="0"/>
    <m/>
    <m/>
    <m/>
    <m/>
    <m/>
    <m/>
    <m/>
    <m/>
    <m/>
    <n v="77.807633886091466"/>
    <m/>
    <m/>
    <m/>
    <m/>
    <m/>
    <m/>
    <m/>
    <m/>
    <m/>
    <m/>
    <m/>
    <m/>
    <n v="472.6259"/>
    <n v="-23.930479999999989"/>
    <m/>
    <m/>
    <m/>
    <m/>
    <n v="-28.874020000000037"/>
    <n v="9.3700600000000023"/>
    <n v="31"/>
    <n v="26.968979448830169"/>
    <n v="8.1880900187707084"/>
    <n v="7.9559079669499226"/>
    <n v="0"/>
    <n v="0"/>
    <n v="0"/>
    <n v="0"/>
    <n v="0"/>
    <n v="2.0108429203632232"/>
    <n v="0"/>
    <n v="0"/>
    <n v="9.3690020660406645"/>
    <n v="0"/>
    <n v="0"/>
    <n v="0"/>
    <n v="0.49170304503056572"/>
    <n v="0"/>
    <n v="-0.90700777564543955"/>
    <m/>
    <n v="0"/>
    <n v="0"/>
    <n v="0"/>
    <n v="0"/>
    <n v="-0.12472814748706007"/>
    <n v="-1.4830645192406289E-2"/>
    <n v="0"/>
    <n v="0"/>
    <m/>
    <m/>
    <m/>
    <n v="187.06825679446638"/>
    <n v="0"/>
    <n v="0"/>
    <n v="-28.87402000000003"/>
    <n v="9.3700599999999952"/>
    <n v="0"/>
    <n v="0"/>
    <n v="-46.470928145421254"/>
    <n v="0"/>
    <n v="0"/>
    <n v="0"/>
    <n v="0"/>
    <n v="0"/>
    <n v="0"/>
    <n v="0"/>
    <n v="0"/>
    <n v="0"/>
    <n v="0"/>
    <n v="0"/>
    <n v="0"/>
    <n v="6.82141328282665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07"/>
    <s v="Regular"/>
    <s v="Convencional"/>
    <s v="B2"/>
    <s v="Rural"/>
    <s v="Não se aplica"/>
    <s v="Não se aplica"/>
    <s v="Não se aplica"/>
    <s v="Não se aplica"/>
    <s v="CATIVO"/>
    <x v="1"/>
    <n v="0"/>
    <n v="0"/>
    <n v="5985.8609999999999"/>
    <n v="5985.8609999999999"/>
    <n v="5985.8609999999999"/>
    <n v="5985.8609999999999"/>
    <m/>
    <n v="368.24"/>
    <n v="173.25"/>
    <m/>
    <n v="3241283.8728900002"/>
    <n v="3241283.8728900002"/>
    <n v="3046144.8042900003"/>
    <n v="0"/>
    <n v="368400.91185096651"/>
    <n v="0"/>
    <n v="0"/>
    <n v="15321.03489048287"/>
    <n v="14720.078970885903"/>
    <n v="1409892.3756234907"/>
    <n v="1019634.3795982723"/>
    <n v="17402.295808359177"/>
    <n v="0"/>
    <n v="0"/>
    <n v="0"/>
    <n v="0"/>
    <n v="56919.733484861354"/>
    <m/>
    <n v="7230.0624000919452"/>
    <n v="32523.550506824322"/>
    <n v="151652.51791266186"/>
    <n v="0"/>
    <n v="0"/>
    <n v="0"/>
    <n v="0"/>
    <n v="0"/>
    <n v="0"/>
    <n v="0"/>
    <n v="0"/>
    <n v="0"/>
    <n v="0"/>
    <m/>
    <n v="0"/>
    <n v="0"/>
    <n v="0"/>
    <n v="0"/>
    <n v="0"/>
    <n v="53512.351233601701"/>
    <n v="0"/>
    <n v="2083.9899999999998"/>
    <n v="18522.740000000002"/>
    <n v="182979.42"/>
    <n v="15970"/>
    <m/>
    <m/>
    <m/>
    <m/>
    <m/>
    <n v="365496.67266000004"/>
    <m/>
    <m/>
    <m/>
    <n v="1073146.7308318741"/>
    <m/>
    <m/>
    <m/>
    <m/>
    <m/>
    <m/>
    <m/>
    <m/>
    <m/>
    <m/>
    <m/>
    <m/>
    <n v="2680647.6837999998"/>
    <n v="-171674.97130999994"/>
    <m/>
    <m/>
    <m/>
    <m/>
    <n v="-324373.80758999998"/>
    <n v="129234.73899000001"/>
    <n v="31"/>
    <n v="155076.85547328787"/>
    <n v="3240.9022907818653"/>
    <n v="15111.849261440919"/>
    <n v="0"/>
    <n v="0"/>
    <n v="0"/>
    <n v="0"/>
    <n v="0"/>
    <n v="15156.804032535545"/>
    <n v="0"/>
    <n v="0"/>
    <n v="129220.14764062734"/>
    <n v="0"/>
    <n v="0"/>
    <n v="0"/>
    <n v="6781.7190802527766"/>
    <n v="0"/>
    <n v="-12509.729195697641"/>
    <m/>
    <n v="0"/>
    <n v="0"/>
    <n v="0"/>
    <n v="0"/>
    <n v="-1720.2888332834991"/>
    <n v="-204.54880336880706"/>
    <n v="0"/>
    <n v="0"/>
    <m/>
    <m/>
    <m/>
    <n v="1409892.3756234907"/>
    <n v="0"/>
    <n v="0"/>
    <n v="-324373.8075900001"/>
    <n v="129234.7389900001"/>
    <n v="0"/>
    <n v="0"/>
    <n v="-350241.18149752915"/>
    <n v="0"/>
    <n v="0"/>
    <n v="0"/>
    <n v="0"/>
    <n v="0"/>
    <n v="0"/>
    <n v="0"/>
    <n v="0"/>
    <n v="0"/>
    <n v="0"/>
    <n v="0"/>
    <n v="0"/>
    <n v="94083.02242984803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08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41699999999999998"/>
    <n v="-0.41699999999999998"/>
    <n v="-0.41699999999999998"/>
    <n v="-0.41699999999999998"/>
    <m/>
    <n v="368.24"/>
    <n v="173.25"/>
    <m/>
    <n v="-225.80133000000001"/>
    <n v="-225.80133000000001"/>
    <n v="-212.20713000000001"/>
    <n v="0"/>
    <n v="-25.664341394137455"/>
    <n v="0"/>
    <n v="0"/>
    <n v="-1.0673270811553019"/>
    <n v="-1.0254619896551926"/>
    <n v="-98.218973115980404"/>
    <n v="-71.031976234075515"/>
    <n v="-1.2123163822357013"/>
    <n v="0"/>
    <n v="0"/>
    <n v="0"/>
    <n v="0"/>
    <n v="-3.9652656256446956"/>
    <m/>
    <n v="-0.50367624988925419"/>
    <n v="-2.2657259434099357"/>
    <n v="-10.564745818451179"/>
    <n v="0"/>
    <n v="0"/>
    <n v="0"/>
    <n v="0"/>
    <n v="0"/>
    <n v="0"/>
    <n v="0"/>
    <n v="0"/>
    <n v="0"/>
    <n v="0"/>
    <m/>
    <n v="0"/>
    <n v="0"/>
    <n v="0"/>
    <n v="0"/>
    <n v="0"/>
    <n v="-3.7278931910400037"/>
    <n v="0"/>
    <n v="-0.27"/>
    <n v="-2.56"/>
    <n v="-184.15"/>
    <n v="0"/>
    <m/>
    <m/>
    <m/>
    <m/>
    <m/>
    <n v="-25.462019999999999"/>
    <m/>
    <m/>
    <m/>
    <n v="-74.759869425115525"/>
    <m/>
    <m/>
    <m/>
    <m/>
    <m/>
    <m/>
    <m/>
    <m/>
    <m/>
    <m/>
    <m/>
    <m/>
    <n v="-188.08859999999999"/>
    <n v="10.586070000000035"/>
    <m/>
    <m/>
    <m/>
    <m/>
    <n v="22.59723"/>
    <n v="-9.0030300000000008"/>
    <n v="31"/>
    <n v="-10.803299430501539"/>
    <n v="-0.22577474740159165"/>
    <n v="-1.0527543392706367"/>
    <n v="0"/>
    <n v="0"/>
    <n v="0"/>
    <n v="0"/>
    <n v="0"/>
    <n v="-1.0558860757988404"/>
    <n v="0"/>
    <n v="0"/>
    <n v="-9.0020135058501296"/>
    <n v="0"/>
    <n v="0"/>
    <n v="0"/>
    <n v="-0.4724427875063264"/>
    <n v="0"/>
    <n v="0.87147982129987867"/>
    <m/>
    <n v="0"/>
    <n v="0"/>
    <n v="0"/>
    <n v="0"/>
    <n v="0.11984248272374165"/>
    <n v="1.4249721302381113E-2"/>
    <n v="0"/>
    <n v="0"/>
    <m/>
    <m/>
    <m/>
    <n v="-98.218973115980404"/>
    <n v="0"/>
    <n v="0"/>
    <n v="22.597229999999996"/>
    <n v="-9.0030299999999954"/>
    <n v="0"/>
    <n v="0"/>
    <n v="24.399258967835976"/>
    <n v="0"/>
    <n v="0"/>
    <n v="0"/>
    <n v="0"/>
    <n v="0"/>
    <n v="0"/>
    <n v="0"/>
    <n v="0"/>
    <n v="0"/>
    <n v="0"/>
    <n v="0"/>
    <n v="0"/>
    <n v="-6.554215066679067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09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57.76300000000001"/>
    <n v="157.76300000000001"/>
    <n v="157.76300000000001"/>
    <n v="157.76300000000001"/>
    <m/>
    <n v="368.24"/>
    <n v="173.25"/>
    <m/>
    <n v="85427.086869999999"/>
    <n v="85427.086869999999"/>
    <n v="80284.013070000001"/>
    <n v="0"/>
    <n v="9709.5527370822729"/>
    <n v="0"/>
    <n v="0"/>
    <n v="403.80029329569282"/>
    <n v="387.96153446995726"/>
    <n v="37159.040421334335"/>
    <n v="26873.423660950735"/>
    <n v="458.65388347877928"/>
    <n v="0"/>
    <n v="0"/>
    <n v="0"/>
    <n v="0"/>
    <n v="1500.1731436416887"/>
    <m/>
    <n v="190.55509882800578"/>
    <n v="857.18878179899696"/>
    <n v="3996.9448310702965"/>
    <n v="0"/>
    <n v="0"/>
    <n v="0"/>
    <n v="0"/>
    <n v="0"/>
    <n v="0"/>
    <n v="0"/>
    <n v="0"/>
    <n v="0"/>
    <n v="0"/>
    <m/>
    <n v="0"/>
    <n v="0"/>
    <n v="0"/>
    <n v="0"/>
    <n v="0"/>
    <n v="1410.3683776931514"/>
    <n v="0"/>
    <n v="56.84"/>
    <n v="496.06"/>
    <n v="2455.9299999999998"/>
    <n v="184"/>
    <m/>
    <m/>
    <m/>
    <m/>
    <m/>
    <n v="9633.0087800000001"/>
    <m/>
    <m/>
    <m/>
    <n v="28283.792038643885"/>
    <m/>
    <m/>
    <m/>
    <m/>
    <m/>
    <m/>
    <m/>
    <m/>
    <m/>
    <m/>
    <m/>
    <m/>
    <n v="70649.660799999998"/>
    <n v="-4526.0163300000131"/>
    <m/>
    <m/>
    <m/>
    <m/>
    <n v="-8549.1769700000004"/>
    <n v="3406.1031700000008"/>
    <n v="31"/>
    <n v="4087.1964701539764"/>
    <n v="85.417029914429918"/>
    <n v="398.28700917590686"/>
    <n v="0"/>
    <n v="0"/>
    <n v="0"/>
    <n v="0"/>
    <n v="0"/>
    <n v="399.47183447542562"/>
    <n v="0"/>
    <n v="0"/>
    <n v="3405.7186012552374"/>
    <n v="0"/>
    <n v="0"/>
    <n v="0"/>
    <n v="178.73858869391051"/>
    <n v="0"/>
    <n v="-329.70568596578596"/>
    <m/>
    <n v="0"/>
    <n v="0"/>
    <n v="0"/>
    <n v="0"/>
    <n v="-45.339831179725934"/>
    <n v="-5.3910762154137899"/>
    <n v="0"/>
    <n v="0"/>
    <m/>
    <m/>
    <m/>
    <n v="37159.040421334335"/>
    <n v="0"/>
    <n v="0"/>
    <n v="-8549.1769700000004"/>
    <n v="3406.1031699999985"/>
    <n v="0"/>
    <n v="0"/>
    <n v="-9230.9359533398238"/>
    <n v="0"/>
    <n v="0"/>
    <n v="0"/>
    <n v="0"/>
    <n v="0"/>
    <n v="0"/>
    <n v="0"/>
    <n v="0"/>
    <n v="0"/>
    <n v="0"/>
    <n v="0"/>
    <n v="0"/>
    <n v="2479.646598475994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10"/>
    <s v="Regular"/>
    <s v="Verde"/>
    <s v="A4"/>
    <s v="Rural"/>
    <s v="Não se aplica"/>
    <s v="Não se aplica"/>
    <s v="Não se aplica"/>
    <s v="Ponta"/>
    <s v="CATIVO"/>
    <x v="1"/>
    <n v="0"/>
    <n v="0"/>
    <n v="6.7430000000000003"/>
    <n v="6.4732799999999999"/>
    <n v="6.7430000000000003"/>
    <n v="6.4732799999999999"/>
    <m/>
    <n v="1358.36"/>
    <n v="173.25"/>
    <m/>
    <n v="10327.646229999998"/>
    <n v="10327.646229999998"/>
    <n v="9055.3095599999997"/>
    <n v="0"/>
    <n v="361.04927817261819"/>
    <n v="0"/>
    <n v="0"/>
    <n v="127.72650164652802"/>
    <n v="122.71690549984977"/>
    <n v="6800.3675343848272"/>
    <n v="1148.6057931567657"/>
    <n v="19.603475696439652"/>
    <n v="0"/>
    <n v="0"/>
    <n v="0"/>
    <n v="0"/>
    <n v="64.119391160005236"/>
    <m/>
    <n v="5.399887637720842"/>
    <n v="271.14157405002879"/>
    <n v="1264.2862102468209"/>
    <n v="0"/>
    <n v="0"/>
    <n v="0"/>
    <n v="0"/>
    <n v="0"/>
    <n v="0"/>
    <n v="0"/>
    <n v="0"/>
    <n v="0"/>
    <n v="0"/>
    <m/>
    <n v="0"/>
    <n v="0"/>
    <n v="0"/>
    <n v="0"/>
    <n v="0"/>
    <n v="50.428581339203525"/>
    <n v="0"/>
    <n v="0"/>
    <n v="0"/>
    <n v="0"/>
    <n v="0"/>
    <m/>
    <m/>
    <m/>
    <m/>
    <m/>
    <n v="362.21238240000054"/>
    <m/>
    <m/>
    <m/>
    <n v="1199.0343744959691"/>
    <m/>
    <m/>
    <m/>
    <m/>
    <m/>
    <m/>
    <m/>
    <m/>
    <m/>
    <m/>
    <m/>
    <m/>
    <n v="8688.6923999999999"/>
    <n v="-1225.8779807999999"/>
    <m/>
    <m/>
    <m/>
    <m/>
    <n v="-1417.9180399999998"/>
    <n v="145.58137000000002"/>
    <n v="31"/>
    <n v="416.96494299251663"/>
    <n v="27.0186783045271"/>
    <n v="125.98341851186183"/>
    <n v="0"/>
    <n v="0"/>
    <n v="0"/>
    <n v="0"/>
    <n v="0"/>
    <n v="126.35775200793408"/>
    <n v="0"/>
    <n v="0"/>
    <n v="145.56493302145668"/>
    <n v="0"/>
    <n v="0"/>
    <n v="0"/>
    <n v="6.3909072274775696"/>
    <n v="0"/>
    <n v="-12.260090979548409"/>
    <m/>
    <n v="0"/>
    <n v="0"/>
    <n v="0"/>
    <n v="0"/>
    <n v="-1.9378845587678413"/>
    <n v="-0.15277054242405974"/>
    <n v="0"/>
    <n v="0"/>
    <m/>
    <m/>
    <m/>
    <n v="6800.3675343848272"/>
    <n v="0"/>
    <n v="0"/>
    <n v="-1417.9180399999996"/>
    <n v="145.58137000000011"/>
    <n v="0"/>
    <n v="0"/>
    <n v="-1689.3266472251789"/>
    <n v="0"/>
    <n v="0"/>
    <n v="0"/>
    <n v="0"/>
    <n v="0"/>
    <n v="0"/>
    <n v="0"/>
    <n v="0"/>
    <n v="0"/>
    <n v="0"/>
    <n v="0"/>
    <n v="0"/>
    <n v="92.20554630531616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11"/>
    <s v="Regular"/>
    <s v="Verde"/>
    <s v="A4"/>
    <s v="Rural"/>
    <s v="Não se aplica"/>
    <s v="Não se aplica"/>
    <s v="Não se aplica"/>
    <s v="Fora ponta"/>
    <s v="CATIVO"/>
    <x v="1"/>
    <n v="0"/>
    <n v="0"/>
    <n v="82.043999999999997"/>
    <n v="78.762240000000006"/>
    <n v="82.043999999999997"/>
    <n v="78.762240000000006"/>
    <m/>
    <n v="85.01"/>
    <n v="173.25"/>
    <m/>
    <n v="21188.683440000001"/>
    <n v="21188.683440000001"/>
    <n v="22863.20148"/>
    <n v="0"/>
    <n v="4392.9893190559524"/>
    <n v="0"/>
    <n v="0"/>
    <n v="0"/>
    <n v="0"/>
    <n v="0"/>
    <n v="13975.413568701419"/>
    <n v="238.52106777972634"/>
    <n v="0"/>
    <n v="0"/>
    <n v="0"/>
    <n v="0"/>
    <n v="780.15888007288595"/>
    <m/>
    <n v="65.701969649884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3.57890069607197"/>
    <n v="0"/>
    <n v="0"/>
    <n v="0"/>
    <n v="0"/>
    <n v="0"/>
    <m/>
    <m/>
    <m/>
    <m/>
    <m/>
    <n v="914.52805919999764"/>
    <m/>
    <m/>
    <m/>
    <n v="14588.99246939749"/>
    <m/>
    <m/>
    <m/>
    <m/>
    <m/>
    <m/>
    <m/>
    <m/>
    <m/>
    <m/>
    <m/>
    <m/>
    <n v="21948.049200000001"/>
    <n v="1606.883097599999"/>
    <m/>
    <m/>
    <m/>
    <m/>
    <n v="-96.811920000000555"/>
    <n v="1771.3299600000003"/>
    <n v="31"/>
    <n v="1674.2803419746851"/>
    <n v="0"/>
    <n v="0"/>
    <n v="0"/>
    <n v="0"/>
    <n v="0"/>
    <n v="0"/>
    <n v="0"/>
    <n v="0"/>
    <n v="0"/>
    <n v="0"/>
    <n v="1771.1299666042414"/>
    <n v="0"/>
    <n v="0"/>
    <n v="0"/>
    <n v="77.759987034134724"/>
    <n v="0"/>
    <n v="-149.17201606496747"/>
    <m/>
    <n v="0"/>
    <n v="0"/>
    <n v="0"/>
    <n v="0"/>
    <n v="-23.578792931862608"/>
    <n v="-1.8588026668603845"/>
    <n v="0"/>
    <n v="0"/>
    <m/>
    <m/>
    <m/>
    <n v="0"/>
    <n v="0"/>
    <n v="0"/>
    <n v="-96.81192000000101"/>
    <n v="1771.3299600000009"/>
    <n v="0"/>
    <n v="0"/>
    <n v="0"/>
    <n v="0"/>
    <n v="0"/>
    <n v="0"/>
    <n v="0"/>
    <n v="0"/>
    <n v="0"/>
    <n v="0"/>
    <n v="0"/>
    <n v="0"/>
    <n v="0"/>
    <n v="0"/>
    <n v="0"/>
    <n v="1121.891122804887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12"/>
    <s v="Sistema de Compensação"/>
    <s v="Verde"/>
    <s v="A4"/>
    <s v="Rural"/>
    <s v="Não se aplica"/>
    <s v="Não se aplica"/>
    <s v="Não se aplica"/>
    <s v="Fora ponta"/>
    <s v="CATIVO"/>
    <x v="1"/>
    <n v="0"/>
    <n v="0"/>
    <n v="28.638000000000002"/>
    <n v="27.49248"/>
    <n v="28.638000000000002"/>
    <n v="27.49248"/>
    <m/>
    <n v="85.01"/>
    <n v="173.25"/>
    <m/>
    <n v="7396.0498800000005"/>
    <n v="7396.0498800000005"/>
    <n v="7980.5514600000006"/>
    <n v="0"/>
    <n v="1533.4019321233043"/>
    <n v="0"/>
    <n v="0"/>
    <n v="0"/>
    <n v="0"/>
    <n v="0"/>
    <n v="4878.2103966221939"/>
    <n v="83.257353847640331"/>
    <n v="0"/>
    <n v="0"/>
    <n v="0"/>
    <n v="0"/>
    <n v="272.31960908204508"/>
    <m/>
    <n v="22.933706387223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.17376722410063"/>
    <n v="0"/>
    <n v="0"/>
    <n v="0"/>
    <n v="0"/>
    <n v="0"/>
    <m/>
    <m/>
    <m/>
    <m/>
    <m/>
    <n v="319.22205840000032"/>
    <m/>
    <m/>
    <m/>
    <n v="5092.3841638462945"/>
    <m/>
    <m/>
    <m/>
    <m/>
    <m/>
    <m/>
    <m/>
    <m/>
    <m/>
    <m/>
    <m/>
    <m/>
    <n v="7660.6383000000005"/>
    <n v="560.40041519999977"/>
    <m/>
    <m/>
    <m/>
    <m/>
    <n v="-33.792840000000197"/>
    <n v="618.29442000000017"/>
    <n v="31"/>
    <n v="584.41860993455975"/>
    <n v="0"/>
    <n v="0"/>
    <n v="0"/>
    <n v="0"/>
    <n v="0"/>
    <n v="0"/>
    <n v="0"/>
    <n v="0"/>
    <n v="0"/>
    <n v="0"/>
    <n v="618.22461098449912"/>
    <n v="0"/>
    <n v="0"/>
    <n v="0"/>
    <n v="27.142636983613045"/>
    <n v="0"/>
    <n v="-52.069477305696182"/>
    <m/>
    <n v="0"/>
    <n v="0"/>
    <n v="0"/>
    <n v="0"/>
    <n v="-8.2303333818765054"/>
    <n v="-0.64882734597956926"/>
    <n v="0"/>
    <n v="0"/>
    <m/>
    <m/>
    <m/>
    <n v="0"/>
    <n v="0"/>
    <n v="0"/>
    <n v="-33.792840000000524"/>
    <n v="618.29442000000017"/>
    <n v="0"/>
    <n v="0"/>
    <n v="0"/>
    <n v="0"/>
    <n v="0"/>
    <n v="0"/>
    <n v="0"/>
    <n v="0"/>
    <n v="0"/>
    <n v="0"/>
    <n v="0"/>
    <n v="0"/>
    <n v="0"/>
    <n v="0"/>
    <n v="0"/>
    <n v="391.6035051300080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13"/>
    <s v="Regular"/>
    <s v="Verde"/>
    <s v="A4"/>
    <s v="Rural"/>
    <s v="Não se aplica"/>
    <s v="Não se aplica"/>
    <s v="Não se aplica"/>
    <s v="Não se aplica"/>
    <s v="CATIVO"/>
    <x v="1"/>
    <n v="649"/>
    <n v="623.04"/>
    <n v="0"/>
    <n v="0"/>
    <n v="0"/>
    <n v="0"/>
    <n v="27.19"/>
    <m/>
    <m/>
    <n v="17646.310000000001"/>
    <m/>
    <n v="17646.310000000001"/>
    <n v="14122.240000000002"/>
    <n v="0"/>
    <n v="0"/>
    <n v="0"/>
    <n v="0"/>
    <n v="151.34719811448903"/>
    <n v="145.39861075140519"/>
    <n v="15531.887627810514"/>
    <m/>
    <m/>
    <m/>
    <n v="0"/>
    <n v="0"/>
    <n v="0"/>
    <n v="0"/>
    <m/>
    <n v="0"/>
    <n v="321.18025537771115"/>
    <n v="1497.9496591144571"/>
    <n v="0"/>
    <n v="0"/>
    <m/>
    <m/>
    <n v="0"/>
    <n v="0"/>
    <n v="0"/>
    <m/>
    <m/>
    <n v="0"/>
    <m/>
    <n v="0"/>
    <n v="0"/>
    <n v="0"/>
    <n v="0"/>
    <m/>
    <n v="0"/>
    <n v="0"/>
    <n v="37.07"/>
    <n v="317.89999999999998"/>
    <n v="24.87"/>
    <n v="4"/>
    <m/>
    <m/>
    <m/>
    <m/>
    <m/>
    <n v="564.88960000000088"/>
    <m/>
    <m/>
    <m/>
    <n v="0"/>
    <m/>
    <m/>
    <m/>
    <m/>
    <m/>
    <m/>
    <m/>
    <m/>
    <m/>
    <m/>
    <m/>
    <m/>
    <n v="13557.350399999999"/>
    <n v="-3383.1371999999974"/>
    <m/>
    <m/>
    <m/>
    <m/>
    <n v="-3524.0699999999997"/>
    <n v="0"/>
    <n v="31"/>
    <n v="330.98480082115429"/>
    <n v="32.004925944020556"/>
    <n v="149.26748174930435"/>
    <n v="0"/>
    <n v="0"/>
    <m/>
    <m/>
    <m/>
    <n v="149.71239312782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31.887627810514"/>
    <m/>
    <n v="0"/>
    <n v="0"/>
    <n v="-3524.0699999999997"/>
    <m/>
    <n v="0"/>
    <m/>
    <n v="-3858.384347419048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14"/>
    <s v="Sistema de Compensação"/>
    <s v="Verde"/>
    <s v="A4"/>
    <s v="Rural"/>
    <s v="Não se aplica"/>
    <s v="Não se aplica"/>
    <s v="Não se aplica"/>
    <s v="Não se aplica"/>
    <s v="CATIVO"/>
    <x v="1"/>
    <n v="130"/>
    <n v="124.8"/>
    <n v="0"/>
    <n v="0"/>
    <n v="0"/>
    <n v="0"/>
    <n v="27.19"/>
    <m/>
    <m/>
    <n v="3534.7000000000003"/>
    <m/>
    <n v="3534.7000000000003"/>
    <n v="2828.8"/>
    <n v="0"/>
    <n v="0"/>
    <n v="0"/>
    <n v="0"/>
    <n v="30.316079745583323"/>
    <n v="29.12452911815512"/>
    <n v="3111.1639316107348"/>
    <m/>
    <m/>
    <m/>
    <n v="0"/>
    <n v="0"/>
    <n v="0"/>
    <n v="0"/>
    <m/>
    <n v="0"/>
    <n v="64.335028041760324"/>
    <n v="300.05154959149371"/>
    <n v="0"/>
    <n v="0"/>
    <m/>
    <m/>
    <n v="0"/>
    <n v="0"/>
    <n v="0"/>
    <m/>
    <m/>
    <n v="0"/>
    <m/>
    <n v="0"/>
    <n v="0"/>
    <n v="0"/>
    <n v="0"/>
    <m/>
    <n v="0"/>
    <n v="0"/>
    <n v="9.2799999999999994"/>
    <n v="79.599999999999994"/>
    <n v="5.12"/>
    <n v="1"/>
    <m/>
    <m/>
    <m/>
    <m/>
    <m/>
    <n v="113.15200000000007"/>
    <m/>
    <m/>
    <m/>
    <n v="0"/>
    <m/>
    <m/>
    <m/>
    <m/>
    <m/>
    <m/>
    <m/>
    <m/>
    <m/>
    <m/>
    <m/>
    <m/>
    <n v="2715.6480000000001"/>
    <n v="-677.69400000000041"/>
    <m/>
    <m/>
    <m/>
    <m/>
    <n v="-705.9"/>
    <n v="0"/>
    <n v="31"/>
    <n v="66.29895856201864"/>
    <n v="6.4108480319301577"/>
    <n v="29.899495573820559"/>
    <n v="0"/>
    <n v="0"/>
    <m/>
    <m/>
    <m/>
    <n v="29.9886149562678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11.1639316107348"/>
    <m/>
    <n v="0"/>
    <n v="0"/>
    <n v="-705.90000000000009"/>
    <m/>
    <n v="0"/>
    <m/>
    <n v="-772.8658939360188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15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478.49299999999999"/>
    <n v="478.49299999999999"/>
    <n v="478.49299999999999"/>
    <n v="478.49299999999999"/>
    <m/>
    <n v="368.24"/>
    <n v="173.25"/>
    <m/>
    <n v="259099.17457"/>
    <n v="259099.17457"/>
    <n v="243500.30277000001"/>
    <n v="0"/>
    <n v="29448.939344616341"/>
    <n v="0"/>
    <n v="0"/>
    <n v="1224.7207123339181"/>
    <n v="1176.6819755781346"/>
    <n v="112702.85636255352"/>
    <n v="81506.722791778171"/>
    <n v="1391.0908937292745"/>
    <n v="0"/>
    <n v="0"/>
    <n v="0"/>
    <n v="0"/>
    <n v="4550.0044244882674"/>
    <m/>
    <n v="577.95098282556091"/>
    <n v="2599.8417358274592"/>
    <n v="12122.67846740566"/>
    <n v="0"/>
    <n v="0"/>
    <n v="0"/>
    <n v="0"/>
    <n v="0"/>
    <n v="0"/>
    <n v="0"/>
    <n v="0"/>
    <n v="0"/>
    <n v="0"/>
    <m/>
    <n v="0"/>
    <n v="0"/>
    <n v="0"/>
    <n v="0"/>
    <n v="0"/>
    <n v="4277.6278097369413"/>
    <n v="0"/>
    <n v="197.14"/>
    <n v="1710.61"/>
    <n v="110924.39"/>
    <n v="583"/>
    <m/>
    <m/>
    <m/>
    <m/>
    <m/>
    <m/>
    <m/>
    <m/>
    <m/>
    <n v="85784.350601515107"/>
    <m/>
    <m/>
    <m/>
    <m/>
    <m/>
    <m/>
    <m/>
    <m/>
    <m/>
    <m/>
    <m/>
    <m/>
    <n v="243498.77610000002"/>
    <n v="-15600.428470000013"/>
    <m/>
    <m/>
    <m/>
    <m/>
    <n v="-25929.535669999997"/>
    <n v="10330.663870000002"/>
    <n v="31"/>
    <n v="12396.410442203749"/>
    <n v="259.06867196266103"/>
    <n v="1207.9989977473015"/>
    <n v="0"/>
    <n v="0"/>
    <n v="0"/>
    <n v="0"/>
    <n v="0"/>
    <n v="1211.5925565161021"/>
    <n v="0"/>
    <n v="0"/>
    <n v="10329.497478308753"/>
    <n v="0"/>
    <n v="0"/>
    <n v="0"/>
    <n v="542.11167079679853"/>
    <n v="0"/>
    <n v="-999.99279168643625"/>
    <m/>
    <n v="0"/>
    <n v="0"/>
    <n v="0"/>
    <n v="0"/>
    <n v="-137.51508174084302"/>
    <n v="-16.351059700576116"/>
    <n v="0"/>
    <n v="0"/>
    <m/>
    <m/>
    <m/>
    <n v="112702.85636255352"/>
    <n v="0"/>
    <n v="0"/>
    <n v="-25929.535670000012"/>
    <n v="10330.663870000004"/>
    <n v="0"/>
    <n v="0"/>
    <n v="-27997.301250112083"/>
    <n v="0"/>
    <n v="0"/>
    <n v="0"/>
    <n v="0"/>
    <n v="0"/>
    <n v="0"/>
    <n v="0"/>
    <n v="0"/>
    <n v="0"/>
    <n v="0"/>
    <n v="0"/>
    <n v="0"/>
    <n v="7520.73388465339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16"/>
    <s v="Sistema de Compensação"/>
    <s v="Convencional"/>
    <s v="B3"/>
    <s v="Poder público"/>
    <s v="Não se aplica"/>
    <s v="Não se aplica"/>
    <s v="Não se aplica"/>
    <s v="Não se aplica"/>
    <s v="CATIVO"/>
    <x v="1"/>
    <n v="0"/>
    <n v="0"/>
    <n v="1.08"/>
    <n v="1.08"/>
    <n v="1.08"/>
    <n v="1.08"/>
    <m/>
    <n v="368.24"/>
    <n v="173.25"/>
    <m/>
    <n v="584.80920000000003"/>
    <n v="584.80920000000003"/>
    <n v="549.60120000000006"/>
    <n v="0"/>
    <n v="66.468797855320034"/>
    <n v="0"/>
    <n v="0"/>
    <n v="2.7643003540712856"/>
    <n v="2.6558727789630892"/>
    <n v="254.38007425721548"/>
    <n v="183.96770823213805"/>
    <n v="3.1398122129845505"/>
    <n v="0"/>
    <n v="0"/>
    <n v="0"/>
    <n v="0"/>
    <n v="10.269752699511443"/>
    <m/>
    <n v="1.3044852515117376"/>
    <n v="5.8680671915653022"/>
    <n v="27.361931616132555"/>
    <n v="0"/>
    <n v="0"/>
    <n v="0"/>
    <n v="0"/>
    <n v="0"/>
    <n v="0"/>
    <n v="0"/>
    <n v="0"/>
    <n v="0"/>
    <n v="0"/>
    <m/>
    <n v="0"/>
    <n v="0"/>
    <n v="0"/>
    <n v="0"/>
    <n v="0"/>
    <n v="9.6549751710388598"/>
    <n v="0"/>
    <n v="0.45"/>
    <n v="3.87"/>
    <n v="318.63"/>
    <n v="1"/>
    <m/>
    <m/>
    <m/>
    <m/>
    <m/>
    <m/>
    <m/>
    <m/>
    <m/>
    <n v="193.62268340317692"/>
    <m/>
    <m/>
    <m/>
    <m/>
    <m/>
    <m/>
    <m/>
    <m/>
    <m/>
    <m/>
    <m/>
    <m/>
    <n v="549.60120000000006"/>
    <n v="-35.237999999999943"/>
    <m/>
    <m/>
    <m/>
    <m/>
    <n v="-58.525199999999998"/>
    <n v="23.317200000000007"/>
    <n v="31"/>
    <n v="27.979768309212602"/>
    <n v="0.58474035298253924"/>
    <n v="2.7265580009886961"/>
    <n v="0"/>
    <n v="0"/>
    <n v="0"/>
    <n v="0"/>
    <n v="0"/>
    <n v="2.7346689732919609"/>
    <n v="0"/>
    <n v="0"/>
    <n v="23.314567353280921"/>
    <n v="0"/>
    <n v="0"/>
    <n v="0"/>
    <n v="1.2235928309516382"/>
    <n v="0"/>
    <n v="-2.257070040776668"/>
    <m/>
    <n v="0"/>
    <n v="0"/>
    <n v="0"/>
    <n v="0"/>
    <n v="-0.31038340849314316"/>
    <n v="-3.6905753013361187E-2"/>
    <n v="0"/>
    <n v="0"/>
    <m/>
    <m/>
    <m/>
    <n v="254.38007425721548"/>
    <n v="0"/>
    <n v="0"/>
    <n v="-58.525199999999984"/>
    <n v="23.317200000000014"/>
    <n v="0"/>
    <n v="0"/>
    <n v="-63.192325384323397"/>
    <n v="0"/>
    <n v="0"/>
    <n v="0"/>
    <n v="0"/>
    <n v="0"/>
    <n v="0"/>
    <n v="0"/>
    <n v="0"/>
    <n v="0"/>
    <n v="0"/>
    <n v="0"/>
    <n v="0"/>
    <n v="16.9749454964349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17"/>
    <s v="Regular"/>
    <s v="Verde"/>
    <s v="A4"/>
    <s v="Poder público"/>
    <s v="Não se aplica"/>
    <s v="Não se aplica"/>
    <s v="Não se aplica"/>
    <s v="Ponta"/>
    <s v="CATIVO"/>
    <x v="1"/>
    <n v="0"/>
    <n v="0"/>
    <n v="3.3980000000000001"/>
    <n v="3.3980000000000001"/>
    <n v="3.3980000000000001"/>
    <n v="3.3980000000000001"/>
    <m/>
    <n v="1358.36"/>
    <n v="173.25"/>
    <m/>
    <n v="5204.4107800000002"/>
    <n v="5204.4107800000002"/>
    <n v="4563.2421599999998"/>
    <n v="0"/>
    <n v="181.94356328497059"/>
    <n v="0"/>
    <n v="0"/>
    <n v="64.36521616415574"/>
    <n v="61.840730370530849"/>
    <n v="3426.9092216876234"/>
    <n v="578.81691904889362"/>
    <n v="9.8787795367791684"/>
    <n v="0"/>
    <n v="0"/>
    <n v="0"/>
    <n v="0"/>
    <n v="32.311684882351742"/>
    <m/>
    <n v="2.7211653852848023"/>
    <n v="136.63637381313922"/>
    <n v="637.11175180464147"/>
    <n v="0"/>
    <n v="0"/>
    <n v="0"/>
    <n v="0"/>
    <n v="0"/>
    <n v="0"/>
    <n v="0"/>
    <n v="0"/>
    <n v="0"/>
    <n v="0"/>
    <m/>
    <n v="0"/>
    <n v="0"/>
    <n v="0"/>
    <n v="0"/>
    <n v="0"/>
    <n v="25.412475069051396"/>
    <n v="0"/>
    <n v="0"/>
    <n v="0"/>
    <n v="0"/>
    <n v="0"/>
    <m/>
    <m/>
    <m/>
    <m/>
    <m/>
    <m/>
    <m/>
    <m/>
    <m/>
    <n v="604.22939411794505"/>
    <m/>
    <m/>
    <m/>
    <m/>
    <m/>
    <m/>
    <m/>
    <m/>
    <m/>
    <m/>
    <m/>
    <m/>
    <n v="4565.9279999999999"/>
    <n v="-638.51278000000093"/>
    <m/>
    <m/>
    <m/>
    <m/>
    <n v="-714.53143999999998"/>
    <n v="73.362820000000013"/>
    <n v="31"/>
    <n v="210.1211443405864"/>
    <n v="13.615522598069589"/>
    <n v="63.486824277518394"/>
    <n v="0"/>
    <n v="0"/>
    <n v="0"/>
    <n v="0"/>
    <n v="0"/>
    <n v="63.675462156749219"/>
    <n v="0"/>
    <n v="0"/>
    <n v="73.354536913378297"/>
    <n v="0"/>
    <n v="0"/>
    <n v="0"/>
    <n v="3.2205698886206129"/>
    <n v="0"/>
    <n v="-6.1782276655058013"/>
    <m/>
    <n v="0"/>
    <n v="0"/>
    <n v="0"/>
    <n v="0"/>
    <n v="-0.97655816857379918"/>
    <n v="-7.6985659670318451E-2"/>
    <n v="0"/>
    <n v="0"/>
    <m/>
    <m/>
    <m/>
    <n v="3426.9092216876234"/>
    <n v="0"/>
    <n v="0"/>
    <n v="-714.53143999999975"/>
    <n v="73.362819999999942"/>
    <n v="0"/>
    <n v="0"/>
    <n v="-851.3023798414888"/>
    <n v="0"/>
    <n v="0"/>
    <n v="0"/>
    <n v="0"/>
    <n v="0"/>
    <n v="0"/>
    <n v="0"/>
    <n v="0"/>
    <n v="0"/>
    <n v="0"/>
    <n v="0"/>
    <n v="0"/>
    <n v="46.4651410863805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18"/>
    <s v="Sistema de Compensação"/>
    <s v="Verde"/>
    <s v="A4"/>
    <s v="Poder público"/>
    <s v="Não se aplica"/>
    <s v="Não se aplica"/>
    <s v="Não se aplica"/>
    <s v="Ponta"/>
    <s v="CATIVO"/>
    <x v="1"/>
    <n v="0"/>
    <n v="0"/>
    <n v="0.47199999999999998"/>
    <n v="0.47199999999999998"/>
    <n v="0.47199999999999998"/>
    <n v="0.47199999999999998"/>
    <m/>
    <n v="1358.36"/>
    <n v="173.25"/>
    <m/>
    <n v="722.91991999999993"/>
    <n v="722.91991999999993"/>
    <n v="633.85823999999991"/>
    <n v="0"/>
    <n v="25.272914028989437"/>
    <n v="0"/>
    <n v="0"/>
    <n v="8.9406656943736049"/>
    <n v="8.5900013934345374"/>
    <n v="476.01564232976989"/>
    <n v="80.400702116267738"/>
    <n v="1.37221422641547"/>
    <n v="0"/>
    <n v="0"/>
    <n v="0"/>
    <n v="0"/>
    <n v="4.4882622908975929"/>
    <m/>
    <n v="0.37798412650218555"/>
    <n v="18.97950807528008"/>
    <n v="88.498159756265679"/>
    <n v="0"/>
    <n v="0"/>
    <n v="0"/>
    <n v="0"/>
    <n v="0"/>
    <n v="0"/>
    <n v="0"/>
    <n v="0"/>
    <n v="0"/>
    <n v="0"/>
    <m/>
    <n v="0"/>
    <n v="0"/>
    <n v="0"/>
    <n v="0"/>
    <n v="0"/>
    <n v="3.5299259071784164"/>
    <n v="0"/>
    <n v="0"/>
    <n v="0"/>
    <n v="0"/>
    <n v="0"/>
    <m/>
    <m/>
    <m/>
    <m/>
    <m/>
    <m/>
    <m/>
    <m/>
    <m/>
    <n v="83.930628023446161"/>
    <m/>
    <m/>
    <m/>
    <m/>
    <m/>
    <m/>
    <m/>
    <m/>
    <m/>
    <m/>
    <m/>
    <m/>
    <n v="631.17239999999993"/>
    <n v="-91.777519999999981"/>
    <m/>
    <m/>
    <m/>
    <m/>
    <n v="-99.252159999999975"/>
    <n v="10.190480000000001"/>
    <n v="31"/>
    <n v="29.186927642365106"/>
    <n v="1.8912674120920663"/>
    <n v="8.8186524599731086"/>
    <n v="0"/>
    <n v="0"/>
    <n v="0"/>
    <n v="0"/>
    <n v="0"/>
    <n v="8.8448552495543353"/>
    <n v="0"/>
    <n v="0"/>
    <n v="10.189329435878321"/>
    <n v="0"/>
    <n v="0"/>
    <n v="0"/>
    <n v="0.44735402808385194"/>
    <n v="0"/>
    <n v="-0.8581881866152834"/>
    <m/>
    <n v="0"/>
    <n v="0"/>
    <n v="0"/>
    <n v="0"/>
    <n v="-0.13564904519329968"/>
    <n v="-1.0693711408001794E-2"/>
    <n v="0"/>
    <n v="0"/>
    <m/>
    <m/>
    <m/>
    <n v="476.01564232976989"/>
    <n v="0"/>
    <n v="0"/>
    <n v="-99.252160000000003"/>
    <n v="10.190479999999994"/>
    <n v="0"/>
    <n v="0"/>
    <n v="-118.25036000152522"/>
    <n v="0"/>
    <n v="0"/>
    <n v="0"/>
    <n v="0"/>
    <n v="0"/>
    <n v="0"/>
    <n v="0"/>
    <n v="0"/>
    <n v="0"/>
    <n v="0"/>
    <n v="0"/>
    <n v="0"/>
    <n v="6.454251498755631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19"/>
    <s v="Regular"/>
    <s v="Verde"/>
    <s v="A4"/>
    <s v="Poder público"/>
    <s v="Não se aplica"/>
    <s v="Não se aplica"/>
    <s v="Não se aplica"/>
    <s v="Fora ponta"/>
    <s v="CATIVO"/>
    <x v="1"/>
    <n v="0"/>
    <n v="0"/>
    <n v="23.045000000000002"/>
    <n v="23.045000000000002"/>
    <n v="23.045000000000002"/>
    <n v="23.045000000000002"/>
    <m/>
    <n v="85.01"/>
    <n v="173.25"/>
    <m/>
    <n v="5951.6017000000011"/>
    <n v="5951.6017000000011"/>
    <n v="6421.9501500000006"/>
    <n v="0"/>
    <n v="1233.9286097416561"/>
    <n v="0"/>
    <n v="0"/>
    <n v="0"/>
    <n v="0"/>
    <n v="0"/>
    <n v="3925.4961446385382"/>
    <n v="66.997196711323113"/>
    <n v="0"/>
    <n v="0"/>
    <n v="0"/>
    <n v="0"/>
    <n v="219.13560274096409"/>
    <m/>
    <n v="18.45475465093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.34564095535299"/>
    <n v="0"/>
    <n v="0"/>
    <n v="0"/>
    <n v="0"/>
    <n v="0"/>
    <m/>
    <m/>
    <m/>
    <m/>
    <m/>
    <m/>
    <m/>
    <m/>
    <m/>
    <n v="4097.8417855938915"/>
    <m/>
    <m/>
    <m/>
    <m/>
    <m/>
    <m/>
    <m/>
    <m/>
    <m/>
    <m/>
    <m/>
    <m/>
    <n v="6423.3434999999999"/>
    <n v="471.71179999999913"/>
    <m/>
    <m/>
    <m/>
    <m/>
    <n v="-27.193100000000157"/>
    <n v="497.54155000000014"/>
    <n v="31"/>
    <n v="470.28168398428534"/>
    <n v="0"/>
    <n v="0"/>
    <n v="0"/>
    <n v="0"/>
    <n v="0"/>
    <n v="0"/>
    <n v="0"/>
    <n v="0"/>
    <n v="0"/>
    <n v="0"/>
    <n v="497.48537468181394"/>
    <n v="0"/>
    <n v="0"/>
    <n v="0"/>
    <n v="21.841681307610941"/>
    <n v="0"/>
    <n v="-41.900310933367109"/>
    <m/>
    <n v="0"/>
    <n v="0"/>
    <n v="0"/>
    <n v="0"/>
    <n v="-6.6229496747449161"/>
    <n v="-0.52211139702839304"/>
    <n v="0"/>
    <n v="0"/>
    <m/>
    <m/>
    <m/>
    <n v="0"/>
    <n v="0"/>
    <n v="0"/>
    <n v="-27.193100000000186"/>
    <n v="497.54154999999992"/>
    <n v="0"/>
    <n v="0"/>
    <n v="0"/>
    <n v="0"/>
    <n v="0"/>
    <n v="0"/>
    <n v="0"/>
    <n v="0"/>
    <n v="0"/>
    <n v="0"/>
    <n v="0"/>
    <n v="0"/>
    <n v="0"/>
    <n v="0"/>
    <n v="0"/>
    <n v="315.123359722083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20"/>
    <s v="Sistema de Compensação"/>
    <s v="Verde"/>
    <s v="A4"/>
    <s v="Poder público"/>
    <s v="Não se aplica"/>
    <s v="Não se aplica"/>
    <s v="Não se aplica"/>
    <s v="Fora ponta"/>
    <s v="CATIVO"/>
    <x v="1"/>
    <n v="0"/>
    <n v="0"/>
    <n v="0.42499999999999999"/>
    <n v="0.42499999999999999"/>
    <n v="0.42499999999999999"/>
    <n v="0.42499999999999999"/>
    <m/>
    <n v="85.01"/>
    <n v="173.25"/>
    <m/>
    <n v="109.76049999999999"/>
    <n v="109.76049999999999"/>
    <n v="118.43475000000001"/>
    <n v="0"/>
    <n v="22.756331487967184"/>
    <n v="0"/>
    <n v="0"/>
    <n v="0"/>
    <n v="0"/>
    <n v="0"/>
    <n v="72.394699998758028"/>
    <n v="1.2355742504800313"/>
    <n v="0"/>
    <n v="0"/>
    <n v="0"/>
    <n v="0"/>
    <n v="4.041337867863299"/>
    <m/>
    <n v="0.34034587661743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784290477771759"/>
    <n v="0"/>
    <n v="0"/>
    <n v="0"/>
    <n v="0"/>
    <n v="0"/>
    <m/>
    <m/>
    <m/>
    <m/>
    <m/>
    <m/>
    <m/>
    <m/>
    <m/>
    <n v="75.5731290465352"/>
    <m/>
    <m/>
    <m/>
    <m/>
    <m/>
    <m/>
    <m/>
    <m/>
    <m/>
    <m/>
    <m/>
    <m/>
    <n v="119.82810000000001"/>
    <n v="10.037600000000012"/>
    <m/>
    <m/>
    <m/>
    <m/>
    <n v="-0.50150000000000283"/>
    <n v="9.1757500000000007"/>
    <n v="31"/>
    <n v="8.6730186892306591"/>
    <n v="0"/>
    <n v="0"/>
    <n v="0"/>
    <n v="0"/>
    <n v="0"/>
    <n v="0"/>
    <n v="0"/>
    <n v="0"/>
    <n v="0"/>
    <n v="0"/>
    <n v="9.1747140047633167"/>
    <n v="0"/>
    <n v="0"/>
    <n v="0"/>
    <n v="0.40280818206702751"/>
    <n v="0"/>
    <n v="-0.77273300701587999"/>
    <m/>
    <n v="0"/>
    <n v="0"/>
    <n v="0"/>
    <n v="0"/>
    <n v="-0.12214161908295029"/>
    <n v="-9.6288715008490677E-3"/>
    <n v="0"/>
    <n v="0"/>
    <m/>
    <m/>
    <m/>
    <n v="0"/>
    <n v="0"/>
    <n v="0"/>
    <n v="-0.50150000000000006"/>
    <n v="9.1757500000000078"/>
    <n v="0"/>
    <n v="0"/>
    <n v="0"/>
    <n v="0"/>
    <n v="0"/>
    <n v="0"/>
    <n v="0"/>
    <n v="0"/>
    <n v="0"/>
    <n v="0"/>
    <n v="0"/>
    <n v="0"/>
    <n v="0"/>
    <n v="0"/>
    <n v="0"/>
    <n v="5.811561201210049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21"/>
    <s v="Regular"/>
    <s v="Verde"/>
    <s v="A4"/>
    <s v="Poder público"/>
    <s v="Não se aplica"/>
    <s v="Não se aplica"/>
    <s v="Não se aplica"/>
    <s v="Não se aplica"/>
    <s v="CATIVO"/>
    <x v="1"/>
    <n v="145"/>
    <n v="145"/>
    <n v="0"/>
    <n v="0"/>
    <n v="0"/>
    <n v="0"/>
    <n v="27.19"/>
    <m/>
    <m/>
    <n v="3942.55"/>
    <m/>
    <n v="3942.55"/>
    <n v="3155.2000000000003"/>
    <n v="0"/>
    <n v="0"/>
    <n v="0"/>
    <n v="0"/>
    <n v="33.814088946996783"/>
    <n v="32.485051708711481"/>
    <n v="3470.1443852581274"/>
    <m/>
    <m/>
    <m/>
    <n v="0"/>
    <n v="0"/>
    <n v="0"/>
    <n v="0"/>
    <m/>
    <n v="0"/>
    <n v="71.758300508117273"/>
    <n v="334.67288223666606"/>
    <n v="0"/>
    <n v="0"/>
    <m/>
    <m/>
    <n v="0"/>
    <n v="0"/>
    <n v="0"/>
    <m/>
    <m/>
    <n v="0"/>
    <m/>
    <n v="0"/>
    <n v="0"/>
    <n v="0"/>
    <n v="0"/>
    <m/>
    <n v="0"/>
    <n v="0"/>
    <n v="11.91"/>
    <n v="102.15"/>
    <n v="7090.03"/>
    <n v="4"/>
    <m/>
    <m/>
    <m/>
    <m/>
    <m/>
    <m/>
    <m/>
    <m/>
    <m/>
    <n v="0"/>
    <m/>
    <m/>
    <m/>
    <m/>
    <m/>
    <m/>
    <m/>
    <m/>
    <m/>
    <m/>
    <m/>
    <m/>
    <n v="3155.2000000000003"/>
    <n v="-787.38000000000056"/>
    <m/>
    <m/>
    <m/>
    <m/>
    <n v="-787.34999999999991"/>
    <n v="0"/>
    <n v="31"/>
    <n v="73.948838396097756"/>
    <n v="7.1505612663836473"/>
    <n v="33.349437370799876"/>
    <n v="0"/>
    <n v="0"/>
    <m/>
    <m/>
    <m/>
    <n v="33.448839758914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70.1443852581274"/>
    <m/>
    <n v="0"/>
    <n v="0"/>
    <n v="-787.34999999999991"/>
    <m/>
    <n v="0"/>
    <m/>
    <n v="-862.0427278517136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22"/>
    <s v="Sistema de Compensação"/>
    <s v="Verde"/>
    <s v="A4"/>
    <s v="Poder público"/>
    <s v="Não se aplica"/>
    <s v="Não se aplica"/>
    <s v="Não se aplica"/>
    <s v="Não se aplica"/>
    <s v="CATIVO"/>
    <x v="1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1.21"/>
    <n v="10.38"/>
    <n v="554.12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n v="31"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2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1602.413"/>
    <n v="1602.413"/>
    <n v="1602.413"/>
    <n v="1602.413"/>
    <m/>
    <n v="199.07"/>
    <n v="95.29"/>
    <m/>
    <n v="471686.29067999998"/>
    <n v="471686.29067999998"/>
    <n v="445262.50031000003"/>
    <n v="0"/>
    <n v="54241.440905328964"/>
    <n v="0"/>
    <n v="0"/>
    <n v="2255.7897711089217"/>
    <n v="2909.3135505748996"/>
    <n v="201287.69170084593"/>
    <n v="150125.68147061265"/>
    <n v="2562.223841856362"/>
    <n v="0"/>
    <n v="0"/>
    <n v="0"/>
    <n v="0"/>
    <n v="8380.5665535789212"/>
    <m/>
    <n v="1064.5169156776585"/>
    <n v="4788.5990129173661"/>
    <n v="22328.53074976023"/>
    <n v="0"/>
    <n v="0"/>
    <n v="0"/>
    <n v="0"/>
    <n v="0"/>
    <n v="0"/>
    <n v="0"/>
    <n v="0"/>
    <n v="0"/>
    <n v="0"/>
    <m/>
    <n v="0"/>
    <n v="0"/>
    <n v="0"/>
    <n v="0"/>
    <n v="0"/>
    <n v="7878.8812507522607"/>
    <n v="0"/>
    <n v="420.61"/>
    <n v="3608.01"/>
    <n v="150332.72"/>
    <n v="60"/>
    <m/>
    <m/>
    <m/>
    <m/>
    <m/>
    <m/>
    <m/>
    <m/>
    <m/>
    <n v="158004.5627213649"/>
    <m/>
    <m/>
    <m/>
    <m/>
    <m/>
    <m/>
    <m/>
    <m/>
    <m/>
    <m/>
    <m/>
    <m/>
    <n v="445261.66670000006"/>
    <n v="-26424.653979999945"/>
    <m/>
    <m/>
    <m/>
    <m/>
    <n v="-45444.432679999976"/>
    <n v="19020.642309999985"/>
    <n v="31"/>
    <n v="23596.732187433634"/>
    <n v="477.17365628157677"/>
    <n v="2224.9903632602291"/>
    <n v="0"/>
    <n v="0"/>
    <n v="0"/>
    <n v="0"/>
    <n v="0"/>
    <n v="2995.6289937356278"/>
    <n v="0"/>
    <n v="0"/>
    <n v="19025.704813842633"/>
    <n v="0"/>
    <n v="0"/>
    <n v="0"/>
    <n v="998.50516894722296"/>
    <n v="0"/>
    <n v="-1841.8676910999275"/>
    <m/>
    <n v="0"/>
    <n v="0"/>
    <n v="0"/>
    <n v="0"/>
    <n v="-253.28641186531877"/>
    <n v="-30.116705668396889"/>
    <n v="0"/>
    <n v="0"/>
    <m/>
    <m/>
    <m/>
    <n v="201287.69170084593"/>
    <n v="0"/>
    <n v="0"/>
    <n v="-45444.432679999969"/>
    <n v="19020.642309999967"/>
    <n v="0"/>
    <n v="0"/>
    <n v="-50003.27697427079"/>
    <n v="0"/>
    <n v="0"/>
    <n v="0"/>
    <n v="0"/>
    <n v="0"/>
    <n v="0"/>
    <n v="0"/>
    <n v="0"/>
    <n v="0"/>
    <n v="0"/>
    <n v="0"/>
    <n v="0"/>
    <n v="13852.29660720223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2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600.06500000000005"/>
    <n v="564.06110000000001"/>
    <n v="600.06500000000005"/>
    <n v="564.06110000000001"/>
    <m/>
    <n v="368.24"/>
    <n v="173.25"/>
    <m/>
    <n v="324929.19685000007"/>
    <n v="324929.19685000007"/>
    <n v="305367.07785"/>
    <n v="0"/>
    <n v="36931.110356530204"/>
    <n v="0"/>
    <n v="0"/>
    <n v="1535.8887888572094"/>
    <n v="1475.6447213967465"/>
    <n v="141337.57338810741"/>
    <n v="102215.35448177585"/>
    <n v="1744.5290885042355"/>
    <n v="0"/>
    <n v="0"/>
    <n v="0"/>
    <n v="0"/>
    <n v="5706.0362533632724"/>
    <m/>
    <n v="724.7925393040656"/>
    <n v="3260.3904993579936"/>
    <n v="15202.719902994982"/>
    <n v="0"/>
    <n v="0"/>
    <n v="0"/>
    <n v="0"/>
    <n v="0"/>
    <n v="0"/>
    <n v="0"/>
    <n v="0"/>
    <n v="0"/>
    <n v="0"/>
    <m/>
    <n v="0"/>
    <n v="0"/>
    <n v="0"/>
    <n v="0"/>
    <n v="0"/>
    <n v="5364.4561814902163"/>
    <n v="0"/>
    <n v="232.74"/>
    <n v="2003.61"/>
    <n v="152872.68"/>
    <n v="196"/>
    <m/>
    <m/>
    <m/>
    <m/>
    <n v="18322.024671000021"/>
    <m/>
    <m/>
    <m/>
    <m/>
    <n v="107579.81066326606"/>
    <m/>
    <m/>
    <m/>
    <m/>
    <m/>
    <m/>
    <m/>
    <m/>
    <m/>
    <m/>
    <m/>
    <m/>
    <n v="287044.49339999998"/>
    <n v="-18388.981639000063"/>
    <m/>
    <m/>
    <m/>
    <m/>
    <n v="-32517.522350000003"/>
    <n v="12955.403350000002"/>
    <n v="31"/>
    <n v="15545.999694877391"/>
    <n v="324.89094436339565"/>
    <n v="1514.9185433919283"/>
    <n v="0"/>
    <n v="0"/>
    <n v="0"/>
    <n v="0"/>
    <n v="0"/>
    <n v="1519.4251272763338"/>
    <n v="0"/>
    <n v="0"/>
    <n v="12953.940610043064"/>
    <n v="0"/>
    <n v="0"/>
    <n v="0"/>
    <n v="679.8474371342536"/>
    <n v="0"/>
    <n v="-1254.0636426098645"/>
    <m/>
    <n v="0"/>
    <n v="0"/>
    <n v="0"/>
    <n v="0"/>
    <n v="-172.45390742355448"/>
    <n v="-20.505417298113457"/>
    <n v="0"/>
    <n v="0"/>
    <m/>
    <m/>
    <m/>
    <n v="141337.57338810741"/>
    <n v="0"/>
    <n v="0"/>
    <n v="-32517.522350000014"/>
    <n v="12955.403350000008"/>
    <n v="0"/>
    <n v="0"/>
    <n v="-35110.650677540762"/>
    <n v="0"/>
    <n v="0"/>
    <n v="0"/>
    <n v="0"/>
    <n v="0"/>
    <n v="0"/>
    <n v="0"/>
    <n v="0"/>
    <n v="0"/>
    <n v="0"/>
    <n v="0"/>
    <n v="0"/>
    <n v="9431.546916035433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25"/>
    <s v="Regular"/>
    <s v="Azul"/>
    <s v="A4"/>
    <s v="Serviço público"/>
    <s v="Água, esgoto e saneamento"/>
    <s v="Não se aplica"/>
    <s v="Não se aplica"/>
    <s v="Ponta"/>
    <s v="CATIVO"/>
    <x v="1"/>
    <n v="65"/>
    <n v="61.1"/>
    <n v="3.3490000000000002"/>
    <n v="3.1480600000000001"/>
    <n v="3.3490000000000002"/>
    <n v="3.1480600000000001"/>
    <n v="52.95"/>
    <n v="85.01"/>
    <n v="173.25"/>
    <n v="3441.75"/>
    <n v="864.91273999999999"/>
    <n v="4306.6627399999998"/>
    <n v="3809.5158300000003"/>
    <n v="0"/>
    <n v="179.31989212518144"/>
    <n v="0"/>
    <n v="0"/>
    <n v="51.198306474712865"/>
    <n v="49.188863943031343"/>
    <n v="2725.6914092779475"/>
    <n v="570.47023599021327"/>
    <n v="9.7363250937826482"/>
    <n v="0"/>
    <n v="0"/>
    <n v="0"/>
    <n v="0"/>
    <n v="31.845742398762798"/>
    <m/>
    <n v="2.6819255077453805"/>
    <n v="108.68330737188015"/>
    <n v="506.76761947441048"/>
    <n v="0"/>
    <n v="0"/>
    <n v="0"/>
    <n v="0"/>
    <n v="0"/>
    <n v="0"/>
    <n v="0"/>
    <n v="0"/>
    <n v="0"/>
    <n v="0"/>
    <m/>
    <n v="0"/>
    <n v="0"/>
    <n v="0"/>
    <n v="0"/>
    <n v="0"/>
    <n v="25.046020896484148"/>
    <n v="0"/>
    <n v="0"/>
    <n v="0"/>
    <n v="0"/>
    <n v="0"/>
    <m/>
    <m/>
    <m/>
    <m/>
    <n v="228.57094979999997"/>
    <m/>
    <m/>
    <m/>
    <m/>
    <n v="595.51625688669742"/>
    <m/>
    <m/>
    <m/>
    <m/>
    <m/>
    <m/>
    <m/>
    <m/>
    <m/>
    <m/>
    <m/>
    <m/>
    <n v="3581.4855000000002"/>
    <n v="-466.80747560000054"/>
    <m/>
    <m/>
    <m/>
    <m/>
    <n v="-569.45182000000023"/>
    <n v="72.304910000000021"/>
    <n v="31"/>
    <n v="180.31998840879396"/>
    <n v="10.830059275274195"/>
    <n v="50.498310093914142"/>
    <n v="0"/>
    <n v="0"/>
    <n v="0"/>
    <n v="0"/>
    <n v="0"/>
    <n v="50.648231768467902"/>
    <n v="0"/>
    <n v="0"/>
    <n v="72.296746357534971"/>
    <n v="0"/>
    <n v="0"/>
    <n v="0"/>
    <n v="3.1741284746881782"/>
    <n v="0"/>
    <n v="-6.0891360952851699"/>
    <m/>
    <n v="0"/>
    <n v="0"/>
    <n v="0"/>
    <n v="0"/>
    <n v="-0.96247595837364841"/>
    <n v="-7.5875507426690803E-2"/>
    <n v="0"/>
    <n v="0"/>
    <m/>
    <m/>
    <n v="2725.6914092779475"/>
    <n v="0"/>
    <n v="0"/>
    <n v="0"/>
    <n v="-569.45182000000023"/>
    <n v="72.304910000000064"/>
    <n v="0"/>
    <n v="0"/>
    <n v="-677.10798078540483"/>
    <n v="0"/>
    <n v="0"/>
    <n v="0"/>
    <n v="0"/>
    <n v="0"/>
    <n v="0"/>
    <n v="0"/>
    <n v="0"/>
    <n v="0"/>
    <n v="0"/>
    <n v="0"/>
    <n v="0"/>
    <n v="45.79510226553519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26"/>
    <s v="Regular"/>
    <s v="Azul"/>
    <s v="A4"/>
    <s v="Serviço público"/>
    <s v="Água, esgoto e saneamento"/>
    <s v="Não se aplica"/>
    <s v="Não se aplica"/>
    <s v="Fora ponta"/>
    <s v="CATIVO"/>
    <x v="1"/>
    <n v="65"/>
    <n v="61.1"/>
    <n v="21.161999999999999"/>
    <n v="19.89228"/>
    <n v="21.161999999999999"/>
    <n v="19.89228"/>
    <n v="27.19"/>
    <n v="85.01"/>
    <n v="173.25"/>
    <n v="1767.3500000000001"/>
    <n v="5465.2981199999995"/>
    <n v="7232.6481199999998"/>
    <n v="7311.6145399999996"/>
    <n v="0"/>
    <n v="1133.1046751726155"/>
    <n v="0"/>
    <n v="0"/>
    <n v="15.158039872791662"/>
    <n v="14.56226455907756"/>
    <n v="1555.5819658053674"/>
    <n v="3604.7450385263937"/>
    <n v="61.522875973313937"/>
    <n v="0"/>
    <n v="0"/>
    <n v="0"/>
    <n v="0"/>
    <n v="201.23009872876031"/>
    <m/>
    <n v="16.946822214066209"/>
    <n v="32.167514020880162"/>
    <n v="150.02577479574686"/>
    <n v="0"/>
    <n v="0"/>
    <n v="0"/>
    <n v="0"/>
    <n v="0"/>
    <n v="0"/>
    <n v="0"/>
    <n v="0"/>
    <n v="0"/>
    <n v="0"/>
    <m/>
    <n v="0"/>
    <n v="0"/>
    <n v="0"/>
    <n v="0"/>
    <n v="0"/>
    <n v="158.26333060955434"/>
    <n v="0"/>
    <n v="0"/>
    <n v="0"/>
    <n v="0"/>
    <n v="0"/>
    <m/>
    <m/>
    <m/>
    <m/>
    <n v="438.69687239999985"/>
    <m/>
    <m/>
    <m/>
    <m/>
    <n v="3763.0083691359482"/>
    <m/>
    <m/>
    <m/>
    <m/>
    <m/>
    <m/>
    <m/>
    <m/>
    <m/>
    <m/>
    <m/>
    <m/>
    <n v="6872.2823000000008"/>
    <n v="73.56306720000066"/>
    <m/>
    <m/>
    <m/>
    <m/>
    <n v="-377.92116000000016"/>
    <n v="456.88758000000007"/>
    <n v="31"/>
    <n v="465.00458869630438"/>
    <n v="3.2054240159650789"/>
    <n v="14.94974778691028"/>
    <n v="0"/>
    <n v="0"/>
    <n v="0"/>
    <n v="0"/>
    <n v="0"/>
    <n v="14.994307478133946"/>
    <n v="0"/>
    <n v="0"/>
    <n v="456.83599475012079"/>
    <n v="0"/>
    <n v="0"/>
    <n v="0"/>
    <n v="20.057004115064558"/>
    <n v="0"/>
    <n v="-38.476649163459115"/>
    <m/>
    <n v="0"/>
    <n v="0"/>
    <n v="0"/>
    <n v="0"/>
    <n v="-6.0817904541962093"/>
    <n v="-0.47944983223757376"/>
    <n v="0"/>
    <n v="0"/>
    <m/>
    <m/>
    <n v="1555.5819658053674"/>
    <n v="0"/>
    <n v="0"/>
    <n v="0"/>
    <n v="-377.92115999999987"/>
    <n v="456.88757999999962"/>
    <n v="0"/>
    <n v="0"/>
    <n v="-386.43294696800945"/>
    <n v="0"/>
    <n v="0"/>
    <n v="0"/>
    <n v="0"/>
    <n v="0"/>
    <n v="0"/>
    <n v="0"/>
    <n v="0"/>
    <n v="0"/>
    <n v="0"/>
    <n v="0"/>
    <n v="0"/>
    <n v="289.3747250353107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27"/>
    <s v="Regular"/>
    <s v="Azul"/>
    <s v="A4"/>
    <s v="Serviço público"/>
    <s v="Água, esgoto e saneamento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"/>
    <n v="77.2"/>
    <n v="5498.2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2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7.99"/>
    <n v="7.99"/>
    <n v="7.99"/>
    <n v="7.99"/>
    <m/>
    <n v="368.24"/>
    <n v="173.25"/>
    <m/>
    <n v="4326.5051000000003"/>
    <n v="4326.5051000000003"/>
    <n v="4066.0311000000002"/>
    <n v="0"/>
    <n v="491.74601376296948"/>
    <n v="0"/>
    <n v="0"/>
    <n v="20.450703545397751"/>
    <n v="19.648540281402855"/>
    <n v="1881.9414752918069"/>
    <n v="1361.020359976651"/>
    <n v="23.228795909024591"/>
    <n v="0"/>
    <n v="0"/>
    <n v="0"/>
    <n v="0"/>
    <n v="75.977151915830021"/>
    <m/>
    <n v="9.6507751477581323"/>
    <n v="43.412830426487744"/>
    <n v="202.42762371564731"/>
    <n v="0"/>
    <n v="0"/>
    <n v="0"/>
    <n v="0"/>
    <n v="0"/>
    <n v="0"/>
    <n v="0"/>
    <n v="0"/>
    <n v="0"/>
    <n v="0"/>
    <m/>
    <n v="0"/>
    <n v="0"/>
    <n v="0"/>
    <n v="0"/>
    <n v="0"/>
    <n v="71.428936682037488"/>
    <n v="0"/>
    <n v="3.31"/>
    <n v="28.6"/>
    <n v="2042.35"/>
    <n v="5"/>
    <m/>
    <m/>
    <m/>
    <m/>
    <m/>
    <m/>
    <m/>
    <m/>
    <m/>
    <n v="1432.4492966586886"/>
    <m/>
    <m/>
    <m/>
    <m/>
    <m/>
    <m/>
    <m/>
    <m/>
    <m/>
    <m/>
    <m/>
    <m/>
    <n v="4066.0311000000002"/>
    <n v="-260.50400000000081"/>
    <m/>
    <m/>
    <m/>
    <m/>
    <n v="-432.97809999999998"/>
    <n v="172.50410000000002"/>
    <n v="31"/>
    <n v="206.9984711024149"/>
    <n v="4.3259957595652665"/>
    <n v="20.171480025833034"/>
    <n v="0"/>
    <n v="0"/>
    <n v="0"/>
    <n v="0"/>
    <n v="0"/>
    <n v="20.23148620055812"/>
    <n v="0"/>
    <n v="0"/>
    <n v="172.48462328955043"/>
    <n v="0"/>
    <n v="0"/>
    <n v="0"/>
    <n v="9.0523210363922004"/>
    <n v="0"/>
    <n v="-16.698138542412551"/>
    <m/>
    <n v="0"/>
    <n v="0"/>
    <n v="0"/>
    <n v="0"/>
    <n v="-2.2962624387594559"/>
    <n v="-0.27303422831181123"/>
    <n v="0"/>
    <n v="0"/>
    <m/>
    <m/>
    <m/>
    <n v="1881.9414752918069"/>
    <n v="0"/>
    <n v="0"/>
    <n v="-432.97809999999981"/>
    <n v="172.50410000000011"/>
    <n v="0"/>
    <n v="0"/>
    <n v="-467.50618501920735"/>
    <n v="0"/>
    <n v="0"/>
    <n v="0"/>
    <n v="0"/>
    <n v="0"/>
    <n v="0"/>
    <n v="0"/>
    <n v="0"/>
    <n v="0"/>
    <n v="0"/>
    <n v="0"/>
    <n v="0"/>
    <n v="125.5831615893663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29"/>
    <s v="Sistema de Compensação"/>
    <s v="Convencional"/>
    <s v="B3"/>
    <s v="Consumo próprio"/>
    <s v="Não se aplica"/>
    <s v="Não se aplica"/>
    <s v="Não se aplica"/>
    <s v="Não se aplica"/>
    <s v="CATIVO"/>
    <x v="1"/>
    <n v="0"/>
    <n v="0"/>
    <n v="2.0230000000000001"/>
    <n v="2.0230000000000001"/>
    <n v="2.0230000000000001"/>
    <n v="2.0230000000000001"/>
    <m/>
    <n v="368.24"/>
    <n v="173.25"/>
    <m/>
    <n v="1095.4342700000002"/>
    <n v="1095.4342700000002"/>
    <n v="1029.4844700000001"/>
    <n v="0"/>
    <n v="124.50590561232633"/>
    <n v="0"/>
    <n v="0"/>
    <n v="5.1779440891538995"/>
    <n v="4.9748431776317865"/>
    <n v="476.49156502069155"/>
    <n v="344.59877199408822"/>
    <n v="5.8813334322849498"/>
    <n v="0"/>
    <n v="0"/>
    <n v="0"/>
    <n v="0"/>
    <n v="19.236768251029304"/>
    <m/>
    <n v="2.4434941331557827"/>
    <n v="10.99175919308945"/>
    <n v="51.252951536514963"/>
    <n v="0"/>
    <n v="0"/>
    <n v="0"/>
    <n v="0"/>
    <n v="0"/>
    <n v="0"/>
    <n v="0"/>
    <n v="0"/>
    <n v="0"/>
    <n v="0"/>
    <m/>
    <n v="0"/>
    <n v="0"/>
    <n v="0"/>
    <n v="0"/>
    <n v="0"/>
    <n v="18.08519886204779"/>
    <n v="0"/>
    <n v="0.85"/>
    <n v="7.36"/>
    <n v="633.66"/>
    <n v="1"/>
    <m/>
    <m/>
    <m/>
    <m/>
    <m/>
    <m/>
    <m/>
    <m/>
    <m/>
    <n v="362.683970856136"/>
    <m/>
    <m/>
    <m/>
    <m/>
    <m/>
    <m/>
    <m/>
    <m/>
    <m/>
    <m/>
    <m/>
    <m/>
    <n v="1027.9577999999999"/>
    <n v="-67.506470000000263"/>
    <m/>
    <m/>
    <m/>
    <m/>
    <n v="-109.62637000000001"/>
    <n v="43.676570000000012"/>
    <n v="31"/>
    <n v="52.410251194015473"/>
    <n v="1.0953053093367373"/>
    <n v="5.1072470703704909"/>
    <n v="0"/>
    <n v="0"/>
    <n v="0"/>
    <n v="0"/>
    <n v="0"/>
    <n v="5.1224401231200343"/>
    <n v="0"/>
    <n v="0"/>
    <n v="43.671638662673388"/>
    <n v="0"/>
    <n v="0"/>
    <n v="0"/>
    <n v="2.29197064538441"/>
    <n v="0"/>
    <n v="-4.2278265671214825"/>
    <m/>
    <n v="0"/>
    <n v="0"/>
    <n v="0"/>
    <n v="0"/>
    <n v="-0.58139410683484272"/>
    <n v="-6.9129942912990572E-2"/>
    <n v="0"/>
    <n v="0"/>
    <m/>
    <m/>
    <m/>
    <n v="476.49156502069155"/>
    <n v="0"/>
    <n v="0"/>
    <n v="-109.62637000000007"/>
    <n v="43.676570000000027"/>
    <n v="0"/>
    <n v="0"/>
    <n v="-118.36858727082057"/>
    <n v="0"/>
    <n v="0"/>
    <n v="0"/>
    <n v="0"/>
    <n v="0"/>
    <n v="0"/>
    <n v="0"/>
    <n v="0"/>
    <n v="0"/>
    <n v="0"/>
    <n v="0"/>
    <n v="0"/>
    <n v="31.79658772156296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0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7"/>
    <n v="2.4300000000000002"/>
    <n v="32.25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31"/>
    <s v="Regular"/>
    <s v="Convencional"/>
    <s v="B2"/>
    <s v="Rural"/>
    <s v="Agropecuária rural"/>
    <s v="IRRIG./AQUIC."/>
    <s v="Não se aplica"/>
    <s v="Não se aplica"/>
    <s v="CATIVO"/>
    <x v="1"/>
    <n v="0"/>
    <n v="0"/>
    <n v="0.68100000000000005"/>
    <n v="0.68100000000000005"/>
    <n v="0.68100000000000005"/>
    <n v="0.68100000000000005"/>
    <m/>
    <n v="368.24"/>
    <n v="173.25"/>
    <m/>
    <n v="368.75469000000004"/>
    <n v="368.75469000000004"/>
    <n v="346.55409000000003"/>
    <n v="0"/>
    <n v="41.912269758771245"/>
    <n v="0"/>
    <n v="0"/>
    <n v="1.7430449454838386"/>
    <n v="1.6746753356239479"/>
    <n v="160.40076904552197"/>
    <n v="116.00186046859817"/>
    <n v="1.9798260342985916"/>
    <n v="0"/>
    <n v="0"/>
    <n v="0"/>
    <n v="0"/>
    <n v="6.475649618858605"/>
    <m/>
    <n v="0.82255042248101229"/>
    <n v="3.7001423680147876"/>
    <n v="17.253217991283584"/>
    <n v="0"/>
    <n v="0"/>
    <n v="0"/>
    <n v="0"/>
    <n v="0"/>
    <n v="0"/>
    <n v="0"/>
    <n v="0"/>
    <n v="0"/>
    <n v="0"/>
    <m/>
    <n v="0"/>
    <n v="0"/>
    <n v="0"/>
    <n v="0"/>
    <n v="0"/>
    <n v="6.087998232849503"/>
    <n v="0"/>
    <n v="0"/>
    <n v="0"/>
    <n v="0"/>
    <n v="0"/>
    <m/>
    <m/>
    <m/>
    <m/>
    <m/>
    <n v="41.581860000000006"/>
    <m/>
    <m/>
    <m/>
    <n v="122.08985870144767"/>
    <m/>
    <m/>
    <m/>
    <m/>
    <m/>
    <m/>
    <m/>
    <m/>
    <m/>
    <m/>
    <m/>
    <m/>
    <n v="304.52440000000001"/>
    <n v="-20.008910000000014"/>
    <m/>
    <m/>
    <m/>
    <m/>
    <n v="-36.903390000000002"/>
    <n v="14.702790000000004"/>
    <n v="31"/>
    <n v="17.64279835053128"/>
    <n v="0.36871127813065696"/>
    <n v="1.7192462950678724"/>
    <n v="0"/>
    <n v="0"/>
    <n v="0"/>
    <n v="0"/>
    <n v="0"/>
    <n v="1.7243607137146535"/>
    <n v="0"/>
    <n v="0"/>
    <n v="14.701129969985473"/>
    <n v="0"/>
    <n v="0"/>
    <n v="0"/>
    <n v="0.77154325729450512"/>
    <n v="0"/>
    <n v="-1.4232080534897307"/>
    <m/>
    <n v="0"/>
    <n v="0"/>
    <n v="0"/>
    <n v="0"/>
    <n v="-0.19571398257762151"/>
    <n v="-2.3271127594535979E-2"/>
    <n v="0"/>
    <n v="0"/>
    <m/>
    <m/>
    <m/>
    <n v="160.40076904552197"/>
    <n v="0"/>
    <n v="0"/>
    <n v="-36.903390000000002"/>
    <n v="14.702790000000007"/>
    <n v="0"/>
    <n v="0"/>
    <n v="-39.846271839559464"/>
    <n v="0"/>
    <n v="0"/>
    <n v="0"/>
    <n v="0"/>
    <n v="0"/>
    <n v="0"/>
    <n v="0"/>
    <n v="0"/>
    <n v="0"/>
    <n v="0"/>
    <n v="0"/>
    <n v="0"/>
    <n v="10.70364618802984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2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26600000000000001"/>
    <n v="0.10639999999999999"/>
    <n v="0.26600000000000001"/>
    <n v="0.10639999999999999"/>
    <m/>
    <n v="368.24"/>
    <n v="173.25"/>
    <m/>
    <n v="144.03634"/>
    <n v="144.03634"/>
    <n v="135.36474000000001"/>
    <n v="0"/>
    <n v="16.371018731032528"/>
    <n v="0"/>
    <n v="0"/>
    <n v="0.68083693905829812"/>
    <n v="0.65413162889276089"/>
    <n v="62.652870141128993"/>
    <n v="45.310565175693263"/>
    <n v="0.77332411912397259"/>
    <n v="0"/>
    <n v="0"/>
    <n v="0"/>
    <n v="0"/>
    <n v="2.5294020537685591"/>
    <m/>
    <n v="0.32128988602048353"/>
    <n v="1.4452832157003428"/>
    <n v="6.739142416565981"/>
    <n v="0"/>
    <n v="0"/>
    <n v="0"/>
    <n v="0"/>
    <n v="0"/>
    <n v="0"/>
    <n v="0"/>
    <n v="0"/>
    <n v="0"/>
    <n v="0"/>
    <m/>
    <n v="0"/>
    <n v="0"/>
    <n v="0"/>
    <n v="0"/>
    <n v="0"/>
    <n v="2.3779846254595709"/>
    <n v="0"/>
    <n v="0"/>
    <n v="0"/>
    <n v="0"/>
    <n v="0"/>
    <m/>
    <m/>
    <m/>
    <m/>
    <m/>
    <m/>
    <n v="87.715628000000009"/>
    <m/>
    <m/>
    <n v="47.688549801152831"/>
    <m/>
    <m/>
    <m/>
    <m/>
    <m/>
    <m/>
    <m/>
    <m/>
    <m/>
    <m/>
    <m/>
    <m/>
    <n v="49.261300000000006"/>
    <n v="-1.4693639999999917"/>
    <m/>
    <m/>
    <m/>
    <m/>
    <n v="-14.414540000000001"/>
    <n v="5.7429400000000008"/>
    <n v="31"/>
    <n v="6.8913133057875342"/>
    <n v="0.14401938323458841"/>
    <n v="0.67154113728054909"/>
    <n v="0"/>
    <n v="0"/>
    <n v="0"/>
    <n v="0"/>
    <n v="0"/>
    <n v="0.67353883971820527"/>
    <n v="0"/>
    <n v="0"/>
    <n v="5.7422915888636297"/>
    <n v="0"/>
    <n v="0"/>
    <n v="0"/>
    <n v="0.30136638243808855"/>
    <n v="0"/>
    <n v="-0.55590799152462367"/>
    <m/>
    <n v="0"/>
    <n v="0"/>
    <n v="0"/>
    <n v="0"/>
    <n v="-7.6446283943681692E-2"/>
    <n v="-9.0897502792167684E-3"/>
    <n v="0"/>
    <n v="0"/>
    <m/>
    <m/>
    <m/>
    <n v="62.652870141128993"/>
    <n v="0"/>
    <n v="0"/>
    <n v="-14.414540000000002"/>
    <n v="5.7429399999999973"/>
    <n v="0"/>
    <n v="0"/>
    <n v="-15.564035696509279"/>
    <n v="0"/>
    <n v="0"/>
    <n v="0"/>
    <n v="0"/>
    <n v="0"/>
    <n v="0"/>
    <n v="0"/>
    <n v="0"/>
    <n v="0"/>
    <n v="0"/>
    <n v="0"/>
    <n v="0"/>
    <n v="4.180866205603434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3"/>
    <s v="Regular"/>
    <s v="Convencional"/>
    <s v="B1"/>
    <s v="Residencial"/>
    <s v="Residencial"/>
    <s v="Não se aplica"/>
    <s v="Não se aplica"/>
    <s v="Não se aplica"/>
    <s v="CATIVO"/>
    <x v="2"/>
    <n v="0"/>
    <n v="0"/>
    <n v="8888.652"/>
    <n v="8888.652"/>
    <n v="8888.652"/>
    <n v="8888.652"/>
    <m/>
    <n v="368.24"/>
    <n v="173.25"/>
    <m/>
    <n v="4813116.17148"/>
    <n v="4813116.17148"/>
    <n v="4523346.1162800007"/>
    <n v="0"/>
    <n v="547053.71573545015"/>
    <n v="0"/>
    <n v="0"/>
    <n v="22750.836917422632"/>
    <n v="21858.452674514647"/>
    <n v="2093607.3664875431"/>
    <n v="1514097.1645490837"/>
    <n v="25841.387135712546"/>
    <n v="0"/>
    <n v="0"/>
    <n v="0"/>
    <n v="0"/>
    <n v="84522.460992609063"/>
    <m/>
    <n v="10736.21799983362"/>
    <n v="48295.562202260466"/>
    <n v="225195.08165148133"/>
    <n v="0"/>
    <n v="0"/>
    <n v="0"/>
    <n v="0"/>
    <n v="0"/>
    <n v="0"/>
    <n v="0"/>
    <n v="0"/>
    <n v="0"/>
    <n v="0"/>
    <m/>
    <n v="0"/>
    <n v="0"/>
    <n v="0"/>
    <n v="0"/>
    <n v="0"/>
    <n v="79462.698485189714"/>
    <n v="0"/>
    <n v="3717.1"/>
    <n v="33782.39"/>
    <n v="2383243.6"/>
    <n v="46404"/>
    <m/>
    <m/>
    <m/>
    <m/>
    <m/>
    <m/>
    <m/>
    <m/>
    <m/>
    <n v="1593559.8630342735"/>
    <m/>
    <m/>
    <m/>
    <m/>
    <m/>
    <m/>
    <m/>
    <m/>
    <m/>
    <m/>
    <m/>
    <m/>
    <n v="4523345.0985000003"/>
    <n v="-289771.10297999904"/>
    <m/>
    <m/>
    <m/>
    <m/>
    <n v="-481676.05187999998"/>
    <n v="191905.99668000004"/>
    <n v="30"/>
    <n v="230280.02179742465"/>
    <n v="4812.5495444619955"/>
    <n v="22440.208545003872"/>
    <n v="0"/>
    <n v="0"/>
    <n v="0"/>
    <n v="0"/>
    <n v="0"/>
    <n v="22506.963739619943"/>
    <n v="0"/>
    <n v="0"/>
    <n v="191884.3293832175"/>
    <n v="0"/>
    <n v="0"/>
    <n v="0"/>
    <n v="10070.454503725865"/>
    <n v="0"/>
    <n v="-18576.213085268158"/>
    <m/>
    <n v="0"/>
    <n v="0"/>
    <n v="0"/>
    <n v="0"/>
    <n v="-2554.5278746939002"/>
    <n v="-303.74295864233318"/>
    <n v="0"/>
    <n v="0"/>
    <m/>
    <m/>
    <m/>
    <n v="2093607.3664875431"/>
    <n v="0"/>
    <n v="0"/>
    <n v="-481676.05188000016"/>
    <n v="191905.9966800001"/>
    <n v="0"/>
    <n v="0"/>
    <n v="-520087.58278890443"/>
    <n v="0"/>
    <n v="0"/>
    <n v="0"/>
    <n v="0"/>
    <n v="0"/>
    <n v="0"/>
    <n v="0"/>
    <n v="0"/>
    <n v="0"/>
    <n v="0"/>
    <n v="0"/>
    <n v="0"/>
    <n v="139707.7622562758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4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2.2730000000000001"/>
    <n v="-2.2730000000000001"/>
    <n v="-2.2730000000000001"/>
    <n v="-2.2730000000000001"/>
    <m/>
    <n v="368.24"/>
    <n v="173.25"/>
    <m/>
    <n v="-1230.8067700000001"/>
    <n v="-1230.8067700000001"/>
    <n v="-1156.7069700000002"/>
    <n v="0"/>
    <n v="-139.89220141216893"/>
    <n v="0"/>
    <n v="0"/>
    <n v="-5.8178284303741039"/>
    <n v="-5.5896285431325019"/>
    <n v="-535.37584146912104"/>
    <n v="-387.18388964041645"/>
    <n v="-6.6081418149202618"/>
    <n v="0"/>
    <n v="0"/>
    <n v="0"/>
    <n v="0"/>
    <n v="-21.614025820360659"/>
    <m/>
    <n v="-2.7454583117464626"/>
    <n v="-12.350108080025862"/>
    <n v="-57.586732003212312"/>
    <n v="0"/>
    <n v="0"/>
    <n v="0"/>
    <n v="0"/>
    <n v="0"/>
    <n v="0"/>
    <n v="0"/>
    <n v="0"/>
    <n v="0"/>
    <n v="0"/>
    <m/>
    <n v="0"/>
    <n v="0"/>
    <n v="0"/>
    <n v="0"/>
    <n v="0"/>
    <n v="-20.320146818306785"/>
    <n v="0"/>
    <n v="-1.02"/>
    <n v="-8.93"/>
    <n v="-577.58000000000004"/>
    <n v="0"/>
    <m/>
    <m/>
    <m/>
    <m/>
    <m/>
    <m/>
    <m/>
    <m/>
    <m/>
    <n v="-407.50403645872325"/>
    <m/>
    <m/>
    <m/>
    <m/>
    <m/>
    <m/>
    <m/>
    <m/>
    <m/>
    <m/>
    <m/>
    <m/>
    <n v="-1155.1803"/>
    <n v="75.596470000000181"/>
    <m/>
    <m/>
    <m/>
    <m/>
    <n v="123.17387000000001"/>
    <n v="-49.074070000000013"/>
    <n v="30"/>
    <n v="-58.887049413741011"/>
    <n v="-1.2306618725271399"/>
    <n v="-5.7383947557845474"/>
    <n v="0"/>
    <n v="0"/>
    <n v="0"/>
    <n v="0"/>
    <n v="0"/>
    <n v="-5.755465348419099"/>
    <n v="0"/>
    <n v="0"/>
    <n v="-49.068529253710665"/>
    <n v="0"/>
    <n v="0"/>
    <n v="0"/>
    <n v="-2.5752097266232141"/>
    <n v="0"/>
    <n v="4.7502964839679294"/>
    <m/>
    <n v="0"/>
    <n v="0"/>
    <n v="0"/>
    <n v="0"/>
    <n v="0.65324211806010979"/>
    <n v="7.7672941295713116E-2"/>
    <n v="0"/>
    <n v="0"/>
    <m/>
    <m/>
    <m/>
    <n v="-535.37584146912104"/>
    <n v="0"/>
    <n v="0"/>
    <n v="123.17386999999997"/>
    <n v="-49.074070000000006"/>
    <n v="0"/>
    <n v="0"/>
    <n v="132.99644036904357"/>
    <n v="0"/>
    <n v="0"/>
    <n v="0"/>
    <n v="0"/>
    <n v="0"/>
    <n v="0"/>
    <n v="0"/>
    <n v="0"/>
    <n v="0"/>
    <n v="0"/>
    <n v="0"/>
    <n v="0"/>
    <n v="-35.72597325314513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5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04.82"/>
    <n v="104.82"/>
    <n v="104.82"/>
    <n v="104.82"/>
    <m/>
    <n v="368.24"/>
    <n v="173.25"/>
    <m/>
    <n v="56758.981799999994"/>
    <n v="56758.981799999994"/>
    <n v="53341.849799999996"/>
    <n v="0"/>
    <n v="6451.1661029580046"/>
    <n v="0"/>
    <n v="0"/>
    <n v="268.29070658680752"/>
    <n v="257.76720804713977"/>
    <n v="24688.999429297521"/>
    <n v="17855.088126752507"/>
    <n v="304.7362186713338"/>
    <n v="0"/>
    <n v="0"/>
    <n v="0"/>
    <n v="0"/>
    <n v="996.73655366924936"/>
    <m/>
    <n v="126.6075407995003"/>
    <n v="569.52852131469899"/>
    <n v="2655.6274740768649"/>
    <n v="0"/>
    <n v="0"/>
    <n v="0"/>
    <n v="0"/>
    <n v="0"/>
    <n v="0"/>
    <n v="0"/>
    <n v="0"/>
    <n v="0"/>
    <n v="0"/>
    <m/>
    <n v="0"/>
    <n v="0"/>
    <n v="0"/>
    <n v="0"/>
    <n v="0"/>
    <n v="937.06897910027146"/>
    <n v="0"/>
    <n v="42.91"/>
    <n v="397.57"/>
    <n v="59381.14"/>
    <n v="879"/>
    <m/>
    <m/>
    <m/>
    <m/>
    <m/>
    <m/>
    <m/>
    <m/>
    <m/>
    <n v="18792.157105852777"/>
    <m/>
    <m/>
    <m/>
    <m/>
    <m/>
    <m/>
    <m/>
    <m/>
    <m/>
    <m/>
    <m/>
    <m/>
    <n v="53341.849799999996"/>
    <n v="-3417.1620000000039"/>
    <m/>
    <m/>
    <m/>
    <m/>
    <n v="-5680.1957999999995"/>
    <n v="2263.0638000000004"/>
    <n v="30"/>
    <n v="2715.5919575663465"/>
    <n v="56.752299814471939"/>
    <n v="264.62760154040279"/>
    <n v="0"/>
    <n v="0"/>
    <n v="0"/>
    <n v="0"/>
    <n v="0"/>
    <n v="265.41481646339196"/>
    <n v="0"/>
    <n v="0"/>
    <n v="2262.8082870100989"/>
    <n v="0"/>
    <n v="0"/>
    <n v="0"/>
    <n v="118.75648198180602"/>
    <n v="0"/>
    <n v="-219.06118673537912"/>
    <m/>
    <n v="0"/>
    <n v="0"/>
    <n v="0"/>
    <n v="0"/>
    <n v="-30.124434146528984"/>
    <n v="-3.5819083619078924"/>
    <n v="0"/>
    <n v="0"/>
    <m/>
    <m/>
    <m/>
    <n v="24688.999429297521"/>
    <n v="0"/>
    <n v="0"/>
    <n v="-5680.1958000000013"/>
    <n v="2263.0637999999999"/>
    <n v="0"/>
    <n v="0"/>
    <n v="-6133.1662470229421"/>
    <n v="0"/>
    <n v="0"/>
    <n v="0"/>
    <n v="0"/>
    <n v="0"/>
    <n v="0"/>
    <n v="0"/>
    <n v="0"/>
    <n v="0"/>
    <n v="0"/>
    <n v="0"/>
    <n v="0"/>
    <n v="1647.512765681774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6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2.95"/>
    <n v="22.95"/>
    <n v="22.95"/>
    <n v="22.95"/>
    <m/>
    <n v="281.47000000000003"/>
    <n v="173.25"/>
    <m/>
    <n v="10435.824000000001"/>
    <n v="10435.824000000001"/>
    <n v="9742.2749999999996"/>
    <n v="0"/>
    <n v="0"/>
    <n v="0"/>
    <n v="0"/>
    <n v="58.741382524014817"/>
    <n v="56.437296552965641"/>
    <n v="5405.5765779658286"/>
    <n v="3909.3137999329333"/>
    <n v="66.721009525921687"/>
    <n v="0"/>
    <n v="0"/>
    <n v="0"/>
    <n v="0"/>
    <n v="0"/>
    <m/>
    <n v="27.72031159462442"/>
    <n v="124.69642782076265"/>
    <n v="581.44104684281672"/>
    <n v="0"/>
    <n v="0"/>
    <n v="0"/>
    <n v="0"/>
    <n v="0"/>
    <n v="0"/>
    <n v="0"/>
    <n v="0"/>
    <n v="0"/>
    <n v="0"/>
    <m/>
    <n v="0"/>
    <n v="0"/>
    <n v="0"/>
    <n v="0"/>
    <n v="0"/>
    <n v="205.16822238457576"/>
    <n v="0"/>
    <n v="0"/>
    <n v="22.92"/>
    <n v="1423.11"/>
    <n v="16"/>
    <m/>
    <m/>
    <m/>
    <m/>
    <m/>
    <m/>
    <m/>
    <n v="6332.5934999999999"/>
    <m/>
    <n v="4114.4820223175093"/>
    <m/>
    <m/>
    <m/>
    <m/>
    <m/>
    <m/>
    <m/>
    <m/>
    <m/>
    <m/>
    <m/>
    <m/>
    <n v="3409.6814999999997"/>
    <n v="-243.07050000000072"/>
    <m/>
    <m/>
    <m/>
    <m/>
    <n v="-1189.0395000000008"/>
    <n v="495.49050000000005"/>
    <n v="30"/>
    <n v="649.12846236775113"/>
    <n v="12.425732500878965"/>
    <n v="57.939357521009811"/>
    <n v="0"/>
    <n v="0"/>
    <n v="0"/>
    <n v="0"/>
    <n v="0"/>
    <n v="58.111715682454168"/>
    <n v="0"/>
    <n v="0"/>
    <n v="495.43455625721936"/>
    <n v="0"/>
    <n v="0"/>
    <n v="0"/>
    <n v="26.001347657722278"/>
    <n v="0"/>
    <n v="0"/>
    <m/>
    <n v="0"/>
    <n v="0"/>
    <n v="0"/>
    <n v="0"/>
    <n v="0"/>
    <n v="-0.78424725153392316"/>
    <n v="0"/>
    <n v="0"/>
    <m/>
    <m/>
    <m/>
    <n v="5405.5765779658286"/>
    <n v="0"/>
    <n v="0"/>
    <n v="-1189.0394999999999"/>
    <n v="495.49049999999943"/>
    <n v="0"/>
    <n v="0"/>
    <n v="-1342.8369144168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7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9.32"/>
    <n v="49.32"/>
    <n v="49.32"/>
    <n v="49.32"/>
    <m/>
    <n v="281.47000000000003"/>
    <n v="173.25"/>
    <m/>
    <n v="22426.790400000002"/>
    <n v="22426.790400000002"/>
    <n v="20936.34"/>
    <n v="0"/>
    <n v="0"/>
    <n v="0"/>
    <n v="0"/>
    <n v="126.23638283592204"/>
    <n v="121.28485690598107"/>
    <n v="11616.690057746173"/>
    <n v="8401.1920092676373"/>
    <n v="143.38475772629445"/>
    <n v="0"/>
    <n v="0"/>
    <n v="0"/>
    <n v="0"/>
    <n v="0"/>
    <m/>
    <n v="59.571493152369349"/>
    <n v="267.97506841481544"/>
    <n v="1249.5282104700532"/>
    <n v="0"/>
    <n v="0"/>
    <n v="0"/>
    <n v="0"/>
    <n v="0"/>
    <n v="0"/>
    <n v="0"/>
    <n v="0"/>
    <n v="0"/>
    <n v="0"/>
    <m/>
    <n v="0"/>
    <n v="0"/>
    <n v="0"/>
    <n v="0"/>
    <n v="0"/>
    <n v="440.91053281077455"/>
    <n v="0"/>
    <n v="7.19"/>
    <n v="79.31"/>
    <n v="5545.87"/>
    <n v="112"/>
    <m/>
    <m/>
    <m/>
    <m/>
    <m/>
    <m/>
    <m/>
    <n v="8375.0292000000009"/>
    <m/>
    <n v="8842.1025420784117"/>
    <m/>
    <m/>
    <m/>
    <m/>
    <m/>
    <m/>
    <m/>
    <m/>
    <m/>
    <m/>
    <m/>
    <m/>
    <n v="12561.310799999999"/>
    <n v="-894.69480000000112"/>
    <m/>
    <m/>
    <m/>
    <m/>
    <n v="-2555.2692000000015"/>
    <n v="1064.8188000000002"/>
    <n v="30"/>
    <n v="1394.9897936373654"/>
    <n v="26.703142786202648"/>
    <n v="124.51281537848399"/>
    <n v="0"/>
    <n v="0"/>
    <n v="0"/>
    <n v="0"/>
    <n v="0"/>
    <n v="124.88321644699955"/>
    <n v="0"/>
    <n v="0"/>
    <n v="1064.6985757998282"/>
    <n v="0"/>
    <n v="0"/>
    <n v="0"/>
    <n v="55.877405946791441"/>
    <n v="0"/>
    <n v="0"/>
    <m/>
    <n v="0"/>
    <n v="0"/>
    <n v="0"/>
    <n v="0"/>
    <n v="0"/>
    <n v="-1.6853627209434947"/>
    <n v="0"/>
    <n v="0"/>
    <m/>
    <m/>
    <m/>
    <n v="11616.690057746173"/>
    <n v="0"/>
    <n v="0"/>
    <n v="-2555.2692000000006"/>
    <n v="1064.8187999999991"/>
    <n v="0"/>
    <n v="0"/>
    <n v="-2885.7828592174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8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52.707000000000001"/>
    <n v="52.707000000000001"/>
    <n v="52.707000000000001"/>
    <n v="52.707000000000001"/>
    <m/>
    <n v="281.47000000000003"/>
    <n v="173.25"/>
    <m/>
    <n v="23966.927040000002"/>
    <n v="23966.927040000002"/>
    <n v="22374.121500000001"/>
    <n v="0"/>
    <n v="0"/>
    <n v="0"/>
    <n v="0"/>
    <n v="134.90553589077339"/>
    <n v="129.61396903778476"/>
    <n v="12414.454235069496"/>
    <n v="8978.1351831400916"/>
    <n v="153.23155769423767"/>
    <n v="0"/>
    <n v="0"/>
    <n v="0"/>
    <n v="0"/>
    <n v="0"/>
    <m/>
    <n v="63.662503843915879"/>
    <n v="286.37797913502999"/>
    <n v="1335.338268232869"/>
    <n v="0"/>
    <n v="0"/>
    <n v="0"/>
    <n v="0"/>
    <n v="0"/>
    <n v="0"/>
    <n v="0"/>
    <n v="0"/>
    <n v="0"/>
    <n v="0"/>
    <m/>
    <n v="0"/>
    <n v="0"/>
    <n v="0"/>
    <n v="0"/>
    <n v="0"/>
    <n v="471.18960772217144"/>
    <n v="0"/>
    <n v="16.59"/>
    <n v="141.28"/>
    <n v="10367.59"/>
    <n v="389"/>
    <m/>
    <m/>
    <m/>
    <m/>
    <m/>
    <m/>
    <m/>
    <n v="2237.9392200000002"/>
    <m/>
    <n v="9449.3247908622634"/>
    <m/>
    <m/>
    <m/>
    <m/>
    <m/>
    <m/>
    <m/>
    <m/>
    <m/>
    <m/>
    <m/>
    <m/>
    <n v="20137.328399999999"/>
    <n v="-1432.5142799999994"/>
    <m/>
    <m/>
    <m/>
    <m/>
    <n v="-2730.7496700000015"/>
    <n v="1137.9441300000001"/>
    <n v="30"/>
    <n v="1490.789275207715"/>
    <n v="28.536953504306155"/>
    <n v="133.06360422047328"/>
    <n v="0"/>
    <n v="0"/>
    <n v="0"/>
    <n v="0"/>
    <n v="0"/>
    <n v="133.45944219935129"/>
    <n v="0"/>
    <n v="0"/>
    <n v="1137.8156495272015"/>
    <n v="0"/>
    <n v="0"/>
    <n v="0"/>
    <n v="59.71472901941479"/>
    <n v="0"/>
    <n v="0"/>
    <m/>
    <n v="0"/>
    <n v="0"/>
    <n v="0"/>
    <n v="0"/>
    <n v="0"/>
    <n v="-1.8011032630326156"/>
    <n v="0"/>
    <n v="0"/>
    <m/>
    <m/>
    <m/>
    <n v="12414.454235069496"/>
    <n v="0"/>
    <n v="0"/>
    <n v="-2730.7496700000029"/>
    <n v="1137.9441299999999"/>
    <n v="0"/>
    <n v="0"/>
    <n v="-3083.96101299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39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21.427"/>
    <n v="21.427"/>
    <n v="21.427"/>
    <n v="21.427"/>
    <m/>
    <n v="281.47000000000003"/>
    <n v="173.25"/>
    <m/>
    <n v="9743.2854399999997"/>
    <n v="9743.2854399999997"/>
    <n v="9095.7615000000005"/>
    <n v="0"/>
    <n v="0"/>
    <n v="0"/>
    <n v="0"/>
    <n v="54.843207117301326"/>
    <n v="52.692024106335282"/>
    <n v="5046.853565841996"/>
    <n v="3649.8852632315015"/>
    <n v="62.293292858907364"/>
    <n v="0"/>
    <n v="0"/>
    <n v="0"/>
    <n v="0"/>
    <n v="0"/>
    <m/>
    <n v="25.880745818649999"/>
    <n v="116.42136640154604"/>
    <n v="542.85565623969649"/>
    <n v="0"/>
    <n v="0"/>
    <n v="0"/>
    <n v="0"/>
    <n v="0"/>
    <n v="0"/>
    <n v="0"/>
    <n v="0"/>
    <n v="0"/>
    <n v="0"/>
    <m/>
    <n v="0"/>
    <n v="0"/>
    <n v="0"/>
    <n v="0"/>
    <n v="0"/>
    <n v="191.55291943504594"/>
    <n v="0"/>
    <n v="11.3"/>
    <n v="90.09"/>
    <n v="6421.14"/>
    <n v="247"/>
    <m/>
    <m/>
    <m/>
    <m/>
    <m/>
    <m/>
    <m/>
    <m/>
    <m/>
    <n v="3841.4381826665476"/>
    <m/>
    <m/>
    <m/>
    <m/>
    <m/>
    <m/>
    <m/>
    <m/>
    <m/>
    <m/>
    <m/>
    <m/>
    <n v="9097.0349999999999"/>
    <n v="-646.28044000000045"/>
    <m/>
    <m/>
    <m/>
    <m/>
    <n v="-1110.1328700000006"/>
    <n v="462.60893000000004"/>
    <n v="30"/>
    <n v="606.05122279537045"/>
    <n v="11.601140317923011"/>
    <n v="54.094405821467376"/>
    <n v="0"/>
    <n v="0"/>
    <n v="0"/>
    <n v="0"/>
    <n v="0"/>
    <n v="54.255326009932261"/>
    <n v="0"/>
    <n v="0"/>
    <n v="462.55669877662012"/>
    <n v="0"/>
    <n v="0"/>
    <n v="0"/>
    <n v="24.275855174815518"/>
    <n v="0"/>
    <n v="0"/>
    <m/>
    <n v="0"/>
    <n v="0"/>
    <n v="0"/>
    <n v="0"/>
    <n v="0"/>
    <n v="-0.73220330538637768"/>
    <n v="0"/>
    <n v="0"/>
    <m/>
    <m/>
    <m/>
    <n v="5046.853565841996"/>
    <n v="0"/>
    <n v="0"/>
    <n v="-1110.1328700000004"/>
    <n v="462.60893000000033"/>
    <n v="0"/>
    <n v="0"/>
    <n v="-1253.72403334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0"/>
    <s v="Regular"/>
    <s v="Branca"/>
    <s v="B1"/>
    <s v="Residencial"/>
    <s v="Residencial"/>
    <s v="Não se aplica"/>
    <s v="Não se aplica"/>
    <s v="Ponta"/>
    <s v="CATIVO"/>
    <x v="2"/>
    <n v="0"/>
    <n v="0"/>
    <n v="0.621"/>
    <n v="0.621"/>
    <n v="0.621"/>
    <n v="0.621"/>
    <m/>
    <n v="775.22"/>
    <n v="173.25"/>
    <m/>
    <n v="588.99986999999999"/>
    <n v="588.99986999999999"/>
    <n v="519.4665"/>
    <n v="0"/>
    <n v="38.219558766809016"/>
    <n v="0"/>
    <n v="0"/>
    <n v="3.9734001040388516"/>
    <n v="3.8175643779783552"/>
    <n v="365.67128986842692"/>
    <n v="105.78143223347938"/>
    <n v="1.8053920224661164"/>
    <n v="0"/>
    <n v="0"/>
    <n v="0"/>
    <n v="0"/>
    <n v="5.9051078022190797"/>
    <m/>
    <n v="0.75007901961924905"/>
    <n v="8.4348685291283125"/>
    <n v="39.330255111129588"/>
    <n v="0"/>
    <n v="0"/>
    <n v="0"/>
    <n v="0"/>
    <n v="0"/>
    <n v="0"/>
    <n v="0"/>
    <n v="0"/>
    <n v="0"/>
    <n v="0"/>
    <m/>
    <n v="0"/>
    <n v="0"/>
    <n v="0"/>
    <n v="0"/>
    <n v="0"/>
    <n v="5.551610723347344"/>
    <n v="0"/>
    <n v="0"/>
    <n v="0"/>
    <n v="0"/>
    <n v="0"/>
    <m/>
    <m/>
    <m/>
    <m/>
    <m/>
    <m/>
    <m/>
    <m/>
    <m/>
    <n v="111.33304295682672"/>
    <m/>
    <m/>
    <m/>
    <m/>
    <m/>
    <m/>
    <m/>
    <m/>
    <m/>
    <m/>
    <m/>
    <m/>
    <n v="518.63"/>
    <n v="-70.399869999999964"/>
    <m/>
    <m/>
    <m/>
    <m/>
    <n v="-82.94076000000004"/>
    <n v="13.407390000000001"/>
    <n v="30"/>
    <n v="21.302454448976704"/>
    <n v="0.84051661988007886"/>
    <n v="3.9191758556603489"/>
    <n v="0"/>
    <n v="0"/>
    <n v="0"/>
    <n v="0"/>
    <n v="0"/>
    <n v="3.930826408815383"/>
    <n v="0"/>
    <n v="0"/>
    <n v="13.40587622813652"/>
    <n v="0"/>
    <n v="0"/>
    <n v="0"/>
    <n v="0.7035658777971916"/>
    <n v="0"/>
    <n v="-1.2978152734465809"/>
    <m/>
    <n v="0"/>
    <n v="0"/>
    <n v="0"/>
    <n v="0"/>
    <n v="-0.17847045988355781"/>
    <n v="-2.1220807982682666E-2"/>
    <n v="0"/>
    <n v="0"/>
    <m/>
    <m/>
    <m/>
    <n v="365.67128986842692"/>
    <n v="0"/>
    <n v="0"/>
    <n v="-82.940760000000068"/>
    <n v="13.407389999999992"/>
    <n v="0"/>
    <n v="0"/>
    <n v="-90.838951126751738"/>
    <n v="0"/>
    <n v="0"/>
    <n v="0"/>
    <n v="0"/>
    <n v="0"/>
    <n v="0"/>
    <n v="0"/>
    <n v="0"/>
    <n v="0"/>
    <n v="0"/>
    <n v="0"/>
    <n v="0"/>
    <n v="9.760593660450123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1"/>
    <s v="Regular"/>
    <s v="Branca"/>
    <s v="B1"/>
    <s v="Residencial"/>
    <s v="Residencial"/>
    <s v="Não se aplica"/>
    <s v="Não se aplica"/>
    <s v="Fora ponta"/>
    <s v="CATIVO"/>
    <x v="2"/>
    <n v="0"/>
    <n v="0"/>
    <n v="4.9589999999999996"/>
    <n v="4.9589999999999996"/>
    <n v="4.9589999999999996"/>
    <n v="4.9589999999999996"/>
    <m/>
    <n v="232.58"/>
    <n v="173.25"/>
    <m/>
    <n v="2012.5109699999998"/>
    <n v="2012.5109699999998"/>
    <n v="1982.0627099999997"/>
    <n v="0"/>
    <n v="305.20256348567779"/>
    <n v="0"/>
    <n v="0"/>
    <n v="6.3463728962219923"/>
    <n v="6.0974412550360917"/>
    <n v="584.01425381552372"/>
    <n v="844.71839363256709"/>
    <n v="14.416971077954059"/>
    <n v="0"/>
    <n v="0"/>
    <n v="0"/>
    <n v="0"/>
    <n v="47.155281145256701"/>
    <m/>
    <n v="5.989761446524728"/>
    <n v="13.47264962371923"/>
    <n v="62.818434668704313"/>
    <n v="0"/>
    <n v="0"/>
    <n v="0"/>
    <n v="0"/>
    <n v="0"/>
    <n v="0"/>
    <n v="0"/>
    <n v="0"/>
    <n v="0"/>
    <n v="0"/>
    <m/>
    <n v="0"/>
    <n v="0"/>
    <n v="0"/>
    <n v="0"/>
    <n v="0"/>
    <n v="44.332427660353424"/>
    <n v="0"/>
    <n v="0"/>
    <n v="0"/>
    <n v="0"/>
    <n v="0"/>
    <m/>
    <m/>
    <m/>
    <m/>
    <m/>
    <m/>
    <m/>
    <m/>
    <m/>
    <n v="889.05082129292055"/>
    <m/>
    <m/>
    <m/>
    <m/>
    <m/>
    <m/>
    <m/>
    <m/>
    <m/>
    <m/>
    <m/>
    <m/>
    <n v="1982.4623999999999"/>
    <n v="-30.0785699999999"/>
    <m/>
    <m/>
    <m/>
    <m/>
    <n v="-137.51307000000008"/>
    <n v="107.06481000000001"/>
    <n v="30"/>
    <n v="114.59329050855808"/>
    <n v="1.3425207379880391"/>
    <n v="6.2597227439365497"/>
    <n v="0"/>
    <n v="0"/>
    <n v="0"/>
    <n v="0"/>
    <n v="0"/>
    <n v="6.2783441845161256"/>
    <n v="0"/>
    <n v="0"/>
    <n v="107.05272176381482"/>
    <n v="0"/>
    <n v="0"/>
    <n v="0"/>
    <n v="5.6183304154529381"/>
    <n v="0"/>
    <n v="-10.363713270566166"/>
    <m/>
    <n v="0"/>
    <n v="0"/>
    <n v="0"/>
    <n v="0"/>
    <n v="-1.4251771506643536"/>
    <n v="-0.16945891591968376"/>
    <n v="0"/>
    <n v="0"/>
    <m/>
    <m/>
    <m/>
    <n v="584.01425381552372"/>
    <n v="0"/>
    <n v="0"/>
    <n v="-137.51307000000008"/>
    <n v="107.06481000000008"/>
    <n v="0"/>
    <n v="0"/>
    <n v="-145.07904702817513"/>
    <n v="0"/>
    <n v="0"/>
    <n v="0"/>
    <n v="0"/>
    <n v="0"/>
    <n v="0"/>
    <n v="0"/>
    <n v="0"/>
    <n v="0"/>
    <n v="0"/>
    <n v="0"/>
    <n v="0"/>
    <n v="77.9432914044640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2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7"/>
    <n v="20.97"/>
    <n v="1498.09"/>
    <n v="1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43"/>
    <s v="Regular"/>
    <s v="Branca"/>
    <s v="B1"/>
    <s v="Residencial"/>
    <s v="Residencial"/>
    <s v="Não se aplica"/>
    <s v="Não se aplica"/>
    <s v="Intermediário"/>
    <s v="CATIVO"/>
    <x v="2"/>
    <n v="0"/>
    <n v="0"/>
    <n v="0.39400000000000002"/>
    <n v="0.39400000000000002"/>
    <n v="0.39400000000000002"/>
    <n v="0.39400000000000002"/>
    <m/>
    <n v="503.9"/>
    <n v="173.25"/>
    <m/>
    <n v="266.7971"/>
    <n v="266.7971"/>
    <n v="243.52746000000002"/>
    <n v="0"/>
    <n v="24.248802180551937"/>
    <n v="0"/>
    <n v="0"/>
    <n v="1.5125078836979995"/>
    <n v="1.4531950140909031"/>
    <n v="139.20234466331419"/>
    <n v="67.114145410613318"/>
    <n v="1.1454500110332526"/>
    <n v="0"/>
    <n v="0"/>
    <n v="0"/>
    <n v="0"/>
    <n v="3.7465579292662117"/>
    <m/>
    <n v="0.47589554545891166"/>
    <n v="3.2108334593034273"/>
    <n v="14.971457175765265"/>
    <n v="0"/>
    <n v="0"/>
    <n v="0"/>
    <n v="0"/>
    <n v="0"/>
    <n v="0"/>
    <n v="0"/>
    <n v="0"/>
    <n v="0"/>
    <n v="0"/>
    <m/>
    <n v="0"/>
    <n v="0"/>
    <n v="0"/>
    <n v="0"/>
    <n v="0"/>
    <n v="3.5222779790641763"/>
    <n v="0"/>
    <n v="0"/>
    <n v="0"/>
    <n v="0"/>
    <n v="0"/>
    <m/>
    <m/>
    <m/>
    <m/>
    <m/>
    <m/>
    <m/>
    <m/>
    <m/>
    <n v="70.636423389677489"/>
    <m/>
    <m/>
    <m/>
    <m/>
    <m/>
    <m/>
    <m/>
    <m/>
    <m/>
    <m/>
    <m/>
    <m/>
    <n v="241.05509999999998"/>
    <n v="-25.771999999999991"/>
    <m/>
    <m/>
    <m/>
    <m/>
    <n v="-31.776099999999992"/>
    <n v="8.5064600000000024"/>
    <n v="30"/>
    <n v="11.309911308767425"/>
    <n v="0.31995269124728631"/>
    <n v="1.4918737069342765"/>
    <n v="0"/>
    <n v="0"/>
    <n v="0"/>
    <n v="0"/>
    <n v="0"/>
    <n v="1.4963093671710102"/>
    <n v="0"/>
    <n v="0"/>
    <n v="8.505499571474715"/>
    <n v="0"/>
    <n v="0"/>
    <n v="0"/>
    <n v="0.44638479203235715"/>
    <n v="0"/>
    <n v="-0.82341258895000635"/>
    <m/>
    <n v="0"/>
    <n v="0"/>
    <n v="0"/>
    <n v="0"/>
    <n v="-0.1132324656910173"/>
    <n v="-1.3463765451170617E-2"/>
    <n v="0"/>
    <n v="0"/>
    <m/>
    <m/>
    <m/>
    <n v="139.20234466331419"/>
    <n v="0"/>
    <n v="0"/>
    <n v="-31.776099999999985"/>
    <n v="8.5064600000000041"/>
    <n v="0"/>
    <n v="0"/>
    <n v="-34.58022364334343"/>
    <n v="0"/>
    <n v="0"/>
    <n v="0"/>
    <n v="0"/>
    <n v="0"/>
    <n v="0"/>
    <n v="0"/>
    <n v="0"/>
    <n v="0"/>
    <n v="0"/>
    <n v="0"/>
    <n v="0"/>
    <n v="6.19271159777350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4"/>
    <s v="Regular"/>
    <s v="Convencional"/>
    <s v="B3"/>
    <s v="Industrial"/>
    <s v="Não se aplica"/>
    <s v="Não se aplica"/>
    <s v="Não se aplica"/>
    <s v="Não se aplica"/>
    <s v="CATIVO"/>
    <x v="2"/>
    <n v="0"/>
    <n v="0"/>
    <n v="552.41399999999999"/>
    <n v="552.41399999999999"/>
    <n v="552.41399999999999"/>
    <n v="552.41399999999999"/>
    <m/>
    <n v="368.24"/>
    <n v="173.25"/>
    <m/>
    <n v="299126.65685999999"/>
    <n v="299126.65685999999"/>
    <n v="281117.96046000003"/>
    <n v="0"/>
    <n v="33998.420831896998"/>
    <n v="0"/>
    <n v="0"/>
    <n v="1413.9242738832731"/>
    <n v="1358.4641715908481"/>
    <n v="130113.99475993094"/>
    <n v="94098.460717915092"/>
    <n v="1605.9965035404141"/>
    <n v="0"/>
    <n v="0"/>
    <n v="0"/>
    <n v="0"/>
    <n v="5252.9214516184393"/>
    <m/>
    <n v="667.23695900796758"/>
    <n v="3001.4837681123654"/>
    <n v="13995.4760109206"/>
    <n v="0"/>
    <n v="0"/>
    <n v="0"/>
    <n v="0"/>
    <n v="0"/>
    <n v="0"/>
    <n v="0"/>
    <n v="0"/>
    <n v="0"/>
    <n v="0"/>
    <m/>
    <n v="0"/>
    <n v="0"/>
    <n v="0"/>
    <n v="0"/>
    <n v="0"/>
    <n v="4938.4661612354257"/>
    <n v="0"/>
    <n v="243"/>
    <n v="2095.62"/>
    <n v="74281.75"/>
    <n v="305"/>
    <m/>
    <m/>
    <m/>
    <m/>
    <m/>
    <m/>
    <m/>
    <m/>
    <m/>
    <n v="99036.926879150516"/>
    <m/>
    <m/>
    <m/>
    <m/>
    <m/>
    <m/>
    <m/>
    <m/>
    <m/>
    <m/>
    <m/>
    <m/>
    <n v="281115.92489999998"/>
    <n v="-18010.761960000033"/>
    <m/>
    <m/>
    <m/>
    <m/>
    <n v="-29935.314659999996"/>
    <n v="11926.618260000001"/>
    <n v="30"/>
    <n v="14311.49604700497"/>
    <n v="299.09144199305183"/>
    <n v="1394.6192699612675"/>
    <n v="0"/>
    <n v="0"/>
    <n v="0"/>
    <n v="0"/>
    <n v="0"/>
    <n v="1398.7679872334309"/>
    <n v="0"/>
    <n v="0"/>
    <n v="11925.271675829004"/>
    <n v="0"/>
    <n v="0"/>
    <n v="0"/>
    <n v="625.86093529381287"/>
    <n v="0"/>
    <n v="-1154.4787865792605"/>
    <m/>
    <n v="0"/>
    <n v="0"/>
    <n v="0"/>
    <n v="0"/>
    <n v="-158.7593890919743"/>
    <n v="-18.877087634373083"/>
    <n v="0"/>
    <n v="0"/>
    <m/>
    <m/>
    <m/>
    <n v="130113.99475993094"/>
    <n v="0"/>
    <n v="0"/>
    <n v="-29935.314659999975"/>
    <n v="11926.618260000003"/>
    <n v="0"/>
    <n v="0"/>
    <n v="-32322.523365607049"/>
    <n v="0"/>
    <n v="0"/>
    <n v="0"/>
    <n v="0"/>
    <n v="0"/>
    <n v="0"/>
    <n v="0"/>
    <n v="0"/>
    <n v="0"/>
    <n v="0"/>
    <n v="0"/>
    <n v="0"/>
    <n v="8682.590316173742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5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57.058999999999997"/>
    <n v="57.058999999999997"/>
    <n v="57.058999999999997"/>
    <n v="57.058999999999997"/>
    <m/>
    <n v="368.24"/>
    <n v="173.25"/>
    <m/>
    <n v="30896.877909999996"/>
    <n v="30896.877909999996"/>
    <n v="29036.754509999999"/>
    <n v="0"/>
    <n v="3511.7066081728753"/>
    <n v="0"/>
    <n v="0"/>
    <n v="146.04464250273469"/>
    <n v="140.3161526804212"/>
    <n v="13439.511719483755"/>
    <n v="9719.456911127374"/>
    <n v="165.88383801915319"/>
    <n v="0"/>
    <n v="0"/>
    <n v="0"/>
    <n v="0"/>
    <n v="542.57575859391056"/>
    <m/>
    <n v="68.919096264822429"/>
    <n v="310.024116558819"/>
    <n v="1445.5967185971363"/>
    <n v="0"/>
    <n v="0"/>
    <n v="0"/>
    <n v="0"/>
    <n v="0"/>
    <n v="0"/>
    <n v="0"/>
    <n v="0"/>
    <n v="0"/>
    <n v="0"/>
    <m/>
    <n v="0"/>
    <n v="0"/>
    <n v="0"/>
    <n v="0"/>
    <n v="0"/>
    <n v="510.09558174472801"/>
    <n v="0"/>
    <n v="25.32"/>
    <n v="218.58"/>
    <n v="11838.48"/>
    <n v="42"/>
    <m/>
    <m/>
    <m/>
    <m/>
    <m/>
    <m/>
    <m/>
    <m/>
    <m/>
    <n v="10229.552492872102"/>
    <m/>
    <m/>
    <m/>
    <m/>
    <m/>
    <m/>
    <m/>
    <m/>
    <m/>
    <m/>
    <m/>
    <m/>
    <n v="29037.263400000003"/>
    <n v="-1859.6445099999873"/>
    <m/>
    <m/>
    <m/>
    <m/>
    <n v="-3092.0272099999997"/>
    <n v="1231.9038100000002"/>
    <n v="30"/>
    <n v="1478.2385184771811"/>
    <n v="30.893240556324713"/>
    <n v="144.05062312816131"/>
    <n v="0"/>
    <n v="0"/>
    <n v="0"/>
    <n v="0"/>
    <n v="0"/>
    <n v="144.47914532135738"/>
    <n v="0"/>
    <n v="0"/>
    <n v="1231.7647209359766"/>
    <n v="0"/>
    <n v="0"/>
    <n v="0"/>
    <n v="64.645354945619886"/>
    <n v="0"/>
    <n v="-119.24644394136612"/>
    <m/>
    <n v="0"/>
    <n v="0"/>
    <n v="0"/>
    <n v="0"/>
    <n v="-16.398302690009587"/>
    <n v="-1.9498197788790463"/>
    <n v="0"/>
    <n v="0"/>
    <m/>
    <m/>
    <m/>
    <n v="13439.511719483755"/>
    <n v="0"/>
    <n v="0"/>
    <n v="-3092.0272100000002"/>
    <n v="1231.9038100000016"/>
    <n v="0"/>
    <n v="0"/>
    <n v="-3338.6026797260256"/>
    <n v="0"/>
    <n v="0"/>
    <n v="0"/>
    <n v="0"/>
    <n v="0"/>
    <n v="0"/>
    <n v="0"/>
    <n v="0"/>
    <n v="0"/>
    <n v="0"/>
    <n v="0"/>
    <n v="0"/>
    <n v="896.8272361861892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6"/>
    <s v="Regular"/>
    <s v="Azul"/>
    <s v="A4"/>
    <s v="Industrial"/>
    <s v="Não se aplica"/>
    <s v="Não se aplica"/>
    <s v="Não se aplica"/>
    <s v="Ponta"/>
    <s v="CATIVO"/>
    <x v="2"/>
    <n v="10251"/>
    <n v="10251"/>
    <n v="493.87799999999999"/>
    <n v="493.87799999999999"/>
    <n v="493.87799999999999"/>
    <n v="493.87799999999999"/>
    <n v="52.95"/>
    <n v="85.01"/>
    <n v="173.25"/>
    <n v="542790.45000000007"/>
    <n v="127548.93227999999"/>
    <n v="670339.38228000002"/>
    <n v="591235.73225999996"/>
    <n v="0"/>
    <n v="26444.356429680607"/>
    <n v="0"/>
    <n v="0"/>
    <n v="8074.3667641889479"/>
    <n v="7757.4622196925275"/>
    <n v="429862.50210012676"/>
    <n v="84127.410931733204"/>
    <n v="1435.8186815966515"/>
    <n v="0"/>
    <n v="0"/>
    <n v="0"/>
    <n v="0"/>
    <n v="4696.3008553049185"/>
    <m/>
    <n v="395.50433141662376"/>
    <n v="17140.193597986821"/>
    <n v="79921.151803572022"/>
    <n v="0"/>
    <n v="0"/>
    <n v="0"/>
    <n v="0"/>
    <n v="0"/>
    <n v="0"/>
    <n v="0"/>
    <n v="0"/>
    <n v="0"/>
    <n v="0"/>
    <m/>
    <n v="0"/>
    <n v="0"/>
    <n v="0"/>
    <n v="0"/>
    <n v="0"/>
    <n v="3693.5439559014026"/>
    <n v="0"/>
    <n v="0"/>
    <n v="0"/>
    <n v="0"/>
    <n v="0"/>
    <m/>
    <m/>
    <m/>
    <m/>
    <m/>
    <m/>
    <m/>
    <m/>
    <m/>
    <n v="87820.954887634609"/>
    <m/>
    <m/>
    <m/>
    <m/>
    <m/>
    <m/>
    <m/>
    <m/>
    <m/>
    <m/>
    <m/>
    <m/>
    <n v="591236.28960000002"/>
    <n v="-79103.12268000003"/>
    <m/>
    <m/>
    <m/>
    <m/>
    <n v="-89766.476040000023"/>
    <n v="10662.826020000002"/>
    <n v="30"/>
    <n v="27738.190473643102"/>
    <n v="1707.9836558590141"/>
    <n v="7963.9719503494562"/>
    <n v="0"/>
    <n v="0"/>
    <n v="0"/>
    <n v="0"/>
    <n v="0"/>
    <n v="7987.6157516702233"/>
    <n v="0"/>
    <n v="0"/>
    <n v="10661.622125281181"/>
    <n v="0"/>
    <n v="0"/>
    <n v="0"/>
    <n v="468.08964551270446"/>
    <n v="0"/>
    <n v="-897.96666362115502"/>
    <m/>
    <n v="0"/>
    <n v="0"/>
    <n v="0"/>
    <n v="0"/>
    <n v="-141.93660835164519"/>
    <n v="-11.189383056697295"/>
    <n v="0"/>
    <n v="0"/>
    <m/>
    <m/>
    <n v="429862.50210012676"/>
    <n v="0"/>
    <n v="0"/>
    <n v="0"/>
    <n v="-89766.476040000038"/>
    <n v="10662.826020000008"/>
    <n v="0"/>
    <n v="0"/>
    <n v="-106785.13709278748"/>
    <n v="0"/>
    <n v="0"/>
    <n v="0"/>
    <n v="0"/>
    <n v="0"/>
    <n v="0"/>
    <n v="0"/>
    <n v="0"/>
    <n v="0"/>
    <n v="0"/>
    <n v="0"/>
    <n v="0"/>
    <n v="6753.416995132275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7"/>
    <s v="Regular"/>
    <s v="Azul"/>
    <s v="A4"/>
    <s v="Industrial"/>
    <s v="Não se aplica"/>
    <s v="Não se aplica"/>
    <s v="Não se aplica"/>
    <s v="Fora ponta"/>
    <s v="CATIVO"/>
    <x v="2"/>
    <n v="10872"/>
    <n v="10872"/>
    <n v="4389.6400000000003"/>
    <n v="4389.6400000000003"/>
    <n v="4389.6400000000003"/>
    <n v="4389.6400000000003"/>
    <n v="27.19"/>
    <n v="85.01"/>
    <n v="173.25"/>
    <n v="295609.68"/>
    <n v="1133668.4264"/>
    <n v="1429278.1063999999"/>
    <n v="1459835.6988000001"/>
    <n v="0"/>
    <n v="235040.24224197713"/>
    <n v="0"/>
    <n v="0"/>
    <n v="2535.3570691844761"/>
    <n v="2435.7067736352496"/>
    <n v="260189.03280363008"/>
    <n v="747733.34330011345"/>
    <n v="12761.708595005095"/>
    <n v="0"/>
    <n v="0"/>
    <n v="0"/>
    <n v="0"/>
    <n v="41741.219666558718"/>
    <m/>
    <n v="3515.2844090234198"/>
    <n v="5380.3878836155245"/>
    <n v="25093.54190122092"/>
    <n v="0"/>
    <n v="0"/>
    <n v="0"/>
    <n v="0"/>
    <n v="0"/>
    <n v="0"/>
    <n v="0"/>
    <n v="0"/>
    <n v="0"/>
    <n v="0"/>
    <m/>
    <n v="0"/>
    <n v="0"/>
    <n v="0"/>
    <n v="0"/>
    <n v="0"/>
    <n v="32828.610083022599"/>
    <n v="0"/>
    <n v="0"/>
    <n v="0"/>
    <n v="0"/>
    <n v="0"/>
    <m/>
    <m/>
    <m/>
    <m/>
    <m/>
    <m/>
    <m/>
    <m/>
    <m/>
    <n v="780561.95338313607"/>
    <m/>
    <m/>
    <m/>
    <m/>
    <m/>
    <m/>
    <m/>
    <m/>
    <m/>
    <m/>
    <m/>
    <m/>
    <n v="1459835.6988000001"/>
    <n v="30557.56240000017"/>
    <m/>
    <m/>
    <m/>
    <m/>
    <n v="-64214.735200000032"/>
    <n v="94772.327600000019"/>
    <n v="30"/>
    <n v="95124.46763078589"/>
    <n v="536.14415233188174"/>
    <n v="2500.5178144505953"/>
    <n v="0"/>
    <n v="0"/>
    <n v="0"/>
    <n v="0"/>
    <n v="0"/>
    <n v="2507.9709369580346"/>
    <n v="0"/>
    <n v="0"/>
    <n v="94761.62725616293"/>
    <n v="0"/>
    <n v="0"/>
    <n v="0"/>
    <n v="4160.4303725381324"/>
    <n v="0"/>
    <n v="-7981.2228633345803"/>
    <m/>
    <n v="0"/>
    <n v="0"/>
    <n v="0"/>
    <n v="0"/>
    <n v="-1261.5476159794925"/>
    <n v="-99.452422341146757"/>
    <n v="0"/>
    <n v="0"/>
    <m/>
    <m/>
    <n v="260189.03280363008"/>
    <n v="0"/>
    <n v="0"/>
    <n v="0"/>
    <n v="-64214.735199999996"/>
    <n v="94772.327600000077"/>
    <n v="0"/>
    <n v="0"/>
    <n v="-64635.369222095382"/>
    <n v="0"/>
    <n v="0"/>
    <n v="0"/>
    <n v="0"/>
    <n v="0"/>
    <n v="0"/>
    <n v="0"/>
    <n v="0"/>
    <n v="0"/>
    <n v="0"/>
    <n v="0"/>
    <n v="0"/>
    <n v="60025.08590889337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48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41.96"/>
    <n v="16645.62"/>
    <n v="583423.67000000004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49"/>
    <s v="Regular"/>
    <s v="Verde"/>
    <s v="A4"/>
    <s v="Industrial"/>
    <s v="Não se aplica"/>
    <s v="Não se aplica"/>
    <s v="Não se aplica"/>
    <s v="Ponta"/>
    <s v="CATIVO"/>
    <x v="2"/>
    <n v="0"/>
    <n v="0"/>
    <n v="202.08500000000001"/>
    <n v="202.08500000000001"/>
    <n v="202.08500000000001"/>
    <n v="202.08500000000001"/>
    <m/>
    <n v="1358.36"/>
    <n v="173.25"/>
    <m/>
    <n v="309515.40684999997"/>
    <n v="309515.40684999997"/>
    <n v="271383.98820000002"/>
    <n v="0"/>
    <n v="10820.501761754938"/>
    <n v="0"/>
    <n v="0"/>
    <n v="3827.9119212870551"/>
    <n v="3677.7763381191075"/>
    <n v="203804.28194960076"/>
    <n v="34423.253998232976"/>
    <n v="587.50828801942862"/>
    <n v="0"/>
    <n v="0"/>
    <n v="0"/>
    <n v="0"/>
    <n v="1921.6323835933056"/>
    <m/>
    <n v="161.83246229702155"/>
    <n v="8126.0040029512184"/>
    <n v="37890.149606663035"/>
    <n v="0"/>
    <n v="0"/>
    <n v="0"/>
    <n v="0"/>
    <n v="0"/>
    <n v="0"/>
    <n v="0"/>
    <n v="0"/>
    <n v="0"/>
    <n v="0"/>
    <m/>
    <n v="0"/>
    <n v="0"/>
    <n v="0"/>
    <n v="0"/>
    <n v="0"/>
    <n v="1511.3243155765897"/>
    <n v="0"/>
    <n v="0"/>
    <n v="0"/>
    <n v="0"/>
    <n v="0"/>
    <m/>
    <m/>
    <m/>
    <m/>
    <m/>
    <m/>
    <m/>
    <m/>
    <m/>
    <n v="35934.578313809565"/>
    <m/>
    <m/>
    <m/>
    <m/>
    <m/>
    <m/>
    <m/>
    <m/>
    <m/>
    <m/>
    <m/>
    <m/>
    <n v="271390.70280000003"/>
    <n v="-38124.73404999997"/>
    <m/>
    <m/>
    <m/>
    <m/>
    <n v="-42494.433799999999"/>
    <n v="4363.0151500000011"/>
    <n v="30"/>
    <n v="12496.271763998637"/>
    <n v="809.73893002674777"/>
    <n v="3775.6724202831901"/>
    <n v="0"/>
    <n v="0"/>
    <n v="0"/>
    <n v="0"/>
    <n v="0"/>
    <n v="3786.8910447164994"/>
    <n v="0"/>
    <n v="0"/>
    <n v="4362.5225403590521"/>
    <n v="0"/>
    <n v="0"/>
    <n v="0"/>
    <n v="191.53292111297719"/>
    <n v="0"/>
    <n v="-367.42999934777436"/>
    <m/>
    <n v="0"/>
    <n v="0"/>
    <n v="0"/>
    <n v="0"/>
    <n v="-58.077621393830668"/>
    <n v="-4.5784717582331496"/>
    <n v="0"/>
    <n v="0"/>
    <m/>
    <m/>
    <m/>
    <n v="203804.28194960076"/>
    <n v="0"/>
    <n v="0"/>
    <n v="-42494.43379999997"/>
    <n v="4363.0151499999993"/>
    <n v="0"/>
    <n v="0"/>
    <n v="-50628.440679890307"/>
    <n v="0"/>
    <n v="0"/>
    <n v="0"/>
    <n v="0"/>
    <n v="0"/>
    <n v="0"/>
    <n v="0"/>
    <n v="0"/>
    <n v="0"/>
    <n v="0"/>
    <n v="0"/>
    <n v="0"/>
    <n v="2763.363165521254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50"/>
    <s v="Sistema de Compensação"/>
    <s v="Verde"/>
    <s v="A4"/>
    <s v="Industrial"/>
    <s v="Não se aplica"/>
    <s v="Não se aplica"/>
    <s v="Não se aplica"/>
    <s v="Ponta"/>
    <s v="CATIVO"/>
    <x v="2"/>
    <n v="0"/>
    <n v="0"/>
    <n v="0.26400000000000001"/>
    <n v="0.26400000000000001"/>
    <n v="0.26400000000000001"/>
    <n v="0.26400000000000001"/>
    <m/>
    <n v="1358.36"/>
    <n v="173.25"/>
    <m/>
    <n v="404.34503999999998"/>
    <n v="404.34503999999998"/>
    <n v="354.53088000000002"/>
    <n v="0"/>
    <n v="14.135697677231382"/>
    <n v="0"/>
    <n v="0"/>
    <n v="5.0007113205818472"/>
    <n v="4.8045770505650811"/>
    <n v="266.24603723529503"/>
    <n v="44.969884234522631"/>
    <n v="0.76750965206289012"/>
    <n v="0"/>
    <n v="0"/>
    <n v="0"/>
    <n v="0"/>
    <n v="2.5103839932139085"/>
    <m/>
    <n v="0.2114148504164767"/>
    <n v="10.615657059054961"/>
    <n v="49.498970711131655"/>
    <n v="0"/>
    <n v="0"/>
    <n v="0"/>
    <n v="0"/>
    <n v="0"/>
    <n v="0"/>
    <n v="0"/>
    <n v="0"/>
    <n v="0"/>
    <n v="0"/>
    <m/>
    <n v="0"/>
    <n v="0"/>
    <n v="0"/>
    <n v="0"/>
    <n v="0"/>
    <n v="1.9743653379133517"/>
    <n v="0"/>
    <n v="0"/>
    <n v="0"/>
    <n v="0"/>
    <n v="0"/>
    <m/>
    <m/>
    <m/>
    <m/>
    <m/>
    <m/>
    <m/>
    <m/>
    <m/>
    <n v="46.944249572435986"/>
    <m/>
    <m/>
    <m/>
    <m/>
    <m/>
    <m/>
    <m/>
    <m/>
    <m/>
    <m/>
    <m/>
    <m/>
    <n v="349.15919999999994"/>
    <n v="-55.215840000000014"/>
    <m/>
    <m/>
    <m/>
    <m/>
    <n v="-55.513919999999999"/>
    <n v="5.6997600000000013"/>
    <n v="30"/>
    <n v="16.324891732170329"/>
    <n v="1.0578275355769176"/>
    <n v="4.9324666301544582"/>
    <n v="0"/>
    <n v="0"/>
    <n v="0"/>
    <n v="0"/>
    <n v="0"/>
    <n v="4.9471224277168311"/>
    <n v="0"/>
    <n v="0"/>
    <n v="5.6991164641353365"/>
    <n v="0"/>
    <n v="0"/>
    <n v="0"/>
    <n v="0.25021496486045969"/>
    <n v="0"/>
    <n v="-0.48000356200516059"/>
    <m/>
    <n v="0"/>
    <n v="0"/>
    <n v="0"/>
    <n v="0"/>
    <n v="-7.5871499853879865E-2"/>
    <n v="-5.9812284146451011E-3"/>
    <n v="0"/>
    <n v="0"/>
    <m/>
    <m/>
    <m/>
    <n v="266.24603723529503"/>
    <n v="0"/>
    <n v="0"/>
    <n v="-55.513919999999985"/>
    <n v="5.6997600000000048"/>
    <n v="0"/>
    <n v="0"/>
    <n v="-66.140031865259857"/>
    <n v="0"/>
    <n v="0"/>
    <n v="0"/>
    <n v="0"/>
    <n v="0"/>
    <n v="0"/>
    <n v="0"/>
    <n v="0"/>
    <n v="0"/>
    <n v="0"/>
    <n v="0"/>
    <n v="0"/>
    <n v="3.610005075575184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51"/>
    <s v="Regular"/>
    <s v="Verde"/>
    <s v="A4"/>
    <s v="Industrial"/>
    <s v="Não se aplica"/>
    <s v="Não se aplica"/>
    <s v="Não se aplica"/>
    <s v="Fora ponta"/>
    <s v="CATIVO"/>
    <x v="2"/>
    <n v="0"/>
    <n v="0"/>
    <n v="3381.0639999999999"/>
    <n v="3381.0639999999999"/>
    <n v="3381.0639999999999"/>
    <n v="3381.0639999999999"/>
    <m/>
    <n v="85.01"/>
    <n v="173.25"/>
    <m/>
    <n v="873193.58863999997"/>
    <n v="873193.58863999997"/>
    <n v="942201.10487999988"/>
    <n v="0"/>
    <n v="181036.73686125243"/>
    <n v="0"/>
    <n v="0"/>
    <n v="0"/>
    <n v="0"/>
    <n v="0"/>
    <n v="575932.03283906064"/>
    <n v="9829.5426297059221"/>
    <n v="0"/>
    <n v="0"/>
    <n v="0"/>
    <n v="0"/>
    <n v="32150.63994557496"/>
    <m/>
    <n v="2707.602802305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85.816541161621"/>
    <n v="0"/>
    <n v="0"/>
    <n v="0"/>
    <n v="0"/>
    <n v="0"/>
    <m/>
    <m/>
    <m/>
    <m/>
    <m/>
    <m/>
    <m/>
    <m/>
    <m/>
    <n v="601217.84938022227"/>
    <m/>
    <m/>
    <m/>
    <m/>
    <m/>
    <m/>
    <m/>
    <m/>
    <m/>
    <m/>
    <m/>
    <m/>
    <n v="942199.9902"/>
    <n v="69006.37156"/>
    <m/>
    <m/>
    <m/>
    <m/>
    <n v="-3989.655520000023"/>
    <n v="72997.171760000012"/>
    <n v="30"/>
    <n v="68997.720615259022"/>
    <n v="0"/>
    <n v="0"/>
    <n v="0"/>
    <n v="0"/>
    <n v="0"/>
    <n v="0"/>
    <n v="0"/>
    <n v="0"/>
    <n v="0"/>
    <n v="0"/>
    <n v="72988.92995717912"/>
    <n v="0"/>
    <n v="0"/>
    <n v="0"/>
    <n v="3204.5182195112284"/>
    <n v="0"/>
    <n v="-6147.4347097250575"/>
    <m/>
    <n v="0"/>
    <n v="0"/>
    <n v="0"/>
    <n v="0"/>
    <n v="-971.69089690135661"/>
    <n v="-76.601954805051264"/>
    <n v="0"/>
    <n v="0"/>
    <m/>
    <m/>
    <m/>
    <n v="0"/>
    <n v="0"/>
    <n v="0"/>
    <n v="-3989.6555200000294"/>
    <n v="72997.171759999939"/>
    <n v="0"/>
    <n v="0"/>
    <n v="0"/>
    <n v="0"/>
    <n v="0"/>
    <n v="0"/>
    <n v="0"/>
    <n v="0"/>
    <n v="0"/>
    <n v="0"/>
    <n v="0"/>
    <n v="0"/>
    <n v="0"/>
    <n v="0"/>
    <n v="0"/>
    <n v="46233.55379107777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52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8.6959999999999997"/>
    <n v="8.6959999999999997"/>
    <n v="8.6959999999999997"/>
    <n v="8.6959999999999997"/>
    <m/>
    <n v="85.01"/>
    <n v="173.25"/>
    <m/>
    <n v="2245.8289599999998"/>
    <n v="2245.8289599999998"/>
    <n v="2423.31432"/>
    <n v="0"/>
    <n v="465.62131439850032"/>
    <n v="0"/>
    <n v="0"/>
    <n v="0"/>
    <n v="0"/>
    <n v="0"/>
    <n v="1481.2807322098818"/>
    <n v="25.28130278158671"/>
    <n v="0"/>
    <n v="0"/>
    <n v="0"/>
    <n v="0"/>
    <n v="82.690527291621763"/>
    <m/>
    <n v="6.9638770425063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034397645812518"/>
    <n v="0"/>
    <n v="0"/>
    <n v="0"/>
    <n v="0"/>
    <n v="0"/>
    <m/>
    <m/>
    <m/>
    <m/>
    <m/>
    <m/>
    <m/>
    <m/>
    <m/>
    <n v="1546.3151298556943"/>
    <m/>
    <m/>
    <m/>
    <m/>
    <m/>
    <m/>
    <m/>
    <m/>
    <m/>
    <m/>
    <m/>
    <m/>
    <n v="2424.4290000000001"/>
    <n v="178.57004000000006"/>
    <m/>
    <m/>
    <m/>
    <m/>
    <n v="-10.26128000000006"/>
    <n v="187.74664000000001"/>
    <n v="30"/>
    <n v="177.46016593305922"/>
    <n v="0"/>
    <n v="0"/>
    <n v="0"/>
    <n v="0"/>
    <n v="0"/>
    <n v="0"/>
    <n v="0"/>
    <n v="0"/>
    <n v="0"/>
    <n v="0"/>
    <n v="187.72544231863958"/>
    <n v="0"/>
    <n v="0"/>
    <n v="0"/>
    <n v="8.2419292970702855"/>
    <n v="0"/>
    <n v="-15.811026421200268"/>
    <m/>
    <n v="0"/>
    <n v="0"/>
    <n v="0"/>
    <n v="0"/>
    <n v="-2.4991612224596196"/>
    <n v="-0.19701803899149173"/>
    <n v="0"/>
    <n v="0"/>
    <m/>
    <m/>
    <m/>
    <n v="0"/>
    <n v="0"/>
    <n v="0"/>
    <n v="-10.261280000000056"/>
    <n v="187.74664000000007"/>
    <n v="0"/>
    <n v="0"/>
    <n v="0"/>
    <n v="0"/>
    <n v="0"/>
    <n v="0"/>
    <n v="0"/>
    <n v="0"/>
    <n v="0"/>
    <n v="0"/>
    <n v="0"/>
    <n v="0"/>
    <n v="0"/>
    <n v="0"/>
    <n v="0"/>
    <n v="118.9113793075825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53"/>
    <s v="Regular"/>
    <s v="Verde"/>
    <s v="A4"/>
    <s v="Industrial"/>
    <s v="Não se aplica"/>
    <s v="Não se aplica"/>
    <s v="Não se aplica"/>
    <s v="Não se aplica"/>
    <s v="CATIVO"/>
    <x v="2"/>
    <n v="19065"/>
    <n v="19065"/>
    <n v="0"/>
    <n v="0"/>
    <n v="0"/>
    <n v="0"/>
    <n v="27.19"/>
    <m/>
    <m/>
    <n v="518377.35000000003"/>
    <m/>
    <n v="518377.35000000003"/>
    <n v="414854.40000000002"/>
    <n v="0"/>
    <n v="0"/>
    <n v="0"/>
    <n v="0"/>
    <n v="4445.9696949965082"/>
    <n v="4271.2242125971334"/>
    <n v="456264.15658583585"/>
    <m/>
    <m/>
    <m/>
    <n v="0"/>
    <n v="0"/>
    <n v="0"/>
    <n v="0"/>
    <m/>
    <n v="0"/>
    <n v="9434.9793047396961"/>
    <n v="44003.713792014059"/>
    <n v="0"/>
    <n v="0"/>
    <m/>
    <m/>
    <n v="0"/>
    <n v="0"/>
    <n v="0"/>
    <m/>
    <m/>
    <n v="0"/>
    <m/>
    <n v="0"/>
    <n v="0"/>
    <n v="0"/>
    <n v="0"/>
    <m/>
    <n v="0"/>
    <n v="0"/>
    <n v="1512.57"/>
    <n v="12968.78"/>
    <n v="456631.5"/>
    <n v="109"/>
    <m/>
    <m/>
    <m/>
    <m/>
    <m/>
    <m/>
    <m/>
    <m/>
    <m/>
    <n v="0"/>
    <m/>
    <m/>
    <m/>
    <m/>
    <m/>
    <m/>
    <m/>
    <m/>
    <m/>
    <m/>
    <m/>
    <m/>
    <n v="414854.40000000002"/>
    <n v="-103522.98000000004"/>
    <m/>
    <m/>
    <m/>
    <m/>
    <n v="-103522.95"/>
    <n v="0"/>
    <n v="30"/>
    <n v="9722.997269114494"/>
    <n v="940.17552099037312"/>
    <n v="4384.8760239606854"/>
    <n v="0"/>
    <n v="0"/>
    <m/>
    <m/>
    <m/>
    <n v="4397.94572416344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6264.15658583585"/>
    <m/>
    <n v="0"/>
    <n v="0"/>
    <n v="-103522.95000000001"/>
    <m/>
    <n v="0"/>
    <m/>
    <n v="-113343.7559068477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54"/>
    <s v="Sistema de Compensação"/>
    <s v="Verde"/>
    <s v="A4"/>
    <s v="Industrial"/>
    <s v="Não se aplica"/>
    <s v="Não se aplica"/>
    <s v="Não se aplica"/>
    <s v="Não se aplica"/>
    <s v="CATIVO"/>
    <x v="2"/>
    <n v="170"/>
    <n v="170"/>
    <n v="0"/>
    <n v="0"/>
    <n v="0"/>
    <n v="0"/>
    <n v="27.19"/>
    <m/>
    <m/>
    <n v="4622.3"/>
    <m/>
    <n v="4622.3"/>
    <n v="3699.2000000000003"/>
    <n v="0"/>
    <n v="0"/>
    <n v="0"/>
    <n v="0"/>
    <n v="39.64410428268588"/>
    <n v="38.085922692972083"/>
    <n v="4068.4451413371148"/>
    <m/>
    <m/>
    <m/>
    <n v="0"/>
    <n v="0"/>
    <n v="0"/>
    <n v="0"/>
    <m/>
    <n v="0"/>
    <n v="84.130421285378873"/>
    <n v="392.3751033119533"/>
    <n v="0"/>
    <n v="0"/>
    <m/>
    <m/>
    <n v="0"/>
    <n v="0"/>
    <n v="0"/>
    <m/>
    <m/>
    <n v="0"/>
    <m/>
    <n v="0"/>
    <n v="0"/>
    <n v="0"/>
    <n v="0"/>
    <m/>
    <n v="0"/>
    <n v="0"/>
    <n v="5.54"/>
    <n v="47.56"/>
    <n v="1752.56"/>
    <n v="2"/>
    <m/>
    <m/>
    <m/>
    <m/>
    <m/>
    <m/>
    <m/>
    <m/>
    <m/>
    <n v="0"/>
    <m/>
    <m/>
    <m/>
    <m/>
    <m/>
    <m/>
    <m/>
    <m/>
    <m/>
    <m/>
    <m/>
    <m/>
    <n v="3699.2000000000003"/>
    <n v="-923.13000000000056"/>
    <m/>
    <m/>
    <m/>
    <m/>
    <n v="-923.09999999999991"/>
    <n v="0"/>
    <n v="30"/>
    <n v="86.698638119562929"/>
    <n v="8.3834166571394348"/>
    <n v="39.099340365765386"/>
    <n v="0"/>
    <n v="0"/>
    <m/>
    <m/>
    <m/>
    <n v="39.2158810966580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68.4451413371148"/>
    <m/>
    <n v="0"/>
    <n v="0"/>
    <n v="-923.09999999999991"/>
    <m/>
    <n v="0"/>
    <m/>
    <n v="-1010.670784377871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55"/>
    <s v="Regular"/>
    <s v="Branca"/>
    <s v="B3"/>
    <s v="Industrial"/>
    <s v="Não se aplica"/>
    <s v="Não se aplica"/>
    <s v="Não se aplica"/>
    <s v="Ponta"/>
    <s v="CATIVO"/>
    <x v="2"/>
    <n v="0"/>
    <n v="0"/>
    <n v="2.3E-2"/>
    <n v="2.3E-2"/>
    <n v="2.3E-2"/>
    <n v="2.3E-2"/>
    <m/>
    <n v="1553.42"/>
    <n v="173.25"/>
    <m/>
    <n v="39.713409999999996"/>
    <n v="39.713409999999996"/>
    <n v="37.679519999999997"/>
    <n v="0"/>
    <n v="1.4155392135855192"/>
    <n v="0"/>
    <n v="0"/>
    <n v="2.4943326591639612"/>
    <n v="0.17249126239523035"/>
    <n v="16.522921779177477"/>
    <n v="3.9178308234621988"/>
    <n v="6.686637120244876E-2"/>
    <n v="0"/>
    <n v="0"/>
    <n v="0"/>
    <n v="0"/>
    <n v="0.21870769637848442"/>
    <m/>
    <n v="2.7780704430342557E-2"/>
    <n v="7.2577411885656806"/>
    <n v="7.0519401730810776"/>
    <n v="0"/>
    <n v="0"/>
    <n v="0"/>
    <n v="0"/>
    <n v="0"/>
    <n v="0"/>
    <n v="0"/>
    <n v="0"/>
    <n v="0"/>
    <n v="0"/>
    <m/>
    <n v="0"/>
    <n v="0"/>
    <n v="0"/>
    <n v="0"/>
    <n v="0"/>
    <n v="0.20561521197582755"/>
    <n v="0"/>
    <n v="0"/>
    <n v="0"/>
    <n v="0"/>
    <n v="0"/>
    <m/>
    <m/>
    <m/>
    <m/>
    <m/>
    <m/>
    <m/>
    <m/>
    <m/>
    <n v="4.1234460354380262"/>
    <m/>
    <m/>
    <m/>
    <m/>
    <m/>
    <m/>
    <m/>
    <m/>
    <m/>
    <m/>
    <m/>
    <m/>
    <n v="32.764800000000001"/>
    <n v="-6.9786099999999891"/>
    <m/>
    <m/>
    <m/>
    <m/>
    <n v="-2.5304599999999997"/>
    <n v="0.49657000000000007"/>
    <n v="30"/>
    <n v="2.070646733702624"/>
    <n v="0.72321839643519503"/>
    <n v="0.70271076513002573"/>
    <n v="0"/>
    <n v="0"/>
    <n v="0"/>
    <n v="0"/>
    <n v="0"/>
    <n v="0.17760884752181602"/>
    <n v="0"/>
    <n v="0"/>
    <n v="0.49651393437542657"/>
    <n v="0"/>
    <n v="0"/>
    <n v="0"/>
    <n v="2.6057995473970058E-2"/>
    <n v="0"/>
    <n v="-4.8067232349873423E-2"/>
    <m/>
    <n v="0"/>
    <n v="0"/>
    <n v="0"/>
    <n v="0"/>
    <n v="-6.6100170327243746E-3"/>
    <n v="-7.8595585121046807E-4"/>
    <n v="0"/>
    <n v="0"/>
    <m/>
    <m/>
    <m/>
    <n v="16.522921779177477"/>
    <n v="0"/>
    <n v="0"/>
    <n v="-2.5304599999999979"/>
    <n v="0.49657000000000018"/>
    <n v="0"/>
    <n v="0"/>
    <n v="-4.1045740411009586"/>
    <n v="0"/>
    <n v="0"/>
    <n v="0"/>
    <n v="0"/>
    <n v="0"/>
    <n v="0"/>
    <n v="0"/>
    <n v="0"/>
    <n v="0"/>
    <n v="0"/>
    <n v="0"/>
    <n v="0"/>
    <n v="0.361503468905560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56"/>
    <s v="Regular"/>
    <s v="Branca"/>
    <s v="B3"/>
    <s v="Industrial"/>
    <s v="Não se aplica"/>
    <s v="Não se aplica"/>
    <s v="Não se aplica"/>
    <s v="Fora ponta"/>
    <s v="CATIVO"/>
    <x v="2"/>
    <n v="0"/>
    <n v="0"/>
    <n v="2.0179999999999998"/>
    <n v="2.0179999999999998"/>
    <n v="2.0179999999999998"/>
    <n v="2.0179999999999998"/>
    <m/>
    <n v="388.22"/>
    <n v="173.25"/>
    <m/>
    <n v="1133.04646"/>
    <n v="1133.04646"/>
    <n v="1130.1405399999999"/>
    <n v="0"/>
    <n v="124.19817969632945"/>
    <n v="0"/>
    <n v="0"/>
    <n v="43.770115706024981"/>
    <n v="3.0268495061312328"/>
    <n v="289.94157515050904"/>
    <n v="343.7470696411616"/>
    <n v="5.8667972646322424"/>
    <n v="0"/>
    <n v="0"/>
    <n v="0"/>
    <n v="0"/>
    <n v="19.189223099642675"/>
    <m/>
    <n v="2.4374548495839687"/>
    <n v="127.35758016109168"/>
    <n v="123.74621973284881"/>
    <n v="0"/>
    <n v="0"/>
    <n v="0"/>
    <n v="0"/>
    <n v="0"/>
    <n v="0"/>
    <n v="0"/>
    <n v="0"/>
    <n v="0"/>
    <n v="0"/>
    <m/>
    <n v="0"/>
    <n v="0"/>
    <n v="0"/>
    <n v="0"/>
    <n v="0"/>
    <n v="18.040499902922608"/>
    <n v="0"/>
    <n v="0"/>
    <n v="0"/>
    <n v="0"/>
    <n v="0"/>
    <m/>
    <m/>
    <m/>
    <m/>
    <m/>
    <m/>
    <m/>
    <m/>
    <m/>
    <n v="361.78756954408419"/>
    <m/>
    <m/>
    <m/>
    <m/>
    <m/>
    <m/>
    <m/>
    <m/>
    <m/>
    <m/>
    <m/>
    <m/>
    <n v="1131.2606000000001"/>
    <n v="-1.8158599999999296"/>
    <m/>
    <m/>
    <m/>
    <m/>
    <n v="-46.474540000000054"/>
    <n v="43.568620000000003"/>
    <n v="30"/>
    <n v="69.122322339680181"/>
    <n v="12.690910643532135"/>
    <n v="12.331046295933632"/>
    <n v="0"/>
    <n v="0"/>
    <n v="0"/>
    <n v="0"/>
    <n v="0"/>
    <n v="3.1166520839423701"/>
    <n v="0"/>
    <n v="0"/>
    <n v="43.563700850852683"/>
    <n v="0"/>
    <n v="0"/>
    <n v="0"/>
    <n v="2.2863058637596332"/>
    <n v="0"/>
    <n v="-4.2173771687845374"/>
    <m/>
    <n v="0"/>
    <n v="0"/>
    <n v="0"/>
    <n v="0"/>
    <n v="-0.57995714661033659"/>
    <n v="-6.8959082945335926E-2"/>
    <n v="0"/>
    <n v="0"/>
    <m/>
    <m/>
    <m/>
    <n v="289.94157515050904"/>
    <n v="0"/>
    <n v="0"/>
    <n v="-46.474540000000047"/>
    <n v="43.56862000000001"/>
    <n v="0"/>
    <n v="0"/>
    <n v="-72.026405420527169"/>
    <n v="0"/>
    <n v="0"/>
    <n v="0"/>
    <n v="0"/>
    <n v="0"/>
    <n v="0"/>
    <n v="0"/>
    <n v="0"/>
    <n v="0"/>
    <n v="0"/>
    <n v="0"/>
    <n v="0"/>
    <n v="31.71800001093131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57"/>
    <s v="Regular"/>
    <s v="Branca"/>
    <s v="B3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1200000000000001"/>
    <n v="9.67"/>
    <n v="341.8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58"/>
    <s v="Regular"/>
    <s v="Branca"/>
    <s v="B3"/>
    <s v="Industrial"/>
    <s v="Não se aplica"/>
    <s v="Não se aplica"/>
    <s v="Não se aplica"/>
    <s v="Intermediário"/>
    <s v="CATIVO"/>
    <x v="2"/>
    <n v="0"/>
    <n v="0"/>
    <n v="0.13600000000000001"/>
    <n v="0.13600000000000001"/>
    <n v="0.13600000000000001"/>
    <n v="0.13600000000000001"/>
    <m/>
    <n v="970.82"/>
    <n v="173.25"/>
    <m/>
    <n v="155.59352000000004"/>
    <n v="155.59352000000004"/>
    <n v="149.48168000000001"/>
    <n v="0"/>
    <n v="8.3701449151143752"/>
    <n v="0"/>
    <n v="0"/>
    <n v="8.8494584777295451"/>
    <n v="0.61196957309293387"/>
    <n v="58.620467566929563"/>
    <n v="23.166303999602569"/>
    <n v="0.39538376015361004"/>
    <n v="0"/>
    <n v="0"/>
    <n v="0"/>
    <n v="0"/>
    <n v="1.2932281177162559"/>
    <m/>
    <n v="0.16426851315332991"/>
    <n v="25.749203521172131"/>
    <n v="25.019057309713794"/>
    <n v="0"/>
    <n v="0"/>
    <n v="0"/>
    <n v="0"/>
    <n v="0"/>
    <n v="0"/>
    <n v="0"/>
    <n v="0"/>
    <n v="0"/>
    <n v="0"/>
    <m/>
    <n v="0"/>
    <n v="0"/>
    <n v="0"/>
    <n v="0"/>
    <n v="0"/>
    <n v="1.2158116882048935"/>
    <n v="0"/>
    <n v="0"/>
    <n v="0"/>
    <n v="0"/>
    <n v="0"/>
    <m/>
    <m/>
    <m/>
    <m/>
    <m/>
    <m/>
    <m/>
    <m/>
    <m/>
    <n v="24.382115687807463"/>
    <m/>
    <m/>
    <m/>
    <m/>
    <m/>
    <m/>
    <m/>
    <m/>
    <m/>
    <m/>
    <m/>
    <m/>
    <n v="153.87819999999999"/>
    <n v="-1.7453200000000209"/>
    <m/>
    <m/>
    <m/>
    <m/>
    <n v="-9.048080000000013"/>
    <n v="2.9362400000000006"/>
    <n v="30"/>
    <n v="8.4511087673753593"/>
    <n v="2.5658530934396708"/>
    <n v="2.4930955841133411"/>
    <n v="0"/>
    <n v="0"/>
    <n v="0"/>
    <n v="0"/>
    <n v="0"/>
    <n v="0.63012589209538772"/>
    <n v="0"/>
    <n v="0"/>
    <n v="2.9359084815242653"/>
    <n v="0"/>
    <n v="0"/>
    <n v="0"/>
    <n v="0.15408206019390991"/>
    <n v="0"/>
    <n v="-0.28422363476446932"/>
    <m/>
    <n v="0"/>
    <n v="0"/>
    <n v="0"/>
    <n v="0"/>
    <n v="-3.9085318106544253E-2"/>
    <n v="-4.6473911202010165E-3"/>
    <n v="0"/>
    <n v="0"/>
    <m/>
    <m/>
    <m/>
    <n v="58.620467566929563"/>
    <n v="0"/>
    <n v="0"/>
    <n v="-9.0480800000000272"/>
    <n v="2.9362400000000015"/>
    <n v="0"/>
    <n v="0"/>
    <n v="-14.562318497182702"/>
    <n v="0"/>
    <n v="0"/>
    <n v="0"/>
    <n v="0"/>
    <n v="0"/>
    <n v="0"/>
    <n v="0"/>
    <n v="0"/>
    <n v="0"/>
    <n v="0"/>
    <n v="0"/>
    <n v="0"/>
    <n v="2.137585729180703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59"/>
    <s v="Regular"/>
    <s v="Convencional"/>
    <s v="B3"/>
    <s v="Comercial"/>
    <s v="Não se aplica"/>
    <s v="Não se aplica"/>
    <s v="Não se aplica"/>
    <s v="Não se aplica"/>
    <s v="CATIVO"/>
    <x v="2"/>
    <n v="0"/>
    <n v="0"/>
    <n v="2475.1329999999998"/>
    <n v="2475.1329999999998"/>
    <n v="2475.1329999999998"/>
    <n v="2475.1329999999998"/>
    <m/>
    <n v="368.24"/>
    <n v="173.25"/>
    <m/>
    <n v="1340259.7681700001"/>
    <n v="1340259.7681700001"/>
    <n v="1259570.4323700001"/>
    <n v="0"/>
    <n v="152332.51392780725"/>
    <n v="0"/>
    <n v="0"/>
    <n v="6335.1953965495577"/>
    <n v="6086.7021842715249"/>
    <n v="582985.66327452264"/>
    <n v="421615.31998123747"/>
    <n v="7195.7896501491559"/>
    <n v="0"/>
    <n v="0"/>
    <n v="0"/>
    <n v="0"/>
    <n v="23536.11463740727"/>
    <m/>
    <n v="2989.6060129907419"/>
    <n v="13448.376622278332"/>
    <n v="62707.796191512047"/>
    <n v="0"/>
    <n v="0"/>
    <n v="0"/>
    <n v="0"/>
    <n v="0"/>
    <n v="0"/>
    <n v="0"/>
    <n v="0"/>
    <n v="0"/>
    <n v="0"/>
    <m/>
    <n v="0"/>
    <n v="0"/>
    <n v="0"/>
    <n v="0"/>
    <n v="0"/>
    <n v="22127.173759276779"/>
    <n v="0"/>
    <n v="1077.8900000000001"/>
    <n v="9408.73"/>
    <n v="672160.59"/>
    <n v="4301"/>
    <m/>
    <m/>
    <m/>
    <m/>
    <m/>
    <m/>
    <m/>
    <m/>
    <m/>
    <n v="443742.49374051427"/>
    <m/>
    <m/>
    <m/>
    <m/>
    <m/>
    <m/>
    <m/>
    <m/>
    <m/>
    <m/>
    <m/>
    <m/>
    <n v="1259568.9057"/>
    <n v="-80690.892470000079"/>
    <m/>
    <m/>
    <m/>
    <m/>
    <n v="-134127.45726999998"/>
    <n v="53438.121470000006"/>
    <n v="30"/>
    <n v="64123.748031931813"/>
    <n v="1340.1019852766021"/>
    <n v="6248.6978561677315"/>
    <n v="0"/>
    <n v="0"/>
    <n v="0"/>
    <n v="0"/>
    <n v="0"/>
    <n v="6267.2864998806026"/>
    <n v="0"/>
    <n v="0"/>
    <n v="53432.087997063238"/>
    <n v="0"/>
    <n v="0"/>
    <n v="0"/>
    <n v="2804.2175874553905"/>
    <n v="0"/>
    <n v="-5172.7301307756279"/>
    <m/>
    <n v="0"/>
    <n v="0"/>
    <n v="0"/>
    <n v="0"/>
    <n v="-711.33353427209295"/>
    <n v="-84.580228864092533"/>
    <n v="0"/>
    <n v="0"/>
    <m/>
    <m/>
    <m/>
    <n v="582985.66327452264"/>
    <n v="0"/>
    <n v="0"/>
    <n v="-134127.45727000001"/>
    <n v="53438.121470000013"/>
    <n v="0"/>
    <n v="0"/>
    <n v="-144823.52769025607"/>
    <n v="0"/>
    <n v="0"/>
    <n v="0"/>
    <n v="0"/>
    <n v="0"/>
    <n v="0"/>
    <n v="0"/>
    <n v="0"/>
    <n v="0"/>
    <n v="0"/>
    <n v="0"/>
    <n v="0"/>
    <n v="38903.00719576633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0"/>
    <s v="Refaturamento - Regular"/>
    <s v="Convencional"/>
    <s v="B3"/>
    <s v="Comercial"/>
    <s v="Não se aplica"/>
    <s v="Não se aplica"/>
    <s v="Não se aplica"/>
    <s v="Não se aplica"/>
    <s v="CATIVO"/>
    <x v="2"/>
    <n v="0"/>
    <n v="0"/>
    <n v="-0.84199999999999997"/>
    <n v="-0.84199999999999997"/>
    <n v="-0.84199999999999997"/>
    <n v="-0.84199999999999997"/>
    <m/>
    <n v="368.24"/>
    <n v="173.25"/>
    <m/>
    <n v="-455.93457999999998"/>
    <n v="-455.93457999999998"/>
    <n v="-428.48537999999996"/>
    <n v="0"/>
    <n v="-51.821044253869871"/>
    <n v="0"/>
    <n v="0"/>
    <n v="-2.1551304612296502"/>
    <n v="-2.0705971110064083"/>
    <n v="-198.32224307831055"/>
    <n v="-143.42667623283353"/>
    <n v="-2.4478906327157328"/>
    <n v="0"/>
    <n v="0"/>
    <n v="0"/>
    <n v="0"/>
    <n v="-8.0066034935079955"/>
    <m/>
    <n v="-1.0170153534934101"/>
    <n v="-4.574919051201837"/>
    <n v="-21.332172611836675"/>
    <n v="0"/>
    <n v="0"/>
    <n v="0"/>
    <n v="0"/>
    <n v="0"/>
    <n v="0"/>
    <n v="0"/>
    <n v="0"/>
    <n v="0"/>
    <n v="0"/>
    <m/>
    <n v="0"/>
    <n v="0"/>
    <n v="0"/>
    <n v="0"/>
    <n v="0"/>
    <n v="-7.5273047166802955"/>
    <n v="0"/>
    <n v="-0.35"/>
    <n v="-3.04"/>
    <n v="-216.75"/>
    <n v="0"/>
    <m/>
    <m/>
    <m/>
    <m/>
    <m/>
    <m/>
    <m/>
    <m/>
    <m/>
    <n v="-150.95398094951383"/>
    <m/>
    <m/>
    <m/>
    <m/>
    <m/>
    <m/>
    <m/>
    <m/>
    <m/>
    <m/>
    <m/>
    <m/>
    <n v="-427.4676"/>
    <n v="28.436980000000005"/>
    <m/>
    <m/>
    <m/>
    <m/>
    <n v="45.627979999999994"/>
    <n v="-18.178780000000003"/>
    <n v="30"/>
    <n v="-21.813856404034254"/>
    <n v="-0.45588090482527566"/>
    <n v="-2.1257054044745196"/>
    <n v="0"/>
    <n v="0"/>
    <n v="0"/>
    <n v="0"/>
    <n v="0"/>
    <n v="-2.132028958807251"/>
    <n v="0"/>
    <n v="0"/>
    <n v="-18.17672751061346"/>
    <n v="0"/>
    <n v="0"/>
    <n v="0"/>
    <n v="-0.95394922561229567"/>
    <n v="0"/>
    <n v="1.759678679938844"/>
    <m/>
    <n v="0"/>
    <n v="0"/>
    <n v="0"/>
    <n v="0"/>
    <n v="0.24198410180669239"/>
    <n v="2.8772818553009283E-2"/>
    <n v="0"/>
    <n v="0"/>
    <m/>
    <m/>
    <m/>
    <n v="-198.32224307831055"/>
    <n v="0"/>
    <n v="0"/>
    <n v="45.627980000000036"/>
    <n v="-18.178780000000017"/>
    <n v="0"/>
    <n v="0"/>
    <n v="49.266609234815064"/>
    <n v="0"/>
    <n v="0"/>
    <n v="0"/>
    <n v="0"/>
    <n v="0"/>
    <n v="0"/>
    <n v="0"/>
    <n v="0"/>
    <n v="0"/>
    <n v="0"/>
    <n v="0"/>
    <n v="0"/>
    <n v="-13.23417047036876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1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154.97800000000001"/>
    <n v="154.97800000000001"/>
    <n v="154.97800000000001"/>
    <n v="154.97800000000001"/>
    <m/>
    <n v="368.24"/>
    <n v="173.25"/>
    <m/>
    <n v="83919.037219999998"/>
    <n v="83919.037219999998"/>
    <n v="78866.754420000012"/>
    <n v="0"/>
    <n v="9538.1494018720259"/>
    <n v="0"/>
    <n v="0"/>
    <n v="396.67198173449975"/>
    <n v="381.11282549827928"/>
    <n v="36503.06958169883"/>
    <n v="26399.025450370638"/>
    <n v="450.55723809622191"/>
    <n v="0"/>
    <n v="0"/>
    <n v="0"/>
    <n v="0"/>
    <n v="1473.6904943193374"/>
    <m/>
    <n v="187.19121787850563"/>
    <n v="842.05677519852532"/>
    <n v="3926.3865166712881"/>
    <n v="0"/>
    <n v="0"/>
    <n v="0"/>
    <n v="0"/>
    <n v="0"/>
    <n v="0"/>
    <n v="0"/>
    <n v="0"/>
    <n v="0"/>
    <n v="0"/>
    <m/>
    <n v="0"/>
    <n v="0"/>
    <n v="0"/>
    <n v="0"/>
    <n v="0"/>
    <n v="1385.4710574604262"/>
    <n v="0"/>
    <n v="68.19"/>
    <n v="593.1"/>
    <n v="70433.3"/>
    <n v="215"/>
    <m/>
    <m/>
    <m/>
    <m/>
    <m/>
    <m/>
    <m/>
    <m/>
    <m/>
    <n v="27784.496507831063"/>
    <m/>
    <m/>
    <m/>
    <m/>
    <m/>
    <m/>
    <m/>
    <m/>
    <m/>
    <m/>
    <m/>
    <m/>
    <n v="78867.772199999992"/>
    <n v="-5051.295020000005"/>
    <m/>
    <m/>
    <m/>
    <m/>
    <n v="-8398.2578200000007"/>
    <n v="3345.9750200000008"/>
    <n v="30"/>
    <n v="4015.0449379862694"/>
    <n v="83.909157800488856"/>
    <n v="391.25602396039494"/>
    <n v="0"/>
    <n v="0"/>
    <n v="0"/>
    <n v="0"/>
    <n v="0"/>
    <n v="392.41993346559406"/>
    <n v="0"/>
    <n v="0"/>
    <n v="3345.5972400710853"/>
    <n v="0"/>
    <n v="0"/>
    <n v="0"/>
    <n v="175.58330532891023"/>
    <n v="0"/>
    <n v="-323.88537109211575"/>
    <m/>
    <n v="0"/>
    <n v="0"/>
    <n v="0"/>
    <n v="0"/>
    <n v="-44.539444334676318"/>
    <n v="-5.2959072134302687"/>
    <n v="0"/>
    <n v="0"/>
    <m/>
    <m/>
    <m/>
    <n v="36503.06958169883"/>
    <n v="0"/>
    <n v="0"/>
    <n v="-8398.2578199999989"/>
    <n v="3345.9750200000017"/>
    <n v="0"/>
    <n v="0"/>
    <n v="-9067.9816698256182"/>
    <n v="0"/>
    <n v="0"/>
    <n v="0"/>
    <n v="0"/>
    <n v="0"/>
    <n v="0"/>
    <n v="0"/>
    <n v="0"/>
    <n v="0"/>
    <n v="0"/>
    <n v="0"/>
    <n v="0"/>
    <n v="2435.873243654169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2"/>
    <s v="Regular"/>
    <s v="Verde"/>
    <s v="A4"/>
    <s v="Comercial"/>
    <s v="Não se aplica"/>
    <s v="Não se aplica"/>
    <s v="Não se aplica"/>
    <s v="Ponta"/>
    <s v="CATIVO"/>
    <x v="2"/>
    <n v="0"/>
    <n v="0"/>
    <n v="71.474999999999994"/>
    <n v="71.474999999999994"/>
    <n v="71.474999999999994"/>
    <n v="71.474999999999994"/>
    <m/>
    <n v="1358.36"/>
    <n v="173.25"/>
    <m/>
    <n v="109471.82474999999"/>
    <n v="109471.82474999999"/>
    <n v="95985.20699999998"/>
    <n v="0"/>
    <n v="3827.0795131822456"/>
    <n v="0"/>
    <n v="0"/>
    <n v="1353.8857637825283"/>
    <n v="1300.7846389740118"/>
    <n v="72083.089058305719"/>
    <n v="12175.085135085246"/>
    <n v="207.79451659543585"/>
    <n v="0"/>
    <n v="0"/>
    <n v="0"/>
    <n v="0"/>
    <n v="679.65793907183365"/>
    <m/>
    <n v="57.238168308779052"/>
    <n v="2874.0685162725499"/>
    <n v="13401.283831735358"/>
    <n v="0"/>
    <n v="0"/>
    <n v="0"/>
    <n v="0"/>
    <n v="0"/>
    <n v="0"/>
    <n v="0"/>
    <n v="0"/>
    <n v="0"/>
    <n v="0"/>
    <m/>
    <n v="0"/>
    <n v="0"/>
    <n v="0"/>
    <n v="0"/>
    <n v="0"/>
    <n v="534.53697927029089"/>
    <n v="0"/>
    <n v="0"/>
    <n v="0"/>
    <n v="0"/>
    <n v="0"/>
    <m/>
    <m/>
    <m/>
    <m/>
    <m/>
    <m/>
    <m/>
    <m/>
    <m/>
    <n v="12709.622114355538"/>
    <m/>
    <m/>
    <m/>
    <m/>
    <m/>
    <m/>
    <m/>
    <m/>
    <m/>
    <m/>
    <m/>
    <m/>
    <n v="95991.921600000001"/>
    <n v="-13479.933149999968"/>
    <m/>
    <m/>
    <m/>
    <m/>
    <n v="-15029.762999999997"/>
    <n v="1543.14525"/>
    <n v="30"/>
    <n v="4419.7789263517916"/>
    <n v="286.3947844900008"/>
    <n v="1335.4092893571578"/>
    <n v="0"/>
    <n v="0"/>
    <n v="0"/>
    <n v="0"/>
    <n v="0"/>
    <n v="1339.377180004017"/>
    <n v="0"/>
    <n v="0"/>
    <n v="1542.9710199775491"/>
    <n v="0"/>
    <n v="0"/>
    <n v="0"/>
    <n v="67.742858384095939"/>
    <n v="0"/>
    <n v="-129.95550982696477"/>
    <m/>
    <n v="0"/>
    <n v="0"/>
    <n v="0"/>
    <n v="0"/>
    <n v="-20.541346409303287"/>
    <n v="-1.6193496247604457"/>
    <n v="0"/>
    <n v="0"/>
    <m/>
    <m/>
    <m/>
    <n v="72083.089058305719"/>
    <n v="0"/>
    <n v="0"/>
    <n v="-15029.763000000006"/>
    <n v="1543.1452499999996"/>
    <n v="0"/>
    <n v="0"/>
    <n v="-17906.662036247908"/>
    <n v="0"/>
    <n v="0"/>
    <n v="0"/>
    <n v="0"/>
    <n v="0"/>
    <n v="0"/>
    <n v="0"/>
    <n v="0"/>
    <n v="0"/>
    <n v="0"/>
    <n v="0"/>
    <n v="0"/>
    <n v="977.3678514270312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3"/>
    <s v="Sistema de Compensação"/>
    <s v="Verde"/>
    <s v="A4"/>
    <s v="Comercial"/>
    <s v="Não se aplica"/>
    <s v="Não se aplica"/>
    <s v="Não se aplica"/>
    <s v="Ponta"/>
    <s v="CATIVO"/>
    <x v="2"/>
    <n v="0"/>
    <n v="0"/>
    <n v="4.3650000000000002"/>
    <n v="4.3650000000000002"/>
    <n v="4.3650000000000002"/>
    <n v="4.3650000000000002"/>
    <m/>
    <n v="1358.36"/>
    <n v="173.25"/>
    <m/>
    <n v="6685.4776499999998"/>
    <n v="6685.4776499999998"/>
    <n v="5861.8458000000001"/>
    <n v="0"/>
    <n v="233.72091045876888"/>
    <n v="0"/>
    <n v="0"/>
    <n v="82.682215584620309"/>
    <n v="79.439313733774924"/>
    <n v="4402.1361838335715"/>
    <n v="743.53615410489124"/>
    <n v="12.690074360812558"/>
    <n v="0"/>
    <n v="0"/>
    <n v="0"/>
    <n v="0"/>
    <n v="41.506917160525418"/>
    <m/>
    <n v="3.4955523563178819"/>
    <n v="175.52023887414737"/>
    <n v="818.42048164427911"/>
    <n v="0"/>
    <n v="0"/>
    <n v="0"/>
    <n v="0"/>
    <n v="0"/>
    <n v="0"/>
    <n v="0"/>
    <n v="0"/>
    <n v="0"/>
    <n v="0"/>
    <m/>
    <n v="0"/>
    <n v="0"/>
    <n v="0"/>
    <n v="0"/>
    <n v="0"/>
    <n v="32.644335984817346"/>
    <n v="0"/>
    <n v="0"/>
    <n v="0"/>
    <n v="0"/>
    <n v="0"/>
    <m/>
    <m/>
    <m/>
    <m/>
    <m/>
    <m/>
    <m/>
    <m/>
    <m/>
    <n v="776.18049008970854"/>
    <m/>
    <m/>
    <m/>
    <m/>
    <m/>
    <m/>
    <m/>
    <m/>
    <m/>
    <m/>
    <m/>
    <m/>
    <n v="5868.5604000000003"/>
    <n v="-816.94725000000017"/>
    <m/>
    <m/>
    <m/>
    <m/>
    <n v="-917.87219999999991"/>
    <n v="94.240350000000021"/>
    <n v="30"/>
    <n v="269.91724398077076"/>
    <n v="17.490216639368356"/>
    <n v="81.553851669031019"/>
    <n v="0"/>
    <n v="0"/>
    <n v="0"/>
    <n v="0"/>
    <n v="0"/>
    <n v="81.796171958272595"/>
    <n v="0"/>
    <n v="0"/>
    <n v="94.229709719510424"/>
    <n v="0"/>
    <n v="0"/>
    <n v="0"/>
    <n v="4.137076975817827"/>
    <n v="0"/>
    <n v="-7.9364225308807761"/>
    <m/>
    <n v="0"/>
    <n v="0"/>
    <n v="0"/>
    <n v="0"/>
    <n v="-1.2544662759931242"/>
    <n v="-9.8894174355779629E-2"/>
    <n v="0"/>
    <n v="0"/>
    <m/>
    <m/>
    <m/>
    <n v="4402.1361838335715"/>
    <n v="0"/>
    <n v="0"/>
    <n v="-917.87219999999979"/>
    <n v="94.240350000000035"/>
    <n v="0"/>
    <n v="0"/>
    <n v="-1093.5652995903761"/>
    <n v="0"/>
    <n v="0"/>
    <n v="0"/>
    <n v="0"/>
    <n v="0"/>
    <n v="0"/>
    <n v="0"/>
    <n v="0"/>
    <n v="0"/>
    <n v="0"/>
    <n v="0"/>
    <n v="0"/>
    <n v="59.6881521018396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4"/>
    <s v="Regular"/>
    <s v="Verde"/>
    <s v="A4"/>
    <s v="Comercial"/>
    <s v="Não se aplica"/>
    <s v="Não se aplica"/>
    <s v="Não se aplica"/>
    <s v="Fora ponta"/>
    <s v="CATIVO"/>
    <x v="2"/>
    <n v="0"/>
    <n v="0"/>
    <n v="822.66899999999998"/>
    <n v="822.66899999999998"/>
    <n v="822.66899999999998"/>
    <n v="822.66899999999998"/>
    <m/>
    <n v="85.01"/>
    <n v="173.25"/>
    <m/>
    <n v="212462.49593999999"/>
    <n v="212462.49593999999"/>
    <n v="229253.17022999999"/>
    <n v="0"/>
    <n v="44049.243456175238"/>
    <n v="0"/>
    <n v="0"/>
    <n v="0"/>
    <n v="0"/>
    <n v="0"/>
    <n v="140133.82459594886"/>
    <n v="2391.6909013368399"/>
    <n v="0"/>
    <n v="0"/>
    <n v="0"/>
    <n v="0"/>
    <n v="7822.7844292170175"/>
    <m/>
    <n v="658.80471051997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52.4589324842391"/>
    <n v="0"/>
    <n v="0"/>
    <n v="0"/>
    <n v="0"/>
    <n v="0"/>
    <m/>
    <m/>
    <m/>
    <m/>
    <m/>
    <m/>
    <m/>
    <m/>
    <m/>
    <n v="146286.28352843309"/>
    <m/>
    <m/>
    <m/>
    <m/>
    <m/>
    <m/>
    <m/>
    <m/>
    <m/>
    <m/>
    <m/>
    <m/>
    <n v="229253.44890000002"/>
    <n v="16790.922960000025"/>
    <m/>
    <m/>
    <m/>
    <m/>
    <n v="-970.74942000000556"/>
    <n v="17761.423710000003"/>
    <n v="30"/>
    <n v="16788.290851883998"/>
    <n v="0"/>
    <n v="0"/>
    <n v="0"/>
    <n v="0"/>
    <n v="0"/>
    <n v="0"/>
    <n v="0"/>
    <n v="0"/>
    <n v="0"/>
    <n v="0"/>
    <n v="17759.41834255209"/>
    <n v="0"/>
    <n v="0"/>
    <n v="0"/>
    <n v="779.71248078329245"/>
    <n v="0"/>
    <n v="-1495.7729179970556"/>
    <m/>
    <n v="0"/>
    <n v="0"/>
    <n v="0"/>
    <n v="0"/>
    <n v="-236.42852618670986"/>
    <n v="-18.638527267604786"/>
    <n v="0"/>
    <n v="0"/>
    <m/>
    <m/>
    <m/>
    <n v="0"/>
    <n v="0"/>
    <n v="0"/>
    <n v="-970.74942000000738"/>
    <n v="17761.423710000003"/>
    <n v="0"/>
    <n v="0"/>
    <n v="0"/>
    <n v="0"/>
    <n v="0"/>
    <n v="0"/>
    <n v="0"/>
    <n v="0"/>
    <n v="0"/>
    <n v="0"/>
    <n v="0"/>
    <n v="0"/>
    <n v="0"/>
    <n v="0"/>
    <n v="0"/>
    <n v="11249.391157266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5"/>
    <s v="Sistema de Compensação"/>
    <s v="Verde"/>
    <s v="A4"/>
    <s v="Comercial"/>
    <s v="Não se aplica"/>
    <s v="Não se aplica"/>
    <s v="Não se aplica"/>
    <s v="Fora ponta"/>
    <s v="CATIVO"/>
    <x v="2"/>
    <n v="0"/>
    <n v="0"/>
    <n v="25.376000000000001"/>
    <n v="25.376000000000001"/>
    <n v="25.376000000000001"/>
    <n v="25.376000000000001"/>
    <m/>
    <n v="85.01"/>
    <n v="173.25"/>
    <m/>
    <n v="6553.6057600000004"/>
    <n v="6553.6057600000004"/>
    <n v="7071.5299200000009"/>
    <n v="0"/>
    <n v="1358.7403949144832"/>
    <n v="0"/>
    <n v="0"/>
    <n v="0"/>
    <n v="0"/>
    <n v="0"/>
    <n v="4322.5597815729025"/>
    <n v="73.773958071014775"/>
    <n v="0"/>
    <n v="0"/>
    <n v="0"/>
    <n v="0"/>
    <n v="241.30115231740962"/>
    <m/>
    <n v="20.321451682456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77838945033793"/>
    <n v="0"/>
    <n v="0"/>
    <n v="0"/>
    <n v="0"/>
    <n v="0"/>
    <m/>
    <m/>
    <m/>
    <m/>
    <m/>
    <m/>
    <m/>
    <m/>
    <m/>
    <n v="4512.3381710232406"/>
    <m/>
    <m/>
    <m/>
    <m/>
    <m/>
    <m/>
    <m/>
    <m/>
    <m/>
    <m/>
    <m/>
    <m/>
    <n v="7072.6445999999996"/>
    <n v="519.0088399999986"/>
    <m/>
    <m/>
    <m/>
    <m/>
    <n v="-29.943680000000175"/>
    <n v="547.86784000000011"/>
    <n v="30"/>
    <n v="517.85064060686273"/>
    <n v="0"/>
    <n v="0"/>
    <n v="0"/>
    <n v="0"/>
    <n v="0"/>
    <n v="0"/>
    <n v="0"/>
    <n v="0"/>
    <n v="0"/>
    <n v="0"/>
    <n v="547.80598255264522"/>
    <n v="0"/>
    <n v="0"/>
    <n v="0"/>
    <n v="24.050965713253873"/>
    <n v="0"/>
    <n v="-46.138524202435519"/>
    <m/>
    <n v="0"/>
    <n v="0"/>
    <n v="0"/>
    <n v="0"/>
    <n v="-7.2928605314092749"/>
    <n v="-0.57492292518952226"/>
    <n v="0"/>
    <n v="0"/>
    <m/>
    <m/>
    <m/>
    <n v="0"/>
    <n v="0"/>
    <n v="0"/>
    <n v="-29.943679999999858"/>
    <n v="547.8678400000008"/>
    <n v="0"/>
    <n v="0"/>
    <n v="0"/>
    <n v="0"/>
    <n v="0"/>
    <n v="0"/>
    <n v="0"/>
    <n v="0"/>
    <n v="0"/>
    <n v="0"/>
    <n v="0"/>
    <n v="0"/>
    <n v="0"/>
    <n v="0"/>
    <n v="0"/>
    <n v="346.998063628014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6"/>
    <s v="Regular"/>
    <s v="Verde"/>
    <s v="A4"/>
    <s v="Comercial"/>
    <s v="Não se aplica"/>
    <s v="Não se aplica"/>
    <s v="Não se aplica"/>
    <s v="Não se aplica"/>
    <s v="CATIVO"/>
    <x v="2"/>
    <n v="3996"/>
    <n v="3996"/>
    <n v="0"/>
    <n v="0"/>
    <n v="0"/>
    <n v="0"/>
    <n v="27.19"/>
    <m/>
    <m/>
    <n v="108651.24"/>
    <m/>
    <n v="108651.24"/>
    <n v="86952.960000000006"/>
    <n v="0"/>
    <n v="0"/>
    <n v="0"/>
    <n v="0"/>
    <n v="931.86965125654581"/>
    <n v="895.24321812421431"/>
    <n v="95632.392851665354"/>
    <m/>
    <m/>
    <m/>
    <n v="0"/>
    <n v="0"/>
    <n v="0"/>
    <n v="0"/>
    <m/>
    <n v="0"/>
    <n v="1977.5597850374941"/>
    <n v="9223.1230166739151"/>
    <n v="0"/>
    <n v="0"/>
    <m/>
    <m/>
    <n v="0"/>
    <n v="0"/>
    <n v="0"/>
    <m/>
    <m/>
    <n v="0"/>
    <m/>
    <n v="0"/>
    <n v="0"/>
    <n v="0"/>
    <n v="0"/>
    <m/>
    <n v="0"/>
    <n v="0"/>
    <n v="380.98"/>
    <n v="3267.17"/>
    <n v="222130.5"/>
    <n v="40"/>
    <m/>
    <m/>
    <m/>
    <m/>
    <m/>
    <m/>
    <m/>
    <m/>
    <m/>
    <n v="0"/>
    <m/>
    <m/>
    <m/>
    <m/>
    <m/>
    <m/>
    <m/>
    <m/>
    <m/>
    <m/>
    <m/>
    <m/>
    <n v="86952.960000000006"/>
    <n v="-21698.309999999983"/>
    <m/>
    <m/>
    <m/>
    <m/>
    <n v="-21698.28"/>
    <n v="0"/>
    <n v="30"/>
    <n v="2037.9279877986646"/>
    <n v="197.05960565840701"/>
    <n v="919.06449471528322"/>
    <n v="0"/>
    <n v="0"/>
    <m/>
    <m/>
    <m/>
    <n v="921.803887424973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632.392851665354"/>
    <m/>
    <n v="0"/>
    <n v="0"/>
    <n v="-21698.28"/>
    <m/>
    <n v="0"/>
    <m/>
    <n v="-23756.70855514101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67"/>
    <s v="Sistema de Compensação"/>
    <s v="Verde"/>
    <s v="A4"/>
    <s v="Comercial"/>
    <s v="Não se aplica"/>
    <s v="Não se aplica"/>
    <s v="Não se aplica"/>
    <s v="Não se aplica"/>
    <s v="CATIVO"/>
    <x v="2"/>
    <n v="646"/>
    <n v="646"/>
    <n v="0"/>
    <n v="0"/>
    <n v="0"/>
    <n v="0"/>
    <n v="27.19"/>
    <m/>
    <m/>
    <n v="17564.740000000002"/>
    <m/>
    <n v="17564.740000000002"/>
    <n v="14056.960000000001"/>
    <n v="0"/>
    <n v="0"/>
    <n v="0"/>
    <n v="0"/>
    <n v="150.64759627420636"/>
    <n v="144.72650623329392"/>
    <n v="15460.091537081036"/>
    <m/>
    <m/>
    <m/>
    <n v="0"/>
    <n v="0"/>
    <n v="0"/>
    <n v="0"/>
    <m/>
    <n v="0"/>
    <n v="319.69560088443973"/>
    <n v="1491.0253925854227"/>
    <n v="0"/>
    <n v="0"/>
    <m/>
    <m/>
    <n v="0"/>
    <n v="0"/>
    <n v="0"/>
    <m/>
    <m/>
    <n v="0"/>
    <m/>
    <n v="0"/>
    <n v="0"/>
    <n v="0"/>
    <n v="0"/>
    <m/>
    <n v="0"/>
    <n v="0"/>
    <n v="22.96"/>
    <n v="197.03"/>
    <n v="14238.32"/>
    <n v="5"/>
    <m/>
    <m/>
    <m/>
    <m/>
    <m/>
    <m/>
    <m/>
    <m/>
    <m/>
    <n v="0"/>
    <m/>
    <m/>
    <m/>
    <m/>
    <m/>
    <m/>
    <m/>
    <m/>
    <m/>
    <m/>
    <m/>
    <m/>
    <n v="14056.960000000001"/>
    <n v="-3507.8099999999959"/>
    <m/>
    <m/>
    <m/>
    <m/>
    <n v="-3507.7799999999997"/>
    <n v="0"/>
    <n v="30"/>
    <n v="329.45482485433877"/>
    <n v="31.856983297129887"/>
    <n v="148.57749338990834"/>
    <n v="0"/>
    <n v="0"/>
    <m/>
    <m/>
    <m/>
    <n v="149.020348167300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460.091537081036"/>
    <m/>
    <n v="0"/>
    <n v="0"/>
    <n v="-3507.7800000000007"/>
    <m/>
    <n v="0"/>
    <m/>
    <n v="-3840.54898063591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68"/>
    <s v="Regular"/>
    <s v="Branca"/>
    <s v="B3"/>
    <s v="Comercial"/>
    <s v="Não se aplica"/>
    <s v="Não se aplica"/>
    <s v="Não se aplica"/>
    <s v="Ponta"/>
    <s v="CATIVO"/>
    <x v="2"/>
    <n v="0"/>
    <n v="0"/>
    <n v="0.59799999999999998"/>
    <n v="0.59799999999999998"/>
    <n v="0.59799999999999998"/>
    <n v="0.59799999999999998"/>
    <m/>
    <n v="1553.42"/>
    <n v="173.25"/>
    <m/>
    <n v="1032.5486599999999"/>
    <n v="1032.5486599999999"/>
    <n v="979.66751999999997"/>
    <n v="0"/>
    <n v="36.804019553223497"/>
    <n v="0"/>
    <n v="0"/>
    <n v="64.85264913826299"/>
    <n v="4.4847728222759891"/>
    <n v="429.5959662586144"/>
    <n v="101.86360141001717"/>
    <n v="1.7385256512636675"/>
    <n v="0"/>
    <n v="0"/>
    <n v="0"/>
    <n v="0"/>
    <n v="5.6864001058405949"/>
    <m/>
    <n v="0.72229831518890653"/>
    <n v="188.70127090270771"/>
    <n v="183.35044450010801"/>
    <n v="0"/>
    <n v="0"/>
    <n v="0"/>
    <n v="0"/>
    <n v="0"/>
    <n v="0"/>
    <n v="0"/>
    <n v="0"/>
    <n v="0"/>
    <n v="0"/>
    <m/>
    <n v="0"/>
    <n v="0"/>
    <n v="0"/>
    <n v="0"/>
    <n v="0"/>
    <n v="5.3459955113715161"/>
    <n v="0"/>
    <n v="0"/>
    <n v="0"/>
    <n v="0"/>
    <n v="0"/>
    <m/>
    <m/>
    <m/>
    <m/>
    <m/>
    <m/>
    <m/>
    <m/>
    <m/>
    <n v="107.20959692138868"/>
    <m/>
    <m/>
    <m/>
    <m/>
    <m/>
    <m/>
    <m/>
    <m/>
    <m/>
    <m/>
    <m/>
    <m/>
    <n v="982.94400000000007"/>
    <n v="-49.634659999999826"/>
    <m/>
    <m/>
    <m/>
    <m/>
    <n v="-65.791959999999989"/>
    <n v="12.910820000000001"/>
    <n v="30"/>
    <n v="53.836815076268181"/>
    <n v="18.803678307315039"/>
    <n v="18.270479893380667"/>
    <n v="0"/>
    <n v="0"/>
    <n v="0"/>
    <n v="0"/>
    <n v="0"/>
    <n v="4.6178300355672164"/>
    <n v="0"/>
    <n v="0"/>
    <n v="12.909362293761106"/>
    <n v="0"/>
    <n v="0"/>
    <n v="0"/>
    <n v="0.6775078823232219"/>
    <n v="0"/>
    <n v="-1.2497480410967086"/>
    <m/>
    <n v="0"/>
    <n v="0"/>
    <n v="0"/>
    <n v="0"/>
    <n v="-0.17186044285083391"/>
    <n v="-2.0434852131472225E-2"/>
    <n v="0"/>
    <n v="0"/>
    <m/>
    <m/>
    <m/>
    <n v="429.5959662586144"/>
    <n v="0"/>
    <n v="0"/>
    <n v="-65.791960000000017"/>
    <n v="12.910820000000001"/>
    <n v="0"/>
    <n v="0"/>
    <n v="-106.71892506862497"/>
    <n v="0"/>
    <n v="0"/>
    <n v="0"/>
    <n v="0"/>
    <n v="0"/>
    <n v="0"/>
    <n v="0"/>
    <n v="0"/>
    <n v="0"/>
    <n v="0"/>
    <n v="0"/>
    <n v="0"/>
    <n v="9.39909019154456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69"/>
    <s v="Regular"/>
    <s v="Branca"/>
    <s v="B3"/>
    <s v="Comercial"/>
    <s v="Não se aplica"/>
    <s v="Não se aplica"/>
    <s v="Não se aplica"/>
    <s v="Fora ponta"/>
    <s v="CATIVO"/>
    <x v="2"/>
    <n v="0"/>
    <n v="0"/>
    <n v="9.5299999999999994"/>
    <n v="9.5299999999999994"/>
    <n v="9.5299999999999994"/>
    <n v="9.5299999999999994"/>
    <m/>
    <n v="388.22"/>
    <n v="173.25"/>
    <m/>
    <n v="5350.8091000000004"/>
    <n v="5350.8091000000004"/>
    <n v="5337.0859"/>
    <n v="0"/>
    <n v="586.52559588999986"/>
    <n v="0"/>
    <n v="0"/>
    <n v="206.70426297245695"/>
    <n v="14.294289293077627"/>
    <n v="1369.2483702598372"/>
    <n v="1623.3446846780328"/>
    <n v="27.705935546058114"/>
    <n v="0"/>
    <n v="0"/>
    <n v="0"/>
    <n v="0"/>
    <n v="90.621058542911143"/>
    <m/>
    <n v="11.51087448787672"/>
    <n v="601.4458567567907"/>
    <n v="584.39121608228413"/>
    <n v="0"/>
    <n v="0"/>
    <n v="0"/>
    <n v="0"/>
    <n v="0"/>
    <n v="0"/>
    <n v="0"/>
    <n v="0"/>
    <n v="0"/>
    <n v="0"/>
    <m/>
    <n v="0"/>
    <n v="0"/>
    <n v="0"/>
    <n v="0"/>
    <n v="0"/>
    <n v="85.196216092592891"/>
    <n v="0"/>
    <n v="0"/>
    <n v="0"/>
    <n v="0"/>
    <n v="0"/>
    <m/>
    <m/>
    <m/>
    <m/>
    <m/>
    <m/>
    <m/>
    <m/>
    <m/>
    <n v="1708.5409007706257"/>
    <m/>
    <m/>
    <m/>
    <m/>
    <m/>
    <m/>
    <m/>
    <m/>
    <m/>
    <m/>
    <m/>
    <m/>
    <n v="5337.0859"/>
    <n v="-13.753200000001016"/>
    <m/>
    <m/>
    <m/>
    <m/>
    <n v="-219.47590000000028"/>
    <n v="205.75270000000003"/>
    <n v="30"/>
    <n v="326.4299959847126"/>
    <n v="59.932794069802526"/>
    <n v="58.233335579904519"/>
    <n v="0"/>
    <n v="0"/>
    <n v="0"/>
    <n v="0"/>
    <n v="0"/>
    <n v="14.718381744286811"/>
    <n v="0"/>
    <n v="0"/>
    <n v="205.72946933033995"/>
    <n v="0"/>
    <n v="0"/>
    <n v="0"/>
    <n v="10.79707377682324"/>
    <n v="0"/>
    <n v="-19.916553230186651"/>
    <m/>
    <n v="0"/>
    <n v="0"/>
    <n v="0"/>
    <n v="0"/>
    <n v="-2.738846187907086"/>
    <n v="-0.32565909834938189"/>
    <n v="0"/>
    <n v="0"/>
    <m/>
    <m/>
    <m/>
    <n v="1369.2483702598372"/>
    <n v="0"/>
    <n v="0"/>
    <n v="-219.47590000000037"/>
    <n v="205.7527"/>
    <n v="0"/>
    <n v="0"/>
    <n v="-340.14452113856487"/>
    <n v="0"/>
    <n v="0"/>
    <n v="0"/>
    <n v="0"/>
    <n v="0"/>
    <n v="0"/>
    <n v="0"/>
    <n v="0"/>
    <n v="0"/>
    <n v="0"/>
    <n v="0"/>
    <n v="0"/>
    <n v="149.7881764639124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70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64"/>
    <n v="48.67"/>
    <n v="3475.78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71"/>
    <s v="Regular"/>
    <s v="Branca"/>
    <s v="B3"/>
    <s v="Comercial"/>
    <s v="Não se aplica"/>
    <s v="Não se aplica"/>
    <s v="Não se aplica"/>
    <s v="Intermediário"/>
    <s v="CATIVO"/>
    <x v="2"/>
    <n v="0"/>
    <n v="0"/>
    <n v="0.45300000000000001"/>
    <n v="0.45300000000000001"/>
    <n v="0.45300000000000001"/>
    <n v="0.45300000000000001"/>
    <m/>
    <n v="970.82"/>
    <n v="173.25"/>
    <m/>
    <n v="518.26371000000006"/>
    <n v="518.26371000000006"/>
    <n v="497.90589"/>
    <n v="0"/>
    <n v="27.879967989314792"/>
    <n v="0"/>
    <n v="0"/>
    <n v="29.476505076555028"/>
    <n v="2.0383986515521988"/>
    <n v="195.25788093984625"/>
    <n v="77.164233175146791"/>
    <n v="1.3169767893351865"/>
    <n v="0"/>
    <n v="0"/>
    <n v="0"/>
    <n v="0"/>
    <n v="4.307590715628411"/>
    <m/>
    <n v="0.54715909160631215"/>
    <n v="85.767567610963056"/>
    <n v="83.335536480149614"/>
    <n v="0"/>
    <n v="0"/>
    <n v="0"/>
    <n v="0"/>
    <n v="0"/>
    <n v="0"/>
    <n v="0"/>
    <n v="0"/>
    <n v="0"/>
    <n v="0"/>
    <m/>
    <n v="0"/>
    <n v="0"/>
    <n v="0"/>
    <n v="0"/>
    <n v="0"/>
    <n v="4.0497256967412989"/>
    <n v="0"/>
    <n v="0"/>
    <n v="0"/>
    <n v="0"/>
    <n v="0"/>
    <m/>
    <m/>
    <m/>
    <m/>
    <m/>
    <m/>
    <m/>
    <m/>
    <m/>
    <n v="81.213958871888096"/>
    <m/>
    <m/>
    <m/>
    <m/>
    <m/>
    <m/>
    <m/>
    <m/>
    <m/>
    <m/>
    <m/>
    <m/>
    <n v="494.60849999999999"/>
    <n v="-23.685210000000041"/>
    <m/>
    <m/>
    <m/>
    <m/>
    <n v="-30.138090000000041"/>
    <n v="9.7802700000000016"/>
    <n v="30"/>
    <n v="28.149649056036992"/>
    <n v="8.5465547891777192"/>
    <n v="8.3042080853187059"/>
    <n v="0"/>
    <n v="0"/>
    <n v="0"/>
    <n v="0"/>
    <n v="0"/>
    <n v="2.0988752141118434"/>
    <n v="0"/>
    <n v="0"/>
    <n v="9.7791657509594927"/>
    <n v="0"/>
    <n v="0"/>
    <n v="0"/>
    <n v="0.51322921520471532"/>
    <n v="0"/>
    <n v="-0.94671548932576854"/>
    <m/>
    <n v="0"/>
    <n v="0"/>
    <n v="0"/>
    <n v="0"/>
    <n v="-0.13018859634018032"/>
    <n v="-1.5479913069493145E-2"/>
    <n v="0"/>
    <n v="0"/>
    <m/>
    <m/>
    <m/>
    <n v="195.25788093984625"/>
    <n v="0"/>
    <n v="0"/>
    <n v="-30.138090000000034"/>
    <n v="9.7802700000000016"/>
    <n v="0"/>
    <n v="0"/>
    <n v="-48.505369700174725"/>
    <n v="0"/>
    <n v="0"/>
    <n v="0"/>
    <n v="0"/>
    <n v="0"/>
    <n v="0"/>
    <n v="0"/>
    <n v="0"/>
    <n v="0"/>
    <n v="0"/>
    <n v="0"/>
    <n v="0"/>
    <n v="7.12004658322690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Não se aplica"/>
    <s v="Não se aplica"/>
    <s v="Não se aplica"/>
    <s v="Não se aplica"/>
    <s v="CATIVO"/>
    <x v="2"/>
    <n v="0"/>
    <n v="0"/>
    <n v="6052.4750000000004"/>
    <n v="6052.4750000000004"/>
    <n v="6052.4750000000004"/>
    <n v="6052.4750000000004"/>
    <m/>
    <n v="368.24"/>
    <n v="173.25"/>
    <m/>
    <n v="3277354.6877500005"/>
    <n v="3277354.6877500005"/>
    <n v="3080044.00275"/>
    <n v="0"/>
    <n v="372500.68268460938"/>
    <n v="0"/>
    <n v="0"/>
    <n v="15491.535912507041"/>
    <n v="14883.892220235763"/>
    <n v="1425582.4443888336"/>
    <n v="1030981.4397058424"/>
    <n v="17595.958262762655"/>
    <n v="0"/>
    <n v="0"/>
    <n v="0"/>
    <n v="0"/>
    <n v="57553.168027755113"/>
    <m/>
    <n v="7310.5225672625038"/>
    <n v="32885.490717841851"/>
    <n v="153340.1917206962"/>
    <n v="0"/>
    <n v="0"/>
    <n v="0"/>
    <n v="0"/>
    <n v="0"/>
    <n v="0"/>
    <n v="0"/>
    <n v="0"/>
    <n v="0"/>
    <n v="0"/>
    <m/>
    <n v="0"/>
    <n v="0"/>
    <n v="0"/>
    <n v="0"/>
    <n v="0"/>
    <n v="54107.866526234648"/>
    <n v="0"/>
    <n v="2305.2600000000002"/>
    <n v="20433.25"/>
    <n v="192023.41"/>
    <n v="15966"/>
    <m/>
    <m/>
    <m/>
    <m/>
    <m/>
    <n v="369564.12350000005"/>
    <m/>
    <m/>
    <m/>
    <n v="1085089.3062320771"/>
    <m/>
    <m/>
    <m/>
    <m/>
    <m/>
    <m/>
    <m/>
    <m/>
    <m/>
    <m/>
    <m/>
    <m/>
    <n v="2710482.1184"/>
    <n v="-173582.77385"/>
    <m/>
    <m/>
    <m/>
    <m/>
    <n v="-327983.62024999998"/>
    <n v="130672.93525000002"/>
    <n v="30"/>
    <n v="156802.63721972355"/>
    <n v="3276.9688591833328"/>
    <n v="15280.022349105595"/>
    <n v="0"/>
    <n v="0"/>
    <n v="0"/>
    <n v="0"/>
    <n v="0"/>
    <n v="15325.477401967835"/>
    <n v="0"/>
    <n v="0"/>
    <n v="130658.1815199526"/>
    <n v="0"/>
    <n v="0"/>
    <n v="0"/>
    <n v="6857.1898328833486"/>
    <n v="0"/>
    <n v="-12648.944439860876"/>
    <m/>
    <n v="0"/>
    <n v="0"/>
    <n v="0"/>
    <n v="0"/>
    <n v="-1739.433166962539"/>
    <n v="-206.82513654587365"/>
    <n v="0"/>
    <n v="0"/>
    <m/>
    <m/>
    <m/>
    <n v="1425582.4443888336"/>
    <n v="0"/>
    <n v="0"/>
    <n v="-327983.62025000015"/>
    <n v="130672.9352500001"/>
    <n v="0"/>
    <n v="0"/>
    <n v="-354138.86072266917"/>
    <n v="0"/>
    <n v="0"/>
    <n v="0"/>
    <n v="0"/>
    <n v="0"/>
    <n v="0"/>
    <n v="0"/>
    <n v="0"/>
    <n v="0"/>
    <n v="0"/>
    <n v="0"/>
    <n v="0"/>
    <n v="95130.03078105130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73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1.728"/>
    <n v="-1.728"/>
    <n v="-1.728"/>
    <n v="-1.728"/>
    <m/>
    <n v="368.24"/>
    <n v="173.25"/>
    <m/>
    <n v="-935.69471999999996"/>
    <n v="-935.69471999999996"/>
    <n v="-879.36192000000005"/>
    <n v="0"/>
    <n v="-106.35007656851205"/>
    <n v="0"/>
    <n v="0"/>
    <n v="-4.4228805665140571"/>
    <n v="-4.2493964463409428"/>
    <n v="-407.0081188115447"/>
    <n v="-294.34833317142085"/>
    <n v="-5.0236995407752802"/>
    <n v="0"/>
    <n v="0"/>
    <n v="0"/>
    <n v="0"/>
    <n v="-16.431604319218309"/>
    <m/>
    <n v="-2.08717640241878"/>
    <n v="-9.3889075065044825"/>
    <n v="-43.779090585812085"/>
    <n v="0"/>
    <n v="0"/>
    <n v="0"/>
    <n v="0"/>
    <n v="0"/>
    <n v="0"/>
    <n v="0"/>
    <n v="0"/>
    <n v="0"/>
    <n v="0"/>
    <m/>
    <n v="0"/>
    <n v="0"/>
    <n v="0"/>
    <n v="0"/>
    <n v="0"/>
    <n v="-15.447960273662174"/>
    <n v="0"/>
    <n v="-0.8"/>
    <n v="-7.53"/>
    <n v="-25.99"/>
    <n v="0"/>
    <m/>
    <m/>
    <m/>
    <m/>
    <m/>
    <n v="-105.51168000000001"/>
    <m/>
    <m/>
    <m/>
    <n v="-309.79629344508299"/>
    <m/>
    <m/>
    <m/>
    <m/>
    <m/>
    <m/>
    <m/>
    <m/>
    <m/>
    <m/>
    <m/>
    <m/>
    <n v="-774.74590000000001"/>
    <n v="48.633379999999988"/>
    <m/>
    <m/>
    <m/>
    <m/>
    <n v="93.640319999999988"/>
    <n v="-37.307520000000004"/>
    <n v="30"/>
    <n v="-44.767629294740232"/>
    <n v="-0.93558456477206242"/>
    <n v="-4.3624928015819151"/>
    <n v="0"/>
    <n v="0"/>
    <n v="0"/>
    <n v="0"/>
    <n v="0"/>
    <n v="-4.3754703572671376"/>
    <n v="0"/>
    <n v="0"/>
    <n v="-37.303307765249485"/>
    <n v="0"/>
    <n v="0"/>
    <n v="0"/>
    <n v="-1.95774852952262"/>
    <n v="0"/>
    <n v="3.6113120652426716"/>
    <m/>
    <n v="0"/>
    <n v="0"/>
    <n v="0"/>
    <n v="0"/>
    <n v="0.4966134535890312"/>
    <n v="5.9049204821377987E-2"/>
    <n v="0"/>
    <n v="0"/>
    <m/>
    <m/>
    <m/>
    <n v="-407.0081188115447"/>
    <n v="0"/>
    <n v="0"/>
    <n v="93.640319999999974"/>
    <n v="-37.307520000000011"/>
    <n v="0"/>
    <n v="0"/>
    <n v="101.10772061491741"/>
    <n v="0"/>
    <n v="0"/>
    <n v="0"/>
    <n v="0"/>
    <n v="0"/>
    <n v="0"/>
    <n v="0"/>
    <n v="0"/>
    <n v="0"/>
    <n v="0"/>
    <n v="0"/>
    <n v="0"/>
    <n v="-27.15991279429599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74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167.42500000000001"/>
    <n v="167.42500000000001"/>
    <n v="167.42500000000001"/>
    <n v="167.42500000000001"/>
    <m/>
    <n v="368.24"/>
    <n v="173.25"/>
    <m/>
    <n v="90658.963250000001"/>
    <n v="90658.963250000001"/>
    <n v="85200.908250000008"/>
    <n v="0"/>
    <n v="10304.20229715459"/>
    <n v="0"/>
    <n v="0"/>
    <n v="428.53054331517131"/>
    <n v="411.7217592758289"/>
    <n v="39434.799937513242"/>
    <n v="28519.253287746033"/>
    <n v="486.74357385086887"/>
    <n v="0"/>
    <n v="0"/>
    <n v="0"/>
    <n v="0"/>
    <n v="1592.0493941812069"/>
    <m/>
    <n v="202.2254104021784"/>
    <n v="909.68624958131545"/>
    <n v="4241.7327785472153"/>
    <n v="0"/>
    <n v="0"/>
    <n v="0"/>
    <n v="0"/>
    <n v="0"/>
    <n v="0"/>
    <n v="0"/>
    <n v="0"/>
    <n v="0"/>
    <n v="0"/>
    <m/>
    <n v="0"/>
    <n v="0"/>
    <n v="0"/>
    <n v="0"/>
    <n v="0"/>
    <n v="1496.7446463066492"/>
    <n v="0"/>
    <n v="65.94"/>
    <n v="573.32000000000005"/>
    <n v="2846.42"/>
    <n v="199"/>
    <m/>
    <m/>
    <m/>
    <m/>
    <m/>
    <n v="10222.970500000001"/>
    <m/>
    <m/>
    <m/>
    <n v="30015.997934052681"/>
    <m/>
    <m/>
    <m/>
    <m/>
    <m/>
    <m/>
    <m/>
    <m/>
    <m/>
    <m/>
    <m/>
    <m/>
    <n v="74980.176900000006"/>
    <n v="-4799.539850000001"/>
    <m/>
    <m/>
    <m/>
    <m/>
    <n v="-9072.7607499999995"/>
    <n v="3614.705750000001"/>
    <n v="30"/>
    <n v="4337.5117677499147"/>
    <n v="90.648290368612606"/>
    <n v="422.67960492179009"/>
    <n v="0"/>
    <n v="0"/>
    <n v="0"/>
    <n v="0"/>
    <n v="0"/>
    <n v="423.9369933827839"/>
    <n v="0"/>
    <n v="0"/>
    <n v="3614.2976288176433"/>
    <n v="0"/>
    <n v="0"/>
    <n v="0"/>
    <n v="189.68521270562769"/>
    <n v="0"/>
    <n v="-349.898103312069"/>
    <m/>
    <n v="0"/>
    <n v="0"/>
    <n v="0"/>
    <n v="0"/>
    <n v="-48.116613117560064"/>
    <n v="-5.7212460169092481"/>
    <n v="0"/>
    <n v="0"/>
    <m/>
    <m/>
    <m/>
    <n v="39434.799937513242"/>
    <n v="0"/>
    <n v="0"/>
    <n v="-9072.760749999994"/>
    <n v="3614.705750000001"/>
    <n v="0"/>
    <n v="0"/>
    <n v="-9796.2732198799495"/>
    <n v="0"/>
    <n v="0"/>
    <n v="0"/>
    <n v="0"/>
    <n v="0"/>
    <n v="0"/>
    <n v="0"/>
    <n v="0"/>
    <n v="0"/>
    <n v="0"/>
    <n v="0"/>
    <n v="0"/>
    <n v="2631.50949050058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75"/>
    <s v="Regular"/>
    <s v="Verde"/>
    <s v="A4"/>
    <s v="Rural"/>
    <s v="Não se aplica"/>
    <s v="Não se aplica"/>
    <s v="Não se aplica"/>
    <s v="Ponta"/>
    <s v="CATIVO"/>
    <x v="2"/>
    <n v="0"/>
    <n v="0"/>
    <n v="5.8630000000000004"/>
    <n v="5.6284799999999997"/>
    <n v="5.8630000000000004"/>
    <n v="5.6284799999999997"/>
    <m/>
    <n v="1358.36"/>
    <n v="173.25"/>
    <m/>
    <n v="8979.8294299999998"/>
    <n v="8979.8294299999998"/>
    <n v="7873.5399600000001"/>
    <n v="0"/>
    <n v="313.93028591518026"/>
    <n v="0"/>
    <n v="0"/>
    <n v="111.0574639112552"/>
    <n v="106.70164866463284"/>
    <n v="5912.8807436005109"/>
    <n v="998.70617904169023"/>
    <n v="17.045110189563353"/>
    <n v="0"/>
    <n v="0"/>
    <n v="0"/>
    <n v="0"/>
    <n v="55.75144451595888"/>
    <m/>
    <n v="4.6951714696659197"/>
    <n v="235.75605051984559"/>
    <n v="1099.2896412097155"/>
    <n v="0"/>
    <n v="0"/>
    <n v="0"/>
    <n v="0"/>
    <n v="0"/>
    <n v="0"/>
    <n v="0"/>
    <n v="0"/>
    <n v="0"/>
    <n v="0"/>
    <m/>
    <n v="0"/>
    <n v="0"/>
    <n v="0"/>
    <n v="0"/>
    <n v="0"/>
    <n v="43.847363546159023"/>
    <n v="0"/>
    <n v="0"/>
    <n v="0"/>
    <n v="0"/>
    <n v="0"/>
    <m/>
    <m/>
    <m/>
    <m/>
    <m/>
    <n v="314.941598400001"/>
    <m/>
    <m/>
    <m/>
    <n v="1042.5535425878493"/>
    <m/>
    <m/>
    <m/>
    <m/>
    <m/>
    <m/>
    <m/>
    <m/>
    <m/>
    <m/>
    <m/>
    <m/>
    <n v="7560.6395999999995"/>
    <n v="-1060.0266528000002"/>
    <m/>
    <m/>
    <m/>
    <m/>
    <n v="-1232.8716399999998"/>
    <n v="126.58217000000003"/>
    <n v="30"/>
    <n v="362.54863721861648"/>
    <n v="23.492586519270731"/>
    <n v="109.54186307801365"/>
    <n v="0"/>
    <n v="0"/>
    <n v="0"/>
    <n v="0"/>
    <n v="0"/>
    <n v="109.86734391554464"/>
    <n v="0"/>
    <n v="0"/>
    <n v="126.56787814100551"/>
    <n v="0"/>
    <n v="0"/>
    <n v="0"/>
    <n v="5.5568573446093694"/>
    <n v="0"/>
    <n v="-10.660079106197884"/>
    <m/>
    <n v="0"/>
    <n v="0"/>
    <n v="0"/>
    <n v="0"/>
    <n v="-1.6849795592549128"/>
    <n v="-0.13283311437524237"/>
    <n v="0"/>
    <n v="0"/>
    <m/>
    <m/>
    <m/>
    <n v="5912.8807436005109"/>
    <n v="0"/>
    <n v="0"/>
    <n v="-1232.8716400000003"/>
    <n v="126.58217000000013"/>
    <n v="0"/>
    <n v="0"/>
    <n v="-1468.8598743409793"/>
    <n v="0"/>
    <n v="0"/>
    <n v="0"/>
    <n v="0"/>
    <n v="0"/>
    <n v="0"/>
    <n v="0"/>
    <n v="0"/>
    <n v="0"/>
    <n v="0"/>
    <n v="0"/>
    <n v="0"/>
    <n v="80.17219605339889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76"/>
    <s v="Regular"/>
    <s v="Verde"/>
    <s v="A4"/>
    <s v="Rural"/>
    <s v="Não se aplica"/>
    <s v="Não se aplica"/>
    <s v="Não se aplica"/>
    <s v="Fora ponta"/>
    <s v="CATIVO"/>
    <x v="2"/>
    <n v="0"/>
    <n v="0"/>
    <n v="72.831999999999994"/>
    <n v="69.918719999999993"/>
    <n v="72.831999999999994"/>
    <n v="69.918719999999993"/>
    <m/>
    <n v="85.01"/>
    <n v="173.25"/>
    <m/>
    <n v="18809.592319999996"/>
    <n v="18809.592319999996"/>
    <n v="20296.093439999997"/>
    <n v="0"/>
    <n v="3899.7391410155906"/>
    <n v="0"/>
    <n v="0"/>
    <n v="0"/>
    <n v="0"/>
    <n v="0"/>
    <n v="12406.237153669515"/>
    <n v="211.73963249638032"/>
    <n v="0"/>
    <n v="0"/>
    <n v="0"/>
    <n v="0"/>
    <n v="692.56169315816419"/>
    <m/>
    <n v="58.324872672472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4.68551625342889"/>
    <n v="0"/>
    <n v="0"/>
    <n v="0"/>
    <n v="0"/>
    <n v="0"/>
    <m/>
    <m/>
    <m/>
    <m/>
    <m/>
    <n v="811.84373760000005"/>
    <m/>
    <m/>
    <m/>
    <n v="12950.922669922944"/>
    <m/>
    <m/>
    <m/>
    <m/>
    <m/>
    <m/>
    <m/>
    <m/>
    <m/>
    <m/>
    <m/>
    <m/>
    <n v="19484.606400000001"/>
    <n v="1427.3677728000039"/>
    <m/>
    <m/>
    <m/>
    <m/>
    <n v="-85.941760000000485"/>
    <n v="1572.4428800000001"/>
    <n v="30"/>
    <n v="1486.2901109977574"/>
    <n v="0"/>
    <n v="0"/>
    <n v="0"/>
    <n v="0"/>
    <n v="0"/>
    <n v="0"/>
    <n v="0"/>
    <n v="0"/>
    <n v="0"/>
    <n v="0"/>
    <n v="1572.2653421056984"/>
    <n v="0"/>
    <n v="0"/>
    <n v="0"/>
    <n v="69.029001214836967"/>
    <n v="0"/>
    <n v="-132.4228008634841"/>
    <m/>
    <n v="0"/>
    <n v="0"/>
    <n v="0"/>
    <n v="0"/>
    <n v="-20.931337414234008"/>
    <n v="-1.6500940450584523"/>
    <n v="0"/>
    <n v="0"/>
    <m/>
    <m/>
    <m/>
    <n v="0"/>
    <n v="0"/>
    <n v="0"/>
    <n v="-85.941760000000613"/>
    <n v="1572.4428800000005"/>
    <n v="0"/>
    <n v="0"/>
    <n v="0"/>
    <n v="0"/>
    <n v="0"/>
    <n v="0"/>
    <n v="0"/>
    <n v="0"/>
    <n v="0"/>
    <n v="0"/>
    <n v="0"/>
    <n v="0"/>
    <n v="0"/>
    <n v="0"/>
    <n v="0"/>
    <n v="995.9238244859537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77"/>
    <s v="Sistema de Compensação"/>
    <s v="Verde"/>
    <s v="A4"/>
    <s v="Rural"/>
    <s v="Não se aplica"/>
    <s v="Não se aplica"/>
    <s v="Não se aplica"/>
    <s v="Fora ponta"/>
    <s v="CATIVO"/>
    <x v="2"/>
    <n v="0"/>
    <n v="0"/>
    <n v="31.896999999999998"/>
    <n v="30.621119999999998"/>
    <n v="31.896999999999998"/>
    <n v="30.621119999999998"/>
    <m/>
    <n v="85.01"/>
    <n v="173.25"/>
    <m/>
    <n v="8237.719219999999"/>
    <n v="8237.719219999999"/>
    <n v="8888.7369899999994"/>
    <n v="0"/>
    <n v="1707.9028364039748"/>
    <n v="0"/>
    <n v="0"/>
    <n v="0"/>
    <n v="0"/>
    <n v="0"/>
    <n v="5433.3499902597287"/>
    <n v="92.732027923674252"/>
    <n v="0"/>
    <n v="0"/>
    <n v="0"/>
    <n v="0"/>
    <n v="303.30953875584856"/>
    <m/>
    <n v="25.543558650508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54670902811429"/>
    <n v="0"/>
    <n v="0"/>
    <n v="0"/>
    <n v="0"/>
    <n v="0"/>
    <m/>
    <m/>
    <m/>
    <m/>
    <m/>
    <n v="355.54947960000021"/>
    <m/>
    <m/>
    <m/>
    <n v="5671.8966992878431"/>
    <m/>
    <m/>
    <m/>
    <m/>
    <m/>
    <m/>
    <m/>
    <m/>
    <m/>
    <m/>
    <m/>
    <m/>
    <n v="8532.8754000000008"/>
    <n v="624.63494880000144"/>
    <m/>
    <m/>
    <m/>
    <m/>
    <n v="-37.638460000000215"/>
    <n v="688.65623000000005"/>
    <n v="30"/>
    <n v="650.92535795385811"/>
    <n v="0"/>
    <n v="0"/>
    <n v="0"/>
    <n v="0"/>
    <n v="0"/>
    <n v="0"/>
    <n v="0"/>
    <n v="0"/>
    <n v="0"/>
    <n v="0"/>
    <n v="688.57847672925982"/>
    <n v="0"/>
    <n v="0"/>
    <n v="0"/>
    <n v="30.231464902098793"/>
    <n v="0"/>
    <n v="-57.994975823024788"/>
    <m/>
    <n v="0"/>
    <n v="0"/>
    <n v="0"/>
    <n v="0"/>
    <n v="-9.1669440562090472"/>
    <n v="-0.72266379826490379"/>
    <n v="0"/>
    <n v="0"/>
    <m/>
    <m/>
    <m/>
    <n v="0"/>
    <n v="0"/>
    <n v="0"/>
    <n v="-37.638460000000123"/>
    <n v="688.6562299999996"/>
    <n v="0"/>
    <n v="0"/>
    <n v="0"/>
    <n v="0"/>
    <n v="0"/>
    <n v="0"/>
    <n v="0"/>
    <n v="0"/>
    <n v="0"/>
    <n v="0"/>
    <n v="0"/>
    <n v="0"/>
    <n v="0"/>
    <n v="0"/>
    <n v="0"/>
    <n v="436.167923847051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78"/>
    <s v="Regular"/>
    <s v="Verde"/>
    <s v="A4"/>
    <s v="Rural"/>
    <s v="Não se aplica"/>
    <s v="Não se aplica"/>
    <s v="Não se aplica"/>
    <s v="Não se aplica"/>
    <s v="CATIVO"/>
    <x v="2"/>
    <n v="649"/>
    <n v="623.04"/>
    <n v="0"/>
    <n v="0"/>
    <n v="0"/>
    <n v="0"/>
    <n v="27.19"/>
    <m/>
    <m/>
    <n v="17646.310000000001"/>
    <m/>
    <n v="17646.310000000001"/>
    <n v="14122.240000000002"/>
    <n v="0"/>
    <n v="0"/>
    <n v="0"/>
    <n v="0"/>
    <n v="151.34719811448903"/>
    <n v="145.39861075140519"/>
    <n v="15531.887627810514"/>
    <m/>
    <m/>
    <m/>
    <n v="0"/>
    <n v="0"/>
    <n v="0"/>
    <n v="0"/>
    <m/>
    <n v="0"/>
    <n v="321.18025537771115"/>
    <n v="1497.9496591144571"/>
    <n v="0"/>
    <n v="0"/>
    <m/>
    <m/>
    <n v="0"/>
    <n v="0"/>
    <n v="0"/>
    <m/>
    <m/>
    <n v="0"/>
    <m/>
    <n v="0"/>
    <n v="0"/>
    <n v="0"/>
    <n v="0"/>
    <m/>
    <n v="0"/>
    <n v="0"/>
    <n v="36.47"/>
    <n v="312.75"/>
    <n v="27.44"/>
    <n v="4"/>
    <m/>
    <m/>
    <m/>
    <m/>
    <m/>
    <n v="564.88960000000088"/>
    <m/>
    <m/>
    <m/>
    <n v="0"/>
    <m/>
    <m/>
    <m/>
    <m/>
    <m/>
    <m/>
    <m/>
    <m/>
    <m/>
    <m/>
    <m/>
    <m/>
    <n v="13557.350399999999"/>
    <n v="-3383.1371999999974"/>
    <m/>
    <m/>
    <m/>
    <m/>
    <n v="-3524.0699999999997"/>
    <n v="0"/>
    <n v="30"/>
    <n v="330.98480082115429"/>
    <n v="32.004925944020556"/>
    <n v="149.26748174930435"/>
    <n v="0"/>
    <n v="0"/>
    <m/>
    <m/>
    <m/>
    <n v="149.71239312782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31.887627810514"/>
    <m/>
    <n v="0"/>
    <n v="0"/>
    <n v="-3524.0699999999997"/>
    <m/>
    <n v="0"/>
    <m/>
    <n v="-3858.384347419048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79"/>
    <s v="Sistema de Compensação"/>
    <s v="Verde"/>
    <s v="A4"/>
    <s v="Rural"/>
    <s v="Não se aplica"/>
    <s v="Não se aplica"/>
    <s v="Não se aplica"/>
    <s v="Não se aplica"/>
    <s v="CATIVO"/>
    <x v="2"/>
    <n v="133"/>
    <n v="127.67999999999999"/>
    <n v="0"/>
    <n v="0"/>
    <n v="0"/>
    <n v="0"/>
    <n v="27.19"/>
    <m/>
    <m/>
    <n v="3616.27"/>
    <m/>
    <n v="3616.27"/>
    <n v="2894.0800000000004"/>
    <n v="0"/>
    <n v="0"/>
    <n v="0"/>
    <n v="0"/>
    <n v="31.015681585866012"/>
    <n v="29.796633636266392"/>
    <n v="3182.9600223402135"/>
    <m/>
    <m/>
    <m/>
    <n v="0"/>
    <n v="0"/>
    <n v="0"/>
    <n v="0"/>
    <m/>
    <n v="0"/>
    <n v="65.819682535031717"/>
    <n v="306.97581612052818"/>
    <n v="0"/>
    <n v="0"/>
    <m/>
    <m/>
    <n v="0"/>
    <n v="0"/>
    <n v="0"/>
    <m/>
    <m/>
    <n v="0"/>
    <m/>
    <n v="0"/>
    <n v="0"/>
    <n v="0"/>
    <n v="0"/>
    <m/>
    <n v="0"/>
    <n v="0"/>
    <n v="11.22"/>
    <n v="96.19"/>
    <n v="5.76"/>
    <n v="1"/>
    <m/>
    <m/>
    <m/>
    <m/>
    <m/>
    <n v="115.76320000000017"/>
    <m/>
    <m/>
    <m/>
    <n v="0"/>
    <m/>
    <m/>
    <m/>
    <m/>
    <m/>
    <m/>
    <m/>
    <m/>
    <m/>
    <m/>
    <m/>
    <m/>
    <n v="2778.3168000000005"/>
    <n v="-693.33240000000023"/>
    <m/>
    <m/>
    <m/>
    <m/>
    <n v="-722.18999999999994"/>
    <n v="0"/>
    <n v="30"/>
    <n v="67.828934528834452"/>
    <n v="6.5587906788208414"/>
    <n v="30.589483933216457"/>
    <n v="0"/>
    <n v="0"/>
    <m/>
    <m/>
    <m/>
    <n v="30.6806599167971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82.9600223402135"/>
    <m/>
    <n v="0"/>
    <n v="0"/>
    <n v="-722.1899999999996"/>
    <m/>
    <n v="0"/>
    <m/>
    <n v="-790.701260719158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80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420.55399999999997"/>
    <n v="420.55399999999997"/>
    <n v="420.55399999999997"/>
    <n v="420.55399999999997"/>
    <m/>
    <n v="368.24"/>
    <n v="173.25"/>
    <m/>
    <n v="227725.78545999998"/>
    <n v="227725.78545999998"/>
    <n v="214015.72505999997"/>
    <n v="0"/>
    <n v="25883.072975228017"/>
    <n v="0"/>
    <n v="0"/>
    <n v="1076.4236769500883"/>
    <n v="1034.2017784111508"/>
    <n v="99056.071989971286"/>
    <n v="71637.366266535726"/>
    <n v="1222.6486902032448"/>
    <n v="0"/>
    <n v="0"/>
    <n v="0"/>
    <n v="0"/>
    <n v="3999.0607192503103"/>
    <m/>
    <n v="507.9689726520993"/>
    <n v="2285.0362311866238"/>
    <n v="10654.786841565749"/>
    <n v="0"/>
    <n v="0"/>
    <n v="0"/>
    <n v="0"/>
    <n v="0"/>
    <n v="0"/>
    <n v="0"/>
    <n v="0"/>
    <n v="0"/>
    <n v="0"/>
    <m/>
    <n v="0"/>
    <n v="0"/>
    <n v="0"/>
    <n v="0"/>
    <n v="0"/>
    <n v="3759.6652111861813"/>
    <n v="0"/>
    <n v="182.82"/>
    <n v="1589.33"/>
    <n v="102013.61"/>
    <n v="587"/>
    <m/>
    <m/>
    <m/>
    <m/>
    <m/>
    <m/>
    <m/>
    <m/>
    <m/>
    <n v="75397.031477721903"/>
    <m/>
    <m/>
    <m/>
    <m/>
    <m/>
    <m/>
    <m/>
    <m/>
    <m/>
    <m/>
    <m/>
    <m/>
    <n v="214013.68950000001"/>
    <n v="-13712.125960000005"/>
    <m/>
    <m/>
    <m/>
    <m/>
    <n v="-22789.821259999997"/>
    <n v="9079.7608600000003"/>
    <n v="30"/>
    <n v="10895.373593993165"/>
    <n v="227.69897630390642"/>
    <n v="1061.726734766482"/>
    <n v="0"/>
    <n v="0"/>
    <n v="0"/>
    <n v="0"/>
    <n v="0"/>
    <n v="1064.885162401692"/>
    <n v="0"/>
    <n v="0"/>
    <n v="9078.7357024923112"/>
    <n v="0"/>
    <n v="0"/>
    <n v="0"/>
    <n v="476.46931428521748"/>
    <n v="0"/>
    <n v="-878.90725363776801"/>
    <m/>
    <n v="0"/>
    <n v="0"/>
    <n v="0"/>
    <n v="0"/>
    <n v="-120.86387405132018"/>
    <n v="-14.37116856738993"/>
    <n v="0"/>
    <n v="0"/>
    <m/>
    <m/>
    <m/>
    <n v="99056.071989971286"/>
    <n v="0"/>
    <n v="0"/>
    <n v="-22789.821260000026"/>
    <n v="9079.7608600000094"/>
    <n v="0"/>
    <n v="0"/>
    <n v="-24607.208527480325"/>
    <n v="0"/>
    <n v="0"/>
    <n v="0"/>
    <n v="0"/>
    <n v="0"/>
    <n v="0"/>
    <n v="0"/>
    <n v="0"/>
    <n v="0"/>
    <n v="0"/>
    <n v="0"/>
    <n v="0"/>
    <n v="6610.07521139603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81"/>
    <s v="Sistema de Compensação"/>
    <s v="Convencional"/>
    <s v="B3"/>
    <s v="Poder público"/>
    <s v="Não se aplica"/>
    <s v="Não se aplica"/>
    <s v="Não se aplica"/>
    <s v="Não se aplica"/>
    <s v="CATIVO"/>
    <x v="2"/>
    <n v="0"/>
    <n v="0"/>
    <n v="0.90800000000000003"/>
    <n v="0.90800000000000003"/>
    <n v="0.90800000000000003"/>
    <n v="0.90800000000000003"/>
    <m/>
    <n v="368.24"/>
    <n v="173.25"/>
    <m/>
    <n v="491.67291999999998"/>
    <n v="491.67291999999998"/>
    <n v="462.07212000000004"/>
    <n v="0"/>
    <n v="55.883026345028327"/>
    <n v="0"/>
    <n v="0"/>
    <n v="2.3240599273117848"/>
    <n v="2.2329004474985972"/>
    <n v="213.86769206069596"/>
    <n v="154.66914729146421"/>
    <n v="2.6397680457314552"/>
    <n v="0"/>
    <n v="0"/>
    <n v="0"/>
    <n v="0"/>
    <n v="8.6341994918114722"/>
    <m/>
    <n v="1.0967338966413498"/>
    <n v="4.9335231573530498"/>
    <n v="23.004290655044777"/>
    <n v="0"/>
    <n v="0"/>
    <n v="0"/>
    <n v="0"/>
    <n v="0"/>
    <n v="0"/>
    <n v="0"/>
    <n v="0"/>
    <n v="0"/>
    <n v="0"/>
    <m/>
    <n v="0"/>
    <n v="0"/>
    <n v="0"/>
    <n v="0"/>
    <n v="0"/>
    <n v="8.1173309771326707"/>
    <n v="0"/>
    <n v="0.4"/>
    <n v="3.45"/>
    <n v="283.52999999999997"/>
    <n v="1"/>
    <m/>
    <m/>
    <m/>
    <m/>
    <m/>
    <m/>
    <m/>
    <m/>
    <m/>
    <n v="162.78647826859688"/>
    <m/>
    <m/>
    <m/>
    <m/>
    <m/>
    <m/>
    <m/>
    <m/>
    <m/>
    <m/>
    <m/>
    <m/>
    <n v="463.08990000000006"/>
    <n v="-28.613019999999892"/>
    <m/>
    <m/>
    <m/>
    <m/>
    <n v="-49.204520000000002"/>
    <n v="19.603720000000003"/>
    <n v="30"/>
    <n v="23.523731134041668"/>
    <n v="0.49161503750754232"/>
    <n v="2.2923283934238299"/>
    <n v="0"/>
    <n v="0"/>
    <n v="0"/>
    <n v="0"/>
    <n v="0"/>
    <n v="2.2991476182862041"/>
    <n v="0"/>
    <n v="0"/>
    <n v="19.601506626647279"/>
    <n v="0"/>
    <n v="0"/>
    <n v="0"/>
    <n v="1.0287243430593396"/>
    <n v="0"/>
    <n v="-1.8976107379863123"/>
    <m/>
    <n v="0"/>
    <n v="0"/>
    <n v="0"/>
    <n v="0"/>
    <n v="-0.26095197677016202"/>
    <n v="-3.1028170126048193E-2"/>
    <n v="0"/>
    <n v="0"/>
    <m/>
    <m/>
    <m/>
    <n v="213.86769206069596"/>
    <n v="0"/>
    <n v="0"/>
    <n v="-49.204520000000002"/>
    <n v="19.60372000000001"/>
    <n v="0"/>
    <n v="0"/>
    <n v="-53.128362452745961"/>
    <n v="0"/>
    <n v="0"/>
    <n v="0"/>
    <n v="0"/>
    <n v="0"/>
    <n v="0"/>
    <n v="0"/>
    <n v="0"/>
    <n v="0"/>
    <n v="0"/>
    <n v="0"/>
    <n v="0"/>
    <n v="14.2715282507064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82"/>
    <s v="Regular"/>
    <s v="Verde"/>
    <s v="A4"/>
    <s v="Poder público"/>
    <s v="Não se aplica"/>
    <s v="Não se aplica"/>
    <s v="Não se aplica"/>
    <s v="Ponta"/>
    <s v="CATIVO"/>
    <x v="2"/>
    <n v="0"/>
    <n v="0"/>
    <n v="3.1930000000000001"/>
    <n v="3.1930000000000001"/>
    <n v="3.1930000000000001"/>
    <n v="3.1930000000000001"/>
    <m/>
    <n v="1358.36"/>
    <n v="173.25"/>
    <m/>
    <n v="4890.43073"/>
    <n v="4890.43073"/>
    <n v="4287.9435599999997"/>
    <n v="0"/>
    <n v="170.96697986136289"/>
    <n v="0"/>
    <n v="0"/>
    <n v="60.482088055370596"/>
    <n v="58.109903494145087"/>
    <n v="3220.1651397435494"/>
    <n v="543.89712257890437"/>
    <n v="9.2827966630182122"/>
    <n v="0"/>
    <n v="0"/>
    <n v="0"/>
    <n v="0"/>
    <n v="30.362333675500036"/>
    <m/>
    <n v="2.5569985506810986"/>
    <n v="128.39315526349426"/>
    <n v="598.67505106304304"/>
    <n v="0"/>
    <n v="0"/>
    <n v="0"/>
    <n v="0"/>
    <n v="0"/>
    <n v="0"/>
    <n v="0"/>
    <n v="0"/>
    <n v="0"/>
    <n v="0"/>
    <m/>
    <n v="0"/>
    <n v="0"/>
    <n v="0"/>
    <n v="0"/>
    <n v="0"/>
    <n v="23.879350469535346"/>
    <n v="0"/>
    <n v="0"/>
    <n v="0"/>
    <n v="0"/>
    <n v="0"/>
    <m/>
    <m/>
    <m/>
    <m/>
    <m/>
    <m/>
    <m/>
    <m/>
    <m/>
    <n v="567.7764730484397"/>
    <m/>
    <m/>
    <m/>
    <m/>
    <m/>
    <m/>
    <m/>
    <m/>
    <m/>
    <m/>
    <m/>
    <m/>
    <n v="4283.9147999999996"/>
    <n v="-606.54593000000114"/>
    <m/>
    <m/>
    <m/>
    <m/>
    <n v="-671.42403999999988"/>
    <n v="68.936870000000013"/>
    <n v="30"/>
    <n v="197.44461856371117"/>
    <n v="12.794103489004186"/>
    <n v="59.656689204860527"/>
    <n v="0"/>
    <n v="0"/>
    <n v="0"/>
    <n v="0"/>
    <n v="0"/>
    <n v="59.833946635226681"/>
    <n v="0"/>
    <n v="0"/>
    <n v="68.929086628727759"/>
    <n v="0"/>
    <n v="0"/>
    <n v="0"/>
    <n v="3.0262741772706363"/>
    <n v="0"/>
    <n v="-5.8054976268275595"/>
    <m/>
    <n v="0"/>
    <n v="0"/>
    <n v="0"/>
    <n v="0"/>
    <n v="-0.91764279936908366"/>
    <n v="-7.2341145181673117E-2"/>
    <n v="0"/>
    <n v="0"/>
    <m/>
    <m/>
    <m/>
    <n v="3220.1651397435494"/>
    <n v="0"/>
    <n v="0"/>
    <n v="-671.42404000000033"/>
    <n v="68.936869999999999"/>
    <n v="0"/>
    <n v="0"/>
    <n v="-799.9436429764196"/>
    <n v="0"/>
    <n v="0"/>
    <n v="0"/>
    <n v="0"/>
    <n v="0"/>
    <n v="0"/>
    <n v="0"/>
    <n v="0"/>
    <n v="0"/>
    <n v="0"/>
    <n v="0"/>
    <n v="0"/>
    <n v="43.66191744814985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83"/>
    <s v="Sistema de Compensação"/>
    <s v="Verde"/>
    <s v="A4"/>
    <s v="Poder público"/>
    <s v="Não se aplica"/>
    <s v="Não se aplica"/>
    <s v="Não se aplica"/>
    <s v="Ponta"/>
    <s v="CATIVO"/>
    <x v="2"/>
    <n v="0"/>
    <n v="0"/>
    <n v="0.45500000000000002"/>
    <n v="0.45500000000000002"/>
    <n v="0.45500000000000002"/>
    <n v="0.45500000000000002"/>
    <m/>
    <n v="1358.36"/>
    <n v="173.25"/>
    <m/>
    <n v="696.88255000000004"/>
    <n v="696.88255000000004"/>
    <n v="611.02859999999998"/>
    <n v="0"/>
    <n v="24.362660769470754"/>
    <n v="0"/>
    <n v="0"/>
    <n v="8.6186501926694721"/>
    <n v="8.2806157500269393"/>
    <n v="458.87101114416379"/>
    <n v="77.504914116317423"/>
    <n v="1.3227912563962689"/>
    <n v="0"/>
    <n v="0"/>
    <n v="0"/>
    <n v="0"/>
    <n v="4.3266087761830621"/>
    <m/>
    <n v="0.36437029143748823"/>
    <n v="18.295924097992451"/>
    <n v="85.31072603623069"/>
    <n v="0"/>
    <n v="0"/>
    <n v="0"/>
    <n v="0"/>
    <n v="0"/>
    <n v="0"/>
    <n v="0"/>
    <n v="0"/>
    <n v="0"/>
    <n v="0"/>
    <m/>
    <n v="0"/>
    <n v="0"/>
    <n v="0"/>
    <n v="0"/>
    <n v="0"/>
    <n v="3.4027887452673298"/>
    <n v="0"/>
    <n v="0"/>
    <n v="0"/>
    <n v="0"/>
    <n v="0"/>
    <m/>
    <m/>
    <m/>
    <m/>
    <m/>
    <m/>
    <m/>
    <m/>
    <m/>
    <n v="80.907702861584752"/>
    <m/>
    <m/>
    <m/>
    <m/>
    <m/>
    <m/>
    <m/>
    <m/>
    <m/>
    <m/>
    <m/>
    <m/>
    <n v="617.7432"/>
    <n v="-79.169350000000009"/>
    <m/>
    <m/>
    <m/>
    <m/>
    <n v="-95.677399999999992"/>
    <n v="9.8234500000000011"/>
    <n v="30"/>
    <n v="28.135703553551082"/>
    <n v="1.8231497298768851"/>
    <n v="8.5010315027283241"/>
    <n v="0"/>
    <n v="0"/>
    <n v="0"/>
    <n v="0"/>
    <n v="0"/>
    <n v="8.5262905477695377"/>
    <n v="0"/>
    <n v="0"/>
    <n v="9.8223408756877859"/>
    <n v="0"/>
    <n v="0"/>
    <n v="0"/>
    <n v="0.43124170080117041"/>
    <n v="0"/>
    <n v="-0.82727886633465175"/>
    <m/>
    <n v="0"/>
    <n v="0"/>
    <n v="0"/>
    <n v="0"/>
    <n v="-0.13076338042998259"/>
    <n v="-1.0308556547967862E-2"/>
    <n v="0"/>
    <n v="0"/>
    <m/>
    <m/>
    <m/>
    <n v="458.87101114416379"/>
    <n v="0"/>
    <n v="0"/>
    <n v="-95.677400000000034"/>
    <n v="9.8234500000000082"/>
    <n v="0"/>
    <n v="0"/>
    <n v="-113.99134279808044"/>
    <n v="0"/>
    <n v="0"/>
    <n v="0"/>
    <n v="0"/>
    <n v="0"/>
    <n v="0"/>
    <n v="0"/>
    <n v="0"/>
    <n v="0"/>
    <n v="0"/>
    <n v="0"/>
    <n v="0"/>
    <n v="6.221789050707230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84"/>
    <s v="Regular"/>
    <s v="Verde"/>
    <s v="A4"/>
    <s v="Poder público"/>
    <s v="Não se aplica"/>
    <s v="Não se aplica"/>
    <s v="Não se aplica"/>
    <s v="Fora ponta"/>
    <s v="CATIVO"/>
    <x v="2"/>
    <n v="0"/>
    <n v="0"/>
    <n v="22.706"/>
    <n v="22.706"/>
    <n v="22.706"/>
    <n v="22.706"/>
    <m/>
    <n v="85.01"/>
    <n v="173.25"/>
    <m/>
    <n v="5864.0515599999999"/>
    <n v="5864.0515599999999"/>
    <n v="6327.4810200000002"/>
    <n v="0"/>
    <n v="1215.7770888606656"/>
    <n v="0"/>
    <n v="0"/>
    <n v="0"/>
    <n v="0"/>
    <n v="0"/>
    <n v="3867.7507251101169"/>
    <n v="66.011644544469632"/>
    <n v="0"/>
    <n v="0"/>
    <n v="0"/>
    <n v="0"/>
    <n v="215.91204147695075"/>
    <m/>
    <n v="18.1832787634716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81037637371423"/>
    <n v="0"/>
    <n v="0"/>
    <n v="0"/>
    <n v="0"/>
    <n v="0"/>
    <m/>
    <m/>
    <m/>
    <m/>
    <m/>
    <m/>
    <m/>
    <m/>
    <m/>
    <n v="4037.5611014838314"/>
    <m/>
    <m/>
    <m/>
    <m/>
    <m/>
    <m/>
    <m/>
    <m/>
    <m/>
    <m/>
    <m/>
    <m/>
    <n v="6328.5957000000008"/>
    <n v="464.51414000000022"/>
    <m/>
    <m/>
    <m/>
    <m/>
    <n v="-26.793080000000153"/>
    <n v="490.22254000000009"/>
    <n v="30"/>
    <n v="463.36367613569746"/>
    <n v="0"/>
    <n v="0"/>
    <n v="0"/>
    <n v="0"/>
    <n v="0"/>
    <n v="0"/>
    <n v="0"/>
    <n v="0"/>
    <n v="0"/>
    <n v="0"/>
    <n v="490.16719104036656"/>
    <n v="0"/>
    <n v="0"/>
    <n v="0"/>
    <n v="21.52038254591514"/>
    <n v="0"/>
    <n v="-41.283942723064911"/>
    <m/>
    <n v="0"/>
    <n v="0"/>
    <n v="0"/>
    <n v="0"/>
    <n v="-6.5255237715234387"/>
    <n v="-0.51443095599595168"/>
    <n v="0"/>
    <n v="0"/>
    <m/>
    <m/>
    <m/>
    <n v="0"/>
    <n v="0"/>
    <n v="0"/>
    <n v="-26.793080000000145"/>
    <n v="490.22254000000021"/>
    <n v="0"/>
    <n v="0"/>
    <n v="0"/>
    <n v="0"/>
    <n v="0"/>
    <n v="0"/>
    <n v="0"/>
    <n v="0"/>
    <n v="0"/>
    <n v="0"/>
    <n v="0"/>
    <n v="0"/>
    <n v="0"/>
    <n v="0"/>
    <n v="0"/>
    <n v="310.4877850227656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85"/>
    <s v="Sistema de Compensação"/>
    <s v="Verde"/>
    <s v="A4"/>
    <s v="Poder público"/>
    <s v="Não se aplica"/>
    <s v="Não se aplica"/>
    <s v="Não se aplica"/>
    <s v="Fora ponta"/>
    <s v="CATIVO"/>
    <x v="2"/>
    <n v="0"/>
    <n v="0"/>
    <n v="0.23699999999999999"/>
    <n v="0.23699999999999999"/>
    <n v="0.23699999999999999"/>
    <n v="0.23699999999999999"/>
    <m/>
    <n v="85.01"/>
    <n v="173.25"/>
    <m/>
    <n v="61.207619999999991"/>
    <n v="61.207619999999991"/>
    <n v="66.044789999999992"/>
    <n v="0"/>
    <n v="12.690001323878171"/>
    <n v="0"/>
    <n v="0"/>
    <n v="0"/>
    <n v="0"/>
    <n v="0"/>
    <n v="40.370691528719178"/>
    <n v="0.68901434673827622"/>
    <n v="0"/>
    <n v="0"/>
    <n v="0"/>
    <n v="0"/>
    <n v="2.253640175726122"/>
    <m/>
    <n v="0.18979287707842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724416101722134"/>
    <n v="0"/>
    <n v="0"/>
    <n v="0"/>
    <n v="0"/>
    <n v="0"/>
    <m/>
    <m/>
    <m/>
    <m/>
    <m/>
    <m/>
    <m/>
    <m/>
    <m/>
    <n v="42.143133138891393"/>
    <m/>
    <m/>
    <m/>
    <m/>
    <m/>
    <m/>
    <m/>
    <m/>
    <m/>
    <m/>
    <m/>
    <m/>
    <n v="66.880799999999994"/>
    <n v="5.6431799999999939"/>
    <m/>
    <m/>
    <m/>
    <m/>
    <n v="-0.27966000000000163"/>
    <n v="5.1168300000000002"/>
    <n v="30"/>
    <n v="4.8364833631709985"/>
    <n v="0"/>
    <n v="0"/>
    <n v="0"/>
    <n v="0"/>
    <n v="0"/>
    <n v="0"/>
    <n v="0"/>
    <n v="0"/>
    <n v="0"/>
    <n v="0"/>
    <n v="5.1162522803033141"/>
    <n v="0"/>
    <n v="0"/>
    <n v="0"/>
    <n v="0.22462479799973067"/>
    <n v="0"/>
    <n v="-0.43091228861826814"/>
    <m/>
    <n v="0"/>
    <n v="0"/>
    <n v="0"/>
    <n v="0"/>
    <n v="-6.8111914641550975E-2"/>
    <n v="-5.3695118722382196E-3"/>
    <n v="0"/>
    <n v="0"/>
    <m/>
    <m/>
    <m/>
    <n v="0"/>
    <n v="0"/>
    <n v="0"/>
    <n v="-0.2796599999999998"/>
    <n v="5.1168300000000002"/>
    <n v="0"/>
    <n v="0"/>
    <n v="0"/>
    <n v="0"/>
    <n v="0"/>
    <n v="0"/>
    <n v="0"/>
    <n v="0"/>
    <n v="0"/>
    <n v="0"/>
    <n v="0"/>
    <n v="0"/>
    <n v="0"/>
    <n v="0"/>
    <n v="0"/>
    <n v="3.24080001102772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86"/>
    <s v="Regular"/>
    <s v="Verde"/>
    <s v="A4"/>
    <s v="Poder público"/>
    <s v="Não se aplica"/>
    <s v="Não se aplica"/>
    <s v="Não se aplica"/>
    <s v="Não se aplica"/>
    <s v="CATIVO"/>
    <x v="2"/>
    <n v="141"/>
    <n v="141"/>
    <n v="0"/>
    <n v="0"/>
    <n v="0"/>
    <n v="0"/>
    <n v="27.19"/>
    <m/>
    <m/>
    <n v="3833.79"/>
    <m/>
    <n v="3833.79"/>
    <n v="3068.1600000000003"/>
    <n v="0"/>
    <n v="0"/>
    <n v="0"/>
    <n v="0"/>
    <n v="32.881286493286524"/>
    <n v="31.588912351229787"/>
    <n v="3374.4162642854894"/>
    <m/>
    <m/>
    <m/>
    <n v="0"/>
    <n v="0"/>
    <n v="0"/>
    <n v="0"/>
    <m/>
    <n v="0"/>
    <n v="69.778761183755421"/>
    <n v="325.4405268646201"/>
    <n v="0"/>
    <n v="0"/>
    <m/>
    <m/>
    <n v="0"/>
    <n v="0"/>
    <n v="0"/>
    <m/>
    <m/>
    <n v="0"/>
    <m/>
    <n v="0"/>
    <n v="0"/>
    <n v="0"/>
    <n v="0"/>
    <m/>
    <n v="0"/>
    <n v="0"/>
    <n v="12.09"/>
    <n v="103.82"/>
    <n v="7292.99"/>
    <n v="4"/>
    <m/>
    <m/>
    <m/>
    <m/>
    <m/>
    <m/>
    <m/>
    <m/>
    <m/>
    <n v="0"/>
    <m/>
    <m/>
    <m/>
    <m/>
    <m/>
    <m/>
    <m/>
    <m/>
    <m/>
    <m/>
    <m/>
    <m/>
    <n v="3068.1600000000003"/>
    <n v="-765.66000000000031"/>
    <m/>
    <m/>
    <m/>
    <m/>
    <n v="-765.63"/>
    <n v="0"/>
    <n v="30"/>
    <n v="71.908870440343208"/>
    <n v="6.9533044038627168"/>
    <n v="32.429452891605422"/>
    <n v="0"/>
    <n v="0"/>
    <m/>
    <m/>
    <m/>
    <n v="32.52611314487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74.4162642854894"/>
    <m/>
    <n v="0"/>
    <n v="0"/>
    <n v="-765.62999999999965"/>
    <m/>
    <n v="0"/>
    <m/>
    <n v="-838.2622388075283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87"/>
    <s v="Sistema de Compensação"/>
    <s v="Verde"/>
    <s v="A4"/>
    <s v="Poder público"/>
    <s v="Não se aplica"/>
    <s v="Não se aplica"/>
    <s v="Não se aplica"/>
    <s v="Não se aplica"/>
    <s v="CATIVO"/>
    <x v="2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1.17"/>
    <n v="10.050000000000001"/>
    <n v="511.88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n v="30"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188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1548.761"/>
    <n v="1548.761"/>
    <n v="1548.761"/>
    <n v="1548.761"/>
    <m/>
    <n v="199.07"/>
    <n v="95.29"/>
    <m/>
    <n v="455893.28795999999"/>
    <n v="455893.28795999999"/>
    <n v="430354.21906999999"/>
    <n v="0"/>
    <n v="52425.328712372022"/>
    <n v="0"/>
    <n v="0"/>
    <n v="2180.2614068235994"/>
    <n v="2811.9038998697165"/>
    <n v="194548.1762106859"/>
    <n v="145099.17266029888"/>
    <n v="2476.435450497032"/>
    <n v="0"/>
    <n v="0"/>
    <n v="0"/>
    <n v="0"/>
    <n v="8099.9683827374356"/>
    <m/>
    <n v="1028.8747550362148"/>
    <n v="4628.2671170571584"/>
    <n v="21580.926772641888"/>
    <n v="0"/>
    <n v="0"/>
    <n v="0"/>
    <n v="0"/>
    <n v="0"/>
    <n v="0"/>
    <n v="0"/>
    <n v="0"/>
    <n v="0"/>
    <n v="0"/>
    <m/>
    <n v="0"/>
    <n v="0"/>
    <n v="0"/>
    <n v="0"/>
    <n v="0"/>
    <n v="7615.0805097040038"/>
    <n v="0"/>
    <n v="457.79"/>
    <n v="3926.6"/>
    <n v="163609"/>
    <n v="60"/>
    <m/>
    <m/>
    <m/>
    <m/>
    <m/>
    <m/>
    <m/>
    <m/>
    <m/>
    <n v="152714.25317000289"/>
    <m/>
    <m/>
    <m/>
    <m/>
    <m/>
    <m/>
    <m/>
    <m/>
    <m/>
    <m/>
    <m/>
    <m/>
    <n v="430353.9412"/>
    <n v="-25539.376760000014"/>
    <m/>
    <m/>
    <m/>
    <m/>
    <n v="-43922.861959999973"/>
    <n v="18383.793069999985"/>
    <n v="30"/>
    <n v="22806.666283499886"/>
    <n v="461.1969255593358"/>
    <n v="2150.4932249009908"/>
    <n v="0"/>
    <n v="0"/>
    <n v="0"/>
    <n v="0"/>
    <n v="0"/>
    <n v="2895.3293289351645"/>
    <n v="0"/>
    <n v="0"/>
    <n v="18388.686071063916"/>
    <n v="0"/>
    <n v="0"/>
    <n v="0"/>
    <n v="965.07321393665097"/>
    <n v="0"/>
    <n v="-1780.1982679469147"/>
    <m/>
    <n v="0"/>
    <n v="0"/>
    <n v="0"/>
    <n v="0"/>
    <n v="-244.80587496915177"/>
    <n v="-29.108337980091392"/>
    <n v="0"/>
    <n v="0"/>
    <m/>
    <m/>
    <m/>
    <n v="194548.1762106859"/>
    <n v="0"/>
    <n v="0"/>
    <n v="-43922.861959999951"/>
    <n v="18383.793069999985"/>
    <n v="0"/>
    <n v="0"/>
    <n v="-48329.067007037869"/>
    <n v="0"/>
    <n v="0"/>
    <n v="0"/>
    <n v="0"/>
    <n v="0"/>
    <n v="0"/>
    <n v="0"/>
    <n v="0"/>
    <n v="0"/>
    <n v="0"/>
    <n v="0"/>
    <n v="0"/>
    <n v="13388.4939436132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89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603.96299999999997"/>
    <n v="567.72522000000004"/>
    <n v="603.96299999999997"/>
    <n v="567.72522000000004"/>
    <m/>
    <n v="368.24"/>
    <n v="173.25"/>
    <m/>
    <n v="327039.92486999999"/>
    <n v="327039.92486999999"/>
    <n v="307350.73106999998"/>
    <n v="0"/>
    <n v="37171.013480641341"/>
    <n v="0"/>
    <n v="0"/>
    <n v="1545.8658655055146"/>
    <n v="1485.2304548156333"/>
    <n v="142255.69702649131"/>
    <n v="102879.34163611739"/>
    <n v="1755.861484806285"/>
    <n v="0"/>
    <n v="0"/>
    <n v="0"/>
    <n v="0"/>
    <n v="5743.1024533842865"/>
    <m/>
    <n v="729.50076477665141"/>
    <n v="3281.5698752031058"/>
    <n v="15301.476208031725"/>
    <n v="0"/>
    <n v="0"/>
    <n v="0"/>
    <n v="0"/>
    <n v="0"/>
    <n v="0"/>
    <n v="0"/>
    <n v="0"/>
    <n v="0"/>
    <n v="0"/>
    <m/>
    <n v="0"/>
    <n v="0"/>
    <n v="0"/>
    <n v="0"/>
    <n v="0"/>
    <n v="5399.3034900242055"/>
    <n v="0"/>
    <n v="251.27"/>
    <n v="2161.52"/>
    <n v="162357.12"/>
    <n v="198"/>
    <m/>
    <m/>
    <m/>
    <m/>
    <n v="18441.043864199964"/>
    <m/>
    <m/>
    <m/>
    <m/>
    <n v="108278.64512614159"/>
    <m/>
    <m/>
    <m/>
    <m/>
    <m/>
    <m/>
    <m/>
    <m/>
    <m/>
    <m/>
    <m/>
    <m/>
    <n v="288912.11970000004"/>
    <n v="-18505.439677799994"/>
    <m/>
    <m/>
    <m/>
    <m/>
    <n v="-32728.754969999998"/>
    <n v="13039.561170000001"/>
    <n v="30"/>
    <n v="15646.985932719399"/>
    <n v="327.00142389666007"/>
    <n v="1524.759398102904"/>
    <n v="0"/>
    <n v="0"/>
    <n v="0"/>
    <n v="0"/>
    <n v="0"/>
    <n v="1529.2952565891967"/>
    <n v="0"/>
    <n v="0"/>
    <n v="13038.088928138517"/>
    <n v="0"/>
    <n v="0"/>
    <n v="0"/>
    <n v="684.26370088892963"/>
    <n v="0"/>
    <n v="-1262.2099935533261"/>
    <m/>
    <n v="0"/>
    <n v="0"/>
    <n v="0"/>
    <n v="0"/>
    <n v="-173.57416161457877"/>
    <n v="-20.63861972889697"/>
    <n v="0"/>
    <n v="0"/>
    <m/>
    <m/>
    <m/>
    <n v="142255.69702649131"/>
    <n v="0"/>
    <n v="0"/>
    <n v="-32728.754970000009"/>
    <n v="13039.561170000001"/>
    <n v="0"/>
    <n v="0"/>
    <n v="-35338.728163048247"/>
    <n v="0"/>
    <n v="0"/>
    <n v="0"/>
    <n v="0"/>
    <n v="0"/>
    <n v="0"/>
    <n v="0"/>
    <n v="0"/>
    <n v="0"/>
    <n v="0"/>
    <n v="0"/>
    <n v="0"/>
    <n v="9492.813895243860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0"/>
    <s v="Regular"/>
    <s v="Azul"/>
    <s v="A4"/>
    <s v="Serviço público"/>
    <s v="Água, esgoto e saneamento"/>
    <s v="Não se aplica"/>
    <s v="Não se aplica"/>
    <s v="Ponta"/>
    <s v="CATIVO"/>
    <x v="2"/>
    <n v="65"/>
    <n v="61.1"/>
    <n v="3.085"/>
    <n v="2.8999000000000001"/>
    <n v="3.085"/>
    <n v="2.8999000000000001"/>
    <n v="52.95"/>
    <n v="85.01"/>
    <n v="173.25"/>
    <n v="3441.75"/>
    <n v="796.73210000000006"/>
    <n v="4238.4821000000002"/>
    <n v="3735.94695"/>
    <n v="0"/>
    <n v="165.18419444795003"/>
    <n v="0"/>
    <n v="0"/>
    <n v="51.198306474712865"/>
    <n v="49.188863943031343"/>
    <n v="2725.6914092779475"/>
    <n v="525.50035175569064"/>
    <n v="8.968815441719757"/>
    <n v="0"/>
    <n v="0"/>
    <n v="0"/>
    <n v="0"/>
    <n v="29.335358405548888"/>
    <m/>
    <n v="2.4705106573289037"/>
    <n v="108.68330737188015"/>
    <n v="506.76761947441048"/>
    <n v="0"/>
    <n v="0"/>
    <n v="0"/>
    <n v="0"/>
    <n v="0"/>
    <n v="0"/>
    <n v="0"/>
    <n v="0"/>
    <n v="0"/>
    <n v="0"/>
    <m/>
    <n v="0"/>
    <n v="0"/>
    <n v="0"/>
    <n v="0"/>
    <n v="0"/>
    <n v="23.071655558570793"/>
    <n v="0"/>
    <n v="0"/>
    <n v="0"/>
    <n v="0"/>
    <n v="0"/>
    <m/>
    <m/>
    <m/>
    <m/>
    <n v="224.15681699999988"/>
    <m/>
    <m/>
    <m/>
    <m/>
    <n v="548.57200731426144"/>
    <m/>
    <m/>
    <m/>
    <m/>
    <m/>
    <m/>
    <m/>
    <m/>
    <m/>
    <m/>
    <m/>
    <m/>
    <n v="3511.8180000000002"/>
    <n v="-472.38517400000092"/>
    <m/>
    <m/>
    <m/>
    <m/>
    <n v="-569.14030000000025"/>
    <n v="66.605150000000009"/>
    <n v="30"/>
    <n v="174.93251327007169"/>
    <n v="10.830059275274195"/>
    <n v="50.498310093914142"/>
    <n v="0"/>
    <n v="0"/>
    <n v="0"/>
    <n v="0"/>
    <n v="0"/>
    <n v="50.648231768467902"/>
    <n v="0"/>
    <n v="0"/>
    <n v="66.597629893399585"/>
    <n v="0"/>
    <n v="0"/>
    <n v="0"/>
    <n v="2.9239135098277202"/>
    <n v="0"/>
    <n v="-5.6091325332799897"/>
    <m/>
    <n v="0"/>
    <n v="0"/>
    <n v="0"/>
    <n v="0"/>
    <n v="-0.88660445851976633"/>
    <n v="-6.9894279012046034E-2"/>
    <n v="0"/>
    <n v="0"/>
    <m/>
    <m/>
    <n v="2725.6914092779475"/>
    <n v="0"/>
    <n v="0"/>
    <n v="0"/>
    <n v="-569.14030000000002"/>
    <n v="66.605149999999981"/>
    <n v="0"/>
    <n v="0"/>
    <n v="-677.10798078540483"/>
    <n v="0"/>
    <n v="0"/>
    <n v="0"/>
    <n v="0"/>
    <n v="0"/>
    <n v="0"/>
    <n v="0"/>
    <n v="0"/>
    <n v="0"/>
    <n v="0"/>
    <n v="0"/>
    <n v="0"/>
    <n v="42.18509718996001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1"/>
    <s v="Regular"/>
    <s v="Azul"/>
    <s v="A4"/>
    <s v="Serviço público"/>
    <s v="Água, esgoto e saneamento"/>
    <s v="Não se aplica"/>
    <s v="Não se aplica"/>
    <s v="Fora ponta"/>
    <s v="CATIVO"/>
    <x v="2"/>
    <n v="65"/>
    <n v="61.1"/>
    <n v="20.21"/>
    <n v="18.997399999999999"/>
    <n v="20.21"/>
    <n v="18.997399999999999"/>
    <n v="27.19"/>
    <n v="85.01"/>
    <n v="173.25"/>
    <n v="1767.3500000000001"/>
    <n v="5219.4346000000005"/>
    <n v="6986.7846000000009"/>
    <n v="7046.3207000000002"/>
    <n v="0"/>
    <n v="1082.130492639569"/>
    <n v="0"/>
    <n v="0"/>
    <n v="15.158039872791662"/>
    <n v="14.56226455907756"/>
    <n v="1555.5819658053674"/>
    <n v="3442.580910529176"/>
    <n v="58.75518965223867"/>
    <n v="0"/>
    <n v="0"/>
    <n v="0"/>
    <n v="0"/>
    <n v="192.17750190474655"/>
    <m/>
    <n v="16.184447450443159"/>
    <n v="32.167514020880162"/>
    <n v="150.02577479574686"/>
    <n v="0"/>
    <n v="0"/>
    <n v="0"/>
    <n v="0"/>
    <n v="0"/>
    <n v="0"/>
    <n v="0"/>
    <n v="0"/>
    <n v="0"/>
    <n v="0"/>
    <m/>
    <n v="0"/>
    <n v="0"/>
    <n v="0"/>
    <n v="0"/>
    <n v="0"/>
    <n v="151.14364954253347"/>
    <n v="0"/>
    <n v="0"/>
    <n v="0"/>
    <n v="0"/>
    <n v="0"/>
    <m/>
    <m/>
    <m/>
    <m/>
    <n v="422.77924200000052"/>
    <m/>
    <m/>
    <m/>
    <m/>
    <n v="3593.7245600717097"/>
    <m/>
    <m/>
    <m/>
    <m/>
    <m/>
    <m/>
    <m/>
    <m/>
    <m/>
    <m/>
    <m/>
    <m/>
    <n v="6624.2659999999996"/>
    <n v="56.6584759999987"/>
    <m/>
    <m/>
    <m/>
    <m/>
    <n v="-376.79780000000011"/>
    <n v="436.33390000000009"/>
    <n v="30"/>
    <n v="445.57702683242678"/>
    <n v="3.2054240159650789"/>
    <n v="14.94974778691028"/>
    <n v="0"/>
    <n v="0"/>
    <n v="0"/>
    <n v="0"/>
    <n v="0"/>
    <n v="14.994307478133946"/>
    <n v="0"/>
    <n v="0"/>
    <n v="436.28463537945117"/>
    <n v="0"/>
    <n v="0"/>
    <n v="0"/>
    <n v="19.154713787234442"/>
    <n v="0"/>
    <n v="-36.745727227743373"/>
    <m/>
    <n v="0"/>
    <n v="0"/>
    <n v="0"/>
    <n v="0"/>
    <n v="-5.8081932274504311"/>
    <n v="-0.45788116007567048"/>
    <n v="0"/>
    <n v="0"/>
    <m/>
    <m/>
    <n v="1555.5819658053674"/>
    <n v="0"/>
    <n v="0"/>
    <n v="0"/>
    <n v="-376.79780000000028"/>
    <n v="436.33390000000009"/>
    <n v="0"/>
    <n v="0"/>
    <n v="-386.43294696800945"/>
    <n v="0"/>
    <n v="0"/>
    <n v="0"/>
    <n v="0"/>
    <n v="0"/>
    <n v="0"/>
    <n v="0"/>
    <n v="0"/>
    <n v="0"/>
    <n v="0"/>
    <n v="0"/>
    <n v="0"/>
    <n v="276.356827944600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2"/>
    <s v="Regular"/>
    <s v="Azul"/>
    <s v="A4"/>
    <s v="Serviço público"/>
    <s v="Água, esgoto e saneamento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.4600000000000009"/>
    <n v="81.209999999999994"/>
    <n v="5775.4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93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7.4729999999999999"/>
    <n v="7.4729999999999999"/>
    <n v="7.4729999999999999"/>
    <n v="7.4729999999999999"/>
    <m/>
    <n v="368.24"/>
    <n v="173.25"/>
    <m/>
    <n v="4046.5547699999997"/>
    <n v="4046.5547699999997"/>
    <n v="3802.9349700000002"/>
    <n v="0"/>
    <n v="459.92715404889498"/>
    <n v="0"/>
    <n v="0"/>
    <n v="19.127422727754368"/>
    <n v="18.377164145547376"/>
    <n v="1760.1687915964546"/>
    <n v="1272.9543366840439"/>
    <n v="21.725756173734762"/>
    <n v="0"/>
    <n v="0"/>
    <n v="0"/>
    <n v="0"/>
    <n v="71.06098326245278"/>
    <m/>
    <n v="9.026313226432606"/>
    <n v="40.603764928303242"/>
    <n v="189.32936571051718"/>
    <n v="0"/>
    <n v="0"/>
    <n v="0"/>
    <n v="0"/>
    <n v="0"/>
    <n v="0"/>
    <n v="0"/>
    <n v="0"/>
    <n v="0"/>
    <n v="0"/>
    <m/>
    <n v="0"/>
    <n v="0"/>
    <n v="0"/>
    <n v="0"/>
    <n v="0"/>
    <n v="66.807064308493878"/>
    <n v="0"/>
    <n v="3.29"/>
    <n v="28.36"/>
    <n v="2026.63"/>
    <n v="5"/>
    <m/>
    <m/>
    <m/>
    <m/>
    <m/>
    <m/>
    <m/>
    <m/>
    <m/>
    <n v="1339.7614009925378"/>
    <m/>
    <m/>
    <m/>
    <m/>
    <m/>
    <m/>
    <m/>
    <m/>
    <m/>
    <m/>
    <m/>
    <m/>
    <n v="3801.4083000000001"/>
    <n v="-245.17647000000034"/>
    <m/>
    <m/>
    <m/>
    <m/>
    <n v="-404.96186999999998"/>
    <n v="161.34207000000004"/>
    <n v="30"/>
    <n v="193.60445238402326"/>
    <n v="4.0460783868875083"/>
    <n v="18.866266612396799"/>
    <n v="0"/>
    <n v="0"/>
    <n v="0"/>
    <n v="0"/>
    <n v="0"/>
    <n v="18.922390034639648"/>
    <n v="0"/>
    <n v="0"/>
    <n v="161.32385354728558"/>
    <n v="0"/>
    <n v="0"/>
    <n v="0"/>
    <n v="8.4665826163903688"/>
    <n v="0"/>
    <n v="-15.617670754374103"/>
    <m/>
    <n v="0"/>
    <n v="0"/>
    <n v="0"/>
    <n v="0"/>
    <n v="-2.1476807515456073"/>
    <n v="-0.25536730765634097"/>
    <n v="0"/>
    <n v="0"/>
    <m/>
    <m/>
    <m/>
    <n v="1760.1687915964546"/>
    <n v="0"/>
    <n v="0"/>
    <n v="-404.96187000000009"/>
    <n v="161.34207000000015"/>
    <n v="0"/>
    <n v="0"/>
    <n v="-437.25578481208208"/>
    <n v="0"/>
    <n v="0"/>
    <n v="0"/>
    <n v="0"/>
    <n v="0"/>
    <n v="0"/>
    <n v="0"/>
    <n v="0"/>
    <n v="0"/>
    <n v="0"/>
    <n v="0"/>
    <n v="0"/>
    <n v="117.457192310054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4"/>
    <s v="Sistema de Compensação"/>
    <s v="Convencional"/>
    <s v="B3"/>
    <s v="Consumo próprio"/>
    <s v="Não se aplica"/>
    <s v="Não se aplica"/>
    <s v="Não se aplica"/>
    <s v="Não se aplica"/>
    <s v="CATIVO"/>
    <x v="2"/>
    <n v="0"/>
    <n v="0"/>
    <n v="1.119"/>
    <n v="1.119"/>
    <n v="1.119"/>
    <n v="1.119"/>
    <m/>
    <n v="368.24"/>
    <n v="173.25"/>
    <m/>
    <n v="605.92731000000003"/>
    <n v="605.92731000000003"/>
    <n v="569.44791000000009"/>
    <n v="0"/>
    <n v="68.869060000095473"/>
    <n v="0"/>
    <n v="0"/>
    <n v="2.8641223113016374"/>
    <n v="2.7517792959812004"/>
    <n v="263.56602138317044"/>
    <n v="190.61098658496525"/>
    <n v="3.2531943206756591"/>
    <n v="0"/>
    <n v="0"/>
    <n v="0"/>
    <n v="0"/>
    <n v="10.640604880327134"/>
    <m/>
    <n v="1.3515916633718836"/>
    <n v="6.0799696179273823"/>
    <n v="28.350001368937338"/>
    <n v="0"/>
    <n v="0"/>
    <n v="0"/>
    <n v="0"/>
    <n v="0"/>
    <n v="0"/>
    <n v="0"/>
    <n v="0"/>
    <n v="0"/>
    <n v="0"/>
    <m/>
    <n v="0"/>
    <n v="0"/>
    <n v="0"/>
    <n v="0"/>
    <n v="0"/>
    <n v="10.003627052215261"/>
    <n v="0"/>
    <n v="0.5"/>
    <n v="4.3600000000000003"/>
    <n v="443.48"/>
    <n v="1"/>
    <m/>
    <m/>
    <m/>
    <m/>
    <m/>
    <m/>
    <m/>
    <m/>
    <m/>
    <n v="200.6146136371805"/>
    <m/>
    <m/>
    <m/>
    <m/>
    <m/>
    <m/>
    <m/>
    <m/>
    <m/>
    <m/>
    <m/>
    <m/>
    <n v="569.95680000000004"/>
    <n v="-36.000509999999963"/>
    <m/>
    <m/>
    <m/>
    <m/>
    <n v="-60.63861"/>
    <n v="24.159210000000005"/>
    <n v="30"/>
    <n v="28.990148831489705"/>
    <n v="0.60585597684024162"/>
    <n v="2.8250170399132912"/>
    <n v="0"/>
    <n v="0"/>
    <n v="0"/>
    <n v="0"/>
    <n v="0"/>
    <n v="2.8334209084386153"/>
    <n v="0"/>
    <n v="0"/>
    <n v="24.156482285482724"/>
    <n v="0"/>
    <n v="0"/>
    <n v="0"/>
    <n v="1.2677781276248918"/>
    <n v="0"/>
    <n v="-2.3385753478047064"/>
    <m/>
    <n v="0"/>
    <n v="0"/>
    <n v="0"/>
    <n v="0"/>
    <n v="-0.32159169824428524"/>
    <n v="-3.8238460761065962E-2"/>
    <n v="0"/>
    <n v="0"/>
    <m/>
    <m/>
    <m/>
    <n v="263.56602138317044"/>
    <n v="0"/>
    <n v="0"/>
    <n v="-60.638609999999971"/>
    <n v="24.159210000000002"/>
    <n v="0"/>
    <n v="0"/>
    <n v="-65.474270467646164"/>
    <n v="0"/>
    <n v="0"/>
    <n v="0"/>
    <n v="0"/>
    <n v="0"/>
    <n v="0"/>
    <n v="0"/>
    <n v="0"/>
    <n v="0"/>
    <n v="0"/>
    <n v="0"/>
    <n v="0"/>
    <n v="17.5879296393618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5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9"/>
    <n v="1.93"/>
    <n v="32.9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196"/>
    <s v="Regular"/>
    <s v="Convencional"/>
    <s v="B2"/>
    <s v="Rural"/>
    <s v="Agropecuária rural"/>
    <s v="IRRIG./AQUIC."/>
    <s v="Não se aplica"/>
    <s v="Não se aplica"/>
    <s v="CATIVO"/>
    <x v="2"/>
    <n v="0"/>
    <n v="0"/>
    <n v="0.45900000000000002"/>
    <n v="0.45900000000000002"/>
    <n v="0.45900000000000002"/>
    <n v="0.45900000000000002"/>
    <m/>
    <n v="368.24"/>
    <n v="173.25"/>
    <m/>
    <n v="248.54391000000001"/>
    <n v="248.54391000000001"/>
    <n v="233.58051"/>
    <n v="0"/>
    <n v="28.249239088511015"/>
    <n v="0"/>
    <n v="0"/>
    <n v="1.1748276504802964"/>
    <n v="1.1287459310593129"/>
    <n v="108.11153155931657"/>
    <n v="78.186275998658672"/>
    <n v="1.3344201905184339"/>
    <n v="0"/>
    <n v="0"/>
    <n v="0"/>
    <n v="0"/>
    <n v="4.3646448972923633"/>
    <m/>
    <n v="0.5544062318924885"/>
    <n v="2.4939285564152534"/>
    <n v="11.628820936856336"/>
    <n v="0"/>
    <n v="0"/>
    <n v="0"/>
    <n v="0"/>
    <n v="0"/>
    <n v="0"/>
    <n v="0"/>
    <n v="0"/>
    <n v="0"/>
    <n v="0"/>
    <m/>
    <n v="0"/>
    <n v="0"/>
    <n v="0"/>
    <n v="0"/>
    <n v="0"/>
    <n v="4.103364447691515"/>
    <n v="0"/>
    <n v="0"/>
    <n v="0"/>
    <n v="0"/>
    <n v="0"/>
    <m/>
    <m/>
    <m/>
    <m/>
    <m/>
    <n v="28.026540000000004"/>
    <m/>
    <m/>
    <m/>
    <n v="82.289640446350191"/>
    <m/>
    <m/>
    <m/>
    <m/>
    <m/>
    <m/>
    <m/>
    <m/>
    <m/>
    <m/>
    <m/>
    <m/>
    <n v="206.0018"/>
    <n v="-12.746289999999988"/>
    <m/>
    <m/>
    <m/>
    <m/>
    <n v="-24.87321"/>
    <n v="9.909810000000002"/>
    <n v="30"/>
    <n v="11.891401531415312"/>
    <n v="0.248514650017579"/>
    <n v="1.1587871504201956"/>
    <n v="0"/>
    <n v="0"/>
    <n v="0"/>
    <n v="0"/>
    <n v="0"/>
    <n v="1.1622343136490836"/>
    <n v="0"/>
    <n v="0"/>
    <n v="9.9086911251443865"/>
    <n v="0"/>
    <n v="0"/>
    <n v="0"/>
    <n v="0.52002695315444658"/>
    <n v="0"/>
    <n v="-0.95925476733008352"/>
    <m/>
    <n v="0"/>
    <n v="0"/>
    <n v="0"/>
    <n v="0"/>
    <n v="-0.13191294860958624"/>
    <n v="-1.5684945030678521E-2"/>
    <n v="0"/>
    <n v="0"/>
    <m/>
    <m/>
    <m/>
    <n v="108.11153155931657"/>
    <n v="0"/>
    <n v="0"/>
    <n v="-24.87321"/>
    <n v="9.9098100000000073"/>
    <n v="0"/>
    <n v="0"/>
    <n v="-26.856738288337439"/>
    <n v="0"/>
    <n v="0"/>
    <n v="0"/>
    <n v="0"/>
    <n v="0"/>
    <n v="0"/>
    <n v="0"/>
    <n v="0"/>
    <n v="0"/>
    <n v="0"/>
    <n v="0"/>
    <n v="0"/>
    <n v="7.2143518359848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7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0.27500000000000002"/>
    <n v="0.11"/>
    <n v="0.27500000000000002"/>
    <n v="0.11"/>
    <m/>
    <n v="368.24"/>
    <n v="173.25"/>
    <m/>
    <n v="148.90975"/>
    <n v="148.90975"/>
    <n v="139.94475"/>
    <n v="0"/>
    <n v="16.92492537982686"/>
    <n v="0"/>
    <n v="0"/>
    <n v="0.70387277534222559"/>
    <n v="0.67626390205078657"/>
    <n v="64.772704093272452"/>
    <n v="46.843629410961078"/>
    <n v="0.79948922089884389"/>
    <n v="0"/>
    <n v="0"/>
    <n v="0"/>
    <n v="0"/>
    <n v="2.6149833262644879"/>
    <m/>
    <n v="0.33216059644974799"/>
    <n v="1.4941837756300538"/>
    <n v="6.9671585133670852"/>
    <n v="0"/>
    <n v="0"/>
    <n v="0"/>
    <n v="0"/>
    <n v="0"/>
    <n v="0"/>
    <n v="0"/>
    <n v="0"/>
    <n v="0"/>
    <n v="0"/>
    <m/>
    <n v="0"/>
    <n v="0"/>
    <n v="0"/>
    <n v="0"/>
    <n v="0"/>
    <n v="2.458442751884895"/>
    <n v="0"/>
    <n v="0"/>
    <n v="0"/>
    <n v="0"/>
    <n v="0"/>
    <m/>
    <m/>
    <m/>
    <m/>
    <m/>
    <m/>
    <n v="90.683450000000008"/>
    <m/>
    <m/>
    <n v="49.302072162845974"/>
    <m/>
    <m/>
    <m/>
    <m/>
    <m/>
    <m/>
    <m/>
    <m/>
    <m/>
    <m/>
    <m/>
    <m/>
    <n v="49.261300000000006"/>
    <n v="-3.1847999999999885"/>
    <m/>
    <m/>
    <m/>
    <m/>
    <n v="-14.90225"/>
    <n v="5.9372500000000015"/>
    <n v="30"/>
    <n v="7.1244780416976425"/>
    <n v="0.14889221950944287"/>
    <n v="0.69426245395545561"/>
    <n v="0"/>
    <n v="0"/>
    <n v="0"/>
    <n v="0"/>
    <n v="0"/>
    <n v="0.69632774782897155"/>
    <n v="0"/>
    <n v="0"/>
    <n v="5.9365796501409704"/>
    <n v="0"/>
    <n v="0"/>
    <n v="0"/>
    <n v="0.31156298936268545"/>
    <n v="0"/>
    <n v="-0.57471690853109436"/>
    <m/>
    <n v="0"/>
    <n v="0"/>
    <n v="0"/>
    <n v="0"/>
    <n v="-7.903281234779147E-2"/>
    <n v="-9.3972982209947209E-3"/>
    <n v="0"/>
    <n v="0"/>
    <m/>
    <m/>
    <m/>
    <n v="64.772704093272452"/>
    <n v="0"/>
    <n v="0"/>
    <n v="-14.902249999999995"/>
    <n v="5.9372499999999988"/>
    <n v="0"/>
    <n v="0"/>
    <n v="-16.090638408045301"/>
    <n v="0"/>
    <n v="0"/>
    <n v="0"/>
    <n v="0"/>
    <n v="0"/>
    <n v="0"/>
    <n v="0"/>
    <n v="0"/>
    <n v="0"/>
    <n v="0"/>
    <n v="0"/>
    <n v="0"/>
    <n v="4.322324084740392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8"/>
    <s v="Regular"/>
    <s v="Convencional"/>
    <s v="B1"/>
    <s v="Residencial"/>
    <s v="Residencial"/>
    <s v="Não se aplica"/>
    <s v="Não se aplica"/>
    <s v="Não se aplica"/>
    <s v="CATIVO"/>
    <x v="3"/>
    <n v="0"/>
    <n v="0"/>
    <n v="8388.2980000000007"/>
    <n v="8388.2980000000007"/>
    <n v="8388.2980000000007"/>
    <n v="8388.2980000000007"/>
    <m/>
    <n v="368.24"/>
    <n v="173.25"/>
    <m/>
    <n v="4542179.4840200003"/>
    <n v="4542179.4840200003"/>
    <n v="4268720.9692200003"/>
    <n v="0"/>
    <n v="516259.33714091236"/>
    <n v="0"/>
    <n v="0"/>
    <n v="21470.162158755054"/>
    <n v="20628.011407435672"/>
    <n v="1975755.4334552335"/>
    <n v="1428866.62872984"/>
    <n v="24386.74120977211"/>
    <n v="0"/>
    <n v="0"/>
    <n v="0"/>
    <n v="0"/>
    <n v="79764.579657228183"/>
    <m/>
    <n v="10131.862061375376"/>
    <n v="45576.941006363741"/>
    <n v="212518.55208494581"/>
    <n v="0"/>
    <n v="0"/>
    <n v="0"/>
    <n v="0"/>
    <n v="0"/>
    <n v="0"/>
    <n v="0"/>
    <n v="0"/>
    <n v="0"/>
    <n v="0"/>
    <m/>
    <n v="0"/>
    <n v="0"/>
    <n v="0"/>
    <n v="0"/>
    <n v="0"/>
    <n v="74989.637886365672"/>
    <n v="0"/>
    <n v="155.08000000000001"/>
    <n v="32933.480000000003"/>
    <n v="2320595.75"/>
    <n v="46511"/>
    <m/>
    <m/>
    <m/>
    <m/>
    <m/>
    <m/>
    <m/>
    <m/>
    <m/>
    <n v="1503856.2666162057"/>
    <m/>
    <m/>
    <m/>
    <m/>
    <m/>
    <m/>
    <m/>
    <m/>
    <m/>
    <m/>
    <m/>
    <m/>
    <n v="4268721.9869999997"/>
    <n v="-273457.52701999992"/>
    <m/>
    <m/>
    <m/>
    <m/>
    <n v="-454561.86862000002"/>
    <n v="181103.35382000005"/>
    <n v="31"/>
    <n v="217317.25421169586"/>
    <n v="4541.6447531877129"/>
    <n v="21177.019469053223"/>
    <n v="0"/>
    <n v="0"/>
    <n v="0"/>
    <n v="0"/>
    <n v="0"/>
    <n v="21240.016925302789"/>
    <n v="0"/>
    <n v="0"/>
    <n v="181082.90620406624"/>
    <n v="0"/>
    <n v="0"/>
    <n v="0"/>
    <n v="9503.5752747092192"/>
    <n v="0"/>
    <n v="-17530.533434172976"/>
    <m/>
    <n v="0"/>
    <n v="0"/>
    <n v="0"/>
    <n v="0"/>
    <n v="-2410.7301154594606"/>
    <n v="-286.64486499117811"/>
    <n v="0"/>
    <n v="0"/>
    <m/>
    <m/>
    <m/>
    <n v="1975755.4334552335"/>
    <n v="0"/>
    <n v="0"/>
    <n v="-454561.86861999985"/>
    <n v="181103.35382000008"/>
    <n v="0"/>
    <n v="0"/>
    <n v="-490811.16355247144"/>
    <n v="0"/>
    <n v="0"/>
    <n v="0"/>
    <n v="0"/>
    <n v="0"/>
    <n v="0"/>
    <n v="0"/>
    <n v="0"/>
    <n v="0"/>
    <n v="0"/>
    <n v="0"/>
    <n v="0"/>
    <n v="131843.427183198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19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0.82"/>
    <n v="-0.82"/>
    <n v="-0.82"/>
    <n v="-0.82"/>
    <m/>
    <n v="368.24"/>
    <n v="173.25"/>
    <m/>
    <n v="-444.02179999999998"/>
    <n v="-444.02179999999998"/>
    <n v="-417.28980000000001"/>
    <n v="0"/>
    <n v="-50.467050223483724"/>
    <n v="0"/>
    <n v="0"/>
    <n v="-2.0988206392022724"/>
    <n v="-2.0164959988423452"/>
    <n v="-193.14042675084875"/>
    <n v="-139.67918587995666"/>
    <n v="-2.3839314950438251"/>
    <n v="0"/>
    <n v="0"/>
    <n v="0"/>
    <n v="0"/>
    <n v="-7.7974048274068357"/>
    <m/>
    <n v="-0.99044250577743032"/>
    <n v="-4.4553843491514327"/>
    <n v="-20.774799930767308"/>
    <n v="0"/>
    <n v="0"/>
    <n v="0"/>
    <n v="0"/>
    <n v="0"/>
    <n v="0"/>
    <n v="0"/>
    <n v="0"/>
    <n v="0"/>
    <n v="0"/>
    <m/>
    <n v="0"/>
    <n v="0"/>
    <n v="0"/>
    <n v="0"/>
    <n v="0"/>
    <n v="-7.3306292965295032"/>
    <n v="0"/>
    <n v="-0.18"/>
    <n v="-3.24"/>
    <n v="-204.17"/>
    <n v="0"/>
    <m/>
    <m/>
    <m/>
    <m/>
    <m/>
    <m/>
    <m/>
    <m/>
    <m/>
    <n v="-147.00981517648617"/>
    <m/>
    <m/>
    <m/>
    <m/>
    <m/>
    <m/>
    <m/>
    <m/>
    <m/>
    <m/>
    <m/>
    <m/>
    <n v="-417.28980000000001"/>
    <n v="26.701999999999998"/>
    <m/>
    <m/>
    <m/>
    <m/>
    <n v="44.435799999999993"/>
    <n v="-17.703800000000001"/>
    <n v="31"/>
    <n v="-21.243898160698365"/>
    <n v="-0.4439695272645201"/>
    <n v="-2.0701644081580852"/>
    <n v="0"/>
    <n v="0"/>
    <n v="0"/>
    <n v="0"/>
    <n v="0"/>
    <n v="-2.0763227389809331"/>
    <n v="0"/>
    <n v="0"/>
    <n v="-17.70180113860215"/>
    <n v="0"/>
    <n v="0"/>
    <n v="0"/>
    <n v="-0.92902418646328044"/>
    <n v="0"/>
    <n v="1.7137013272563593"/>
    <m/>
    <n v="0"/>
    <n v="0"/>
    <n v="0"/>
    <n v="0"/>
    <n v="0.23566147681886918"/>
    <n v="2.8021034695329794E-2"/>
    <n v="0"/>
    <n v="0"/>
    <m/>
    <m/>
    <m/>
    <n v="-193.14042675084875"/>
    <n v="0"/>
    <n v="0"/>
    <n v="44.435799999999972"/>
    <n v="-17.703800000000001"/>
    <n v="0"/>
    <n v="0"/>
    <n v="47.979358162171451"/>
    <n v="0"/>
    <n v="0"/>
    <n v="0"/>
    <n v="0"/>
    <n v="0"/>
    <n v="0"/>
    <n v="0"/>
    <n v="0"/>
    <n v="0"/>
    <n v="0"/>
    <n v="0"/>
    <n v="0"/>
    <n v="-12.88838454358953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99.709000000000003"/>
    <n v="99.709000000000003"/>
    <n v="99.709000000000003"/>
    <n v="99.709000000000003"/>
    <m/>
    <n v="368.24"/>
    <n v="173.25"/>
    <m/>
    <n v="53991.42641"/>
    <n v="53991.42641"/>
    <n v="50740.913010000004"/>
    <n v="0"/>
    <n v="6136.6086716260234"/>
    <n v="0"/>
    <n v="0"/>
    <n v="255.2089111149017"/>
    <n v="245.19853603484319"/>
    <n v="23485.16928158583"/>
    <n v="16984.477981590975"/>
    <n v="289.87734809673753"/>
    <n v="0"/>
    <n v="0"/>
    <n v="0"/>
    <n v="0"/>
    <n v="948.13589992183927"/>
    <m/>
    <n v="120.43418513239244"/>
    <n v="541.75843667017102"/>
    <n v="2526.1396662157044"/>
    <n v="0"/>
    <n v="0"/>
    <n v="0"/>
    <n v="0"/>
    <n v="0"/>
    <n v="0"/>
    <n v="0"/>
    <n v="0"/>
    <n v="0"/>
    <n v="0"/>
    <m/>
    <n v="0"/>
    <n v="0"/>
    <n v="0"/>
    <n v="0"/>
    <n v="0"/>
    <n v="891.37770308251265"/>
    <n v="0"/>
    <n v="1.57"/>
    <n v="387.41"/>
    <n v="59420.37"/>
    <n v="957"/>
    <m/>
    <m/>
    <m/>
    <m/>
    <m/>
    <m/>
    <m/>
    <m/>
    <m/>
    <n v="17875.855684673486"/>
    <m/>
    <m/>
    <m/>
    <m/>
    <m/>
    <m/>
    <m/>
    <m/>
    <m/>
    <m/>
    <m/>
    <m/>
    <n v="50741.421900000001"/>
    <n v="-3250.034510000005"/>
    <m/>
    <m/>
    <m/>
    <m/>
    <n v="-5403.2307099999998"/>
    <n v="2152.7173100000005"/>
    <n v="31"/>
    <n v="2583.1802947623037"/>
    <n v="53.985070236607385"/>
    <n v="251.72441825979831"/>
    <n v="0"/>
    <n v="0"/>
    <n v="0"/>
    <n v="0"/>
    <n v="0"/>
    <n v="252.47324875737792"/>
    <n v="0"/>
    <n v="0"/>
    <n v="2152.4742557669306"/>
    <n v="0"/>
    <n v="0"/>
    <n v="0"/>
    <n v="112.96594220496002"/>
    <n v="0"/>
    <n v="-208.37981175537061"/>
    <m/>
    <n v="0"/>
    <n v="0"/>
    <n v="0"/>
    <n v="0"/>
    <n v="-28.655573405039718"/>
    <n v="-3.4072553029715067"/>
    <n v="0"/>
    <n v="0"/>
    <m/>
    <m/>
    <m/>
    <n v="23485.16928158583"/>
    <n v="0"/>
    <n v="0"/>
    <n v="-5403.2307099999998"/>
    <n v="2152.71731"/>
    <n v="0"/>
    <n v="0"/>
    <n v="-5834.1144182828721"/>
    <n v="0"/>
    <n v="0"/>
    <n v="0"/>
    <n v="0"/>
    <n v="0"/>
    <n v="0"/>
    <n v="0"/>
    <n v="0"/>
    <n v="0"/>
    <n v="0"/>
    <n v="0"/>
    <n v="0"/>
    <n v="1567.180407874108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1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02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3.12"/>
    <n v="23.12"/>
    <n v="23.12"/>
    <n v="23.12"/>
    <m/>
    <n v="281.47000000000003"/>
    <n v="173.25"/>
    <m/>
    <n v="10513.126400000001"/>
    <n v="10513.126400000001"/>
    <n v="9814.44"/>
    <n v="0"/>
    <n v="0"/>
    <n v="0"/>
    <n v="0"/>
    <n v="59.176503876044563"/>
    <n v="56.855350601506132"/>
    <n v="5445.6178859507609"/>
    <n v="3938.2716799324367"/>
    <n v="67.215239226113709"/>
    <n v="0"/>
    <n v="0"/>
    <n v="0"/>
    <n v="0"/>
    <n v="0"/>
    <m/>
    <n v="27.925647236066087"/>
    <n v="125.62010506387942"/>
    <n v="585.74801756017098"/>
    <n v="0"/>
    <n v="0"/>
    <n v="0"/>
    <n v="0"/>
    <n v="0"/>
    <n v="0"/>
    <n v="0"/>
    <n v="0"/>
    <n v="0"/>
    <n v="0"/>
    <m/>
    <n v="0"/>
    <n v="0"/>
    <n v="0"/>
    <n v="0"/>
    <n v="0"/>
    <n v="206.68798699483187"/>
    <n v="0"/>
    <n v="0"/>
    <n v="15.63"/>
    <n v="1421.22"/>
    <n v="28"/>
    <m/>
    <m/>
    <m/>
    <m/>
    <m/>
    <m/>
    <m/>
    <n v="6379.5016000000005"/>
    <m/>
    <n v="4144.9596669272687"/>
    <m/>
    <m/>
    <m/>
    <m/>
    <m/>
    <m/>
    <m/>
    <m/>
    <m/>
    <m/>
    <m/>
    <m/>
    <n v="3434.9384"/>
    <n v="-244.8708000000006"/>
    <m/>
    <m/>
    <m/>
    <m/>
    <n v="-1197.8472000000008"/>
    <n v="499.16080000000011"/>
    <n v="31"/>
    <n v="653.93682134825303"/>
    <n v="12.517774963848424"/>
    <n v="58.36853794709134"/>
    <n v="0"/>
    <n v="0"/>
    <n v="0"/>
    <n v="0"/>
    <n v="0"/>
    <n v="58.542172835657539"/>
    <n v="0"/>
    <n v="0"/>
    <n v="499.10444185912502"/>
    <n v="0"/>
    <n v="0"/>
    <n v="0"/>
    <n v="26.193950232964681"/>
    <n v="0"/>
    <n v="0"/>
    <m/>
    <n v="0"/>
    <n v="0"/>
    <n v="0"/>
    <n v="0"/>
    <n v="0"/>
    <n v="-0.79005649043417847"/>
    <n v="0"/>
    <n v="0"/>
    <m/>
    <m/>
    <m/>
    <n v="5445.6178859507609"/>
    <n v="0"/>
    <n v="0"/>
    <n v="-1197.8472000000011"/>
    <n v="499.16080000000056"/>
    <n v="0"/>
    <n v="0"/>
    <n v="-1352.7838545236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3"/>
    <s v="Sistema de Compensação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.03"/>
    <n v="1.0500000000000001E-2"/>
    <n v="0.03"/>
    <n v="1.0500000000000001E-2"/>
    <m/>
    <n v="281.47000000000003"/>
    <n v="173.25"/>
    <m/>
    <n v="13.6416"/>
    <n v="13.6416"/>
    <n v="12.734999999999999"/>
    <n v="0"/>
    <n v="0"/>
    <n v="0"/>
    <n v="0"/>
    <n v="7.6786120946424591E-2"/>
    <n v="7.3774243860085797E-2"/>
    <n v="7.0661131738115399"/>
    <n v="5.1102141175593898"/>
    <n v="8.7217005916237503E-2"/>
    <n v="0"/>
    <n v="0"/>
    <n v="0"/>
    <n v="0"/>
    <n v="0"/>
    <m/>
    <n v="3.6235701430881596E-2"/>
    <n v="0.1630018664323695"/>
    <n v="0.76005365600368202"/>
    <n v="0"/>
    <n v="0"/>
    <n v="0"/>
    <n v="0"/>
    <n v="0"/>
    <n v="0"/>
    <n v="0"/>
    <n v="0"/>
    <n v="0"/>
    <n v="0"/>
    <m/>
    <n v="0"/>
    <n v="0"/>
    <n v="0"/>
    <n v="0"/>
    <n v="0"/>
    <n v="0.26819375475107943"/>
    <n v="0"/>
    <n v="0"/>
    <n v="0.02"/>
    <n v="1.91"/>
    <n v="0"/>
    <m/>
    <m/>
    <m/>
    <m/>
    <m/>
    <m/>
    <m/>
    <n v="11.175014999999998"/>
    <m/>
    <n v="5.3784078723104694"/>
    <m/>
    <m/>
    <m/>
    <m/>
    <m/>
    <m/>
    <m/>
    <m/>
    <m/>
    <m/>
    <m/>
    <m/>
    <n v="1.4857"/>
    <n v="-0.21548000000000012"/>
    <m/>
    <m/>
    <m/>
    <m/>
    <n v="-1.5543000000000009"/>
    <n v="0.64770000000000005"/>
    <n v="31"/>
    <n v="0.84853393773562047"/>
    <n v="1.6242787582848306E-2"/>
    <n v="7.5737722249686001E-2"/>
    <n v="0"/>
    <n v="0"/>
    <n v="0"/>
    <n v="0"/>
    <n v="0"/>
    <n v="7.5963027035887809E-2"/>
    <n v="0"/>
    <n v="0"/>
    <n v="0.64762687092447013"/>
    <n v="0"/>
    <n v="0"/>
    <n v="0"/>
    <n v="3.3988689748656598E-2"/>
    <n v="0"/>
    <n v="0"/>
    <m/>
    <n v="0"/>
    <n v="0"/>
    <n v="0"/>
    <n v="0"/>
    <n v="0"/>
    <n v="-1.0251598059266981E-3"/>
    <n v="0"/>
    <n v="0"/>
    <m/>
    <m/>
    <m/>
    <n v="7.0661131738115399"/>
    <n v="0"/>
    <n v="0"/>
    <n v="-1.5543000000000013"/>
    <n v="0.64770000000000039"/>
    <n v="0"/>
    <n v="0"/>
    <n v="-1.7553423717867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4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9.219000000000001"/>
    <n v="49.219000000000001"/>
    <n v="49.219000000000001"/>
    <n v="49.219000000000001"/>
    <m/>
    <n v="281.47000000000003"/>
    <n v="173.25"/>
    <m/>
    <n v="22380.863680000002"/>
    <n v="22380.863680000002"/>
    <n v="20893.465499999998"/>
    <n v="0"/>
    <n v="0"/>
    <n v="0"/>
    <n v="0"/>
    <n v="125.97786956206907"/>
    <n v="121.03648361831878"/>
    <n v="11592.900810061006"/>
    <n v="8383.9876217385208"/>
    <n v="143.09112713970981"/>
    <n v="0"/>
    <n v="0"/>
    <n v="0"/>
    <n v="0"/>
    <n v="0"/>
    <m/>
    <n v="59.44949962421871"/>
    <n v="267.42629546449314"/>
    <n v="1246.9693631615075"/>
    <n v="0"/>
    <n v="0"/>
    <n v="0"/>
    <n v="0"/>
    <n v="0"/>
    <n v="0"/>
    <n v="0"/>
    <n v="0"/>
    <n v="0"/>
    <n v="0"/>
    <m/>
    <n v="0"/>
    <n v="0"/>
    <n v="0"/>
    <n v="0"/>
    <n v="0"/>
    <n v="440.00761383644596"/>
    <n v="0"/>
    <n v="0"/>
    <n v="79.97"/>
    <n v="5561.68"/>
    <n v="117"/>
    <m/>
    <m/>
    <m/>
    <m/>
    <m/>
    <m/>
    <m/>
    <n v="8357.8783899999999"/>
    <m/>
    <n v="8823.9952355749665"/>
    <m/>
    <m/>
    <m/>
    <m/>
    <m/>
    <m/>
    <m/>
    <m/>
    <m/>
    <m/>
    <m/>
    <m/>
    <n v="12535.841799999998"/>
    <n v="-892.60797000000275"/>
    <m/>
    <m/>
    <m/>
    <m/>
    <n v="-2550.0363900000016"/>
    <n v="1062.6382100000003"/>
    <n v="31"/>
    <n v="1392.133062713654"/>
    <n v="26.648458734673682"/>
    <n v="124.25783171357648"/>
    <n v="0"/>
    <n v="0"/>
    <n v="0"/>
    <n v="0"/>
    <n v="0"/>
    <n v="124.62747425597871"/>
    <n v="0"/>
    <n v="0"/>
    <n v="1062.5182320010499"/>
    <n v="0"/>
    <n v="0"/>
    <n v="0"/>
    <n v="55.762977357970954"/>
    <n v="0"/>
    <n v="0"/>
    <m/>
    <n v="0"/>
    <n v="0"/>
    <n v="0"/>
    <n v="0"/>
    <n v="0"/>
    <n v="-1.6819113495968736"/>
    <n v="0"/>
    <n v="0"/>
    <m/>
    <m/>
    <m/>
    <n v="11592.900810061006"/>
    <n v="0"/>
    <n v="0"/>
    <n v="-2550.0363900000029"/>
    <n v="1062.638210000001"/>
    <n v="0"/>
    <n v="0"/>
    <n v="-2879.8732065657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5"/>
    <s v="Sistema de Compensação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7.0000000000000007E-2"/>
    <n v="4.2000000000000003E-2"/>
    <n v="7.0000000000000007E-2"/>
    <n v="4.2000000000000003E-2"/>
    <m/>
    <n v="281.47000000000003"/>
    <n v="173.25"/>
    <m/>
    <n v="31.830400000000004"/>
    <n v="31.830400000000004"/>
    <n v="29.715000000000003"/>
    <n v="0"/>
    <n v="0"/>
    <n v="0"/>
    <n v="0"/>
    <n v="0.17916761554165742"/>
    <n v="0.17213990234020024"/>
    <n v="16.487597405560262"/>
    <n v="11.923832940971911"/>
    <n v="0.20350634713788754"/>
    <n v="0"/>
    <n v="0"/>
    <n v="0"/>
    <n v="0"/>
    <n v="0"/>
    <m/>
    <n v="8.4549970005390399E-2"/>
    <n v="0.3803376883421955"/>
    <n v="1.7734585306752582"/>
    <n v="0"/>
    <n v="0"/>
    <n v="0"/>
    <n v="0"/>
    <n v="0"/>
    <n v="0"/>
    <n v="0"/>
    <n v="0"/>
    <n v="0"/>
    <n v="0"/>
    <m/>
    <n v="0"/>
    <n v="0"/>
    <n v="0"/>
    <n v="0"/>
    <n v="0"/>
    <n v="0.62578542775251866"/>
    <n v="0"/>
    <n v="0"/>
    <n v="0.11"/>
    <n v="7.68"/>
    <n v="0"/>
    <m/>
    <m/>
    <m/>
    <m/>
    <m/>
    <m/>
    <m/>
    <n v="19.01802"/>
    <m/>
    <n v="12.549618368724429"/>
    <m/>
    <m/>
    <m/>
    <m/>
    <m/>
    <m/>
    <m/>
    <m/>
    <m/>
    <m/>
    <m/>
    <m/>
    <n v="10.1876"/>
    <n v="-1.301260000000001"/>
    <m/>
    <m/>
    <m/>
    <m/>
    <n v="-3.6267000000000027"/>
    <n v="1.5113000000000003"/>
    <n v="31"/>
    <n v="1.9799125213831203"/>
    <n v="3.7899837693312732E-2"/>
    <n v="0.17672135191593408"/>
    <n v="0"/>
    <n v="0"/>
    <n v="0"/>
    <n v="0"/>
    <n v="0"/>
    <n v="0.17724706308373819"/>
    <n v="0"/>
    <n v="0"/>
    <n v="1.5111293654904294"/>
    <n v="0"/>
    <n v="0"/>
    <n v="0"/>
    <n v="7.930694274686545E-2"/>
    <n v="0"/>
    <n v="0"/>
    <m/>
    <n v="0"/>
    <n v="0"/>
    <n v="0"/>
    <n v="0"/>
    <n v="0"/>
    <n v="-2.3920395471623002E-3"/>
    <n v="0"/>
    <n v="0"/>
    <m/>
    <m/>
    <m/>
    <n v="16.487597405560262"/>
    <n v="0"/>
    <n v="0"/>
    <n v="-3.6267000000000031"/>
    <n v="1.5113000000000003"/>
    <n v="0"/>
    <n v="0"/>
    <n v="-4.095798867502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6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48.664000000000001"/>
    <n v="48.664000000000001"/>
    <n v="48.664000000000001"/>
    <n v="48.664000000000001"/>
    <m/>
    <n v="281.47000000000003"/>
    <n v="173.25"/>
    <m/>
    <n v="22128.494080000004"/>
    <n v="22128.494080000004"/>
    <n v="20657.868000000002"/>
    <n v="0"/>
    <n v="0"/>
    <n v="0"/>
    <n v="0"/>
    <n v="124.55732632456022"/>
    <n v="119.6716601069072"/>
    <n v="11462.177716345494"/>
    <n v="8289.4486605636721"/>
    <n v="141.47761253025939"/>
    <n v="0"/>
    <n v="0"/>
    <n v="0"/>
    <n v="0"/>
    <n v="0"/>
    <m/>
    <n v="58.779139147747401"/>
    <n v="264.4107609354943"/>
    <n v="1232.9083705254395"/>
    <n v="0"/>
    <n v="0"/>
    <n v="0"/>
    <n v="0"/>
    <n v="0"/>
    <n v="0"/>
    <n v="0"/>
    <n v="0"/>
    <n v="0"/>
    <n v="0"/>
    <m/>
    <n v="0"/>
    <n v="0"/>
    <n v="0"/>
    <n v="0"/>
    <n v="0"/>
    <n v="435.04602937355099"/>
    <n v="0"/>
    <n v="0"/>
    <n v="138.43"/>
    <n v="9745.64"/>
    <n v="412"/>
    <m/>
    <m/>
    <m/>
    <m/>
    <m/>
    <m/>
    <m/>
    <n v="2066.2734400000004"/>
    <m/>
    <n v="8724.4946899372226"/>
    <m/>
    <m/>
    <m/>
    <m/>
    <m/>
    <m/>
    <m/>
    <m/>
    <m/>
    <m/>
    <m/>
    <m/>
    <n v="18590.066399999996"/>
    <n v="-1325.218960000002"/>
    <m/>
    <m/>
    <m/>
    <m/>
    <n v="-2521.2818400000015"/>
    <n v="1050.6557600000001"/>
    <n v="31"/>
    <n v="1376.4351848655424"/>
    <n v="26.347967164391036"/>
    <n v="122.85668385195731"/>
    <n v="0"/>
    <n v="0"/>
    <n v="0"/>
    <n v="0"/>
    <n v="0"/>
    <n v="123.22215825581479"/>
    <n v="0"/>
    <n v="0"/>
    <n v="1050.5371348889475"/>
    <n v="0"/>
    <n v="0"/>
    <n v="0"/>
    <n v="55.134186597620783"/>
    <n v="0"/>
    <n v="0"/>
    <m/>
    <n v="0"/>
    <n v="0"/>
    <n v="0"/>
    <n v="0"/>
    <n v="0"/>
    <n v="-1.6629458931872279"/>
    <n v="0"/>
    <n v="0"/>
    <m/>
    <m/>
    <m/>
    <n v="11462.177716345494"/>
    <n v="0"/>
    <n v="0"/>
    <n v="-2521.2818400000015"/>
    <n v="1050.6557599999996"/>
    <n v="0"/>
    <n v="0"/>
    <n v="-2847.3993726876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7"/>
    <s v="Sistema de Compensação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0.12"/>
    <n v="0.108"/>
    <n v="0.12"/>
    <n v="0.108"/>
    <m/>
    <n v="281.47000000000003"/>
    <n v="173.25"/>
    <m/>
    <n v="54.566400000000002"/>
    <n v="54.566400000000002"/>
    <n v="50.94"/>
    <n v="0"/>
    <n v="0"/>
    <n v="0"/>
    <n v="0"/>
    <n v="0.30714448378569836"/>
    <n v="0.29509697544034319"/>
    <n v="28.26445269524616"/>
    <n v="20.440856470237559"/>
    <n v="0.34886802366495001"/>
    <n v="0"/>
    <n v="0"/>
    <n v="0"/>
    <n v="0"/>
    <n v="0"/>
    <m/>
    <n v="0.14494280572352639"/>
    <n v="0.65200746572947799"/>
    <n v="3.0402146240147281"/>
    <n v="0"/>
    <n v="0"/>
    <n v="0"/>
    <n v="0"/>
    <n v="0"/>
    <n v="0"/>
    <n v="0"/>
    <n v="0"/>
    <n v="0"/>
    <n v="0"/>
    <m/>
    <n v="0"/>
    <n v="0"/>
    <n v="0"/>
    <n v="0"/>
    <n v="0"/>
    <n v="1.0727750190043177"/>
    <n v="0"/>
    <n v="0"/>
    <n v="0.28000000000000003"/>
    <n v="19.77"/>
    <n v="0"/>
    <m/>
    <m/>
    <m/>
    <m/>
    <m/>
    <m/>
    <m/>
    <n v="9.6796799999999994"/>
    <m/>
    <n v="21.513631489241877"/>
    <m/>
    <m/>
    <m/>
    <m/>
    <m/>
    <m/>
    <m/>
    <m/>
    <m/>
    <m/>
    <m/>
    <m/>
    <n v="42.0244"/>
    <n v="-2.2035200000000046"/>
    <m/>
    <m/>
    <m/>
    <m/>
    <n v="-6.2172000000000036"/>
    <n v="2.5908000000000002"/>
    <n v="31"/>
    <n v="3.3941357509424819"/>
    <n v="6.4971150331393224E-2"/>
    <n v="0.30295088899874401"/>
    <n v="0"/>
    <n v="0"/>
    <n v="0"/>
    <n v="0"/>
    <n v="0"/>
    <n v="0.30385210814355124"/>
    <n v="0"/>
    <n v="0"/>
    <n v="2.5905074836978805"/>
    <n v="0"/>
    <n v="0"/>
    <n v="0"/>
    <n v="0.13595475899462639"/>
    <n v="0"/>
    <n v="0"/>
    <m/>
    <n v="0"/>
    <n v="0"/>
    <n v="0"/>
    <n v="0"/>
    <n v="0"/>
    <n v="-4.1006392237067923E-3"/>
    <n v="0"/>
    <n v="0"/>
    <m/>
    <m/>
    <m/>
    <n v="28.26445269524616"/>
    <n v="0"/>
    <n v="0"/>
    <n v="-6.2172000000000054"/>
    <n v="2.5908000000000015"/>
    <n v="0"/>
    <n v="0"/>
    <n v="-7.0213694871470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8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7.187999999999999"/>
    <n v="17.187999999999999"/>
    <n v="17.187999999999999"/>
    <n v="17.187999999999999"/>
    <m/>
    <n v="281.47000000000003"/>
    <n v="173.25"/>
    <m/>
    <n v="7815.7273599999999"/>
    <n v="7815.7273599999999"/>
    <n v="7296.3059999999996"/>
    <n v="0"/>
    <n v="0"/>
    <n v="0"/>
    <n v="0"/>
    <n v="43.993328227571531"/>
    <n v="42.267723448905159"/>
    <n v="4048.4117743824249"/>
    <n v="2927.8120084203597"/>
    <n v="49.969529922943003"/>
    <n v="0"/>
    <n v="0"/>
    <n v="0"/>
    <n v="0"/>
    <n v="0"/>
    <m/>
    <n v="20.760641206466428"/>
    <n v="93.389202674652225"/>
    <n v="435.4600746463762"/>
    <n v="0"/>
    <n v="0"/>
    <n v="0"/>
    <n v="0"/>
    <n v="0"/>
    <n v="0"/>
    <n v="0"/>
    <n v="0"/>
    <n v="0"/>
    <n v="0"/>
    <m/>
    <n v="0"/>
    <n v="0"/>
    <n v="0"/>
    <n v="0"/>
    <n v="0"/>
    <n v="153.65714188871843"/>
    <n v="0"/>
    <n v="0.56000000000000005"/>
    <n v="74.069999999999993"/>
    <n v="5250.77"/>
    <n v="214"/>
    <m/>
    <m/>
    <m/>
    <m/>
    <m/>
    <m/>
    <m/>
    <m/>
    <m/>
    <n v="3081.469150309078"/>
    <m/>
    <m/>
    <m/>
    <m/>
    <m/>
    <m/>
    <m/>
    <m/>
    <m/>
    <m/>
    <m/>
    <m/>
    <n v="7297.1550000000007"/>
    <n v="-518.60235999999986"/>
    <m/>
    <m/>
    <m/>
    <m/>
    <n v="-890.51028000000042"/>
    <n v="371.08892000000003"/>
    <n v="31"/>
    <n v="486.15337739332927"/>
    <n v="9.3060344324665465"/>
    <n v="43.392665667586755"/>
    <n v="0"/>
    <n v="0"/>
    <n v="0"/>
    <n v="0"/>
    <n v="0"/>
    <n v="43.521750289761314"/>
    <n v="0"/>
    <n v="0"/>
    <n v="371.04702191499291"/>
    <n v="0"/>
    <n v="0"/>
    <n v="0"/>
    <n v="19.473253313330304"/>
    <n v="0"/>
    <n v="0"/>
    <m/>
    <n v="0"/>
    <n v="0"/>
    <n v="0"/>
    <n v="0"/>
    <n v="0"/>
    <n v="-0.58734822480893456"/>
    <n v="0"/>
    <n v="0"/>
    <m/>
    <m/>
    <m/>
    <n v="4048.4117743824249"/>
    <n v="0"/>
    <n v="0"/>
    <n v="-890.51028000000042"/>
    <n v="371.08892000000014"/>
    <n v="0"/>
    <n v="0"/>
    <n v="-1005.6941562090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09"/>
    <s v="Sistema de Compensação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4.2000000000000003E-2"/>
    <n v="4.2000000000000003E-2"/>
    <n v="4.2000000000000003E-2"/>
    <n v="4.2000000000000003E-2"/>
    <m/>
    <n v="281.47000000000003"/>
    <n v="173.25"/>
    <m/>
    <n v="19.098240000000004"/>
    <n v="19.098240000000004"/>
    <n v="17.829000000000001"/>
    <n v="0"/>
    <n v="0"/>
    <n v="0"/>
    <n v="0"/>
    <n v="0.10750056932499444"/>
    <n v="0.10328394140412013"/>
    <n v="9.8925584433361564"/>
    <n v="7.1542997645831461"/>
    <n v="0.12210380828273251"/>
    <n v="0"/>
    <n v="0"/>
    <n v="0"/>
    <n v="0"/>
    <n v="0"/>
    <m/>
    <n v="5.0729982003234239E-2"/>
    <n v="0.2282026130053173"/>
    <n v="1.0640751184051549"/>
    <n v="0"/>
    <n v="0"/>
    <n v="0"/>
    <n v="0"/>
    <n v="0"/>
    <n v="0"/>
    <n v="0"/>
    <n v="0"/>
    <n v="0"/>
    <n v="0"/>
    <m/>
    <n v="0"/>
    <n v="0"/>
    <n v="0"/>
    <n v="0"/>
    <n v="0"/>
    <n v="0.37547125665151121"/>
    <n v="0"/>
    <n v="0"/>
    <n v="0.11"/>
    <n v="22.85"/>
    <n v="1"/>
    <m/>
    <m/>
    <m/>
    <m/>
    <m/>
    <m/>
    <m/>
    <m/>
    <m/>
    <n v="7.5297710212346569"/>
    <m/>
    <m/>
    <m/>
    <m/>
    <m/>
    <m/>
    <m/>
    <m/>
    <m/>
    <m/>
    <m/>
    <m/>
    <n v="16.98"/>
    <n v="-2.1482400000000013"/>
    <m/>
    <m/>
    <m/>
    <m/>
    <n v="-2.1760200000000016"/>
    <n v="0.90678000000000025"/>
    <n v="31"/>
    <n v="1.1879475128298704"/>
    <n v="2.2739902615987628E-2"/>
    <n v="0.10603281114956054"/>
    <n v="0"/>
    <n v="0"/>
    <n v="0"/>
    <n v="0"/>
    <n v="0"/>
    <n v="0.10634823785024293"/>
    <n v="0"/>
    <n v="0"/>
    <n v="0.90667761929425783"/>
    <n v="0"/>
    <n v="0"/>
    <n v="0"/>
    <n v="4.7584165648119237E-2"/>
    <n v="0"/>
    <n v="0"/>
    <m/>
    <n v="0"/>
    <n v="0"/>
    <n v="0"/>
    <n v="0"/>
    <n v="0"/>
    <n v="-1.4352237282973801E-3"/>
    <n v="0"/>
    <n v="0"/>
    <m/>
    <m/>
    <m/>
    <n v="9.8925584433361564"/>
    <n v="0"/>
    <n v="0"/>
    <n v="-2.1760200000000012"/>
    <n v="0.90677999999999948"/>
    <n v="0"/>
    <n v="0"/>
    <n v="-2.4574793205014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0"/>
    <s v="Regular"/>
    <s v="Branca"/>
    <s v="B1"/>
    <s v="Residencial"/>
    <s v="Residencial"/>
    <s v="Não se aplica"/>
    <s v="Não se aplica"/>
    <s v="Ponta"/>
    <s v="CATIVO"/>
    <x v="3"/>
    <n v="0"/>
    <n v="0"/>
    <n v="0.48399999999999999"/>
    <n v="0.48399999999999999"/>
    <n v="0.48399999999999999"/>
    <n v="0.48399999999999999"/>
    <m/>
    <n v="775.22"/>
    <n v="173.25"/>
    <m/>
    <n v="459.05948000000001"/>
    <n v="459.05948000000001"/>
    <n v="404.86599999999999"/>
    <n v="0"/>
    <n v="29.787868668495271"/>
    <n v="0"/>
    <n v="0"/>
    <n v="3.096820693002905"/>
    <n v="2.9753641850910206"/>
    <n v="284.99984588779165"/>
    <n v="82.444787763291487"/>
    <n v="1.407101028781965"/>
    <n v="0"/>
    <n v="0"/>
    <n v="0"/>
    <n v="0"/>
    <n v="4.6023706542254983"/>
    <m/>
    <n v="0.5846026497515564"/>
    <n v="6.574036019481647"/>
    <n v="30.653532163907762"/>
    <n v="0"/>
    <n v="0"/>
    <n v="0"/>
    <n v="0"/>
    <n v="0"/>
    <n v="0"/>
    <n v="0"/>
    <n v="0"/>
    <n v="0"/>
    <n v="0"/>
    <m/>
    <n v="0"/>
    <n v="0"/>
    <n v="0"/>
    <n v="0"/>
    <n v="0"/>
    <n v="4.326859243317414"/>
    <n v="0"/>
    <n v="0"/>
    <n v="0"/>
    <n v="0"/>
    <n v="0"/>
    <m/>
    <m/>
    <m/>
    <m/>
    <m/>
    <m/>
    <m/>
    <m/>
    <m/>
    <n v="86.771647006608902"/>
    <m/>
    <m/>
    <m/>
    <m/>
    <m/>
    <m/>
    <m/>
    <m/>
    <m/>
    <m/>
    <m/>
    <m/>
    <n v="401.52"/>
    <n v="-57.569479999999999"/>
    <m/>
    <m/>
    <m/>
    <m/>
    <n v="-64.643040000000028"/>
    <n v="10.449560000000002"/>
    <n v="31"/>
    <n v="16.602879151859412"/>
    <n v="0.65508863771651971"/>
    <n v="3.0545589599671601"/>
    <n v="0"/>
    <n v="0"/>
    <n v="0"/>
    <n v="0"/>
    <n v="0"/>
    <n v="3.0636392622651289"/>
    <n v="0"/>
    <n v="0"/>
    <n v="10.448380184248109"/>
    <n v="0"/>
    <n v="0"/>
    <n v="0"/>
    <n v="0.548350861278327"/>
    <n v="0"/>
    <n v="-1.0115017590147275"/>
    <m/>
    <n v="0"/>
    <n v="0"/>
    <n v="0"/>
    <n v="0"/>
    <n v="-0.13909774973211242"/>
    <n v="-1.6539244868950753E-2"/>
    <n v="0"/>
    <n v="0"/>
    <m/>
    <m/>
    <m/>
    <n v="284.99984588779165"/>
    <n v="0"/>
    <n v="0"/>
    <n v="-64.643040000000042"/>
    <n v="10.449560000000005"/>
    <n v="0"/>
    <n v="0"/>
    <n v="-70.798796047259003"/>
    <n v="0"/>
    <n v="0"/>
    <n v="0"/>
    <n v="0"/>
    <n v="0"/>
    <n v="0"/>
    <n v="0"/>
    <n v="0"/>
    <n v="0"/>
    <n v="0"/>
    <n v="0"/>
    <n v="0"/>
    <n v="7.6072903891430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1"/>
    <s v="Regular"/>
    <s v="Branca"/>
    <s v="B1"/>
    <s v="Residencial"/>
    <s v="Residencial"/>
    <s v="Não se aplica"/>
    <s v="Não se aplica"/>
    <s v="Fora ponta"/>
    <s v="CATIVO"/>
    <x v="3"/>
    <n v="0"/>
    <n v="0"/>
    <n v="4.3330000000000002"/>
    <n v="4.3330000000000002"/>
    <n v="4.3330000000000002"/>
    <n v="4.3330000000000002"/>
    <m/>
    <n v="232.58"/>
    <n v="173.25"/>
    <m/>
    <n v="1758.4613900000002"/>
    <n v="1758.4613900000002"/>
    <n v="1731.8567700000001"/>
    <n v="0"/>
    <n v="266.67527880287196"/>
    <n v="0"/>
    <n v="0"/>
    <n v="5.5452377010142966"/>
    <n v="5.3277299774291969"/>
    <n v="510.29113970209011"/>
    <n v="738.08525904616124"/>
    <n v="12.597042887835238"/>
    <n v="0"/>
    <n v="0"/>
    <n v="0"/>
    <n v="0"/>
    <n v="41.202628191651002"/>
    <m/>
    <n v="5.2336431433336656"/>
    <n v="11.771927973296114"/>
    <n v="54.888541524399237"/>
    <n v="0"/>
    <n v="0"/>
    <n v="0"/>
    <n v="0"/>
    <n v="0"/>
    <n v="0"/>
    <n v="0"/>
    <n v="0"/>
    <n v="0"/>
    <n v="0"/>
    <m/>
    <n v="0"/>
    <n v="0"/>
    <n v="0"/>
    <n v="0"/>
    <n v="0"/>
    <n v="38.736117977880902"/>
    <n v="0"/>
    <n v="0"/>
    <n v="0"/>
    <n v="0"/>
    <n v="0"/>
    <m/>
    <m/>
    <m/>
    <m/>
    <m/>
    <m/>
    <m/>
    <m/>
    <m/>
    <n v="776.82137702404214"/>
    <m/>
    <m/>
    <m/>
    <m/>
    <m/>
    <m/>
    <m/>
    <m/>
    <m/>
    <m/>
    <m/>
    <m/>
    <n v="1730.6577"/>
    <n v="-27.833690000000161"/>
    <m/>
    <m/>
    <m/>
    <m/>
    <n v="-120.15409000000008"/>
    <n v="93.549470000000014"/>
    <n v="31"/>
    <n v="100.12759180753847"/>
    <n v="1.1730474607183243"/>
    <n v="5.4695258417981591"/>
    <n v="0"/>
    <n v="0"/>
    <n v="0"/>
    <n v="0"/>
    <n v="0"/>
    <n v="5.4857966024416971"/>
    <n v="0"/>
    <n v="0"/>
    <n v="93.538907723857619"/>
    <n v="0"/>
    <n v="0"/>
    <n v="0"/>
    <n v="4.9090997560309688"/>
    <n v="0"/>
    <n v="-9.0554485987826752"/>
    <m/>
    <n v="0"/>
    <n v="0"/>
    <n v="0"/>
    <n v="0"/>
    <n v="-1.2452697305562879"/>
    <n v="-0.14806724796934656"/>
    <n v="0"/>
    <n v="0"/>
    <m/>
    <m/>
    <m/>
    <n v="510.29113970209011"/>
    <n v="0"/>
    <n v="0"/>
    <n v="-120.15409000000011"/>
    <n v="93.549470000000042"/>
    <n v="0"/>
    <n v="0"/>
    <n v="-126.76497494920011"/>
    <n v="0"/>
    <n v="0"/>
    <n v="0"/>
    <n v="0"/>
    <n v="0"/>
    <n v="0"/>
    <n v="0"/>
    <n v="0"/>
    <n v="0"/>
    <n v="0"/>
    <n v="0"/>
    <n v="0"/>
    <n v="68.10411003338225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2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2"/>
    <n v="18.61"/>
    <n v="1328.3"/>
    <n v="1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13"/>
    <s v="Regular"/>
    <s v="Branca"/>
    <s v="B1"/>
    <s v="Residencial"/>
    <s v="Residencial"/>
    <s v="Não se aplica"/>
    <s v="Não se aplica"/>
    <s v="Intermediário"/>
    <s v="CATIVO"/>
    <x v="3"/>
    <n v="0"/>
    <n v="0"/>
    <n v="0.34300000000000003"/>
    <n v="0.34300000000000003"/>
    <n v="0.34300000000000003"/>
    <n v="0.34300000000000003"/>
    <m/>
    <n v="503.9"/>
    <n v="173.25"/>
    <m/>
    <n v="232.26245"/>
    <n v="232.26245"/>
    <n v="212.00487000000004"/>
    <n v="0"/>
    <n v="21.10999783738405"/>
    <n v="0"/>
    <n v="0"/>
    <n v="1.3167264063665325"/>
    <n v="1.2650910909471569"/>
    <n v="121.18376705461108"/>
    <n v="58.426781410762366"/>
    <n v="0.99718110097564894"/>
    <n v="0"/>
    <n v="0"/>
    <n v="0"/>
    <n v="0"/>
    <n v="3.2615973851226157"/>
    <m/>
    <n v="0.41429485302641295"/>
    <n v="2.7952179607641514"/>
    <n v="13.033527439815954"/>
    <n v="0"/>
    <n v="0"/>
    <n v="0"/>
    <n v="0"/>
    <n v="0"/>
    <n v="0"/>
    <n v="0"/>
    <n v="0"/>
    <n v="0"/>
    <n v="0"/>
    <m/>
    <n v="0"/>
    <n v="0"/>
    <n v="0"/>
    <n v="0"/>
    <n v="0"/>
    <n v="3.0663485959873413"/>
    <n v="0"/>
    <n v="0"/>
    <n v="0"/>
    <n v="0"/>
    <n v="0"/>
    <m/>
    <m/>
    <m/>
    <m/>
    <m/>
    <m/>
    <m/>
    <m/>
    <m/>
    <n v="61.493130006749709"/>
    <m/>
    <m/>
    <m/>
    <m/>
    <m/>
    <m/>
    <m/>
    <m/>
    <m/>
    <m/>
    <m/>
    <m/>
    <n v="210.1506"/>
    <n v="-22.141849999999977"/>
    <m/>
    <m/>
    <m/>
    <m/>
    <n v="-27.662949999999995"/>
    <n v="7.4053700000000013"/>
    <n v="31"/>
    <n v="9.8459380175310685"/>
    <n v="0.27853749517213"/>
    <n v="1.29876315096055"/>
    <n v="0"/>
    <n v="0"/>
    <n v="0"/>
    <n v="0"/>
    <n v="0"/>
    <n v="1.3026246521311076"/>
    <n v="0"/>
    <n v="0"/>
    <n v="7.4045338909031031"/>
    <n v="0"/>
    <n v="0"/>
    <n v="0"/>
    <n v="0.38860401945964096"/>
    <n v="0"/>
    <n v="-0.7168287259133308"/>
    <m/>
    <n v="0"/>
    <n v="0"/>
    <n v="0"/>
    <n v="0"/>
    <n v="-9.8575471401063375E-2"/>
    <n v="-1.1720993781095257E-2"/>
    <n v="0"/>
    <n v="0"/>
    <m/>
    <m/>
    <m/>
    <n v="121.18376705461108"/>
    <n v="0"/>
    <n v="0"/>
    <n v="-27.662949999999995"/>
    <n v="7.4053700000000049"/>
    <n v="0"/>
    <n v="0"/>
    <n v="-30.104103324027392"/>
    <n v="0"/>
    <n v="0"/>
    <n v="0"/>
    <n v="0"/>
    <n v="0"/>
    <n v="0"/>
    <n v="0"/>
    <n v="0"/>
    <n v="0"/>
    <n v="0"/>
    <n v="0"/>
    <n v="0"/>
    <n v="5.391116949330744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4"/>
    <s v="Regular"/>
    <s v="Convencional"/>
    <s v="B3"/>
    <s v="Industrial"/>
    <s v="Não se aplica"/>
    <s v="Não se aplica"/>
    <s v="Não se aplica"/>
    <s v="Não se aplica"/>
    <s v="CATIVO"/>
    <x v="3"/>
    <n v="0"/>
    <n v="0"/>
    <n v="530.077"/>
    <n v="530.077"/>
    <n v="530.077"/>
    <n v="530.077"/>
    <m/>
    <n v="368.24"/>
    <n v="173.25"/>
    <m/>
    <n v="287031.39473"/>
    <n v="287031.39473"/>
    <n v="269750.88452999998"/>
    <n v="0"/>
    <n v="32623.686074772664"/>
    <n v="0"/>
    <n v="0"/>
    <n v="1356.7518877639304"/>
    <n v="1303.5343287540902"/>
    <n v="124852.80242781666"/>
    <n v="90293.56562645096"/>
    <n v="1541.0576281687142"/>
    <n v="0"/>
    <n v="0"/>
    <n v="0"/>
    <n v="0"/>
    <n v="5040.5182423138212"/>
    <m/>
    <n v="640.25706357924753"/>
    <n v="2880.1180117623708"/>
    <n v="13429.565393782124"/>
    <n v="0"/>
    <n v="0"/>
    <n v="0"/>
    <n v="0"/>
    <n v="0"/>
    <n v="0"/>
    <n v="0"/>
    <n v="0"/>
    <n v="0"/>
    <n v="0"/>
    <m/>
    <n v="0"/>
    <n v="0"/>
    <n v="0"/>
    <n v="0"/>
    <n v="0"/>
    <n v="4738.7780312395971"/>
    <n v="0"/>
    <n v="22.73"/>
    <n v="2082.85"/>
    <n v="73793.149999999994"/>
    <n v="304"/>
    <m/>
    <m/>
    <m/>
    <m/>
    <m/>
    <m/>
    <m/>
    <m/>
    <m/>
    <n v="95032.343657690551"/>
    <m/>
    <m/>
    <m/>
    <m/>
    <m/>
    <m/>
    <m/>
    <m/>
    <m/>
    <m/>
    <m/>
    <m/>
    <n v="269752.41120000003"/>
    <n v="-17279.013529999997"/>
    <m/>
    <m/>
    <m/>
    <m/>
    <n v="-28724.872629999998"/>
    <n v="11444.362430000001"/>
    <n v="31"/>
    <n v="13732.807079668972"/>
    <n v="286.9976037851161"/>
    <n v="1338.2274865648942"/>
    <n v="0"/>
    <n v="0"/>
    <n v="0"/>
    <n v="0"/>
    <n v="0"/>
    <n v="1342.20844940341"/>
    <n v="0"/>
    <n v="0"/>
    <n v="11443.070295301004"/>
    <n v="0"/>
    <n v="0"/>
    <n v="0"/>
    <n v="600.55408986328894"/>
    <n v="0"/>
    <n v="-1107.7971444488649"/>
    <m/>
    <n v="0"/>
    <n v="0"/>
    <n v="0"/>
    <n v="0"/>
    <n v="-152.3399129850186"/>
    <n v="-18.113787814873604"/>
    <n v="0"/>
    <n v="0"/>
    <m/>
    <m/>
    <m/>
    <n v="124852.80242781666"/>
    <n v="0"/>
    <n v="0"/>
    <n v="-28724.872629999998"/>
    <n v="11444.362430000008"/>
    <n v="0"/>
    <n v="0"/>
    <n v="-31015.553946987013"/>
    <n v="0"/>
    <n v="0"/>
    <n v="0"/>
    <n v="0"/>
    <n v="0"/>
    <n v="0"/>
    <n v="0"/>
    <n v="0"/>
    <n v="0"/>
    <n v="0"/>
    <n v="0"/>
    <n v="0"/>
    <n v="8331.50757769793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5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49.415999999999997"/>
    <n v="49.415999999999997"/>
    <n v="49.415999999999997"/>
    <n v="49.415999999999997"/>
    <m/>
    <n v="368.24"/>
    <n v="173.25"/>
    <m/>
    <n v="26758.269840000001"/>
    <n v="26758.269840000001"/>
    <n v="25147.308239999998"/>
    <n v="0"/>
    <n v="3041.3167729800875"/>
    <n v="0"/>
    <n v="0"/>
    <n v="126.48209842295059"/>
    <n v="121.52093448633333"/>
    <n v="11639.301619902368"/>
    <n v="8417.5446944438263"/>
    <n v="143.6638521452264"/>
    <n v="0"/>
    <n v="0"/>
    <n v="0"/>
    <n v="0"/>
    <n v="469.89824018431244"/>
    <m/>
    <n v="59.687447396948166"/>
    <n v="268.49667438739903"/>
    <n v="1251.9603821692649"/>
    <n v="0"/>
    <n v="0"/>
    <n v="0"/>
    <n v="0"/>
    <n v="0"/>
    <n v="0"/>
    <n v="0"/>
    <n v="0"/>
    <n v="0"/>
    <n v="0"/>
    <m/>
    <n v="0"/>
    <n v="0"/>
    <n v="0"/>
    <n v="0"/>
    <n v="0"/>
    <n v="441.76875282597797"/>
    <n v="0"/>
    <n v="2.09"/>
    <n v="198.28"/>
    <n v="10983.52"/>
    <n v="43"/>
    <m/>
    <m/>
    <m/>
    <m/>
    <m/>
    <m/>
    <m/>
    <m/>
    <m/>
    <n v="8859.3134472698039"/>
    <m/>
    <m/>
    <m/>
    <m/>
    <m/>
    <m/>
    <m/>
    <m/>
    <m/>
    <m/>
    <m/>
    <m/>
    <n v="25149.343800000002"/>
    <n v="-1608.9560399999937"/>
    <m/>
    <m/>
    <m/>
    <m/>
    <n v="-2677.8530399999995"/>
    <n v="1066.8914400000001"/>
    <n v="31"/>
    <n v="1280.2298433037504"/>
    <n v="26.755119706467724"/>
    <n v="124.75517608968289"/>
    <n v="0"/>
    <n v="0"/>
    <n v="0"/>
    <n v="0"/>
    <n v="0"/>
    <n v="125.12629813351437"/>
    <n v="0"/>
    <n v="0"/>
    <n v="1066.7709817867872"/>
    <n v="0"/>
    <n v="0"/>
    <n v="0"/>
    <n v="55.986169753987156"/>
    <n v="0"/>
    <n v="-103.27349364353677"/>
    <m/>
    <n v="0"/>
    <n v="0"/>
    <n v="0"/>
    <n v="0"/>
    <n v="-14.201765290830792"/>
    <n v="-1.6886432323224625"/>
    <n v="0"/>
    <n v="0"/>
    <m/>
    <m/>
    <m/>
    <n v="11639.301619902368"/>
    <n v="0"/>
    <n v="0"/>
    <n v="-2677.8530400000018"/>
    <n v="1066.8914399999994"/>
    <n v="0"/>
    <n v="0"/>
    <n v="-2891.3999548071515"/>
    <n v="0"/>
    <n v="0"/>
    <n v="0"/>
    <n v="0"/>
    <n v="0"/>
    <n v="0"/>
    <n v="0"/>
    <n v="0"/>
    <n v="0"/>
    <n v="0"/>
    <n v="0"/>
    <n v="0"/>
    <n v="776.6980617146590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6"/>
    <s v="Regular"/>
    <s v="Azul"/>
    <s v="A4"/>
    <s v="Industrial"/>
    <s v="Não se aplica"/>
    <s v="Não se aplica"/>
    <s v="Não se aplica"/>
    <s v="Ponta"/>
    <s v="CATIVO"/>
    <x v="3"/>
    <n v="10002"/>
    <n v="10002"/>
    <n v="487.524"/>
    <n v="487.524"/>
    <n v="487.524"/>
    <n v="487.524"/>
    <n v="52.95"/>
    <n v="85.01"/>
    <n v="173.25"/>
    <n v="529605.9"/>
    <n v="125907.94824"/>
    <n v="655513.84823999996"/>
    <n v="578446.81307999999"/>
    <n v="0"/>
    <n v="26104.135887858152"/>
    <n v="0"/>
    <n v="0"/>
    <n v="7878.2378670781245"/>
    <n v="7569.0310332030695"/>
    <n v="419421.00731689273"/>
    <n v="83045.067581634139"/>
    <n v="1417.3461197435925"/>
    <n v="0"/>
    <n v="0"/>
    <n v="0"/>
    <n v="0"/>
    <n v="4635.8804769227927"/>
    <m/>
    <n v="390.41596035773631"/>
    <n v="16723.852928208387"/>
    <n v="77979.841999739278"/>
    <n v="0"/>
    <n v="0"/>
    <n v="0"/>
    <n v="0"/>
    <n v="0"/>
    <n v="0"/>
    <n v="0"/>
    <n v="0"/>
    <n v="0"/>
    <n v="0"/>
    <m/>
    <n v="0"/>
    <n v="0"/>
    <n v="0"/>
    <n v="0"/>
    <n v="0"/>
    <n v="3646.0245719729878"/>
    <n v="0"/>
    <n v="0"/>
    <n v="0"/>
    <n v="0"/>
    <n v="0"/>
    <m/>
    <m/>
    <m/>
    <m/>
    <m/>
    <m/>
    <m/>
    <m/>
    <m/>
    <n v="86691.092153607126"/>
    <m/>
    <m/>
    <m/>
    <m/>
    <m/>
    <m/>
    <m/>
    <m/>
    <m/>
    <m/>
    <m/>
    <m/>
    <n v="578445.69839999999"/>
    <n v="-77068.179839999997"/>
    <m/>
    <m/>
    <m/>
    <m/>
    <n v="-87592.678320000021"/>
    <n v="10525.643160000001"/>
    <n v="31"/>
    <n v="27179.567224259139"/>
    <n v="1666.4961980198859"/>
    <n v="7770.5245778358512"/>
    <n v="0"/>
    <n v="0"/>
    <n v="0"/>
    <n v="0"/>
    <n v="0"/>
    <n v="7793.5940638187076"/>
    <n v="0"/>
    <n v="0"/>
    <n v="10524.454754019374"/>
    <n v="0"/>
    <n v="0"/>
    <n v="0"/>
    <n v="462.0674262448133"/>
    <n v="0"/>
    <n v="-886.41385061743858"/>
    <m/>
    <n v="0"/>
    <n v="0"/>
    <n v="0"/>
    <n v="0"/>
    <n v="-140.11051929834412"/>
    <n v="-11.04542576371756"/>
    <n v="0"/>
    <n v="0"/>
    <m/>
    <m/>
    <n v="419421.00731689273"/>
    <n v="0"/>
    <n v="0"/>
    <n v="0"/>
    <n v="-87592.678320000006"/>
    <n v="10525.643160000007"/>
    <n v="0"/>
    <n v="0"/>
    <n v="-104191.29267408641"/>
    <n v="0"/>
    <n v="0"/>
    <n v="0"/>
    <n v="0"/>
    <n v="0"/>
    <n v="0"/>
    <n v="0"/>
    <n v="0"/>
    <n v="0"/>
    <n v="0"/>
    <n v="0"/>
    <n v="0"/>
    <n v="6666.530736608772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7"/>
    <s v="Regular"/>
    <s v="Azul"/>
    <s v="A4"/>
    <s v="Industrial"/>
    <s v="Não se aplica"/>
    <s v="Não se aplica"/>
    <s v="Não se aplica"/>
    <s v="Fora ponta"/>
    <s v="CATIVO"/>
    <x v="3"/>
    <n v="10748"/>
    <n v="10748"/>
    <n v="4467.768"/>
    <n v="4467.768"/>
    <n v="4467.768"/>
    <n v="4467.768"/>
    <n v="27.19"/>
    <n v="85.01"/>
    <n v="173.25"/>
    <n v="292238.12"/>
    <n v="1153845.7636800001"/>
    <n v="1446083.88368"/>
    <n v="1478909.3885599999"/>
    <n v="0"/>
    <n v="239223.55204548748"/>
    <n v="0"/>
    <n v="0"/>
    <n v="2506.4401931194579"/>
    <n v="2407.9264535533171"/>
    <n v="257221.4610534783"/>
    <n v="761041.7035860027"/>
    <n v="12988.84493627922"/>
    <n v="0"/>
    <n v="0"/>
    <n v="0"/>
    <n v="0"/>
    <n v="42484.141184065593"/>
    <m/>
    <n v="3577.8503917254593"/>
    <n v="5319.0221645603069"/>
    <n v="24807.338884687495"/>
    <n v="0"/>
    <n v="0"/>
    <n v="0"/>
    <n v="0"/>
    <n v="0"/>
    <n v="0"/>
    <n v="0"/>
    <n v="0"/>
    <n v="0"/>
    <n v="0"/>
    <m/>
    <n v="0"/>
    <n v="0"/>
    <n v="0"/>
    <n v="0"/>
    <n v="0"/>
    <n v="33412.902564539618"/>
    <n v="0"/>
    <n v="0"/>
    <n v="0"/>
    <n v="0"/>
    <n v="0"/>
    <m/>
    <m/>
    <m/>
    <m/>
    <m/>
    <m/>
    <m/>
    <m/>
    <m/>
    <n v="794454.60615054227"/>
    <m/>
    <m/>
    <m/>
    <m/>
    <m/>
    <m/>
    <m/>
    <m/>
    <m/>
    <m/>
    <m/>
    <m/>
    <n v="1478909.9459000002"/>
    <n v="32826.032220000168"/>
    <m/>
    <m/>
    <m/>
    <m/>
    <n v="-63633.60624000003"/>
    <n v="96459.111120000016"/>
    <n v="31"/>
    <n v="96655.59475157503"/>
    <n v="530.02918959373346"/>
    <n v="2471.9982955955675"/>
    <n v="0"/>
    <n v="0"/>
    <n v="0"/>
    <n v="0"/>
    <n v="0"/>
    <n v="2479.3664119228256"/>
    <n v="0"/>
    <n v="0"/>
    <n v="96448.220328549272"/>
    <n v="0"/>
    <n v="0"/>
    <n v="0"/>
    <n v="4234.4788375935022"/>
    <n v="0"/>
    <n v="-8123.274826563138"/>
    <m/>
    <n v="0"/>
    <n v="0"/>
    <n v="0"/>
    <n v="0"/>
    <n v="-1284.0009816635138"/>
    <n v="-101.2225034531898"/>
    <n v="0"/>
    <n v="0"/>
    <m/>
    <m/>
    <n v="257221.4610534783"/>
    <n v="0"/>
    <n v="0"/>
    <n v="0"/>
    <n v="-63633.60624000011"/>
    <n v="96459.111120000016"/>
    <n v="0"/>
    <n v="0"/>
    <n v="-63898.174061725644"/>
    <n v="0"/>
    <n v="0"/>
    <n v="0"/>
    <n v="0"/>
    <n v="0"/>
    <n v="0"/>
    <n v="0"/>
    <n v="0"/>
    <n v="0"/>
    <n v="0"/>
    <n v="0"/>
    <n v="0"/>
    <n v="61093.42862307723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18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4.43"/>
    <n v="16667.21"/>
    <n v="587221.75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19"/>
    <s v="Regular"/>
    <s v="Verde"/>
    <s v="A4"/>
    <s v="Industrial"/>
    <s v="Não se aplica"/>
    <s v="Não se aplica"/>
    <s v="Não se aplica"/>
    <s v="Ponta"/>
    <s v="CATIVO"/>
    <x v="3"/>
    <n v="0"/>
    <n v="0"/>
    <n v="205.74700000000001"/>
    <n v="205.74700000000001"/>
    <n v="205.74700000000001"/>
    <n v="205.74700000000001"/>
    <m/>
    <n v="1358.36"/>
    <n v="173.25"/>
    <m/>
    <n v="315124.16267000005"/>
    <n v="315124.16267000005"/>
    <n v="276301.76124000002"/>
    <n v="0"/>
    <n v="11016.581022717141"/>
    <n v="0"/>
    <n v="0"/>
    <n v="3897.2778487717928"/>
    <n v="3744.4216455402034"/>
    <n v="207497.43720852368"/>
    <n v="35047.040801516399"/>
    <n v="598.15457720827067"/>
    <n v="0"/>
    <n v="0"/>
    <n v="0"/>
    <n v="0"/>
    <n v="1956.4544524688713"/>
    <m/>
    <n v="164.76504253272284"/>
    <n v="8273.2560338234125"/>
    <n v="38576.760329178804"/>
    <n v="0"/>
    <n v="0"/>
    <n v="0"/>
    <n v="0"/>
    <n v="0"/>
    <n v="0"/>
    <n v="0"/>
    <n v="0"/>
    <n v="0"/>
    <n v="0"/>
    <m/>
    <n v="0"/>
    <n v="0"/>
    <n v="0"/>
    <n v="0"/>
    <n v="0"/>
    <n v="1538.7111559835544"/>
    <n v="0"/>
    <n v="0"/>
    <n v="0"/>
    <n v="0"/>
    <n v="0"/>
    <m/>
    <m/>
    <m/>
    <m/>
    <m/>
    <m/>
    <m/>
    <m/>
    <m/>
    <n v="36585.751957499953"/>
    <m/>
    <m/>
    <m/>
    <m/>
    <m/>
    <m/>
    <m/>
    <m/>
    <m/>
    <m/>
    <m/>
    <m/>
    <n v="276305.78999999998"/>
    <n v="-38818.402670000098"/>
    <m/>
    <m/>
    <m/>
    <m/>
    <n v="-43264.479159999995"/>
    <n v="4442.0777300000009"/>
    <n v="31"/>
    <n v="12722.717800071405"/>
    <n v="824.41228016039531"/>
    <n v="3844.0917111908711"/>
    <n v="0"/>
    <n v="0"/>
    <n v="0"/>
    <n v="0"/>
    <n v="0"/>
    <n v="3855.5136293009659"/>
    <n v="0"/>
    <n v="0"/>
    <n v="4441.5761937365605"/>
    <n v="0"/>
    <n v="0"/>
    <n v="0"/>
    <n v="195.00370596645826"/>
    <n v="0"/>
    <n v="-374.08823057528571"/>
    <m/>
    <n v="0"/>
    <n v="0"/>
    <n v="0"/>
    <n v="0"/>
    <n v="-59.130051062258417"/>
    <n v="-4.6614386463181177"/>
    <n v="0"/>
    <n v="0"/>
    <m/>
    <m/>
    <m/>
    <n v="207497.43720852368"/>
    <n v="0"/>
    <n v="0"/>
    <n v="-43264.479160000017"/>
    <n v="4442.0777300000045"/>
    <n v="0"/>
    <n v="0"/>
    <n v="-51545.883091597061"/>
    <n v="0"/>
    <n v="0"/>
    <n v="0"/>
    <n v="0"/>
    <n v="0"/>
    <n v="0"/>
    <n v="0"/>
    <n v="0"/>
    <n v="0"/>
    <n v="0"/>
    <n v="0"/>
    <n v="0"/>
    <n v="2813.4383116832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20"/>
    <s v="Sistema de Compensação"/>
    <s v="Verde"/>
    <s v="A4"/>
    <s v="Industrial"/>
    <s v="Não se aplica"/>
    <s v="Não se aplica"/>
    <s v="Não se aplica"/>
    <s v="Ponta"/>
    <s v="CATIVO"/>
    <x v="3"/>
    <n v="0"/>
    <n v="0"/>
    <n v="0.27900000000000003"/>
    <n v="0.27900000000000003"/>
    <n v="0.27900000000000003"/>
    <n v="0.27900000000000003"/>
    <m/>
    <n v="1358.36"/>
    <n v="173.25"/>
    <m/>
    <n v="427.31918999999999"/>
    <n v="427.31918999999999"/>
    <n v="374.67468000000002"/>
    <n v="0"/>
    <n v="14.938862317983165"/>
    <n v="0"/>
    <n v="0"/>
    <n v="5.2848426456149067"/>
    <n v="5.0775643829835513"/>
    <n v="281.37365298730043"/>
    <n v="47.524991293302328"/>
    <n v="0.81111815502100892"/>
    <n v="0"/>
    <n v="0"/>
    <n v="0"/>
    <n v="0"/>
    <n v="2.6530194473737896"/>
    <m/>
    <n v="0.22342705782650379"/>
    <n v="11.218819391955812"/>
    <n v="52.311412228809594"/>
    <n v="0"/>
    <n v="0"/>
    <n v="0"/>
    <n v="0"/>
    <n v="0"/>
    <n v="0"/>
    <n v="0"/>
    <n v="0"/>
    <n v="0"/>
    <n v="0"/>
    <m/>
    <n v="0"/>
    <n v="0"/>
    <n v="0"/>
    <n v="0"/>
    <n v="0"/>
    <n v="2.0865451866584288"/>
    <n v="0"/>
    <n v="0"/>
    <n v="0"/>
    <n v="0"/>
    <n v="0"/>
    <m/>
    <m/>
    <m/>
    <m/>
    <m/>
    <m/>
    <m/>
    <m/>
    <m/>
    <n v="49.611536479960755"/>
    <m/>
    <m/>
    <m/>
    <m/>
    <m/>
    <m/>
    <m/>
    <m/>
    <m/>
    <m/>
    <m/>
    <m/>
    <n v="376.01760000000002"/>
    <n v="-51.331589999999949"/>
    <m/>
    <m/>
    <m/>
    <m/>
    <n v="-58.668119999999995"/>
    <n v="6.0236100000000015"/>
    <n v="31"/>
    <n v="17.252442398770881"/>
    <n v="1.1179313728256055"/>
    <n v="5.2127204159586853"/>
    <n v="0"/>
    <n v="0"/>
    <n v="0"/>
    <n v="0"/>
    <n v="0"/>
    <n v="5.228208929291652"/>
    <n v="0"/>
    <n v="0"/>
    <n v="6.0229298995975711"/>
    <n v="0"/>
    <n v="0"/>
    <n v="0"/>
    <n v="0.26443172422753092"/>
    <n v="0"/>
    <n v="-0.50727649166454292"/>
    <m/>
    <n v="0"/>
    <n v="0"/>
    <n v="0"/>
    <n v="0"/>
    <n v="-8.0182380527395569E-2"/>
    <n v="-6.3210709382044705E-3"/>
    <n v="0"/>
    <n v="0"/>
    <m/>
    <m/>
    <m/>
    <n v="281.37365298730043"/>
    <n v="0"/>
    <n v="0"/>
    <n v="-58.668119999999988"/>
    <n v="6.023610000000005"/>
    <n v="0"/>
    <n v="0"/>
    <n v="-69.897988221240524"/>
    <n v="0"/>
    <n v="0"/>
    <n v="0"/>
    <n v="0"/>
    <n v="0"/>
    <n v="0"/>
    <n v="0"/>
    <n v="0"/>
    <n v="0"/>
    <n v="0"/>
    <n v="0"/>
    <n v="0"/>
    <n v="3.815119000323774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21"/>
    <s v="Regular"/>
    <s v="Verde"/>
    <s v="A4"/>
    <s v="Industrial"/>
    <s v="Não se aplica"/>
    <s v="Não se aplica"/>
    <s v="Não se aplica"/>
    <s v="Fora ponta"/>
    <s v="CATIVO"/>
    <x v="3"/>
    <n v="0"/>
    <n v="0"/>
    <n v="3434.1439999999998"/>
    <n v="3434.1439999999998"/>
    <n v="3434.1439999999998"/>
    <n v="3434.1439999999998"/>
    <m/>
    <n v="85.01"/>
    <n v="173.25"/>
    <m/>
    <n v="886902.02943999995"/>
    <n v="886902.02943999995"/>
    <n v="956992.90847999998"/>
    <n v="0"/>
    <n v="183878.86880332607"/>
    <n v="0"/>
    <n v="0"/>
    <n v="0"/>
    <n v="0"/>
    <n v="0"/>
    <n v="584973.70501772908"/>
    <n v="9983.8585855070505"/>
    <n v="0"/>
    <n v="0"/>
    <n v="0"/>
    <n v="0"/>
    <n v="32655.379272695391"/>
    <m/>
    <n v="2750.1100002600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682.783632587532"/>
    <n v="0"/>
    <n v="0"/>
    <n v="0"/>
    <n v="0"/>
    <n v="0"/>
    <m/>
    <m/>
    <m/>
    <m/>
    <m/>
    <m/>
    <m/>
    <m/>
    <m/>
    <n v="610656.48865031661"/>
    <m/>
    <m/>
    <m/>
    <m/>
    <m/>
    <m/>
    <m/>
    <m/>
    <m/>
    <m/>
    <m/>
    <m/>
    <n v="956991.79379999987"/>
    <n v="70089.734359999886"/>
    <m/>
    <m/>
    <m/>
    <m/>
    <n v="-4052.2899200000234"/>
    <n v="74143.16896000001"/>
    <n v="31"/>
    <n v="70080.929631786654"/>
    <n v="0"/>
    <n v="0"/>
    <n v="0"/>
    <n v="0"/>
    <n v="0"/>
    <n v="0"/>
    <n v="0"/>
    <n v="0"/>
    <n v="0"/>
    <n v="0"/>
    <n v="74134.79776746803"/>
    <n v="0"/>
    <n v="0"/>
    <n v="0"/>
    <n v="3254.8265919915066"/>
    <n v="0"/>
    <n v="-6243.9445168130624"/>
    <m/>
    <n v="0"/>
    <n v="0"/>
    <n v="0"/>
    <n v="0"/>
    <n v="-986.94566664470403"/>
    <n v="-77.804544215086935"/>
    <n v="0"/>
    <n v="0"/>
    <m/>
    <m/>
    <m/>
    <n v="0"/>
    <n v="0"/>
    <n v="0"/>
    <n v="-4052.2899200000102"/>
    <n v="74143.168960000039"/>
    <n v="0"/>
    <n v="0"/>
    <n v="0"/>
    <n v="0"/>
    <n v="0"/>
    <n v="0"/>
    <n v="0"/>
    <n v="0"/>
    <n v="0"/>
    <n v="0"/>
    <n v="0"/>
    <n v="0"/>
    <n v="0"/>
    <n v="0"/>
    <n v="0"/>
    <n v="46959.38359945479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22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4.6539999999999999"/>
    <n v="4.6539999999999999"/>
    <n v="4.6539999999999999"/>
    <n v="4.6539999999999999"/>
    <m/>
    <n v="85.01"/>
    <n v="173.25"/>
    <m/>
    <n v="1201.9420399999999"/>
    <n v="1201.9420399999999"/>
    <n v="1296.9301799999998"/>
    <n v="0"/>
    <n v="249.19521587058654"/>
    <n v="0"/>
    <n v="0"/>
    <n v="0"/>
    <n v="0"/>
    <n v="0"/>
    <n v="792.76455010404663"/>
    <n v="13.530264851138979"/>
    <n v="0"/>
    <n v="0"/>
    <n v="0"/>
    <n v="0"/>
    <n v="44.255026910672456"/>
    <m/>
    <n v="3.7269875524177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805667737305825"/>
    <n v="0"/>
    <n v="0"/>
    <n v="0"/>
    <n v="0"/>
    <n v="0"/>
    <m/>
    <m/>
    <m/>
    <m/>
    <m/>
    <m/>
    <m/>
    <m/>
    <m/>
    <n v="827.57021784135247"/>
    <m/>
    <m/>
    <m/>
    <m/>
    <m/>
    <m/>
    <m/>
    <m/>
    <m/>
    <m/>
    <m/>
    <m/>
    <n v="1295.8155000000002"/>
    <n v="93.843460000000277"/>
    <m/>
    <m/>
    <m/>
    <m/>
    <n v="-5.4917200000000319"/>
    <n v="100.47986000000002"/>
    <n v="31"/>
    <n v="94.974656422775297"/>
    <n v="0"/>
    <n v="0"/>
    <n v="0"/>
    <n v="0"/>
    <n v="0"/>
    <n v="0"/>
    <n v="0"/>
    <n v="0"/>
    <n v="0"/>
    <n v="0"/>
    <n v="100.4685152427495"/>
    <n v="0"/>
    <n v="0"/>
    <n v="0"/>
    <n v="4.4109865396234085"/>
    <n v="0"/>
    <n v="-8.4618809756515532"/>
    <m/>
    <n v="0"/>
    <n v="0"/>
    <n v="0"/>
    <n v="0"/>
    <n v="-1.3375225769695263"/>
    <n v="-0.10544180697635719"/>
    <n v="0"/>
    <n v="0"/>
    <m/>
    <m/>
    <m/>
    <n v="0"/>
    <n v="0"/>
    <n v="0"/>
    <n v="-5.4917200000000435"/>
    <n v="100.47986000000003"/>
    <n v="0"/>
    <n v="0"/>
    <n v="0"/>
    <n v="0"/>
    <n v="0"/>
    <n v="0"/>
    <n v="0"/>
    <n v="0"/>
    <n v="0"/>
    <n v="0"/>
    <n v="0"/>
    <n v="0"/>
    <n v="0"/>
    <n v="0"/>
    <n v="0"/>
    <n v="63.64001371866252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23"/>
    <s v="Regular"/>
    <s v="Verde"/>
    <s v="A4"/>
    <s v="Industrial"/>
    <s v="Não se aplica"/>
    <s v="Não se aplica"/>
    <s v="Não se aplica"/>
    <s v="Não se aplica"/>
    <s v="CATIVO"/>
    <x v="3"/>
    <n v="18985"/>
    <n v="18985"/>
    <n v="0"/>
    <n v="0"/>
    <n v="0"/>
    <n v="0"/>
    <n v="27.19"/>
    <m/>
    <m/>
    <n v="516202.15"/>
    <m/>
    <n v="516202.15"/>
    <n v="413113.60000000003"/>
    <n v="0"/>
    <n v="0"/>
    <n v="0"/>
    <n v="0"/>
    <n v="4427.3136459223024"/>
    <n v="4253.3014254475002"/>
    <n v="454349.59416638309"/>
    <m/>
    <m/>
    <m/>
    <n v="0"/>
    <n v="0"/>
    <n v="0"/>
    <n v="0"/>
    <m/>
    <n v="0"/>
    <n v="9395.3885182524591"/>
    <n v="43819.066684573139"/>
    <n v="0"/>
    <n v="0"/>
    <m/>
    <m/>
    <n v="0"/>
    <n v="0"/>
    <n v="0"/>
    <m/>
    <m/>
    <n v="0"/>
    <m/>
    <n v="0"/>
    <n v="0"/>
    <n v="0"/>
    <n v="0"/>
    <m/>
    <n v="0"/>
    <n v="0"/>
    <n v="153.02000000000001"/>
    <n v="13164"/>
    <n v="464931.3"/>
    <n v="109"/>
    <m/>
    <m/>
    <m/>
    <m/>
    <m/>
    <m/>
    <m/>
    <m/>
    <m/>
    <n v="0"/>
    <m/>
    <m/>
    <m/>
    <m/>
    <m/>
    <m/>
    <m/>
    <m/>
    <m/>
    <m/>
    <m/>
    <m/>
    <n v="413113.60000000003"/>
    <n v="-103088.58000000002"/>
    <m/>
    <m/>
    <m/>
    <m/>
    <n v="-103088.54999999999"/>
    <n v="0"/>
    <n v="31"/>
    <n v="9682.197909999406"/>
    <n v="936.23038373995405"/>
    <n v="4366.4763343767991"/>
    <n v="0"/>
    <n v="0"/>
    <m/>
    <m/>
    <m/>
    <n v="4379.49119188266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4349.59416638309"/>
    <m/>
    <n v="0"/>
    <n v="0"/>
    <n v="-103088.54999999999"/>
    <m/>
    <n v="0"/>
    <m/>
    <n v="-112868.1461259640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24"/>
    <s v="Sistema de Compensação"/>
    <s v="Verde"/>
    <s v="A4"/>
    <s v="Industrial"/>
    <s v="Não se aplica"/>
    <s v="Não se aplica"/>
    <s v="Não se aplica"/>
    <s v="Não se aplica"/>
    <s v="CATIVO"/>
    <x v="3"/>
    <n v="170"/>
    <n v="170"/>
    <n v="0"/>
    <n v="0"/>
    <n v="0"/>
    <n v="0"/>
    <n v="27.19"/>
    <m/>
    <m/>
    <n v="4622.3"/>
    <m/>
    <n v="4622.3"/>
    <n v="3699.2000000000003"/>
    <n v="0"/>
    <n v="0"/>
    <n v="0"/>
    <n v="0"/>
    <n v="39.64410428268588"/>
    <n v="38.085922692972083"/>
    <n v="4068.4451413371148"/>
    <m/>
    <m/>
    <m/>
    <n v="0"/>
    <n v="0"/>
    <n v="0"/>
    <n v="0"/>
    <m/>
    <n v="0"/>
    <n v="84.130421285378873"/>
    <n v="392.3751033119533"/>
    <n v="0"/>
    <n v="0"/>
    <m/>
    <m/>
    <n v="0"/>
    <n v="0"/>
    <n v="0"/>
    <m/>
    <m/>
    <n v="0"/>
    <m/>
    <n v="0"/>
    <n v="0"/>
    <n v="0"/>
    <n v="0"/>
    <m/>
    <n v="0"/>
    <n v="0"/>
    <n v="0.42"/>
    <n v="37.5"/>
    <n v="1369.4"/>
    <n v="2"/>
    <m/>
    <m/>
    <m/>
    <m/>
    <m/>
    <m/>
    <m/>
    <m/>
    <m/>
    <n v="0"/>
    <m/>
    <m/>
    <m/>
    <m/>
    <m/>
    <m/>
    <m/>
    <m/>
    <m/>
    <m/>
    <m/>
    <m/>
    <n v="3699.2000000000003"/>
    <n v="-923.13000000000056"/>
    <m/>
    <m/>
    <m/>
    <m/>
    <n v="-923.09999999999991"/>
    <n v="0"/>
    <n v="31"/>
    <n v="86.698638119562929"/>
    <n v="8.3834166571394348"/>
    <n v="39.099340365765386"/>
    <n v="0"/>
    <n v="0"/>
    <m/>
    <m/>
    <m/>
    <n v="39.2158810966580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68.4451413371148"/>
    <m/>
    <n v="0"/>
    <n v="0"/>
    <n v="-923.09999999999991"/>
    <m/>
    <n v="0"/>
    <m/>
    <n v="-1010.670784377871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25"/>
    <s v="Regular"/>
    <s v="Branca"/>
    <s v="B3"/>
    <s v="Industrial"/>
    <s v="Não se aplica"/>
    <s v="Não se aplica"/>
    <s v="Não se aplica"/>
    <s v="Ponta"/>
    <s v="CATIVO"/>
    <x v="3"/>
    <n v="0"/>
    <n v="0"/>
    <n v="1.0999999999999999E-2"/>
    <n v="1.0999999999999999E-2"/>
    <n v="1.0999999999999999E-2"/>
    <n v="1.0999999999999999E-2"/>
    <m/>
    <n v="1553.42"/>
    <n v="173.25"/>
    <m/>
    <n v="18.993370000000002"/>
    <n v="18.993370000000002"/>
    <n v="18.02064"/>
    <n v="0"/>
    <n v="0.67699701519307431"/>
    <n v="0"/>
    <n v="0"/>
    <n v="1.192941706556677"/>
    <n v="8.2495821145544948E-2"/>
    <n v="7.9022669378674886"/>
    <n v="1.873745176438443"/>
    <n v="3.1979568835953751E-2"/>
    <n v="0"/>
    <n v="0"/>
    <n v="0"/>
    <n v="0"/>
    <n v="0.1045993330505795"/>
    <m/>
    <n v="1.3286423857989919E-2"/>
    <n v="3.4710936119227167"/>
    <n v="3.3726670392996456"/>
    <n v="0"/>
    <n v="0"/>
    <n v="0"/>
    <n v="0"/>
    <n v="0"/>
    <n v="0"/>
    <n v="0"/>
    <n v="0"/>
    <n v="0"/>
    <n v="0"/>
    <m/>
    <n v="0"/>
    <n v="0"/>
    <n v="0"/>
    <n v="0"/>
    <n v="0"/>
    <n v="9.8337710075395782E-2"/>
    <n v="0"/>
    <n v="0"/>
    <n v="0"/>
    <n v="0"/>
    <n v="0"/>
    <m/>
    <m/>
    <m/>
    <m/>
    <m/>
    <m/>
    <m/>
    <m/>
    <m/>
    <n v="1.9720828865138387"/>
    <m/>
    <m/>
    <m/>
    <m/>
    <m/>
    <m/>
    <m/>
    <m/>
    <m/>
    <m/>
    <m/>
    <m/>
    <n v="16.382400000000001"/>
    <n v="-2.6409700000000065"/>
    <m/>
    <m/>
    <m/>
    <m/>
    <n v="-1.2102199999999996"/>
    <n v="0.23749000000000003"/>
    <n v="31"/>
    <n v="0.99030930742299716"/>
    <n v="0.34588705916465834"/>
    <n v="0.33607906158392531"/>
    <n v="0"/>
    <n v="0"/>
    <n v="0"/>
    <n v="0"/>
    <n v="0"/>
    <n v="8.4943361858259833E-2"/>
    <n v="0"/>
    <n v="0"/>
    <n v="0.23746318600563887"/>
    <n v="0"/>
    <n v="0"/>
    <n v="0"/>
    <n v="1.2462519574507419E-2"/>
    <n v="0"/>
    <n v="-2.2988676341243797E-2"/>
    <m/>
    <n v="0"/>
    <n v="0"/>
    <n v="0"/>
    <n v="0"/>
    <n v="-3.1613124939116471E-3"/>
    <n v="-3.7589192883978953E-4"/>
    <n v="0"/>
    <n v="0"/>
    <m/>
    <m/>
    <m/>
    <n v="7.9022669378674886"/>
    <n v="0"/>
    <n v="0"/>
    <n v="-1.2102200000000014"/>
    <n v="0.2374900000000002"/>
    <n v="0"/>
    <n v="0"/>
    <n v="-1.9630571500917631"/>
    <n v="0"/>
    <n v="0"/>
    <n v="0"/>
    <n v="0"/>
    <n v="0"/>
    <n v="0"/>
    <n v="0"/>
    <n v="0"/>
    <n v="0"/>
    <n v="0"/>
    <n v="0"/>
    <n v="0"/>
    <n v="0.172892963389615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26"/>
    <s v="Regular"/>
    <s v="Branca"/>
    <s v="B3"/>
    <s v="Industrial"/>
    <s v="Não se aplica"/>
    <s v="Não se aplica"/>
    <s v="Não se aplica"/>
    <s v="Fora ponta"/>
    <s v="CATIVO"/>
    <x v="3"/>
    <n v="0"/>
    <n v="0"/>
    <n v="2.3370000000000002"/>
    <n v="2.3370000000000002"/>
    <n v="2.3370000000000002"/>
    <n v="2.3370000000000002"/>
    <m/>
    <n v="388.22"/>
    <n v="173.25"/>
    <m/>
    <n v="1312.1553900000001"/>
    <n v="1312.1553900000001"/>
    <n v="1308.7901100000001"/>
    <n v="0"/>
    <n v="143.83109313692864"/>
    <n v="0"/>
    <n v="0"/>
    <n v="50.689177604053718"/>
    <n v="3.5053257164661509"/>
    <n v="335.77475774367679"/>
    <n v="398.08567975787651"/>
    <n v="6.7942047608749023"/>
    <n v="0"/>
    <n v="0"/>
    <n v="0"/>
    <n v="0"/>
    <n v="22.222603758109486"/>
    <m/>
    <n v="2.8227611414656768"/>
    <n v="147.48992311024347"/>
    <n v="143.3076885607868"/>
    <n v="0"/>
    <n v="0"/>
    <n v="0"/>
    <n v="0"/>
    <n v="0"/>
    <n v="0"/>
    <n v="0"/>
    <n v="0"/>
    <n v="0"/>
    <n v="0"/>
    <m/>
    <n v="0"/>
    <n v="0"/>
    <n v="0"/>
    <n v="0"/>
    <n v="0"/>
    <n v="20.892293495109087"/>
    <n v="0"/>
    <n v="0"/>
    <n v="0"/>
    <n v="0"/>
    <n v="0"/>
    <m/>
    <m/>
    <m/>
    <m/>
    <m/>
    <m/>
    <m/>
    <m/>
    <m/>
    <n v="418.97797325298558"/>
    <m/>
    <m/>
    <m/>
    <m/>
    <m/>
    <m/>
    <m/>
    <m/>
    <m/>
    <m/>
    <m/>
    <m/>
    <n v="1310.4702"/>
    <n v="-1.7151900000001206"/>
    <m/>
    <m/>
    <m/>
    <m/>
    <n v="-53.821110000000076"/>
    <n v="50.455830000000013"/>
    <n v="31"/>
    <n v="80.048992719441458"/>
    <n v="14.697055586687128"/>
    <n v="14.280304853120327"/>
    <n v="0"/>
    <n v="0"/>
    <n v="0"/>
    <n v="0"/>
    <n v="0"/>
    <n v="3.6093240436934191"/>
    <n v="0"/>
    <n v="0"/>
    <n v="50.450133245016218"/>
    <n v="0"/>
    <n v="0"/>
    <n v="0"/>
    <n v="2.64771893142035"/>
    <n v="0"/>
    <n v="-4.8840487826806225"/>
    <m/>
    <n v="0"/>
    <n v="0"/>
    <n v="0"/>
    <n v="0"/>
    <n v="-0.67163520893377537"/>
    <n v="-7.9859948881690013E-2"/>
    <n v="0"/>
    <n v="0"/>
    <m/>
    <m/>
    <m/>
    <n v="335.77475774367679"/>
    <n v="0"/>
    <n v="0"/>
    <n v="-53.821109999999976"/>
    <n v="50.455829999999992"/>
    <n v="0"/>
    <n v="0"/>
    <n v="-83.412145425060459"/>
    <n v="0"/>
    <n v="0"/>
    <n v="0"/>
    <n v="0"/>
    <n v="0"/>
    <n v="0"/>
    <n v="0"/>
    <n v="0"/>
    <n v="0"/>
    <n v="0"/>
    <n v="0"/>
    <n v="0"/>
    <n v="36.73189594923017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27"/>
    <s v="Regular"/>
    <s v="Branca"/>
    <s v="B3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2"/>
    <n v="11.03"/>
    <n v="389.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28"/>
    <s v="Regular"/>
    <s v="Branca"/>
    <s v="B3"/>
    <s v="Industrial"/>
    <s v="Não se aplica"/>
    <s v="Não se aplica"/>
    <s v="Não se aplica"/>
    <s v="Intermediário"/>
    <s v="CATIVO"/>
    <x v="3"/>
    <n v="0"/>
    <n v="0"/>
    <n v="0.13400000000000001"/>
    <n v="0.13400000000000001"/>
    <n v="0.13400000000000001"/>
    <n v="0.13400000000000001"/>
    <m/>
    <n v="970.82"/>
    <n v="173.25"/>
    <m/>
    <n v="153.30538000000001"/>
    <n v="153.30538000000001"/>
    <n v="147.28342000000001"/>
    <n v="0"/>
    <n v="8.2470545487156333"/>
    <n v="0"/>
    <n v="0"/>
    <n v="8.7193193824688162"/>
    <n v="0.60297002054744953"/>
    <n v="57.758401867415891"/>
    <n v="22.825623058431944"/>
    <n v="0.38956929309252758"/>
    <n v="0"/>
    <n v="0"/>
    <n v="0"/>
    <n v="0"/>
    <n v="1.2742100571616051"/>
    <m/>
    <n v="0.16185279972460448"/>
    <n v="25.370538763507835"/>
    <n v="24.651129996335648"/>
    <n v="0"/>
    <n v="0"/>
    <n v="0"/>
    <n v="0"/>
    <n v="0"/>
    <n v="0"/>
    <n v="0"/>
    <n v="0"/>
    <n v="0"/>
    <n v="0"/>
    <m/>
    <n v="0"/>
    <n v="0"/>
    <n v="0"/>
    <n v="0"/>
    <n v="0"/>
    <n v="1.1979321045548215"/>
    <n v="0"/>
    <n v="0"/>
    <n v="0"/>
    <n v="0"/>
    <n v="0"/>
    <m/>
    <m/>
    <m/>
    <m/>
    <m/>
    <m/>
    <m/>
    <m/>
    <m/>
    <n v="24.023555162986767"/>
    <m/>
    <m/>
    <m/>
    <m/>
    <m/>
    <m/>
    <m/>
    <m/>
    <m/>
    <m/>
    <m/>
    <m/>
    <n v="142.8869"/>
    <n v="-10.448479999999989"/>
    <m/>
    <m/>
    <m/>
    <m/>
    <n v="-8.9150200000000126"/>
    <n v="2.8930600000000006"/>
    <n v="31"/>
    <n v="8.3268277560904238"/>
    <n v="2.5281199597126189"/>
    <n v="2.456432413758737"/>
    <n v="0"/>
    <n v="0"/>
    <n v="0"/>
    <n v="0"/>
    <n v="0"/>
    <n v="0.62085933485869105"/>
    <n v="0"/>
    <n v="0"/>
    <n v="2.892733356795965"/>
    <n v="0"/>
    <n v="0"/>
    <n v="0"/>
    <n v="0.15181614754399941"/>
    <n v="0"/>
    <n v="-0.28004387542969678"/>
    <m/>
    <n v="0"/>
    <n v="0"/>
    <n v="0"/>
    <n v="0"/>
    <n v="-3.8510534016741982E-2"/>
    <n v="-4.5790471331392524E-3"/>
    <n v="0"/>
    <n v="0"/>
    <m/>
    <m/>
    <m/>
    <n v="57.758401867415891"/>
    <n v="0"/>
    <n v="0"/>
    <n v="-8.9150200000000268"/>
    <n v="2.8930599999999984"/>
    <n v="0"/>
    <n v="0"/>
    <n v="-14.348166754577072"/>
    <n v="0"/>
    <n v="0"/>
    <n v="0"/>
    <n v="0"/>
    <n v="0"/>
    <n v="0"/>
    <n v="0"/>
    <n v="0"/>
    <n v="0"/>
    <n v="0"/>
    <n v="0"/>
    <n v="0"/>
    <n v="2.10615064492804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29"/>
    <s v="Regular"/>
    <s v="Convencional"/>
    <s v="B3"/>
    <s v="Comercial"/>
    <s v="Não se aplica"/>
    <s v="Não se aplica"/>
    <s v="Não se aplica"/>
    <s v="Não se aplica"/>
    <s v="CATIVO"/>
    <x v="3"/>
    <n v="0"/>
    <n v="0"/>
    <n v="2414.2139999999999"/>
    <n v="2414.2139999999999"/>
    <n v="2414.2139999999999"/>
    <n v="2414.2139999999999"/>
    <m/>
    <n v="368.24"/>
    <n v="173.25"/>
    <m/>
    <n v="1307272.7388599999"/>
    <n v="1307272.7388599999"/>
    <n v="1228569.36246"/>
    <n v="0"/>
    <n v="148583.2429124848"/>
    <n v="0"/>
    <n v="0"/>
    <n v="6179.2709398183833"/>
    <n v="5936.8937455477726"/>
    <n v="568636.97832667513"/>
    <n v="411238.34885365085"/>
    <n v="7018.6838907021138"/>
    <n v="0"/>
    <n v="0"/>
    <n v="0"/>
    <n v="0"/>
    <n v="22956.834021942886"/>
    <m/>
    <n v="2916.0245898084795"/>
    <n v="13117.379598905216"/>
    <n v="61164.405902509105"/>
    <n v="0"/>
    <n v="0"/>
    <n v="0"/>
    <n v="0"/>
    <n v="0"/>
    <n v="0"/>
    <n v="0"/>
    <n v="0"/>
    <n v="0"/>
    <n v="0"/>
    <m/>
    <n v="0"/>
    <n v="0"/>
    <n v="0"/>
    <n v="0"/>
    <n v="0"/>
    <n v="21582.570581087413"/>
    <n v="0"/>
    <n v="91.37"/>
    <n v="9479.82"/>
    <n v="677502.4"/>
    <n v="4307"/>
    <m/>
    <m/>
    <m/>
    <m/>
    <m/>
    <m/>
    <m/>
    <m/>
    <m/>
    <n v="432820.91943473829"/>
    <m/>
    <m/>
    <m/>
    <m/>
    <m/>
    <m/>
    <m/>
    <m/>
    <m/>
    <m/>
    <m/>
    <m/>
    <n v="1228567.3269"/>
    <n v="-78705.441959999967"/>
    <m/>
    <m/>
    <m/>
    <m/>
    <n v="-130826.25665999998"/>
    <n v="52122.880260000005"/>
    <n v="31"/>
    <n v="62545.507748942124"/>
    <n v="1307.1188393846187"/>
    <n v="6094.9023127767796"/>
    <n v="0"/>
    <n v="0"/>
    <n v="0"/>
    <n v="0"/>
    <n v="0"/>
    <n v="6113.0334450806286"/>
    <n v="0"/>
    <n v="0"/>
    <n v="52116.995285401586"/>
    <n v="0"/>
    <n v="0"/>
    <n v="0"/>
    <n v="2735.1990210954427"/>
    <n v="0"/>
    <n v="-5045.4167513181455"/>
    <m/>
    <n v="0"/>
    <n v="0"/>
    <n v="0"/>
    <n v="0"/>
    <n v="-693.82589828876735"/>
    <n v="-82.498505190184005"/>
    <n v="0"/>
    <n v="0"/>
    <m/>
    <m/>
    <m/>
    <n v="568636.97832667513"/>
    <n v="0"/>
    <n v="0"/>
    <n v="-130826.25665999996"/>
    <n v="52122.880260000005"/>
    <n v="0"/>
    <n v="0"/>
    <n v="-141259.07095869345"/>
    <n v="0"/>
    <n v="0"/>
    <n v="0"/>
    <n v="0"/>
    <n v="0"/>
    <n v="0"/>
    <n v="0"/>
    <n v="0"/>
    <n v="0"/>
    <n v="0"/>
    <n v="0"/>
    <n v="0"/>
    <n v="37945.51024697251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30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-0.03"/>
    <n v="-0.03"/>
    <n v="-0.03"/>
    <n v="-0.03"/>
    <m/>
    <n v="368.24"/>
    <n v="173.25"/>
    <m/>
    <n v="-16.244700000000002"/>
    <n v="-16.244700000000002"/>
    <n v="-15.2667"/>
    <n v="0"/>
    <n v="-1.8463554959811119"/>
    <n v="0"/>
    <n v="0"/>
    <n v="-7.6786120946424591E-2"/>
    <n v="-7.3774243860085797E-2"/>
    <n v="-7.0661131738115399"/>
    <n v="-5.1102141175593898"/>
    <n v="-8.7217005916237503E-2"/>
    <n v="0"/>
    <n v="0"/>
    <n v="0"/>
    <n v="0"/>
    <n v="-0.28527090831976226"/>
    <m/>
    <n v="-3.6235701430881596E-2"/>
    <n v="-0.1630018664323695"/>
    <n v="-0.76005365600368202"/>
    <n v="0"/>
    <n v="0"/>
    <n v="0"/>
    <n v="0"/>
    <n v="0"/>
    <n v="0"/>
    <n v="0"/>
    <n v="0"/>
    <n v="0"/>
    <n v="0"/>
    <m/>
    <n v="0"/>
    <n v="0"/>
    <n v="0"/>
    <n v="0"/>
    <n v="0"/>
    <n v="-0.26819375475107943"/>
    <n v="0"/>
    <n v="0"/>
    <n v="-0.11"/>
    <n v="-8.32"/>
    <n v="0"/>
    <m/>
    <m/>
    <m/>
    <m/>
    <m/>
    <m/>
    <m/>
    <m/>
    <m/>
    <n v="-5.3784078723104694"/>
    <m/>
    <m/>
    <m/>
    <m/>
    <m/>
    <m/>
    <m/>
    <m/>
    <m/>
    <m/>
    <m/>
    <m/>
    <n v="-15.2667"/>
    <n v="0.94799999999999685"/>
    <m/>
    <m/>
    <m/>
    <m/>
    <n v="1.6256999999999999"/>
    <n v="-0.64770000000000005"/>
    <n v="31"/>
    <n v="-0.77721578636701594"/>
    <n v="-1.6242787582848306E-2"/>
    <n v="-7.5737722249686001E-2"/>
    <n v="0"/>
    <n v="0"/>
    <n v="0"/>
    <n v="0"/>
    <n v="0"/>
    <n v="-7.5963027035887809E-2"/>
    <n v="0"/>
    <n v="0"/>
    <n v="-0.64762687092447013"/>
    <n v="0"/>
    <n v="0"/>
    <n v="0"/>
    <n v="-3.3988689748656598E-2"/>
    <n v="0"/>
    <n v="6.2696390021574011E-2"/>
    <m/>
    <n v="0"/>
    <n v="0"/>
    <n v="0"/>
    <n v="0"/>
    <n v="8.6217613470317422E-3"/>
    <n v="1.0251598059266981E-3"/>
    <n v="0"/>
    <n v="0"/>
    <m/>
    <m/>
    <m/>
    <n v="-7.0661131738115399"/>
    <n v="0"/>
    <n v="0"/>
    <n v="1.6257000000000001"/>
    <n v="-0.64770000000000039"/>
    <n v="0"/>
    <n v="0"/>
    <n v="1.7553423717867602"/>
    <n v="0"/>
    <n v="0"/>
    <n v="0"/>
    <n v="0"/>
    <n v="0"/>
    <n v="0"/>
    <n v="0"/>
    <n v="0"/>
    <n v="0"/>
    <n v="0"/>
    <n v="0"/>
    <n v="0"/>
    <n v="-0.471526263789861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31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130.036"/>
    <n v="130.036"/>
    <n v="130.036"/>
    <n v="130.036"/>
    <m/>
    <n v="368.24"/>
    <n v="173.25"/>
    <m/>
    <n v="70413.193640000012"/>
    <n v="70413.193640000012"/>
    <n v="66174.020040000003"/>
    <n v="0"/>
    <n v="8003.0894425133292"/>
    <n v="0"/>
    <n v="0"/>
    <n v="332.83200077964233"/>
    <n v="319.77691915300392"/>
    <n v="30628.303088991917"/>
    <n v="22150.393433031761"/>
    <n v="378.04501937746204"/>
    <n v="0"/>
    <n v="0"/>
    <n v="0"/>
    <n v="0"/>
    <n v="1236.516261142287"/>
    <m/>
    <n v="157.06485570887065"/>
    <n v="706.53702344665328"/>
    <n v="3294.4779070698264"/>
    <n v="0"/>
    <n v="0"/>
    <n v="0"/>
    <n v="0"/>
    <n v="0"/>
    <n v="0"/>
    <n v="0"/>
    <n v="0"/>
    <n v="0"/>
    <n v="0"/>
    <m/>
    <n v="0"/>
    <n v="0"/>
    <n v="0"/>
    <n v="0"/>
    <n v="0"/>
    <n v="1162.4947697603789"/>
    <n v="0"/>
    <n v="4.8899999999999997"/>
    <n v="512.24"/>
    <n v="66487.53"/>
    <n v="230"/>
    <m/>
    <m/>
    <m/>
    <m/>
    <m/>
    <m/>
    <m/>
    <m/>
    <m/>
    <n v="23312.888202792139"/>
    <m/>
    <m/>
    <m/>
    <m/>
    <m/>
    <m/>
    <m/>
    <m/>
    <m/>
    <m/>
    <m/>
    <m/>
    <n v="66176.055599999992"/>
    <n v="-4237.1680400000041"/>
    <m/>
    <m/>
    <m/>
    <m/>
    <n v="-7046.6508399999993"/>
    <n v="2807.4772400000006"/>
    <n v="31"/>
    <n v="3368.8677332007064"/>
    <n v="70.404904204108789"/>
    <n v="328.28768168200577"/>
    <n v="0"/>
    <n v="0"/>
    <n v="0"/>
    <n v="0"/>
    <n v="0"/>
    <n v="329.26427278795694"/>
    <n v="0"/>
    <n v="0"/>
    <n v="2807.1602595844779"/>
    <n v="0"/>
    <n v="0"/>
    <n v="0"/>
    <n v="147.32510867187693"/>
    <n v="0"/>
    <n v="-271.75959242818044"/>
    <m/>
    <n v="0"/>
    <n v="0"/>
    <n v="0"/>
    <n v="0"/>
    <n v="-37.371311950754261"/>
    <n v="-4.4435893507828155"/>
    <n v="0"/>
    <n v="0"/>
    <m/>
    <m/>
    <m/>
    <n v="30628.303088991917"/>
    <n v="0"/>
    <n v="0"/>
    <n v="-7046.6508400000021"/>
    <n v="2807.4772400000002"/>
    <n v="0"/>
    <n v="0"/>
    <n v="-7608.5900219221076"/>
    <n v="0"/>
    <n v="0"/>
    <n v="0"/>
    <n v="0"/>
    <n v="0"/>
    <n v="0"/>
    <n v="0"/>
    <n v="0"/>
    <n v="0"/>
    <n v="0"/>
    <n v="0"/>
    <n v="0"/>
    <n v="2043.846307939278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32"/>
    <s v="Regular"/>
    <s v="Verde"/>
    <s v="A4"/>
    <s v="Comercial"/>
    <s v="Não se aplica"/>
    <s v="Não se aplica"/>
    <s v="Não se aplica"/>
    <s v="Ponta"/>
    <s v="CATIVO"/>
    <x v="3"/>
    <n v="0"/>
    <n v="0"/>
    <n v="72.150999999999996"/>
    <n v="72.150999999999996"/>
    <n v="72.150999999999996"/>
    <n v="72.150999999999996"/>
    <m/>
    <n v="1358.36"/>
    <n v="173.25"/>
    <m/>
    <n v="110507.19310999998"/>
    <n v="110507.19310999998"/>
    <n v="96893.020919999995"/>
    <n v="0"/>
    <n v="3863.2754663254595"/>
    <n v="0"/>
    <n v="0"/>
    <n v="1366.6906154973517"/>
    <n v="1313.0872680883376"/>
    <n v="72764.84027486277"/>
    <n v="12290.235293200918"/>
    <n v="209.75980646208174"/>
    <n v="0"/>
    <n v="0"/>
    <n v="0"/>
    <n v="0"/>
    <n v="686.08604353930559"/>
    <m/>
    <n v="57.779518456057609"/>
    <n v="2901.2510320752817"/>
    <n v="13528.031196132044"/>
    <n v="0"/>
    <n v="0"/>
    <n v="0"/>
    <n v="0"/>
    <n v="0"/>
    <n v="0"/>
    <n v="0"/>
    <n v="0"/>
    <n v="0"/>
    <n v="0"/>
    <m/>
    <n v="0"/>
    <n v="0"/>
    <n v="0"/>
    <n v="0"/>
    <n v="0"/>
    <n v="539.59255112040239"/>
    <n v="0"/>
    <n v="0"/>
    <n v="0"/>
    <n v="0"/>
    <n v="0"/>
    <m/>
    <m/>
    <m/>
    <m/>
    <m/>
    <m/>
    <m/>
    <m/>
    <m/>
    <n v="12829.82784432132"/>
    <m/>
    <m/>
    <m/>
    <m/>
    <m/>
    <m/>
    <m/>
    <m/>
    <m/>
    <m/>
    <m/>
    <m/>
    <n v="96891.678"/>
    <n v="-13615.545109999963"/>
    <m/>
    <m/>
    <m/>
    <m/>
    <n v="-15171.912279999997"/>
    <n v="1557.7400900000002"/>
    <n v="31"/>
    <n v="4461.5805430599357"/>
    <n v="289.10346408867508"/>
    <n v="1348.0393933040687"/>
    <n v="0"/>
    <n v="0"/>
    <n v="0"/>
    <n v="0"/>
    <n v="0"/>
    <n v="1352.044811674989"/>
    <n v="0"/>
    <n v="0"/>
    <n v="1557.5642121357141"/>
    <n v="0"/>
    <n v="0"/>
    <n v="0"/>
    <n v="68.383560339572"/>
    <n v="0"/>
    <n v="-131.1846098569481"/>
    <m/>
    <n v="0"/>
    <n v="0"/>
    <n v="0"/>
    <n v="0"/>
    <n v="-20.735623431656336"/>
    <n v="-1.6346651944888535"/>
    <n v="0"/>
    <n v="0"/>
    <m/>
    <m/>
    <m/>
    <n v="72764.84027486277"/>
    <n v="0"/>
    <n v="0"/>
    <n v="-15171.91227999999"/>
    <n v="1557.7400900000011"/>
    <n v="0"/>
    <n v="0"/>
    <n v="-18076.020602690776"/>
    <n v="0"/>
    <n v="0"/>
    <n v="0"/>
    <n v="0"/>
    <n v="0"/>
    <n v="0"/>
    <n v="0"/>
    <n v="0"/>
    <n v="0"/>
    <n v="0"/>
    <n v="0"/>
    <n v="0"/>
    <n v="986.611652302367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33"/>
    <s v="Sistema de Compensação"/>
    <s v="Verde"/>
    <s v="A4"/>
    <s v="Comercial"/>
    <s v="Não se aplica"/>
    <s v="Não se aplica"/>
    <s v="Não se aplica"/>
    <s v="Ponta"/>
    <s v="CATIVO"/>
    <x v="3"/>
    <n v="0"/>
    <n v="0"/>
    <n v="3.827"/>
    <n v="3.827"/>
    <n v="3.827"/>
    <n v="3.827"/>
    <m/>
    <n v="1358.36"/>
    <n v="173.25"/>
    <m/>
    <n v="5861.4714699999995"/>
    <n v="5861.4714699999995"/>
    <n v="5139.35484"/>
    <n v="0"/>
    <n v="204.91407201047159"/>
    <n v="0"/>
    <n v="0"/>
    <n v="72.491372060101241"/>
    <n v="69.648168077699111"/>
    <n v="3859.5590321949776"/>
    <n v="651.89298092999286"/>
    <n v="11.125982721381364"/>
    <n v="0"/>
    <n v="0"/>
    <n v="0"/>
    <n v="0"/>
    <n v="36.39105887132434"/>
    <m/>
    <n v="3.0647145172115766"/>
    <n v="153.88681653410353"/>
    <n v="717.54757921023042"/>
    <n v="0"/>
    <n v="0"/>
    <n v="0"/>
    <n v="0"/>
    <n v="0"/>
    <n v="0"/>
    <n v="0"/>
    <n v="0"/>
    <n v="0"/>
    <n v="0"/>
    <m/>
    <n v="0"/>
    <n v="0"/>
    <n v="0"/>
    <n v="0"/>
    <n v="0"/>
    <n v="28.620818743160594"/>
    <n v="0"/>
    <n v="0"/>
    <n v="0"/>
    <n v="0"/>
    <n v="0"/>
    <m/>
    <m/>
    <m/>
    <m/>
    <m/>
    <m/>
    <m/>
    <m/>
    <m/>
    <n v="680.51379967315347"/>
    <m/>
    <m/>
    <m/>
    <m/>
    <m/>
    <m/>
    <m/>
    <m/>
    <m/>
    <m/>
    <m/>
    <m/>
    <n v="5143.3835999999992"/>
    <n v="-718.11787000000095"/>
    <m/>
    <m/>
    <m/>
    <m/>
    <n v="-804.74155999999994"/>
    <n v="82.624930000000006"/>
    <n v="31"/>
    <n v="236.64909340536269"/>
    <n v="15.334492343382067"/>
    <n v="71.502082551519266"/>
    <n v="0"/>
    <n v="0"/>
    <n v="0"/>
    <n v="0"/>
    <n v="0"/>
    <n v="71.714536101789051"/>
    <n v="0"/>
    <n v="0"/>
    <n v="82.615601167598129"/>
    <n v="0"/>
    <n v="0"/>
    <n v="0"/>
    <n v="3.6271692065188539"/>
    <n v="0"/>
    <n v="-6.9582334537641941"/>
    <m/>
    <n v="0"/>
    <n v="0"/>
    <n v="0"/>
    <n v="0"/>
    <n v="-1.0998493558363478"/>
    <n v="-8.6705155844116533E-2"/>
    <n v="0"/>
    <n v="0"/>
    <m/>
    <m/>
    <m/>
    <n v="3859.5590321949776"/>
    <n v="0"/>
    <n v="0"/>
    <n v="-804.74155999999948"/>
    <n v="82.624930000000063"/>
    <n v="0"/>
    <n v="0"/>
    <n v="-958.77993162253597"/>
    <n v="0"/>
    <n v="0"/>
    <n v="0"/>
    <n v="0"/>
    <n v="0"/>
    <n v="0"/>
    <n v="0"/>
    <n v="0"/>
    <n v="0"/>
    <n v="0"/>
    <n v="0"/>
    <n v="0"/>
    <n v="52.33139933419026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34"/>
    <s v="Regular"/>
    <s v="Verde"/>
    <s v="A4"/>
    <s v="Comercial"/>
    <s v="Não se aplica"/>
    <s v="Não se aplica"/>
    <s v="Não se aplica"/>
    <s v="Fora ponta"/>
    <s v="CATIVO"/>
    <x v="3"/>
    <n v="0"/>
    <n v="0"/>
    <n v="884.58699999999999"/>
    <n v="884.58699999999999"/>
    <n v="884.58699999999999"/>
    <n v="884.58699999999999"/>
    <m/>
    <n v="85.01"/>
    <n v="173.25"/>
    <m/>
    <n v="228453.43862"/>
    <n v="228453.43862"/>
    <n v="246507.85928999999"/>
    <n v="0"/>
    <n v="47364.600004579836"/>
    <n v="0"/>
    <n v="0"/>
    <n v="0"/>
    <n v="0"/>
    <n v="0"/>
    <n v="150680.96585365027"/>
    <n v="2571.7009870808929"/>
    <n v="0"/>
    <n v="0"/>
    <n v="0"/>
    <n v="0"/>
    <n v="8411.5645659284528"/>
    <m/>
    <n v="708.38950108090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5.5223907907493"/>
    <n v="0"/>
    <n v="0"/>
    <n v="0"/>
    <n v="0"/>
    <n v="0"/>
    <m/>
    <m/>
    <m/>
    <m/>
    <m/>
    <m/>
    <m/>
    <m/>
    <m/>
    <n v="157296.48824444102"/>
    <m/>
    <m/>
    <m/>
    <m/>
    <m/>
    <m/>
    <m/>
    <m/>
    <m/>
    <m/>
    <m/>
    <m/>
    <n v="246508.69530000002"/>
    <n v="18055.226680000022"/>
    <m/>
    <m/>
    <m/>
    <m/>
    <n v="-1043.812660000006"/>
    <n v="19098.233330000003"/>
    <n v="31"/>
    <n v="18051.857842942321"/>
    <n v="0"/>
    <n v="0"/>
    <n v="0"/>
    <n v="0"/>
    <n v="0"/>
    <n v="0"/>
    <n v="0"/>
    <n v="0"/>
    <n v="0"/>
    <n v="0"/>
    <n v="19096.077029015461"/>
    <n v="0"/>
    <n v="0"/>
    <n v="0"/>
    <n v="838.39736788264963"/>
    <n v="0"/>
    <n v="-1608.3519352403746"/>
    <m/>
    <n v="0"/>
    <n v="0"/>
    <n v="0"/>
    <n v="0"/>
    <n v="-254.2232668228944"/>
    <n v="-20.041351892521448"/>
    <n v="0"/>
    <n v="0"/>
    <m/>
    <m/>
    <m/>
    <n v="0"/>
    <n v="0"/>
    <n v="0"/>
    <n v="-1043.8126600000105"/>
    <n v="19098.233330000017"/>
    <n v="0"/>
    <n v="0"/>
    <n v="0"/>
    <n v="0"/>
    <n v="0"/>
    <n v="0"/>
    <n v="0"/>
    <n v="0"/>
    <n v="0"/>
    <n v="0"/>
    <n v="0"/>
    <n v="0"/>
    <n v="0"/>
    <n v="0"/>
    <n v="0"/>
    <n v="12096.074090105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35"/>
    <s v="Sistema de Compensação"/>
    <s v="Verde"/>
    <s v="A4"/>
    <s v="Comercial"/>
    <s v="Não se aplica"/>
    <s v="Não se aplica"/>
    <s v="Não se aplica"/>
    <s v="Fora ponta"/>
    <s v="CATIVO"/>
    <x v="3"/>
    <n v="0"/>
    <n v="0"/>
    <n v="13.172000000000001"/>
    <n v="13.172000000000001"/>
    <n v="13.172000000000001"/>
    <n v="13.172000000000001"/>
    <m/>
    <n v="85.01"/>
    <n v="173.25"/>
    <m/>
    <n v="3401.8007200000002"/>
    <n v="3401.8007200000002"/>
    <n v="3670.6412399999999"/>
    <n v="0"/>
    <n v="705.28564319883242"/>
    <n v="0"/>
    <n v="0"/>
    <n v="0"/>
    <n v="0"/>
    <n v="0"/>
    <n v="2243.7246785497427"/>
    <n v="38.294080064289346"/>
    <n v="0"/>
    <n v="0"/>
    <n v="0"/>
    <n v="0"/>
    <n v="125.2529468129303"/>
    <m/>
    <n v="10.548319733658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508864511343447"/>
    <n v="0"/>
    <n v="0"/>
    <n v="0"/>
    <n v="0"/>
    <n v="0"/>
    <m/>
    <m/>
    <m/>
    <m/>
    <m/>
    <m/>
    <m/>
    <m/>
    <m/>
    <n v="2342.233543061086"/>
    <m/>
    <m/>
    <m/>
    <m/>
    <m/>
    <m/>
    <m/>
    <m/>
    <m/>
    <m/>
    <m/>
    <m/>
    <n v="3670.0839000000001"/>
    <n v="268.2531799999997"/>
    <m/>
    <m/>
    <m/>
    <m/>
    <n v="-15.542960000000091"/>
    <n v="284.38348000000008"/>
    <n v="31"/>
    <n v="268.80235805775601"/>
    <n v="0"/>
    <n v="0"/>
    <n v="0"/>
    <n v="0"/>
    <n v="0"/>
    <n v="0"/>
    <n v="0"/>
    <n v="0"/>
    <n v="0"/>
    <n v="0"/>
    <n v="284.35137146057059"/>
    <n v="0"/>
    <n v="0"/>
    <n v="0"/>
    <n v="12.484210292204438"/>
    <n v="0"/>
    <n v="-23.949268631560471"/>
    <m/>
    <n v="0"/>
    <n v="0"/>
    <n v="0"/>
    <n v="0"/>
    <n v="-3.7855280154367534"/>
    <n v="-0.29842704802161002"/>
    <n v="0"/>
    <n v="0"/>
    <m/>
    <m/>
    <m/>
    <n v="0"/>
    <n v="0"/>
    <n v="0"/>
    <n v="-15.542960000000221"/>
    <n v="284.38347999999996"/>
    <n v="0"/>
    <n v="0"/>
    <n v="0"/>
    <n v="0"/>
    <n v="0"/>
    <n v="0"/>
    <n v="0"/>
    <n v="0"/>
    <n v="0"/>
    <n v="0"/>
    <n v="0"/>
    <n v="0"/>
    <n v="0"/>
    <n v="0"/>
    <n v="0"/>
    <n v="180.117374452561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36"/>
    <s v="Regular"/>
    <s v="Verde"/>
    <s v="A4"/>
    <s v="Comercial"/>
    <s v="Não se aplica"/>
    <s v="Não se aplica"/>
    <s v="Não se aplica"/>
    <s v="Não se aplica"/>
    <s v="CATIVO"/>
    <x v="3"/>
    <n v="4022"/>
    <n v="4022"/>
    <n v="0"/>
    <n v="0"/>
    <n v="0"/>
    <n v="0"/>
    <n v="27.19"/>
    <m/>
    <m/>
    <n v="109358.18000000001"/>
    <m/>
    <n v="109358.18000000001"/>
    <n v="87518.720000000001"/>
    <n v="0"/>
    <n v="0"/>
    <n v="0"/>
    <n v="0"/>
    <n v="937.93286720566243"/>
    <n v="901.06812394784538"/>
    <n v="96254.625637987498"/>
    <m/>
    <m/>
    <m/>
    <n v="0"/>
    <n v="0"/>
    <n v="0"/>
    <n v="0"/>
    <m/>
    <n v="0"/>
    <n v="1990.4267906458463"/>
    <n v="9283.1333265922131"/>
    <n v="0"/>
    <n v="0"/>
    <m/>
    <m/>
    <n v="0"/>
    <n v="0"/>
    <n v="0"/>
    <m/>
    <m/>
    <n v="0"/>
    <m/>
    <n v="0"/>
    <n v="0"/>
    <n v="0"/>
    <n v="0"/>
    <m/>
    <n v="0"/>
    <n v="0"/>
    <n v="39.869999999999997"/>
    <n v="3435.1"/>
    <n v="237644.64"/>
    <n v="40"/>
    <m/>
    <m/>
    <m/>
    <m/>
    <m/>
    <m/>
    <m/>
    <m/>
    <m/>
    <n v="0"/>
    <m/>
    <m/>
    <m/>
    <m/>
    <m/>
    <m/>
    <m/>
    <m/>
    <m/>
    <m/>
    <m/>
    <m/>
    <n v="87518.720000000001"/>
    <n v="-21839.489999999991"/>
    <m/>
    <m/>
    <m/>
    <m/>
    <n v="-21839.46"/>
    <n v="0"/>
    <n v="31"/>
    <n v="2051.1877795110668"/>
    <n v="198.34177526479289"/>
    <n v="925.04439383004865"/>
    <n v="0"/>
    <n v="0"/>
    <m/>
    <m/>
    <m/>
    <n v="927.801610416226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254.625637987498"/>
    <m/>
    <n v="0"/>
    <n v="0"/>
    <n v="-21839.460000000006"/>
    <m/>
    <n v="0"/>
    <m/>
    <n v="-23911.28173392821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37"/>
    <s v="Sistema de Compensação"/>
    <s v="Verde"/>
    <s v="A4"/>
    <s v="Comercial"/>
    <s v="Não se aplica"/>
    <s v="Não se aplica"/>
    <s v="Não se aplica"/>
    <s v="Não se aplica"/>
    <s v="CATIVO"/>
    <x v="3"/>
    <n v="655"/>
    <n v="655"/>
    <n v="0"/>
    <n v="0"/>
    <n v="0"/>
    <n v="0"/>
    <n v="27.19"/>
    <m/>
    <m/>
    <n v="17809.45"/>
    <m/>
    <n v="17809.45"/>
    <n v="14252.800000000001"/>
    <n v="0"/>
    <n v="0"/>
    <n v="0"/>
    <n v="0"/>
    <n v="152.74640179505442"/>
    <n v="146.74281978762772"/>
    <n v="15675.479809269471"/>
    <m/>
    <m/>
    <m/>
    <n v="0"/>
    <n v="0"/>
    <n v="0"/>
    <n v="0"/>
    <m/>
    <n v="0"/>
    <n v="324.14956436425393"/>
    <n v="1511.7981921725261"/>
    <n v="0"/>
    <n v="0"/>
    <m/>
    <m/>
    <n v="0"/>
    <n v="0"/>
    <n v="0"/>
    <m/>
    <m/>
    <n v="0"/>
    <m/>
    <n v="0"/>
    <n v="0"/>
    <n v="0"/>
    <n v="0"/>
    <m/>
    <n v="0"/>
    <n v="0"/>
    <n v="1.91"/>
    <n v="165.49"/>
    <n v="13013.26"/>
    <n v="5"/>
    <m/>
    <m/>
    <m/>
    <m/>
    <m/>
    <m/>
    <m/>
    <m/>
    <m/>
    <n v="0"/>
    <m/>
    <m/>
    <m/>
    <m/>
    <m/>
    <m/>
    <m/>
    <m/>
    <m/>
    <m/>
    <m/>
    <m/>
    <n v="14252.800000000001"/>
    <n v="-3556.6799999999948"/>
    <m/>
    <m/>
    <m/>
    <m/>
    <n v="-3556.6499999999996"/>
    <n v="0"/>
    <n v="31"/>
    <n v="334.04475275478626"/>
    <n v="32.300811237801952"/>
    <n v="150.64745846809592"/>
    <n v="0"/>
    <n v="0"/>
    <m/>
    <m/>
    <m/>
    <n v="151.096483048888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675.479809269471"/>
    <m/>
    <n v="0"/>
    <n v="0"/>
    <n v="-3556.6499999999996"/>
    <m/>
    <n v="0"/>
    <m/>
    <n v="-3894.055080985326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38"/>
    <s v="Regular"/>
    <s v="Branca"/>
    <s v="B3"/>
    <s v="Comercial"/>
    <s v="Não se aplica"/>
    <s v="Não se aplica"/>
    <s v="Não se aplica"/>
    <s v="Ponta"/>
    <s v="CATIVO"/>
    <x v="3"/>
    <n v="0"/>
    <n v="0"/>
    <n v="0.56999999999999995"/>
    <n v="0.56999999999999995"/>
    <n v="0.56999999999999995"/>
    <n v="0.56999999999999995"/>
    <m/>
    <n v="1553.42"/>
    <n v="173.25"/>
    <m/>
    <n v="984.20190000000002"/>
    <n v="984.20190000000002"/>
    <n v="933.79679999999996"/>
    <n v="0"/>
    <n v="35.080754423641125"/>
    <n v="0"/>
    <n v="0"/>
    <n v="61.816070248845989"/>
    <n v="4.274783459360056"/>
    <n v="409.48110496222438"/>
    <n v="97.094068233628406"/>
    <n v="1.6571231124085124"/>
    <n v="0"/>
    <n v="0"/>
    <n v="0"/>
    <n v="0"/>
    <n v="5.4201472580754828"/>
    <m/>
    <n v="0.68847832718675028"/>
    <n v="179.86575989054077"/>
    <n v="174.76547385461799"/>
    <n v="0"/>
    <n v="0"/>
    <n v="0"/>
    <n v="0"/>
    <n v="0"/>
    <n v="0"/>
    <n v="0"/>
    <n v="0"/>
    <n v="0"/>
    <n v="0"/>
    <m/>
    <n v="0"/>
    <n v="0"/>
    <n v="0"/>
    <n v="0"/>
    <n v="0"/>
    <n v="5.0956813402705086"/>
    <n v="0"/>
    <n v="0"/>
    <n v="0"/>
    <n v="0"/>
    <n v="0"/>
    <m/>
    <m/>
    <m/>
    <m/>
    <m/>
    <m/>
    <m/>
    <m/>
    <m/>
    <n v="102.18974957389891"/>
    <m/>
    <m/>
    <m/>
    <m/>
    <m/>
    <m/>
    <m/>
    <m/>
    <m/>
    <m/>
    <m/>
    <m/>
    <n v="933.79679999999996"/>
    <n v="-50.435100000000034"/>
    <m/>
    <m/>
    <m/>
    <m/>
    <n v="-62.711399999999983"/>
    <n v="12.3063"/>
    <n v="31"/>
    <n v="51.316027748282409"/>
    <n v="17.92323852035048"/>
    <n v="17.415005918439761"/>
    <n v="0"/>
    <n v="0"/>
    <n v="0"/>
    <n v="0"/>
    <n v="0"/>
    <n v="4.4016105690189198"/>
    <n v="0"/>
    <n v="0"/>
    <n v="12.304910547564916"/>
    <n v="0"/>
    <n v="0"/>
    <n v="0"/>
    <n v="0.64578510522447541"/>
    <n v="0"/>
    <n v="-1.1912314104099053"/>
    <m/>
    <n v="0"/>
    <n v="0"/>
    <n v="0"/>
    <n v="0"/>
    <n v="-0.16381346559360388"/>
    <n v="-1.947803631260725E-2"/>
    <n v="0"/>
    <n v="0"/>
    <m/>
    <m/>
    <m/>
    <n v="409.48110496222438"/>
    <n v="0"/>
    <n v="0"/>
    <n v="-62.711400000000026"/>
    <n v="12.306299999999993"/>
    <n v="0"/>
    <n v="0"/>
    <n v="-101.7220523229368"/>
    <n v="0"/>
    <n v="0"/>
    <n v="0"/>
    <n v="0"/>
    <n v="0"/>
    <n v="0"/>
    <n v="0"/>
    <n v="0"/>
    <n v="0"/>
    <n v="0"/>
    <n v="0"/>
    <n v="0"/>
    <n v="8.95899901200735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39"/>
    <s v="Regular"/>
    <s v="Branca"/>
    <s v="B3"/>
    <s v="Comercial"/>
    <s v="Não se aplica"/>
    <s v="Não se aplica"/>
    <s v="Não se aplica"/>
    <s v="Fora ponta"/>
    <s v="CATIVO"/>
    <x v="3"/>
    <n v="0"/>
    <n v="0"/>
    <n v="8.8829999999999991"/>
    <n v="8.8829999999999991"/>
    <n v="8.8829999999999991"/>
    <n v="8.8829999999999991"/>
    <m/>
    <n v="388.22"/>
    <n v="173.25"/>
    <m/>
    <n v="4987.5380099999993"/>
    <n v="4987.5380099999993"/>
    <n v="4974.7464899999995"/>
    <n v="0"/>
    <n v="546.70586236000725"/>
    <n v="0"/>
    <n v="0"/>
    <n v="192.6709305335084"/>
    <n v="13.323837543589564"/>
    <n v="1276.2889058780831"/>
    <n v="1513.1344002093351"/>
    <n v="25.824955451797923"/>
    <n v="0"/>
    <n v="0"/>
    <n v="0"/>
    <n v="0"/>
    <n v="84.468715953481606"/>
    <m/>
    <n v="10.729391193684039"/>
    <n v="560.61317372199073"/>
    <n v="544.71638745634095"/>
    <n v="0"/>
    <n v="0"/>
    <n v="0"/>
    <n v="0"/>
    <n v="0"/>
    <n v="0"/>
    <n v="0"/>
    <n v="0"/>
    <n v="0"/>
    <n v="0"/>
    <m/>
    <n v="0"/>
    <n v="0"/>
    <n v="0"/>
    <n v="0"/>
    <n v="0"/>
    <n v="79.4121707817946"/>
    <n v="0"/>
    <n v="0"/>
    <n v="0"/>
    <n v="0"/>
    <n v="0"/>
    <m/>
    <m/>
    <m/>
    <m/>
    <m/>
    <m/>
    <m/>
    <m/>
    <m/>
    <n v="1592.5465709911298"/>
    <m/>
    <m/>
    <m/>
    <m/>
    <m/>
    <m/>
    <m/>
    <m/>
    <m/>
    <m/>
    <m/>
    <m/>
    <n v="4973.0664000000006"/>
    <n v="-14.501609999999346"/>
    <m/>
    <m/>
    <m/>
    <m/>
    <n v="-204.57549000000023"/>
    <n v="191.78397000000001"/>
    <n v="31"/>
    <n v="304.2683792583648"/>
    <n v="55.863904482901944"/>
    <n v="54.279823709999164"/>
    <n v="0"/>
    <n v="0"/>
    <n v="0"/>
    <n v="0"/>
    <n v="0"/>
    <n v="13.719137988929672"/>
    <n v="0"/>
    <n v="0"/>
    <n v="191.76231648073554"/>
    <n v="0"/>
    <n v="0"/>
    <n v="0"/>
    <n v="10.064051034577233"/>
    <n v="0"/>
    <n v="-18.564401085388113"/>
    <m/>
    <n v="0"/>
    <n v="0"/>
    <n v="0"/>
    <n v="0"/>
    <n v="-2.5529035348561138"/>
    <n v="-0.30354981853489527"/>
    <n v="0"/>
    <n v="0"/>
    <m/>
    <m/>
    <m/>
    <n v="1276.2889058780831"/>
    <n v="0"/>
    <n v="0"/>
    <n v="-204.57549000000017"/>
    <n v="191.78397000000018"/>
    <n v="0"/>
    <n v="0"/>
    <n v="-317.05181335507564"/>
    <n v="0"/>
    <n v="0"/>
    <n v="0"/>
    <n v="0"/>
    <n v="0"/>
    <n v="0"/>
    <n v="0"/>
    <n v="0"/>
    <n v="0"/>
    <n v="0"/>
    <n v="0"/>
    <n v="0"/>
    <n v="139.6189267081778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40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1"/>
    <n v="47.25"/>
    <n v="3374.67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41"/>
    <s v="Regular"/>
    <s v="Branca"/>
    <s v="B3"/>
    <s v="Comercial"/>
    <s v="Não se aplica"/>
    <s v="Não se aplica"/>
    <s v="Não se aplica"/>
    <s v="Intermediário"/>
    <s v="CATIVO"/>
    <x v="3"/>
    <n v="0"/>
    <n v="0"/>
    <n v="0.46400000000000002"/>
    <n v="0.46400000000000002"/>
    <n v="0.46400000000000002"/>
    <n v="0.46400000000000002"/>
    <m/>
    <n v="970.82"/>
    <n v="173.25"/>
    <m/>
    <n v="530.84848"/>
    <n v="530.84848"/>
    <n v="509.99631999999997"/>
    <n v="0"/>
    <n v="28.556965004507866"/>
    <n v="0"/>
    <n v="0"/>
    <n v="30.192270100489036"/>
    <n v="2.0878961905523625"/>
    <n v="199.99924228717146"/>
    <n v="79.037978351585238"/>
    <n v="1.3489563581711401"/>
    <n v="0"/>
    <n v="0"/>
    <n v="0"/>
    <n v="0"/>
    <n v="4.4121900486789905"/>
    <m/>
    <n v="0.5604455154643021"/>
    <n v="87.850223778116685"/>
    <n v="85.359136703729405"/>
    <n v="0"/>
    <n v="0"/>
    <n v="0"/>
    <n v="0"/>
    <n v="0"/>
    <n v="0"/>
    <n v="0"/>
    <n v="0"/>
    <n v="0"/>
    <n v="0"/>
    <m/>
    <n v="0"/>
    <n v="0"/>
    <n v="0"/>
    <n v="0"/>
    <n v="0"/>
    <n v="4.1480634068166955"/>
    <n v="0"/>
    <n v="0"/>
    <n v="0"/>
    <n v="0"/>
    <n v="0"/>
    <m/>
    <m/>
    <m/>
    <m/>
    <m/>
    <m/>
    <m/>
    <m/>
    <m/>
    <n v="83.186041758401927"/>
    <m/>
    <m/>
    <m/>
    <m/>
    <m/>
    <m/>
    <m/>
    <m/>
    <m/>
    <m/>
    <m/>
    <m/>
    <n v="505.59980000000002"/>
    <n v="-25.278679999999952"/>
    <m/>
    <m/>
    <m/>
    <m/>
    <n v="-30.869920000000043"/>
    <n v="10.017760000000003"/>
    <n v="31"/>
    <n v="28.833194618104244"/>
    <n v="8.7540870246765223"/>
    <n v="8.5058555222690586"/>
    <n v="0"/>
    <n v="0"/>
    <n v="0"/>
    <n v="0"/>
    <n v="0"/>
    <n v="2.149841278913676"/>
    <n v="0"/>
    <n v="0"/>
    <n v="10.016628936965134"/>
    <n v="0"/>
    <n v="0"/>
    <n v="0"/>
    <n v="0.5256917347792216"/>
    <n v="0"/>
    <n v="-0.9697041656670109"/>
    <m/>
    <n v="0"/>
    <n v="0"/>
    <n v="0"/>
    <n v="0"/>
    <n v="-0.13334990883409148"/>
    <n v="-1.5855804998332945E-2"/>
    <n v="0"/>
    <n v="0"/>
    <m/>
    <m/>
    <m/>
    <n v="199.99924228717146"/>
    <n v="0"/>
    <n v="0"/>
    <n v="-30.869920000000036"/>
    <n v="10.017759999999996"/>
    <n v="0"/>
    <n v="0"/>
    <n v="-49.683204284505706"/>
    <n v="0"/>
    <n v="0"/>
    <n v="0"/>
    <n v="0"/>
    <n v="0"/>
    <n v="0"/>
    <n v="0"/>
    <n v="0"/>
    <n v="0"/>
    <n v="0"/>
    <n v="0"/>
    <n v="0"/>
    <n v="7.29293954661651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42"/>
    <s v="Regular"/>
    <s v="Convencional"/>
    <s v="B2"/>
    <s v="Rural"/>
    <s v="Não se aplica"/>
    <s v="Não se aplica"/>
    <s v="Não se aplica"/>
    <s v="Não se aplica"/>
    <s v="CATIVO"/>
    <x v="3"/>
    <n v="0"/>
    <n v="0"/>
    <n v="5791.8059999999996"/>
    <n v="5791.8059999999996"/>
    <n v="5791.8059999999996"/>
    <n v="5791.8059999999996"/>
    <m/>
    <n v="368.24"/>
    <n v="173.25"/>
    <m/>
    <n v="3136205.03094"/>
    <n v="3136205.03094"/>
    <n v="2947392.1553400001"/>
    <n v="0"/>
    <n v="356457.76132521266"/>
    <n v="0"/>
    <n v="0"/>
    <n v="14824.34386714092"/>
    <n v="14242.870274476936"/>
    <n v="1364185.2225586907"/>
    <n v="986578.95957883925"/>
    <n v="16838.132605589995"/>
    <n v="0"/>
    <n v="0"/>
    <n v="0"/>
    <n v="0"/>
    <n v="55074.458614394971"/>
    <m/>
    <n v="6995.671765386287"/>
    <n v="31469.172933806538"/>
    <n v="146736.11083880204"/>
    <n v="0"/>
    <n v="0"/>
    <n v="0"/>
    <n v="0"/>
    <n v="0"/>
    <n v="0"/>
    <n v="0"/>
    <n v="0"/>
    <n v="0"/>
    <n v="0"/>
    <m/>
    <n v="0"/>
    <n v="0"/>
    <n v="0"/>
    <n v="0"/>
    <n v="0"/>
    <n v="51777.539930994339"/>
    <n v="0"/>
    <n v="165.15"/>
    <n v="20617.439999999999"/>
    <n v="195915.74"/>
    <n v="15889"/>
    <m/>
    <m/>
    <m/>
    <m/>
    <m/>
    <n v="353647.67436"/>
    <m/>
    <m/>
    <m/>
    <n v="1038356.4995098336"/>
    <m/>
    <m/>
    <m/>
    <m/>
    <m/>
    <m/>
    <m/>
    <m/>
    <m/>
    <m/>
    <m/>
    <m/>
    <n v="2593746.2723000003"/>
    <n v="-166107.23475999944"/>
    <m/>
    <m/>
    <m/>
    <m/>
    <n v="-313857.96713999996"/>
    <n v="125045.09154000001"/>
    <n v="31"/>
    <n v="150049.43515917333"/>
    <n v="3135.8358193022104"/>
    <n v="14621.939805068832"/>
    <n v="0"/>
    <n v="0"/>
    <n v="0"/>
    <n v="0"/>
    <n v="0"/>
    <n v="14665.437192153906"/>
    <n v="0"/>
    <n v="0"/>
    <n v="125030.97322605236"/>
    <n v="0"/>
    <n v="0"/>
    <n v="0"/>
    <n v="6561.8632406135948"/>
    <n v="0"/>
    <n v="-12104.177596843103"/>
    <m/>
    <n v="0"/>
    <n v="0"/>
    <n v="0"/>
    <n v="0"/>
    <n v="-1664.5189700102273"/>
    <n v="-197.91755716416992"/>
    <n v="0"/>
    <n v="0"/>
    <m/>
    <m/>
    <m/>
    <n v="1364185.2225586907"/>
    <n v="0"/>
    <n v="0"/>
    <n v="-313857.96714000008"/>
    <n v="125045.09154000005"/>
    <n v="0"/>
    <n v="0"/>
    <n v="-338886.74936562637"/>
    <n v="0"/>
    <n v="0"/>
    <n v="0"/>
    <n v="0"/>
    <n v="0"/>
    <n v="0"/>
    <n v="0"/>
    <n v="0"/>
    <n v="0"/>
    <n v="0"/>
    <n v="0"/>
    <n v="0"/>
    <n v="91032.9547925233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43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48.37700000000001"/>
    <n v="148.37700000000001"/>
    <n v="148.37700000000001"/>
    <n v="148.37700000000001"/>
    <m/>
    <n v="368.24"/>
    <n v="173.25"/>
    <m/>
    <n v="80344.661730000007"/>
    <n v="80344.661730000007"/>
    <n v="75507.571530000016"/>
    <n v="0"/>
    <n v="9131.8896475729816"/>
    <n v="0"/>
    <n v="0"/>
    <n v="379.77647558892147"/>
    <n v="364.88003270759839"/>
    <n v="34948.289146354502"/>
    <n v="25274.608004036989"/>
    <n v="431.3665895611191"/>
    <n v="0"/>
    <n v="0"/>
    <n v="0"/>
    <n v="0"/>
    <n v="1410.9213854587124"/>
    <m/>
    <n v="179.21815570699729"/>
    <n v="806.19093118785634"/>
    <n v="3759.1493772286112"/>
    <n v="0"/>
    <n v="0"/>
    <n v="0"/>
    <n v="0"/>
    <n v="0"/>
    <n v="0"/>
    <n v="0"/>
    <n v="0"/>
    <n v="0"/>
    <n v="0"/>
    <m/>
    <n v="0"/>
    <n v="0"/>
    <n v="0"/>
    <n v="0"/>
    <n v="0"/>
    <n v="1326.4594916233636"/>
    <n v="0"/>
    <n v="5.34"/>
    <n v="532.59"/>
    <n v="2542.98"/>
    <n v="212"/>
    <m/>
    <m/>
    <m/>
    <m/>
    <m/>
    <n v="9059.8996200000001"/>
    <m/>
    <m/>
    <m/>
    <n v="26601.067495660354"/>
    <m/>
    <m/>
    <m/>
    <m/>
    <m/>
    <m/>
    <m/>
    <m/>
    <m/>
    <m/>
    <m/>
    <m/>
    <n v="66449.015400000004"/>
    <n v="-4254.1388699999952"/>
    <m/>
    <m/>
    <m/>
    <m/>
    <n v="-8040.5496300000004"/>
    <n v="3203.4594300000008"/>
    <n v="31"/>
    <n v="3844.0315577926303"/>
    <n v="80.33520310600943"/>
    <n v="374.59120047472243"/>
    <n v="0"/>
    <n v="0"/>
    <n v="0"/>
    <n v="0"/>
    <n v="0"/>
    <n v="375.70553541679749"/>
    <n v="0"/>
    <n v="0"/>
    <n v="3203.0977409053339"/>
    <n v="0"/>
    <n v="0"/>
    <n v="0"/>
    <n v="168.10466062788078"/>
    <n v="0"/>
    <n v="-310.0900754077029"/>
    <m/>
    <n v="0"/>
    <n v="0"/>
    <n v="0"/>
    <n v="0"/>
    <n v="-42.64236944628442"/>
    <n v="-5.0703378841328401"/>
    <n v="0"/>
    <n v="0"/>
    <m/>
    <m/>
    <m/>
    <n v="34948.289146354502"/>
    <n v="0"/>
    <n v="0"/>
    <n v="-8040.5496300000013"/>
    <n v="3203.459429999999"/>
    <n v="0"/>
    <n v="0"/>
    <n v="-8681.7478366201431"/>
    <n v="0"/>
    <n v="0"/>
    <n v="0"/>
    <n v="0"/>
    <n v="0"/>
    <n v="0"/>
    <n v="0"/>
    <n v="0"/>
    <n v="0"/>
    <n v="0"/>
    <n v="0"/>
    <n v="0"/>
    <n v="2332.121748078273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44"/>
    <s v="Regular"/>
    <s v="Verde"/>
    <s v="A4"/>
    <s v="Rural"/>
    <s v="Não se aplica"/>
    <s v="Não se aplica"/>
    <s v="Não se aplica"/>
    <s v="Ponta"/>
    <s v="CATIVO"/>
    <x v="3"/>
    <n v="0"/>
    <n v="0"/>
    <n v="5.9930000000000003"/>
    <n v="5.7532800000000002"/>
    <n v="5.9930000000000003"/>
    <n v="5.7532800000000002"/>
    <m/>
    <n v="1358.36"/>
    <n v="173.25"/>
    <m/>
    <n v="9178.9387299999999"/>
    <n v="9178.9387299999999"/>
    <n v="8048.1195600000001"/>
    <n v="0"/>
    <n v="320.89104613502906"/>
    <n v="0"/>
    <n v="0"/>
    <n v="113.51993539487503"/>
    <n v="109.06753887892626"/>
    <n v="6043.9867467845579"/>
    <n v="1020.8504402177808"/>
    <n v="17.423050548533713"/>
    <n v="0"/>
    <n v="0"/>
    <n v="0"/>
    <n v="0"/>
    <n v="56.987618452011183"/>
    <m/>
    <n v="4.7992772672194883"/>
    <n v="240.9834574049863"/>
    <n v="1123.6641343629242"/>
    <n v="0"/>
    <n v="0"/>
    <n v="0"/>
    <n v="0"/>
    <n v="0"/>
    <n v="0"/>
    <n v="0"/>
    <n v="0"/>
    <n v="0"/>
    <n v="0"/>
    <m/>
    <n v="0"/>
    <n v="0"/>
    <n v="0"/>
    <n v="0"/>
    <n v="0"/>
    <n v="44.819588901949686"/>
    <n v="0"/>
    <n v="0"/>
    <n v="0"/>
    <n v="0"/>
    <n v="0"/>
    <m/>
    <m/>
    <m/>
    <m/>
    <m/>
    <n v="321.92478240000014"/>
    <m/>
    <m/>
    <m/>
    <n v="1065.6700291197305"/>
    <m/>
    <m/>
    <m/>
    <m/>
    <m/>
    <m/>
    <m/>
    <m/>
    <m/>
    <m/>
    <m/>
    <m/>
    <n v="7721.7899999999991"/>
    <n v="-1090.0211808000022"/>
    <m/>
    <m/>
    <m/>
    <m/>
    <n v="-1260.20804"/>
    <n v="129.38887000000003"/>
    <n v="31"/>
    <n v="370.58740966248752"/>
    <n v="24.01348644209267"/>
    <n v="111.97072922165034"/>
    <n v="0"/>
    <n v="0"/>
    <n v="0"/>
    <n v="0"/>
    <n v="0"/>
    <n v="112.30342692919308"/>
    <n v="0"/>
    <n v="0"/>
    <n v="129.37426124834485"/>
    <n v="0"/>
    <n v="0"/>
    <n v="0"/>
    <n v="5.6800692591239894"/>
    <n v="0"/>
    <n v="-10.89644449657925"/>
    <m/>
    <n v="0"/>
    <n v="0"/>
    <n v="0"/>
    <n v="0"/>
    <n v="-1.7223405250920507"/>
    <n v="-0.1357784162460911"/>
    <n v="0"/>
    <n v="0"/>
    <m/>
    <m/>
    <m/>
    <n v="6043.9867467845579"/>
    <n v="0"/>
    <n v="0"/>
    <n v="-1260.2080399999995"/>
    <n v="129.38887"/>
    <n v="0"/>
    <n v="0"/>
    <n v="-1501.428829426146"/>
    <n v="0"/>
    <n v="0"/>
    <n v="0"/>
    <n v="0"/>
    <n v="0"/>
    <n v="0"/>
    <n v="0"/>
    <n v="0"/>
    <n v="0"/>
    <n v="0"/>
    <n v="0"/>
    <n v="0"/>
    <n v="81.94985006788667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45"/>
    <s v="Regular"/>
    <s v="Verde"/>
    <s v="A4"/>
    <s v="Rural"/>
    <s v="Não se aplica"/>
    <s v="Não se aplica"/>
    <s v="Não se aplica"/>
    <s v="Fora ponta"/>
    <s v="CATIVO"/>
    <x v="3"/>
    <n v="0"/>
    <n v="0"/>
    <n v="80.86"/>
    <n v="77.625600000000006"/>
    <n v="80.86"/>
    <n v="77.625600000000006"/>
    <m/>
    <n v="85.01"/>
    <n v="173.25"/>
    <m/>
    <n v="20882.903600000001"/>
    <n v="20882.903600000001"/>
    <n v="22533.2562"/>
    <n v="0"/>
    <n v="4329.592856745945"/>
    <n v="0"/>
    <n v="0"/>
    <n v="0"/>
    <n v="0"/>
    <n v="0"/>
    <n v="13773.730451528409"/>
    <n v="235.07890327956548"/>
    <n v="0"/>
    <n v="0"/>
    <n v="0"/>
    <n v="0"/>
    <n v="768.9001882245326"/>
    <m/>
    <n v="64.753806078319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4.72417130179394"/>
    <n v="0"/>
    <n v="0"/>
    <n v="0"/>
    <n v="0"/>
    <n v="0"/>
    <m/>
    <m/>
    <m/>
    <m/>
    <m/>
    <n v="901.33024799999828"/>
    <m/>
    <m/>
    <m/>
    <n v="14378.454622830202"/>
    <m/>
    <m/>
    <m/>
    <m/>
    <m/>
    <m/>
    <m/>
    <m/>
    <m/>
    <m/>
    <m/>
    <m/>
    <n v="21633.152099999999"/>
    <n v="1585.5346439999994"/>
    <m/>
    <m/>
    <m/>
    <m/>
    <n v="-95.414800000000554"/>
    <n v="1745.7674000000002"/>
    <n v="31"/>
    <n v="1650.1183322616307"/>
    <n v="0"/>
    <n v="0"/>
    <n v="0"/>
    <n v="0"/>
    <n v="0"/>
    <n v="0"/>
    <n v="0"/>
    <n v="0"/>
    <n v="0"/>
    <n v="0"/>
    <n v="1745.5702927650873"/>
    <n v="0"/>
    <n v="0"/>
    <n v="0"/>
    <n v="76.637810828093848"/>
    <n v="0"/>
    <n v="-147.01927281718599"/>
    <m/>
    <n v="0"/>
    <n v="0"/>
    <n v="0"/>
    <n v="0"/>
    <n v="-23.238520750699649"/>
    <n v="-1.8319777636674246"/>
    <n v="0"/>
    <n v="0"/>
    <m/>
    <m/>
    <m/>
    <n v="0"/>
    <n v="0"/>
    <n v="0"/>
    <n v="-95.414800000000469"/>
    <n v="1745.7673999999988"/>
    <n v="0"/>
    <n v="0"/>
    <n v="0"/>
    <n v="0"/>
    <n v="0"/>
    <n v="0"/>
    <n v="0"/>
    <n v="0"/>
    <n v="0"/>
    <n v="0"/>
    <n v="0"/>
    <n v="0"/>
    <n v="0"/>
    <n v="0"/>
    <n v="0"/>
    <n v="1105.70079701139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46"/>
    <s v="Sistema de Compensação"/>
    <s v="Verde"/>
    <s v="A4"/>
    <s v="Rural"/>
    <s v="Não se aplica"/>
    <s v="Não se aplica"/>
    <s v="Não se aplica"/>
    <s v="Fora ponta"/>
    <s v="CATIVO"/>
    <x v="3"/>
    <n v="0"/>
    <n v="0"/>
    <n v="33.523000000000003"/>
    <n v="32.182079999999999"/>
    <n v="33.523000000000003"/>
    <n v="32.182079999999999"/>
    <m/>
    <n v="85.01"/>
    <n v="173.25"/>
    <m/>
    <n v="8657.649980000002"/>
    <n v="8657.649980000002"/>
    <n v="9341.8544100000017"/>
    <n v="0"/>
    <n v="1794.9658834614684"/>
    <n v="0"/>
    <n v="0"/>
    <n v="0"/>
    <n v="0"/>
    <n v="0"/>
    <n v="5710.3235954314487"/>
    <n v="97.459189644334344"/>
    <n v="0"/>
    <n v="0"/>
    <n v="0"/>
    <n v="0"/>
    <n v="318.77122198677972"/>
    <m/>
    <n v="26.8456819337558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70700463208064"/>
    <n v="0"/>
    <n v="0"/>
    <n v="0"/>
    <n v="0"/>
    <n v="0"/>
    <m/>
    <m/>
    <m/>
    <m/>
    <m/>
    <n v="373.67417640000116"/>
    <m/>
    <m/>
    <m/>
    <n v="5961.0306000635292"/>
    <m/>
    <m/>
    <m/>
    <m/>
    <m/>
    <m/>
    <m/>
    <m/>
    <m/>
    <m/>
    <m/>
    <m/>
    <n v="8967.6005999999998"/>
    <n v="656.22661919999882"/>
    <m/>
    <m/>
    <m/>
    <m/>
    <n v="-39.557140000000231"/>
    <n v="723.76157000000023"/>
    <n v="31"/>
    <n v="684.10730710371718"/>
    <n v="0"/>
    <n v="0"/>
    <n v="0"/>
    <n v="0"/>
    <n v="0"/>
    <n v="0"/>
    <n v="0"/>
    <n v="0"/>
    <n v="0"/>
    <n v="0"/>
    <n v="723.67985313336612"/>
    <n v="0"/>
    <n v="0"/>
    <n v="0"/>
    <n v="31.772561617489345"/>
    <n v="0"/>
    <n v="-60.951361398102108"/>
    <m/>
    <n v="0"/>
    <n v="0"/>
    <n v="0"/>
    <n v="0"/>
    <n v="-9.6342435212181954"/>
    <n v="-0.75950272781874162"/>
    <n v="0"/>
    <n v="0"/>
    <m/>
    <m/>
    <m/>
    <n v="0"/>
    <n v="0"/>
    <n v="0"/>
    <n v="-39.557140000000345"/>
    <n v="723.76157000000057"/>
    <n v="0"/>
    <n v="0"/>
    <n v="0"/>
    <n v="0"/>
    <n v="0"/>
    <n v="0"/>
    <n v="0"/>
    <n v="0"/>
    <n v="0"/>
    <n v="0"/>
    <n v="0"/>
    <n v="0"/>
    <n v="0"/>
    <n v="0"/>
    <n v="0"/>
    <n v="458.402273289798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47"/>
    <s v="Regular"/>
    <s v="Verde"/>
    <s v="A4"/>
    <s v="Rural"/>
    <s v="Não se aplica"/>
    <s v="Não se aplica"/>
    <s v="Não se aplica"/>
    <s v="Não se aplica"/>
    <s v="CATIVO"/>
    <x v="3"/>
    <n v="650"/>
    <n v="624"/>
    <n v="0"/>
    <n v="0"/>
    <n v="0"/>
    <n v="0"/>
    <n v="27.19"/>
    <m/>
    <m/>
    <n v="17673.5"/>
    <m/>
    <n v="17673.5"/>
    <n v="14144.000000000002"/>
    <n v="0"/>
    <n v="0"/>
    <n v="0"/>
    <n v="0"/>
    <n v="151.58039872791662"/>
    <n v="145.62264559077562"/>
    <n v="15555.819658053675"/>
    <m/>
    <m/>
    <m/>
    <n v="0"/>
    <n v="0"/>
    <n v="0"/>
    <n v="0"/>
    <m/>
    <n v="0"/>
    <n v="321.67514020880162"/>
    <n v="1500.2577479574686"/>
    <n v="0"/>
    <n v="0"/>
    <m/>
    <m/>
    <n v="0"/>
    <n v="0"/>
    <n v="0"/>
    <m/>
    <m/>
    <n v="0"/>
    <m/>
    <n v="0"/>
    <n v="0"/>
    <n v="0"/>
    <n v="0"/>
    <m/>
    <n v="0"/>
    <n v="0"/>
    <n v="3.87"/>
    <n v="333.64"/>
    <n v="27.14"/>
    <n v="4"/>
    <m/>
    <m/>
    <m/>
    <m/>
    <m/>
    <n v="565.76"/>
    <m/>
    <m/>
    <m/>
    <n v="0"/>
    <m/>
    <m/>
    <m/>
    <m/>
    <m/>
    <m/>
    <m/>
    <m/>
    <m/>
    <m/>
    <m/>
    <m/>
    <n v="13578.240000000002"/>
    <n v="-3388.3499999999949"/>
    <m/>
    <m/>
    <m/>
    <m/>
    <n v="-3529.5"/>
    <n v="0"/>
    <n v="31"/>
    <n v="331.4947928100928"/>
    <n v="32.05424015965076"/>
    <n v="149.4974778691028"/>
    <n v="0"/>
    <n v="0"/>
    <m/>
    <m/>
    <m/>
    <n v="149.943074781339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55.819658053675"/>
    <m/>
    <n v="0"/>
    <n v="0"/>
    <n v="-3529.4999999999982"/>
    <m/>
    <n v="0"/>
    <m/>
    <n v="-3864.329469680096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48"/>
    <s v="Sistema de Compensação"/>
    <s v="Verde"/>
    <s v="A4"/>
    <s v="Rural"/>
    <s v="Não se aplica"/>
    <s v="Não se aplica"/>
    <s v="Não se aplica"/>
    <s v="Não se aplica"/>
    <s v="CATIVO"/>
    <x v="3"/>
    <n v="143"/>
    <n v="137.28"/>
    <n v="0"/>
    <n v="0"/>
    <n v="0"/>
    <n v="0"/>
    <n v="27.19"/>
    <m/>
    <m/>
    <n v="3888.17"/>
    <m/>
    <n v="3888.17"/>
    <n v="3111.6800000000003"/>
    <n v="0"/>
    <n v="0"/>
    <n v="0"/>
    <n v="0"/>
    <n v="33.347687720141657"/>
    <n v="32.03698202997063"/>
    <n v="3422.2803247718084"/>
    <m/>
    <m/>
    <m/>
    <n v="0"/>
    <n v="0"/>
    <n v="0"/>
    <n v="0"/>
    <m/>
    <n v="0"/>
    <n v="70.768530845936354"/>
    <n v="330.05670455064308"/>
    <n v="0"/>
    <n v="0"/>
    <m/>
    <m/>
    <n v="0"/>
    <n v="0"/>
    <n v="0"/>
    <m/>
    <m/>
    <n v="0"/>
    <m/>
    <n v="0"/>
    <n v="0"/>
    <n v="0"/>
    <n v="0"/>
    <m/>
    <n v="0"/>
    <n v="0"/>
    <n v="1.23"/>
    <n v="105.53"/>
    <n v="5.76"/>
    <n v="1"/>
    <m/>
    <m/>
    <m/>
    <m/>
    <m/>
    <n v="124.46719999999999"/>
    <m/>
    <m/>
    <m/>
    <n v="0"/>
    <m/>
    <m/>
    <m/>
    <m/>
    <m/>
    <m/>
    <m/>
    <m/>
    <m/>
    <m/>
    <m/>
    <m/>
    <n v="2987.2128000000002"/>
    <n v="-745.46040000000085"/>
    <m/>
    <m/>
    <m/>
    <m/>
    <n v="-776.49"/>
    <n v="0"/>
    <n v="31"/>
    <n v="72.92885441822051"/>
    <n v="7.0519328351231678"/>
    <n v="32.889445131202649"/>
    <n v="0"/>
    <n v="0"/>
    <m/>
    <m/>
    <m/>
    <n v="32.9874764518946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22.2803247718084"/>
    <m/>
    <n v="0"/>
    <n v="0"/>
    <n v="-776.48999999999978"/>
    <m/>
    <n v="0"/>
    <m/>
    <n v="-850.1524833296211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49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398.61200000000002"/>
    <n v="398.61200000000002"/>
    <n v="398.61200000000002"/>
    <n v="398.61200000000002"/>
    <m/>
    <n v="368.24"/>
    <n v="173.25"/>
    <m/>
    <n v="215844.41188000003"/>
    <n v="215844.41188000003"/>
    <n v="202849.66068000003"/>
    <n v="0"/>
    <n v="24532.648565467436"/>
    <n v="0"/>
    <n v="0"/>
    <n v="1020.2623080898735"/>
    <n v="980.24329645188413"/>
    <n v="93887.916814645534"/>
    <n v="67899.755660952796"/>
    <n v="1158.858172076109"/>
    <n v="0"/>
    <n v="0"/>
    <n v="0"/>
    <n v="0"/>
    <n v="3790.4135769052364"/>
    <m/>
    <n v="481.46618062555251"/>
    <n v="2165.8166660779889"/>
    <n v="10098.883597564656"/>
    <n v="0"/>
    <n v="0"/>
    <n v="0"/>
    <n v="0"/>
    <n v="0"/>
    <n v="0"/>
    <n v="0"/>
    <n v="0"/>
    <n v="0"/>
    <n v="0"/>
    <m/>
    <n v="0"/>
    <n v="0"/>
    <n v="0"/>
    <n v="0"/>
    <n v="0"/>
    <n v="3563.5082989612424"/>
    <n v="0"/>
    <n v="15.7"/>
    <n v="1565.25"/>
    <n v="100287.88"/>
    <n v="585"/>
    <m/>
    <m/>
    <m/>
    <m/>
    <m/>
    <m/>
    <m/>
    <m/>
    <m/>
    <n v="71463.263959914038"/>
    <m/>
    <m/>
    <m/>
    <m/>
    <m/>
    <m/>
    <m/>
    <m/>
    <m/>
    <m/>
    <m/>
    <m/>
    <n v="202848.64290000004"/>
    <n v="-12995.798980000021"/>
    <m/>
    <m/>
    <m/>
    <m/>
    <n v="-21600.78428"/>
    <n v="8606.0330800000011"/>
    <n v="31"/>
    <n v="10326.917967844303"/>
    <n v="215.8190014658112"/>
    <n v="1006.3321647130633"/>
    <n v="0"/>
    <n v="0"/>
    <n v="0"/>
    <n v="0"/>
    <n v="0"/>
    <n v="1009.3258044276438"/>
    <n v="0"/>
    <n v="0"/>
    <n v="8605.0614090981544"/>
    <n v="0"/>
    <n v="0"/>
    <n v="0"/>
    <n v="451.6099866030504"/>
    <n v="0"/>
    <n v="-833.05111397599103"/>
    <m/>
    <n v="0"/>
    <n v="0"/>
    <n v="0"/>
    <n v="0"/>
    <n v="-114.5579178021012"/>
    <n v="-13.62136668533509"/>
    <n v="0"/>
    <n v="0"/>
    <m/>
    <m/>
    <m/>
    <n v="93887.916814645534"/>
    <n v="0"/>
    <n v="0"/>
    <n v="-21600.784280000007"/>
    <n v="8606.0330799999938"/>
    <n v="0"/>
    <n v="0"/>
    <n v="-23323.351116755483"/>
    <n v="0"/>
    <n v="0"/>
    <n v="0"/>
    <n v="0"/>
    <n v="0"/>
    <n v="0"/>
    <n v="0"/>
    <n v="0"/>
    <n v="0"/>
    <n v="0"/>
    <n v="0"/>
    <n v="0"/>
    <n v="6265.200902060136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0"/>
    <s v="Sistema de Compensação"/>
    <s v="Convencional"/>
    <s v="B3"/>
    <s v="Poder público"/>
    <s v="Não se aplica"/>
    <s v="Não se aplica"/>
    <s v="Não se aplica"/>
    <s v="Não se aplica"/>
    <s v="CATIVO"/>
    <x v="3"/>
    <n v="0"/>
    <n v="0"/>
    <n v="1.026"/>
    <n v="1.026"/>
    <n v="1.026"/>
    <n v="1.026"/>
    <m/>
    <n v="368.24"/>
    <n v="173.25"/>
    <m/>
    <n v="555.56874000000005"/>
    <n v="555.56874000000005"/>
    <n v="522.12113999999997"/>
    <n v="0"/>
    <n v="63.14535796255403"/>
    <n v="0"/>
    <n v="0"/>
    <n v="2.6260853363677215"/>
    <n v="2.5230791400149348"/>
    <n v="241.66107054435469"/>
    <n v="174.76932282053113"/>
    <n v="2.9828216023353229"/>
    <n v="0"/>
    <n v="0"/>
    <n v="0"/>
    <n v="0"/>
    <n v="9.7562650645358708"/>
    <m/>
    <n v="1.2392609889361506"/>
    <n v="5.5746638319870367"/>
    <n v="25.993835035325926"/>
    <n v="0"/>
    <n v="0"/>
    <n v="0"/>
    <n v="0"/>
    <n v="0"/>
    <n v="0"/>
    <n v="0"/>
    <n v="0"/>
    <n v="0"/>
    <n v="0"/>
    <m/>
    <n v="0"/>
    <n v="0"/>
    <n v="0"/>
    <n v="0"/>
    <n v="0"/>
    <n v="9.1722264124869159"/>
    <n v="0"/>
    <n v="0.04"/>
    <n v="4.03"/>
    <n v="330.33"/>
    <n v="1"/>
    <m/>
    <m/>
    <m/>
    <m/>
    <m/>
    <m/>
    <m/>
    <m/>
    <m/>
    <n v="183.94154923301804"/>
    <m/>
    <m/>
    <m/>
    <m/>
    <m/>
    <m/>
    <m/>
    <m/>
    <m/>
    <m/>
    <m/>
    <m/>
    <n v="524.1567"/>
    <n v="-31.44204000000002"/>
    <m/>
    <m/>
    <m/>
    <m/>
    <n v="-55.598939999999999"/>
    <n v="22.151340000000005"/>
    <n v="31"/>
    <n v="26.580779893751981"/>
    <n v="0.55550333533341245"/>
    <n v="2.5902301009392623"/>
    <n v="0"/>
    <n v="0"/>
    <n v="0"/>
    <n v="0"/>
    <n v="0"/>
    <n v="2.5979355246273625"/>
    <n v="0"/>
    <n v="0"/>
    <n v="22.148838985616891"/>
    <n v="0"/>
    <n v="0"/>
    <n v="0"/>
    <n v="1.1624131894040559"/>
    <n v="0"/>
    <n v="-2.1442165387378296"/>
    <m/>
    <n v="0"/>
    <n v="0"/>
    <n v="0"/>
    <n v="0"/>
    <n v="-0.29486423806848627"/>
    <n v="-3.5060465362692916E-2"/>
    <n v="0"/>
    <n v="0"/>
    <m/>
    <m/>
    <m/>
    <n v="241.66107054435469"/>
    <n v="0"/>
    <n v="0"/>
    <n v="-55.598940000000027"/>
    <n v="22.151340000000005"/>
    <n v="0"/>
    <n v="0"/>
    <n v="-60.032709115107224"/>
    <n v="0"/>
    <n v="0"/>
    <n v="0"/>
    <n v="0"/>
    <n v="0"/>
    <n v="0"/>
    <n v="0"/>
    <n v="0"/>
    <n v="0"/>
    <n v="0"/>
    <n v="0"/>
    <n v="0"/>
    <n v="16.12619822161324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1"/>
    <s v="Regular"/>
    <s v="Verde"/>
    <s v="A4"/>
    <s v="Poder público"/>
    <s v="Não se aplica"/>
    <s v="Não se aplica"/>
    <s v="Não se aplica"/>
    <s v="Ponta"/>
    <s v="CATIVO"/>
    <x v="3"/>
    <n v="0"/>
    <n v="0"/>
    <n v="3.5590000000000002"/>
    <n v="3.5590000000000002"/>
    <n v="3.5590000000000002"/>
    <n v="3.5590000000000002"/>
    <m/>
    <n v="1358.36"/>
    <n v="173.25"/>
    <m/>
    <n v="5450.9999899999993"/>
    <n v="5450.9999899999993"/>
    <n v="4779.4522800000004"/>
    <n v="0"/>
    <n v="190.56419709570639"/>
    <n v="0"/>
    <n v="0"/>
    <n v="67.414892386177257"/>
    <n v="64.770794405155769"/>
    <n v="3589.2789640924811"/>
    <n v="606.24173481312903"/>
    <n v="10.34684413519631"/>
    <n v="0"/>
    <n v="0"/>
    <n v="0"/>
    <n v="0"/>
    <n v="33.842638757001133"/>
    <m/>
    <n v="2.8500964114857599"/>
    <n v="143.11031618627501"/>
    <n v="667.29862409438465"/>
    <n v="0"/>
    <n v="0"/>
    <n v="0"/>
    <n v="0"/>
    <n v="0"/>
    <n v="0"/>
    <n v="0"/>
    <n v="0"/>
    <n v="0"/>
    <n v="0"/>
    <m/>
    <n v="0"/>
    <n v="0"/>
    <n v="0"/>
    <n v="0"/>
    <n v="0"/>
    <n v="26.616538778915221"/>
    <n v="0"/>
    <n v="0"/>
    <n v="0"/>
    <n v="0"/>
    <n v="0"/>
    <m/>
    <m/>
    <m/>
    <m/>
    <m/>
    <m/>
    <m/>
    <m/>
    <m/>
    <n v="632.85827359204427"/>
    <m/>
    <m/>
    <m/>
    <m/>
    <m/>
    <m/>
    <m/>
    <m/>
    <m/>
    <m/>
    <m/>
    <m/>
    <n v="4780.7952000000005"/>
    <n v="-670.23478999999952"/>
    <m/>
    <m/>
    <m/>
    <m/>
    <n v="-748.3865199999999"/>
    <n v="76.838810000000009"/>
    <n v="31"/>
    <n v="220.07685482876605"/>
    <n v="14.260637117872164"/>
    <n v="66.494881578483728"/>
    <n v="0"/>
    <n v="0"/>
    <n v="0"/>
    <n v="0"/>
    <n v="0"/>
    <n v="66.692457273652295"/>
    <n v="0"/>
    <n v="0"/>
    <n v="76.83013445400627"/>
    <n v="0"/>
    <n v="0"/>
    <n v="0"/>
    <n v="3.3731631058271816"/>
    <n v="0"/>
    <n v="-6.4709571105165367"/>
    <m/>
    <n v="0"/>
    <n v="0"/>
    <n v="0"/>
    <n v="0"/>
    <n v="-1.0228282878028665"/>
    <n v="-8.0633302756522252E-2"/>
    <n v="0"/>
    <n v="0"/>
    <m/>
    <m/>
    <m/>
    <n v="3589.2789640924811"/>
    <n v="0"/>
    <n v="0"/>
    <n v="-748.38651999999956"/>
    <n v="76.838809999999967"/>
    <n v="0"/>
    <n v="0"/>
    <n v="-891.63777806234793"/>
    <n v="0"/>
    <n v="0"/>
    <n v="0"/>
    <n v="0"/>
    <n v="0"/>
    <n v="0"/>
    <n v="0"/>
    <n v="0"/>
    <n v="0"/>
    <n v="0"/>
    <n v="0"/>
    <n v="0"/>
    <n v="48.66669721201545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2"/>
    <s v="Sistema de Compensação"/>
    <s v="Verde"/>
    <s v="A4"/>
    <s v="Poder público"/>
    <s v="Não se aplica"/>
    <s v="Não se aplica"/>
    <s v="Não se aplica"/>
    <s v="Ponta"/>
    <s v="CATIVO"/>
    <x v="3"/>
    <n v="0"/>
    <n v="0"/>
    <n v="0.502"/>
    <n v="0.502"/>
    <n v="0.502"/>
    <n v="0.502"/>
    <m/>
    <n v="1358.36"/>
    <n v="173.25"/>
    <m/>
    <n v="768.86821999999995"/>
    <n v="768.86821999999995"/>
    <n v="674.14583999999991"/>
    <n v="0"/>
    <n v="26.879243310493006"/>
    <n v="0"/>
    <n v="0"/>
    <n v="9.5089283444397239"/>
    <n v="9.1359760582714795"/>
    <n v="506.27087383378068"/>
    <n v="85.510916233827132"/>
    <n v="1.4594312323317076"/>
    <n v="0"/>
    <n v="0"/>
    <n v="0"/>
    <n v="0"/>
    <n v="4.773533199217356"/>
    <m/>
    <n v="0.40200854132223973"/>
    <n v="20.185832741081782"/>
    <n v="94.123042791621558"/>
    <n v="0"/>
    <n v="0"/>
    <n v="0"/>
    <n v="0"/>
    <n v="0"/>
    <n v="0"/>
    <n v="0"/>
    <n v="0"/>
    <n v="0"/>
    <n v="0"/>
    <m/>
    <n v="0"/>
    <n v="0"/>
    <n v="0"/>
    <n v="0"/>
    <n v="0"/>
    <n v="3.7542856046685702"/>
    <n v="0"/>
    <n v="0"/>
    <n v="0"/>
    <n v="0"/>
    <n v="0"/>
    <m/>
    <m/>
    <m/>
    <m/>
    <m/>
    <m/>
    <m/>
    <m/>
    <m/>
    <n v="89.265201838495699"/>
    <m/>
    <m/>
    <m/>
    <m/>
    <m/>
    <m/>
    <m/>
    <m/>
    <m/>
    <m/>
    <m/>
    <m/>
    <n v="671.45999999999992"/>
    <n v="-97.438220000000001"/>
    <m/>
    <m/>
    <m/>
    <m/>
    <n v="-105.56055999999998"/>
    <n v="10.838180000000001"/>
    <n v="31"/>
    <n v="31.042028975566268"/>
    <n v="2.0114750865894422"/>
    <n v="9.3791600315815771"/>
    <n v="0"/>
    <n v="0"/>
    <n v="0"/>
    <n v="0"/>
    <n v="0"/>
    <n v="9.4070282527039755"/>
    <n v="0"/>
    <n v="0"/>
    <n v="10.83695630680279"/>
    <n v="0"/>
    <n v="0"/>
    <n v="0"/>
    <n v="0.47578754681799529"/>
    <n v="0"/>
    <n v="-0.91273404593405516"/>
    <m/>
    <n v="0"/>
    <n v="0"/>
    <n v="0"/>
    <n v="0"/>
    <n v="-0.14427080654033198"/>
    <n v="-1.1373396455120532E-2"/>
    <n v="0"/>
    <n v="0"/>
    <m/>
    <m/>
    <m/>
    <n v="506.27087383378068"/>
    <n v="0"/>
    <n v="0"/>
    <n v="-105.56056000000001"/>
    <n v="10.838179999999994"/>
    <n v="0"/>
    <n v="0"/>
    <n v="-125.76627271348656"/>
    <n v="0"/>
    <n v="0"/>
    <n v="0"/>
    <n v="0"/>
    <n v="0"/>
    <n v="0"/>
    <n v="0"/>
    <n v="0"/>
    <n v="0"/>
    <n v="0"/>
    <n v="0"/>
    <n v="0"/>
    <n v="6.86447934825281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3"/>
    <s v="Regular"/>
    <s v="Verde"/>
    <s v="A4"/>
    <s v="Poder público"/>
    <s v="Não se aplica"/>
    <s v="Não se aplica"/>
    <s v="Não se aplica"/>
    <s v="Fora ponta"/>
    <s v="CATIVO"/>
    <x v="3"/>
    <n v="0"/>
    <n v="0"/>
    <n v="26.175999999999998"/>
    <n v="26.175999999999998"/>
    <n v="26.175999999999998"/>
    <n v="26.175999999999998"/>
    <m/>
    <n v="85.01"/>
    <n v="173.25"/>
    <m/>
    <n v="6760.2137599999987"/>
    <n v="6760.2137599999987"/>
    <n v="7294.4659199999996"/>
    <n v="0"/>
    <n v="1401.5758424212447"/>
    <n v="0"/>
    <n v="0"/>
    <n v="0"/>
    <n v="0"/>
    <n v="0"/>
    <n v="4458.832158041153"/>
    <n v="76.099744895447756"/>
    <n v="0"/>
    <n v="0"/>
    <n v="0"/>
    <n v="0"/>
    <n v="248.90837653926991"/>
    <m/>
    <n v="20.962102744324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76131471674199"/>
    <n v="0"/>
    <n v="0"/>
    <n v="0"/>
    <n v="0"/>
    <n v="0"/>
    <m/>
    <m/>
    <m/>
    <m/>
    <m/>
    <m/>
    <m/>
    <m/>
    <m/>
    <n v="4654.5934727578951"/>
    <m/>
    <m/>
    <m/>
    <m/>
    <m/>
    <m/>
    <m/>
    <m/>
    <m/>
    <m/>
    <m/>
    <m/>
    <n v="7295.5806000000002"/>
    <n v="535.33684000000085"/>
    <m/>
    <m/>
    <m/>
    <m/>
    <n v="-30.887680000000177"/>
    <n v="565.13984000000005"/>
    <n v="31"/>
    <n v="534.17632284541651"/>
    <n v="0"/>
    <n v="0"/>
    <n v="0"/>
    <n v="0"/>
    <n v="0"/>
    <n v="0"/>
    <n v="0"/>
    <n v="0"/>
    <n v="0"/>
    <n v="0"/>
    <n v="565.07603244396341"/>
    <n v="0"/>
    <n v="0"/>
    <n v="0"/>
    <n v="24.809192879497687"/>
    <n v="0"/>
    <n v="-47.593080450935759"/>
    <m/>
    <n v="0"/>
    <n v="0"/>
    <n v="0"/>
    <n v="0"/>
    <n v="-7.5227741673301409"/>
    <n v="-0.59304785977935737"/>
    <n v="0"/>
    <n v="0"/>
    <m/>
    <m/>
    <m/>
    <n v="0"/>
    <n v="0"/>
    <n v="0"/>
    <n v="-30.887680000000273"/>
    <n v="565.13984000000073"/>
    <n v="0"/>
    <n v="0"/>
    <n v="0"/>
    <n v="0"/>
    <n v="0"/>
    <n v="0"/>
    <n v="0"/>
    <n v="0"/>
    <n v="0"/>
    <n v="0"/>
    <n v="0"/>
    <n v="0"/>
    <n v="0"/>
    <n v="0"/>
    <n v="0"/>
    <n v="357.9374729479394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4"/>
    <s v="Sistema de Compensação"/>
    <s v="Verde"/>
    <s v="A4"/>
    <s v="Poder público"/>
    <s v="Não se aplica"/>
    <s v="Não se aplica"/>
    <s v="Não se aplica"/>
    <s v="Fora ponta"/>
    <s v="CATIVO"/>
    <x v="3"/>
    <n v="0"/>
    <n v="0"/>
    <n v="0.04"/>
    <n v="0.04"/>
    <n v="0.04"/>
    <n v="0.04"/>
    <m/>
    <n v="85.01"/>
    <n v="173.25"/>
    <m/>
    <n v="10.330400000000001"/>
    <n v="10.330400000000001"/>
    <n v="11.146800000000001"/>
    <n v="0"/>
    <n v="2.1417723753380882"/>
    <n v="0"/>
    <n v="0"/>
    <n v="0"/>
    <n v="0"/>
    <n v="0"/>
    <n v="6.8136188234125203"/>
    <n v="0.11628934122165001"/>
    <n v="0"/>
    <n v="0"/>
    <n v="0"/>
    <n v="0"/>
    <n v="0.3803612110930164"/>
    <m/>
    <n v="3.203255309340555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9914626332020477"/>
    <n v="0"/>
    <n v="0"/>
    <n v="0"/>
    <n v="0"/>
    <n v="0"/>
    <m/>
    <m/>
    <m/>
    <m/>
    <m/>
    <m/>
    <m/>
    <m/>
    <m/>
    <n v="7.1127650867327255"/>
    <m/>
    <m/>
    <m/>
    <m/>
    <m/>
    <m/>
    <m/>
    <m/>
    <m/>
    <m/>
    <m/>
    <m/>
    <n v="11.146800000000001"/>
    <n v="0.78640000000000043"/>
    <m/>
    <m/>
    <m/>
    <m/>
    <n v="-4.7200000000000276E-2"/>
    <n v="0.86360000000000015"/>
    <n v="31"/>
    <n v="0.81628411192759387"/>
    <n v="0"/>
    <n v="0"/>
    <n v="0"/>
    <n v="0"/>
    <n v="0"/>
    <n v="0"/>
    <n v="0"/>
    <n v="0"/>
    <n v="0"/>
    <n v="0"/>
    <n v="0.86350249456595929"/>
    <n v="0"/>
    <n v="0"/>
    <n v="0"/>
    <n v="3.7911358312190835E-2"/>
    <n v="0"/>
    <n v="-7.272781242502413E-2"/>
    <m/>
    <n v="0"/>
    <n v="0"/>
    <n v="0"/>
    <n v="0"/>
    <n v="-1.1495681796042378E-2"/>
    <n v="-9.0624672949168178E-4"/>
    <n v="0"/>
    <n v="0"/>
    <m/>
    <m/>
    <m/>
    <n v="0"/>
    <n v="0"/>
    <n v="0"/>
    <n v="-4.7200000000000131E-2"/>
    <n v="0.86360000000000081"/>
    <n v="0"/>
    <n v="0"/>
    <n v="0"/>
    <n v="0"/>
    <n v="0"/>
    <n v="0"/>
    <n v="0"/>
    <n v="0"/>
    <n v="0"/>
    <n v="0"/>
    <n v="0"/>
    <n v="0"/>
    <n v="0"/>
    <n v="0"/>
    <n v="0"/>
    <n v="0.5469704659962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5"/>
    <s v="Regular"/>
    <s v="Verde"/>
    <s v="A4"/>
    <s v="Poder público"/>
    <s v="Não se aplica"/>
    <s v="Não se aplica"/>
    <s v="Não se aplica"/>
    <s v="Não se aplica"/>
    <s v="CATIVO"/>
    <x v="3"/>
    <n v="158"/>
    <n v="158"/>
    <n v="0"/>
    <n v="0"/>
    <n v="0"/>
    <n v="0"/>
    <n v="27.19"/>
    <m/>
    <m/>
    <n v="4296.0200000000004"/>
    <m/>
    <n v="4296.0200000000004"/>
    <n v="3438.0800000000004"/>
    <n v="0"/>
    <n v="0"/>
    <n v="0"/>
    <n v="0"/>
    <n v="36.845696921555117"/>
    <n v="35.397504620526995"/>
    <n v="3781.260778419201"/>
    <m/>
    <m/>
    <m/>
    <n v="0"/>
    <n v="0"/>
    <n v="0"/>
    <n v="0"/>
    <m/>
    <n v="0"/>
    <n v="78.191803312293317"/>
    <n v="364.67803719581542"/>
    <n v="0"/>
    <n v="0"/>
    <m/>
    <m/>
    <n v="0"/>
    <n v="0"/>
    <n v="0"/>
    <m/>
    <m/>
    <n v="0"/>
    <m/>
    <n v="0"/>
    <n v="0"/>
    <n v="0"/>
    <n v="0"/>
    <m/>
    <n v="0"/>
    <n v="0"/>
    <n v="1.42"/>
    <n v="124.12"/>
    <n v="8865.69"/>
    <n v="4"/>
    <m/>
    <m/>
    <m/>
    <m/>
    <m/>
    <m/>
    <m/>
    <m/>
    <m/>
    <n v="0"/>
    <m/>
    <m/>
    <m/>
    <m/>
    <m/>
    <m/>
    <m/>
    <m/>
    <m/>
    <m/>
    <m/>
    <m/>
    <n v="3438.0800000000004"/>
    <n v="-857.97000000000071"/>
    <m/>
    <m/>
    <m/>
    <m/>
    <n v="-857.93999999999994"/>
    <n v="0"/>
    <n v="31"/>
    <n v="80.578734252299569"/>
    <n v="7.7916460695766432"/>
    <n v="36.339386928181966"/>
    <n v="0"/>
    <n v="0"/>
    <m/>
    <m/>
    <m/>
    <n v="36.4477012545409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81.260778419201"/>
    <m/>
    <n v="0"/>
    <n v="0"/>
    <n v="-857.94"/>
    <m/>
    <n v="0"/>
    <m/>
    <n v="-939.32931724531545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56"/>
    <s v="Sistema de Compensação"/>
    <s v="Verde"/>
    <s v="A4"/>
    <s v="Poder público"/>
    <s v="Não se aplica"/>
    <s v="Não se aplica"/>
    <s v="Não se aplica"/>
    <s v="Não se aplica"/>
    <s v="CATIVO"/>
    <x v="3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0.11"/>
    <n v="10"/>
    <n v="575.91999999999996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n v="31"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57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1599.2750000000001"/>
    <n v="1599.2750000000001"/>
    <n v="1599.2750000000001"/>
    <n v="1599.2750000000001"/>
    <m/>
    <n v="199.07"/>
    <n v="95.29"/>
    <m/>
    <n v="470762.58900000004"/>
    <n v="470762.58900000004"/>
    <n v="444390.54425000004"/>
    <n v="0"/>
    <n v="54135.22007364517"/>
    <n v="0"/>
    <n v="0"/>
    <n v="2251.3722655708739"/>
    <n v="2903.616251612832"/>
    <n v="200893.51068973503"/>
    <n v="149831.69085242948"/>
    <n v="2557.2062475060006"/>
    <n v="0"/>
    <n v="0"/>
    <n v="0"/>
    <n v="0"/>
    <n v="8364.1549182232848"/>
    <m/>
    <n v="1062.4322757743398"/>
    <n v="4779.2215155415124"/>
    <n v="22284.804862930341"/>
    <n v="0"/>
    <n v="0"/>
    <n v="0"/>
    <n v="0"/>
    <n v="0"/>
    <n v="0"/>
    <n v="0"/>
    <n v="0"/>
    <n v="0"/>
    <n v="0"/>
    <m/>
    <n v="0"/>
    <n v="0"/>
    <n v="0"/>
    <n v="0"/>
    <n v="0"/>
    <n v="7863.4520640414312"/>
    <n v="0"/>
    <n v="47.02"/>
    <n v="4053.52"/>
    <n v="168896.61"/>
    <n v="60"/>
    <m/>
    <m/>
    <m/>
    <m/>
    <m/>
    <m/>
    <m/>
    <m/>
    <m/>
    <n v="157695.14291647091"/>
    <m/>
    <m/>
    <m/>
    <m/>
    <m/>
    <m/>
    <m/>
    <m/>
    <m/>
    <m/>
    <m/>
    <m/>
    <n v="444391.93359999999"/>
    <n v="-26370.685400000075"/>
    <m/>
    <m/>
    <m/>
    <m/>
    <n v="-45355.438999999977"/>
    <n v="18983.394249999987"/>
    <n v="31"/>
    <n v="23550.522785984562"/>
    <n v="476.23920871193513"/>
    <n v="2220.6331720992021"/>
    <n v="0"/>
    <n v="0"/>
    <n v="0"/>
    <n v="0"/>
    <n v="0"/>
    <n v="2989.7626635309039"/>
    <n v="0"/>
    <n v="0"/>
    <n v="18988.446839958313"/>
    <n v="0"/>
    <n v="0"/>
    <n v="0"/>
    <n v="996.54979962598463"/>
    <n v="0"/>
    <n v="-1838.2607677819833"/>
    <m/>
    <n v="0"/>
    <n v="0"/>
    <n v="0"/>
    <n v="0"/>
    <n v="-252.79040193502351"/>
    <n v="-30.057728224761831"/>
    <n v="0"/>
    <n v="0"/>
    <m/>
    <m/>
    <m/>
    <n v="200893.51068973503"/>
    <n v="0"/>
    <n v="0"/>
    <n v="-45355.438999999955"/>
    <n v="18983.394249999983"/>
    <n v="0"/>
    <n v="0"/>
    <n v="-49905.355724789377"/>
    <n v="0"/>
    <n v="0"/>
    <n v="0"/>
    <n v="0"/>
    <n v="0"/>
    <n v="0"/>
    <n v="0"/>
    <n v="0"/>
    <n v="0"/>
    <n v="0"/>
    <n v="0"/>
    <n v="0"/>
    <n v="13825.16970124640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8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591.08500000000004"/>
    <n v="555.61990000000003"/>
    <n v="591.08500000000004"/>
    <n v="555.61990000000003"/>
    <m/>
    <n v="368.24"/>
    <n v="173.25"/>
    <m/>
    <n v="320066.61665000004"/>
    <n v="320066.61665000004"/>
    <n v="300797.24565000006"/>
    <n v="0"/>
    <n v="36378.434611399854"/>
    <n v="0"/>
    <n v="0"/>
    <n v="1512.9041433205796"/>
    <n v="1453.5616310679607"/>
    <n v="139222.45017807983"/>
    <n v="100685.69705591974"/>
    <n v="1718.4221313999749"/>
    <n v="0"/>
    <n v="0"/>
    <n v="0"/>
    <n v="0"/>
    <n v="5620.6451614728903"/>
    <m/>
    <n v="713.9459860090883"/>
    <n v="3211.5986073392373"/>
    <n v="14975.210508631213"/>
    <n v="0"/>
    <n v="0"/>
    <n v="0"/>
    <n v="0"/>
    <n v="0"/>
    <n v="0"/>
    <n v="0"/>
    <n v="0"/>
    <n v="0"/>
    <n v="0"/>
    <m/>
    <n v="0"/>
    <n v="0"/>
    <n v="0"/>
    <n v="0"/>
    <n v="0"/>
    <n v="5284.1768509013928"/>
    <n v="0"/>
    <n v="24.91"/>
    <n v="2213.41"/>
    <n v="165889.20000000001"/>
    <n v="198"/>
    <m/>
    <m/>
    <m/>
    <m/>
    <n v="18047.834739000005"/>
    <m/>
    <m/>
    <m/>
    <m/>
    <n v="105969.87390682113"/>
    <m/>
    <m/>
    <m/>
    <m/>
    <m/>
    <m/>
    <m/>
    <m/>
    <m/>
    <m/>
    <m/>
    <m/>
    <n v="282749.46180000005"/>
    <n v="-18113.187850999995"/>
    <m/>
    <m/>
    <m/>
    <m/>
    <n v="-32030.89615"/>
    <n v="12761.525150000003"/>
    <n v="31"/>
    <n v="15313.353102824913"/>
    <n v="320.02893661359667"/>
    <n v="1492.2477185318548"/>
    <n v="0"/>
    <n v="0"/>
    <n v="0"/>
    <n v="0"/>
    <n v="0"/>
    <n v="1496.6868611835916"/>
    <n v="0"/>
    <n v="0"/>
    <n v="12760.084300013012"/>
    <n v="0"/>
    <n v="0"/>
    <n v="0"/>
    <n v="669.67348933615631"/>
    <n v="0"/>
    <n v="-1235.2965231967391"/>
    <m/>
    <n v="0"/>
    <n v="0"/>
    <n v="0"/>
    <n v="0"/>
    <n v="-169.87312686034238"/>
    <n v="-20.198552796206059"/>
    <n v="0"/>
    <n v="0"/>
    <m/>
    <m/>
    <m/>
    <n v="139222.45017807983"/>
    <n v="0"/>
    <n v="0"/>
    <n v="-32030.896150000015"/>
    <n v="12761.525150000001"/>
    <n v="0"/>
    <n v="0"/>
    <n v="-34585.218194252593"/>
    <n v="0"/>
    <n v="0"/>
    <n v="0"/>
    <n v="0"/>
    <n v="0"/>
    <n v="0"/>
    <n v="0"/>
    <n v="0"/>
    <n v="0"/>
    <n v="0"/>
    <n v="0"/>
    <n v="0"/>
    <n v="9290.403387741000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59"/>
    <s v="Regular"/>
    <s v="Azul"/>
    <s v="A4"/>
    <s v="Serviço público"/>
    <s v="Água, esgoto e saneamento"/>
    <s v="Não se aplica"/>
    <s v="Não se aplica"/>
    <s v="Ponta"/>
    <s v="CATIVO"/>
    <x v="3"/>
    <n v="65"/>
    <n v="61.1"/>
    <n v="2.9009999999999998"/>
    <n v="2.7269399999999999"/>
    <n v="2.9009999999999998"/>
    <n v="2.7269399999999999"/>
    <n v="52.95"/>
    <n v="85.01"/>
    <n v="173.25"/>
    <n v="3441.75"/>
    <n v="749.21226000000001"/>
    <n v="4190.9622600000002"/>
    <n v="3684.6716699999997"/>
    <n v="0"/>
    <n v="155.33204152139481"/>
    <n v="0"/>
    <n v="0"/>
    <n v="51.198306474712865"/>
    <n v="49.188863943031343"/>
    <n v="2725.6914092779475"/>
    <n v="494.15770516799296"/>
    <n v="8.433884472100166"/>
    <n v="0"/>
    <n v="0"/>
    <n v="0"/>
    <n v="0"/>
    <n v="27.585696834521013"/>
    <m/>
    <n v="2.3231609130992381"/>
    <n v="108.68330737188015"/>
    <n v="506.76761947441048"/>
    <n v="0"/>
    <n v="0"/>
    <n v="0"/>
    <n v="0"/>
    <n v="0"/>
    <n v="0"/>
    <n v="0"/>
    <n v="0"/>
    <n v="0"/>
    <n v="0"/>
    <m/>
    <n v="0"/>
    <n v="0"/>
    <n v="0"/>
    <n v="0"/>
    <n v="0"/>
    <n v="21.695582747297852"/>
    <n v="0"/>
    <n v="0"/>
    <n v="0"/>
    <n v="0"/>
    <n v="0"/>
    <m/>
    <m/>
    <m/>
    <m/>
    <n v="221.0803001999999"/>
    <m/>
    <m/>
    <m/>
    <m/>
    <n v="515.85328791529082"/>
    <m/>
    <m/>
    <m/>
    <m/>
    <m/>
    <m/>
    <m/>
    <m/>
    <m/>
    <m/>
    <m/>
    <m/>
    <n v="3464.4441000000002"/>
    <n v="-475.09042440000076"/>
    <m/>
    <m/>
    <m/>
    <m/>
    <n v="-568.92318000000023"/>
    <n v="62.632590000000008"/>
    <n v="31"/>
    <n v="171.17760635520517"/>
    <n v="10.830059275274195"/>
    <n v="50.498310093914142"/>
    <n v="0"/>
    <n v="0"/>
    <n v="0"/>
    <n v="0"/>
    <n v="0"/>
    <n v="50.648231768467902"/>
    <n v="0"/>
    <n v="0"/>
    <n v="62.625518418396268"/>
    <n v="0"/>
    <n v="0"/>
    <n v="0"/>
    <n v="2.7495212615916387"/>
    <n v="0"/>
    <n v="-5.2745845961248676"/>
    <m/>
    <n v="0"/>
    <n v="0"/>
    <n v="0"/>
    <n v="0"/>
    <n v="-0.8337243222579751"/>
    <n v="-6.5725544056384422E-2"/>
    <n v="0"/>
    <n v="0"/>
    <m/>
    <m/>
    <n v="2725.6914092779475"/>
    <n v="0"/>
    <n v="0"/>
    <n v="0"/>
    <n v="-568.92318000000023"/>
    <n v="62.632589999999993"/>
    <n v="0"/>
    <n v="0"/>
    <n v="-677.10798078540483"/>
    <n v="0"/>
    <n v="0"/>
    <n v="0"/>
    <n v="0"/>
    <n v="0"/>
    <n v="0"/>
    <n v="0"/>
    <n v="0"/>
    <n v="0"/>
    <n v="0"/>
    <n v="0"/>
    <n v="0"/>
    <n v="39.66903304637730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60"/>
    <s v="Regular"/>
    <s v="Azul"/>
    <s v="A4"/>
    <s v="Serviço público"/>
    <s v="Água, esgoto e saneamento"/>
    <s v="Não se aplica"/>
    <s v="Não se aplica"/>
    <s v="Fora ponta"/>
    <s v="CATIVO"/>
    <x v="3"/>
    <n v="65"/>
    <n v="61.1"/>
    <n v="22.882000000000001"/>
    <n v="21.509080000000001"/>
    <n v="22.882000000000001"/>
    <n v="21.509080000000001"/>
    <n v="27.19"/>
    <n v="85.01"/>
    <n v="173.25"/>
    <n v="1767.3500000000001"/>
    <n v="5909.5053200000002"/>
    <n v="7676.8553200000006"/>
    <n v="7790.9269400000003"/>
    <n v="0"/>
    <n v="1225.2008873121533"/>
    <n v="0"/>
    <n v="0"/>
    <n v="15.158039872791662"/>
    <n v="14.56226455907756"/>
    <n v="1555.5819658053674"/>
    <n v="3897.7306479331323"/>
    <n v="66.523317645844898"/>
    <n v="0"/>
    <n v="0"/>
    <n v="0"/>
    <n v="0"/>
    <n v="217.58563080576005"/>
    <m/>
    <n v="18.324221997082649"/>
    <n v="32.167514020880162"/>
    <n v="150.02577479574686"/>
    <n v="0"/>
    <n v="0"/>
    <n v="0"/>
    <n v="0"/>
    <n v="0"/>
    <n v="0"/>
    <n v="0"/>
    <n v="0"/>
    <n v="0"/>
    <n v="0"/>
    <m/>
    <n v="0"/>
    <n v="0"/>
    <n v="0"/>
    <n v="0"/>
    <n v="0"/>
    <n v="171.12661993232317"/>
    <n v="0"/>
    <n v="0"/>
    <n v="0"/>
    <n v="0"/>
    <n v="0"/>
    <m/>
    <m/>
    <m/>
    <m/>
    <n v="467.45561640000017"/>
    <m/>
    <m/>
    <m/>
    <m/>
    <n v="4068.8572678654555"/>
    <m/>
    <m/>
    <m/>
    <m/>
    <m/>
    <m/>
    <m/>
    <m/>
    <m/>
    <m/>
    <m/>
    <m/>
    <n v="7323.7277000000013"/>
    <n v="107.4536992000003"/>
    <m/>
    <m/>
    <m/>
    <m/>
    <n v="-379.95076000000017"/>
    <n v="494.02238000000011"/>
    <n v="31"/>
    <n v="500.10480550918874"/>
    <n v="3.2054240159650789"/>
    <n v="14.94974778691028"/>
    <n v="0"/>
    <n v="0"/>
    <n v="0"/>
    <n v="0"/>
    <n v="0"/>
    <n v="14.994307478133946"/>
    <n v="0"/>
    <n v="0"/>
    <n v="493.96660201645727"/>
    <n v="0"/>
    <n v="0"/>
    <n v="0"/>
    <n v="21.687192522488772"/>
    <n v="0"/>
    <n v="-41.60394509773505"/>
    <m/>
    <n v="0"/>
    <n v="0"/>
    <n v="0"/>
    <n v="0"/>
    <n v="-6.5761047714260599"/>
    <n v="-0.51841844160571426"/>
    <n v="0"/>
    <n v="0"/>
    <m/>
    <m/>
    <n v="1555.5819658053674"/>
    <n v="0"/>
    <n v="0"/>
    <n v="0"/>
    <n v="-379.95076000000017"/>
    <n v="494.02237999999988"/>
    <n v="0"/>
    <n v="0"/>
    <n v="-386.43294696800945"/>
    <n v="0"/>
    <n v="0"/>
    <n v="0"/>
    <n v="0"/>
    <n v="0"/>
    <n v="0"/>
    <n v="0"/>
    <n v="0"/>
    <n v="0"/>
    <n v="0"/>
    <n v="0"/>
    <n v="0"/>
    <n v="312.894455073149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61"/>
    <s v="Regular"/>
    <s v="Azul"/>
    <s v="A4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02"/>
    <n v="87.21"/>
    <n v="6251.5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62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7.7859999999999996"/>
    <n v="7.7859999999999996"/>
    <n v="7.7859999999999996"/>
    <n v="7.7859999999999996"/>
    <m/>
    <n v="368.24"/>
    <n v="173.25"/>
    <m/>
    <n v="4216.0411399999994"/>
    <n v="4216.0411399999994"/>
    <n v="3962.2175399999996"/>
    <n v="0"/>
    <n v="479.19079639029792"/>
    <n v="0"/>
    <n v="0"/>
    <n v="19.928557922962064"/>
    <n v="19.146875423154267"/>
    <n v="1833.8919057098883"/>
    <n v="1326.2709039772469"/>
    <n v="22.635720268794174"/>
    <n v="0"/>
    <n v="0"/>
    <n v="0"/>
    <n v="0"/>
    <n v="74.037309739255633"/>
    <m/>
    <n v="9.4043723780281372"/>
    <n v="42.304417734747624"/>
    <n v="197.25925885482226"/>
    <n v="0"/>
    <n v="0"/>
    <n v="0"/>
    <n v="0"/>
    <n v="0"/>
    <n v="0"/>
    <n v="0"/>
    <n v="0"/>
    <n v="0"/>
    <n v="0"/>
    <m/>
    <n v="0"/>
    <n v="0"/>
    <n v="0"/>
    <n v="0"/>
    <n v="0"/>
    <n v="69.605219149730146"/>
    <n v="0"/>
    <n v="0.32"/>
    <n v="30.6"/>
    <n v="2185.11"/>
    <n v="5"/>
    <m/>
    <m/>
    <m/>
    <m/>
    <m/>
    <m/>
    <m/>
    <m/>
    <m/>
    <n v="1395.8761231269771"/>
    <m/>
    <m/>
    <m/>
    <m/>
    <m/>
    <m/>
    <m/>
    <m/>
    <m/>
    <m/>
    <m/>
    <m/>
    <n v="3964.2530999999999"/>
    <n v="-251.81804000000011"/>
    <m/>
    <m/>
    <m/>
    <m/>
    <n v="-421.92333999999994"/>
    <n v="168.09974000000003"/>
    <n v="31"/>
    <n v="201.71340375512045"/>
    <n v="4.215544804001901"/>
    <n v="19.656463514535176"/>
    <n v="0"/>
    <n v="0"/>
    <n v="0"/>
    <n v="0"/>
    <n v="0"/>
    <n v="19.714937616714085"/>
    <n v="0"/>
    <n v="0"/>
    <n v="168.08076056726418"/>
    <n v="0"/>
    <n v="0"/>
    <n v="0"/>
    <n v="8.8211979461013357"/>
    <n v="0"/>
    <n v="-16.271803090265848"/>
    <m/>
    <n v="0"/>
    <n v="0"/>
    <n v="0"/>
    <n v="0"/>
    <n v="-2.2376344615996402"/>
    <n v="-0.26606314163150913"/>
    <n v="0"/>
    <n v="0"/>
    <m/>
    <m/>
    <m/>
    <n v="1833.8919057098883"/>
    <n v="0"/>
    <n v="0"/>
    <n v="-421.92333999999983"/>
    <n v="168.09974000000011"/>
    <n v="0"/>
    <n v="0"/>
    <n v="-455.56985689105727"/>
    <n v="0"/>
    <n v="0"/>
    <n v="0"/>
    <n v="0"/>
    <n v="0"/>
    <n v="0"/>
    <n v="0"/>
    <n v="0"/>
    <n v="0"/>
    <n v="0"/>
    <n v="0"/>
    <n v="0"/>
    <n v="122.3767829955952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63"/>
    <s v="Sistema de Compensação"/>
    <s v="Convencional"/>
    <s v="B3"/>
    <s v="Consumo próprio"/>
    <s v="Não se aplica"/>
    <s v="Não se aplica"/>
    <s v="Não se aplica"/>
    <s v="Não se aplica"/>
    <s v="CATIVO"/>
    <x v="3"/>
    <n v="0"/>
    <n v="0"/>
    <n v="1.407"/>
    <n v="1.407"/>
    <n v="1.407"/>
    <n v="1.407"/>
    <m/>
    <n v="368.24"/>
    <n v="173.25"/>
    <m/>
    <n v="761.87643000000003"/>
    <n v="761.87643000000003"/>
    <n v="716.00823000000003"/>
    <n v="0"/>
    <n v="86.594072761514155"/>
    <n v="0"/>
    <n v="0"/>
    <n v="3.6012690723873138"/>
    <n v="3.4600120370380245"/>
    <n v="331.40070785176124"/>
    <n v="239.6690421135354"/>
    <n v="4.090477577471539"/>
    <n v="0"/>
    <n v="0"/>
    <n v="0"/>
    <n v="0"/>
    <n v="13.379205600196851"/>
    <m/>
    <n v="1.6994543971083469"/>
    <n v="7.6447875356781294"/>
    <n v="35.646516466572685"/>
    <n v="0"/>
    <n v="0"/>
    <n v="0"/>
    <n v="0"/>
    <n v="0"/>
    <n v="0"/>
    <n v="0"/>
    <n v="0"/>
    <n v="0"/>
    <n v="0"/>
    <m/>
    <n v="0"/>
    <n v="0"/>
    <n v="0"/>
    <n v="0"/>
    <n v="0"/>
    <n v="12.578287097825624"/>
    <n v="0"/>
    <n v="0.06"/>
    <n v="5.53"/>
    <n v="512.1"/>
    <n v="1"/>
    <m/>
    <m/>
    <m/>
    <m/>
    <m/>
    <m/>
    <m/>
    <m/>
    <m/>
    <n v="252.24732921136103"/>
    <m/>
    <m/>
    <m/>
    <m/>
    <m/>
    <m/>
    <m/>
    <m/>
    <m/>
    <m/>
    <m/>
    <m/>
    <n v="717.53489999999999"/>
    <n v="-44.371530000000007"/>
    <m/>
    <m/>
    <m/>
    <m/>
    <n v="-76.245329999999996"/>
    <n v="30.377130000000005"/>
    <n v="31"/>
    <n v="36.451420380613058"/>
    <n v="0.76178673763558624"/>
    <n v="3.5520991735102783"/>
    <n v="0"/>
    <n v="0"/>
    <n v="0"/>
    <n v="0"/>
    <n v="0"/>
    <n v="3.5626659679831376"/>
    <n v="0"/>
    <n v="0"/>
    <n v="30.373700246357657"/>
    <n v="0"/>
    <n v="0"/>
    <n v="0"/>
    <n v="1.5940695492119943"/>
    <n v="0"/>
    <n v="-2.9404606920118255"/>
    <m/>
    <n v="0"/>
    <n v="0"/>
    <n v="0"/>
    <n v="0"/>
    <n v="-0.40436060717578926"/>
    <n v="-4.8079994897962219E-2"/>
    <n v="0"/>
    <n v="0"/>
    <m/>
    <m/>
    <m/>
    <n v="331.40070785176124"/>
    <n v="0"/>
    <n v="0"/>
    <n v="-76.245330000000024"/>
    <n v="30.377129999999994"/>
    <n v="0"/>
    <n v="0"/>
    <n v="-82.325557236799085"/>
    <n v="0"/>
    <n v="0"/>
    <n v="0"/>
    <n v="0"/>
    <n v="0"/>
    <n v="0"/>
    <n v="0"/>
    <n v="0"/>
    <n v="0"/>
    <n v="0"/>
    <n v="0"/>
    <n v="0"/>
    <n v="22.11458177174448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64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1.72"/>
    <n v="35.68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65"/>
    <s v="Regular"/>
    <s v="Convencional"/>
    <s v="B2"/>
    <s v="Rural"/>
    <s v="Agropecuária rural"/>
    <s v="IRRIG./AQUIC."/>
    <s v="Não se aplica"/>
    <s v="Não se aplica"/>
    <s v="CATIVO"/>
    <x v="3"/>
    <n v="0"/>
    <n v="0"/>
    <n v="0.40400000000000003"/>
    <n v="0.40400000000000003"/>
    <n v="0.40400000000000003"/>
    <n v="0.40400000000000003"/>
    <m/>
    <n v="368.24"/>
    <n v="173.25"/>
    <m/>
    <n v="218.76196000000004"/>
    <n v="218.76196000000004"/>
    <n v="205.59156000000002"/>
    <n v="0"/>
    <n v="24.864254012545643"/>
    <n v="0"/>
    <n v="0"/>
    <n v="1.0340530954118514"/>
    <n v="0.99349315064915555"/>
    <n v="95.156990740662081"/>
    <n v="68.81755011646645"/>
    <n v="1.1745223463386651"/>
    <n v="0"/>
    <n v="0"/>
    <n v="0"/>
    <n v="0"/>
    <n v="3.841648232039466"/>
    <m/>
    <n v="0.48797411260253887"/>
    <n v="2.1950918012892426"/>
    <n v="10.235389234182918"/>
    <n v="0"/>
    <n v="0"/>
    <n v="0"/>
    <n v="0"/>
    <n v="0"/>
    <n v="0"/>
    <n v="0"/>
    <n v="0"/>
    <n v="0"/>
    <n v="0"/>
    <m/>
    <n v="0"/>
    <n v="0"/>
    <n v="0"/>
    <n v="0"/>
    <n v="0"/>
    <n v="3.6116758973145364"/>
    <n v="0"/>
    <n v="0"/>
    <n v="0"/>
    <n v="0"/>
    <n v="0"/>
    <m/>
    <m/>
    <m/>
    <m/>
    <m/>
    <n v="24.668240000000004"/>
    <m/>
    <m/>
    <m/>
    <n v="72.42922601378099"/>
    <m/>
    <m/>
    <m/>
    <m/>
    <m/>
    <m/>
    <m/>
    <m/>
    <m/>
    <m/>
    <m/>
    <m/>
    <n v="179.13200000000001"/>
    <n v="-13.408039999999971"/>
    <m/>
    <m/>
    <m/>
    <m/>
    <n v="-21.892759999999999"/>
    <n v="8.7223600000000019"/>
    <n v="31"/>
    <n v="10.466505923075815"/>
    <n v="0.21873620611569056"/>
    <n v="1.0199346596291061"/>
    <n v="0"/>
    <n v="0"/>
    <n v="0"/>
    <n v="0"/>
    <n v="0"/>
    <n v="1.022968764083289"/>
    <n v="0"/>
    <n v="0"/>
    <n v="8.7213751951161953"/>
    <n v="0"/>
    <n v="0"/>
    <n v="0"/>
    <n v="0.45771435528190896"/>
    <n v="0"/>
    <n v="-0.84431138562386465"/>
    <m/>
    <n v="0"/>
    <n v="0"/>
    <n v="0"/>
    <n v="0"/>
    <n v="-0.11610638614002822"/>
    <n v="-1.3805485386479521E-2"/>
    <n v="0"/>
    <n v="0"/>
    <m/>
    <m/>
    <m/>
    <n v="95.156990740662081"/>
    <n v="0"/>
    <n v="0"/>
    <n v="-21.89276000000001"/>
    <n v="8.7223599999999948"/>
    <n v="0"/>
    <n v="0"/>
    <n v="-23.638610606728378"/>
    <n v="0"/>
    <n v="0"/>
    <n v="0"/>
    <n v="0"/>
    <n v="0"/>
    <n v="0"/>
    <n v="0"/>
    <n v="0"/>
    <n v="0"/>
    <n v="0"/>
    <n v="0"/>
    <n v="0"/>
    <n v="6.349887019036795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0.19500000000000001"/>
    <n v="7.8E-2"/>
    <n v="0.19500000000000001"/>
    <n v="7.8E-2"/>
    <m/>
    <n v="368.24"/>
    <n v="173.25"/>
    <m/>
    <n v="105.59055000000001"/>
    <n v="105.59055000000001"/>
    <n v="99.233550000000008"/>
    <n v="0"/>
    <n v="12.001310723877229"/>
    <n v="0"/>
    <n v="0"/>
    <n v="0.49910978615175988"/>
    <n v="0.47953258509055774"/>
    <n v="45.929735629775017"/>
    <n v="33.216391764136034"/>
    <n v="0.56691053845554384"/>
    <n v="0"/>
    <n v="0"/>
    <n v="0"/>
    <n v="0"/>
    <n v="1.854260904078455"/>
    <m/>
    <n v="0.2355320593007304"/>
    <n v="1.0595121318104017"/>
    <n v="4.9403487640239332"/>
    <n v="0"/>
    <n v="0"/>
    <n v="0"/>
    <n v="0"/>
    <n v="0"/>
    <n v="0"/>
    <n v="0"/>
    <n v="0"/>
    <n v="0"/>
    <n v="0"/>
    <m/>
    <n v="0"/>
    <n v="0"/>
    <n v="0"/>
    <n v="0"/>
    <n v="0"/>
    <n v="1.7432594058820163"/>
    <n v="0"/>
    <n v="0"/>
    <n v="0"/>
    <n v="0"/>
    <n v="0"/>
    <m/>
    <m/>
    <m/>
    <m/>
    <m/>
    <m/>
    <n v="64.302810000000008"/>
    <m/>
    <m/>
    <n v="34.959651170018049"/>
    <m/>
    <m/>
    <m/>
    <m/>
    <m/>
    <m/>
    <m/>
    <m/>
    <m/>
    <m/>
    <m/>
    <m/>
    <n v="35.8264"/>
    <n v="-1.371380000000002"/>
    <m/>
    <m/>
    <m/>
    <m/>
    <n v="-10.56705"/>
    <n v="4.2100500000000007"/>
    <n v="31"/>
    <n v="5.0519026113856143"/>
    <n v="0.10557811928851413"/>
    <n v="0.49229519462295901"/>
    <n v="0"/>
    <n v="0"/>
    <n v="0"/>
    <n v="0"/>
    <n v="0"/>
    <n v="0.49375967573327073"/>
    <n v="0"/>
    <n v="0"/>
    <n v="4.2095746610090572"/>
    <n v="0"/>
    <n v="0"/>
    <n v="0"/>
    <n v="0.22092648336626786"/>
    <n v="0"/>
    <n v="-0.40752653514023152"/>
    <m/>
    <n v="0"/>
    <n v="0"/>
    <n v="0"/>
    <n v="0"/>
    <n v="-5.6041448755706602E-2"/>
    <n v="-6.6635387385235445E-3"/>
    <n v="0"/>
    <n v="0"/>
    <m/>
    <m/>
    <m/>
    <n v="45.929735629775017"/>
    <n v="0"/>
    <n v="0"/>
    <n v="-10.567050000000009"/>
    <n v="4.2100500000000025"/>
    <n v="0"/>
    <n v="0"/>
    <n v="-11.409725416613945"/>
    <n v="0"/>
    <n v="0"/>
    <n v="0"/>
    <n v="0"/>
    <n v="0"/>
    <n v="0"/>
    <n v="0"/>
    <n v="0"/>
    <n v="0"/>
    <n v="0"/>
    <n v="0"/>
    <n v="0"/>
    <n v="3.06492071463409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67"/>
    <s v="Regular"/>
    <s v="Convencional"/>
    <s v="B1"/>
    <s v="Residencial"/>
    <s v="Residencial"/>
    <s v="Não se aplica"/>
    <s v="Não se aplica"/>
    <s v="Não se aplica"/>
    <s v="CATIVO"/>
    <x v="4"/>
    <n v="0"/>
    <n v="0"/>
    <n v="9279.5840000000007"/>
    <n v="9279.5840000000007"/>
    <n v="9279.5840000000007"/>
    <n v="9279.5840000000007"/>
    <m/>
    <n v="368.24"/>
    <n v="173.25"/>
    <m/>
    <n v="5024801.9401600007"/>
    <n v="5024801.9401600007"/>
    <n v="4722287.5017600004"/>
    <n v="0"/>
    <n v="571113.6972939464"/>
    <n v="0"/>
    <n v="0"/>
    <n v="23751.441978550221"/>
    <n v="22819.809764538353"/>
    <n v="2185686.3583296933"/>
    <n v="1580688.7053959412"/>
    <n v="26977.917754274098"/>
    <n v="0"/>
    <n v="0"/>
    <n v="0"/>
    <n v="0"/>
    <n v="88239.845216984439"/>
    <m/>
    <n v="11208.407840892867"/>
    <n v="50419.650390531773"/>
    <n v="235099.39151310906"/>
    <n v="0"/>
    <n v="0"/>
    <n v="0"/>
    <n v="0"/>
    <n v="0"/>
    <n v="0"/>
    <n v="0"/>
    <n v="0"/>
    <n v="0"/>
    <n v="0"/>
    <m/>
    <n v="0"/>
    <n v="0"/>
    <n v="0"/>
    <n v="0"/>
    <n v="0"/>
    <n v="82957.549182934687"/>
    <n v="0"/>
    <n v="4023.11"/>
    <n v="36480.15"/>
    <n v="2574585.33"/>
    <n v="46668"/>
    <m/>
    <m/>
    <m/>
    <m/>
    <m/>
    <m/>
    <m/>
    <m/>
    <m/>
    <n v="1663646.2545788758"/>
    <m/>
    <m/>
    <m/>
    <m/>
    <m/>
    <m/>
    <m/>
    <m/>
    <m/>
    <m/>
    <m/>
    <m/>
    <n v="4722285.4661999997"/>
    <n v="-302516.50396000035"/>
    <m/>
    <m/>
    <m/>
    <m/>
    <n v="-502860.65695999999"/>
    <n v="200346.21856000004"/>
    <n v="30"/>
    <n v="240407.97252395935"/>
    <n v="5024.2103923065952"/>
    <n v="23427.151852821029"/>
    <n v="0"/>
    <n v="0"/>
    <n v="0"/>
    <n v="0"/>
    <n v="0"/>
    <n v="23496.843009126394"/>
    <n v="0"/>
    <n v="0"/>
    <n v="200323.59831335931"/>
    <n v="0"/>
    <n v="0"/>
    <n v="0"/>
    <n v="10513.36338575327"/>
    <n v="0"/>
    <n v="-19393.213923398638"/>
    <m/>
    <n v="0"/>
    <n v="0"/>
    <n v="0"/>
    <n v="0"/>
    <n v="-2666.8786215911532"/>
    <n v="-317.10188441735045"/>
    <n v="0"/>
    <n v="0"/>
    <m/>
    <m/>
    <m/>
    <n v="2185686.3583296933"/>
    <n v="0"/>
    <n v="0"/>
    <n v="-502860.65696000028"/>
    <n v="200346.21856000018"/>
    <n v="0"/>
    <n v="0"/>
    <n v="-542961.56625848287"/>
    <n v="0"/>
    <n v="0"/>
    <n v="0"/>
    <n v="0"/>
    <n v="0"/>
    <n v="0"/>
    <n v="0"/>
    <n v="0"/>
    <n v="0"/>
    <n v="0"/>
    <n v="0"/>
    <n v="0"/>
    <n v="145852.2524348057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68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1.9730000000000001"/>
    <n v="-1.9730000000000001"/>
    <n v="-1.9730000000000001"/>
    <n v="-1.9730000000000001"/>
    <m/>
    <n v="368.24"/>
    <n v="173.25"/>
    <m/>
    <n v="-1068.35977"/>
    <n v="-1068.35977"/>
    <n v="-1004.03997"/>
    <n v="0"/>
    <n v="-121.4286464523578"/>
    <n v="0"/>
    <n v="0"/>
    <n v="-5.0499672209098581"/>
    <n v="-4.8518861045316433"/>
    <n v="-464.71470973100566"/>
    <n v="-336.08174846482257"/>
    <n v="-5.7359717557578866"/>
    <n v="0"/>
    <n v="0"/>
    <n v="0"/>
    <n v="0"/>
    <n v="-18.761316737163035"/>
    <m/>
    <n v="-2.3831012974376464"/>
    <n v="-10.720089415702168"/>
    <n v="-49.98619544317549"/>
    <n v="0"/>
    <n v="0"/>
    <n v="0"/>
    <n v="0"/>
    <n v="0"/>
    <n v="0"/>
    <n v="0"/>
    <n v="0"/>
    <n v="0"/>
    <n v="0"/>
    <m/>
    <n v="0"/>
    <n v="0"/>
    <n v="0"/>
    <n v="0"/>
    <n v="0"/>
    <n v="-17.63820927079599"/>
    <n v="0"/>
    <n v="-0.7"/>
    <n v="-7.56"/>
    <n v="-538.47"/>
    <n v="0"/>
    <m/>
    <m/>
    <m/>
    <m/>
    <m/>
    <m/>
    <m/>
    <m/>
    <m/>
    <n v="-353.71995773561855"/>
    <m/>
    <m/>
    <m/>
    <m/>
    <m/>
    <m/>
    <m/>
    <m/>
    <m/>
    <m/>
    <m/>
    <m/>
    <n v="-1002.5133000000001"/>
    <n v="65.816469999999981"/>
    <m/>
    <m/>
    <m/>
    <m/>
    <n v="106.91687"/>
    <n v="-42.597070000000009"/>
    <n v="30"/>
    <n v="-51.114891550070752"/>
    <n v="-1.0682339966986572"/>
    <n v="-4.9810175332876838"/>
    <n v="0"/>
    <n v="0"/>
    <n v="0"/>
    <n v="0"/>
    <n v="0"/>
    <n v="-4.9958350780602219"/>
    <n v="0"/>
    <n v="0"/>
    <n v="-42.592260544465944"/>
    <n v="0"/>
    <n v="0"/>
    <n v="0"/>
    <n v="-2.2353228291366491"/>
    <n v="0"/>
    <n v="4.1233325837521733"/>
    <m/>
    <n v="0"/>
    <n v="0"/>
    <n v="0"/>
    <n v="0"/>
    <n v="0.56702450458979214"/>
    <n v="6.7421343236445885E-2"/>
    <n v="0"/>
    <n v="0"/>
    <m/>
    <m/>
    <m/>
    <n v="-464.71470973100566"/>
    <n v="0"/>
    <n v="0"/>
    <n v="106.91687000000002"/>
    <n v="-42.597070000000031"/>
    <n v="0"/>
    <n v="0"/>
    <n v="115.44301665117598"/>
    <n v="0"/>
    <n v="0"/>
    <n v="0"/>
    <n v="0"/>
    <n v="0"/>
    <n v="0"/>
    <n v="0"/>
    <n v="0"/>
    <n v="0"/>
    <n v="0"/>
    <n v="0"/>
    <n v="0"/>
    <n v="-31.01071061524652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69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86.906000000000006"/>
    <n v="86.906000000000006"/>
    <n v="86.906000000000006"/>
    <n v="86.906000000000006"/>
    <m/>
    <n v="368.24"/>
    <n v="173.25"/>
    <m/>
    <n v="47058.729940000005"/>
    <n v="47058.729940000005"/>
    <n v="44225.594340000003"/>
    <n v="0"/>
    <n v="5348.6456911244841"/>
    <n v="0"/>
    <n v="0"/>
    <n v="222.43915423233256"/>
    <n v="213.71414789682058"/>
    <n v="20469.587716108857"/>
    <n v="14803.608936687213"/>
    <n v="252.6560372052179"/>
    <n v="0"/>
    <n v="0"/>
    <n v="0"/>
    <n v="0"/>
    <n v="826.39178528124216"/>
    <m/>
    <n v="104.96999561840654"/>
    <n v="472.19467347238344"/>
    <n v="2201.7741009551996"/>
    <n v="0"/>
    <n v="0"/>
    <n v="0"/>
    <n v="0"/>
    <n v="0"/>
    <n v="0"/>
    <n v="0"/>
    <n v="0"/>
    <n v="0"/>
    <n v="0"/>
    <m/>
    <n v="0"/>
    <n v="0"/>
    <n v="0"/>
    <n v="0"/>
    <n v="0"/>
    <n v="776.92154834657697"/>
    <n v="0"/>
    <n v="35.26"/>
    <n v="342.09"/>
    <n v="65480.25"/>
    <n v="1049"/>
    <m/>
    <m/>
    <m/>
    <m/>
    <m/>
    <m/>
    <m/>
    <m/>
    <m/>
    <n v="15580.530485033791"/>
    <m/>
    <m/>
    <m/>
    <m/>
    <m/>
    <m/>
    <m/>
    <m/>
    <m/>
    <m/>
    <m/>
    <m/>
    <n v="44227.6299"/>
    <n v="-2831.1300400000036"/>
    <m/>
    <m/>
    <m/>
    <m/>
    <n v="-4709.4361399999998"/>
    <n v="1876.3005400000004"/>
    <n v="30"/>
    <n v="2251.4905043337312"/>
    <n v="47.053189922500565"/>
    <n v="219.40208299437381"/>
    <n v="0"/>
    <n v="0"/>
    <n v="0"/>
    <n v="0"/>
    <n v="0"/>
    <n v="220.0547609193622"/>
    <n v="0"/>
    <n v="0"/>
    <n v="1876.0886948187308"/>
    <n v="0"/>
    <n v="0"/>
    <n v="0"/>
    <n v="98.460702376558402"/>
    <n v="0"/>
    <n v="-181.62308237383058"/>
    <m/>
    <n v="0"/>
    <n v="0"/>
    <n v="0"/>
    <n v="0"/>
    <n v="-24.976093054171542"/>
    <n v="-2.9697512697955233"/>
    <n v="0"/>
    <n v="0"/>
    <m/>
    <m/>
    <m/>
    <n v="20469.587716108857"/>
    <n v="0"/>
    <n v="0"/>
    <n v="-4709.4361400000016"/>
    <n v="1876.3005400000002"/>
    <n v="0"/>
    <n v="0"/>
    <n v="-5084.9928054166739"/>
    <n v="0"/>
    <n v="0"/>
    <n v="0"/>
    <n v="0"/>
    <n v="0"/>
    <n v="0"/>
    <n v="0"/>
    <n v="0"/>
    <n v="0"/>
    <n v="0"/>
    <n v="0"/>
    <n v="0"/>
    <n v="1365.948716030722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70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71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3.49"/>
    <n v="23.49"/>
    <n v="23.49"/>
    <n v="23.49"/>
    <m/>
    <n v="281.47000000000003"/>
    <n v="173.25"/>
    <m/>
    <n v="10681.372800000001"/>
    <n v="10681.372800000001"/>
    <n v="9971.5049999999992"/>
    <n v="0"/>
    <n v="0"/>
    <n v="0"/>
    <n v="0"/>
    <n v="60.123532701050458"/>
    <n v="57.765232942447184"/>
    <n v="5532.766615094436"/>
    <n v="4001.2976540490022"/>
    <n v="68.29091563241397"/>
    <n v="0"/>
    <n v="0"/>
    <n v="0"/>
    <n v="0"/>
    <n v="0"/>
    <m/>
    <n v="28.372554220380287"/>
    <n v="127.6304614165453"/>
    <n v="595.12201265088299"/>
    <n v="0"/>
    <n v="0"/>
    <n v="0"/>
    <n v="0"/>
    <n v="0"/>
    <n v="0"/>
    <n v="0"/>
    <n v="0"/>
    <n v="0"/>
    <n v="0"/>
    <m/>
    <n v="0"/>
    <n v="0"/>
    <n v="0"/>
    <n v="0"/>
    <n v="0"/>
    <n v="209.99570997009516"/>
    <n v="0"/>
    <n v="0"/>
    <n v="23.43"/>
    <n v="1461.92"/>
    <n v="22"/>
    <m/>
    <m/>
    <m/>
    <m/>
    <m/>
    <m/>
    <m/>
    <n v="6481.5956999999999"/>
    <m/>
    <n v="4211.2933640190977"/>
    <m/>
    <m/>
    <m/>
    <m/>
    <m/>
    <m/>
    <m/>
    <m/>
    <m/>
    <m/>
    <m/>
    <m/>
    <n v="3489.9092999999993"/>
    <n v="-248.78910000000087"/>
    <m/>
    <m/>
    <m/>
    <m/>
    <n v="-1217.0169000000005"/>
    <n v="507.14910000000003"/>
    <n v="30"/>
    <n v="664.40207324698986"/>
    <n v="12.718102677370211"/>
    <n v="59.302636521504155"/>
    <n v="0"/>
    <n v="0"/>
    <n v="0"/>
    <n v="0"/>
    <n v="0"/>
    <n v="59.479050169100148"/>
    <n v="0"/>
    <n v="0"/>
    <n v="507.09183993385932"/>
    <n v="0"/>
    <n v="0"/>
    <n v="0"/>
    <n v="26.613144073198129"/>
    <n v="0"/>
    <n v="0"/>
    <m/>
    <n v="0"/>
    <n v="0"/>
    <n v="0"/>
    <n v="0"/>
    <n v="0"/>
    <n v="-0.80270012804060542"/>
    <n v="0"/>
    <n v="0"/>
    <m/>
    <m/>
    <m/>
    <n v="5532.766615094436"/>
    <n v="0"/>
    <n v="0"/>
    <n v="-1217.0169000000005"/>
    <n v="507.14909999999963"/>
    <n v="0"/>
    <n v="0"/>
    <n v="-1374.433077109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72"/>
    <s v="Sistema de Compensação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0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51.12"/>
    <n v="51.12"/>
    <n v="51.12"/>
    <n v="51.12"/>
    <m/>
    <n v="281.47000000000003"/>
    <n v="173.25"/>
    <m/>
    <n v="23245.286399999997"/>
    <n v="23245.286399999997"/>
    <n v="21700.44"/>
    <n v="0"/>
    <n v="0"/>
    <n v="0"/>
    <n v="0"/>
    <n v="130.84355009270752"/>
    <n v="125.71131153758621"/>
    <n v="12040.656848174864"/>
    <n v="8707.8048563211996"/>
    <n v="148.61777808126871"/>
    <n v="0"/>
    <n v="0"/>
    <n v="0"/>
    <n v="0"/>
    <n v="0"/>
    <m/>
    <n v="61.745635238222242"/>
    <n v="277.75518040075758"/>
    <n v="1295.1314298302741"/>
    <n v="0"/>
    <n v="0"/>
    <n v="0"/>
    <n v="0"/>
    <n v="0"/>
    <n v="0"/>
    <n v="0"/>
    <n v="0"/>
    <n v="0"/>
    <n v="0"/>
    <m/>
    <n v="0"/>
    <n v="0"/>
    <n v="0"/>
    <n v="0"/>
    <n v="0"/>
    <n v="457.00215809583932"/>
    <n v="0"/>
    <n v="7.41"/>
    <n v="81.06"/>
    <n v="5679.65"/>
    <n v="97"/>
    <m/>
    <m/>
    <m/>
    <m/>
    <m/>
    <m/>
    <m/>
    <n v="8680.6872000000003"/>
    <m/>
    <n v="9164.8070144170397"/>
    <m/>
    <m/>
    <m/>
    <m/>
    <m/>
    <m/>
    <m/>
    <m/>
    <m/>
    <m/>
    <m/>
    <m/>
    <n v="13019.752799999998"/>
    <n v="-927.34680000000117"/>
    <m/>
    <m/>
    <m/>
    <m/>
    <n v="-2648.5272000000014"/>
    <n v="1103.6808000000001"/>
    <n v="30"/>
    <n v="1445.9018299014988"/>
    <n v="27.677710041173555"/>
    <n v="129.05707871346499"/>
    <n v="0"/>
    <n v="0"/>
    <n v="0"/>
    <n v="0"/>
    <n v="0"/>
    <n v="129.44099806915278"/>
    <n v="0"/>
    <n v="0"/>
    <n v="1103.5561880552978"/>
    <n v="0"/>
    <n v="0"/>
    <n v="0"/>
    <n v="57.916727331710774"/>
    <n v="0"/>
    <n v="0"/>
    <m/>
    <n v="0"/>
    <n v="0"/>
    <n v="0"/>
    <n v="0"/>
    <n v="0"/>
    <n v="-1.7468723092990999"/>
    <n v="0"/>
    <n v="0"/>
    <m/>
    <m/>
    <m/>
    <n v="12040.656848174864"/>
    <n v="0"/>
    <n v="0"/>
    <n v="-2648.5272000000004"/>
    <n v="1103.6808000000001"/>
    <n v="0"/>
    <n v="0"/>
    <n v="-2991.1034015246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74"/>
    <s v="Sistema de Compensação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1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75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55.491"/>
    <n v="55.491"/>
    <n v="55.491"/>
    <n v="55.491"/>
    <m/>
    <n v="281.47000000000003"/>
    <n v="173.25"/>
    <m/>
    <n v="25232.86752"/>
    <n v="25232.86752"/>
    <n v="23555.929499999998"/>
    <n v="0"/>
    <n v="0"/>
    <n v="0"/>
    <n v="0"/>
    <n v="142.03128791460159"/>
    <n v="136.46021886800071"/>
    <n v="13070.189537599206"/>
    <n v="9452.3630532496045"/>
    <n v="161.32529584326451"/>
    <n v="0"/>
    <n v="0"/>
    <n v="0"/>
    <n v="0"/>
    <n v="0"/>
    <m/>
    <n v="67.025176936701683"/>
    <n v="301.50455233995382"/>
    <n v="1405.8712475100106"/>
    <n v="0"/>
    <n v="0"/>
    <n v="0"/>
    <n v="0"/>
    <n v="0"/>
    <n v="0"/>
    <n v="0"/>
    <n v="0"/>
    <n v="0"/>
    <n v="0"/>
    <m/>
    <n v="0"/>
    <n v="0"/>
    <n v="0"/>
    <n v="0"/>
    <n v="0"/>
    <n v="496.07798816307161"/>
    <n v="0"/>
    <n v="16.21"/>
    <n v="138.16"/>
    <n v="10152.27"/>
    <n v="398"/>
    <m/>
    <m/>
    <m/>
    <m/>
    <m/>
    <m/>
    <m/>
    <n v="2356.1478600000005"/>
    <m/>
    <n v="9948.441041412676"/>
    <m/>
    <m/>
    <m/>
    <m/>
    <m/>
    <m/>
    <m/>
    <m/>
    <m/>
    <m/>
    <m/>
    <m/>
    <n v="21199.399600000001"/>
    <n v="-1509.7672399999974"/>
    <m/>
    <m/>
    <m/>
    <m/>
    <n v="-2874.9887100000019"/>
    <n v="1198.0506900000003"/>
    <n v="30"/>
    <n v="1569.5332246295784"/>
    <n v="30.044284191994564"/>
    <n v="140.09206484524429"/>
    <n v="0"/>
    <n v="0"/>
    <n v="0"/>
    <n v="0"/>
    <n v="0"/>
    <n v="140.50881110828169"/>
    <n v="0"/>
    <n v="0"/>
    <n v="1197.9154231489902"/>
    <n v="0"/>
    <n v="0"/>
    <n v="0"/>
    <n v="62.868879428090054"/>
    <n v="0"/>
    <n v="0"/>
    <m/>
    <n v="0"/>
    <n v="0"/>
    <n v="0"/>
    <n v="0"/>
    <n v="0"/>
    <n v="-1.8962380930226033"/>
    <n v="0"/>
    <n v="0"/>
    <m/>
    <m/>
    <m/>
    <n v="13070.189537599206"/>
    <n v="0"/>
    <n v="0"/>
    <n v="-2874.9887100000014"/>
    <n v="1198.05069"/>
    <n v="0"/>
    <n v="0"/>
    <n v="-3246.8567850939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76"/>
    <s v="Sistema de Compensação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6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77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25.242000000000001"/>
    <n v="25.242000000000001"/>
    <n v="25.242000000000001"/>
    <n v="25.242000000000001"/>
    <m/>
    <n v="281.47000000000003"/>
    <n v="173.25"/>
    <m/>
    <n v="11478.042240000002"/>
    <n v="11478.042240000002"/>
    <n v="10715.228999999999"/>
    <n v="0"/>
    <n v="0"/>
    <n v="0"/>
    <n v="0"/>
    <n v="64.607842164321653"/>
    <n v="62.073648783876202"/>
    <n v="5945.4276244450302"/>
    <n v="4299.7341585144704"/>
    <n v="73.38438877792224"/>
    <n v="0"/>
    <n v="0"/>
    <n v="0"/>
    <n v="0"/>
    <n v="0"/>
    <m/>
    <n v="30.488719183943775"/>
    <n v="137.14977041619571"/>
    <n v="639.50914616149805"/>
    <n v="0"/>
    <n v="0"/>
    <n v="0"/>
    <n v="0"/>
    <n v="0"/>
    <n v="0"/>
    <n v="0"/>
    <n v="0"/>
    <n v="0"/>
    <n v="0"/>
    <m/>
    <n v="0"/>
    <n v="0"/>
    <n v="0"/>
    <n v="0"/>
    <n v="0"/>
    <n v="225.65822524755822"/>
    <n v="0"/>
    <n v="10.64"/>
    <n v="85.96"/>
    <n v="6107.72"/>
    <n v="266"/>
    <m/>
    <m/>
    <m/>
    <m/>
    <m/>
    <m/>
    <m/>
    <m/>
    <m/>
    <n v="4525.3923837620287"/>
    <m/>
    <m/>
    <m/>
    <m/>
    <m/>
    <m/>
    <m/>
    <m/>
    <m/>
    <m/>
    <m/>
    <m/>
    <n v="10714.38"/>
    <n v="-763.69224000000395"/>
    <m/>
    <m/>
    <m/>
    <m/>
    <n v="-1307.7880200000009"/>
    <n v="544.97478000000012"/>
    <n v="30"/>
    <n v="713.95645521075221"/>
    <n v="13.666681472208552"/>
    <n v="63.725719500885816"/>
    <n v="0"/>
    <n v="0"/>
    <n v="0"/>
    <n v="0"/>
    <n v="0"/>
    <n v="63.915290947995992"/>
    <n v="0"/>
    <n v="0"/>
    <n v="544.91324919584895"/>
    <n v="0"/>
    <n v="0"/>
    <n v="0"/>
    <n v="28.598083554519661"/>
    <n v="0"/>
    <n v="0"/>
    <m/>
    <n v="0"/>
    <n v="0"/>
    <n v="0"/>
    <n v="0"/>
    <n v="0"/>
    <n v="-0.86256946070672313"/>
    <n v="0"/>
    <n v="0"/>
    <m/>
    <m/>
    <m/>
    <n v="5945.4276244450302"/>
    <n v="0"/>
    <n v="0"/>
    <n v="-1307.7880200000009"/>
    <n v="544.97477999999956"/>
    <n v="0"/>
    <n v="0"/>
    <n v="-1476.9450716213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78"/>
    <s v="Sistema de Compensação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130000000000000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79"/>
    <s v="Regular"/>
    <s v="Branca"/>
    <s v="B1"/>
    <s v="Residencial"/>
    <s v="Residencial"/>
    <s v="Não se aplica"/>
    <s v="Não se aplica"/>
    <s v="Ponta"/>
    <s v="CATIVO"/>
    <x v="4"/>
    <n v="0"/>
    <n v="0"/>
    <n v="0.52"/>
    <n v="0.52"/>
    <n v="0.52"/>
    <n v="0.52"/>
    <m/>
    <n v="775.22"/>
    <n v="173.25"/>
    <m/>
    <n v="493.20440000000008"/>
    <n v="493.20440000000008"/>
    <n v="434.98"/>
    <n v="0"/>
    <n v="32.003495263672612"/>
    <n v="0"/>
    <n v="0"/>
    <n v="3.3271627280196503"/>
    <n v="3.1966722649738242"/>
    <n v="306.1981815323382"/>
    <n v="88.577044704362763"/>
    <n v="1.5117614358814502"/>
    <n v="0"/>
    <n v="0"/>
    <n v="0"/>
    <n v="0"/>
    <n v="4.9446957442092137"/>
    <m/>
    <n v="0.62808549146861437"/>
    <n v="7.0630139052282166"/>
    <n v="32.933546952958757"/>
    <n v="0"/>
    <n v="0"/>
    <n v="0"/>
    <n v="0"/>
    <n v="0"/>
    <n v="0"/>
    <n v="0"/>
    <n v="0"/>
    <n v="0"/>
    <n v="0"/>
    <m/>
    <n v="0"/>
    <n v="0"/>
    <n v="0"/>
    <n v="0"/>
    <n v="0"/>
    <n v="4.6486917490187096"/>
    <n v="0"/>
    <n v="0"/>
    <n v="0"/>
    <n v="0"/>
    <n v="0"/>
    <m/>
    <m/>
    <m/>
    <m/>
    <m/>
    <m/>
    <m/>
    <m/>
    <m/>
    <n v="93.225736453381472"/>
    <m/>
    <m/>
    <m/>
    <m/>
    <m/>
    <m/>
    <m/>
    <m/>
    <m/>
    <m/>
    <m/>
    <m/>
    <n v="434.98"/>
    <n v="-58.254400000000032"/>
    <m/>
    <m/>
    <m/>
    <m/>
    <n v="-69.451200000000028"/>
    <n v="11.226800000000003"/>
    <n v="30"/>
    <n v="17.837804047452323"/>
    <n v="0.7038142388689872"/>
    <n v="3.2817575602952971"/>
    <n v="0"/>
    <n v="0"/>
    <n v="0"/>
    <n v="0"/>
    <n v="0"/>
    <n v="3.2915132569790644"/>
    <n v="0"/>
    <n v="0"/>
    <n v="11.225532429357472"/>
    <n v="0"/>
    <n v="0"/>
    <n v="0"/>
    <n v="0.58913728897671458"/>
    <n v="0"/>
    <n v="-1.0867374270406209"/>
    <m/>
    <n v="0"/>
    <n v="0"/>
    <n v="0"/>
    <n v="0"/>
    <n v="-0.14944386334855153"/>
    <n v="-1.7769436636062785E-2"/>
    <n v="0"/>
    <n v="0"/>
    <m/>
    <m/>
    <m/>
    <n v="306.1981815323382"/>
    <n v="0"/>
    <n v="0"/>
    <n v="-69.451200000000028"/>
    <n v="11.226799999999997"/>
    <n v="0"/>
    <n v="0"/>
    <n v="-76.064822199534518"/>
    <n v="0"/>
    <n v="0"/>
    <n v="0"/>
    <n v="0"/>
    <n v="0"/>
    <n v="0"/>
    <n v="0"/>
    <n v="0"/>
    <n v="0"/>
    <n v="0"/>
    <n v="0"/>
    <n v="0"/>
    <n v="8.17312190569092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0"/>
    <s v="Regular"/>
    <s v="Branca"/>
    <s v="B1"/>
    <s v="Residencial"/>
    <s v="Residencial"/>
    <s v="Não se aplica"/>
    <s v="Não se aplica"/>
    <s v="Fora ponta"/>
    <s v="CATIVO"/>
    <x v="4"/>
    <n v="0"/>
    <n v="0"/>
    <n v="4.7290000000000001"/>
    <n v="4.7290000000000001"/>
    <n v="4.7290000000000001"/>
    <n v="4.7290000000000001"/>
    <m/>
    <n v="232.58"/>
    <n v="173.25"/>
    <m/>
    <n v="1919.1700700000001"/>
    <n v="1919.1700700000001"/>
    <n v="1890.13401"/>
    <n v="0"/>
    <n v="291.04717134982263"/>
    <n v="0"/>
    <n v="0"/>
    <n v="6.0520260992606989"/>
    <n v="5.814639986905763"/>
    <n v="556.92748664924625"/>
    <n v="805.54008539794518"/>
    <n v="13.748307365929573"/>
    <n v="0"/>
    <n v="0"/>
    <n v="0"/>
    <n v="0"/>
    <n v="44.968204181471862"/>
    <m/>
    <n v="5.7119544022213029"/>
    <n v="12.847783841614891"/>
    <n v="59.904895654023541"/>
    <n v="0"/>
    <n v="0"/>
    <n v="0"/>
    <n v="0"/>
    <n v="0"/>
    <n v="0"/>
    <n v="0"/>
    <n v="0"/>
    <n v="0"/>
    <n v="0"/>
    <m/>
    <n v="0"/>
    <n v="0"/>
    <n v="0"/>
    <n v="0"/>
    <n v="0"/>
    <n v="42.276275540595151"/>
    <n v="0"/>
    <n v="0"/>
    <n v="0"/>
    <n v="0"/>
    <n v="0"/>
    <m/>
    <m/>
    <m/>
    <m/>
    <m/>
    <m/>
    <m/>
    <m/>
    <m/>
    <n v="847.81636093854036"/>
    <m/>
    <m/>
    <m/>
    <m/>
    <m/>
    <m/>
    <m/>
    <m/>
    <m/>
    <m/>
    <m/>
    <m/>
    <n v="1890.5337000000002"/>
    <n v="-28.666369999999915"/>
    <m/>
    <m/>
    <m/>
    <m/>
    <n v="-131.1351700000001"/>
    <n v="102.09911000000002"/>
    <n v="30"/>
    <n v="109.27841718390209"/>
    <n v="1.2802541984160989"/>
    <n v="5.9693948086460793"/>
    <n v="0"/>
    <n v="0"/>
    <n v="0"/>
    <n v="0"/>
    <n v="0"/>
    <n v="5.9871525808785568"/>
    <n v="0"/>
    <n v="0"/>
    <n v="102.08758242006058"/>
    <n v="0"/>
    <n v="0"/>
    <n v="0"/>
    <n v="5.3577504607132411"/>
    <n v="0"/>
    <n v="-9.8830409470674567"/>
    <m/>
    <n v="0"/>
    <n v="0"/>
    <n v="0"/>
    <n v="0"/>
    <n v="-1.3590769803371074"/>
    <n v="-0.16159935740757891"/>
    <n v="0"/>
    <n v="0"/>
    <m/>
    <m/>
    <m/>
    <n v="556.92748664924625"/>
    <n v="0"/>
    <n v="0"/>
    <n v="-131.13517000000013"/>
    <n v="102.09911"/>
    <n v="0"/>
    <n v="0"/>
    <n v="-138.35023460299266"/>
    <n v="0"/>
    <n v="0"/>
    <n v="0"/>
    <n v="0"/>
    <n v="0"/>
    <n v="0"/>
    <n v="0"/>
    <n v="0"/>
    <n v="0"/>
    <n v="0"/>
    <n v="0"/>
    <n v="0"/>
    <n v="74.3282567154084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1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2400000000000002"/>
    <n v="20.010000000000002"/>
    <n v="1418.4"/>
    <n v="1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82"/>
    <s v="Regular"/>
    <s v="Branca"/>
    <s v="B1"/>
    <s v="Residencial"/>
    <s v="Residencial"/>
    <s v="Não se aplica"/>
    <s v="Não se aplica"/>
    <s v="Intermediário"/>
    <s v="CATIVO"/>
    <x v="4"/>
    <n v="0"/>
    <n v="0"/>
    <n v="0.318"/>
    <n v="0.318"/>
    <n v="0.318"/>
    <n v="0.318"/>
    <m/>
    <n v="503.9"/>
    <n v="173.25"/>
    <m/>
    <n v="215.33369999999999"/>
    <n v="215.33369999999999"/>
    <n v="196.55261999999999"/>
    <n v="0"/>
    <n v="19.571368257399786"/>
    <n v="0"/>
    <n v="0"/>
    <n v="1.2207550939491467"/>
    <n v="1.1728832854845359"/>
    <n v="112.35113097191348"/>
    <n v="54.168269646129538"/>
    <n v="0.9245002627121176"/>
    <n v="0"/>
    <n v="0"/>
    <n v="0"/>
    <n v="0"/>
    <n v="3.0238716281894802"/>
    <m/>
    <n v="0.38409843516734493"/>
    <n v="2.5914848732448981"/>
    <n v="12.083561882978056"/>
    <n v="0"/>
    <n v="0"/>
    <n v="0"/>
    <n v="0"/>
    <n v="0"/>
    <n v="0"/>
    <n v="0"/>
    <n v="0"/>
    <n v="0"/>
    <n v="0"/>
    <m/>
    <n v="0"/>
    <n v="0"/>
    <n v="0"/>
    <n v="0"/>
    <n v="0"/>
    <n v="2.8428538003614419"/>
    <n v="0"/>
    <n v="0"/>
    <n v="0"/>
    <n v="0"/>
    <n v="0"/>
    <m/>
    <m/>
    <m/>
    <m/>
    <m/>
    <m/>
    <m/>
    <m/>
    <m/>
    <n v="57.011123446490977"/>
    <m/>
    <m/>
    <m/>
    <m/>
    <m/>
    <m/>
    <m/>
    <m/>
    <m/>
    <m/>
    <m/>
    <m/>
    <n v="197.78880000000001"/>
    <n v="-17.574899999999957"/>
    <m/>
    <m/>
    <m/>
    <m/>
    <n v="-25.646699999999992"/>
    <n v="6.8656200000000016"/>
    <n v="30"/>
    <n v="9.1283040512386719"/>
    <n v="0.25823592846862198"/>
    <n v="1.2041011137185258"/>
    <n v="0"/>
    <n v="0"/>
    <n v="0"/>
    <n v="0"/>
    <n v="0"/>
    <n v="1.20768116436645"/>
    <n v="0"/>
    <n v="0"/>
    <n v="6.864844831799374"/>
    <n v="0"/>
    <n v="0"/>
    <n v="0"/>
    <n v="0.3602801113357601"/>
    <n v="0"/>
    <n v="-0.66458173422868327"/>
    <m/>
    <n v="0"/>
    <n v="0"/>
    <n v="0"/>
    <n v="0"/>
    <n v="-9.1390670278536756E-2"/>
    <n v="-1.0866693942823025E-2"/>
    <n v="0"/>
    <n v="0"/>
    <m/>
    <m/>
    <m/>
    <n v="112.35113097191348"/>
    <n v="0"/>
    <n v="0"/>
    <n v="-25.646699999999981"/>
    <n v="6.8656199999999998"/>
    <n v="0"/>
    <n v="0"/>
    <n v="-27.909926696911697"/>
    <n v="0"/>
    <n v="0"/>
    <n v="0"/>
    <n v="0"/>
    <n v="0"/>
    <n v="0"/>
    <n v="0"/>
    <n v="0"/>
    <n v="0"/>
    <n v="0"/>
    <n v="0"/>
    <n v="0"/>
    <n v="4.99817839617252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3"/>
    <s v="Regular"/>
    <s v="Convencional"/>
    <s v="B3"/>
    <s v="Industrial"/>
    <s v="Não se aplica"/>
    <s v="Não se aplica"/>
    <s v="Não se aplica"/>
    <s v="Não se aplica"/>
    <s v="CATIVO"/>
    <x v="4"/>
    <n v="0"/>
    <n v="0"/>
    <n v="540.09100000000001"/>
    <n v="540.09100000000001"/>
    <n v="540.09100000000001"/>
    <n v="540.09100000000001"/>
    <m/>
    <n v="368.24"/>
    <n v="173.25"/>
    <m/>
    <n v="292453.87559000001"/>
    <n v="292453.87559000001"/>
    <n v="274846.90899000003"/>
    <n v="0"/>
    <n v="33239.999539331162"/>
    <n v="0"/>
    <n v="0"/>
    <n v="1382.3830949358469"/>
    <n v="1328.1601713545867"/>
    <n v="127211.47100523495"/>
    <n v="91999.35509889228"/>
    <n v="1570.1706647435544"/>
    <n v="0"/>
    <n v="0"/>
    <n v="0"/>
    <n v="0"/>
    <n v="5135.7416715109584"/>
    <m/>
    <n v="652.35254071687575"/>
    <n v="2934.5280347774956"/>
    <n v="13683.271304156155"/>
    <n v="0"/>
    <n v="0"/>
    <n v="0"/>
    <n v="0"/>
    <n v="0"/>
    <n v="0"/>
    <n v="0"/>
    <n v="0"/>
    <n v="0"/>
    <n v="0"/>
    <m/>
    <n v="0"/>
    <n v="0"/>
    <n v="0"/>
    <n v="0"/>
    <n v="0"/>
    <n v="4828.3011065755081"/>
    <n v="0"/>
    <n v="246.3"/>
    <n v="2123.38"/>
    <n v="81331.839999999997"/>
    <n v="298"/>
    <m/>
    <m/>
    <m/>
    <m/>
    <m/>
    <m/>
    <m/>
    <m/>
    <m/>
    <n v="96827.656205467792"/>
    <m/>
    <m/>
    <m/>
    <m/>
    <m/>
    <m/>
    <m/>
    <m/>
    <m/>
    <m/>
    <m/>
    <m/>
    <n v="274846.40010000003"/>
    <n v="-17607.50549000001"/>
    <m/>
    <m/>
    <m/>
    <m/>
    <n v="-29267.531289999999"/>
    <n v="11660.564690000003"/>
    <n v="30"/>
    <n v="13992.241709158232"/>
    <n v="292.41944628027113"/>
    <n v="1363.5087382518395"/>
    <n v="0"/>
    <n v="0"/>
    <n v="0"/>
    <n v="0"/>
    <n v="0"/>
    <n v="1367.5649078279896"/>
    <n v="0"/>
    <n v="0"/>
    <n v="11659.248144815603"/>
    <n v="0"/>
    <n v="0"/>
    <n v="0"/>
    <n v="611.8995145013896"/>
    <n v="0"/>
    <n v="-1128.7251994380676"/>
    <m/>
    <n v="0"/>
    <n v="0"/>
    <n v="0"/>
    <n v="0"/>
    <n v="-155.21785692265894"/>
    <n v="-18.455986158091832"/>
    <n v="0"/>
    <n v="0"/>
    <m/>
    <m/>
    <m/>
    <n v="127211.47100523495"/>
    <n v="0"/>
    <n v="0"/>
    <n v="-29267.531290000014"/>
    <n v="11660.564689999999"/>
    <n v="0"/>
    <n v="0"/>
    <n v="-31601.487230689439"/>
    <n v="0"/>
    <n v="0"/>
    <n v="0"/>
    <n v="0"/>
    <n v="0"/>
    <n v="0"/>
    <n v="0"/>
    <n v="0"/>
    <n v="0"/>
    <n v="0"/>
    <n v="0"/>
    <n v="0"/>
    <n v="8488.903044550994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4"/>
    <s v="Refaturamento - Regular"/>
    <s v="Convencional"/>
    <s v="B3"/>
    <s v="Industrial"/>
    <s v="Não se aplica"/>
    <s v="Não se aplica"/>
    <s v="Não se aplica"/>
    <s v="Não se aplica"/>
    <s v="CATIVO"/>
    <x v="4"/>
    <n v="0"/>
    <n v="0"/>
    <n v="-1.1830000000000001"/>
    <n v="-1.1830000000000001"/>
    <n v="-1.1830000000000001"/>
    <n v="-1.1830000000000001"/>
    <m/>
    <n v="368.24"/>
    <n v="173.25"/>
    <m/>
    <n v="-640.58267000000001"/>
    <n v="-640.58267000000001"/>
    <n v="-602.01687000000004"/>
    <n v="0"/>
    <n v="-72.807951724855187"/>
    <n v="0"/>
    <n v="0"/>
    <n v="-3.0279327026540099"/>
    <n v="-2.9091643495493837"/>
    <n v="-278.64039615396842"/>
    <n v="-201.5127767024253"/>
    <n v="-3.4392572666302992"/>
    <n v="0"/>
    <n v="0"/>
    <n v="0"/>
    <n v="0"/>
    <n v="-11.24918281807596"/>
    <m/>
    <n v="-1.4288944930910976"/>
    <n v="-6.4277069329831038"/>
    <n v="-29.971449168411862"/>
    <n v="0"/>
    <n v="0"/>
    <n v="0"/>
    <n v="0"/>
    <n v="0"/>
    <n v="0"/>
    <n v="0"/>
    <n v="0"/>
    <n v="0"/>
    <n v="0"/>
    <m/>
    <n v="0"/>
    <n v="0"/>
    <n v="0"/>
    <n v="0"/>
    <n v="0"/>
    <n v="-10.575773729017566"/>
    <n v="0"/>
    <n v="-0.05"/>
    <n v="-4.6500000000000004"/>
    <n v="-164.32"/>
    <n v="0"/>
    <m/>
    <m/>
    <m/>
    <m/>
    <m/>
    <m/>
    <m/>
    <m/>
    <m/>
    <n v="-212.08855043144285"/>
    <m/>
    <m/>
    <m/>
    <m/>
    <m/>
    <m/>
    <m/>
    <m/>
    <m/>
    <m/>
    <m/>
    <m/>
    <n v="-600.49019999999996"/>
    <n v="40.062470000000076"/>
    <m/>
    <m/>
    <m/>
    <m/>
    <n v="64.106769999999997"/>
    <n v="-25.540970000000005"/>
    <n v="30"/>
    <n v="-30.648209175739396"/>
    <n v="-0.64050725701698497"/>
    <n v="-2.9865908473792864"/>
    <n v="0"/>
    <n v="0"/>
    <n v="0"/>
    <n v="0"/>
    <n v="0"/>
    <n v="-2.9954753661151754"/>
    <n v="0"/>
    <n v="0"/>
    <n v="-25.538086276788249"/>
    <n v="0"/>
    <n v="0"/>
    <n v="0"/>
    <n v="-1.3402873324220241"/>
    <n v="0"/>
    <n v="2.4723276465173996"/>
    <m/>
    <n v="0"/>
    <n v="0"/>
    <n v="0"/>
    <n v="0"/>
    <n v="0.3399847891179526"/>
    <n v="4.0425468347042637E-2"/>
    <n v="0"/>
    <n v="0"/>
    <m/>
    <m/>
    <m/>
    <n v="-278.64039615396842"/>
    <n v="0"/>
    <n v="0"/>
    <n v="64.106769999999983"/>
    <n v="-25.540969999999987"/>
    <n v="0"/>
    <n v="0"/>
    <n v="69.219000860791283"/>
    <n v="0"/>
    <n v="0"/>
    <n v="0"/>
    <n v="0"/>
    <n v="0"/>
    <n v="0"/>
    <n v="0"/>
    <n v="0"/>
    <n v="0"/>
    <n v="0"/>
    <n v="0"/>
    <n v="0"/>
    <n v="-18.59385233544685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5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26.696000000000002"/>
    <n v="26.696000000000002"/>
    <n v="26.696000000000002"/>
    <n v="26.696000000000002"/>
    <m/>
    <n v="368.24"/>
    <n v="173.25"/>
    <m/>
    <n v="14455.617040000001"/>
    <n v="14455.617040000001"/>
    <n v="13585.327440000001"/>
    <n v="0"/>
    <n v="1643.0102106903923"/>
    <n v="0"/>
    <n v="0"/>
    <n v="68.329409492858375"/>
    <n v="65.649240469628353"/>
    <n v="6287.8985762690963"/>
    <n v="4547.4092027455163"/>
    <n v="77.611506331329224"/>
    <n v="0"/>
    <n v="0"/>
    <n v="0"/>
    <n v="0"/>
    <n v="253.85307228347915"/>
    <m/>
    <n v="32.244942846627175"/>
    <n v="145.04992754261787"/>
    <n v="676.34641335580989"/>
    <n v="0"/>
    <n v="0"/>
    <n v="0"/>
    <n v="0"/>
    <n v="0"/>
    <n v="0"/>
    <n v="0"/>
    <n v="0"/>
    <n v="0"/>
    <n v="0"/>
    <m/>
    <n v="0"/>
    <n v="0"/>
    <n v="0"/>
    <n v="0"/>
    <n v="0"/>
    <n v="238.65668256116055"/>
    <n v="0"/>
    <n v="12.48"/>
    <n v="109.02"/>
    <n v="8885.7800000000007"/>
    <n v="46"/>
    <m/>
    <m/>
    <m/>
    <m/>
    <m/>
    <m/>
    <m/>
    <m/>
    <m/>
    <n v="4786.065885306677"/>
    <m/>
    <m/>
    <m/>
    <m/>
    <m/>
    <m/>
    <m/>
    <m/>
    <m/>
    <m/>
    <m/>
    <m/>
    <n v="13587.363000000001"/>
    <n v="-868.28404000000046"/>
    <m/>
    <m/>
    <m/>
    <m/>
    <n v="-1446.65624"/>
    <n v="576.36664000000007"/>
    <n v="30"/>
    <n v="691.61842109512872"/>
    <n v="14.453915243723969"/>
    <n v="67.396474439253893"/>
    <n v="0"/>
    <n v="0"/>
    <n v="0"/>
    <n v="0"/>
    <n v="0"/>
    <n v="67.596965658335364"/>
    <n v="0"/>
    <n v="0"/>
    <n v="576.30156487332169"/>
    <n v="0"/>
    <n v="0"/>
    <n v="0"/>
    <n v="30.245402051004532"/>
    <n v="0"/>
    <n v="-55.791427600531506"/>
    <m/>
    <n v="0"/>
    <n v="0"/>
    <n v="0"/>
    <n v="0"/>
    <n v="-7.672218030678664"/>
    <n v="-0.91225553930064152"/>
    <n v="0"/>
    <n v="0"/>
    <m/>
    <m/>
    <m/>
    <n v="6287.8985762690963"/>
    <n v="0"/>
    <n v="0"/>
    <n v="-1446.6562400000003"/>
    <n v="576.36664000000019"/>
    <n v="0"/>
    <n v="0"/>
    <n v="-1562.0206652406459"/>
    <n v="0"/>
    <n v="0"/>
    <n v="0"/>
    <n v="0"/>
    <n v="0"/>
    <n v="0"/>
    <n v="0"/>
    <n v="0"/>
    <n v="0"/>
    <n v="0"/>
    <n v="0"/>
    <n v="0"/>
    <n v="419.5955046044709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6"/>
    <s v="Regular"/>
    <s v="Azul"/>
    <s v="A4"/>
    <s v="Industrial"/>
    <s v="Não se aplica"/>
    <s v="Não se aplica"/>
    <s v="Não se aplica"/>
    <s v="Ponta"/>
    <s v="CATIVO"/>
    <x v="4"/>
    <n v="10068"/>
    <n v="10068"/>
    <n v="490.30500000000001"/>
    <n v="490.30500000000001"/>
    <n v="490.30500000000001"/>
    <n v="490.30500000000001"/>
    <n v="52.95"/>
    <n v="85.01"/>
    <n v="173.25"/>
    <n v="533100.6"/>
    <n v="126626.16930000001"/>
    <n v="659726.76930000004"/>
    <n v="582142.29434999998"/>
    <n v="0"/>
    <n v="26253.042612253532"/>
    <n v="0"/>
    <n v="0"/>
    <n v="7930.2238398062946"/>
    <n v="7618.9766488990699"/>
    <n v="422188.63244015962"/>
    <n v="83518.784430331885"/>
    <n v="1425.4311361920277"/>
    <n v="0"/>
    <n v="0"/>
    <n v="0"/>
    <n v="0"/>
    <n v="4662.3250901240353"/>
    <m/>
    <n v="392.64302361155529"/>
    <n v="16834.208286462912"/>
    <n v="78494.406044128686"/>
    <n v="0"/>
    <n v="0"/>
    <n v="0"/>
    <n v="0"/>
    <n v="0"/>
    <n v="0"/>
    <n v="0"/>
    <n v="0"/>
    <n v="0"/>
    <n v="0"/>
    <m/>
    <n v="0"/>
    <n v="0"/>
    <n v="0"/>
    <n v="0"/>
    <n v="0"/>
    <n v="3666.8227159303251"/>
    <n v="0"/>
    <n v="0"/>
    <n v="0"/>
    <n v="0"/>
    <n v="0"/>
    <m/>
    <m/>
    <m/>
    <m/>
    <m/>
    <m/>
    <m/>
    <m/>
    <m/>
    <n v="87185.607146262206"/>
    <m/>
    <m/>
    <m/>
    <m/>
    <m/>
    <m/>
    <m/>
    <m/>
    <m/>
    <m/>
    <m/>
    <m/>
    <n v="582143.68770000001"/>
    <n v="-77583.111600000062"/>
    <m/>
    <m/>
    <m/>
    <m/>
    <n v="-88170.159900000042"/>
    <n v="10585.684950000003"/>
    <n v="30"/>
    <n v="27350.018695219158"/>
    <n v="1677.4928735917019"/>
    <n v="7821.7997850081156"/>
    <n v="0"/>
    <n v="0"/>
    <n v="0"/>
    <n v="0"/>
    <n v="0"/>
    <n v="7845.0214991528446"/>
    <n v="0"/>
    <n v="0"/>
    <n v="10584.48976495408"/>
    <n v="0"/>
    <n v="0"/>
    <n v="0"/>
    <n v="464.70321343146861"/>
    <n v="0"/>
    <n v="-891.47025177628529"/>
    <m/>
    <n v="0"/>
    <n v="0"/>
    <n v="0"/>
    <n v="0"/>
    <n v="-140.90975657521449"/>
    <n v="-11.108432567585453"/>
    <n v="0"/>
    <n v="0"/>
    <m/>
    <m/>
    <n v="422188.63244015962"/>
    <n v="0"/>
    <n v="0"/>
    <n v="0"/>
    <n v="-88170.15989999997"/>
    <n v="10585.68495000001"/>
    <n v="0"/>
    <n v="0"/>
    <n v="-104878.81770073011"/>
    <n v="0"/>
    <n v="0"/>
    <n v="0"/>
    <n v="0"/>
    <n v="0"/>
    <n v="0"/>
    <n v="0"/>
    <n v="0"/>
    <n v="0"/>
    <n v="0"/>
    <n v="0"/>
    <n v="0"/>
    <n v="6704.55885825716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7"/>
    <s v="Regular"/>
    <s v="Azul"/>
    <s v="A4"/>
    <s v="Industrial"/>
    <s v="Não se aplica"/>
    <s v="Não se aplica"/>
    <s v="Não se aplica"/>
    <s v="Fora ponta"/>
    <s v="CATIVO"/>
    <x v="4"/>
    <n v="10857"/>
    <n v="10857"/>
    <n v="4423.3370000000004"/>
    <n v="4423.3370000000004"/>
    <n v="4423.3370000000004"/>
    <n v="4423.3370000000004"/>
    <n v="27.19"/>
    <n v="85.01"/>
    <n v="173.25"/>
    <n v="295201.83"/>
    <n v="1142371.0136200001"/>
    <n v="1437572.8436200002"/>
    <n v="1468899.64179"/>
    <n v="0"/>
    <n v="236844.52483527132"/>
    <n v="0"/>
    <n v="0"/>
    <n v="2531.8590599830627"/>
    <n v="2432.3462510446934"/>
    <n v="259830.05234998267"/>
    <n v="753473.30613742676"/>
    <n v="12859.673643283744"/>
    <n v="0"/>
    <n v="0"/>
    <n v="0"/>
    <n v="0"/>
    <n v="42061.64545981375"/>
    <m/>
    <n v="3542.2694325631319"/>
    <n v="5372.9646111491675"/>
    <n v="25058.920568575748"/>
    <n v="0"/>
    <n v="0"/>
    <n v="0"/>
    <n v="0"/>
    <n v="0"/>
    <n v="0"/>
    <n v="0"/>
    <n v="0"/>
    <n v="0"/>
    <n v="0"/>
    <m/>
    <n v="0"/>
    <n v="0"/>
    <n v="0"/>
    <n v="0"/>
    <n v="0"/>
    <n v="33080.618373900121"/>
    <n v="0"/>
    <n v="0"/>
    <n v="0"/>
    <n v="0"/>
    <n v="0"/>
    <m/>
    <m/>
    <m/>
    <m/>
    <m/>
    <m/>
    <m/>
    <m/>
    <m/>
    <n v="786553.92451132683"/>
    <m/>
    <m/>
    <m/>
    <m/>
    <m/>
    <m/>
    <m/>
    <m/>
    <m/>
    <m/>
    <m/>
    <m/>
    <n v="1468900.4778"/>
    <n v="31327.604179999791"/>
    <m/>
    <m/>
    <m/>
    <m/>
    <n v="-64173.047660000026"/>
    <n v="95499.84583000002"/>
    <n v="30"/>
    <n v="95804.475893942872"/>
    <n v="535.40443909742862"/>
    <n v="2497.0678726536134"/>
    <n v="0"/>
    <n v="0"/>
    <n v="0"/>
    <n v="0"/>
    <n v="0"/>
    <n v="2504.5107121553883"/>
    <n v="0"/>
    <n v="0"/>
    <n v="95489.063345147646"/>
    <n v="0"/>
    <n v="0"/>
    <n v="0"/>
    <n v="4192.3678485642813"/>
    <n v="0"/>
    <n v="-8042.4905907167122"/>
    <m/>
    <n v="0"/>
    <n v="0"/>
    <n v="0"/>
    <n v="0"/>
    <n v="-1271.231865716516"/>
    <n v="-100.21586724223835"/>
    <n v="0"/>
    <n v="0"/>
    <m/>
    <m/>
    <n v="259830.05234998267"/>
    <n v="0"/>
    <n v="0"/>
    <n v="0"/>
    <n v="-64173.047660000157"/>
    <n v="95499.845830000006"/>
    <n v="0"/>
    <n v="0"/>
    <n v="-64546.192388179683"/>
    <n v="0"/>
    <n v="0"/>
    <n v="0"/>
    <n v="0"/>
    <n v="0"/>
    <n v="0"/>
    <n v="0"/>
    <n v="0"/>
    <n v="0"/>
    <n v="0"/>
    <n v="0"/>
    <n v="0"/>
    <n v="60485.86750371026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88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43.7"/>
    <n v="16660.439999999999"/>
    <n v="586015.31999999995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89"/>
    <s v="Regular"/>
    <s v="Verde"/>
    <s v="A4"/>
    <s v="Industrial"/>
    <s v="Não se aplica"/>
    <s v="Não se aplica"/>
    <s v="Não se aplica"/>
    <s v="Ponta"/>
    <s v="CATIVO"/>
    <x v="4"/>
    <n v="0"/>
    <n v="0"/>
    <n v="182.81100000000001"/>
    <n v="182.81100000000001"/>
    <n v="182.81100000000001"/>
    <n v="182.81100000000001"/>
    <m/>
    <n v="1358.36"/>
    <n v="173.25"/>
    <m/>
    <n v="279995.15570999996"/>
    <n v="279995.15570999996"/>
    <n v="245500.54812000002"/>
    <n v="0"/>
    <n v="9788.4887426982805"/>
    <n v="0"/>
    <n v="0"/>
    <n v="3462.8221107079094"/>
    <n v="3327.0058151168673"/>
    <n v="184366.30421599062"/>
    <n v="31140.111768171657"/>
    <n v="531.47426895177648"/>
    <n v="0"/>
    <n v="0"/>
    <n v="0"/>
    <n v="0"/>
    <n v="1738.3553340281355"/>
    <m/>
    <n v="146.39757658896409"/>
    <n v="7350.9806159958198"/>
    <n v="34276.349752548063"/>
    <n v="0"/>
    <n v="0"/>
    <n v="0"/>
    <n v="0"/>
    <n v="0"/>
    <n v="0"/>
    <n v="0"/>
    <n v="0"/>
    <n v="0"/>
    <n v="0"/>
    <m/>
    <n v="0"/>
    <n v="0"/>
    <n v="0"/>
    <n v="0"/>
    <n v="0"/>
    <n v="1367.180688595749"/>
    <n v="0"/>
    <n v="0"/>
    <n v="0"/>
    <n v="0"/>
    <n v="0"/>
    <m/>
    <m/>
    <m/>
    <m/>
    <m/>
    <m/>
    <m/>
    <m/>
    <m/>
    <n v="32507.292456767405"/>
    <m/>
    <m/>
    <m/>
    <m/>
    <m/>
    <m/>
    <m/>
    <m/>
    <m/>
    <m/>
    <m/>
    <m/>
    <n v="245499.2052"/>
    <n v="-34495.980509999994"/>
    <m/>
    <m/>
    <m/>
    <m/>
    <n v="-38441.497079999994"/>
    <n v="3946.8894900000009"/>
    <n v="30"/>
    <n v="11304.430994127979"/>
    <n v="732.5095060846661"/>
    <n v="3415.5649891104767"/>
    <n v="0"/>
    <n v="0"/>
    <n v="0"/>
    <n v="0"/>
    <n v="0"/>
    <n v="3425.7136292929613"/>
    <n v="0"/>
    <n v="0"/>
    <n v="3946.4438633524405"/>
    <n v="0"/>
    <n v="0"/>
    <n v="0"/>
    <n v="173.26533311024809"/>
    <n v="0"/>
    <n v="-332.38610293077727"/>
    <m/>
    <n v="0"/>
    <n v="0"/>
    <n v="0"/>
    <n v="0"/>
    <n v="-52.538427120407505"/>
    <n v="-4.1417967716275825"/>
    <n v="0"/>
    <n v="0"/>
    <m/>
    <m/>
    <m/>
    <n v="184366.30421599062"/>
    <n v="0"/>
    <n v="0"/>
    <n v="-38441.497079999972"/>
    <n v="3946.889490000005"/>
    <n v="0"/>
    <n v="0"/>
    <n v="-45799.717292878864"/>
    <n v="0"/>
    <n v="0"/>
    <n v="0"/>
    <n v="0"/>
    <n v="0"/>
    <n v="0"/>
    <n v="0"/>
    <n v="0"/>
    <n v="0"/>
    <n v="0"/>
    <n v="0"/>
    <n v="0"/>
    <n v="2499.805446480966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90"/>
    <s v="Sistema de Compensação"/>
    <s v="Verde"/>
    <s v="A4"/>
    <s v="Industrial"/>
    <s v="Não se aplica"/>
    <s v="Não se aplica"/>
    <s v="Não se aplica"/>
    <s v="Ponta"/>
    <s v="CATIVO"/>
    <x v="4"/>
    <n v="0"/>
    <n v="0"/>
    <n v="0.33600000000000002"/>
    <n v="0.33600000000000002"/>
    <n v="0.33600000000000002"/>
    <n v="0.33600000000000002"/>
    <m/>
    <n v="1358.36"/>
    <n v="173.25"/>
    <m/>
    <n v="514.62095999999997"/>
    <n v="514.62095999999997"/>
    <n v="451.22112000000004"/>
    <n v="0"/>
    <n v="17.990887952839941"/>
    <n v="0"/>
    <n v="0"/>
    <n v="6.3645416807405333"/>
    <n v="6.1149162461737392"/>
    <n v="338.85859284492096"/>
    <n v="57.234398116665169"/>
    <n v="0.9768304662618601"/>
    <n v="0"/>
    <n v="0"/>
    <n v="0"/>
    <n v="0"/>
    <n v="3.1950341731813379"/>
    <m/>
    <n v="0.2690734459846067"/>
    <n v="13.510836256979042"/>
    <n v="62.998689995985742"/>
    <n v="0"/>
    <n v="0"/>
    <n v="0"/>
    <n v="0"/>
    <n v="0"/>
    <n v="0"/>
    <n v="0"/>
    <n v="0"/>
    <n v="0"/>
    <n v="0"/>
    <m/>
    <n v="0"/>
    <n v="0"/>
    <n v="0"/>
    <n v="0"/>
    <n v="0"/>
    <n v="2.5128286118897205"/>
    <n v="0"/>
    <n v="0"/>
    <n v="0"/>
    <n v="0"/>
    <n v="0"/>
    <m/>
    <m/>
    <m/>
    <m/>
    <m/>
    <m/>
    <m/>
    <m/>
    <m/>
    <n v="59.747226728554892"/>
    <m/>
    <m/>
    <m/>
    <m/>
    <m/>
    <m/>
    <m/>
    <m/>
    <m/>
    <m/>
    <m/>
    <m/>
    <n v="456.59280000000001"/>
    <n v="-58.05815999999993"/>
    <m/>
    <m/>
    <m/>
    <m/>
    <n v="-70.654079999999993"/>
    <n v="7.254240000000002"/>
    <n v="30"/>
    <n v="20.777134931853141"/>
    <n v="1.3463259543706219"/>
    <n v="6.2776848020147611"/>
    <n v="0"/>
    <n v="0"/>
    <n v="0"/>
    <n v="0"/>
    <n v="0"/>
    <n v="6.2963376352759672"/>
    <n v="0"/>
    <n v="0"/>
    <n v="7.2534209543540626"/>
    <n v="0"/>
    <n v="0"/>
    <n v="0"/>
    <n v="0.31845540982240284"/>
    <n v="0"/>
    <n v="-0.6109136243702018"/>
    <m/>
    <n v="0"/>
    <n v="0"/>
    <n v="0"/>
    <n v="0"/>
    <n v="-9.6563727086755868E-2"/>
    <n v="-7.6124725277301186E-3"/>
    <n v="0"/>
    <n v="0"/>
    <m/>
    <m/>
    <m/>
    <n v="338.85859284492096"/>
    <n v="0"/>
    <n v="0"/>
    <n v="-70.654079999999965"/>
    <n v="7.2542399999999958"/>
    <n v="0"/>
    <n v="0"/>
    <n v="-84.178222373967088"/>
    <n v="0"/>
    <n v="0"/>
    <n v="0"/>
    <n v="0"/>
    <n v="0"/>
    <n v="0"/>
    <n v="0"/>
    <n v="0"/>
    <n v="0"/>
    <n v="0"/>
    <n v="0"/>
    <n v="0"/>
    <n v="4.594551914368416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91"/>
    <s v="Regular"/>
    <s v="Verde"/>
    <s v="A4"/>
    <s v="Industrial"/>
    <s v="Não se aplica"/>
    <s v="Não se aplica"/>
    <s v="Não se aplica"/>
    <s v="Fora ponta"/>
    <s v="CATIVO"/>
    <x v="4"/>
    <n v="0"/>
    <n v="0"/>
    <n v="3198.0410000000002"/>
    <n v="3198.0410000000002"/>
    <n v="3198.0410000000002"/>
    <n v="3198.0410000000002"/>
    <m/>
    <n v="85.01"/>
    <n v="173.25"/>
    <m/>
    <n v="825926.06866000011"/>
    <n v="825926.06866000011"/>
    <n v="891198.08547000005"/>
    <n v="0"/>
    <n v="171236.89672496487"/>
    <n v="0"/>
    <n v="0"/>
    <n v="0"/>
    <n v="0"/>
    <n v="0"/>
    <n v="544755.80889112502"/>
    <n v="9297.4520272456703"/>
    <n v="0"/>
    <n v="0"/>
    <n v="0"/>
    <n v="0"/>
    <n v="30410.268697128031"/>
    <m/>
    <n v="2561.03545318469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917.050377370277"/>
    <n v="0"/>
    <n v="0"/>
    <n v="0"/>
    <n v="0"/>
    <n v="0"/>
    <m/>
    <m/>
    <m/>
    <m/>
    <m/>
    <m/>
    <m/>
    <m/>
    <m/>
    <n v="568672.85926849535"/>
    <m/>
    <m/>
    <m/>
    <m/>
    <m/>
    <m/>
    <m/>
    <m/>
    <m/>
    <m/>
    <m/>
    <m/>
    <n v="891197.80680000002"/>
    <n v="65271.708139999886"/>
    <m/>
    <m/>
    <m/>
    <m/>
    <n v="-3773.6883800000219"/>
    <n v="69045.705190000008"/>
    <n v="30"/>
    <n v="65262.751439825632"/>
    <n v="0"/>
    <n v="0"/>
    <n v="0"/>
    <n v="0"/>
    <n v="0"/>
    <n v="0"/>
    <n v="0"/>
    <n v="0"/>
    <n v="0"/>
    <n v="0"/>
    <n v="69037.909530605422"/>
    <n v="0"/>
    <n v="0"/>
    <n v="0"/>
    <n v="3031.051956201929"/>
    <n v="0"/>
    <n v="-5814.6631493884197"/>
    <m/>
    <n v="0"/>
    <n v="0"/>
    <n v="0"/>
    <n v="0"/>
    <n v="-919.09154266742553"/>
    <n v="-72.455354925757547"/>
    <n v="0"/>
    <n v="0"/>
    <m/>
    <m/>
    <m/>
    <n v="0"/>
    <n v="0"/>
    <n v="0"/>
    <n v="-3773.6883800000069"/>
    <n v="69045.705190000008"/>
    <n v="0"/>
    <n v="0"/>
    <n v="0"/>
    <n v="0"/>
    <n v="0"/>
    <n v="0"/>
    <n v="0"/>
    <n v="0"/>
    <n v="0"/>
    <n v="0"/>
    <n v="0"/>
    <n v="0"/>
    <n v="0"/>
    <n v="0"/>
    <n v="0"/>
    <n v="43730.8494011270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92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20.515999999999998"/>
    <n v="20.515999999999998"/>
    <n v="20.515999999999998"/>
    <n v="20.515999999999998"/>
    <m/>
    <n v="85.01"/>
    <n v="173.25"/>
    <m/>
    <n v="5298.4621599999991"/>
    <n v="5298.4621599999991"/>
    <n v="5717.1937199999993"/>
    <n v="0"/>
    <n v="1098.5150513109052"/>
    <n v="0"/>
    <n v="0"/>
    <n v="0"/>
    <n v="0"/>
    <n v="0"/>
    <n v="3494.7050945282813"/>
    <n v="59.644803112584285"/>
    <n v="0"/>
    <n v="0"/>
    <n v="0"/>
    <n v="0"/>
    <n v="195.08726516960809"/>
    <m/>
    <n v="16.42949648160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.43211845693301"/>
    <n v="0"/>
    <n v="0"/>
    <n v="0"/>
    <n v="0"/>
    <n v="0"/>
    <m/>
    <m/>
    <m/>
    <m/>
    <m/>
    <m/>
    <m/>
    <m/>
    <m/>
    <n v="3648.1372129852143"/>
    <m/>
    <m/>
    <m/>
    <m/>
    <m/>
    <m/>
    <m/>
    <m/>
    <m/>
    <m/>
    <m/>
    <m/>
    <n v="5718.3083999999999"/>
    <n v="419.81624000000011"/>
    <m/>
    <m/>
    <m/>
    <m/>
    <n v="-24.208880000000139"/>
    <n v="442.94044000000002"/>
    <n v="30"/>
    <n v="418.6721210076621"/>
    <n v="0"/>
    <n v="0"/>
    <n v="0"/>
    <n v="0"/>
    <n v="0"/>
    <n v="0"/>
    <n v="0"/>
    <n v="0"/>
    <n v="0"/>
    <n v="0"/>
    <n v="442.89042946288055"/>
    <n v="0"/>
    <n v="0"/>
    <n v="0"/>
    <n v="19.444735678322701"/>
    <n v="0"/>
    <n v="-37.302094992794764"/>
    <m/>
    <n v="0"/>
    <n v="0"/>
    <n v="0"/>
    <n v="0"/>
    <n v="-5.8961351931901334"/>
    <n v="-0.46481394755628358"/>
    <n v="0"/>
    <n v="0"/>
    <m/>
    <m/>
    <m/>
    <n v="0"/>
    <n v="0"/>
    <n v="0"/>
    <n v="-24.208880000000136"/>
    <n v="442.94044000000031"/>
    <n v="0"/>
    <n v="0"/>
    <n v="0"/>
    <n v="0"/>
    <n v="0"/>
    <n v="0"/>
    <n v="0"/>
    <n v="0"/>
    <n v="0"/>
    <n v="0"/>
    <n v="0"/>
    <n v="0"/>
    <n v="0"/>
    <n v="0"/>
    <n v="0"/>
    <n v="280.5411520094714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93"/>
    <s v="Regular"/>
    <s v="Verde"/>
    <s v="A4"/>
    <s v="Industrial"/>
    <s v="Não se aplica"/>
    <s v="Não se aplica"/>
    <s v="Não se aplica"/>
    <s v="Não se aplica"/>
    <s v="CATIVO"/>
    <x v="4"/>
    <n v="17805"/>
    <n v="17805"/>
    <n v="0"/>
    <n v="0"/>
    <n v="0"/>
    <n v="0"/>
    <n v="27.19"/>
    <m/>
    <m/>
    <n v="484117.95"/>
    <m/>
    <n v="484117.95"/>
    <n v="387436.80000000005"/>
    <n v="0"/>
    <n v="0"/>
    <n v="0"/>
    <n v="0"/>
    <n v="4152.1369220777769"/>
    <n v="3988.9403149903997"/>
    <n v="426109.79847945488"/>
    <m/>
    <m/>
    <m/>
    <n v="0"/>
    <n v="0"/>
    <n v="0"/>
    <n v="0"/>
    <m/>
    <n v="0"/>
    <n v="8811.4244175657113"/>
    <n v="41095.521849819583"/>
    <n v="0"/>
    <n v="0"/>
    <m/>
    <m/>
    <n v="0"/>
    <n v="0"/>
    <n v="0"/>
    <m/>
    <m/>
    <n v="0"/>
    <m/>
    <n v="0"/>
    <n v="0"/>
    <n v="0"/>
    <n v="0"/>
    <m/>
    <n v="0"/>
    <n v="0"/>
    <n v="1424.59"/>
    <n v="12215.32"/>
    <n v="456402.27"/>
    <n v="104"/>
    <m/>
    <m/>
    <m/>
    <m/>
    <m/>
    <m/>
    <m/>
    <m/>
    <m/>
    <n v="0"/>
    <m/>
    <m/>
    <m/>
    <m/>
    <m/>
    <m/>
    <m/>
    <m/>
    <m/>
    <m/>
    <m/>
    <m/>
    <n v="387436.80000000005"/>
    <n v="-96681.18"/>
    <m/>
    <m/>
    <m/>
    <m/>
    <n v="-96681.15"/>
    <n v="0"/>
    <n v="30"/>
    <n v="9080.4073630518615"/>
    <n v="878.0396092962801"/>
    <n v="4095.0809130144262"/>
    <n v="0"/>
    <n v="0"/>
    <m/>
    <m/>
    <m/>
    <n v="4107.28684074115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6109.79847945488"/>
    <m/>
    <n v="0"/>
    <n v="0"/>
    <n v="-96681.149999999965"/>
    <m/>
    <n v="0"/>
    <m/>
    <n v="-105852.9018579293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94"/>
    <s v="Sistema de Compensação"/>
    <s v="Verde"/>
    <s v="A4"/>
    <s v="Industrial"/>
    <s v="Não se aplica"/>
    <s v="Não se aplica"/>
    <s v="Não se aplica"/>
    <s v="Não se aplica"/>
    <s v="CATIVO"/>
    <x v="4"/>
    <n v="370"/>
    <n v="370"/>
    <n v="0"/>
    <n v="0"/>
    <n v="0"/>
    <n v="0"/>
    <n v="27.19"/>
    <m/>
    <m/>
    <n v="10060.300000000001"/>
    <m/>
    <n v="10060.300000000001"/>
    <n v="8051.2000000000007"/>
    <n v="0"/>
    <n v="0"/>
    <n v="0"/>
    <n v="0"/>
    <n v="86.284226968198681"/>
    <n v="82.892890567056881"/>
    <n v="8854.8511899690147"/>
    <m/>
    <m/>
    <m/>
    <n v="0"/>
    <n v="0"/>
    <n v="0"/>
    <n v="0"/>
    <m/>
    <n v="0"/>
    <n v="183.10738750347167"/>
    <n v="853.99287191425128"/>
    <n v="0"/>
    <n v="0"/>
    <m/>
    <m/>
    <n v="0"/>
    <n v="0"/>
    <n v="0"/>
    <m/>
    <m/>
    <n v="0"/>
    <m/>
    <n v="0"/>
    <n v="0"/>
    <n v="0"/>
    <n v="0"/>
    <m/>
    <n v="0"/>
    <n v="0"/>
    <n v="12.35"/>
    <n v="106"/>
    <n v="3664.25"/>
    <n v="3"/>
    <m/>
    <m/>
    <m/>
    <m/>
    <m/>
    <m/>
    <m/>
    <m/>
    <m/>
    <n v="0"/>
    <m/>
    <m/>
    <m/>
    <m/>
    <m/>
    <m/>
    <m/>
    <m/>
    <m/>
    <m/>
    <m/>
    <m/>
    <n v="8051.2000000000007"/>
    <n v="-2009.130000000001"/>
    <m/>
    <m/>
    <m/>
    <m/>
    <n v="-2009.1"/>
    <n v="0"/>
    <n v="30"/>
    <n v="188.69703590728386"/>
    <n v="18.246259783185849"/>
    <n v="85.098564325489406"/>
    <n v="0"/>
    <n v="0"/>
    <m/>
    <m/>
    <m/>
    <n v="85.3522117986086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854.8511899690147"/>
    <m/>
    <n v="0"/>
    <n v="0"/>
    <n v="-2009.1000000000004"/>
    <m/>
    <n v="0"/>
    <m/>
    <n v="-2199.695236587131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295"/>
    <s v="Regular"/>
    <s v="Branca"/>
    <s v="B3"/>
    <s v="Industrial"/>
    <s v="Não se aplica"/>
    <s v="Não se aplica"/>
    <s v="Não se aplica"/>
    <s v="Ponta"/>
    <s v="CATIVO"/>
    <x v="4"/>
    <n v="0"/>
    <n v="0"/>
    <n v="0.02"/>
    <n v="0.02"/>
    <n v="0.02"/>
    <n v="0.02"/>
    <m/>
    <n v="1553.42"/>
    <n v="173.25"/>
    <m/>
    <n v="34.5334"/>
    <n v="34.5334"/>
    <n v="32.764800000000001"/>
    <n v="0"/>
    <n v="1.230903663987408"/>
    <n v="0"/>
    <n v="0"/>
    <n v="2.1689849210121399"/>
    <n v="0.14999240208280901"/>
    <n v="14.36775806884998"/>
    <n v="3.4068094117062602"/>
    <n v="5.8144670610825004E-2"/>
    <n v="0"/>
    <n v="0"/>
    <n v="0"/>
    <n v="0"/>
    <n v="0.1901806055465082"/>
    <m/>
    <n v="2.4157134287254398E-2"/>
    <n v="6.3110792944049399"/>
    <n v="6.1321218896357195"/>
    <n v="0"/>
    <n v="0"/>
    <n v="0"/>
    <n v="0"/>
    <n v="0"/>
    <n v="0"/>
    <n v="0"/>
    <n v="0"/>
    <n v="0"/>
    <n v="0"/>
    <m/>
    <n v="0"/>
    <n v="0"/>
    <n v="0"/>
    <n v="0"/>
    <n v="0"/>
    <n v="0.17879583650071962"/>
    <n v="0"/>
    <n v="0"/>
    <n v="0"/>
    <n v="0"/>
    <n v="0"/>
    <m/>
    <m/>
    <m/>
    <m/>
    <m/>
    <m/>
    <m/>
    <m/>
    <m/>
    <n v="3.5856052482069796"/>
    <m/>
    <m/>
    <m/>
    <m/>
    <m/>
    <m/>
    <m/>
    <m/>
    <m/>
    <m/>
    <m/>
    <m/>
    <n v="32.764800000000001"/>
    <n v="-1.7986000000000004"/>
    <m/>
    <m/>
    <m/>
    <m/>
    <n v="-2.2003999999999997"/>
    <n v="0.43180000000000007"/>
    <n v="30"/>
    <n v="1.8005623771327137"/>
    <n v="0.62888556211756086"/>
    <n v="0.6110528392435004"/>
    <n v="0"/>
    <n v="0"/>
    <n v="0"/>
    <n v="0"/>
    <n v="0"/>
    <n v="0.15444247610592698"/>
    <n v="0"/>
    <n v="0"/>
    <n v="0.43175124728297964"/>
    <n v="0"/>
    <n v="0"/>
    <n v="0"/>
    <n v="2.2659126499104398E-2"/>
    <n v="0"/>
    <n v="-4.1797593347716155E-2"/>
    <m/>
    <n v="0"/>
    <n v="0"/>
    <n v="0"/>
    <n v="0"/>
    <n v="-5.7478408980211892E-3"/>
    <n v="-6.8343987061779757E-4"/>
    <n v="0"/>
    <n v="0"/>
    <m/>
    <m/>
    <m/>
    <n v="14.36775806884998"/>
    <n v="0"/>
    <n v="0"/>
    <n v="-2.2003999999999984"/>
    <n v="0.43180000000000041"/>
    <n v="0"/>
    <n v="0"/>
    <n v="-3.5691948183486595"/>
    <n v="0"/>
    <n v="0"/>
    <n v="0"/>
    <n v="0"/>
    <n v="0"/>
    <n v="0"/>
    <n v="0"/>
    <n v="0"/>
    <n v="0"/>
    <n v="0"/>
    <n v="0"/>
    <n v="0"/>
    <n v="0.3143508425265740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96"/>
    <s v="Regular"/>
    <s v="Branca"/>
    <s v="B3"/>
    <s v="Industrial"/>
    <s v="Não se aplica"/>
    <s v="Não se aplica"/>
    <s v="Não se aplica"/>
    <s v="Fora ponta"/>
    <s v="CATIVO"/>
    <x v="4"/>
    <n v="0"/>
    <n v="0"/>
    <n v="2.181"/>
    <n v="2.181"/>
    <n v="2.181"/>
    <n v="2.181"/>
    <m/>
    <n v="388.22"/>
    <n v="173.25"/>
    <m/>
    <n v="1224.5660700000001"/>
    <n v="1224.5660700000001"/>
    <n v="1221.42543"/>
    <n v="0"/>
    <n v="134.23004455782683"/>
    <n v="0"/>
    <n v="0"/>
    <n v="47.305561127274778"/>
    <n v="3.2713373502835577"/>
    <n v="313.36103835642234"/>
    <n v="371.51256634656767"/>
    <n v="6.3406763301104672"/>
    <n v="0"/>
    <n v="0"/>
    <n v="0"/>
    <n v="0"/>
    <n v="20.73919503484672"/>
    <m/>
    <n v="2.634335494025092"/>
    <n v="137.64463941097173"/>
    <n v="133.74157841295505"/>
    <n v="0"/>
    <n v="0"/>
    <n v="0"/>
    <n v="0"/>
    <n v="0"/>
    <n v="0"/>
    <n v="0"/>
    <n v="0"/>
    <n v="0"/>
    <n v="0"/>
    <m/>
    <n v="0"/>
    <n v="0"/>
    <n v="0"/>
    <n v="0"/>
    <n v="0"/>
    <n v="19.497685970403474"/>
    <n v="0"/>
    <n v="0"/>
    <n v="0"/>
    <n v="0"/>
    <n v="0"/>
    <m/>
    <m/>
    <m/>
    <m/>
    <m/>
    <m/>
    <m/>
    <m/>
    <m/>
    <n v="391.01025231697116"/>
    <m/>
    <m/>
    <m/>
    <m/>
    <m/>
    <m/>
    <m/>
    <m/>
    <m/>
    <m/>
    <m/>
    <m/>
    <n v="1220.8654000000001"/>
    <n v="-3.7306699999999182"/>
    <m/>
    <m/>
    <m/>
    <m/>
    <n v="-50.228430000000067"/>
    <n v="47.087790000000005"/>
    <n v="30"/>
    <n v="74.705542627771365"/>
    <n v="13.715994109783765"/>
    <n v="13.327062423900514"/>
    <n v="0"/>
    <n v="0"/>
    <n v="0"/>
    <n v="0"/>
    <n v="0"/>
    <n v="3.3683935555393019"/>
    <n v="0"/>
    <n v="0"/>
    <n v="47.08247351620895"/>
    <n v="0"/>
    <n v="0"/>
    <n v="0"/>
    <n v="2.4709777447273353"/>
    <n v="0"/>
    <n v="-4.5580275545684117"/>
    <m/>
    <n v="0"/>
    <n v="0"/>
    <n v="0"/>
    <n v="0"/>
    <n v="-0.62680204992921063"/>
    <n v="-7.4529117890870911E-2"/>
    <n v="0"/>
    <n v="0"/>
    <m/>
    <m/>
    <m/>
    <n v="313.36103835642234"/>
    <n v="0"/>
    <n v="0"/>
    <n v="-50.228430000000117"/>
    <n v="47.087790000000041"/>
    <n v="0"/>
    <n v="0"/>
    <n v="-77.844197335069254"/>
    <n v="0"/>
    <n v="0"/>
    <n v="0"/>
    <n v="0"/>
    <n v="0"/>
    <n v="0"/>
    <n v="0"/>
    <n v="0"/>
    <n v="0"/>
    <n v="0"/>
    <n v="0"/>
    <n v="0"/>
    <n v="34.2799593775228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97"/>
    <s v="Regular"/>
    <s v="Branca"/>
    <s v="B3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23"/>
    <n v="10.55"/>
    <n v="754.1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298"/>
    <s v="Regular"/>
    <s v="Branca"/>
    <s v="B3"/>
    <s v="Industrial"/>
    <s v="Não se aplica"/>
    <s v="Não se aplica"/>
    <s v="Não se aplica"/>
    <s v="Intermediário"/>
    <s v="CATIVO"/>
    <x v="4"/>
    <n v="0"/>
    <n v="0"/>
    <n v="0.14599999999999999"/>
    <n v="0.14599999999999999"/>
    <n v="0.14599999999999999"/>
    <n v="0.14599999999999999"/>
    <m/>
    <n v="970.82"/>
    <n v="173.25"/>
    <m/>
    <n v="167.03422"/>
    <n v="167.03422"/>
    <n v="160.47297999999998"/>
    <n v="0"/>
    <n v="8.9855967471080778"/>
    <n v="0"/>
    <n v="0"/>
    <n v="9.5001539540331876"/>
    <n v="0.65696733582035538"/>
    <n v="62.930796064497905"/>
    <n v="24.869708705455697"/>
    <n v="0.42445609545902252"/>
    <n v="0"/>
    <n v="0"/>
    <n v="0"/>
    <n v="0"/>
    <n v="1.3883184204895098"/>
    <m/>
    <n v="0.17634708029695709"/>
    <n v="27.642527309493609"/>
    <n v="26.858693876604509"/>
    <n v="0"/>
    <n v="0"/>
    <n v="0"/>
    <n v="0"/>
    <n v="0"/>
    <n v="0"/>
    <n v="0"/>
    <n v="0"/>
    <n v="0"/>
    <n v="0"/>
    <m/>
    <n v="0"/>
    <n v="0"/>
    <n v="0"/>
    <n v="0"/>
    <n v="0"/>
    <n v="1.305209606455253"/>
    <n v="0"/>
    <n v="0"/>
    <n v="0"/>
    <n v="0"/>
    <n v="0"/>
    <m/>
    <m/>
    <m/>
    <m/>
    <m/>
    <m/>
    <m/>
    <m/>
    <m/>
    <n v="26.17491831191095"/>
    <m/>
    <m/>
    <m/>
    <m/>
    <m/>
    <m/>
    <m/>
    <m/>
    <m/>
    <m/>
    <m/>
    <m/>
    <n v="164.86949999999999"/>
    <n v="-2.1947199999999896"/>
    <m/>
    <m/>
    <m/>
    <m/>
    <n v="-9.7133800000000114"/>
    <n v="3.1521400000000002"/>
    <n v="30"/>
    <n v="9.0725138238000227"/>
    <n v="2.754518762074941"/>
    <n v="2.6764114358863829"/>
    <n v="0"/>
    <n v="0"/>
    <n v="0"/>
    <n v="0"/>
    <n v="0"/>
    <n v="0.67645867827887218"/>
    <n v="0"/>
    <n v="0"/>
    <n v="3.1517841051657527"/>
    <n v="0"/>
    <n v="0"/>
    <n v="0"/>
    <n v="0.16541162344346216"/>
    <n v="0"/>
    <n v="-0.30512243143832762"/>
    <m/>
    <n v="0"/>
    <n v="0"/>
    <n v="0"/>
    <n v="0"/>
    <n v="-4.1959238555554723E-2"/>
    <n v="-4.9891110555099205E-3"/>
    <n v="0"/>
    <n v="0"/>
    <m/>
    <m/>
    <m/>
    <n v="62.930796064497905"/>
    <n v="0"/>
    <n v="0"/>
    <n v="-9.7133800000000292"/>
    <n v="3.1521399999999993"/>
    <n v="0"/>
    <n v="0"/>
    <n v="-15.633077210210843"/>
    <n v="0"/>
    <n v="0"/>
    <n v="0"/>
    <n v="0"/>
    <n v="0"/>
    <n v="0"/>
    <n v="0"/>
    <n v="0"/>
    <n v="0"/>
    <n v="0"/>
    <n v="0"/>
    <n v="0"/>
    <n v="2.2947611504439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299"/>
    <s v="Regular"/>
    <s v="Convencional"/>
    <s v="B3"/>
    <s v="Comercial"/>
    <s v="Não se aplica"/>
    <s v="Não se aplica"/>
    <s v="Não se aplica"/>
    <s v="Não se aplica"/>
    <s v="CATIVO"/>
    <x v="4"/>
    <n v="0"/>
    <n v="0"/>
    <n v="2789.2860000000001"/>
    <n v="2789.2860000000001"/>
    <n v="2789.2860000000001"/>
    <n v="2789.2860000000001"/>
    <m/>
    <n v="368.24"/>
    <n v="173.25"/>
    <m/>
    <n v="1510370.4761400002"/>
    <n v="1510370.4761400002"/>
    <n v="1419439.75254"/>
    <n v="0"/>
    <n v="171667.11786543907"/>
    <n v="0"/>
    <n v="0"/>
    <n v="7139.2817383389629"/>
    <n v="6859.2488519841099"/>
    <n v="656980.35167093656"/>
    <n v="475128.28983702534"/>
    <n v="8109.1057854692817"/>
    <n v="0"/>
    <n v="0"/>
    <n v="0"/>
    <n v="0"/>
    <n v="26523.405026119883"/>
    <m/>
    <n v="3369.0578233779338"/>
    <n v="15155.294133789273"/>
    <n v="70666.900731329544"/>
    <n v="0"/>
    <n v="0"/>
    <n v="0"/>
    <n v="0"/>
    <n v="0"/>
    <n v="0"/>
    <n v="0"/>
    <n v="0"/>
    <n v="0"/>
    <n v="0"/>
    <m/>
    <n v="0"/>
    <n v="0"/>
    <n v="0"/>
    <n v="0"/>
    <n v="0"/>
    <n v="24935.636180487309"/>
    <n v="0"/>
    <n v="1257.8900000000001"/>
    <n v="10965.23"/>
    <n v="783263.61"/>
    <n v="4306"/>
    <m/>
    <m/>
    <m/>
    <m/>
    <m/>
    <m/>
    <m/>
    <m/>
    <m/>
    <n v="500063.92601751263"/>
    <m/>
    <m/>
    <m/>
    <m/>
    <m/>
    <m/>
    <m/>
    <m/>
    <m/>
    <m/>
    <m/>
    <m/>
    <n v="1419441.7881"/>
    <n v="-90928.718040000182"/>
    <m/>
    <m/>
    <m/>
    <m/>
    <n v="-151151.40833999999"/>
    <n v="60220.684740000012"/>
    <n v="30"/>
    <n v="72262.570396417053"/>
    <n v="1510.192666860421"/>
    <n v="7041.8056114312494"/>
    <n v="0"/>
    <n v="0"/>
    <n v="0"/>
    <n v="0"/>
    <n v="0"/>
    <n v="7062.7535942941122"/>
    <n v="0"/>
    <n v="0"/>
    <n v="60213.885476447758"/>
    <n v="0"/>
    <n v="0"/>
    <n v="0"/>
    <n v="3160.1392158090493"/>
    <n v="0"/>
    <n v="-5829.2720979238802"/>
    <m/>
    <n v="0"/>
    <n v="0"/>
    <n v="0"/>
    <n v="0"/>
    <n v="-801.61860735389564"/>
    <n v="-95.315463147801893"/>
    <n v="0"/>
    <n v="0"/>
    <m/>
    <m/>
    <m/>
    <n v="656980.35167093656"/>
    <n v="0"/>
    <n v="0"/>
    <n v="-151151.40834000008"/>
    <n v="60220.684739999997"/>
    <n v="0"/>
    <n v="0"/>
    <n v="-163205.06342772022"/>
    <n v="0"/>
    <n v="0"/>
    <n v="0"/>
    <n v="0"/>
    <n v="0"/>
    <n v="0"/>
    <n v="0"/>
    <n v="0"/>
    <n v="0"/>
    <n v="0"/>
    <n v="0"/>
    <n v="0"/>
    <n v="43840.72020737887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0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-0.72599999999999998"/>
    <n v="-0.72599999999999998"/>
    <n v="-0.72599999999999998"/>
    <n v="-0.72599999999999998"/>
    <m/>
    <n v="368.24"/>
    <n v="173.25"/>
    <m/>
    <n v="-393.12173999999999"/>
    <n v="-393.12173999999999"/>
    <n v="-369.45414"/>
    <n v="0"/>
    <n v="-44.68180300274291"/>
    <n v="0"/>
    <n v="0"/>
    <n v="-1.8582241269034752"/>
    <n v="-1.7853367014140764"/>
    <n v="-170.99993880623927"/>
    <n v="-123.66718164493723"/>
    <n v="-2.1106515431729478"/>
    <n v="0"/>
    <n v="0"/>
    <n v="0"/>
    <n v="0"/>
    <n v="-6.903555981338247"/>
    <m/>
    <n v="-0.8769039746273346"/>
    <n v="-3.9446451676633414"/>
    <n v="-18.393298475289104"/>
    <n v="0"/>
    <n v="0"/>
    <n v="0"/>
    <n v="0"/>
    <n v="0"/>
    <n v="0"/>
    <n v="0"/>
    <n v="0"/>
    <n v="0"/>
    <n v="0"/>
    <m/>
    <n v="0"/>
    <n v="0"/>
    <n v="0"/>
    <n v="0"/>
    <n v="0"/>
    <n v="-6.4902888649761215"/>
    <n v="0"/>
    <n v="-0.08"/>
    <n v="-2.93"/>
    <n v="-199.91"/>
    <n v="0"/>
    <m/>
    <m/>
    <m/>
    <m/>
    <m/>
    <m/>
    <m/>
    <m/>
    <m/>
    <n v="-130.15747050991334"/>
    <m/>
    <m/>
    <m/>
    <m/>
    <m/>
    <m/>
    <m/>
    <m/>
    <m/>
    <m/>
    <m/>
    <m/>
    <n v="-371.48970000000003"/>
    <n v="21.602039999999988"/>
    <m/>
    <m/>
    <m/>
    <m/>
    <n v="39.341939999999994"/>
    <n v="-15.674340000000003"/>
    <n v="30"/>
    <n v="-18.808622030081779"/>
    <n v="-0.39307545950492884"/>
    <n v="-1.8328528784424023"/>
    <n v="0"/>
    <n v="0"/>
    <n v="0"/>
    <n v="0"/>
    <n v="0"/>
    <n v="-1.8383052542684848"/>
    <n v="0"/>
    <n v="0"/>
    <n v="-15.672570276372184"/>
    <n v="0"/>
    <n v="0"/>
    <n v="0"/>
    <n v="-0.82252629191749005"/>
    <n v="0"/>
    <n v="1.5172526385220948"/>
    <m/>
    <n v="0"/>
    <n v="0"/>
    <n v="0"/>
    <n v="0"/>
    <n v="0.20864662459816863"/>
    <n v="2.480886730342613E-2"/>
    <n v="0"/>
    <n v="0"/>
    <m/>
    <m/>
    <m/>
    <n v="-170.99993880623927"/>
    <n v="0"/>
    <n v="0"/>
    <n v="39.341939999999994"/>
    <n v="-15.674339999999987"/>
    <n v="0"/>
    <n v="0"/>
    <n v="42.479285397239607"/>
    <n v="0"/>
    <n v="0"/>
    <n v="0"/>
    <n v="0"/>
    <n v="0"/>
    <n v="0"/>
    <n v="0"/>
    <n v="0"/>
    <n v="0"/>
    <n v="0"/>
    <n v="0"/>
    <n v="0"/>
    <n v="-11.41093558371463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1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83.018000000000001"/>
    <n v="83.018000000000001"/>
    <n v="83.018000000000001"/>
    <n v="83.018000000000001"/>
    <m/>
    <n v="368.24"/>
    <n v="173.25"/>
    <m/>
    <n v="44953.416819999999"/>
    <n v="44953.416819999999"/>
    <n v="42247.030020000006"/>
    <n v="0"/>
    <n v="5109.3580188453316"/>
    <n v="0"/>
    <n v="0"/>
    <n v="212.48767295767593"/>
    <n v="204.15300589255344"/>
    <n v="19553.81944878288"/>
    <n v="14141.325187051514"/>
    <n v="241.35271323847351"/>
    <n v="0"/>
    <n v="0"/>
    <n v="0"/>
    <n v="0"/>
    <n v="789.42067556300083"/>
    <m/>
    <n v="100.27384871296428"/>
    <n v="451.06963158274834"/>
    <n v="2103.2711471371226"/>
    <n v="0"/>
    <n v="0"/>
    <n v="0"/>
    <n v="0"/>
    <n v="0"/>
    <n v="0"/>
    <n v="0"/>
    <n v="0"/>
    <n v="0"/>
    <n v="0"/>
    <m/>
    <n v="0"/>
    <n v="0"/>
    <n v="0"/>
    <n v="0"/>
    <n v="0"/>
    <n v="742.16363773083708"/>
    <n v="0"/>
    <n v="37.14"/>
    <n v="329.2"/>
    <n v="62105.1"/>
    <n v="241"/>
    <m/>
    <m/>
    <m/>
    <m/>
    <m/>
    <m/>
    <m/>
    <m/>
    <m/>
    <n v="14883.488824782351"/>
    <m/>
    <m/>
    <m/>
    <m/>
    <m/>
    <m/>
    <m/>
    <m/>
    <m/>
    <m/>
    <m/>
    <m/>
    <n v="42248.0478"/>
    <n v="-2705.3990200000044"/>
    <m/>
    <m/>
    <m/>
    <m/>
    <n v="-4498.7454200000002"/>
    <n v="1792.3586200000002"/>
    <n v="30"/>
    <n v="2150.7633384205619"/>
    <n v="44.948124651763351"/>
    <n v="209.58647419081444"/>
    <n v="0"/>
    <n v="0"/>
    <n v="0"/>
    <n v="0"/>
    <n v="0"/>
    <n v="210.20995261551116"/>
    <n v="0"/>
    <n v="0"/>
    <n v="1792.156252346922"/>
    <n v="0"/>
    <n v="0"/>
    <n v="0"/>
    <n v="94.055768185132365"/>
    <n v="0"/>
    <n v="-173.49763022703428"/>
    <m/>
    <n v="0"/>
    <n v="0"/>
    <n v="0"/>
    <n v="0"/>
    <n v="-23.858712783596047"/>
    <n v="-2.8368905589474167"/>
    <n v="0"/>
    <n v="0"/>
    <m/>
    <m/>
    <m/>
    <n v="19553.81944878288"/>
    <n v="0"/>
    <n v="0"/>
    <n v="-4498.7454199999993"/>
    <n v="1792.3586199999991"/>
    <n v="0"/>
    <n v="0"/>
    <n v="-4857.5004340331088"/>
    <n v="0"/>
    <n v="0"/>
    <n v="0"/>
    <n v="0"/>
    <n v="0"/>
    <n v="0"/>
    <n v="0"/>
    <n v="0"/>
    <n v="0"/>
    <n v="0"/>
    <n v="0"/>
    <n v="0"/>
    <n v="1304.83891224355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2"/>
    <s v="Regular"/>
    <s v="Verde"/>
    <s v="A4"/>
    <s v="Comercial"/>
    <s v="Não se aplica"/>
    <s v="Não se aplica"/>
    <s v="Não se aplica"/>
    <s v="Ponta"/>
    <s v="CATIVO"/>
    <x v="4"/>
    <n v="0"/>
    <n v="0"/>
    <n v="83.543999999999997"/>
    <n v="83.543999999999997"/>
    <n v="83.543999999999997"/>
    <n v="83.543999999999997"/>
    <m/>
    <n v="1358.36"/>
    <n v="173.25"/>
    <m/>
    <n v="127956.82583999998"/>
    <n v="127956.82583999998"/>
    <n v="112192.90848"/>
    <n v="0"/>
    <n v="4473.3057831311307"/>
    <n v="0"/>
    <n v="0"/>
    <n v="1582.4978279041281"/>
    <n v="1520.4302466379131"/>
    <n v="84254.768692369267"/>
    <n v="14230.924274579389"/>
    <n v="242.88191807553821"/>
    <n v="0"/>
    <n v="0"/>
    <n v="0"/>
    <n v="0"/>
    <n v="794.42242548887396"/>
    <m/>
    <n v="66.903190390886849"/>
    <n v="3359.3729293245742"/>
    <n v="15664.174276859025"/>
    <n v="0"/>
    <n v="0"/>
    <n v="0"/>
    <n v="0"/>
    <n v="0"/>
    <n v="0"/>
    <n v="0"/>
    <n v="0"/>
    <n v="0"/>
    <n v="0"/>
    <m/>
    <n v="0"/>
    <n v="0"/>
    <n v="0"/>
    <n v="0"/>
    <n v="0"/>
    <n v="624.79688557057966"/>
    <n v="0"/>
    <n v="0"/>
    <n v="0"/>
    <n v="0"/>
    <n v="0"/>
    <m/>
    <m/>
    <m/>
    <m/>
    <m/>
    <m/>
    <m/>
    <m/>
    <m/>
    <n v="14855.721160149969"/>
    <m/>
    <m/>
    <m/>
    <m/>
    <m/>
    <m/>
    <m/>
    <m/>
    <m/>
    <m/>
    <m/>
    <m/>
    <n v="112187.5368"/>
    <n v="-15769.319039999958"/>
    <m/>
    <m/>
    <m/>
    <m/>
    <n v="-17567.632319999997"/>
    <n v="1803.7149600000002"/>
    <n v="30"/>
    <n v="5166.0861926986181"/>
    <n v="334.75433194029529"/>
    <n v="1560.9014854152429"/>
    <n v="0"/>
    <n v="0"/>
    <n v="0"/>
    <n v="0"/>
    <n v="0"/>
    <n v="1565.5393791711172"/>
    <n v="0"/>
    <n v="0"/>
    <n v="1803.511310150463"/>
    <n v="0"/>
    <n v="0"/>
    <n v="0"/>
    <n v="79.181662970841785"/>
    <n v="0"/>
    <n v="-151.8993090309059"/>
    <m/>
    <n v="0"/>
    <n v="0"/>
    <n v="0"/>
    <n v="0"/>
    <n v="-24.009880999214033"/>
    <n v="-1.89278691921632"/>
    <n v="0"/>
    <n v="0"/>
    <m/>
    <m/>
    <m/>
    <n v="84254.768692369267"/>
    <n v="0"/>
    <n v="0"/>
    <n v="-17567.63231999999"/>
    <n v="1803.7149599999993"/>
    <n v="0"/>
    <n v="0"/>
    <n v="-20930.313720269958"/>
    <n v="0"/>
    <n v="0"/>
    <n v="0"/>
    <n v="0"/>
    <n v="0"/>
    <n v="0"/>
    <n v="0"/>
    <n v="0"/>
    <n v="0"/>
    <n v="0"/>
    <n v="0"/>
    <n v="0"/>
    <n v="1142.402515279746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3"/>
    <s v="Sistema de Compensação"/>
    <s v="Verde"/>
    <s v="A4"/>
    <s v="Comercial"/>
    <s v="Não se aplica"/>
    <s v="Não se aplica"/>
    <s v="Não se aplica"/>
    <s v="Ponta"/>
    <s v="CATIVO"/>
    <x v="4"/>
    <n v="0"/>
    <n v="0"/>
    <n v="5.75"/>
    <n v="5.75"/>
    <n v="5.75"/>
    <n v="5.75"/>
    <m/>
    <n v="1358.36"/>
    <n v="173.25"/>
    <m/>
    <n v="8806.7574999999997"/>
    <n v="8806.7574999999997"/>
    <n v="7721.7899999999991"/>
    <n v="0"/>
    <n v="307.87977895485017"/>
    <n v="0"/>
    <n v="0"/>
    <n v="108.91700792933948"/>
    <n v="104.64514409374702"/>
    <n v="5798.91937160207"/>
    <n v="979.45770586554977"/>
    <n v="16.71659280061219"/>
    <n v="0"/>
    <n v="0"/>
    <n v="0"/>
    <n v="0"/>
    <n v="54.676924094621107"/>
    <m/>
    <n v="4.6046795071770488"/>
    <n v="231.21222761199252"/>
    <n v="1078.1025817765417"/>
    <n v="0"/>
    <n v="0"/>
    <n v="0"/>
    <n v="0"/>
    <n v="0"/>
    <n v="0"/>
    <n v="0"/>
    <n v="0"/>
    <n v="0"/>
    <n v="0"/>
    <m/>
    <n v="0"/>
    <n v="0"/>
    <n v="0"/>
    <n v="0"/>
    <n v="0"/>
    <n v="43.00227535227944"/>
    <n v="0"/>
    <n v="0"/>
    <n v="0"/>
    <n v="0"/>
    <n v="0"/>
    <m/>
    <m/>
    <m/>
    <m/>
    <m/>
    <m/>
    <m/>
    <m/>
    <m/>
    <n v="1022.4599812178292"/>
    <m/>
    <m/>
    <m/>
    <m/>
    <m/>
    <m/>
    <m/>
    <m/>
    <m/>
    <m/>
    <m/>
    <m/>
    <n v="7721.7899999999991"/>
    <n v="-1084.9975000000013"/>
    <m/>
    <m/>
    <m/>
    <m/>
    <n v="-1209.1099999999999"/>
    <n v="124.14250000000001"/>
    <n v="30"/>
    <n v="355.56108886355878"/>
    <n v="23.039804278663922"/>
    <n v="107.43061789162175"/>
    <n v="0"/>
    <n v="0"/>
    <n v="0"/>
    <n v="0"/>
    <n v="0"/>
    <n v="107.74982560368097"/>
    <n v="0"/>
    <n v="0"/>
    <n v="124.1284835938568"/>
    <n v="0"/>
    <n v="0"/>
    <n v="0"/>
    <n v="5.4497577573774336"/>
    <n v="0"/>
    <n v="-10.454623036097246"/>
    <m/>
    <n v="0"/>
    <n v="0"/>
    <n v="0"/>
    <n v="0"/>
    <n v="-1.6525042581810894"/>
    <n v="-0.13027296736442917"/>
    <n v="0"/>
    <n v="0"/>
    <m/>
    <m/>
    <m/>
    <n v="5798.91937160207"/>
    <n v="0"/>
    <n v="0"/>
    <n v="-1209.1100000000006"/>
    <n v="124.14249999999993"/>
    <n v="0"/>
    <n v="0"/>
    <n v="-1440.5499364592588"/>
    <n v="0"/>
    <n v="0"/>
    <n v="0"/>
    <n v="0"/>
    <n v="0"/>
    <n v="0"/>
    <n v="0"/>
    <n v="0"/>
    <n v="0"/>
    <n v="0"/>
    <n v="0"/>
    <n v="0"/>
    <n v="78.62700448695950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4"/>
    <s v="Regular"/>
    <s v="Verde"/>
    <s v="A4"/>
    <s v="Comercial"/>
    <s v="Não se aplica"/>
    <s v="Não se aplica"/>
    <s v="Não se aplica"/>
    <s v="Fora ponta"/>
    <s v="CATIVO"/>
    <x v="4"/>
    <n v="0"/>
    <n v="0"/>
    <n v="988.95399999999995"/>
    <n v="988.95399999999995"/>
    <n v="988.95399999999995"/>
    <n v="988.95399999999995"/>
    <m/>
    <n v="85.01"/>
    <n v="173.25"/>
    <m/>
    <n v="255407.26003999999"/>
    <n v="255407.26003999999"/>
    <n v="275591.81117999996"/>
    <n v="0"/>
    <n v="52952.858942002589"/>
    <n v="0"/>
    <n v="0"/>
    <n v="0"/>
    <n v="0"/>
    <n v="0"/>
    <n v="168458.88974722763"/>
    <n v="2875.1202289628914"/>
    <n v="0"/>
    <n v="0"/>
    <n v="0"/>
    <n v="0"/>
    <n v="9403.9935288820725"/>
    <m/>
    <n v="791.968037798395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96.0473423892445"/>
    <n v="0"/>
    <n v="0"/>
    <n v="0"/>
    <n v="0"/>
    <n v="0"/>
    <m/>
    <m/>
    <m/>
    <m/>
    <m/>
    <m/>
    <m/>
    <m/>
    <m/>
    <n v="175854.93708961687"/>
    <m/>
    <m/>
    <m/>
    <m/>
    <m/>
    <m/>
    <m/>
    <m/>
    <m/>
    <m/>
    <m/>
    <m/>
    <n v="275590.69650000002"/>
    <n v="20183.406460000027"/>
    <m/>
    <m/>
    <m/>
    <m/>
    <n v="-1166.9657200000067"/>
    <n v="21351.516860000003"/>
    <n v="30"/>
    <n v="20181.685940681025"/>
    <n v="0"/>
    <n v="0"/>
    <n v="0"/>
    <n v="0"/>
    <n v="0"/>
    <n v="0"/>
    <n v="0"/>
    <n v="0"/>
    <n v="0"/>
    <n v="0"/>
    <n v="21349.106150274602"/>
    <n v="0"/>
    <n v="0"/>
    <n v="0"/>
    <n v="937.31473620686029"/>
    <n v="0"/>
    <n v="-1798.1115252244344"/>
    <m/>
    <n v="0"/>
    <n v="0"/>
    <n v="0"/>
    <n v="0"/>
    <n v="-284.21751237308126"/>
    <n v="-22.405908202942896"/>
    <n v="0"/>
    <n v="0"/>
    <m/>
    <m/>
    <m/>
    <n v="0"/>
    <n v="0"/>
    <n v="0"/>
    <n v="-1166.9657200000074"/>
    <n v="21351.516860000003"/>
    <n v="0"/>
    <n v="0"/>
    <n v="0"/>
    <n v="0"/>
    <n v="0"/>
    <n v="0"/>
    <n v="0"/>
    <n v="0"/>
    <n v="0"/>
    <n v="0"/>
    <n v="0"/>
    <n v="0"/>
    <n v="0"/>
    <n v="0"/>
    <n v="0"/>
    <n v="13523.2157557211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5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12.67"/>
    <n v="12.67"/>
    <n v="12.67"/>
    <n v="12.67"/>
    <m/>
    <n v="85.01"/>
    <n v="173.25"/>
    <m/>
    <n v="3272.1541999999999"/>
    <n v="3272.1541999999999"/>
    <n v="3530.7489"/>
    <n v="0"/>
    <n v="678.40639988833937"/>
    <n v="0"/>
    <n v="0"/>
    <n v="0"/>
    <n v="0"/>
    <n v="0"/>
    <n v="2158.2137623159156"/>
    <n v="36.834648831957637"/>
    <n v="0"/>
    <n v="0"/>
    <n v="0"/>
    <n v="0"/>
    <n v="120.47941361371294"/>
    <m/>
    <n v="10.14631119233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754578906674865"/>
    <n v="0"/>
    <n v="0"/>
    <n v="0"/>
    <n v="0"/>
    <n v="0"/>
    <m/>
    <m/>
    <m/>
    <m/>
    <m/>
    <m/>
    <m/>
    <m/>
    <m/>
    <n v="2252.9683412225904"/>
    <m/>
    <m/>
    <m/>
    <m/>
    <m/>
    <m/>
    <m/>
    <m/>
    <m/>
    <m/>
    <m/>
    <m/>
    <n v="3530.7489"/>
    <n v="258.5646999999999"/>
    <m/>
    <m/>
    <m/>
    <m/>
    <n v="-14.950600000000087"/>
    <n v="273.54530000000005"/>
    <n v="30"/>
    <n v="258.5579924530648"/>
    <n v="0"/>
    <n v="0"/>
    <n v="0"/>
    <n v="0"/>
    <n v="0"/>
    <n v="0"/>
    <n v="0"/>
    <n v="0"/>
    <n v="0"/>
    <n v="0"/>
    <n v="273.51441515376791"/>
    <n v="0"/>
    <n v="0"/>
    <n v="0"/>
    <n v="12.008422745386454"/>
    <n v="0"/>
    <n v="-23.036534585626327"/>
    <m/>
    <n v="0"/>
    <n v="0"/>
    <n v="0"/>
    <n v="0"/>
    <n v="-3.6412572088964197"/>
    <n v="-0.28705365156648988"/>
    <n v="0"/>
    <n v="0"/>
    <m/>
    <m/>
    <m/>
    <n v="0"/>
    <n v="0"/>
    <n v="0"/>
    <n v="-14.950600000000122"/>
    <n v="273.54530000000022"/>
    <n v="0"/>
    <n v="0"/>
    <n v="0"/>
    <n v="0"/>
    <n v="0"/>
    <n v="0"/>
    <n v="0"/>
    <n v="0"/>
    <n v="0"/>
    <n v="0"/>
    <n v="0"/>
    <n v="0"/>
    <n v="0"/>
    <n v="0"/>
    <n v="0"/>
    <n v="173.2528951043090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6"/>
    <s v="Regular"/>
    <s v="Verde"/>
    <s v="A4"/>
    <s v="Comercial"/>
    <s v="Não se aplica"/>
    <s v="Não se aplica"/>
    <s v="Não se aplica"/>
    <s v="Não se aplica"/>
    <s v="CATIVO"/>
    <x v="4"/>
    <n v="4343"/>
    <n v="4343"/>
    <n v="0"/>
    <n v="0"/>
    <n v="0"/>
    <n v="0"/>
    <n v="27.19"/>
    <m/>
    <m/>
    <n v="118086.17000000001"/>
    <m/>
    <n v="118086.17000000001"/>
    <n v="94503.680000000008"/>
    <n v="0"/>
    <n v="0"/>
    <n v="0"/>
    <n v="0"/>
    <n v="1012.7902641159105"/>
    <n v="972.98330738575146"/>
    <n v="103936.80734604171"/>
    <m/>
    <m/>
    <m/>
    <n v="0"/>
    <n v="0"/>
    <n v="0"/>
    <n v="0"/>
    <m/>
    <n v="0"/>
    <n v="2149.2848214258852"/>
    <n v="10024.029845198902"/>
    <n v="0"/>
    <n v="0"/>
    <m/>
    <m/>
    <n v="0"/>
    <n v="0"/>
    <n v="0"/>
    <m/>
    <m/>
    <n v="0"/>
    <m/>
    <n v="0"/>
    <n v="0"/>
    <n v="0"/>
    <n v="0"/>
    <m/>
    <n v="0"/>
    <n v="0"/>
    <n v="451.11"/>
    <n v="3868.62"/>
    <n v="268870.37"/>
    <n v="44"/>
    <m/>
    <m/>
    <m/>
    <m/>
    <m/>
    <m/>
    <m/>
    <m/>
    <m/>
    <n v="0"/>
    <m/>
    <m/>
    <m/>
    <m/>
    <m/>
    <m/>
    <m/>
    <m/>
    <m/>
    <m/>
    <m/>
    <m/>
    <n v="94503.680000000008"/>
    <n v="-23582.51999999999"/>
    <m/>
    <m/>
    <m/>
    <m/>
    <n v="-23582.489999999998"/>
    <n v="0"/>
    <n v="30"/>
    <n v="2214.8952079603605"/>
    <n v="214.17163848209748"/>
    <n v="998.87314828540548"/>
    <n v="0"/>
    <n v="0"/>
    <m/>
    <m/>
    <m/>
    <n v="1001.85042119285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3936.80734604171"/>
    <m/>
    <n v="0"/>
    <n v="0"/>
    <n v="-23582.490000000005"/>
    <m/>
    <n v="0"/>
    <m/>
    <n v="-25819.66597972408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07"/>
    <s v="Sistema de Compensação"/>
    <s v="Verde"/>
    <s v="A4"/>
    <s v="Comercial"/>
    <s v="Não se aplica"/>
    <s v="Não se aplica"/>
    <s v="Não se aplica"/>
    <s v="Não se aplica"/>
    <s v="CATIVO"/>
    <x v="4"/>
    <n v="670"/>
    <n v="670"/>
    <n v="0"/>
    <n v="0"/>
    <n v="0"/>
    <n v="0"/>
    <n v="27.19"/>
    <m/>
    <m/>
    <n v="18217.3"/>
    <m/>
    <n v="18217.3"/>
    <n v="14579.2"/>
    <n v="0"/>
    <n v="0"/>
    <n v="0"/>
    <n v="0"/>
    <n v="156.24441099646788"/>
    <n v="150.1033423781841"/>
    <n v="16034.460262916864"/>
    <m/>
    <m/>
    <m/>
    <n v="0"/>
    <n v="0"/>
    <n v="0"/>
    <n v="0"/>
    <m/>
    <n v="0"/>
    <n v="331.57283683061087"/>
    <n v="1546.4195248176984"/>
    <n v="0"/>
    <n v="0"/>
    <m/>
    <m/>
    <n v="0"/>
    <n v="0"/>
    <n v="0"/>
    <m/>
    <m/>
    <n v="0"/>
    <m/>
    <n v="0"/>
    <n v="0"/>
    <n v="0"/>
    <n v="0"/>
    <m/>
    <n v="0"/>
    <n v="0"/>
    <n v="21.94"/>
    <n v="188.34"/>
    <n v="14829.92"/>
    <n v="5"/>
    <m/>
    <m/>
    <m/>
    <m/>
    <m/>
    <m/>
    <m/>
    <m/>
    <m/>
    <n v="0"/>
    <m/>
    <m/>
    <m/>
    <m/>
    <m/>
    <m/>
    <m/>
    <m/>
    <m/>
    <m/>
    <m/>
    <m/>
    <n v="14579.2"/>
    <n v="-3638.1299999999937"/>
    <m/>
    <m/>
    <m/>
    <m/>
    <n v="-3638.1"/>
    <n v="0"/>
    <n v="30"/>
    <n v="341.69463258886526"/>
    <n v="33.040524472255413"/>
    <n v="154.09740026507529"/>
    <n v="0"/>
    <n v="0"/>
    <m/>
    <m/>
    <m/>
    <n v="154.55670785153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034.460262916864"/>
    <m/>
    <n v="0"/>
    <n v="0"/>
    <n v="-3638.0999999999985"/>
    <m/>
    <n v="0"/>
    <m/>
    <n v="-3983.231914901021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08"/>
    <s v="Regular"/>
    <s v="Branca"/>
    <s v="B3"/>
    <s v="Comercial"/>
    <s v="Não se aplica"/>
    <s v="Não se aplica"/>
    <s v="Não se aplica"/>
    <s v="Ponta"/>
    <s v="CATIVO"/>
    <x v="4"/>
    <n v="0"/>
    <n v="0"/>
    <n v="0.66300000000000003"/>
    <n v="0.66300000000000003"/>
    <n v="0.66300000000000003"/>
    <n v="0.66300000000000003"/>
    <m/>
    <n v="1553.42"/>
    <n v="173.25"/>
    <m/>
    <n v="1144.7822100000001"/>
    <n v="1144.7822100000001"/>
    <n v="1086.1531200000002"/>
    <n v="0"/>
    <n v="40.804456461182575"/>
    <n v="0"/>
    <n v="0"/>
    <n v="71.90185013155245"/>
    <n v="4.972248129045119"/>
    <n v="476.29117998237689"/>
    <n v="112.93573199806252"/>
    <n v="1.927495830748849"/>
    <n v="0"/>
    <n v="0"/>
    <n v="0"/>
    <n v="0"/>
    <n v="6.3044870738667473"/>
    <m/>
    <n v="0.80080900162248336"/>
    <n v="209.21227860952376"/>
    <n v="203.27984064142413"/>
    <n v="0"/>
    <n v="0"/>
    <n v="0"/>
    <n v="0"/>
    <n v="0"/>
    <n v="0"/>
    <n v="0"/>
    <n v="0"/>
    <n v="0"/>
    <n v="0"/>
    <m/>
    <n v="0"/>
    <n v="0"/>
    <n v="0"/>
    <n v="0"/>
    <n v="0"/>
    <n v="5.9270819799988557"/>
    <n v="0"/>
    <n v="0"/>
    <n v="0"/>
    <n v="0"/>
    <n v="0"/>
    <m/>
    <m/>
    <m/>
    <m/>
    <m/>
    <m/>
    <m/>
    <m/>
    <m/>
    <n v="118.86281397806138"/>
    <m/>
    <m/>
    <m/>
    <m/>
    <m/>
    <m/>
    <m/>
    <m/>
    <m/>
    <m/>
    <m/>
    <m/>
    <n v="1081.2384000000002"/>
    <n v="-63.573809999999867"/>
    <m/>
    <m/>
    <m/>
    <m/>
    <n v="-72.943259999999995"/>
    <n v="14.314170000000003"/>
    <n v="30"/>
    <n v="59.688642801949527"/>
    <n v="20.847556384197134"/>
    <n v="20.25640162092202"/>
    <n v="0"/>
    <n v="0"/>
    <n v="0"/>
    <n v="0"/>
    <n v="0"/>
    <n v="5.11976808291148"/>
    <n v="0"/>
    <n v="0"/>
    <n v="14.312553847430792"/>
    <n v="0"/>
    <n v="0"/>
    <n v="0"/>
    <n v="0.75115004344531044"/>
    <n v="0"/>
    <n v="-1.3855902194767822"/>
    <m/>
    <n v="0"/>
    <n v="0"/>
    <n v="0"/>
    <n v="0"/>
    <n v="-0.19054092576940285"/>
    <n v="-2.2656031710980074E-2"/>
    <n v="0"/>
    <n v="0"/>
    <m/>
    <m/>
    <m/>
    <n v="476.29117998237689"/>
    <n v="0"/>
    <n v="0"/>
    <n v="-72.943260000000009"/>
    <n v="14.314170000000004"/>
    <n v="0"/>
    <n v="0"/>
    <n v="-118.31880822825809"/>
    <n v="0"/>
    <n v="0"/>
    <n v="0"/>
    <n v="0"/>
    <n v="0"/>
    <n v="0"/>
    <n v="0"/>
    <n v="0"/>
    <n v="0"/>
    <n v="0"/>
    <n v="0"/>
    <n v="0"/>
    <n v="10.4207304297559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09"/>
    <s v="Regular"/>
    <s v="Branca"/>
    <s v="B3"/>
    <s v="Comercial"/>
    <s v="Não se aplica"/>
    <s v="Não se aplica"/>
    <s v="Não se aplica"/>
    <s v="Fora ponta"/>
    <s v="CATIVO"/>
    <x v="4"/>
    <n v="0"/>
    <n v="0"/>
    <n v="10.773999999999999"/>
    <n v="10.773999999999999"/>
    <n v="10.773999999999999"/>
    <n v="10.773999999999999"/>
    <m/>
    <n v="388.22"/>
    <n v="173.25"/>
    <m/>
    <n v="6049.2777800000003"/>
    <n v="6049.2777800000003"/>
    <n v="6033.7632199999989"/>
    <n v="0"/>
    <n v="663.08780379001666"/>
    <n v="0"/>
    <n v="0"/>
    <n v="233.68643538984796"/>
    <n v="16.160196520841378"/>
    <n v="1547.9834146043531"/>
    <n v="1835.248230086162"/>
    <n v="31.322534058051428"/>
    <n v="0"/>
    <n v="0"/>
    <n v="0"/>
    <n v="0"/>
    <n v="102.45029220790396"/>
    <m/>
    <n v="13.013448240543942"/>
    <n v="679.95568317918821"/>
    <n v="660.67481238935238"/>
    <n v="0"/>
    <n v="0"/>
    <n v="0"/>
    <n v="0"/>
    <n v="0"/>
    <n v="0"/>
    <n v="0"/>
    <n v="0"/>
    <n v="0"/>
    <n v="0"/>
    <m/>
    <n v="0"/>
    <n v="0"/>
    <n v="0"/>
    <n v="0"/>
    <n v="0"/>
    <n v="96.317317122937652"/>
    <n v="0"/>
    <n v="0"/>
    <n v="0"/>
    <n v="0"/>
    <n v="0"/>
    <m/>
    <m/>
    <m/>
    <m/>
    <m/>
    <m/>
    <m/>
    <m/>
    <m/>
    <n v="1931.5655472090998"/>
    <m/>
    <m/>
    <m/>
    <m/>
    <m/>
    <m/>
    <m/>
    <m/>
    <m/>
    <m/>
    <m/>
    <m/>
    <n v="6031.5230999999994"/>
    <n v="-17.784680000001572"/>
    <m/>
    <m/>
    <m/>
    <m/>
    <n v="-248.1252200000003"/>
    <n v="232.61066000000002"/>
    <n v="30"/>
    <n v="369.04058517726207"/>
    <n v="67.756130462544775"/>
    <n v="65.834832900093602"/>
    <n v="0"/>
    <n v="0"/>
    <n v="0"/>
    <n v="0"/>
    <n v="0"/>
    <n v="16.639647944695295"/>
    <n v="0"/>
    <n v="0"/>
    <n v="232.58439691134117"/>
    <n v="0"/>
    <n v="0"/>
    <n v="0"/>
    <n v="12.206471445067535"/>
    <n v="0"/>
    <n v="-22.516363536414701"/>
    <m/>
    <n v="0"/>
    <n v="0"/>
    <n v="0"/>
    <n v="0"/>
    <n v="-3.096361891764019"/>
    <n v="-0.36816905830180779"/>
    <n v="0"/>
    <n v="0"/>
    <m/>
    <m/>
    <m/>
    <n v="1547.9834146043531"/>
    <n v="0"/>
    <n v="0"/>
    <n v="-248.12522000000035"/>
    <n v="232.61065999999983"/>
    <n v="0"/>
    <n v="0"/>
    <n v="-384.54533795875113"/>
    <n v="0"/>
    <n v="0"/>
    <n v="0"/>
    <n v="0"/>
    <n v="0"/>
    <n v="0"/>
    <n v="0"/>
    <n v="0"/>
    <n v="0"/>
    <n v="0"/>
    <n v="0"/>
    <n v="0"/>
    <n v="169.340798869065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0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58"/>
    <n v="56.7"/>
    <n v="4049.93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11"/>
    <s v="Regular"/>
    <s v="Branca"/>
    <s v="B3"/>
    <s v="Comercial"/>
    <s v="Não se aplica"/>
    <s v="Não se aplica"/>
    <s v="Não se aplica"/>
    <s v="Intermediário"/>
    <s v="CATIVO"/>
    <x v="4"/>
    <n v="0"/>
    <n v="0"/>
    <n v="0.51800000000000002"/>
    <n v="0.51800000000000002"/>
    <n v="0.51800000000000002"/>
    <n v="0.51800000000000002"/>
    <m/>
    <n v="970.82"/>
    <n v="173.25"/>
    <m/>
    <n v="592.62826000000007"/>
    <n v="592.62826000000007"/>
    <n v="569.34933999999998"/>
    <n v="0"/>
    <n v="31.880404897273866"/>
    <n v="0"/>
    <n v="0"/>
    <n v="33.70602567252871"/>
    <n v="2.3308841092804391"/>
    <n v="223.27501617404053"/>
    <n v="88.236363763192131"/>
    <n v="1.5059469688203677"/>
    <n v="0"/>
    <n v="0"/>
    <n v="0"/>
    <n v="0"/>
    <n v="4.9256776836545626"/>
    <m/>
    <n v="0.62566977803988888"/>
    <n v="98.074172235052671"/>
    <n v="95.293174164939302"/>
    <n v="0"/>
    <n v="0"/>
    <n v="0"/>
    <n v="0"/>
    <n v="0"/>
    <n v="0"/>
    <n v="0"/>
    <n v="0"/>
    <n v="0"/>
    <n v="0"/>
    <m/>
    <n v="0"/>
    <n v="0"/>
    <n v="0"/>
    <n v="0"/>
    <n v="0"/>
    <n v="4.6308121653686376"/>
    <n v="0"/>
    <n v="0"/>
    <n v="0"/>
    <n v="0"/>
    <n v="0"/>
    <m/>
    <m/>
    <m/>
    <m/>
    <m/>
    <m/>
    <m/>
    <m/>
    <m/>
    <n v="92.867175928560769"/>
    <m/>
    <m/>
    <m/>
    <m/>
    <m/>
    <m/>
    <m/>
    <m/>
    <m/>
    <m/>
    <m/>
    <m/>
    <n v="571.54759999999999"/>
    <n v="-21.110660000000053"/>
    <m/>
    <m/>
    <m/>
    <m/>
    <n v="-34.462540000000047"/>
    <n v="11.183620000000001"/>
    <n v="30"/>
    <n v="32.188781922797432"/>
    <n v="9.7728816353069874"/>
    <n v="9.4957611218434579"/>
    <n v="0"/>
    <n v="0"/>
    <n v="0"/>
    <n v="0"/>
    <n v="0"/>
    <n v="2.400038324304492"/>
    <n v="0"/>
    <n v="0"/>
    <n v="11.182357304629178"/>
    <n v="0"/>
    <n v="0"/>
    <n v="0"/>
    <n v="0.58687137632680475"/>
    <n v="0"/>
    <n v="-1.0825576677058422"/>
    <m/>
    <n v="0"/>
    <n v="0"/>
    <n v="0"/>
    <n v="0"/>
    <n v="-0.14886907925874926"/>
    <n v="-1.7701092649000993E-2"/>
    <n v="0"/>
    <n v="0"/>
    <m/>
    <m/>
    <m/>
    <n v="223.27501617404053"/>
    <n v="0"/>
    <n v="0"/>
    <n v="-34.462540000000047"/>
    <n v="11.183620000000005"/>
    <n v="0"/>
    <n v="0"/>
    <n v="-55.465301334857656"/>
    <n v="0"/>
    <n v="0"/>
    <n v="0"/>
    <n v="0"/>
    <n v="0"/>
    <n v="0"/>
    <n v="0"/>
    <n v="0"/>
    <n v="0"/>
    <n v="0"/>
    <n v="0"/>
    <n v="0"/>
    <n v="8.14168682143826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2"/>
    <s v="Regular"/>
    <s v="Convencional"/>
    <s v="B2"/>
    <s v="Rural"/>
    <s v="Não se aplica"/>
    <s v="Não se aplica"/>
    <s v="Não se aplica"/>
    <s v="Não se aplica"/>
    <s v="CATIVO"/>
    <x v="4"/>
    <n v="0"/>
    <n v="0"/>
    <n v="6279.9570000000003"/>
    <n v="6279.9570000000003"/>
    <n v="6279.9570000000003"/>
    <n v="6279.9570000000003"/>
    <m/>
    <n v="368.24"/>
    <n v="173.25"/>
    <m/>
    <n v="3400533.9159300001"/>
    <n v="3400533.9159300001"/>
    <n v="3195807.3177300002"/>
    <n v="0"/>
    <n v="386501.10404916853"/>
    <n v="0"/>
    <n v="0"/>
    <n v="16073.78459134486"/>
    <n v="15443.302638295097"/>
    <n v="1479162.8962890001"/>
    <n v="1069730.8306355306"/>
    <n v="18257.301560757238"/>
    <n v="0"/>
    <n v="0"/>
    <n v="0"/>
    <n v="0"/>
    <n v="59716.301253301652"/>
    <m/>
    <n v="7585.2882283591634"/>
    <n v="34121.490403834126"/>
    <n v="159103.47591319718"/>
    <n v="0"/>
    <n v="0"/>
    <n v="0"/>
    <n v="0"/>
    <n v="0"/>
    <n v="0"/>
    <n v="0"/>
    <n v="0"/>
    <n v="0"/>
    <n v="0"/>
    <m/>
    <n v="0"/>
    <n v="0"/>
    <n v="0"/>
    <n v="0"/>
    <n v="0"/>
    <n v="56141.508250177481"/>
    <n v="0"/>
    <n v="2537.25"/>
    <n v="22359.96"/>
    <n v="197256.7"/>
    <n v="15780"/>
    <m/>
    <m/>
    <m/>
    <m/>
    <m/>
    <n v="383454.17442000005"/>
    <m/>
    <m/>
    <m/>
    <n v="1125872.338885708"/>
    <m/>
    <m/>
    <m/>
    <m/>
    <m/>
    <m/>
    <m/>
    <m/>
    <m/>
    <m/>
    <m/>
    <m/>
    <n v="2812354.4868000001"/>
    <n v="-180107.85326999985"/>
    <m/>
    <m/>
    <m/>
    <m/>
    <n v="-340310.86982999998"/>
    <n v="135584.27163000003"/>
    <n v="30"/>
    <n v="162696.05727020185"/>
    <n v="3400.1335860140462"/>
    <n v="15854.321300199052"/>
    <n v="0"/>
    <n v="0"/>
    <n v="0"/>
    <n v="0"/>
    <n v="0"/>
    <n v="15901.484779173761"/>
    <n v="0"/>
    <n v="0"/>
    <n v="135568.96338167391"/>
    <n v="0"/>
    <n v="0"/>
    <n v="0"/>
    <n v="7114.9170035968127"/>
    <n v="0"/>
    <n v="-13124.354446357116"/>
    <m/>
    <n v="0"/>
    <n v="0"/>
    <n v="0"/>
    <n v="0"/>
    <n v="-1804.8096841207225"/>
    <n v="-214.59864997826662"/>
    <n v="0"/>
    <n v="0"/>
    <m/>
    <m/>
    <m/>
    <n v="1479162.8962890001"/>
    <n v="0"/>
    <n v="0"/>
    <n v="-340310.86983000021"/>
    <n v="135584.27163000009"/>
    <n v="0"/>
    <n v="0"/>
    <n v="-367449.15383662912"/>
    <n v="0"/>
    <n v="0"/>
    <n v="0"/>
    <n v="0"/>
    <n v="0"/>
    <n v="0"/>
    <n v="0"/>
    <n v="0"/>
    <n v="0"/>
    <n v="0"/>
    <n v="0"/>
    <n v="0"/>
    <n v="98705.48869903280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3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0.09"/>
    <n v="-0.09"/>
    <n v="-0.09"/>
    <n v="-0.09"/>
    <m/>
    <n v="368.24"/>
    <n v="173.25"/>
    <m/>
    <n v="-48.734099999999998"/>
    <n v="-48.734099999999998"/>
    <n v="-45.8001"/>
    <n v="0"/>
    <n v="-5.5390664879433356"/>
    <n v="0"/>
    <n v="0"/>
    <n v="-0.2303583628392738"/>
    <n v="-0.22132273158025742"/>
    <n v="-21.198339521434619"/>
    <n v="-15.330642352678169"/>
    <n v="-0.26165101774871252"/>
    <n v="0"/>
    <n v="0"/>
    <n v="0"/>
    <n v="0"/>
    <n v="-0.85581272495928684"/>
    <m/>
    <n v="-0.10870710429264478"/>
    <n v="-0.48900559929710846"/>
    <n v="-2.280160968011046"/>
    <n v="0"/>
    <n v="0"/>
    <n v="0"/>
    <n v="0"/>
    <n v="0"/>
    <n v="0"/>
    <n v="0"/>
    <n v="0"/>
    <n v="0"/>
    <n v="0"/>
    <m/>
    <n v="0"/>
    <n v="0"/>
    <n v="0"/>
    <n v="0"/>
    <n v="0"/>
    <n v="-0.80458126425323817"/>
    <n v="0"/>
    <n v="-0.02"/>
    <n v="-0.28999999999999998"/>
    <n v="-7.69"/>
    <n v="0"/>
    <m/>
    <m/>
    <m/>
    <m/>
    <m/>
    <n v="-5.4954000000000001"/>
    <m/>
    <m/>
    <m/>
    <n v="-16.135223616931405"/>
    <m/>
    <m/>
    <m/>
    <m/>
    <m/>
    <m/>
    <m/>
    <m/>
    <m/>
    <m/>
    <m/>
    <m/>
    <n v="-40.304699999999997"/>
    <n v="2.5512000000000015"/>
    <m/>
    <m/>
    <m/>
    <m/>
    <n v="4.8770999999999995"/>
    <n v="-1.9431000000000003"/>
    <n v="30"/>
    <n v="-2.3316473591010478"/>
    <n v="-4.8728362748544918E-2"/>
    <n v="-0.227213166749058"/>
    <n v="0"/>
    <n v="0"/>
    <n v="0"/>
    <n v="0"/>
    <n v="0"/>
    <n v="-0.2278890811076634"/>
    <n v="0"/>
    <n v="0"/>
    <n v="-1.9428806127734113"/>
    <n v="0"/>
    <n v="0"/>
    <n v="0"/>
    <n v="-0.10196606924596985"/>
    <n v="0"/>
    <n v="0.18808917006472203"/>
    <m/>
    <n v="0"/>
    <n v="0"/>
    <n v="0"/>
    <n v="0"/>
    <n v="2.5865284041095338E-2"/>
    <n v="3.0754794177800943E-3"/>
    <n v="0"/>
    <n v="0"/>
    <m/>
    <m/>
    <m/>
    <n v="-21.198339521434619"/>
    <n v="0"/>
    <n v="0"/>
    <n v="4.8770999999999951"/>
    <n v="-1.9430999999999994"/>
    <n v="0"/>
    <n v="0"/>
    <n v="5.2660271153602807"/>
    <n v="0"/>
    <n v="0"/>
    <n v="0"/>
    <n v="0"/>
    <n v="0"/>
    <n v="0"/>
    <n v="0"/>
    <n v="0"/>
    <n v="0"/>
    <n v="0"/>
    <n v="0"/>
    <n v="0"/>
    <n v="-1.41457879136958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4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120.291"/>
    <n v="120.291"/>
    <n v="120.291"/>
    <n v="120.291"/>
    <m/>
    <n v="368.24"/>
    <n v="173.25"/>
    <m/>
    <n v="65136.373590000003"/>
    <n v="65136.373590000003"/>
    <n v="61214.886989999999"/>
    <n v="0"/>
    <n v="7403.3316322354649"/>
    <n v="0"/>
    <n v="0"/>
    <n v="307.88930915887869"/>
    <n v="295.81258560578607"/>
    <n v="28332.993993032134"/>
    <n v="20490.425547177885"/>
    <n v="349.71402862233754"/>
    <n v="0"/>
    <n v="0"/>
    <n v="0"/>
    <n v="0"/>
    <n v="1143.8507610897509"/>
    <m/>
    <n v="145.29429202740593"/>
    <n v="653.58858383387189"/>
    <n v="3047.5871444779636"/>
    <n v="0"/>
    <n v="0"/>
    <n v="0"/>
    <n v="0"/>
    <n v="0"/>
    <n v="0"/>
    <n v="0"/>
    <n v="0"/>
    <n v="0"/>
    <n v="0"/>
    <m/>
    <n v="0"/>
    <n v="0"/>
    <n v="0"/>
    <n v="0"/>
    <n v="0"/>
    <n v="1075.376498425403"/>
    <n v="0"/>
    <n v="50.08"/>
    <n v="433.34"/>
    <n v="2499.11"/>
    <n v="236"/>
    <m/>
    <m/>
    <m/>
    <m/>
    <m/>
    <n v="7344.9684600000001"/>
    <m/>
    <m/>
    <m/>
    <n v="21565.80204560329"/>
    <m/>
    <m/>
    <m/>
    <m/>
    <m/>
    <m/>
    <m/>
    <m/>
    <m/>
    <m/>
    <m/>
    <m/>
    <n v="53869.470700000005"/>
    <n v="-3450.4237099999955"/>
    <m/>
    <m/>
    <m/>
    <m/>
    <n v="-6518.5692899999995"/>
    <n v="2597.0826900000002"/>
    <n v="30"/>
    <n v="3116.4021385958258"/>
    <n v="65.128705370946932"/>
    <n v="303.68554490456609"/>
    <n v="0"/>
    <n v="0"/>
    <n v="0"/>
    <n v="0"/>
    <n v="0"/>
    <n v="304.58894950579935"/>
    <n v="0"/>
    <n v="0"/>
    <n v="2596.7894643458458"/>
    <n v="0"/>
    <n v="0"/>
    <n v="0"/>
    <n v="136.28444928518843"/>
    <n v="0"/>
    <n v="-251.39371506950556"/>
    <m/>
    <n v="0"/>
    <n v="0"/>
    <n v="0"/>
    <n v="0"/>
    <n v="-34.570676473193316"/>
    <n v="-4.1105832738242896"/>
    <n v="0"/>
    <n v="0"/>
    <m/>
    <m/>
    <m/>
    <n v="28332.993993032134"/>
    <n v="0"/>
    <n v="0"/>
    <n v="-6518.5692899999995"/>
    <n v="2597.0826899999993"/>
    <n v="0"/>
    <n v="0"/>
    <n v="-7038.3963081533766"/>
    <n v="0"/>
    <n v="0"/>
    <n v="0"/>
    <n v="0"/>
    <n v="0"/>
    <n v="0"/>
    <n v="0"/>
    <n v="0"/>
    <n v="0"/>
    <n v="0"/>
    <n v="0"/>
    <n v="0"/>
    <n v="1890.678859918205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5"/>
    <s v="Regular"/>
    <s v="Verde"/>
    <s v="A4"/>
    <s v="Rural"/>
    <s v="Não se aplica"/>
    <s v="Não se aplica"/>
    <s v="Não se aplica"/>
    <s v="Ponta"/>
    <s v="CATIVO"/>
    <x v="4"/>
    <n v="0"/>
    <n v="0"/>
    <n v="5.5190000000000001"/>
    <n v="5.2982399999999998"/>
    <n v="5.5190000000000001"/>
    <n v="5.2982399999999998"/>
    <m/>
    <n v="1358.36"/>
    <n v="173.25"/>
    <m/>
    <n v="8452.9555899999996"/>
    <n v="8452.9555899999996"/>
    <n v="7411.5754799999995"/>
    <n v="0"/>
    <n v="295.51104348727273"/>
    <n v="0"/>
    <n v="0"/>
    <n v="104.54138552383036"/>
    <n v="100.44113917450258"/>
    <n v="5565.9540890211865"/>
    <n v="940.10905716034245"/>
    <n v="16.045021855057161"/>
    <n v="0"/>
    <n v="0"/>
    <n v="0"/>
    <n v="0"/>
    <n v="52.480338100558939"/>
    <m/>
    <n v="4.4196915130626317"/>
    <n v="221.92352768531941"/>
    <n v="1034.7909824043015"/>
    <n v="0"/>
    <n v="0"/>
    <n v="0"/>
    <n v="0"/>
    <n v="0"/>
    <n v="0"/>
    <n v="0"/>
    <n v="0"/>
    <n v="0"/>
    <n v="0"/>
    <m/>
    <n v="0"/>
    <n v="0"/>
    <n v="0"/>
    <n v="0"/>
    <n v="0"/>
    <n v="41.274705681605255"/>
    <n v="0"/>
    <n v="0"/>
    <n v="0"/>
    <n v="0"/>
    <n v="0"/>
    <m/>
    <m/>
    <m/>
    <m/>
    <m/>
    <n v="296.46301920000036"/>
    <m/>
    <m/>
    <m/>
    <n v="981.38376284194771"/>
    <m/>
    <m/>
    <m/>
    <m/>
    <m/>
    <m/>
    <m/>
    <m/>
    <m/>
    <m/>
    <m/>
    <m/>
    <n v="7117.4759999999997"/>
    <n v="-997.39136640000015"/>
    <m/>
    <m/>
    <m/>
    <m/>
    <n v="-1160.53532"/>
    <n v="119.15521000000003"/>
    <n v="30"/>
    <n v="341.27680859790917"/>
    <n v="22.114205185034137"/>
    <n v="103.11470959023654"/>
    <n v="0"/>
    <n v="0"/>
    <n v="0"/>
    <n v="0"/>
    <n v="0"/>
    <n v="103.42109347942875"/>
    <n v="0"/>
    <n v="0"/>
    <n v="119.14175668773828"/>
    <n v="0"/>
    <n v="0"/>
    <n v="0"/>
    <n v="5.2308196631245352"/>
    <n v="0"/>
    <n v="-10.034619919342731"/>
    <m/>
    <n v="0"/>
    <n v="0"/>
    <n v="0"/>
    <n v="0"/>
    <n v="-1.586116695808947"/>
    <n v="-0.12503939250161444"/>
    <n v="0"/>
    <n v="0"/>
    <m/>
    <m/>
    <m/>
    <n v="5565.9540890211865"/>
    <n v="0"/>
    <n v="0"/>
    <n v="-1160.53532"/>
    <n v="119.15521000000001"/>
    <n v="0"/>
    <n v="0"/>
    <n v="-1382.6774085771558"/>
    <n v="0"/>
    <n v="0"/>
    <n v="0"/>
    <n v="0"/>
    <n v="0"/>
    <n v="0"/>
    <n v="0"/>
    <n v="0"/>
    <n v="0"/>
    <n v="0"/>
    <n v="0"/>
    <n v="0"/>
    <n v="75.4682500458312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6"/>
    <s v="Regular"/>
    <s v="Verde"/>
    <s v="A4"/>
    <s v="Rural"/>
    <s v="Não se aplica"/>
    <s v="Não se aplica"/>
    <s v="Não se aplica"/>
    <s v="Fora ponta"/>
    <s v="CATIVO"/>
    <x v="4"/>
    <n v="0"/>
    <n v="0"/>
    <n v="75.811999999999998"/>
    <n v="72.779520000000005"/>
    <n v="75.811999999999998"/>
    <n v="72.779520000000005"/>
    <m/>
    <n v="85.01"/>
    <n v="173.25"/>
    <m/>
    <n v="19579.207119999999"/>
    <n v="19579.207119999999"/>
    <n v="21126.530039999998"/>
    <n v="0"/>
    <n v="4059.3011829782781"/>
    <n v="0"/>
    <n v="0"/>
    <n v="0"/>
    <n v="0"/>
    <n v="0"/>
    <n v="12913.851756013748"/>
    <n v="220.40318841739327"/>
    <n v="0"/>
    <n v="0"/>
    <n v="0"/>
    <n v="0"/>
    <n v="720.89860338459391"/>
    <m/>
    <n v="60.71129787793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6.97191287078408"/>
    <n v="0"/>
    <n v="0"/>
    <n v="0"/>
    <n v="0"/>
    <n v="0"/>
    <m/>
    <m/>
    <m/>
    <m/>
    <m/>
    <n v="845.06120159999796"/>
    <m/>
    <m/>
    <m/>
    <n v="13480.823668884532"/>
    <m/>
    <m/>
    <m/>
    <m/>
    <m/>
    <m/>
    <m/>
    <m/>
    <m/>
    <m/>
    <m/>
    <m/>
    <n v="20281.602599999998"/>
    <n v="1485.5337647999986"/>
    <m/>
    <m/>
    <m/>
    <m/>
    <n v="-89.458160000000518"/>
    <n v="1636.7810800000002"/>
    <n v="30"/>
    <n v="1547.1032773363695"/>
    <n v="0"/>
    <n v="0"/>
    <n v="0"/>
    <n v="0"/>
    <n v="0"/>
    <n v="0"/>
    <n v="0"/>
    <n v="0"/>
    <n v="0"/>
    <n v="0"/>
    <n v="1636.5962779508645"/>
    <n v="0"/>
    <n v="0"/>
    <n v="0"/>
    <n v="71.853397409095351"/>
    <n v="0"/>
    <n v="-137.84102288914846"/>
    <m/>
    <n v="0"/>
    <n v="0"/>
    <n v="0"/>
    <n v="0"/>
    <n v="-21.787765708039046"/>
    <n v="-1.7176094264055806"/>
    <n v="0"/>
    <n v="0"/>
    <m/>
    <m/>
    <m/>
    <n v="0"/>
    <n v="0"/>
    <n v="0"/>
    <n v="-89.458160000000134"/>
    <n v="1636.7810799999988"/>
    <n v="0"/>
    <n v="0"/>
    <n v="0"/>
    <n v="0"/>
    <n v="0"/>
    <n v="0"/>
    <n v="0"/>
    <n v="0"/>
    <n v="0"/>
    <n v="0"/>
    <n v="0"/>
    <n v="0"/>
    <n v="0"/>
    <n v="0"/>
    <n v="0"/>
    <n v="1036.67312420267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7"/>
    <s v="Sistema de Compensação"/>
    <s v="Verde"/>
    <s v="A4"/>
    <s v="Rural"/>
    <s v="Não se aplica"/>
    <s v="Não se aplica"/>
    <s v="Não se aplica"/>
    <s v="Fora ponta"/>
    <s v="CATIVO"/>
    <x v="4"/>
    <n v="0"/>
    <n v="0"/>
    <n v="38.777999999999999"/>
    <n v="37.226879999999994"/>
    <n v="38.777999999999999"/>
    <n v="37.226879999999994"/>
    <m/>
    <n v="85.01"/>
    <n v="173.25"/>
    <m/>
    <n v="10014.806280000001"/>
    <n v="10014.806280000001"/>
    <n v="10806.26526"/>
    <n v="0"/>
    <n v="2076.3412292715093"/>
    <n v="0"/>
    <n v="0"/>
    <n v="0"/>
    <n v="0"/>
    <n v="0"/>
    <n v="6605.4627683572671"/>
    <n v="112.7367018473286"/>
    <n v="0"/>
    <n v="0"/>
    <n v="0"/>
    <n v="0"/>
    <n v="368.74117609412474"/>
    <m/>
    <n v="31.053958596402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0.00734497577253"/>
    <n v="0"/>
    <n v="0"/>
    <n v="0"/>
    <n v="0"/>
    <n v="0"/>
    <m/>
    <m/>
    <m/>
    <m/>
    <m/>
    <n v="432.25061040000128"/>
    <m/>
    <m/>
    <m/>
    <n v="6895.47011333304"/>
    <m/>
    <m/>
    <m/>
    <m/>
    <m/>
    <m/>
    <m/>
    <m/>
    <m/>
    <m/>
    <m/>
    <m/>
    <n v="10374.884099999999"/>
    <n v="760.64007119999951"/>
    <m/>
    <m/>
    <m/>
    <m/>
    <n v="-45.758040000000264"/>
    <n v="837.21702000000005"/>
    <n v="30"/>
    <n v="791.34663230820479"/>
    <n v="0"/>
    <n v="0"/>
    <n v="0"/>
    <n v="0"/>
    <n v="0"/>
    <n v="0"/>
    <n v="0"/>
    <n v="0"/>
    <n v="0"/>
    <n v="0"/>
    <n v="837.12249335697015"/>
    <n v="0"/>
    <n v="0"/>
    <n v="0"/>
    <n v="36.75316631575339"/>
    <n v="0"/>
    <n v="-70.505977755439517"/>
    <m/>
    <n v="0"/>
    <n v="0"/>
    <n v="0"/>
    <n v="0"/>
    <n v="-11.144488717173317"/>
    <n v="-0.87856089190570685"/>
    <n v="0"/>
    <n v="0"/>
    <m/>
    <m/>
    <m/>
    <n v="0"/>
    <n v="0"/>
    <n v="0"/>
    <n v="-45.758040000000165"/>
    <n v="837.21702000000005"/>
    <n v="0"/>
    <n v="0"/>
    <n v="0"/>
    <n v="0"/>
    <n v="0"/>
    <n v="0"/>
    <n v="0"/>
    <n v="0"/>
    <n v="0"/>
    <n v="0"/>
    <n v="0"/>
    <n v="0"/>
    <n v="0"/>
    <n v="0"/>
    <n v="0"/>
    <n v="530.260518260054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18"/>
    <s v="Regular"/>
    <s v="Verde"/>
    <s v="A4"/>
    <s v="Rural"/>
    <s v="Não se aplica"/>
    <s v="Não se aplica"/>
    <s v="Não se aplica"/>
    <s v="Não se aplica"/>
    <s v="CATIVO"/>
    <x v="4"/>
    <n v="651"/>
    <n v="624.96"/>
    <n v="0"/>
    <n v="0"/>
    <n v="0"/>
    <n v="0"/>
    <n v="27.19"/>
    <m/>
    <m/>
    <n v="17700.690000000002"/>
    <m/>
    <n v="17700.690000000002"/>
    <n v="14165.76"/>
    <n v="0"/>
    <n v="0"/>
    <n v="0"/>
    <n v="0"/>
    <n v="151.81359934134417"/>
    <n v="145.84668043014602"/>
    <n v="15579.751688296834"/>
    <m/>
    <m/>
    <m/>
    <n v="0"/>
    <n v="0"/>
    <n v="0"/>
    <n v="0"/>
    <m/>
    <n v="0"/>
    <n v="322.17002503989204"/>
    <n v="1502.5658368004802"/>
    <n v="0"/>
    <n v="0"/>
    <m/>
    <m/>
    <n v="0"/>
    <n v="0"/>
    <n v="0"/>
    <m/>
    <m/>
    <n v="0"/>
    <m/>
    <n v="0"/>
    <n v="0"/>
    <n v="0"/>
    <n v="0"/>
    <m/>
    <n v="0"/>
    <n v="0"/>
    <n v="37.01"/>
    <n v="317.39"/>
    <n v="27.45"/>
    <n v="4"/>
    <m/>
    <m/>
    <m/>
    <m/>
    <m/>
    <n v="566.63039999999921"/>
    <m/>
    <m/>
    <m/>
    <n v="0"/>
    <m/>
    <m/>
    <m/>
    <m/>
    <m/>
    <m/>
    <m/>
    <m/>
    <m/>
    <m/>
    <m/>
    <m/>
    <n v="13599.129600000002"/>
    <n v="-3393.5627999999942"/>
    <m/>
    <m/>
    <m/>
    <m/>
    <n v="-3534.93"/>
    <n v="0"/>
    <n v="30"/>
    <n v="332.00478479903177"/>
    <n v="32.103554375281021"/>
    <n v="149.72747398890147"/>
    <n v="0"/>
    <n v="0"/>
    <m/>
    <m/>
    <m/>
    <n v="150.173756434849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79.751688296834"/>
    <m/>
    <n v="0"/>
    <n v="0"/>
    <n v="-3534.9300000000021"/>
    <m/>
    <n v="0"/>
    <m/>
    <n v="-3870.274591941140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19"/>
    <s v="Sistema de Compensação"/>
    <s v="Verde"/>
    <s v="A4"/>
    <s v="Rural"/>
    <s v="Não se aplica"/>
    <s v="Não se aplica"/>
    <s v="Não se aplica"/>
    <s v="Não se aplica"/>
    <s v="CATIVO"/>
    <x v="4"/>
    <n v="147"/>
    <n v="141.12"/>
    <n v="0"/>
    <n v="0"/>
    <n v="0"/>
    <n v="0"/>
    <n v="27.19"/>
    <m/>
    <m/>
    <n v="3996.9300000000003"/>
    <m/>
    <n v="3996.9300000000003"/>
    <n v="3198.7200000000003"/>
    <n v="0"/>
    <n v="0"/>
    <n v="0"/>
    <n v="0"/>
    <n v="34.280490173851909"/>
    <n v="32.933121387452331"/>
    <n v="3518.0084457444464"/>
    <m/>
    <m/>
    <m/>
    <n v="0"/>
    <n v="0"/>
    <n v="0"/>
    <n v="0"/>
    <m/>
    <n v="0"/>
    <n v="72.748070170298206"/>
    <n v="339.28905992268903"/>
    <n v="0"/>
    <n v="0"/>
    <m/>
    <m/>
    <n v="0"/>
    <n v="0"/>
    <n v="0"/>
    <m/>
    <m/>
    <n v="0"/>
    <m/>
    <n v="0"/>
    <n v="0"/>
    <n v="0"/>
    <n v="0"/>
    <m/>
    <n v="0"/>
    <n v="0"/>
    <n v="14.12"/>
    <n v="121.03"/>
    <n v="5.76"/>
    <n v="1"/>
    <m/>
    <m/>
    <m/>
    <m/>
    <m/>
    <n v="127.94879999999991"/>
    <m/>
    <m/>
    <m/>
    <n v="0"/>
    <m/>
    <m/>
    <m/>
    <m/>
    <m/>
    <m/>
    <m/>
    <m/>
    <m/>
    <m/>
    <m/>
    <m/>
    <n v="3070.7712000000001"/>
    <n v="-766.31160000000091"/>
    <m/>
    <m/>
    <m/>
    <m/>
    <n v="-798.20999999999992"/>
    <n v="0"/>
    <n v="30"/>
    <n v="74.968822373974945"/>
    <n v="7.2491896976440984"/>
    <n v="33.809429610397103"/>
    <n v="0"/>
    <n v="0"/>
    <m/>
    <m/>
    <m/>
    <n v="33.9102030659336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18.0084457444464"/>
    <m/>
    <n v="0"/>
    <n v="0"/>
    <n v="-798.21"/>
    <m/>
    <n v="0"/>
    <m/>
    <n v="-873.9329723738060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20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464.92"/>
    <n v="464.92"/>
    <n v="464.92"/>
    <n v="464.92"/>
    <m/>
    <n v="368.24"/>
    <n v="173.25"/>
    <m/>
    <n v="251749.53080000001"/>
    <n v="251749.53080000001"/>
    <n v="236593.13880000002"/>
    <n v="0"/>
    <n v="28613.586573051289"/>
    <n v="0"/>
    <n v="0"/>
    <n v="1189.9801116803908"/>
    <n v="1143.3040485143697"/>
    <n v="109505.91122561539"/>
    <n v="79194.691584523724"/>
    <n v="1351.631013019238"/>
    <n v="0"/>
    <n v="0"/>
    <n v="0"/>
    <n v="0"/>
    <n v="4420.9383565341295"/>
    <m/>
    <n v="561.55674364151571"/>
    <n v="2526.0942580579076"/>
    <n v="11778.804858307729"/>
    <n v="0"/>
    <n v="0"/>
    <n v="0"/>
    <n v="0"/>
    <n v="0"/>
    <n v="0"/>
    <n v="0"/>
    <n v="0"/>
    <n v="0"/>
    <n v="0"/>
    <m/>
    <n v="0"/>
    <n v="0"/>
    <n v="0"/>
    <n v="0"/>
    <n v="0"/>
    <n v="4156.2880152957277"/>
    <n v="0"/>
    <n v="210.35"/>
    <n v="1827.82"/>
    <n v="116604.85"/>
    <n v="584"/>
    <m/>
    <m/>
    <m/>
    <m/>
    <m/>
    <m/>
    <m/>
    <m/>
    <m/>
    <n v="83350.979599819446"/>
    <m/>
    <m/>
    <m/>
    <m/>
    <m/>
    <m/>
    <m/>
    <m/>
    <m/>
    <m/>
    <m/>
    <m/>
    <n v="236593.13880000002"/>
    <n v="-15156.42200000002"/>
    <m/>
    <m/>
    <m/>
    <m/>
    <n v="-25194.014800000001"/>
    <n v="10037.622800000003"/>
    <n v="30"/>
    <n v="12044.772113258427"/>
    <n v="251.71989343392761"/>
    <n v="1173.7327276108008"/>
    <n v="0"/>
    <n v="0"/>
    <n v="0"/>
    <n v="0"/>
    <n v="0"/>
    <n v="1177.2243509841655"/>
    <n v="0"/>
    <n v="0"/>
    <n v="10036.489494340145"/>
    <n v="0"/>
    <n v="0"/>
    <n v="0"/>
    <n v="526.7340545981815"/>
    <n v="0"/>
    <n v="-971.62685496101039"/>
    <m/>
    <n v="0"/>
    <n v="0"/>
    <n v="0"/>
    <n v="0"/>
    <n v="-133.61430951540024"/>
    <n v="-15.887243232381252"/>
    <n v="0"/>
    <n v="0"/>
    <m/>
    <m/>
    <m/>
    <n v="109505.91122561539"/>
    <n v="0"/>
    <n v="0"/>
    <n v="-25194.014800000004"/>
    <n v="10037.622800000012"/>
    <n v="0"/>
    <n v="0"/>
    <n v="-27203.12584970337"/>
    <n v="0"/>
    <n v="0"/>
    <n v="0"/>
    <n v="0"/>
    <n v="0"/>
    <n v="0"/>
    <n v="0"/>
    <n v="0"/>
    <n v="0"/>
    <n v="0"/>
    <n v="0"/>
    <n v="0"/>
    <n v="7307.399685372739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21"/>
    <s v="Sistema de Compensação"/>
    <s v="Convencional"/>
    <s v="B3"/>
    <s v="Poder público"/>
    <s v="Não se aplica"/>
    <s v="Não se aplica"/>
    <s v="Não se aplica"/>
    <s v="Não se aplica"/>
    <s v="CATIVO"/>
    <x v="4"/>
    <n v="0"/>
    <n v="0"/>
    <n v="1.4570000000000001"/>
    <n v="1.4570000000000001"/>
    <n v="1.4570000000000001"/>
    <n v="1.4570000000000001"/>
    <m/>
    <n v="368.24"/>
    <n v="173.25"/>
    <m/>
    <n v="788.95093000000008"/>
    <n v="788.95093000000008"/>
    <n v="741.45273000000009"/>
    <n v="0"/>
    <n v="89.671331921482675"/>
    <n v="0"/>
    <n v="0"/>
    <n v="3.7292459406313547"/>
    <n v="3.5829691101381673"/>
    <n v="343.17756314144714"/>
    <n v="248.18606564280105"/>
    <n v="4.2358392539986021"/>
    <n v="0"/>
    <n v="0"/>
    <n v="0"/>
    <n v="0"/>
    <n v="13.854657114063123"/>
    <m/>
    <n v="1.7598472328264829"/>
    <n v="7.9164573130654121"/>
    <n v="36.913272559912158"/>
    <n v="0"/>
    <n v="0"/>
    <n v="0"/>
    <n v="0"/>
    <n v="0"/>
    <n v="0"/>
    <n v="0"/>
    <n v="0"/>
    <n v="0"/>
    <n v="0"/>
    <m/>
    <n v="0"/>
    <n v="0"/>
    <n v="0"/>
    <n v="0"/>
    <n v="0"/>
    <n v="13.025276689077424"/>
    <n v="0"/>
    <n v="0.66"/>
    <n v="5.72"/>
    <n v="526.63"/>
    <n v="2"/>
    <m/>
    <m/>
    <m/>
    <m/>
    <m/>
    <m/>
    <m/>
    <m/>
    <m/>
    <n v="261.21134233187848"/>
    <m/>
    <m/>
    <m/>
    <m/>
    <m/>
    <m/>
    <m/>
    <m/>
    <m/>
    <m/>
    <m/>
    <m/>
    <n v="742.97940000000006"/>
    <n v="-46.001530000000002"/>
    <m/>
    <m/>
    <m/>
    <m/>
    <n v="-78.954830000000001"/>
    <n v="31.456630000000008"/>
    <n v="30"/>
    <n v="37.74678002455812"/>
    <n v="0.7888580502736664"/>
    <n v="3.6783287105930853"/>
    <n v="0"/>
    <n v="0"/>
    <n v="0"/>
    <n v="0"/>
    <n v="0"/>
    <n v="3.6892710130429514"/>
    <n v="0"/>
    <n v="0"/>
    <n v="31.453078364565101"/>
    <n v="0"/>
    <n v="0"/>
    <n v="0"/>
    <n v="1.6507173654597551"/>
    <n v="0"/>
    <n v="-3.0449546753811063"/>
    <m/>
    <n v="0"/>
    <n v="0"/>
    <n v="0"/>
    <n v="0"/>
    <n v="-0.41873020942084338"/>
    <n v="-4.9788594574506684E-2"/>
    <n v="0"/>
    <n v="0"/>
    <m/>
    <m/>
    <m/>
    <n v="343.17756314144714"/>
    <n v="0"/>
    <n v="0"/>
    <n v="-78.954830000000015"/>
    <n v="31.456630000000018"/>
    <n v="0"/>
    <n v="0"/>
    <n v="-85.251127856443645"/>
    <n v="0"/>
    <n v="0"/>
    <n v="0"/>
    <n v="0"/>
    <n v="0"/>
    <n v="0"/>
    <n v="0"/>
    <n v="0"/>
    <n v="0"/>
    <n v="0"/>
    <n v="0"/>
    <n v="0"/>
    <n v="22.90045887806091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22"/>
    <s v="Regular"/>
    <s v="Verde"/>
    <s v="A4"/>
    <s v="Poder público"/>
    <s v="Não se aplica"/>
    <s v="Não se aplica"/>
    <s v="Não se aplica"/>
    <s v="Ponta"/>
    <s v="CATIVO"/>
    <x v="4"/>
    <n v="0"/>
    <n v="0"/>
    <n v="4.0940000000000003"/>
    <n v="4.0940000000000003"/>
    <n v="4.0940000000000003"/>
    <n v="4.0940000000000003"/>
    <m/>
    <n v="1358.36"/>
    <n v="173.25"/>
    <m/>
    <n v="6270.4113399999997"/>
    <n v="6270.4113399999997"/>
    <n v="5497.9144800000004"/>
    <n v="0"/>
    <n v="219.21040261585333"/>
    <n v="0"/>
    <n v="0"/>
    <n v="77.548909645689704"/>
    <n v="74.507342594747882"/>
    <n v="4128.8305925806744"/>
    <n v="697.3738865762715"/>
    <n v="11.902214074035879"/>
    <n v="0"/>
    <n v="0"/>
    <n v="0"/>
    <n v="0"/>
    <n v="38.929969955370233"/>
    <m/>
    <n v="3.278531809110059"/>
    <n v="164.62310605973869"/>
    <n v="767.60903822489774"/>
    <n v="0"/>
    <n v="0"/>
    <n v="0"/>
    <n v="0"/>
    <n v="0"/>
    <n v="0"/>
    <n v="0"/>
    <n v="0"/>
    <n v="0"/>
    <n v="0"/>
    <m/>
    <n v="0"/>
    <n v="0"/>
    <n v="0"/>
    <n v="0"/>
    <n v="0"/>
    <n v="30.617620050822964"/>
    <n v="0"/>
    <n v="0"/>
    <n v="0"/>
    <n v="0"/>
    <n v="0"/>
    <m/>
    <m/>
    <m/>
    <m/>
    <m/>
    <m/>
    <m/>
    <m/>
    <m/>
    <n v="727.99150662709451"/>
    <m/>
    <m/>
    <m/>
    <m/>
    <m/>
    <m/>
    <m/>
    <m/>
    <m/>
    <m/>
    <m/>
    <m/>
    <n v="5492.5427999999993"/>
    <n v="-777.89854000000105"/>
    <m/>
    <m/>
    <m/>
    <m/>
    <n v="-860.88631999999996"/>
    <n v="88.389460000000014"/>
    <n v="30"/>
    <n v="253.15949527085331"/>
    <n v="16.404340646408713"/>
    <n v="76.490599938834634"/>
    <n v="0"/>
    <n v="0"/>
    <n v="0"/>
    <n v="0"/>
    <n v="0"/>
    <n v="76.717875829820883"/>
    <n v="0"/>
    <n v="0"/>
    <n v="88.379480318825927"/>
    <n v="0"/>
    <n v="0"/>
    <n v="0"/>
    <n v="3.8802275232527279"/>
    <n v="0"/>
    <n v="-7.4436916017012322"/>
    <m/>
    <n v="0"/>
    <n v="0"/>
    <n v="0"/>
    <n v="0"/>
    <n v="-1.17658303182494"/>
    <n v="-9.2754352763473324E-2"/>
    <n v="0"/>
    <n v="0"/>
    <m/>
    <m/>
    <m/>
    <n v="4128.8305925806744"/>
    <n v="0"/>
    <n v="0"/>
    <n v="-860.88631999999961"/>
    <n v="88.389459999999985"/>
    <n v="0"/>
    <n v="0"/>
    <n v="-1025.6715547589924"/>
    <n v="0"/>
    <n v="0"/>
    <n v="0"/>
    <n v="0"/>
    <n v="0"/>
    <n v="0"/>
    <n v="0"/>
    <n v="0"/>
    <n v="0"/>
    <n v="0"/>
    <n v="0"/>
    <n v="0"/>
    <n v="55.98242719471517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23"/>
    <s v="Sistema de Compensação"/>
    <s v="Verde"/>
    <s v="A4"/>
    <s v="Poder público"/>
    <s v="Não se aplica"/>
    <s v="Não se aplica"/>
    <s v="Não se aplica"/>
    <s v="Ponta"/>
    <s v="CATIVO"/>
    <x v="4"/>
    <n v="0"/>
    <n v="0"/>
    <n v="0.46800000000000003"/>
    <n v="0.46800000000000003"/>
    <n v="0.46800000000000003"/>
    <n v="0.46800000000000003"/>
    <m/>
    <n v="1358.36"/>
    <n v="173.25"/>
    <m/>
    <n v="716.79348000000005"/>
    <n v="716.79348000000005"/>
    <n v="628.48655999999994"/>
    <n v="0"/>
    <n v="25.058736791455633"/>
    <n v="0"/>
    <n v="0"/>
    <n v="8.8648973410314564"/>
    <n v="8.5172047714562797"/>
    <n v="471.98161146256848"/>
    <n v="79.719340233926488"/>
    <n v="1.3605852922933053"/>
    <n v="0"/>
    <n v="0"/>
    <n v="0"/>
    <n v="0"/>
    <n v="4.4502261697882917"/>
    <m/>
    <n v="0.37478087119284503"/>
    <n v="18.81866478650652"/>
    <n v="87.748175351551566"/>
    <n v="0"/>
    <n v="0"/>
    <n v="0"/>
    <n v="0"/>
    <n v="0"/>
    <n v="0"/>
    <n v="0"/>
    <n v="0"/>
    <n v="0"/>
    <n v="0"/>
    <m/>
    <n v="0"/>
    <n v="0"/>
    <n v="0"/>
    <n v="0"/>
    <n v="0"/>
    <n v="3.5000112808463961"/>
    <n v="0"/>
    <n v="0"/>
    <n v="0"/>
    <n v="0"/>
    <n v="0"/>
    <m/>
    <m/>
    <m/>
    <m/>
    <m/>
    <m/>
    <m/>
    <m/>
    <m/>
    <n v="83.219351514772882"/>
    <m/>
    <m/>
    <m/>
    <m/>
    <m/>
    <m/>
    <m/>
    <m/>
    <m/>
    <m/>
    <m/>
    <m/>
    <n v="631.17239999999993"/>
    <n v="-85.651080000000093"/>
    <m/>
    <m/>
    <m/>
    <m/>
    <n v="-98.41104"/>
    <n v="10.104120000000002"/>
    <n v="30"/>
    <n v="28.939580797938277"/>
    <n v="1.8752397221590833"/>
    <n v="8.7439181170919937"/>
    <n v="0"/>
    <n v="0"/>
    <n v="0"/>
    <n v="0"/>
    <n v="0"/>
    <n v="8.7698988491343837"/>
    <n v="0"/>
    <n v="0"/>
    <n v="10.102979186421734"/>
    <n v="0"/>
    <n v="0"/>
    <n v="0"/>
    <n v="0.44356289225263268"/>
    <n v="0"/>
    <n v="-0.85091540537278476"/>
    <m/>
    <n v="0"/>
    <n v="0"/>
    <n v="0"/>
    <n v="0"/>
    <n v="-0.13449947701369513"/>
    <n v="-1.0603086735052614E-2"/>
    <n v="0"/>
    <n v="0"/>
    <m/>
    <m/>
    <m/>
    <n v="471.98161146256848"/>
    <n v="0"/>
    <n v="0"/>
    <n v="-98.411040000000071"/>
    <n v="10.104120000000009"/>
    <n v="0"/>
    <n v="0"/>
    <n v="-117.24823830659705"/>
    <n v="0"/>
    <n v="0"/>
    <n v="0"/>
    <n v="0"/>
    <n v="0"/>
    <n v="0"/>
    <n v="0"/>
    <n v="0"/>
    <n v="0"/>
    <n v="0"/>
    <n v="0"/>
    <n v="0"/>
    <n v="6.399554452156008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24"/>
    <s v="Regular"/>
    <s v="Verde"/>
    <s v="A4"/>
    <s v="Poder público"/>
    <s v="Não se aplica"/>
    <s v="Não se aplica"/>
    <s v="Não se aplica"/>
    <s v="Fora ponta"/>
    <s v="CATIVO"/>
    <x v="4"/>
    <n v="0"/>
    <n v="0"/>
    <n v="30.768999999999998"/>
    <n v="30.768999999999998"/>
    <n v="30.768999999999998"/>
    <n v="30.768999999999998"/>
    <m/>
    <n v="85.01"/>
    <n v="173.25"/>
    <m/>
    <n v="7946.4019399999997"/>
    <n v="7946.4019399999997"/>
    <n v="8574.3972299999987"/>
    <n v="0"/>
    <n v="1647.5048554194407"/>
    <n v="0"/>
    <n v="0"/>
    <n v="0"/>
    <n v="0"/>
    <n v="0"/>
    <n v="5241.2059394394955"/>
    <n v="89.452668501223727"/>
    <n v="0"/>
    <n v="0"/>
    <n v="0"/>
    <n v="0"/>
    <n v="292.5833526030255"/>
    <m/>
    <n v="24.640240653274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.11078440248451"/>
    <n v="0"/>
    <n v="0"/>
    <n v="0"/>
    <n v="0"/>
    <n v="0"/>
    <m/>
    <m/>
    <m/>
    <m/>
    <m/>
    <m/>
    <m/>
    <m/>
    <m/>
    <n v="5471.3167238419801"/>
    <m/>
    <m/>
    <m/>
    <m/>
    <m/>
    <m/>
    <m/>
    <m/>
    <m/>
    <m/>
    <m/>
    <m/>
    <n v="8574.6759000000002"/>
    <n v="628.24395999999979"/>
    <m/>
    <m/>
    <m/>
    <m/>
    <n v="-36.307420000000207"/>
    <n v="664.30271000000005"/>
    <n v="30"/>
    <n v="627.90614599750188"/>
    <n v="0"/>
    <n v="0"/>
    <n v="0"/>
    <n v="0"/>
    <n v="0"/>
    <n v="0"/>
    <n v="0"/>
    <n v="0"/>
    <n v="0"/>
    <n v="0"/>
    <n v="664.2277063825004"/>
    <n v="0"/>
    <n v="0"/>
    <n v="0"/>
    <n v="29.162364597694989"/>
    <n v="0"/>
    <n v="-55.944051512639135"/>
    <m/>
    <n v="0"/>
    <n v="0"/>
    <n v="0"/>
    <n v="0"/>
    <n v="-8.8427658295606761"/>
    <n v="-0.6971076404932397"/>
    <n v="0"/>
    <n v="0"/>
    <m/>
    <m/>
    <m/>
    <n v="0"/>
    <n v="0"/>
    <n v="0"/>
    <n v="-36.307420000000093"/>
    <n v="664.30270999999993"/>
    <n v="0"/>
    <n v="0"/>
    <n v="0"/>
    <n v="0"/>
    <n v="0"/>
    <n v="0"/>
    <n v="0"/>
    <n v="0"/>
    <n v="0"/>
    <n v="0"/>
    <n v="0"/>
    <n v="0"/>
    <n v="0"/>
    <n v="0"/>
    <n v="0"/>
    <n v="420.7433567059576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25"/>
    <s v="Sistema de Compensação"/>
    <s v="Verde"/>
    <s v="A4"/>
    <s v="Poder público"/>
    <s v="Não se aplica"/>
    <s v="Não se aplica"/>
    <s v="Não se aplica"/>
    <s v="Fora ponta"/>
    <s v="CATIVO"/>
    <x v="4"/>
    <n v="0"/>
    <n v="0"/>
    <n v="0.53600000000000003"/>
    <n v="0.53600000000000003"/>
    <n v="0.53600000000000003"/>
    <n v="0.53600000000000003"/>
    <m/>
    <n v="85.01"/>
    <n v="173.25"/>
    <m/>
    <n v="138.42736000000002"/>
    <n v="138.42736000000002"/>
    <n v="149.36712"/>
    <n v="0"/>
    <n v="28.699749829530383"/>
    <n v="0"/>
    <n v="0"/>
    <n v="0"/>
    <n v="0"/>
    <n v="0"/>
    <n v="91.302492233727776"/>
    <n v="1.5582771723701103"/>
    <n v="0"/>
    <n v="0"/>
    <n v="0"/>
    <n v="0"/>
    <n v="5.0968402286464203"/>
    <m/>
    <n v="0.42923621145163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085599284907447"/>
    <n v="0"/>
    <n v="0"/>
    <n v="0"/>
    <n v="0"/>
    <n v="0"/>
    <m/>
    <m/>
    <m/>
    <m/>
    <m/>
    <m/>
    <m/>
    <m/>
    <m/>
    <n v="95.311052162218516"/>
    <m/>
    <m/>
    <m/>
    <m/>
    <m/>
    <m/>
    <m/>
    <m/>
    <m/>
    <m/>
    <m/>
    <m/>
    <n v="150.48180000000002"/>
    <n v="12.024440000000027"/>
    <m/>
    <m/>
    <m/>
    <m/>
    <n v="-0.63248000000000371"/>
    <n v="11.572240000000003"/>
    <n v="30"/>
    <n v="10.938207099829754"/>
    <n v="0"/>
    <n v="0"/>
    <n v="0"/>
    <n v="0"/>
    <n v="0"/>
    <n v="0"/>
    <n v="0"/>
    <n v="0"/>
    <n v="0"/>
    <n v="0"/>
    <n v="11.57093342718386"/>
    <n v="0"/>
    <n v="0"/>
    <n v="0"/>
    <n v="0.50801220138335701"/>
    <n v="0"/>
    <n v="-0.97455268649532556"/>
    <m/>
    <n v="0"/>
    <n v="0"/>
    <n v="0"/>
    <n v="0"/>
    <n v="-0.15404213606696793"/>
    <n v="-1.2143706175188507E-2"/>
    <n v="0"/>
    <n v="0"/>
    <m/>
    <m/>
    <m/>
    <n v="0"/>
    <n v="0"/>
    <n v="0"/>
    <n v="-0.63248000000000104"/>
    <n v="11.572239999999994"/>
    <n v="0"/>
    <n v="0"/>
    <n v="0"/>
    <n v="0"/>
    <n v="0"/>
    <n v="0"/>
    <n v="0"/>
    <n v="0"/>
    <n v="0"/>
    <n v="0"/>
    <n v="0"/>
    <n v="0"/>
    <n v="0"/>
    <n v="0"/>
    <n v="0"/>
    <n v="7.329404244349616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26"/>
    <s v="Regular"/>
    <s v="Verde"/>
    <s v="A4"/>
    <s v="Poder público"/>
    <s v="Não se aplica"/>
    <s v="Não se aplica"/>
    <s v="Não se aplica"/>
    <s v="Não se aplica"/>
    <s v="CATIVO"/>
    <x v="4"/>
    <n v="226"/>
    <n v="226"/>
    <n v="0"/>
    <n v="0"/>
    <n v="0"/>
    <n v="0"/>
    <n v="27.19"/>
    <m/>
    <m/>
    <n v="6144.9400000000005"/>
    <m/>
    <n v="6144.9400000000005"/>
    <n v="4917.76"/>
    <n v="0"/>
    <n v="0"/>
    <n v="0"/>
    <n v="0"/>
    <n v="52.703338634629468"/>
    <n v="50.631873697715825"/>
    <n v="5408.6388349540466"/>
    <m/>
    <m/>
    <m/>
    <n v="0"/>
    <n v="0"/>
    <n v="0"/>
    <n v="0"/>
    <m/>
    <n v="0"/>
    <n v="111.84397182644486"/>
    <n v="521.62807852059677"/>
    <n v="0"/>
    <n v="0"/>
    <m/>
    <m/>
    <n v="0"/>
    <n v="0"/>
    <n v="0"/>
    <m/>
    <m/>
    <n v="0"/>
    <m/>
    <n v="0"/>
    <n v="0"/>
    <n v="0"/>
    <n v="0"/>
    <m/>
    <n v="0"/>
    <n v="0"/>
    <n v="19.489999999999998"/>
    <n v="167.22"/>
    <n v="11944.24"/>
    <n v="4"/>
    <m/>
    <m/>
    <m/>
    <m/>
    <m/>
    <m/>
    <m/>
    <m/>
    <m/>
    <n v="0"/>
    <m/>
    <m/>
    <m/>
    <m/>
    <m/>
    <m/>
    <m/>
    <m/>
    <m/>
    <m/>
    <m/>
    <m/>
    <n v="4917.76"/>
    <n v="-1227.2100000000009"/>
    <m/>
    <m/>
    <m/>
    <m/>
    <n v="-1227.1799999999998"/>
    <n v="0"/>
    <n v="30"/>
    <n v="115.25818950012467"/>
    <n v="11.145012732432434"/>
    <n v="51.979123074488029"/>
    <n v="0"/>
    <n v="0"/>
    <m/>
    <m/>
    <m/>
    <n v="52.1340536932041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408.6388349540466"/>
    <m/>
    <n v="0"/>
    <n v="0"/>
    <n v="-1227.1800000000003"/>
    <m/>
    <n v="0"/>
    <m/>
    <n v="-1343.59763099646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27"/>
    <s v="Sistema de Compensação"/>
    <s v="Verde"/>
    <s v="A4"/>
    <s v="Poder público"/>
    <s v="Não se aplica"/>
    <s v="Não se aplica"/>
    <s v="Não se aplica"/>
    <s v="Não se aplica"/>
    <s v="CATIVO"/>
    <x v="4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1.28"/>
    <n v="11"/>
    <n v="660.05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n v="30"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28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1547.316"/>
    <n v="1547.316"/>
    <n v="1547.316"/>
    <n v="1547.316"/>
    <m/>
    <n v="199.07"/>
    <n v="95.29"/>
    <m/>
    <n v="455467.93776"/>
    <n v="455467.93776"/>
    <n v="429952.69692000002"/>
    <n v="0"/>
    <n v="52376.415678024321"/>
    <n v="0"/>
    <n v="0"/>
    <n v="2178.2272145028605"/>
    <n v="2809.2803826612435"/>
    <n v="194366.66201022215"/>
    <n v="144963.79457130123"/>
    <n v="2474.1249266486348"/>
    <n v="0"/>
    <n v="0"/>
    <n v="0"/>
    <n v="0"/>
    <n v="8092.4110809245321"/>
    <m/>
    <n v="1027.9148109124751"/>
    <n v="4623.9489259455877"/>
    <n v="21560.791684538257"/>
    <n v="0"/>
    <n v="0"/>
    <n v="0"/>
    <n v="0"/>
    <n v="0"/>
    <n v="0"/>
    <n v="0"/>
    <n v="0"/>
    <n v="0"/>
    <n v="0"/>
    <m/>
    <n v="0"/>
    <n v="0"/>
    <n v="0"/>
    <n v="0"/>
    <n v="0"/>
    <n v="7607.9756101510566"/>
    <n v="0"/>
    <n v="457.55"/>
    <n v="3924.28"/>
    <n v="163512.84"/>
    <n v="61"/>
    <m/>
    <m/>
    <m/>
    <m/>
    <m/>
    <m/>
    <m/>
    <m/>
    <m/>
    <n v="152571.77018145227"/>
    <m/>
    <m/>
    <m/>
    <m/>
    <m/>
    <m/>
    <m/>
    <m/>
    <m/>
    <m/>
    <m/>
    <m/>
    <n v="429953.80839999998"/>
    <n v="-25514.159360000049"/>
    <m/>
    <m/>
    <m/>
    <m/>
    <n v="-43881.881759999975"/>
    <n v="18366.640919999987"/>
    <n v="30"/>
    <n v="22785.387575694302"/>
    <n v="460.76662704495357"/>
    <n v="2148.4868064090588"/>
    <n v="0"/>
    <n v="0"/>
    <n v="0"/>
    <n v="0"/>
    <n v="0"/>
    <n v="2892.6279754788784"/>
    <n v="0"/>
    <n v="0"/>
    <n v="18371.529355874984"/>
    <n v="0"/>
    <n v="0"/>
    <n v="0"/>
    <n v="964.1727968973928"/>
    <n v="0"/>
    <n v="-1778.5373360812519"/>
    <m/>
    <n v="0"/>
    <n v="0"/>
    <n v="0"/>
    <n v="0"/>
    <n v="-244.57747014146662"/>
    <n v="-29.081179788232703"/>
    <n v="0"/>
    <n v="0"/>
    <m/>
    <m/>
    <m/>
    <n v="194366.66201022215"/>
    <n v="0"/>
    <n v="0"/>
    <n v="-43881.88175999996"/>
    <n v="18366.640919999976"/>
    <n v="0"/>
    <n v="0"/>
    <n v="-48283.975800696062"/>
    <n v="0"/>
    <n v="0"/>
    <n v="0"/>
    <n v="0"/>
    <n v="0"/>
    <n v="0"/>
    <n v="0"/>
    <n v="0"/>
    <n v="0"/>
    <n v="0"/>
    <n v="0"/>
    <n v="0"/>
    <n v="13376.0024270083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29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614.70299999999997"/>
    <n v="577.82082000000003"/>
    <n v="614.70299999999997"/>
    <n v="577.82082000000003"/>
    <m/>
    <n v="368.24"/>
    <n v="173.25"/>
    <m/>
    <n v="332855.52746999997"/>
    <n v="332855.52746999997"/>
    <n v="312816.20967000001"/>
    <n v="0"/>
    <n v="37832.008748202577"/>
    <n v="0"/>
    <n v="0"/>
    <n v="1573.3552968043346"/>
    <n v="1511.6416341175441"/>
    <n v="144785.36554271585"/>
    <n v="104708.79829020365"/>
    <n v="1787.0851729242981"/>
    <n v="0"/>
    <n v="0"/>
    <n v="0"/>
    <n v="0"/>
    <n v="5845.2294385627611"/>
    <m/>
    <n v="742.47314588890697"/>
    <n v="3339.9245433858941"/>
    <n v="15573.575416881044"/>
    <n v="0"/>
    <n v="0"/>
    <n v="0"/>
    <n v="0"/>
    <n v="0"/>
    <n v="0"/>
    <n v="0"/>
    <n v="0"/>
    <n v="0"/>
    <n v="0"/>
    <m/>
    <n v="0"/>
    <n v="0"/>
    <n v="0"/>
    <n v="0"/>
    <n v="0"/>
    <n v="5495.3168542250924"/>
    <n v="0"/>
    <n v="267.83"/>
    <n v="2303.3000000000002"/>
    <n v="172626.9"/>
    <n v="198"/>
    <m/>
    <m/>
    <m/>
    <m/>
    <n v="18768.972580199974"/>
    <m/>
    <m/>
    <m/>
    <m/>
    <n v="110204.11514442874"/>
    <m/>
    <m/>
    <m/>
    <m/>
    <m/>
    <m/>
    <m/>
    <m/>
    <m/>
    <m/>
    <m/>
    <m/>
    <n v="294046.81980000006"/>
    <n v="-18837.406021800009"/>
    <m/>
    <m/>
    <m/>
    <m/>
    <n v="-33310.755569999994"/>
    <n v="13271.437770000002"/>
    <n v="30"/>
    <n v="15925.229184238793"/>
    <n v="332.81634185131998"/>
    <n v="1551.8735026682934"/>
    <n v="0"/>
    <n v="0"/>
    <n v="0"/>
    <n v="0"/>
    <n v="0"/>
    <n v="1556.4900202680446"/>
    <n v="0"/>
    <n v="0"/>
    <n v="13269.939347929481"/>
    <n v="0"/>
    <n v="0"/>
    <n v="0"/>
    <n v="696.43165181894801"/>
    <n v="0"/>
    <n v="-1284.6553011810538"/>
    <m/>
    <n v="0"/>
    <n v="0"/>
    <n v="0"/>
    <n v="0"/>
    <n v="-176.66075217681555"/>
    <n v="-21.005626939418676"/>
    <n v="0"/>
    <n v="0"/>
    <m/>
    <m/>
    <m/>
    <n v="144785.36554271585"/>
    <n v="0"/>
    <n v="0"/>
    <n v="-33310.755570000008"/>
    <n v="13271.43776999999"/>
    <n v="0"/>
    <n v="0"/>
    <n v="-35967.14073214792"/>
    <n v="0"/>
    <n v="0"/>
    <n v="0"/>
    <n v="0"/>
    <n v="0"/>
    <n v="0"/>
    <n v="0"/>
    <n v="0"/>
    <n v="0"/>
    <n v="0"/>
    <n v="0"/>
    <n v="0"/>
    <n v="9661.620297680630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0"/>
    <s v="Regular"/>
    <s v="Azul"/>
    <s v="A4"/>
    <s v="Serviço público"/>
    <s v="Água, esgoto e saneamento"/>
    <s v="Não se aplica"/>
    <s v="Não se aplica"/>
    <s v="Ponta"/>
    <s v="CATIVO"/>
    <x v="4"/>
    <n v="65"/>
    <n v="61.1"/>
    <n v="3.0950000000000002"/>
    <n v="2.9093"/>
    <n v="3.0950000000000002"/>
    <n v="2.9093"/>
    <n v="52.95"/>
    <n v="85.01"/>
    <n v="173.25"/>
    <n v="3441.75"/>
    <n v="799.31470000000002"/>
    <n v="4241.0646999999999"/>
    <n v="3738.7336500000001"/>
    <n v="0"/>
    <n v="165.71963754178458"/>
    <n v="0"/>
    <n v="0"/>
    <n v="51.198306474712865"/>
    <n v="49.188863943031343"/>
    <n v="2725.6914092779475"/>
    <n v="527.20375646154378"/>
    <n v="8.99788777702517"/>
    <n v="0"/>
    <n v="0"/>
    <n v="0"/>
    <n v="0"/>
    <n v="29.430448708322146"/>
    <m/>
    <n v="2.4785187956022554"/>
    <n v="108.68330737188015"/>
    <n v="506.76761947441048"/>
    <n v="0"/>
    <n v="0"/>
    <n v="0"/>
    <n v="0"/>
    <n v="0"/>
    <n v="0"/>
    <n v="0"/>
    <n v="0"/>
    <n v="0"/>
    <n v="0"/>
    <m/>
    <n v="0"/>
    <n v="0"/>
    <n v="0"/>
    <n v="0"/>
    <n v="0"/>
    <n v="23.146442124400846"/>
    <n v="0"/>
    <n v="0"/>
    <n v="0"/>
    <n v="0"/>
    <n v="0"/>
    <m/>
    <m/>
    <m/>
    <m/>
    <n v="224.32401899999999"/>
    <m/>
    <m/>
    <m/>
    <m/>
    <n v="550.35019858594467"/>
    <m/>
    <m/>
    <m/>
    <m/>
    <m/>
    <m/>
    <m/>
    <m/>
    <m/>
    <m/>
    <m/>
    <m/>
    <n v="3514.6046999999999"/>
    <n v="-472.02611800000113"/>
    <m/>
    <m/>
    <m/>
    <m/>
    <n v="-569.15210000000025"/>
    <n v="66.821050000000014"/>
    <n v="30"/>
    <n v="175.13658429805378"/>
    <n v="10.830059275274195"/>
    <n v="50.498310093914142"/>
    <n v="0"/>
    <n v="0"/>
    <n v="0"/>
    <n v="0"/>
    <n v="0"/>
    <n v="50.648231768467902"/>
    <n v="0"/>
    <n v="0"/>
    <n v="66.813505517041108"/>
    <n v="0"/>
    <n v="0"/>
    <n v="0"/>
    <n v="2.9333913494057668"/>
    <n v="0"/>
    <n v="-5.6273144863862399"/>
    <m/>
    <n v="0"/>
    <n v="0"/>
    <n v="0"/>
    <n v="0"/>
    <n v="-0.88947837896877857"/>
    <n v="-7.0120840694419151E-2"/>
    <n v="0"/>
    <n v="0"/>
    <m/>
    <m/>
    <n v="2725.6914092779475"/>
    <n v="0"/>
    <n v="0"/>
    <n v="0"/>
    <n v="-569.15210000000025"/>
    <n v="66.821050000000014"/>
    <n v="0"/>
    <n v="0"/>
    <n v="-677.10798078540483"/>
    <n v="0"/>
    <n v="0"/>
    <n v="0"/>
    <n v="0"/>
    <n v="0"/>
    <n v="0"/>
    <n v="0"/>
    <n v="0"/>
    <n v="0"/>
    <n v="0"/>
    <n v="0"/>
    <n v="0"/>
    <n v="42.3218398064590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1"/>
    <s v="Regular"/>
    <s v="Azul"/>
    <s v="A4"/>
    <s v="Serviço público"/>
    <s v="Água, esgoto e saneamento"/>
    <s v="Não se aplica"/>
    <s v="Não se aplica"/>
    <s v="Fora ponta"/>
    <s v="CATIVO"/>
    <x v="4"/>
    <n v="65"/>
    <n v="61.1"/>
    <n v="22.305"/>
    <n v="20.966699999999999"/>
    <n v="22.305"/>
    <n v="20.966699999999999"/>
    <n v="27.19"/>
    <n v="85.01"/>
    <n v="173.25"/>
    <n v="1767.3500000000001"/>
    <n v="5760.4893000000002"/>
    <n v="7527.8392999999996"/>
    <n v="7630.1343500000003"/>
    <n v="0"/>
    <n v="1194.3058207979013"/>
    <n v="0"/>
    <n v="0"/>
    <n v="15.158039872791662"/>
    <n v="14.56226455907756"/>
    <n v="1555.5819658053674"/>
    <n v="3799.4441964054063"/>
    <n v="64.845843898722592"/>
    <n v="0"/>
    <n v="0"/>
    <n v="0"/>
    <n v="0"/>
    <n v="212.09892033574326"/>
    <m/>
    <n v="17.862152418710274"/>
    <n v="32.167514020880162"/>
    <n v="150.02577479574686"/>
    <n v="0"/>
    <n v="0"/>
    <n v="0"/>
    <n v="0"/>
    <n v="0"/>
    <n v="0"/>
    <n v="0"/>
    <n v="0"/>
    <n v="0"/>
    <n v="0"/>
    <m/>
    <n v="0"/>
    <n v="0"/>
    <n v="0"/>
    <n v="0"/>
    <n v="0"/>
    <n v="166.81143508392918"/>
    <n v="0"/>
    <n v="0"/>
    <n v="0"/>
    <n v="0"/>
    <n v="0"/>
    <m/>
    <m/>
    <m/>
    <m/>
    <n v="457.80806100000007"/>
    <m/>
    <m/>
    <m/>
    <m/>
    <n v="3966.2556314893354"/>
    <m/>
    <m/>
    <m/>
    <m/>
    <m/>
    <m/>
    <m/>
    <m/>
    <m/>
    <m/>
    <m/>
    <m/>
    <n v="7173.2458999999999"/>
    <n v="97.046957999998995"/>
    <m/>
    <m/>
    <m/>
    <m/>
    <n v="-379.26990000000012"/>
    <n v="481.56495000000007"/>
    <n v="30"/>
    <n v="488.32990719463305"/>
    <n v="3.2054240159650789"/>
    <n v="14.94974778691028"/>
    <n v="0"/>
    <n v="0"/>
    <n v="0"/>
    <n v="0"/>
    <n v="0"/>
    <n v="14.994307478133946"/>
    <n v="0"/>
    <n v="0"/>
    <n v="481.51057853234352"/>
    <n v="0"/>
    <n v="0"/>
    <n v="0"/>
    <n v="21.140321178835421"/>
    <n v="0"/>
    <n v="-40.554846403504143"/>
    <m/>
    <n v="0"/>
    <n v="0"/>
    <n v="0"/>
    <n v="0"/>
    <n v="-6.4102795615181378"/>
    <n v="-0.50534583253279663"/>
    <n v="0"/>
    <n v="0"/>
    <m/>
    <m/>
    <n v="1555.5819658053674"/>
    <n v="0"/>
    <n v="0"/>
    <n v="0"/>
    <n v="-379.26990000000023"/>
    <n v="481.56495000000041"/>
    <n v="0"/>
    <n v="0"/>
    <n v="-386.43294696800945"/>
    <n v="0"/>
    <n v="0"/>
    <n v="0"/>
    <n v="0"/>
    <n v="0"/>
    <n v="0"/>
    <n v="0"/>
    <n v="0"/>
    <n v="0"/>
    <n v="0"/>
    <n v="0"/>
    <n v="0"/>
    <n v="305.0044061011533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2"/>
    <s v="Regular"/>
    <s v="Azul"/>
    <s v="A4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.06"/>
    <n v="86.34"/>
    <n v="6157.5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33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9.6140000000000008"/>
    <n v="9.6140000000000008"/>
    <n v="9.6140000000000008"/>
    <n v="9.6140000000000008"/>
    <m/>
    <n v="368.24"/>
    <n v="173.25"/>
    <m/>
    <n v="5205.8848600000001"/>
    <n v="5205.8848600000001"/>
    <n v="4892.4684600000001"/>
    <n v="0"/>
    <n v="591.69539127874702"/>
    <n v="0"/>
    <n v="0"/>
    <n v="24.607392225964205"/>
    <n v="23.642186015695501"/>
    <n v="2264.4537351008053"/>
    <n v="1637.6532842071992"/>
    <n v="27.950143162623583"/>
    <n v="0"/>
    <n v="0"/>
    <n v="0"/>
    <n v="0"/>
    <n v="91.419817086206493"/>
    <m/>
    <n v="11.612334451883189"/>
    <n v="52.23666479602668"/>
    <n v="243.57186162731333"/>
    <n v="0"/>
    <n v="0"/>
    <n v="0"/>
    <n v="0"/>
    <n v="0"/>
    <n v="0"/>
    <n v="0"/>
    <n v="0"/>
    <n v="0"/>
    <n v="0"/>
    <m/>
    <n v="0"/>
    <n v="0"/>
    <n v="0"/>
    <n v="0"/>
    <n v="0"/>
    <n v="85.947158605895922"/>
    <n v="0"/>
    <n v="4.3899999999999997"/>
    <n v="37.799999999999997"/>
    <n v="2699.86"/>
    <n v="5"/>
    <m/>
    <m/>
    <m/>
    <m/>
    <m/>
    <m/>
    <m/>
    <m/>
    <m/>
    <n v="1723.6004428130952"/>
    <m/>
    <m/>
    <m/>
    <m/>
    <m/>
    <m/>
    <m/>
    <m/>
    <m/>
    <m/>
    <m/>
    <m/>
    <n v="4890.4328999999998"/>
    <n v="-315.48196000000098"/>
    <m/>
    <m/>
    <m/>
    <m/>
    <n v="-520.98266000000001"/>
    <n v="207.56626000000006"/>
    <n v="30"/>
    <n v="249.07175233775024"/>
    <n v="5.205271994050122"/>
    <n v="24.271415390282726"/>
    <n v="0"/>
    <n v="0"/>
    <n v="0"/>
    <n v="0"/>
    <n v="0"/>
    <n v="24.343618064100845"/>
    <n v="0"/>
    <n v="0"/>
    <n v="207.54282456892861"/>
    <n v="0"/>
    <n v="0"/>
    <n v="0"/>
    <n v="10.89224210811949"/>
    <n v="0"/>
    <n v="-20.092103122247067"/>
    <m/>
    <n v="0"/>
    <n v="0"/>
    <n v="0"/>
    <n v="0"/>
    <n v="-2.7629871196787832"/>
    <n v="-0.32852954580597604"/>
    <n v="0"/>
    <n v="0"/>
    <m/>
    <m/>
    <m/>
    <n v="2264.4537351008053"/>
    <n v="0"/>
    <n v="0"/>
    <n v="-520.98266000000012"/>
    <n v="207.56626000000006"/>
    <n v="0"/>
    <n v="0"/>
    <n v="-562.52871874526409"/>
    <n v="0"/>
    <n v="0"/>
    <n v="0"/>
    <n v="0"/>
    <n v="0"/>
    <n v="0"/>
    <n v="0"/>
    <n v="0"/>
    <n v="0"/>
    <n v="0"/>
    <n v="0"/>
    <n v="0"/>
    <n v="151.108450002524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4"/>
    <s v="Sistema de Compensação"/>
    <s v="Convencional"/>
    <s v="B3"/>
    <s v="Consumo próprio"/>
    <s v="Não se aplica"/>
    <s v="Não se aplica"/>
    <s v="Não se aplica"/>
    <s v="Não se aplica"/>
    <s v="CATIVO"/>
    <x v="4"/>
    <n v="0"/>
    <n v="0"/>
    <n v="2.5449999999999999"/>
    <n v="2.5449999999999999"/>
    <n v="2.5449999999999999"/>
    <n v="2.5449999999999999"/>
    <m/>
    <n v="368.24"/>
    <n v="173.25"/>
    <m/>
    <n v="1378.09205"/>
    <n v="1378.09205"/>
    <n v="1295.1250500000001"/>
    <n v="0"/>
    <n v="156.63249124239766"/>
    <n v="0"/>
    <n v="0"/>
    <n v="6.5140225936216867"/>
    <n v="6.2585150207972795"/>
    <n v="599.44193424501236"/>
    <n v="433.51649763962155"/>
    <n v="7.398909335227482"/>
    <n v="0"/>
    <n v="0"/>
    <n v="0"/>
    <n v="0"/>
    <n v="24.200482055793167"/>
    <m/>
    <n v="3.073995338053122"/>
    <n v="13.827991669012679"/>
    <n v="64.47788515097902"/>
    <n v="0"/>
    <n v="0"/>
    <n v="0"/>
    <n v="0"/>
    <n v="0"/>
    <n v="0"/>
    <n v="0"/>
    <n v="0"/>
    <n v="0"/>
    <n v="0"/>
    <m/>
    <n v="0"/>
    <n v="0"/>
    <n v="0"/>
    <n v="0"/>
    <n v="0"/>
    <n v="22.75177019471657"/>
    <n v="0"/>
    <n v="1.1599999999999999"/>
    <n v="10.01"/>
    <n v="832.74"/>
    <n v="1"/>
    <m/>
    <m/>
    <m/>
    <m/>
    <m/>
    <m/>
    <m/>
    <m/>
    <m/>
    <n v="456.26826783433813"/>
    <m/>
    <m/>
    <m/>
    <m/>
    <m/>
    <m/>
    <m/>
    <m/>
    <m/>
    <m/>
    <m/>
    <m/>
    <n v="1297.6695"/>
    <n v="-80.452549999999974"/>
    <m/>
    <m/>
    <m/>
    <m/>
    <n v="-137.91354999999999"/>
    <n v="54.946550000000009"/>
    <n v="30"/>
    <n v="65.933805876802012"/>
    <n v="1.377929813278298"/>
    <n v="6.4250834375150276"/>
    <n v="0"/>
    <n v="0"/>
    <n v="0"/>
    <n v="0"/>
    <n v="0"/>
    <n v="6.4441967935444815"/>
    <n v="0"/>
    <n v="0"/>
    <n v="54.940346216759224"/>
    <n v="0"/>
    <n v="0"/>
    <n v="0"/>
    <n v="2.8833738470110326"/>
    <n v="0"/>
    <n v="-5.3187437534968751"/>
    <m/>
    <n v="0"/>
    <n v="0"/>
    <n v="0"/>
    <n v="0"/>
    <n v="-0.73141275427319385"/>
    <n v="-8.6967723536115038E-2"/>
    <n v="0"/>
    <n v="0"/>
    <m/>
    <m/>
    <m/>
    <n v="599.44193424501236"/>
    <n v="0"/>
    <n v="0"/>
    <n v="-137.91354999999999"/>
    <n v="54.946550000000002"/>
    <n v="0"/>
    <n v="0"/>
    <n v="-148.91154453991027"/>
    <n v="0"/>
    <n v="0"/>
    <n v="0"/>
    <n v="0"/>
    <n v="0"/>
    <n v="0"/>
    <n v="0"/>
    <n v="0"/>
    <n v="0"/>
    <n v="0"/>
    <n v="0"/>
    <n v="0"/>
    <n v="40.00114471150654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5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9"/>
    <n v="3.45"/>
    <n v="35.7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36"/>
    <s v="Regular"/>
    <s v="Convencional"/>
    <s v="B2"/>
    <s v="Rural"/>
    <s v="Agropecuária rural"/>
    <s v="IRRIG./AQUIC."/>
    <s v="Não se aplica"/>
    <s v="Não se aplica"/>
    <s v="CATIVO"/>
    <x v="4"/>
    <n v="0"/>
    <n v="0"/>
    <n v="0.68200000000000005"/>
    <n v="0.68200000000000005"/>
    <n v="0.68200000000000005"/>
    <n v="0.68200000000000005"/>
    <m/>
    <n v="368.24"/>
    <n v="173.25"/>
    <m/>
    <n v="369.29618000000005"/>
    <n v="369.29618000000005"/>
    <n v="347.06298000000004"/>
    <n v="0"/>
    <n v="41.973814941970616"/>
    <n v="0"/>
    <n v="0"/>
    <n v="1.7456044828487194"/>
    <n v="1.6771344770859509"/>
    <n v="160.63630615131569"/>
    <n v="116.17220093918347"/>
    <n v="1.9827332678291327"/>
    <n v="0"/>
    <n v="0"/>
    <n v="0"/>
    <n v="0"/>
    <n v="6.4851586491359301"/>
    <m/>
    <n v="0.82375827919537503"/>
    <n v="3.7055757635625333"/>
    <n v="17.278553113150373"/>
    <n v="0"/>
    <n v="0"/>
    <n v="0"/>
    <n v="0"/>
    <n v="0"/>
    <n v="0"/>
    <n v="0"/>
    <n v="0"/>
    <n v="0"/>
    <n v="0"/>
    <m/>
    <n v="0"/>
    <n v="0"/>
    <n v="0"/>
    <n v="0"/>
    <n v="0"/>
    <n v="6.0969380246745395"/>
    <n v="0"/>
    <n v="0"/>
    <n v="0"/>
    <n v="0"/>
    <n v="0"/>
    <m/>
    <m/>
    <m/>
    <m/>
    <m/>
    <n v="41.642920000000004"/>
    <m/>
    <m/>
    <m/>
    <n v="122.26913896385801"/>
    <m/>
    <m/>
    <m/>
    <m/>
    <m/>
    <m/>
    <m/>
    <m/>
    <m/>
    <m/>
    <m/>
    <m/>
    <n v="304.52440000000001"/>
    <n v="-20.485419999999976"/>
    <m/>
    <m/>
    <m/>
    <m/>
    <n v="-36.95758"/>
    <n v="14.724380000000004"/>
    <n v="30"/>
    <n v="17.668705543410198"/>
    <n v="0.36925270438341817"/>
    <n v="1.72177088580953"/>
    <n v="0"/>
    <n v="0"/>
    <n v="0"/>
    <n v="0"/>
    <n v="0"/>
    <n v="1.7268928146158493"/>
    <n v="0"/>
    <n v="0"/>
    <n v="14.72271753234962"/>
    <n v="0"/>
    <n v="0"/>
    <n v="0"/>
    <n v="0.7726762136194596"/>
    <n v="0"/>
    <n v="-1.4252979331571183"/>
    <m/>
    <n v="0"/>
    <n v="0"/>
    <n v="0"/>
    <n v="0"/>
    <n v="-0.19600137462252221"/>
    <n v="-2.330529958806693E-2"/>
    <n v="0"/>
    <n v="0"/>
    <m/>
    <m/>
    <m/>
    <n v="160.63630615131569"/>
    <n v="0"/>
    <n v="0"/>
    <n v="-36.957580000000007"/>
    <n v="14.724380000000011"/>
    <n v="0"/>
    <n v="0"/>
    <n v="-39.904783251952367"/>
    <n v="0"/>
    <n v="0"/>
    <n v="0"/>
    <n v="0"/>
    <n v="0"/>
    <n v="0"/>
    <n v="0"/>
    <n v="0"/>
    <n v="0"/>
    <n v="0"/>
    <n v="0"/>
    <n v="0"/>
    <n v="10.71936373015617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7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72799999999999998"/>
    <n v="0.29120000000000001"/>
    <n v="0.72799999999999998"/>
    <n v="0.29120000000000001"/>
    <m/>
    <n v="368.24"/>
    <n v="173.25"/>
    <m/>
    <n v="394.20471999999995"/>
    <n v="394.20471999999995"/>
    <n v="370.47192000000001"/>
    <n v="0"/>
    <n v="44.804893369141652"/>
    <n v="0"/>
    <n v="0"/>
    <n v="1.863343201633237"/>
    <n v="1.7902549843380822"/>
    <n v="171.47101301782672"/>
    <n v="124.00786258610786"/>
    <n v="2.11646601023403"/>
    <n v="0"/>
    <n v="0"/>
    <n v="0"/>
    <n v="0"/>
    <n v="6.922574041892898"/>
    <m/>
    <n v="0.87931968805606009"/>
    <n v="3.9555119587588328"/>
    <n v="18.443968719022681"/>
    <n v="0"/>
    <n v="0"/>
    <n v="0"/>
    <n v="0"/>
    <n v="0"/>
    <n v="0"/>
    <n v="0"/>
    <n v="0"/>
    <n v="0"/>
    <n v="0"/>
    <m/>
    <n v="0"/>
    <n v="0"/>
    <n v="0"/>
    <n v="0"/>
    <n v="0"/>
    <n v="6.5081684486261935"/>
    <n v="0"/>
    <n v="0"/>
    <n v="0"/>
    <n v="0"/>
    <n v="0"/>
    <m/>
    <m/>
    <m/>
    <m/>
    <m/>
    <m/>
    <n v="240.06382399999998"/>
    <m/>
    <m/>
    <n v="130.51603103473406"/>
    <m/>
    <m/>
    <m/>
    <m/>
    <m/>
    <m/>
    <m/>
    <m/>
    <m/>
    <m/>
    <m/>
    <m/>
    <n v="129.8707"/>
    <n v="-8.9190120000000093"/>
    <m/>
    <m/>
    <m/>
    <m/>
    <n v="-39.450319999999998"/>
    <n v="15.717520000000002"/>
    <n v="30"/>
    <n v="18.860436415839615"/>
    <n v="0.39415831201045215"/>
    <n v="1.8379020599257174"/>
    <n v="0"/>
    <n v="0"/>
    <n v="0"/>
    <n v="0"/>
    <n v="0"/>
    <n v="1.8433694560708771"/>
    <n v="0"/>
    <n v="0"/>
    <n v="15.715745401100477"/>
    <n v="0"/>
    <n v="0"/>
    <n v="0"/>
    <n v="0.82479220456740077"/>
    <n v="0"/>
    <n v="-1.5214323978568629"/>
    <m/>
    <n v="0"/>
    <n v="0"/>
    <n v="0"/>
    <n v="0"/>
    <n v="-0.2092214086879709"/>
    <n v="-2.4877211290487922E-2"/>
    <n v="0"/>
    <n v="0"/>
    <m/>
    <m/>
    <m/>
    <n v="171.47101301782672"/>
    <n v="0"/>
    <n v="0"/>
    <n v="-39.450319999999977"/>
    <n v="15.717520000000022"/>
    <n v="0"/>
    <n v="0"/>
    <n v="-42.596308222025414"/>
    <n v="0"/>
    <n v="0"/>
    <n v="0"/>
    <n v="0"/>
    <n v="0"/>
    <n v="0"/>
    <n v="0"/>
    <n v="0"/>
    <n v="0"/>
    <n v="0"/>
    <n v="0"/>
    <n v="0"/>
    <n v="11.44237066796729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8"/>
    <s v="Regular"/>
    <s v="Convencional"/>
    <s v="B1"/>
    <s v="Residencial"/>
    <s v="Residencial"/>
    <s v="Não se aplica"/>
    <s v="Não se aplica"/>
    <s v="Não se aplica"/>
    <s v="CATIVO"/>
    <x v="5"/>
    <n v="0"/>
    <n v="0"/>
    <n v="9228.0499999999993"/>
    <n v="9228.0499999999993"/>
    <n v="9228.0499999999993"/>
    <n v="9228.0499999999993"/>
    <m/>
    <n v="368.24"/>
    <n v="173.25"/>
    <m/>
    <n v="4996896.7944999998"/>
    <n v="4996896.7944999998"/>
    <n v="4696062.3645000001"/>
    <n v="0"/>
    <n v="567942.02782294992"/>
    <n v="0"/>
    <n v="0"/>
    <n v="23619.538779988448"/>
    <n v="22693.080368435494"/>
    <n v="2173548.1891197194"/>
    <n v="1571910.3795847974"/>
    <n v="26828.096381511183"/>
    <n v="0"/>
    <n v="0"/>
    <n v="0"/>
    <n v="0"/>
    <n v="87749.806850672743"/>
    <m/>
    <n v="11146.162152974897"/>
    <n v="50139.645784374239"/>
    <n v="233793.7713428259"/>
    <n v="0"/>
    <n v="0"/>
    <n v="0"/>
    <n v="0"/>
    <n v="0"/>
    <n v="0"/>
    <n v="0"/>
    <n v="0"/>
    <n v="0"/>
    <n v="0"/>
    <m/>
    <n v="0"/>
    <n v="0"/>
    <n v="0"/>
    <n v="0"/>
    <n v="0"/>
    <n v="82496.845951023279"/>
    <n v="0"/>
    <n v="4000.76"/>
    <n v="36277.31"/>
    <n v="2559581.42"/>
    <n v="46682"/>
    <m/>
    <m/>
    <m/>
    <m/>
    <m/>
    <m/>
    <m/>
    <m/>
    <m/>
    <n v="1654407.2255358207"/>
    <m/>
    <m/>
    <m/>
    <m/>
    <m/>
    <m/>
    <m/>
    <m/>
    <m/>
    <m/>
    <m/>
    <m/>
    <n v="4696062.3645000001"/>
    <n v="-300834.45999999903"/>
    <m/>
    <m/>
    <m/>
    <m/>
    <n v="-500068.02949999995"/>
    <n v="199233.59950000001"/>
    <m/>
    <n v="239072.87124613766"/>
    <n v="4996.308531796778"/>
    <n v="23297.04959354052"/>
    <n v="0"/>
    <n v="0"/>
    <n v="0"/>
    <n v="0"/>
    <n v="0"/>
    <n v="23366.353721284144"/>
    <n v="0"/>
    <n v="0"/>
    <n v="199211.10487448517"/>
    <n v="0"/>
    <n v="0"/>
    <n v="0"/>
    <n v="10454.977614503019"/>
    <n v="0"/>
    <n v="-19285.51406461955"/>
    <m/>
    <n v="0"/>
    <n v="0"/>
    <n v="0"/>
    <n v="0"/>
    <n v="-2652.0681599492236"/>
    <n v="-315.34086490272966"/>
    <n v="0"/>
    <n v="0"/>
    <m/>
    <m/>
    <m/>
    <n v="2173548.1891197194"/>
    <n v="0"/>
    <n v="0"/>
    <n v="-500068.02949999971"/>
    <n v="199233.59950000001"/>
    <n v="0"/>
    <n v="0"/>
    <n v="-539946.23913222738"/>
    <n v="0"/>
    <n v="0"/>
    <n v="0"/>
    <n v="0"/>
    <n v="0"/>
    <n v="0"/>
    <n v="0"/>
    <n v="0"/>
    <n v="0"/>
    <n v="0"/>
    <n v="0"/>
    <n v="0"/>
    <n v="145042.2646188675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39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86"/>
    <n v="-1.86"/>
    <n v="-1.86"/>
    <n v="-1.86"/>
    <m/>
    <n v="368.24"/>
    <n v="173.25"/>
    <m/>
    <n v="-1007.1714000000001"/>
    <n v="-1007.1714000000001"/>
    <n v="-946.53539999999998"/>
    <n v="0"/>
    <n v="-114.47404075082895"/>
    <n v="0"/>
    <n v="0"/>
    <n v="-4.7607394986783254"/>
    <n v="-4.5740031193253206"/>
    <n v="-438.09901677631552"/>
    <n v="-316.83327528868222"/>
    <n v="-5.4074543668067259"/>
    <n v="0"/>
    <n v="0"/>
    <n v="0"/>
    <n v="0"/>
    <n v="-17.686796315825262"/>
    <m/>
    <n v="-2.2466134887146589"/>
    <n v="-10.106115718806908"/>
    <n v="-47.123326672228288"/>
    <n v="0"/>
    <n v="0"/>
    <n v="0"/>
    <n v="0"/>
    <n v="0"/>
    <n v="0"/>
    <n v="0"/>
    <n v="0"/>
    <n v="0"/>
    <n v="0"/>
    <m/>
    <n v="0"/>
    <n v="0"/>
    <n v="0"/>
    <n v="0"/>
    <n v="0"/>
    <n v="-16.628012794566924"/>
    <n v="0"/>
    <n v="-0.65"/>
    <n v="-7.28"/>
    <n v="-539.66999999999996"/>
    <n v="0"/>
    <m/>
    <m/>
    <m/>
    <m/>
    <m/>
    <m/>
    <m/>
    <m/>
    <m/>
    <n v="-333.46128808324914"/>
    <m/>
    <m/>
    <m/>
    <m/>
    <m/>
    <m/>
    <m/>
    <m/>
    <m/>
    <m/>
    <m/>
    <m/>
    <n v="-946.53539999999998"/>
    <n v="60.606000000000108"/>
    <m/>
    <m/>
    <m/>
    <m/>
    <n v="100.79340000000001"/>
    <n v="-40.15740000000001"/>
    <m/>
    <n v="-48.187378754754945"/>
    <n v="-1.0070528301365957"/>
    <n v="-4.6957387794805356"/>
    <n v="0"/>
    <n v="0"/>
    <n v="0"/>
    <n v="0"/>
    <n v="0"/>
    <n v="-4.7097076762250438"/>
    <n v="0"/>
    <n v="0"/>
    <n v="-40.152865997317122"/>
    <n v="0"/>
    <n v="0"/>
    <n v="0"/>
    <n v="-2.1072987644167114"/>
    <n v="0"/>
    <n v="3.887176181337594"/>
    <m/>
    <n v="0"/>
    <n v="0"/>
    <n v="0"/>
    <n v="0"/>
    <n v="0.53454920351596868"/>
    <n v="6.3559907967455143E-2"/>
    <n v="0"/>
    <n v="0"/>
    <m/>
    <m/>
    <m/>
    <n v="-438.09901677631552"/>
    <n v="0"/>
    <n v="0"/>
    <n v="100.79340000000002"/>
    <n v="-40.157399999999996"/>
    <n v="0"/>
    <n v="0"/>
    <n v="108.83122705077915"/>
    <n v="0"/>
    <n v="0"/>
    <n v="0"/>
    <n v="0"/>
    <n v="0"/>
    <n v="0"/>
    <n v="0"/>
    <n v="0"/>
    <n v="0"/>
    <n v="0"/>
    <n v="0"/>
    <n v="0"/>
    <n v="-29.2346283549713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0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04.74299999999999"/>
    <n v="104.74299999999999"/>
    <n v="104.74299999999999"/>
    <n v="104.74299999999999"/>
    <m/>
    <n v="368.24"/>
    <n v="173.25"/>
    <m/>
    <n v="56717.287069999991"/>
    <n v="56717.287069999991"/>
    <n v="53302.665269999998"/>
    <n v="0"/>
    <n v="6446.4271238516531"/>
    <n v="0"/>
    <n v="0"/>
    <n v="268.09362220971173"/>
    <n v="257.57785415456556"/>
    <n v="24670.863072151406"/>
    <n v="17841.971910517437"/>
    <n v="304.51236168948213"/>
    <n v="0"/>
    <n v="0"/>
    <n v="0"/>
    <n v="0"/>
    <n v="996.00435833789538"/>
    <m/>
    <n v="126.51453583249436"/>
    <n v="569.11014985752252"/>
    <n v="2653.6766696931222"/>
    <n v="0"/>
    <n v="0"/>
    <n v="0"/>
    <n v="0"/>
    <n v="0"/>
    <n v="0"/>
    <n v="0"/>
    <n v="0"/>
    <n v="0"/>
    <n v="0"/>
    <m/>
    <n v="0"/>
    <n v="0"/>
    <n v="0"/>
    <n v="0"/>
    <n v="0"/>
    <n v="936.38061512974366"/>
    <n v="0"/>
    <n v="42.7"/>
    <n v="411.3"/>
    <n v="77048.39"/>
    <n v="1195"/>
    <m/>
    <m/>
    <m/>
    <m/>
    <m/>
    <m/>
    <m/>
    <m/>
    <m/>
    <n v="18778.35252564718"/>
    <m/>
    <m/>
    <m/>
    <m/>
    <m/>
    <m/>
    <m/>
    <m/>
    <m/>
    <m/>
    <m/>
    <m/>
    <n v="53301.138600000006"/>
    <n v="-3416.1784699999916"/>
    <m/>
    <m/>
    <m/>
    <m/>
    <n v="-5676.0231699999995"/>
    <n v="2261.40137"/>
    <m/>
    <n v="2713.5971037146846"/>
    <n v="56.710609993009371"/>
    <n v="264.4332080532954"/>
    <n v="0"/>
    <n v="0"/>
    <n v="0"/>
    <n v="0"/>
    <n v="0"/>
    <n v="265.2198446939999"/>
    <n v="0"/>
    <n v="0"/>
    <n v="2261.1460447080608"/>
    <n v="0"/>
    <n v="0"/>
    <n v="0"/>
    <n v="118.66924434478472"/>
    <n v="0"/>
    <n v="-218.900266000991"/>
    <m/>
    <n v="0"/>
    <n v="0"/>
    <n v="0"/>
    <n v="0"/>
    <n v="-30.102304959071716"/>
    <n v="-3.5792771184059973"/>
    <n v="0"/>
    <n v="0"/>
    <m/>
    <m/>
    <m/>
    <n v="24670.863072151406"/>
    <n v="0"/>
    <n v="0"/>
    <n v="-5676.0231700000004"/>
    <n v="2261.4013700000032"/>
    <n v="0"/>
    <n v="0"/>
    <n v="-6128.6608682686892"/>
    <n v="0"/>
    <n v="0"/>
    <n v="0"/>
    <n v="0"/>
    <n v="0"/>
    <n v="0"/>
    <n v="0"/>
    <n v="0"/>
    <n v="0"/>
    <n v="0"/>
    <n v="0"/>
    <n v="0"/>
    <n v="1646.302514938046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1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3.928000000000001"/>
    <n v="23.928000000000001"/>
    <n v="23.928000000000001"/>
    <n v="23.928000000000001"/>
    <m/>
    <n v="281.47000000000003"/>
    <n v="173.25"/>
    <m/>
    <n v="10880.54016"/>
    <n v="10880.54016"/>
    <n v="10157.436"/>
    <n v="0"/>
    <n v="0"/>
    <n v="0"/>
    <n v="0"/>
    <n v="61.244610066868262"/>
    <n v="58.842336902804441"/>
    <n v="5635.9318674320848"/>
    <n v="4075.9067801653696"/>
    <n v="69.564283918791034"/>
    <n v="0"/>
    <n v="0"/>
    <n v="0"/>
    <n v="0"/>
    <n v="0"/>
    <m/>
    <n v="28.901595461271164"/>
    <n v="130.01028866645791"/>
    <n v="606.21879602853676"/>
    <n v="0"/>
    <n v="0"/>
    <n v="0"/>
    <n v="0"/>
    <n v="0"/>
    <n v="0"/>
    <n v="0"/>
    <n v="0"/>
    <n v="0"/>
    <n v="0"/>
    <m/>
    <n v="0"/>
    <n v="0"/>
    <n v="0"/>
    <n v="0"/>
    <n v="0"/>
    <n v="213.91133878946096"/>
    <n v="0"/>
    <n v="0"/>
    <n v="23.86"/>
    <n v="1482.42"/>
    <n v="23"/>
    <m/>
    <m/>
    <m/>
    <m/>
    <m/>
    <m/>
    <m/>
    <n v="6602.4530400000003"/>
    <m/>
    <n v="4289.8181189548304"/>
    <m/>
    <m/>
    <m/>
    <m/>
    <m/>
    <m/>
    <m/>
    <m/>
    <m/>
    <m/>
    <m/>
    <m/>
    <n v="3555.2800999999999"/>
    <n v="-253.13038000000051"/>
    <m/>
    <m/>
    <m/>
    <m/>
    <n v="-1239.7096800000008"/>
    <n v="516.60552000000007"/>
    <m/>
    <n v="676.79066873793181"/>
    <n v="12.955247376079825"/>
    <n v="60.408407266349627"/>
    <n v="0"/>
    <n v="0"/>
    <n v="0"/>
    <n v="0"/>
    <n v="0"/>
    <n v="60.588110363824107"/>
    <n v="0"/>
    <n v="0"/>
    <n v="516.54719224935752"/>
    <n v="0"/>
    <n v="0"/>
    <n v="0"/>
    <n v="27.109378943528498"/>
    <n v="0"/>
    <n v="0"/>
    <m/>
    <n v="0"/>
    <n v="0"/>
    <n v="0"/>
    <n v="0"/>
    <n v="0"/>
    <n v="-0.81766746120713663"/>
    <n v="0"/>
    <n v="0"/>
    <m/>
    <m/>
    <m/>
    <n v="5635.9318674320848"/>
    <n v="0"/>
    <n v="0"/>
    <n v="-1239.7096800000008"/>
    <n v="516.60552000000007"/>
    <n v="0"/>
    <n v="0"/>
    <n v="-1400.0610757371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2"/>
    <s v="Sistema de Compensação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03"/>
    <n v="-8.9999999999999993E-3"/>
    <n v="0.03"/>
    <n v="-8.9999999999999993E-3"/>
    <m/>
    <n v="281.47000000000003"/>
    <n v="173.25"/>
    <m/>
    <n v="13.6416"/>
    <n v="13.6416"/>
    <n v="12.734999999999999"/>
    <n v="0"/>
    <n v="0"/>
    <n v="0"/>
    <n v="0"/>
    <n v="7.6786120946424591E-2"/>
    <n v="7.3774243860085797E-2"/>
    <n v="7.0661131738115399"/>
    <n v="5.1102141175593898"/>
    <n v="8.7217005916237503E-2"/>
    <n v="0"/>
    <n v="0"/>
    <n v="0"/>
    <n v="0"/>
    <n v="0"/>
    <m/>
    <n v="3.6235701430881596E-2"/>
    <n v="0.1630018664323695"/>
    <n v="0.76005365600368202"/>
    <n v="0"/>
    <n v="0"/>
    <n v="0"/>
    <n v="0"/>
    <n v="0"/>
    <n v="0"/>
    <n v="0"/>
    <n v="0"/>
    <n v="0"/>
    <n v="0"/>
    <m/>
    <n v="0"/>
    <n v="0"/>
    <n v="0"/>
    <n v="0"/>
    <n v="0"/>
    <n v="0.26819375475107943"/>
    <n v="0"/>
    <n v="0"/>
    <n v="0.03"/>
    <n v="2.95"/>
    <n v="0"/>
    <m/>
    <m/>
    <m/>
    <m/>
    <m/>
    <m/>
    <m/>
    <n v="14.07213"/>
    <m/>
    <n v="5.3784078723104694"/>
    <m/>
    <m/>
    <m/>
    <m/>
    <m/>
    <m/>
    <m/>
    <m/>
    <m/>
    <m/>
    <m/>
    <m/>
    <n v="-1.4857"/>
    <n v="-8.3260000000000334E-2"/>
    <m/>
    <m/>
    <m/>
    <m/>
    <n v="-1.5543000000000009"/>
    <n v="0.64770000000000005"/>
    <m/>
    <n v="0.84853393773562047"/>
    <n v="1.6242787582848306E-2"/>
    <n v="7.5737722249686001E-2"/>
    <n v="0"/>
    <n v="0"/>
    <n v="0"/>
    <n v="0"/>
    <n v="0"/>
    <n v="7.5963027035887809E-2"/>
    <n v="0"/>
    <n v="0"/>
    <n v="0.64762687092447013"/>
    <n v="0"/>
    <n v="0"/>
    <n v="0"/>
    <n v="3.3988689748656598E-2"/>
    <n v="0"/>
    <n v="0"/>
    <m/>
    <n v="0"/>
    <n v="0"/>
    <n v="0"/>
    <n v="0"/>
    <n v="0"/>
    <n v="-1.0251598059266981E-3"/>
    <n v="0"/>
    <n v="0"/>
    <m/>
    <m/>
    <m/>
    <n v="7.0661131738115399"/>
    <n v="0"/>
    <n v="0"/>
    <n v="-1.5543000000000013"/>
    <n v="0.64770000000000039"/>
    <n v="0"/>
    <n v="0"/>
    <n v="-1.7553423717867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3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51.78"/>
    <n v="51.78"/>
    <n v="51.78"/>
    <n v="51.78"/>
    <m/>
    <n v="281.47000000000003"/>
    <n v="173.25"/>
    <m/>
    <n v="23545.401600000001"/>
    <n v="23545.401600000001"/>
    <n v="21980.61"/>
    <n v="0"/>
    <n v="0"/>
    <n v="0"/>
    <n v="0"/>
    <n v="132.53284475352885"/>
    <n v="127.33434490250811"/>
    <n v="12196.111337998718"/>
    <n v="8820.2295669075065"/>
    <n v="150.53655221142594"/>
    <n v="0"/>
    <n v="0"/>
    <n v="0"/>
    <n v="0"/>
    <n v="0"/>
    <m/>
    <n v="62.542820669701641"/>
    <n v="281.34122146226974"/>
    <n v="1311.8526102623553"/>
    <n v="0"/>
    <n v="0"/>
    <n v="0"/>
    <n v="0"/>
    <n v="0"/>
    <n v="0"/>
    <n v="0"/>
    <n v="0"/>
    <n v="0"/>
    <n v="0"/>
    <m/>
    <n v="0"/>
    <n v="0"/>
    <n v="0"/>
    <n v="0"/>
    <n v="0"/>
    <n v="462.90242070036305"/>
    <n v="0"/>
    <n v="7.44"/>
    <n v="81.040000000000006"/>
    <n v="5679.59"/>
    <n v="98"/>
    <m/>
    <m/>
    <m/>
    <m/>
    <m/>
    <m/>
    <m/>
    <n v="8792.7618000000002"/>
    <m/>
    <n v="9283.1319876078687"/>
    <m/>
    <m/>
    <m/>
    <m/>
    <m/>
    <m/>
    <m/>
    <m/>
    <m/>
    <m/>
    <m/>
    <m/>
    <n v="13187.8482"/>
    <n v="-939.31919999999991"/>
    <m/>
    <m/>
    <m/>
    <m/>
    <n v="-2682.7218000000016"/>
    <n v="1117.9302000000002"/>
    <m/>
    <n v="1464.5695765316868"/>
    <n v="28.035051367996175"/>
    <n v="130.72330860295801"/>
    <n v="0"/>
    <n v="0"/>
    <n v="0"/>
    <n v="0"/>
    <n v="0"/>
    <n v="131.11218466394234"/>
    <n v="0"/>
    <n v="0"/>
    <n v="1117.803979215636"/>
    <n v="0"/>
    <n v="0"/>
    <n v="0"/>
    <n v="58.664478506181297"/>
    <n v="0"/>
    <n v="0"/>
    <m/>
    <n v="0"/>
    <n v="0"/>
    <n v="0"/>
    <n v="0"/>
    <n v="0"/>
    <n v="-1.7694258250294865"/>
    <n v="0"/>
    <n v="0"/>
    <m/>
    <m/>
    <m/>
    <n v="12196.111337998718"/>
    <n v="0"/>
    <n v="0"/>
    <n v="-2682.7218000000012"/>
    <n v="1117.9302000000007"/>
    <n v="0"/>
    <n v="0"/>
    <n v="-3029.7209337039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4"/>
    <s v="Sistema de Compensação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.4999999999999999E-2"/>
    <n v="3.0000000000000001E-3"/>
    <n v="1.4999999999999999E-2"/>
    <n v="3.0000000000000001E-3"/>
    <m/>
    <n v="281.47000000000003"/>
    <n v="173.25"/>
    <m/>
    <n v="6.8208000000000002"/>
    <n v="6.8208000000000002"/>
    <n v="6.3674999999999997"/>
    <n v="0"/>
    <n v="0"/>
    <n v="0"/>
    <n v="0"/>
    <n v="3.8393060473212295E-2"/>
    <n v="3.6887121930042899E-2"/>
    <n v="3.53305658690577"/>
    <n v="2.5551070587796949"/>
    <n v="4.3608502958118751E-2"/>
    <n v="0"/>
    <n v="0"/>
    <n v="0"/>
    <n v="0"/>
    <n v="0"/>
    <m/>
    <n v="1.8117850715440798E-2"/>
    <n v="8.1500933216184748E-2"/>
    <n v="0.38002682800184101"/>
    <n v="0"/>
    <n v="0"/>
    <n v="0"/>
    <n v="0"/>
    <n v="0"/>
    <n v="0"/>
    <n v="0"/>
    <n v="0"/>
    <n v="0"/>
    <n v="0"/>
    <m/>
    <n v="0"/>
    <n v="0"/>
    <n v="0"/>
    <n v="0"/>
    <n v="0"/>
    <n v="0.13409687737553971"/>
    <n v="0"/>
    <n v="0"/>
    <n v="0.02"/>
    <n v="9.01"/>
    <n v="0"/>
    <m/>
    <m/>
    <m/>
    <m/>
    <m/>
    <m/>
    <m/>
    <n v="5.6034300000000004"/>
    <m/>
    <n v="2.6892039361552347"/>
    <m/>
    <m/>
    <m/>
    <m/>
    <m/>
    <m/>
    <m/>
    <m/>
    <m/>
    <m/>
    <m/>
    <m/>
    <n v="0"/>
    <n v="-0.84848999999999997"/>
    <m/>
    <m/>
    <m/>
    <m/>
    <n v="-0.77715000000000045"/>
    <n v="0.32385000000000003"/>
    <m/>
    <n v="0.42426696886781023"/>
    <n v="8.121393791424153E-3"/>
    <n v="3.7868861124843001E-2"/>
    <n v="0"/>
    <n v="0"/>
    <n v="0"/>
    <n v="0"/>
    <n v="0"/>
    <n v="3.7981513517943905E-2"/>
    <n v="0"/>
    <n v="0"/>
    <n v="0.32381343546223507"/>
    <n v="0"/>
    <n v="0"/>
    <n v="0"/>
    <n v="1.6994344874328299E-2"/>
    <n v="0"/>
    <n v="0"/>
    <m/>
    <n v="0"/>
    <n v="0"/>
    <n v="0"/>
    <n v="0"/>
    <n v="0"/>
    <n v="-5.1257990296334904E-4"/>
    <n v="0"/>
    <n v="0"/>
    <m/>
    <m/>
    <m/>
    <n v="3.53305658690577"/>
    <n v="0"/>
    <n v="0"/>
    <n v="-0.77715000000000067"/>
    <n v="0.32385000000000019"/>
    <n v="0"/>
    <n v="0"/>
    <n v="-0.87767118589338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5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54.945"/>
    <n v="54.945"/>
    <n v="54.945"/>
    <n v="54.945"/>
    <m/>
    <n v="281.47000000000003"/>
    <n v="173.25"/>
    <m/>
    <n v="24984.590400000001"/>
    <n v="24984.590400000001"/>
    <n v="23324.1525"/>
    <n v="0"/>
    <n v="0"/>
    <n v="0"/>
    <n v="0"/>
    <n v="140.63378051337665"/>
    <n v="135.11752762974714"/>
    <n v="12941.586277835837"/>
    <n v="9359.3571563100231"/>
    <n v="159.73794633558899"/>
    <n v="0"/>
    <n v="0"/>
    <n v="0"/>
    <n v="0"/>
    <n v="0"/>
    <m/>
    <n v="66.365687170659641"/>
    <n v="298.53791837088471"/>
    <n v="1392.0382709707435"/>
    <n v="0"/>
    <n v="0"/>
    <n v="0"/>
    <n v="0"/>
    <n v="0"/>
    <n v="0"/>
    <n v="0"/>
    <n v="0"/>
    <n v="0"/>
    <n v="0"/>
    <m/>
    <n v="0"/>
    <n v="0"/>
    <n v="0"/>
    <n v="0"/>
    <n v="0"/>
    <n v="491.19686182660195"/>
    <n v="0"/>
    <n v="14.56"/>
    <n v="125.37"/>
    <n v="9219.5"/>
    <n v="413"/>
    <m/>
    <m/>
    <m/>
    <m/>
    <m/>
    <m/>
    <m/>
    <n v="2332.9647000000004"/>
    <m/>
    <n v="9850.554018136625"/>
    <m/>
    <m/>
    <m/>
    <m/>
    <m/>
    <m/>
    <m/>
    <m/>
    <m/>
    <m/>
    <m/>
    <m/>
    <n v="20993.097999999998"/>
    <n v="-1492.6238000000012"/>
    <m/>
    <m/>
    <m/>
    <m/>
    <n v="-2846.7004500000016"/>
    <n v="1186.2625500000001"/>
    <m/>
    <n v="1554.0899069627922"/>
    <n v="29.748665457986704"/>
    <n v="138.71363830030009"/>
    <n v="0"/>
    <n v="0"/>
    <n v="0"/>
    <n v="0"/>
    <n v="0"/>
    <n v="139.12628401622851"/>
    <n v="0"/>
    <n v="0"/>
    <n v="1186.1286140981665"/>
    <n v="0"/>
    <n v="0"/>
    <n v="0"/>
    <n v="62.250285274664577"/>
    <n v="0"/>
    <n v="0"/>
    <m/>
    <n v="0"/>
    <n v="0"/>
    <n v="0"/>
    <n v="0"/>
    <n v="0"/>
    <n v="-1.8775801845547448"/>
    <n v="0"/>
    <n v="0"/>
    <m/>
    <m/>
    <m/>
    <n v="12941.586277835837"/>
    <n v="0"/>
    <n v="0"/>
    <n v="-2846.7004500000021"/>
    <n v="1186.2625499999995"/>
    <n v="0"/>
    <n v="0"/>
    <n v="-3214.9095539274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6"/>
    <s v="Sistema de Compensação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.2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47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24.434000000000001"/>
    <n v="24.434000000000001"/>
    <n v="24.434000000000001"/>
    <n v="24.434000000000001"/>
    <m/>
    <n v="281.47000000000003"/>
    <n v="173.25"/>
    <m/>
    <n v="11110.628480000001"/>
    <n v="11110.628480000001"/>
    <n v="10372.233"/>
    <n v="0"/>
    <n v="0"/>
    <n v="0"/>
    <n v="0"/>
    <n v="62.539735973497955"/>
    <n v="60.086662482577886"/>
    <n v="5755.1136429637063"/>
    <n v="4162.0990582815384"/>
    <n v="71.035344085244915"/>
    <n v="0"/>
    <n v="0"/>
    <n v="0"/>
    <n v="0"/>
    <n v="0"/>
    <m/>
    <n v="29.512770958738699"/>
    <n v="132.7595868136172"/>
    <n v="619.03836769313227"/>
    <n v="0"/>
    <n v="0"/>
    <n v="0"/>
    <n v="0"/>
    <n v="0"/>
    <n v="0"/>
    <n v="0"/>
    <n v="0"/>
    <n v="0"/>
    <n v="0"/>
    <m/>
    <n v="0"/>
    <n v="0"/>
    <n v="0"/>
    <n v="0"/>
    <n v="0"/>
    <n v="218.43487345292917"/>
    <n v="0"/>
    <n v="8.4600000000000009"/>
    <n v="66.290000000000006"/>
    <n v="4707.3900000000003"/>
    <n v="262"/>
    <m/>
    <m/>
    <m/>
    <m/>
    <m/>
    <m/>
    <m/>
    <m/>
    <m/>
    <n v="4380.5339317344678"/>
    <m/>
    <m/>
    <m/>
    <m/>
    <m/>
    <m/>
    <m/>
    <m/>
    <m/>
    <m/>
    <m/>
    <m/>
    <n v="10370.535"/>
    <n v="-740.12348000000202"/>
    <m/>
    <m/>
    <m/>
    <m/>
    <n v="-1265.9255400000009"/>
    <n v="527.53006000000016"/>
    <m/>
    <n v="691.10260782107434"/>
    <n v="13.229209059977194"/>
    <n v="61.685850181627529"/>
    <n v="0"/>
    <n v="0"/>
    <n v="0"/>
    <n v="0"/>
    <n v="0"/>
    <n v="61.86935341982943"/>
    <n v="0"/>
    <n v="0"/>
    <n v="527.47049880561644"/>
    <n v="0"/>
    <n v="0"/>
    <n v="0"/>
    <n v="27.682654843955845"/>
    <n v="0"/>
    <n v="0"/>
    <m/>
    <n v="0"/>
    <n v="0"/>
    <n v="0"/>
    <n v="0"/>
    <n v="0"/>
    <n v="-0.83495848993376498"/>
    <n v="0"/>
    <n v="0"/>
    <m/>
    <m/>
    <m/>
    <n v="5755.1136429637063"/>
    <n v="0"/>
    <n v="0"/>
    <n v="-1265.9255400000002"/>
    <n v="527.53006000000005"/>
    <n v="0"/>
    <n v="0"/>
    <n v="-1429.6678504079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48"/>
    <s v="Sistema de Compensação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.9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49"/>
    <s v="Regular"/>
    <s v="Branca"/>
    <s v="B1"/>
    <s v="Residencial"/>
    <s v="Residencial"/>
    <s v="Não se aplica"/>
    <s v="Não se aplica"/>
    <s v="Ponta"/>
    <s v="CATIVO"/>
    <x v="5"/>
    <n v="0"/>
    <n v="0"/>
    <n v="0.39100000000000001"/>
    <n v="0.39100000000000001"/>
    <n v="0.39100000000000001"/>
    <n v="0.39100000000000001"/>
    <m/>
    <n v="775.22"/>
    <n v="173.25"/>
    <m/>
    <n v="370.85176999999999"/>
    <n v="370.85176999999999"/>
    <n v="327.07150000000001"/>
    <n v="0"/>
    <n v="24.064166630953828"/>
    <n v="0"/>
    <n v="0"/>
    <n v="2.5017704358763138"/>
    <n v="2.4036516453937793"/>
    <n v="230.2374788060466"/>
    <n v="66.603123998857384"/>
    <n v="1.1367283104416288"/>
    <n v="0"/>
    <n v="0"/>
    <n v="0"/>
    <n v="0"/>
    <n v="3.7180308384342355"/>
    <m/>
    <n v="0.47227197531582349"/>
    <n v="5.3108431479696785"/>
    <n v="24.763493958859375"/>
    <n v="0"/>
    <n v="0"/>
    <n v="0"/>
    <n v="0"/>
    <n v="0"/>
    <n v="0"/>
    <n v="0"/>
    <n v="0"/>
    <n v="0"/>
    <n v="0"/>
    <m/>
    <n v="0"/>
    <n v="0"/>
    <n v="0"/>
    <n v="0"/>
    <n v="0"/>
    <n v="3.4954586035890687"/>
    <n v="0"/>
    <n v="0"/>
    <n v="0"/>
    <n v="0"/>
    <n v="0"/>
    <m/>
    <m/>
    <m/>
    <m/>
    <m/>
    <m/>
    <m/>
    <m/>
    <m/>
    <n v="70.098582602446456"/>
    <m/>
    <m/>
    <m/>
    <m/>
    <m/>
    <m/>
    <m/>
    <m/>
    <m/>
    <m/>
    <m/>
    <m/>
    <n v="326.23500000000001"/>
    <n v="-44.646769999999947"/>
    <m/>
    <m/>
    <m/>
    <m/>
    <n v="-52.221960000000024"/>
    <n v="8.4416900000000012"/>
    <m/>
    <n v="13.412656504911268"/>
    <n v="0.52921416807264254"/>
    <n v="2.4676292424528086"/>
    <n v="0"/>
    <n v="0"/>
    <n v="0"/>
    <n v="0"/>
    <n v="0"/>
    <n v="2.4749647759207969"/>
    <n v="0"/>
    <n v="0"/>
    <n v="8.440736884382261"/>
    <n v="0"/>
    <n v="0"/>
    <n v="0"/>
    <n v="0.44298592305749107"/>
    <n v="0"/>
    <n v="-0.81714294994785064"/>
    <m/>
    <n v="0"/>
    <n v="0"/>
    <n v="0"/>
    <n v="0"/>
    <n v="-0.11237028955631434"/>
    <n v="-1.3361249470577985E-2"/>
    <n v="0"/>
    <n v="0"/>
    <m/>
    <m/>
    <m/>
    <n v="230.2374788060466"/>
    <n v="0"/>
    <n v="0"/>
    <n v="-52.221959999999996"/>
    <n v="8.4416899999999941"/>
    <n v="0"/>
    <n v="0"/>
    <n v="-57.194895153880736"/>
    <n v="0"/>
    <n v="0"/>
    <n v="0"/>
    <n v="0"/>
    <n v="0"/>
    <n v="0"/>
    <n v="0"/>
    <n v="0"/>
    <n v="0"/>
    <n v="0"/>
    <n v="0"/>
    <n v="0"/>
    <n v="6.145558971394522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0"/>
    <s v="Regular"/>
    <s v="Branca"/>
    <s v="B1"/>
    <s v="Residencial"/>
    <s v="Residencial"/>
    <s v="Não se aplica"/>
    <s v="Não se aplica"/>
    <s v="Fora ponta"/>
    <s v="CATIVO"/>
    <x v="5"/>
    <n v="0"/>
    <n v="0"/>
    <n v="4.0460000000000003"/>
    <n v="4.0460000000000003"/>
    <n v="4.0460000000000003"/>
    <n v="4.0460000000000003"/>
    <m/>
    <n v="232.58"/>
    <n v="173.25"/>
    <m/>
    <n v="1641.9881800000003"/>
    <n v="1641.9881800000003"/>
    <n v="1617.1457400000002"/>
    <n v="0"/>
    <n v="249.01181122465266"/>
    <n v="0"/>
    <n v="0"/>
    <n v="5.1779440891538995"/>
    <n v="4.9748431776317865"/>
    <n v="476.49156502069155"/>
    <n v="689.19754398817645"/>
    <n v="11.7626668645699"/>
    <n v="0"/>
    <n v="0"/>
    <n v="0"/>
    <n v="0"/>
    <n v="38.473536502058607"/>
    <m/>
    <n v="4.8869882663115654"/>
    <n v="10.992204149539829"/>
    <n v="51.252951536514963"/>
    <n v="0"/>
    <n v="0"/>
    <n v="0"/>
    <n v="0"/>
    <n v="0"/>
    <n v="0"/>
    <n v="0"/>
    <n v="0"/>
    <n v="0"/>
    <n v="0"/>
    <m/>
    <n v="0"/>
    <n v="0"/>
    <n v="0"/>
    <n v="0"/>
    <n v="0"/>
    <n v="36.170397724095579"/>
    <n v="0"/>
    <n v="0"/>
    <n v="0"/>
    <n v="0"/>
    <n v="0"/>
    <m/>
    <m/>
    <m/>
    <m/>
    <m/>
    <m/>
    <m/>
    <m/>
    <m/>
    <n v="725.367941712272"/>
    <m/>
    <m/>
    <m/>
    <m/>
    <m/>
    <m/>
    <m/>
    <m/>
    <m/>
    <m/>
    <m/>
    <m/>
    <n v="1618.7444999999998"/>
    <n v="-23.273680000000468"/>
    <m/>
    <m/>
    <m/>
    <m/>
    <n v="-112.19558000000008"/>
    <n v="87.353140000000025"/>
    <m/>
    <n v="93.495554224163016"/>
    <n v="1.0953496482959473"/>
    <n v="5.1072470703704909"/>
    <n v="0"/>
    <n v="0"/>
    <n v="0"/>
    <n v="0"/>
    <n v="0"/>
    <n v="5.1224401231200343"/>
    <n v="0"/>
    <n v="0"/>
    <n v="87.343277325346776"/>
    <n v="0"/>
    <n v="0"/>
    <n v="0"/>
    <n v="4.58394129076882"/>
    <n v="0"/>
    <n v="-8.4556531342429651"/>
    <m/>
    <n v="0"/>
    <n v="0"/>
    <n v="0"/>
    <n v="0"/>
    <n v="-1.1627882136696854"/>
    <n v="-0.13825988582598114"/>
    <n v="0"/>
    <n v="0"/>
    <m/>
    <m/>
    <m/>
    <n v="476.49156502069155"/>
    <n v="0"/>
    <n v="0"/>
    <n v="-112.19558000000006"/>
    <n v="87.353140000000053"/>
    <n v="0"/>
    <n v="0"/>
    <n v="-118.36858727082011"/>
    <n v="0"/>
    <n v="0"/>
    <n v="0"/>
    <n v="0"/>
    <n v="0"/>
    <n v="0"/>
    <n v="0"/>
    <n v="0"/>
    <n v="0"/>
    <n v="0"/>
    <n v="0"/>
    <n v="0"/>
    <n v="63.59317544312592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1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89"/>
    <n v="16.899999999999999"/>
    <n v="1196.46"/>
    <n v="1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52"/>
    <s v="Regular"/>
    <s v="Branca"/>
    <s v="B1"/>
    <s v="Residencial"/>
    <s v="Residencial"/>
    <s v="Não se aplica"/>
    <s v="Não se aplica"/>
    <s v="Intermediário"/>
    <s v="CATIVO"/>
    <x v="5"/>
    <n v="0"/>
    <n v="0"/>
    <n v="0.29399999999999998"/>
    <n v="0.29399999999999998"/>
    <n v="0.29399999999999998"/>
    <n v="0.29399999999999998"/>
    <m/>
    <n v="503.9"/>
    <n v="173.25"/>
    <m/>
    <n v="199.08209999999997"/>
    <n v="199.08209999999997"/>
    <n v="181.71845999999999"/>
    <n v="0"/>
    <n v="18.094283860614897"/>
    <n v="0"/>
    <n v="0"/>
    <n v="1.1286226340284562"/>
    <n v="1.0843637922404199"/>
    <n v="103.87180033252378"/>
    <n v="50.080098352082018"/>
    <n v="0.8547266579791275"/>
    <n v="0"/>
    <n v="0"/>
    <n v="0"/>
    <n v="0"/>
    <n v="2.7956549015336702"/>
    <m/>
    <n v="0.35510987402263966"/>
    <n v="2.3959011092264149"/>
    <n v="11.171594948413674"/>
    <n v="0"/>
    <n v="0"/>
    <n v="0"/>
    <n v="0"/>
    <n v="0"/>
    <n v="0"/>
    <n v="0"/>
    <n v="0"/>
    <n v="0"/>
    <n v="0"/>
    <m/>
    <n v="0"/>
    <n v="0"/>
    <n v="0"/>
    <n v="0"/>
    <n v="0"/>
    <n v="2.628298796560578"/>
    <n v="0"/>
    <n v="0"/>
    <n v="0"/>
    <n v="0"/>
    <n v="0"/>
    <m/>
    <m/>
    <m/>
    <m/>
    <m/>
    <m/>
    <m/>
    <m/>
    <m/>
    <n v="52.708397148642597"/>
    <m/>
    <m/>
    <m/>
    <m/>
    <m/>
    <m/>
    <m/>
    <m/>
    <m/>
    <m/>
    <m/>
    <m/>
    <n v="179.24609999999998"/>
    <n v="-19.865999999999957"/>
    <m/>
    <m/>
    <m/>
    <m/>
    <n v="-23.711099999999991"/>
    <n v="6.3474600000000008"/>
    <m/>
    <n v="8.4393754435980526"/>
    <n v="0.23874642443325467"/>
    <n v="1.1132255579661852"/>
    <n v="0"/>
    <n v="0"/>
    <n v="0"/>
    <n v="0"/>
    <n v="0"/>
    <n v="1.1165354161123779"/>
    <n v="0"/>
    <n v="0"/>
    <n v="6.3467433350598057"/>
    <n v="0"/>
    <n v="0"/>
    <n v="0"/>
    <n v="0.33308915953683504"/>
    <n v="0"/>
    <n v="-0.61442462221142691"/>
    <m/>
    <n v="0"/>
    <n v="0"/>
    <n v="0"/>
    <n v="0"/>
    <n v="-8.4493261200911274E-2"/>
    <n v="-1.0046566098081688E-2"/>
    <n v="0"/>
    <n v="0"/>
    <m/>
    <m/>
    <m/>
    <n v="103.87180033252378"/>
    <n v="0"/>
    <n v="0"/>
    <n v="-23.711099999999988"/>
    <n v="6.3474599999999981"/>
    <n v="0"/>
    <n v="0"/>
    <n v="-25.803517134880622"/>
    <n v="0"/>
    <n v="0"/>
    <n v="0"/>
    <n v="0"/>
    <n v="0"/>
    <n v="0"/>
    <n v="0"/>
    <n v="0"/>
    <n v="0"/>
    <n v="0"/>
    <n v="0"/>
    <n v="0"/>
    <n v="4.62095738514063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3"/>
    <s v="Regular"/>
    <s v="Convencional"/>
    <s v="B3"/>
    <s v="Industrial"/>
    <s v="Não se aplica"/>
    <s v="Não se aplica"/>
    <s v="Não se aplica"/>
    <s v="Não se aplica"/>
    <s v="CATIVO"/>
    <x v="5"/>
    <n v="0"/>
    <n v="0"/>
    <n v="479.33699999999999"/>
    <n v="479.33699999999999"/>
    <n v="479.33699999999999"/>
    <n v="479.33699999999999"/>
    <m/>
    <n v="368.24"/>
    <n v="173.25"/>
    <m/>
    <n v="259556.19212999998"/>
    <n v="259556.19212999998"/>
    <n v="243929.80593"/>
    <n v="0"/>
    <n v="29500.883479236607"/>
    <n v="0"/>
    <n v="0"/>
    <n v="1226.8809618698776"/>
    <n v="1178.7574909720649"/>
    <n v="112901.64967984341"/>
    <n v="81650.490148952173"/>
    <n v="1393.5445988290512"/>
    <n v="0"/>
    <n v="0"/>
    <n v="0"/>
    <n v="0"/>
    <n v="4558.0300460423296"/>
    <m/>
    <n v="578.97041389248307"/>
    <n v="2604.4275216697565"/>
    <n v="12144.06131026123"/>
    <n v="0"/>
    <n v="0"/>
    <n v="0"/>
    <n v="0"/>
    <n v="0"/>
    <n v="0"/>
    <n v="0"/>
    <n v="0"/>
    <n v="0"/>
    <n v="0"/>
    <m/>
    <n v="0"/>
    <n v="0"/>
    <n v="0"/>
    <n v="0"/>
    <n v="0"/>
    <n v="4285.1729940372716"/>
    <n v="0"/>
    <n v="218.48"/>
    <n v="1884.57"/>
    <n v="67469.03"/>
    <n v="284"/>
    <m/>
    <m/>
    <m/>
    <m/>
    <m/>
    <m/>
    <m/>
    <m/>
    <m/>
    <n v="85935.663142989448"/>
    <m/>
    <m/>
    <m/>
    <m/>
    <m/>
    <m/>
    <m/>
    <m/>
    <m/>
    <m/>
    <m/>
    <m/>
    <n v="243931.33259999997"/>
    <n v="-15624.889530000044"/>
    <m/>
    <m/>
    <m/>
    <m/>
    <n v="-25975.27203"/>
    <n v="10348.885830000001"/>
    <m/>
    <n v="12418.276112993539"/>
    <n v="259.5256357199919"/>
    <n v="1210.1297523332596"/>
    <n v="0"/>
    <n v="0"/>
    <n v="0"/>
    <n v="0"/>
    <n v="0"/>
    <n v="1213.7296496767119"/>
    <n v="0"/>
    <n v="0"/>
    <n v="10347.717380944086"/>
    <n v="0"/>
    <n v="0"/>
    <n v="0"/>
    <n v="543.06788593506008"/>
    <n v="0"/>
    <n v="-1001.7566501257061"/>
    <m/>
    <n v="0"/>
    <n v="0"/>
    <n v="0"/>
    <n v="0"/>
    <n v="-137.75764062673898"/>
    <n v="-16.379900863116177"/>
    <n v="0"/>
    <n v="0"/>
    <m/>
    <m/>
    <m/>
    <n v="112901.64967984341"/>
    <n v="0"/>
    <n v="0"/>
    <n v="-25975.272029999993"/>
    <n v="10348.885830000014"/>
    <n v="0"/>
    <n v="0"/>
    <n v="-28046.684882171685"/>
    <n v="0"/>
    <n v="0"/>
    <n v="0"/>
    <n v="0"/>
    <n v="0"/>
    <n v="0"/>
    <n v="0"/>
    <n v="0"/>
    <n v="0"/>
    <n v="0"/>
    <n v="0"/>
    <n v="0"/>
    <n v="7533.99949020801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4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36.176000000000002"/>
    <n v="36.176000000000002"/>
    <n v="36.176000000000002"/>
    <n v="36.176000000000002"/>
    <m/>
    <n v="368.24"/>
    <n v="173.25"/>
    <m/>
    <n v="19588.942240000004"/>
    <n v="19588.942240000004"/>
    <n v="18409.604640000001"/>
    <n v="0"/>
    <n v="2226.4585474204237"/>
    <n v="0"/>
    <n v="0"/>
    <n v="92.59382371192855"/>
    <n v="88.961901529415471"/>
    <n v="8520.7903391935433"/>
    <n v="6162.2368638942835"/>
    <n v="105.17208020086028"/>
    <n v="0"/>
    <n v="0"/>
    <n v="0"/>
    <n v="0"/>
    <n v="343.99867931252402"/>
    <m/>
    <n v="43.695424498785755"/>
    <n v="196.55851733524662"/>
    <n v="916.52336865297343"/>
    <n v="0"/>
    <n v="0"/>
    <n v="0"/>
    <n v="0"/>
    <n v="0"/>
    <n v="0"/>
    <n v="0"/>
    <n v="0"/>
    <n v="0"/>
    <n v="0"/>
    <m/>
    <n v="0"/>
    <n v="0"/>
    <n v="0"/>
    <n v="0"/>
    <n v="0"/>
    <n v="323.40590906250162"/>
    <n v="0"/>
    <n v="17.13"/>
    <n v="149.06"/>
    <n v="10508.52"/>
    <n v="48"/>
    <m/>
    <m/>
    <m/>
    <m/>
    <m/>
    <m/>
    <m/>
    <m/>
    <m/>
    <n v="6485.6427729567849"/>
    <m/>
    <m/>
    <m/>
    <m/>
    <m/>
    <m/>
    <m/>
    <m/>
    <m/>
    <m/>
    <m/>
    <m/>
    <n v="18411.640200000002"/>
    <n v="-1177.3320399999975"/>
    <m/>
    <m/>
    <m/>
    <m/>
    <n v="-1960.37744"/>
    <n v="781.03984000000014"/>
    <m/>
    <n v="937.21860958710386"/>
    <n v="19.586636119904028"/>
    <n v="91.329594670154734"/>
    <n v="0"/>
    <n v="0"/>
    <n v="0"/>
    <n v="0"/>
    <n v="0"/>
    <n v="91.601282201675915"/>
    <n v="0"/>
    <n v="0"/>
    <n v="780.95165608545358"/>
    <n v="0"/>
    <n v="0"/>
    <n v="0"/>
    <n v="40.985828011580054"/>
    <n v="0"/>
    <n v="-75.603486847348904"/>
    <m/>
    <n v="0"/>
    <n v="0"/>
    <n v="0"/>
    <n v="0"/>
    <n v="-10.39669461634071"/>
    <n v="-1.2362060379734743"/>
    <n v="0"/>
    <n v="0"/>
    <m/>
    <m/>
    <m/>
    <n v="8520.7903391935433"/>
    <n v="0"/>
    <n v="0"/>
    <n v="-1960.3774400000002"/>
    <n v="781.03984000000037"/>
    <n v="0"/>
    <n v="0"/>
    <n v="-2116.7088547252624"/>
    <n v="0"/>
    <n v="0"/>
    <n v="0"/>
    <n v="0"/>
    <n v="0"/>
    <n v="0"/>
    <n v="0"/>
    <n v="0"/>
    <n v="0"/>
    <n v="0"/>
    <n v="0"/>
    <n v="0"/>
    <n v="568.5978039620671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5"/>
    <s v="Regular"/>
    <s v="Azul"/>
    <s v="A4"/>
    <s v="Industrial"/>
    <s v="Não se aplica"/>
    <s v="Não se aplica"/>
    <s v="Não se aplica"/>
    <s v="Ponta"/>
    <s v="CATIVO"/>
    <x v="5"/>
    <n v="10052"/>
    <n v="10052"/>
    <n v="514.83100000000002"/>
    <n v="514.83100000000002"/>
    <n v="514.83100000000002"/>
    <n v="514.83100000000002"/>
    <n v="52.95"/>
    <n v="85.01"/>
    <n v="173.25"/>
    <n v="532253.4"/>
    <n v="132960.25406000001"/>
    <n v="665213.65405999997"/>
    <n v="588268.95476999995"/>
    <n v="0"/>
    <n v="27566.270344192082"/>
    <n v="0"/>
    <n v="0"/>
    <n v="7917.6211797509804"/>
    <n v="7606.8686208515546"/>
    <n v="421517.69301633735"/>
    <n v="87696.554811907277"/>
    <n v="1496.7339457620824"/>
    <n v="0"/>
    <n v="0"/>
    <n v="0"/>
    <n v="0"/>
    <n v="4895.5435667057181"/>
    <m/>
    <n v="412.28378354077694"/>
    <n v="16807.455472340604"/>
    <n v="78369.663245488831"/>
    <n v="0"/>
    <n v="0"/>
    <n v="0"/>
    <n v="0"/>
    <n v="0"/>
    <n v="0"/>
    <n v="0"/>
    <n v="0"/>
    <n v="0"/>
    <n v="0"/>
    <m/>
    <n v="0"/>
    <n v="0"/>
    <n v="0"/>
    <n v="0"/>
    <n v="0"/>
    <n v="3850.2442472851089"/>
    <n v="0"/>
    <n v="0"/>
    <n v="0"/>
    <n v="0"/>
    <n v="0"/>
    <m/>
    <m/>
    <m/>
    <m/>
    <m/>
    <m/>
    <m/>
    <m/>
    <m/>
    <n v="91546.799059192388"/>
    <m/>
    <m/>
    <m/>
    <m/>
    <m/>
    <m/>
    <m/>
    <m/>
    <m/>
    <m/>
    <m/>
    <m/>
    <n v="588268.67610000004"/>
    <n v="-76945.007959999959"/>
    <m/>
    <m/>
    <m/>
    <m/>
    <n v="-88059.90058000003"/>
    <n v="11115.201290000003"/>
    <m/>
    <n v="27822.959827398299"/>
    <n v="1674.8270128470213"/>
    <n v="7809.3694317542395"/>
    <n v="0"/>
    <n v="0"/>
    <n v="0"/>
    <n v="0"/>
    <n v="0"/>
    <n v="7832.5542421021446"/>
    <n v="0"/>
    <n v="0"/>
    <n v="11113.94631949719"/>
    <n v="0"/>
    <n v="0"/>
    <n v="0"/>
    <n v="487.94856278058796"/>
    <n v="0"/>
    <n v="-936.06330996469114"/>
    <m/>
    <n v="0"/>
    <n v="0"/>
    <n v="0"/>
    <n v="0"/>
    <n v="-147.95833386845698"/>
    <n v="-11.664097749773305"/>
    <n v="0"/>
    <n v="0"/>
    <m/>
    <m/>
    <n v="421517.69301633735"/>
    <n v="0"/>
    <n v="0"/>
    <n v="0"/>
    <n v="-88059.900580000016"/>
    <n v="11115.201289999997"/>
    <n v="0"/>
    <n v="0"/>
    <n v="-104712.14496699831"/>
    <n v="0"/>
    <n v="0"/>
    <n v="0"/>
    <n v="0"/>
    <n v="0"/>
    <n v="0"/>
    <n v="0"/>
    <n v="0"/>
    <n v="0"/>
    <n v="0"/>
    <n v="0"/>
    <n v="0"/>
    <n v="7039.933799482756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6"/>
    <s v="Regular"/>
    <s v="Azul"/>
    <s v="A4"/>
    <s v="Industrial"/>
    <s v="Não se aplica"/>
    <s v="Não se aplica"/>
    <s v="Não se aplica"/>
    <s v="Fora ponta"/>
    <s v="CATIVO"/>
    <x v="5"/>
    <n v="10988"/>
    <n v="10988"/>
    <n v="4458.8580000000002"/>
    <n v="4458.8580000000002"/>
    <n v="4458.8580000000002"/>
    <n v="4458.8580000000002"/>
    <n v="27.19"/>
    <n v="85.01"/>
    <n v="173.25"/>
    <n v="298763.72000000003"/>
    <n v="1151544.66708"/>
    <n v="1450308.3870800002"/>
    <n v="1481648.83886"/>
    <n v="0"/>
    <n v="238746.47224888092"/>
    <n v="0"/>
    <n v="0"/>
    <n v="2562.4083403420732"/>
    <n v="2461.694815002219"/>
    <n v="262965.14831183659"/>
    <n v="759523.96999308758"/>
    <n v="12962.941485522098"/>
    <n v="0"/>
    <n v="0"/>
    <n v="0"/>
    <n v="0"/>
    <n v="42399.415724294624"/>
    <m/>
    <n v="3570.7151405239033"/>
    <n v="5437.7945240220188"/>
    <n v="25361.280207010252"/>
    <n v="0"/>
    <n v="0"/>
    <n v="0"/>
    <n v="0"/>
    <n v="0"/>
    <n v="0"/>
    <n v="0"/>
    <n v="0"/>
    <n v="0"/>
    <n v="0"/>
    <m/>
    <n v="0"/>
    <n v="0"/>
    <n v="0"/>
    <n v="0"/>
    <n v="0"/>
    <n v="33346.267734385045"/>
    <n v="0"/>
    <n v="0"/>
    <n v="0"/>
    <n v="0"/>
    <n v="0"/>
    <m/>
    <m/>
    <m/>
    <m/>
    <m/>
    <m/>
    <m/>
    <m/>
    <m/>
    <n v="792870.23772747268"/>
    <m/>
    <m/>
    <m/>
    <m/>
    <m/>
    <m/>
    <m/>
    <m/>
    <m/>
    <m/>
    <m/>
    <m/>
    <n v="1481649.3961999998"/>
    <n v="31340.979119999567"/>
    <m/>
    <m/>
    <m/>
    <m/>
    <n v="-64926.292440000027"/>
    <n v="96266.744220000022"/>
    <m/>
    <n v="96596.165542988339"/>
    <n v="541.86460134498884"/>
    <n v="2527.1973643472338"/>
    <n v="0"/>
    <n v="0"/>
    <n v="0"/>
    <n v="0"/>
    <n v="0"/>
    <n v="2534.7300087651656"/>
    <n v="0"/>
    <n v="0"/>
    <n v="96255.875147884712"/>
    <n v="0"/>
    <n v="0"/>
    <n v="0"/>
    <n v="4226.0340825294625"/>
    <n v="0"/>
    <n v="-8107.0747063454473"/>
    <m/>
    <n v="0"/>
    <n v="0"/>
    <n v="0"/>
    <n v="0"/>
    <n v="-1281.4403185434494"/>
    <n v="-101.02063699419568"/>
    <n v="0"/>
    <n v="0"/>
    <m/>
    <m/>
    <n v="262965.14831183659"/>
    <n v="0"/>
    <n v="0"/>
    <n v="0"/>
    <n v="-64926.292440000107"/>
    <n v="96266.744219999993"/>
    <n v="0"/>
    <n v="0"/>
    <n v="-65325.003404376766"/>
    <n v="0"/>
    <n v="0"/>
    <n v="0"/>
    <n v="0"/>
    <n v="0"/>
    <n v="0"/>
    <n v="0"/>
    <n v="0"/>
    <n v="0"/>
    <n v="0"/>
    <n v="0"/>
    <n v="0"/>
    <n v="60971.5909517765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7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73.97"/>
    <n v="16919.88"/>
    <n v="594650.93999999994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58"/>
    <s v="Regular"/>
    <s v="Verde"/>
    <s v="A4"/>
    <s v="Industrial"/>
    <s v="Não se aplica"/>
    <s v="Não se aplica"/>
    <s v="Não se aplica"/>
    <s v="Ponta"/>
    <s v="CATIVO"/>
    <x v="5"/>
    <n v="0"/>
    <n v="0"/>
    <n v="182.18299999999999"/>
    <n v="182.18299999999999"/>
    <n v="182.18299999999999"/>
    <n v="182.18299999999999"/>
    <m/>
    <n v="1358.36"/>
    <n v="173.25"/>
    <m/>
    <n v="279033.30462999997"/>
    <n v="279033.30462999997"/>
    <n v="244657.19435999996"/>
    <n v="0"/>
    <n v="9754.8629164054728"/>
    <n v="0"/>
    <n v="0"/>
    <n v="3450.9264792331915"/>
    <n v="3315.5767454662805"/>
    <n v="183732.96136983996"/>
    <n v="31033.137952644076"/>
    <n v="529.64852629459654"/>
    <n v="0"/>
    <n v="0"/>
    <n v="0"/>
    <n v="0"/>
    <n v="1732.3836630139751"/>
    <m/>
    <n v="145.89466550539763"/>
    <n v="7325.7282196583701"/>
    <n v="34158.602201007947"/>
    <n v="0"/>
    <n v="0"/>
    <n v="0"/>
    <n v="0"/>
    <n v="0"/>
    <n v="0"/>
    <n v="0"/>
    <n v="0"/>
    <n v="0"/>
    <n v="0"/>
    <m/>
    <n v="0"/>
    <n v="0"/>
    <n v="0"/>
    <n v="0"/>
    <n v="0"/>
    <n v="1362.4840922616218"/>
    <n v="0"/>
    <n v="0"/>
    <n v="0"/>
    <n v="0"/>
    <n v="0"/>
    <m/>
    <m/>
    <m/>
    <m/>
    <m/>
    <m/>
    <m/>
    <m/>
    <m/>
    <n v="32395.622044905696"/>
    <m/>
    <m/>
    <m/>
    <m/>
    <m/>
    <m/>
    <m/>
    <m/>
    <m/>
    <m/>
    <m/>
    <m/>
    <n v="244653.16560000001"/>
    <n v="-34380.16902999999"/>
    <m/>
    <m/>
    <m/>
    <m/>
    <n v="-38309.441239999993"/>
    <n v="3933.3309700000004"/>
    <m/>
    <n v="11265.597539552982"/>
    <n v="729.99315876518813"/>
    <n v="3403.8316972781395"/>
    <n v="0"/>
    <n v="0"/>
    <n v="0"/>
    <n v="0"/>
    <n v="0"/>
    <n v="3413.9454744270283"/>
    <n v="0"/>
    <n v="0"/>
    <n v="3932.8868741877559"/>
    <n v="0"/>
    <n v="0"/>
    <n v="0"/>
    <n v="172.67012478474658"/>
    <n v="0"/>
    <n v="-331.24427627570549"/>
    <m/>
    <n v="0"/>
    <n v="0"/>
    <n v="0"/>
    <n v="0"/>
    <n v="-52.357944916209817"/>
    <n v="-4.1275686979745672"/>
    <n v="0"/>
    <n v="0"/>
    <m/>
    <m/>
    <m/>
    <n v="183732.96136983996"/>
    <n v="0"/>
    <n v="0"/>
    <n v="-38309.441239999986"/>
    <n v="3933.3309700000027"/>
    <n v="0"/>
    <n v="0"/>
    <n v="-45642.384186775133"/>
    <n v="0"/>
    <n v="0"/>
    <n v="0"/>
    <n v="0"/>
    <n v="0"/>
    <n v="0"/>
    <n v="0"/>
    <n v="0"/>
    <n v="0"/>
    <n v="0"/>
    <n v="0"/>
    <n v="0"/>
    <n v="2491.218010164824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59"/>
    <s v="Sistema de Compensação"/>
    <s v="Verde"/>
    <s v="A4"/>
    <s v="Industrial"/>
    <s v="Não se aplica"/>
    <s v="Não se aplica"/>
    <s v="Não se aplica"/>
    <s v="Ponta"/>
    <s v="CATIVO"/>
    <x v="5"/>
    <n v="0"/>
    <n v="0"/>
    <n v="0.32500000000000001"/>
    <n v="0.32500000000000001"/>
    <n v="0.32500000000000001"/>
    <n v="0.32500000000000001"/>
    <m/>
    <n v="1358.36"/>
    <n v="173.25"/>
    <m/>
    <n v="497.77324999999996"/>
    <n v="497.77324999999996"/>
    <n v="436.44899999999996"/>
    <n v="0"/>
    <n v="17.401900549621967"/>
    <n v="0"/>
    <n v="0"/>
    <n v="6.1561787090496223"/>
    <n v="5.9147255357335276"/>
    <n v="327.76500796011698"/>
    <n v="55.360652940226728"/>
    <n v="0.94485089742590633"/>
    <n v="0"/>
    <n v="0"/>
    <n v="0"/>
    <n v="0"/>
    <n v="3.0904348401307584"/>
    <m/>
    <n v="0.26026449388392014"/>
    <n v="13.06851721285175"/>
    <n v="60.936232883021923"/>
    <n v="0"/>
    <n v="0"/>
    <n v="0"/>
    <n v="0"/>
    <n v="0"/>
    <n v="0"/>
    <n v="0"/>
    <n v="0"/>
    <n v="0"/>
    <n v="0"/>
    <m/>
    <n v="0"/>
    <n v="0"/>
    <n v="0"/>
    <n v="0"/>
    <n v="0"/>
    <n v="2.4305633894766641"/>
    <n v="0"/>
    <n v="0"/>
    <n v="0"/>
    <n v="0"/>
    <n v="0"/>
    <m/>
    <m/>
    <m/>
    <m/>
    <m/>
    <m/>
    <m/>
    <m/>
    <m/>
    <n v="57.791216329703396"/>
    <m/>
    <m/>
    <m/>
    <m/>
    <m/>
    <m/>
    <m/>
    <m/>
    <m/>
    <m/>
    <m/>
    <m/>
    <n v="443.16359999999997"/>
    <n v="-54.639649999999961"/>
    <m/>
    <m/>
    <m/>
    <m/>
    <n v="-68.340999999999994"/>
    <n v="7.0167500000000009"/>
    <m/>
    <n v="20.096931109679389"/>
    <n v="1.3022498070549187"/>
    <n v="6.0721653590916631"/>
    <n v="0"/>
    <n v="0"/>
    <n v="0"/>
    <n v="0"/>
    <n v="0"/>
    <n v="6.0902075341210988"/>
    <n v="0"/>
    <n v="0"/>
    <n v="7.0159577683484216"/>
    <n v="0"/>
    <n v="0"/>
    <n v="0"/>
    <n v="0.30802978628655042"/>
    <n v="0"/>
    <n v="-0.59091347595332167"/>
    <m/>
    <n v="0"/>
    <n v="0"/>
    <n v="0"/>
    <n v="0"/>
    <n v="-9.3402414592844263E-2"/>
    <n v="-7.3632546771199014E-3"/>
    <n v="0"/>
    <n v="0"/>
    <m/>
    <m/>
    <m/>
    <n v="327.76500796011698"/>
    <n v="0"/>
    <n v="0"/>
    <n v="-68.341000000000008"/>
    <n v="7.0167500000000018"/>
    <n v="0"/>
    <n v="0"/>
    <n v="-81.422387712914599"/>
    <n v="0"/>
    <n v="0"/>
    <n v="0"/>
    <n v="0"/>
    <n v="0"/>
    <n v="0"/>
    <n v="0"/>
    <n v="0"/>
    <n v="0"/>
    <n v="0"/>
    <n v="0"/>
    <n v="0"/>
    <n v="4.444135036219450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60"/>
    <s v="Regular"/>
    <s v="Verde"/>
    <s v="A4"/>
    <s v="Industrial"/>
    <s v="Não se aplica"/>
    <s v="Não se aplica"/>
    <s v="Não se aplica"/>
    <s v="Fora ponta"/>
    <s v="CATIVO"/>
    <x v="5"/>
    <n v="0"/>
    <n v="0"/>
    <n v="2972.2910000000002"/>
    <n v="2972.2910000000002"/>
    <n v="2972.2910000000002"/>
    <n v="2972.2910000000002"/>
    <m/>
    <n v="85.01"/>
    <n v="173.25"/>
    <m/>
    <n v="767623.87366000004"/>
    <n v="767623.87366000004"/>
    <n v="828288.3329700001"/>
    <n v="0"/>
    <n v="159149.26888165053"/>
    <n v="0"/>
    <n v="0"/>
    <n v="0"/>
    <n v="0"/>
    <n v="0"/>
    <n v="506301.44765649061"/>
    <n v="8641.1440577259837"/>
    <n v="0"/>
    <n v="0"/>
    <n v="0"/>
    <n v="0"/>
    <n v="28263.605112021822"/>
    <m/>
    <n v="2380.25173166378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228.743653756872"/>
    <n v="0"/>
    <n v="0"/>
    <n v="0"/>
    <n v="0"/>
    <n v="0"/>
    <m/>
    <m/>
    <m/>
    <m/>
    <m/>
    <m/>
    <m/>
    <m/>
    <m/>
    <n v="528530.19131024752"/>
    <m/>
    <m/>
    <m/>
    <m/>
    <m/>
    <m/>
    <m/>
    <m/>
    <m/>
    <m/>
    <m/>
    <m/>
    <n v="828288.05429999996"/>
    <n v="60664.150639999891"/>
    <m/>
    <m/>
    <m/>
    <m/>
    <n v="-3507.3033800000203"/>
    <n v="64171.76269000001"/>
    <m/>
    <n v="60655.847983134328"/>
    <n v="0"/>
    <n v="0"/>
    <n v="0"/>
    <n v="0"/>
    <n v="0"/>
    <n v="0"/>
    <n v="0"/>
    <n v="0"/>
    <n v="0"/>
    <n v="0"/>
    <n v="64164.517326898756"/>
    <n v="0"/>
    <n v="0"/>
    <n v="0"/>
    <n v="2817.0897277274998"/>
    <n v="0"/>
    <n v="-5404.2055580146844"/>
    <m/>
    <n v="0"/>
    <n v="0"/>
    <n v="0"/>
    <n v="0"/>
    <n v="-854.21278853101467"/>
    <n v="-67.340724946188857"/>
    <n v="0"/>
    <n v="0"/>
    <m/>
    <m/>
    <m/>
    <n v="0"/>
    <n v="0"/>
    <n v="0"/>
    <n v="-3507.3033800000267"/>
    <n v="64171.762690000003"/>
    <n v="0"/>
    <n v="0"/>
    <n v="0"/>
    <n v="0"/>
    <n v="0"/>
    <n v="0"/>
    <n v="0"/>
    <n v="0"/>
    <n v="0"/>
    <n v="0"/>
    <n v="0"/>
    <n v="0"/>
    <n v="0"/>
    <n v="0"/>
    <n v="0"/>
    <n v="40643.88483366075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61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3.5640000000000001"/>
    <n v="3.5640000000000001"/>
    <n v="3.5640000000000001"/>
    <n v="3.5640000000000001"/>
    <m/>
    <n v="85.01"/>
    <n v="173.25"/>
    <m/>
    <n v="920.43863999999996"/>
    <n v="920.43863999999996"/>
    <n v="993.17988000000003"/>
    <n v="0"/>
    <n v="190.83191864262366"/>
    <n v="0"/>
    <n v="0"/>
    <n v="0"/>
    <n v="0"/>
    <n v="0"/>
    <n v="607.09343716605554"/>
    <n v="10.361380302849016"/>
    <n v="0"/>
    <n v="0"/>
    <n v="0"/>
    <n v="0"/>
    <n v="33.890183908387762"/>
    <m/>
    <n v="2.8541004806224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653932061830247"/>
    <n v="0"/>
    <n v="0"/>
    <n v="0"/>
    <n v="0"/>
    <n v="0"/>
    <m/>
    <m/>
    <m/>
    <m/>
    <m/>
    <m/>
    <m/>
    <m/>
    <m/>
    <n v="633.74736922788577"/>
    <m/>
    <m/>
    <m/>
    <m/>
    <m/>
    <m/>
    <m/>
    <m/>
    <m/>
    <m/>
    <m/>
    <m/>
    <n v="992.0652"/>
    <n v="71.596560000000068"/>
    <m/>
    <m/>
    <m/>
    <m/>
    <n v="-4.2055200000000248"/>
    <n v="76.946760000000012"/>
    <m/>
    <n v="72.730914372748657"/>
    <n v="0"/>
    <n v="0"/>
    <n v="0"/>
    <n v="0"/>
    <n v="0"/>
    <n v="0"/>
    <n v="0"/>
    <n v="0"/>
    <n v="0"/>
    <n v="0"/>
    <n v="76.938072265827032"/>
    <n v="0"/>
    <n v="0"/>
    <n v="0"/>
    <n v="3.3779020256162049"/>
    <n v="0"/>
    <n v="-6.4800480870696617"/>
    <m/>
    <n v="0"/>
    <n v="0"/>
    <n v="0"/>
    <n v="0"/>
    <n v="-1.0242652480273762"/>
    <n v="-8.0746583597708366E-2"/>
    <n v="0"/>
    <n v="0"/>
    <m/>
    <m/>
    <m/>
    <n v="0"/>
    <n v="0"/>
    <n v="0"/>
    <n v="-4.2055199999999786"/>
    <n v="76.94676000000004"/>
    <n v="0"/>
    <n v="0"/>
    <n v="0"/>
    <n v="0"/>
    <n v="0"/>
    <n v="0"/>
    <n v="0"/>
    <n v="0"/>
    <n v="0"/>
    <n v="0"/>
    <n v="0"/>
    <n v="0"/>
    <n v="0"/>
    <n v="0"/>
    <n v="0"/>
    <n v="48.73506852026498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62"/>
    <s v="Regular"/>
    <s v="Verde"/>
    <s v="A4"/>
    <s v="Industrial"/>
    <s v="Não se aplica"/>
    <s v="Não se aplica"/>
    <s v="Não se aplica"/>
    <s v="Não se aplica"/>
    <s v="CATIVO"/>
    <x v="5"/>
    <n v="18203"/>
    <n v="18203"/>
    <n v="0"/>
    <n v="0"/>
    <n v="0"/>
    <n v="0"/>
    <n v="27.19"/>
    <m/>
    <m/>
    <n v="494939.57"/>
    <m/>
    <n v="494939.57"/>
    <n v="396097.28000000003"/>
    <n v="0"/>
    <n v="0"/>
    <n v="0"/>
    <n v="0"/>
    <n v="4244.9507662219476"/>
    <n v="4078.1061810598285"/>
    <n v="435634.74651623238"/>
    <m/>
    <m/>
    <m/>
    <n v="0"/>
    <n v="0"/>
    <n v="0"/>
    <n v="0"/>
    <m/>
    <n v="0"/>
    <n v="9008.3885803397152"/>
    <n v="42014.141209338151"/>
    <n v="0"/>
    <n v="0"/>
    <m/>
    <m/>
    <n v="0"/>
    <n v="0"/>
    <n v="0"/>
    <m/>
    <m/>
    <n v="0"/>
    <m/>
    <n v="0"/>
    <n v="0"/>
    <n v="0"/>
    <n v="0"/>
    <m/>
    <n v="0"/>
    <n v="0"/>
    <n v="1369.77"/>
    <n v="11745"/>
    <n v="418618.52"/>
    <n v="106"/>
    <m/>
    <m/>
    <m/>
    <m/>
    <m/>
    <m/>
    <m/>
    <m/>
    <m/>
    <n v="0"/>
    <m/>
    <m/>
    <m/>
    <m/>
    <m/>
    <m/>
    <m/>
    <m/>
    <m/>
    <m/>
    <m/>
    <m/>
    <n v="396097.28000000003"/>
    <n v="-98842.32"/>
    <m/>
    <m/>
    <m/>
    <m/>
    <n v="-98842.29"/>
    <n v="0"/>
    <m/>
    <n v="9283.3841746494218"/>
    <n v="897.66666711711332"/>
    <n v="4186.6193686942788"/>
    <n v="0"/>
    <n v="0"/>
    <m/>
    <m/>
    <m/>
    <n v="4199.09813883803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5634.74651623238"/>
    <m/>
    <n v="0"/>
    <n v="0"/>
    <n v="-98842.289999999979"/>
    <m/>
    <n v="0"/>
    <m/>
    <n v="-108219.0605178258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63"/>
    <s v="Refaturamento - Regular"/>
    <s v="Verde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1"/>
    <n v="-0.02"/>
    <n v="-4788.810000000000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64"/>
    <s v="Sistema de Compensação"/>
    <s v="Verde"/>
    <s v="A4"/>
    <s v="Industrial"/>
    <s v="Não se aplica"/>
    <s v="Não se aplica"/>
    <s v="Não se aplica"/>
    <s v="Não se aplica"/>
    <s v="CATIVO"/>
    <x v="5"/>
    <n v="445"/>
    <n v="445"/>
    <n v="0"/>
    <n v="0"/>
    <n v="0"/>
    <n v="0"/>
    <n v="27.19"/>
    <m/>
    <m/>
    <n v="12099.550000000001"/>
    <m/>
    <n v="12099.550000000001"/>
    <n v="9683.2000000000007"/>
    <n v="0"/>
    <n v="0"/>
    <n v="0"/>
    <n v="0"/>
    <n v="103.77427297526599"/>
    <n v="99.695503519838681"/>
    <n v="10649.753458205976"/>
    <m/>
    <m/>
    <m/>
    <n v="0"/>
    <n v="0"/>
    <n v="0"/>
    <n v="0"/>
    <m/>
    <n v="0"/>
    <n v="220.22374983525648"/>
    <n v="1027.0995351401132"/>
    <n v="0"/>
    <n v="0"/>
    <m/>
    <m/>
    <n v="0"/>
    <n v="0"/>
    <n v="0"/>
    <m/>
    <m/>
    <n v="0"/>
    <m/>
    <n v="0"/>
    <n v="0"/>
    <n v="0"/>
    <n v="0"/>
    <m/>
    <n v="0"/>
    <n v="0"/>
    <n v="8.4499999999999993"/>
    <n v="72.59"/>
    <n v="2507.87"/>
    <n v="4"/>
    <m/>
    <m/>
    <m/>
    <m/>
    <m/>
    <m/>
    <m/>
    <m/>
    <m/>
    <n v="0"/>
    <m/>
    <m/>
    <m/>
    <m/>
    <m/>
    <m/>
    <m/>
    <m/>
    <m/>
    <m/>
    <m/>
    <m/>
    <n v="9683.2000000000007"/>
    <n v="-2416.380000000001"/>
    <m/>
    <m/>
    <m/>
    <m/>
    <n v="-2416.35"/>
    <n v="0"/>
    <m/>
    <n v="226.94643507767933"/>
    <n v="21.944825955453211"/>
    <n v="102.34827331038582"/>
    <n v="0"/>
    <n v="0"/>
    <m/>
    <m/>
    <m/>
    <n v="102.653335811840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649.753458205976"/>
    <m/>
    <n v="0"/>
    <n v="0"/>
    <n v="-2416.3500000000004"/>
    <m/>
    <n v="0"/>
    <m/>
    <n v="-2645.579406165602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65"/>
    <s v="Regular"/>
    <s v="Branca"/>
    <s v="B3"/>
    <s v="Industrial"/>
    <s v="Não se aplica"/>
    <s v="Não se aplica"/>
    <s v="Não se aplica"/>
    <s v="Ponta"/>
    <s v="CATIVO"/>
    <x v="5"/>
    <n v="0"/>
    <n v="0"/>
    <n v="3.2000000000000001E-2"/>
    <n v="3.2000000000000001E-2"/>
    <n v="3.2000000000000001E-2"/>
    <n v="3.2000000000000001E-2"/>
    <m/>
    <n v="1553.42"/>
    <n v="173.25"/>
    <m/>
    <n v="55.253439999999998"/>
    <n v="55.253439999999998"/>
    <n v="52.423680000000004"/>
    <n v="0"/>
    <n v="1.9694458623798528"/>
    <n v="0"/>
    <n v="0"/>
    <n v="3.4703758736194241"/>
    <n v="0.2399878433324944"/>
    <n v="22.988412910159969"/>
    <n v="5.4508950587300165"/>
    <n v="9.3031472977320007E-2"/>
    <n v="0"/>
    <n v="0"/>
    <n v="0"/>
    <n v="0"/>
    <n v="0.30428896887441315"/>
    <m/>
    <n v="3.865141485960704E-2"/>
    <n v="10.097726871047904"/>
    <n v="9.8113950234171519"/>
    <n v="0"/>
    <n v="0"/>
    <n v="0"/>
    <n v="0"/>
    <n v="0"/>
    <n v="0"/>
    <n v="0"/>
    <n v="0"/>
    <n v="0"/>
    <n v="0"/>
    <m/>
    <n v="0"/>
    <n v="0"/>
    <n v="0"/>
    <n v="0"/>
    <n v="0"/>
    <n v="0.2860733384011514"/>
    <n v="0"/>
    <n v="0"/>
    <n v="0"/>
    <n v="0"/>
    <n v="0"/>
    <m/>
    <m/>
    <m/>
    <m/>
    <m/>
    <m/>
    <m/>
    <m/>
    <m/>
    <n v="5.736968397131168"/>
    <m/>
    <m/>
    <m/>
    <m/>
    <m/>
    <m/>
    <m/>
    <m/>
    <m/>
    <m/>
    <m/>
    <m/>
    <n v="49.147199999999998"/>
    <n v="-6.1362399999999937"/>
    <m/>
    <m/>
    <m/>
    <m/>
    <n v="-3.5206399999999993"/>
    <n v="0.69088000000000016"/>
    <m/>
    <n v="2.8808998034123405"/>
    <n v="1.0062168993880967"/>
    <n v="0.97768454278959993"/>
    <n v="0"/>
    <n v="0"/>
    <n v="0"/>
    <n v="0"/>
    <n v="0"/>
    <n v="0.24710796176948319"/>
    <n v="0"/>
    <n v="0"/>
    <n v="0.69080199565276779"/>
    <n v="0"/>
    <n v="0"/>
    <n v="0"/>
    <n v="3.6254602398567037E-2"/>
    <n v="0"/>
    <n v="-6.6876149356345671E-2"/>
    <m/>
    <n v="0"/>
    <n v="0"/>
    <n v="0"/>
    <n v="0"/>
    <n v="-9.1965454368339028E-3"/>
    <n v="-1.093503792988483E-3"/>
    <n v="0"/>
    <n v="0"/>
    <m/>
    <m/>
    <m/>
    <n v="22.988412910159969"/>
    <n v="0"/>
    <n v="0"/>
    <n v="-3.5206400000000002"/>
    <n v="0.69087999999999994"/>
    <n v="0"/>
    <n v="0"/>
    <n v="-5.7107117093578559"/>
    <n v="0"/>
    <n v="0"/>
    <n v="0"/>
    <n v="0"/>
    <n v="0"/>
    <n v="0"/>
    <n v="0"/>
    <n v="0"/>
    <n v="0"/>
    <n v="0"/>
    <n v="0"/>
    <n v="0"/>
    <n v="0.5029613480425184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66"/>
    <s v="Regular"/>
    <s v="Branca"/>
    <s v="B3"/>
    <s v="Industrial"/>
    <s v="Não se aplica"/>
    <s v="Não se aplica"/>
    <s v="Não se aplica"/>
    <s v="Fora ponta"/>
    <s v="CATIVO"/>
    <x v="5"/>
    <n v="0"/>
    <n v="0"/>
    <n v="1.879"/>
    <n v="1.879"/>
    <n v="1.879"/>
    <n v="1.879"/>
    <m/>
    <n v="388.22"/>
    <n v="173.25"/>
    <m/>
    <n v="1055.0021300000001"/>
    <n v="1055.0021300000001"/>
    <n v="1052.29637"/>
    <n v="0"/>
    <n v="115.64339923161698"/>
    <n v="0"/>
    <n v="0"/>
    <n v="40.755226665818114"/>
    <n v="2.8183598721608458"/>
    <n v="269.97037646571187"/>
    <n v="320.06974422980312"/>
    <n v="5.4626918038870089"/>
    <n v="0"/>
    <n v="0"/>
    <n v="0"/>
    <n v="0"/>
    <n v="17.867467891094446"/>
    <m/>
    <n v="2.2695627662875508"/>
    <n v="118.58517994186883"/>
    <n v="115.22257030625518"/>
    <n v="0"/>
    <n v="0"/>
    <n v="0"/>
    <n v="0"/>
    <n v="0"/>
    <n v="0"/>
    <n v="0"/>
    <n v="0"/>
    <n v="0"/>
    <n v="0"/>
    <m/>
    <n v="0"/>
    <n v="0"/>
    <n v="0"/>
    <n v="0"/>
    <n v="0"/>
    <n v="16.797868839242607"/>
    <n v="0"/>
    <n v="0"/>
    <n v="0"/>
    <n v="0"/>
    <n v="0"/>
    <m/>
    <m/>
    <m/>
    <m/>
    <m/>
    <m/>
    <m/>
    <m/>
    <m/>
    <n v="336.86761306904572"/>
    <m/>
    <m/>
    <m/>
    <m/>
    <m/>
    <m/>
    <m/>
    <m/>
    <m/>
    <m/>
    <m/>
    <m/>
    <n v="1052.8563999999999"/>
    <n v="-2.1757300000001578"/>
    <m/>
    <m/>
    <m/>
    <m/>
    <n v="-43.273370000000057"/>
    <n v="40.567610000000009"/>
    <m/>
    <n v="64.361171296461634"/>
    <n v="11.816759712188741"/>
    <n v="11.481682849385166"/>
    <n v="0"/>
    <n v="0"/>
    <n v="0"/>
    <n v="0"/>
    <n v="0"/>
    <n v="2.9019768412922273"/>
    <n v="0"/>
    <n v="0"/>
    <n v="40.563029682235992"/>
    <n v="0"/>
    <n v="0"/>
    <n v="0"/>
    <n v="2.1288249345908596"/>
    <n v="0"/>
    <n v="-3.926883895017923"/>
    <m/>
    <n v="0"/>
    <n v="0"/>
    <n v="0"/>
    <n v="0"/>
    <n v="-0.54000965236908982"/>
    <n v="-6.4209175844542443E-2"/>
    <n v="0"/>
    <n v="0"/>
    <m/>
    <m/>
    <m/>
    <n v="269.97037646571187"/>
    <n v="0"/>
    <n v="0"/>
    <n v="-43.273370000000114"/>
    <n v="40.567610000000002"/>
    <n v="0"/>
    <n v="0"/>
    <n v="-67.065220904445255"/>
    <n v="0"/>
    <n v="0"/>
    <n v="0"/>
    <n v="0"/>
    <n v="0"/>
    <n v="0"/>
    <n v="0"/>
    <n v="0"/>
    <n v="0"/>
    <n v="0"/>
    <n v="0"/>
    <n v="0"/>
    <n v="29.5332616553716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67"/>
    <s v="Regular"/>
    <s v="Branca"/>
    <s v="B3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06"/>
    <n v="9.1300000000000008"/>
    <n v="322.7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68"/>
    <s v="Regular"/>
    <s v="Branca"/>
    <s v="B3"/>
    <s v="Industrial"/>
    <s v="Não se aplica"/>
    <s v="Não se aplica"/>
    <s v="Não se aplica"/>
    <s v="Intermediário"/>
    <s v="CATIVO"/>
    <x v="5"/>
    <n v="0"/>
    <n v="0"/>
    <n v="0.109"/>
    <n v="0.109"/>
    <n v="0.109"/>
    <n v="0.109"/>
    <m/>
    <n v="970.82"/>
    <n v="173.25"/>
    <m/>
    <n v="124.70363"/>
    <n v="124.70363"/>
    <n v="119.80517"/>
    <n v="0"/>
    <n v="6.7084249687313733"/>
    <n v="0"/>
    <n v="0"/>
    <n v="7.0925806917097081"/>
    <n v="0.49047561372889548"/>
    <n v="46.982580623495011"/>
    <n v="18.567111293799115"/>
    <n v="0.31688845482899625"/>
    <n v="0"/>
    <n v="0"/>
    <n v="0"/>
    <n v="0"/>
    <n v="1.0364843002284696"/>
    <m/>
    <n v="0.13165638186553646"/>
    <n v="20.637229292704134"/>
    <n v="20.052038579108846"/>
    <n v="0"/>
    <n v="0"/>
    <n v="0"/>
    <n v="0"/>
    <n v="0"/>
    <n v="0"/>
    <n v="0"/>
    <n v="0"/>
    <n v="0"/>
    <n v="0"/>
    <m/>
    <n v="0"/>
    <n v="0"/>
    <n v="0"/>
    <n v="0"/>
    <n v="0"/>
    <n v="0.97443730892892189"/>
    <n v="0"/>
    <n v="0"/>
    <n v="0"/>
    <n v="0"/>
    <n v="0"/>
    <m/>
    <m/>
    <m/>
    <m/>
    <m/>
    <m/>
    <m/>
    <m/>
    <m/>
    <n v="19.541548602728039"/>
    <m/>
    <m/>
    <m/>
    <m/>
    <m/>
    <m/>
    <m/>
    <m/>
    <m/>
    <m/>
    <m/>
    <m/>
    <n v="120.90429999999999"/>
    <n v="-3.8293300000000272"/>
    <m/>
    <m/>
    <m/>
    <m/>
    <n v="-7.2517700000000094"/>
    <n v="2.3533100000000005"/>
    <m/>
    <n v="6.7733151150287938"/>
    <n v="2.0564557881244419"/>
    <n v="1.9981427843261379"/>
    <n v="0"/>
    <n v="0"/>
    <n v="0"/>
    <n v="0"/>
    <n v="0"/>
    <n v="0.50502736939997994"/>
    <n v="0"/>
    <n v="0"/>
    <n v="2.353044297692243"/>
    <n v="0"/>
    <n v="0"/>
    <n v="0"/>
    <n v="0.12349223942011889"/>
    <n v="0"/>
    <n v="-0.22779688374505191"/>
    <m/>
    <n v="0"/>
    <n v="0"/>
    <n v="0"/>
    <n v="0"/>
    <n v="-3.1325732894215363E-2"/>
    <n v="-3.7247472948669924E-3"/>
    <n v="0"/>
    <n v="0"/>
    <m/>
    <m/>
    <m/>
    <n v="46.982580623495011"/>
    <n v="0"/>
    <n v="0"/>
    <n v="-7.2517700000000076"/>
    <n v="2.3533100000000005"/>
    <n v="0"/>
    <n v="0"/>
    <n v="-11.671269972006719"/>
    <n v="0"/>
    <n v="0"/>
    <n v="0"/>
    <n v="0"/>
    <n v="0"/>
    <n v="0"/>
    <n v="0"/>
    <n v="0"/>
    <n v="0"/>
    <n v="0"/>
    <n v="0"/>
    <n v="0"/>
    <n v="1.713212091769828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69"/>
    <s v="Regular"/>
    <s v="Convencional"/>
    <s v="B3"/>
    <s v="Comercial"/>
    <s v="Não se aplica"/>
    <s v="Não se aplica"/>
    <s v="Não se aplica"/>
    <s v="Não se aplica"/>
    <s v="CATIVO"/>
    <x v="5"/>
    <n v="0"/>
    <n v="0"/>
    <n v="2935.8649999999998"/>
    <n v="2935.8649999999998"/>
    <n v="2935.8649999999998"/>
    <n v="2935.8649999999998"/>
    <m/>
    <n v="368.24"/>
    <n v="173.25"/>
    <m/>
    <n v="1589741.5388500001"/>
    <n v="1589741.5388500001"/>
    <n v="1494032.3398500001"/>
    <n v="0"/>
    <n v="180688.34927361956"/>
    <n v="0"/>
    <n v="0"/>
    <n v="7514.456165745828"/>
    <n v="7219.7073483430268"/>
    <n v="691505.1451010739"/>
    <n v="500096.6256749499"/>
    <n v="8535.2451691424867"/>
    <n v="0"/>
    <n v="0"/>
    <n v="0"/>
    <n v="0"/>
    <n v="27917.229175139961"/>
    <m/>
    <n v="3546.1042527125064"/>
    <n v="15951.715819782281"/>
    <n v="74380.497559441661"/>
    <n v="0"/>
    <n v="0"/>
    <n v="0"/>
    <n v="0"/>
    <n v="0"/>
    <n v="0"/>
    <n v="0"/>
    <n v="0"/>
    <n v="0"/>
    <n v="0"/>
    <m/>
    <n v="0"/>
    <n v="0"/>
    <n v="0"/>
    <n v="0"/>
    <n v="0"/>
    <n v="26246.021926409256"/>
    <n v="0"/>
    <n v="1324.91"/>
    <n v="11541.75"/>
    <n v="824427.54"/>
    <n v="4313"/>
    <m/>
    <m/>
    <m/>
    <m/>
    <m/>
    <m/>
    <m/>
    <m/>
    <m/>
    <n v="526342.64760135917"/>
    <m/>
    <m/>
    <m/>
    <m/>
    <m/>
    <m/>
    <m/>
    <m/>
    <m/>
    <m/>
    <m/>
    <m/>
    <n v="1494034.8843"/>
    <n v="-95706.684550000122"/>
    <m/>
    <m/>
    <m/>
    <m/>
    <n v="-159094.52434999999"/>
    <n v="63385.325350000006"/>
    <m/>
    <n v="76060.020821413724"/>
    <n v="1589.5543855639644"/>
    <n v="7411.8575977524742"/>
    <n v="0"/>
    <n v="0"/>
    <n v="0"/>
    <n v="0"/>
    <n v="0"/>
    <n v="7433.9064122905565"/>
    <n v="0"/>
    <n v="0"/>
    <n v="63378.168780222244"/>
    <n v="0"/>
    <n v="0"/>
    <n v="0"/>
    <n v="3326.2068209646568"/>
    <n v="0"/>
    <n v="-6135.6045696896035"/>
    <m/>
    <n v="0"/>
    <n v="0"/>
    <n v="0"/>
    <n v="0"/>
    <n v="-843.74424590344643"/>
    <n v="-100.32435978756621"/>
    <n v="0"/>
    <n v="0"/>
    <m/>
    <m/>
    <m/>
    <n v="691505.1451010739"/>
    <n v="0"/>
    <n v="0"/>
    <n v="-159094.52435000008"/>
    <n v="63385.325350000057"/>
    <n v="0"/>
    <n v="0"/>
    <n v="-171781.60774485796"/>
    <n v="0"/>
    <n v="0"/>
    <n v="0"/>
    <n v="0"/>
    <n v="0"/>
    <n v="0"/>
    <n v="0"/>
    <n v="0"/>
    <n v="0"/>
    <n v="0"/>
    <n v="0"/>
    <n v="0"/>
    <n v="46144.58181471400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70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3.55"/>
    <n v="-3.55"/>
    <n v="-3.55"/>
    <n v="-3.55"/>
    <m/>
    <n v="368.24"/>
    <n v="173.25"/>
    <m/>
    <n v="-1922.2894999999999"/>
    <n v="-1922.2894999999999"/>
    <n v="-1806.5595000000001"/>
    <n v="0"/>
    <n v="-218.48540035776492"/>
    <n v="0"/>
    <n v="0"/>
    <n v="-9.0863576453269097"/>
    <n v="-8.7299521901101524"/>
    <n v="-836.15672556769891"/>
    <n v="-604.70867057786108"/>
    <n v="-10.320679033421438"/>
    <n v="0"/>
    <n v="0"/>
    <n v="0"/>
    <n v="0"/>
    <n v="-33.757057484505204"/>
    <m/>
    <n v="-4.2878913359876556"/>
    <n v="-19.288554194497056"/>
    <n v="-89.939682627102371"/>
    <n v="0"/>
    <n v="0"/>
    <n v="0"/>
    <n v="0"/>
    <n v="0"/>
    <n v="0"/>
    <n v="0"/>
    <n v="0"/>
    <n v="0"/>
    <n v="0"/>
    <m/>
    <n v="0"/>
    <n v="0"/>
    <n v="0"/>
    <n v="0"/>
    <n v="0"/>
    <n v="-31.736260978877731"/>
    <n v="0"/>
    <n v="-1.62"/>
    <n v="-13.96"/>
    <n v="-996.95"/>
    <n v="0"/>
    <m/>
    <m/>
    <m/>
    <m/>
    <m/>
    <m/>
    <m/>
    <m/>
    <m/>
    <n v="-636.44493155673877"/>
    <m/>
    <m/>
    <m/>
    <m/>
    <m/>
    <m/>
    <m/>
    <m/>
    <m/>
    <m/>
    <m/>
    <m/>
    <n v="-1806.5595000000001"/>
    <n v="115.69999999999982"/>
    <m/>
    <m/>
    <m/>
    <m/>
    <n v="192.37449999999998"/>
    <n v="-76.644500000000008"/>
    <m/>
    <n v="-91.970534720097021"/>
    <n v="-1.9220631973037143"/>
    <n v="-8.9622971328795131"/>
    <n v="0"/>
    <n v="0"/>
    <n v="0"/>
    <n v="0"/>
    <n v="0"/>
    <n v="-8.9889581992467225"/>
    <n v="0"/>
    <n v="0"/>
    <n v="-76.635846392728922"/>
    <n v="0"/>
    <n v="0"/>
    <n v="0"/>
    <n v="-4.0219949535910331"/>
    <n v="0"/>
    <n v="7.4190728192195934"/>
    <m/>
    <n v="0"/>
    <n v="0"/>
    <n v="0"/>
    <n v="0"/>
    <n v="1.0202417593987647"/>
    <n v="0.12131057703465942"/>
    <n v="0"/>
    <n v="0"/>
    <m/>
    <m/>
    <m/>
    <n v="-836.15672556769891"/>
    <n v="0"/>
    <n v="0"/>
    <n v="192.3744999999999"/>
    <n v="-76.644499999999994"/>
    <n v="0"/>
    <n v="0"/>
    <n v="207.71551399476664"/>
    <n v="0"/>
    <n v="0"/>
    <n v="0"/>
    <n v="0"/>
    <n v="0"/>
    <n v="0"/>
    <n v="0"/>
    <n v="0"/>
    <n v="0"/>
    <n v="0"/>
    <n v="0"/>
    <n v="0"/>
    <n v="-55.7972745484668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71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86.638999999999996"/>
    <n v="86.638999999999996"/>
    <n v="86.638999999999996"/>
    <n v="86.638999999999996"/>
    <m/>
    <n v="368.24"/>
    <n v="173.25"/>
    <m/>
    <n v="46914.152109999995"/>
    <n v="46914.152109999995"/>
    <n v="44089.720710000001"/>
    <n v="0"/>
    <n v="5332.2131272102515"/>
    <n v="0"/>
    <n v="0"/>
    <n v="221.75575775590934"/>
    <n v="213.05755712646581"/>
    <n v="20406.699308861935"/>
    <n v="14758.128031040933"/>
    <n v="251.87980585256338"/>
    <n v="0"/>
    <n v="0"/>
    <n v="0"/>
    <n v="0"/>
    <n v="823.85287419719612"/>
    <m/>
    <n v="104.64749787567169"/>
    <n v="470.7439568611353"/>
    <n v="2195.0096234167668"/>
    <n v="0"/>
    <n v="0"/>
    <n v="0"/>
    <n v="0"/>
    <n v="0"/>
    <n v="0"/>
    <n v="0"/>
    <n v="0"/>
    <n v="0"/>
    <n v="0"/>
    <m/>
    <n v="0"/>
    <n v="0"/>
    <n v="0"/>
    <n v="0"/>
    <n v="0"/>
    <n v="774.53462392929225"/>
    <n v="0"/>
    <n v="38.51"/>
    <n v="342.24"/>
    <n v="67787.62"/>
    <n v="264"/>
    <m/>
    <m/>
    <m/>
    <m/>
    <m/>
    <m/>
    <m/>
    <m/>
    <m/>
    <n v="15532.662654970225"/>
    <m/>
    <m/>
    <m/>
    <m/>
    <m/>
    <m/>
    <m/>
    <m/>
    <m/>
    <m/>
    <m/>
    <m/>
    <n v="44090.229600000006"/>
    <n v="-2823.9525099999883"/>
    <m/>
    <m/>
    <m/>
    <m/>
    <n v="-4694.9674099999993"/>
    <n v="1870.5360100000003"/>
    <m/>
    <n v="2244.5732838350632"/>
    <n v="46.908629113013149"/>
    <n v="218.7280172663518"/>
    <n v="0"/>
    <n v="0"/>
    <n v="0"/>
    <n v="0"/>
    <n v="0"/>
    <n v="219.37868997874276"/>
    <n v="0"/>
    <n v="0"/>
    <n v="1870.3248156675054"/>
    <n v="0"/>
    <n v="0"/>
    <n v="0"/>
    <n v="98.158203037795374"/>
    <n v="0"/>
    <n v="-181.06508450263846"/>
    <m/>
    <n v="0"/>
    <n v="0"/>
    <n v="0"/>
    <n v="0"/>
    <n v="-24.899359378182908"/>
    <n v="-2.9606273475227738"/>
    <n v="0"/>
    <n v="0"/>
    <m/>
    <m/>
    <m/>
    <n v="20406.699308861935"/>
    <n v="0"/>
    <n v="0"/>
    <n v="-4694.9674099999975"/>
    <n v="1870.5360100000016"/>
    <n v="0"/>
    <n v="0"/>
    <n v="-5069.370258307772"/>
    <n v="0"/>
    <n v="0"/>
    <n v="0"/>
    <n v="0"/>
    <n v="0"/>
    <n v="0"/>
    <n v="0"/>
    <n v="0"/>
    <n v="0"/>
    <n v="0"/>
    <n v="0"/>
    <n v="0"/>
    <n v="1361.752132282992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72"/>
    <s v="Regular"/>
    <s v="Verde"/>
    <s v="A4"/>
    <s v="Comercial"/>
    <s v="Não se aplica"/>
    <s v="Não se aplica"/>
    <s v="Não se aplica"/>
    <s v="Ponta"/>
    <s v="CATIVO"/>
    <x v="5"/>
    <n v="0"/>
    <n v="0"/>
    <n v="102.758"/>
    <n v="102.758"/>
    <n v="102.758"/>
    <n v="102.758"/>
    <m/>
    <n v="1358.36"/>
    <n v="173.25"/>
    <m/>
    <n v="157385.18037999998"/>
    <n v="157385.18037999998"/>
    <n v="137995.77335999999"/>
    <n v="0"/>
    <n v="5502.106143624781"/>
    <n v="0"/>
    <n v="0"/>
    <n v="1946.4511131831416"/>
    <n v="1870.1088203104794"/>
    <n v="103632.23596297139"/>
    <n v="17503.846076405593"/>
    <n v="298.74150313135777"/>
    <n v="0"/>
    <n v="0"/>
    <n v="0"/>
    <n v="0"/>
    <n v="977.12893323740445"/>
    <m/>
    <n v="82.290027269304204"/>
    <n v="4131.9836669483693"/>
    <n v="19266.724364903283"/>
    <n v="0"/>
    <n v="0"/>
    <n v="0"/>
    <n v="0"/>
    <n v="0"/>
    <n v="0"/>
    <n v="0"/>
    <n v="0"/>
    <n v="0"/>
    <n v="0"/>
    <m/>
    <n v="0"/>
    <n v="0"/>
    <n v="0"/>
    <n v="0"/>
    <n v="0"/>
    <n v="768.49179315644005"/>
    <n v="0"/>
    <n v="0"/>
    <n v="0"/>
    <n v="0"/>
    <n v="0"/>
    <m/>
    <m/>
    <m/>
    <m/>
    <m/>
    <m/>
    <m/>
    <m/>
    <m/>
    <n v="18272.337869562034"/>
    <m/>
    <m/>
    <m/>
    <m/>
    <m/>
    <m/>
    <m/>
    <m/>
    <m/>
    <m/>
    <m/>
    <m/>
    <n v="137998.45919999998"/>
    <n v="-19386.751180000021"/>
    <m/>
    <m/>
    <m/>
    <m/>
    <n v="-21607.952239999995"/>
    <n v="2218.5452200000004"/>
    <m/>
    <n v="6354.2167599028617"/>
    <n v="411.74334053338225"/>
    <n v="1919.8879014447375"/>
    <n v="0"/>
    <n v="0"/>
    <n v="0"/>
    <n v="0"/>
    <n v="0"/>
    <n v="1925.5924485883563"/>
    <n v="0"/>
    <n v="0"/>
    <n v="2218.2947334152232"/>
    <n v="0"/>
    <n v="0"/>
    <n v="0"/>
    <n v="97.392383936102647"/>
    <n v="0"/>
    <n v="-186.83411372926548"/>
    <m/>
    <n v="0"/>
    <n v="0"/>
    <n v="0"/>
    <n v="0"/>
    <n v="-29.53183174994308"/>
    <n v="-2.3281025357276519"/>
    <n v="0"/>
    <n v="0"/>
    <m/>
    <m/>
    <m/>
    <n v="103632.23596297139"/>
    <n v="0"/>
    <n v="0"/>
    <n v="-21607.952239999984"/>
    <n v="2218.54522"/>
    <n v="0"/>
    <n v="0"/>
    <n v="-25744.005281857477"/>
    <n v="0"/>
    <n v="0"/>
    <n v="0"/>
    <n v="0"/>
    <n v="0"/>
    <n v="0"/>
    <n v="0"/>
    <n v="0"/>
    <n v="0"/>
    <n v="0"/>
    <n v="0"/>
    <n v="0"/>
    <n v="1405.139778621040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73"/>
    <s v="Sistema de Compensação"/>
    <s v="Verde"/>
    <s v="A4"/>
    <s v="Comercial"/>
    <s v="Não se aplica"/>
    <s v="Não se aplica"/>
    <s v="Não se aplica"/>
    <s v="Ponta"/>
    <s v="CATIVO"/>
    <x v="5"/>
    <n v="0"/>
    <n v="0"/>
    <n v="8.8390000000000004"/>
    <n v="8.8390000000000004"/>
    <n v="8.8390000000000004"/>
    <n v="8.8390000000000004"/>
    <m/>
    <n v="1358.36"/>
    <n v="173.25"/>
    <m/>
    <n v="13537.90079"/>
    <n v="13537.90079"/>
    <n v="11870.069879999999"/>
    <n v="0"/>
    <n v="473.27815064033405"/>
    <n v="0"/>
    <n v="0"/>
    <n v="167.4291187978142"/>
    <n v="160.8623354164574"/>
    <n v="8914.1997087983818"/>
    <n v="1505.6394195035816"/>
    <n v="25.697037176454113"/>
    <n v="0"/>
    <n v="0"/>
    <n v="0"/>
    <n v="0"/>
    <n v="84.050318621279303"/>
    <m/>
    <n v="7.0783934198152938"/>
    <n v="355.42345736737423"/>
    <n v="1657.2780383170177"/>
    <n v="0"/>
    <n v="0"/>
    <n v="0"/>
    <n v="0"/>
    <n v="0"/>
    <n v="0"/>
    <n v="0"/>
    <n v="0"/>
    <n v="0"/>
    <n v="0"/>
    <m/>
    <n v="0"/>
    <n v="0"/>
    <n v="0"/>
    <n v="0"/>
    <n v="0"/>
    <n v="66.103845537182252"/>
    <n v="0"/>
    <n v="0"/>
    <n v="0"/>
    <n v="0"/>
    <n v="0"/>
    <m/>
    <m/>
    <m/>
    <m/>
    <m/>
    <m/>
    <m/>
    <m/>
    <m/>
    <n v="1571.7432650407638"/>
    <m/>
    <m/>
    <m/>
    <m/>
    <m/>
    <m/>
    <m/>
    <m/>
    <m/>
    <m/>
    <m/>
    <m/>
    <n v="11871.412799999998"/>
    <n v="-1666.5179900000021"/>
    <m/>
    <m/>
    <m/>
    <m/>
    <n v="-1858.6649199999999"/>
    <n v="190.83401000000003"/>
    <m/>
    <n v="546.57468947217149"/>
    <n v="35.417187829410523"/>
    <n v="165.14421418157281"/>
    <n v="0"/>
    <n v="0"/>
    <n v="0"/>
    <n v="0"/>
    <n v="0"/>
    <n v="165.63490582798889"/>
    <n v="0"/>
    <n v="0"/>
    <n v="190.81246373671297"/>
    <n v="0"/>
    <n v="0"/>
    <n v="0"/>
    <n v="8.3774624030363753"/>
    <n v="0"/>
    <n v="-16.071028350619713"/>
    <m/>
    <n v="0"/>
    <n v="0"/>
    <n v="0"/>
    <n v="0"/>
    <n v="-2.5402582848804656"/>
    <n v="-0.20025787104942427"/>
    <n v="0"/>
    <n v="0"/>
    <m/>
    <m/>
    <m/>
    <n v="8914.1997087983818"/>
    <n v="0"/>
    <n v="0"/>
    <n v="-1858.6649199999993"/>
    <n v="190.83401000000003"/>
    <n v="0"/>
    <n v="0"/>
    <n v="-2214.4384153675446"/>
    <n v="0"/>
    <n v="0"/>
    <n v="0"/>
    <n v="0"/>
    <n v="0"/>
    <n v="0"/>
    <n v="0"/>
    <n v="0"/>
    <n v="0"/>
    <n v="0"/>
    <n v="0"/>
    <n v="0"/>
    <n v="120.866798723519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74"/>
    <s v="Regular"/>
    <s v="Verde"/>
    <s v="A4"/>
    <s v="Comercial"/>
    <s v="Não se aplica"/>
    <s v="Não se aplica"/>
    <s v="Não se aplica"/>
    <s v="Fora ponta"/>
    <s v="CATIVO"/>
    <x v="5"/>
    <n v="0"/>
    <n v="0"/>
    <n v="1063.4369999999999"/>
    <n v="1063.4369999999999"/>
    <n v="1063.4369999999999"/>
    <n v="1063.4369999999999"/>
    <m/>
    <n v="85.01"/>
    <n v="173.25"/>
    <m/>
    <n v="274643.23962000001"/>
    <n v="274643.23962000001"/>
    <n v="296347.98878999997"/>
    <n v="0"/>
    <n v="56940.999737810256"/>
    <n v="0"/>
    <n v="0"/>
    <n v="0"/>
    <n v="0"/>
    <n v="0"/>
    <n v="181146.35901783349"/>
    <n v="3091.659704018195"/>
    <n v="0"/>
    <n v="0"/>
    <n v="0"/>
    <n v="0"/>
    <n v="10112.254631028101"/>
    <m/>
    <n v="851.61505409979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53.080120661215"/>
    <n v="0"/>
    <n v="0"/>
    <n v="0"/>
    <n v="0"/>
    <n v="0"/>
    <m/>
    <m/>
    <m/>
    <m/>
    <m/>
    <m/>
    <m/>
    <m/>
    <m/>
    <n v="189099.43913849469"/>
    <m/>
    <m/>
    <m/>
    <m/>
    <m/>
    <m/>
    <m/>
    <m/>
    <m/>
    <m/>
    <m/>
    <m/>
    <n v="296348.8248"/>
    <n v="21705.555180000025"/>
    <m/>
    <m/>
    <m/>
    <m/>
    <n v="-1254.8556600000072"/>
    <n v="22959.60483"/>
    <m/>
    <n v="21701.668178398628"/>
    <n v="0"/>
    <n v="0"/>
    <n v="0"/>
    <n v="0"/>
    <n v="0"/>
    <n v="0"/>
    <n v="0"/>
    <n v="0"/>
    <n v="0"/>
    <n v="0"/>
    <n v="22957.012557843496"/>
    <n v="0"/>
    <n v="0"/>
    <n v="0"/>
    <n v="1007.9085287360313"/>
    <n v="0"/>
    <n v="-1933.5361665457604"/>
    <m/>
    <n v="0"/>
    <n v="0"/>
    <n v="0"/>
    <n v="0"/>
    <n v="-305.62333405344907"/>
    <n v="-24.093407581761085"/>
    <n v="0"/>
    <n v="0"/>
    <m/>
    <m/>
    <m/>
    <n v="0"/>
    <n v="0"/>
    <n v="0"/>
    <n v="-1254.8556600000156"/>
    <n v="22959.604829999997"/>
    <n v="0"/>
    <n v="0"/>
    <n v="0"/>
    <n v="0"/>
    <n v="0"/>
    <n v="0"/>
    <n v="0"/>
    <n v="0"/>
    <n v="0"/>
    <n v="0"/>
    <n v="0"/>
    <n v="0"/>
    <n v="0"/>
    <n v="0"/>
    <n v="0"/>
    <n v="14541.7157861910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75"/>
    <s v="Sistema de Compensação"/>
    <s v="Verde"/>
    <s v="A4"/>
    <s v="Comercial"/>
    <s v="Não se aplica"/>
    <s v="Não se aplica"/>
    <s v="Não se aplica"/>
    <s v="Fora ponta"/>
    <s v="CATIVO"/>
    <x v="5"/>
    <n v="0"/>
    <n v="0"/>
    <n v="28.815999999999999"/>
    <n v="28.815999999999999"/>
    <n v="28.815999999999999"/>
    <n v="28.815999999999999"/>
    <m/>
    <n v="85.01"/>
    <n v="173.25"/>
    <m/>
    <n v="7442.02016"/>
    <n v="7442.02016"/>
    <n v="8030.1547199999995"/>
    <n v="0"/>
    <n v="1542.9328191935585"/>
    <n v="0"/>
    <n v="0"/>
    <n v="0"/>
    <n v="0"/>
    <n v="0"/>
    <n v="4908.5310003863797"/>
    <n v="83.774841416076669"/>
    <n v="0"/>
    <n v="0"/>
    <n v="0"/>
    <n v="0"/>
    <n v="274.01221647140898"/>
    <m/>
    <n v="23.0762512484893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50496809587551"/>
    <n v="0"/>
    <n v="0"/>
    <n v="0"/>
    <n v="0"/>
    <n v="0"/>
    <m/>
    <m/>
    <m/>
    <m/>
    <m/>
    <m/>
    <m/>
    <m/>
    <m/>
    <n v="5124.0359684822552"/>
    <m/>
    <m/>
    <m/>
    <m/>
    <m/>
    <m/>
    <m/>
    <m/>
    <m/>
    <m/>
    <m/>
    <m/>
    <n v="8031.2694000000001"/>
    <n v="589.21923999999944"/>
    <m/>
    <m/>
    <m/>
    <m/>
    <n v="-34.002880000000197"/>
    <n v="622.13744000000008"/>
    <m/>
    <n v="588.05107423263871"/>
    <n v="0"/>
    <n v="0"/>
    <n v="0"/>
    <n v="0"/>
    <n v="0"/>
    <n v="0"/>
    <n v="0"/>
    <n v="0"/>
    <n v="0"/>
    <n v="0"/>
    <n v="622.06719708531728"/>
    <n v="0"/>
    <n v="0"/>
    <n v="0"/>
    <n v="27.311342528102273"/>
    <n v="0"/>
    <n v="-52.393116070987389"/>
    <m/>
    <n v="0"/>
    <n v="0"/>
    <n v="0"/>
    <n v="0"/>
    <n v="-8.2814891658688907"/>
    <n v="-0.65286014392580682"/>
    <n v="0"/>
    <n v="0"/>
    <m/>
    <m/>
    <m/>
    <n v="0"/>
    <n v="0"/>
    <n v="0"/>
    <n v="-34.002880000000459"/>
    <n v="622.13744000000042"/>
    <n v="0"/>
    <n v="0"/>
    <n v="0"/>
    <n v="0"/>
    <n v="0"/>
    <n v="0"/>
    <n v="0"/>
    <n v="0"/>
    <n v="0"/>
    <n v="0"/>
    <n v="0"/>
    <n v="0"/>
    <n v="0"/>
    <n v="0"/>
    <n v="0"/>
    <n v="394.0375237036913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76"/>
    <s v="Regular"/>
    <s v="Verde"/>
    <s v="A4"/>
    <s v="Comercial"/>
    <s v="Não se aplica"/>
    <s v="Não se aplica"/>
    <s v="Não se aplica"/>
    <s v="Não se aplica"/>
    <s v="CATIVO"/>
    <x v="5"/>
    <n v="4241"/>
    <n v="4241"/>
    <n v="0"/>
    <n v="0"/>
    <n v="0"/>
    <n v="0"/>
    <n v="27.19"/>
    <m/>
    <m/>
    <n v="115312.79000000001"/>
    <m/>
    <n v="115312.79000000001"/>
    <n v="92284.160000000003"/>
    <n v="0"/>
    <n v="0"/>
    <n v="0"/>
    <n v="0"/>
    <n v="989.00380154629897"/>
    <n v="950.13175376996821"/>
    <n v="101495.74026123944"/>
    <m/>
    <m/>
    <m/>
    <n v="0"/>
    <n v="0"/>
    <n v="0"/>
    <n v="0"/>
    <m/>
    <n v="0"/>
    <n v="2098.8065686546579"/>
    <n v="9788.6047832117292"/>
    <n v="0"/>
    <n v="0"/>
    <m/>
    <m/>
    <n v="0"/>
    <n v="0"/>
    <n v="0"/>
    <m/>
    <m/>
    <n v="0"/>
    <m/>
    <n v="0"/>
    <n v="0"/>
    <n v="0"/>
    <n v="0"/>
    <m/>
    <n v="0"/>
    <n v="0"/>
    <n v="492.51"/>
    <n v="4223.13"/>
    <n v="295517.02"/>
    <n v="42"/>
    <m/>
    <m/>
    <m/>
    <m/>
    <m/>
    <m/>
    <m/>
    <m/>
    <m/>
    <n v="0"/>
    <m/>
    <m/>
    <m/>
    <m/>
    <m/>
    <m/>
    <m/>
    <m/>
    <m/>
    <m/>
    <m/>
    <m/>
    <n v="92284.160000000003"/>
    <n v="-23028.659999999989"/>
    <m/>
    <m/>
    <m/>
    <m/>
    <n v="-23028.629999999997"/>
    <n v="0"/>
    <m/>
    <n v="2162.8760250886244"/>
    <n v="209.14158848781381"/>
    <n v="975.41354406594655"/>
    <n v="0"/>
    <n v="0"/>
    <m/>
    <m/>
    <m/>
    <n v="978.320892534862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1495.74026123944"/>
    <m/>
    <n v="0"/>
    <n v="0"/>
    <n v="-23028.630000000005"/>
    <m/>
    <n v="0"/>
    <m/>
    <n v="-25213.26350909736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77"/>
    <s v="Sistema de Compensação"/>
    <s v="Verde"/>
    <s v="A4"/>
    <s v="Comercial"/>
    <s v="Não se aplica"/>
    <s v="Não se aplica"/>
    <s v="Não se aplica"/>
    <s v="Não se aplica"/>
    <s v="CATIVO"/>
    <x v="5"/>
    <n v="805"/>
    <n v="805"/>
    <n v="0"/>
    <n v="0"/>
    <n v="0"/>
    <n v="0"/>
    <n v="27.19"/>
    <m/>
    <m/>
    <n v="21887.95"/>
    <m/>
    <n v="21887.95"/>
    <n v="17516.800000000003"/>
    <n v="0"/>
    <n v="0"/>
    <n v="0"/>
    <n v="0"/>
    <n v="187.72649380918904"/>
    <n v="180.34804569319132"/>
    <n v="19265.284345743396"/>
    <m/>
    <m/>
    <m/>
    <n v="0"/>
    <n v="0"/>
    <n v="0"/>
    <n v="0"/>
    <m/>
    <n v="0"/>
    <n v="398.3822890278235"/>
    <n v="1858.0115186242494"/>
    <n v="0"/>
    <n v="0"/>
    <m/>
    <m/>
    <n v="0"/>
    <n v="0"/>
    <n v="0"/>
    <m/>
    <m/>
    <n v="0"/>
    <m/>
    <n v="0"/>
    <n v="0"/>
    <n v="0"/>
    <n v="0"/>
    <m/>
    <n v="0"/>
    <n v="0"/>
    <n v="30.83"/>
    <n v="264.52"/>
    <n v="20549.61"/>
    <n v="6"/>
    <m/>
    <m/>
    <m/>
    <m/>
    <m/>
    <m/>
    <m/>
    <m/>
    <m/>
    <n v="0"/>
    <m/>
    <m/>
    <m/>
    <m/>
    <m/>
    <m/>
    <m/>
    <m/>
    <m/>
    <m/>
    <m/>
    <m/>
    <n v="17516.800000000003"/>
    <n v="-4371.179999999993"/>
    <m/>
    <m/>
    <m/>
    <m/>
    <n v="-4371.1499999999996"/>
    <n v="0"/>
    <m/>
    <n v="410.54355109557719"/>
    <n v="39.697943582336734"/>
    <n v="185.14687643788898"/>
    <n v="0"/>
    <n v="0"/>
    <m/>
    <m/>
    <m/>
    <n v="185.698731075351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265.284345743396"/>
    <m/>
    <n v="0"/>
    <n v="0"/>
    <n v="-4371.1499999999978"/>
    <m/>
    <n v="0"/>
    <m/>
    <n v="-4785.823420142271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78"/>
    <s v="Regular"/>
    <s v="Branca"/>
    <s v="B3"/>
    <s v="Comercial"/>
    <s v="Não se aplica"/>
    <s v="Não se aplica"/>
    <s v="Não se aplica"/>
    <s v="Ponta"/>
    <s v="CATIVO"/>
    <x v="5"/>
    <n v="0"/>
    <n v="0"/>
    <n v="0.70399999999999996"/>
    <n v="0.70399999999999996"/>
    <n v="0.70399999999999996"/>
    <n v="0.70399999999999996"/>
    <m/>
    <n v="1553.42"/>
    <n v="173.25"/>
    <m/>
    <n v="1215.5756800000001"/>
    <n v="1215.5756800000001"/>
    <n v="1153.32096"/>
    <n v="0"/>
    <n v="43.327808972356756"/>
    <n v="0"/>
    <n v="0"/>
    <n v="76.348269219627326"/>
    <n v="5.2797325533148767"/>
    <n v="505.74508402351927"/>
    <n v="119.91969129206035"/>
    <n v="2.04669240550104"/>
    <n v="0"/>
    <n v="0"/>
    <n v="0"/>
    <n v="0"/>
    <n v="6.6943573152370881"/>
    <m/>
    <n v="0.85033112691135482"/>
    <n v="222.14999116305387"/>
    <n v="215.85069051517732"/>
    <n v="0"/>
    <n v="0"/>
    <n v="0"/>
    <n v="0"/>
    <n v="0"/>
    <n v="0"/>
    <n v="0"/>
    <n v="0"/>
    <n v="0"/>
    <n v="0"/>
    <m/>
    <n v="0"/>
    <n v="0"/>
    <n v="0"/>
    <n v="0"/>
    <n v="0"/>
    <n v="6.29361344482533"/>
    <n v="0"/>
    <n v="0"/>
    <n v="0"/>
    <n v="0"/>
    <n v="0"/>
    <m/>
    <m/>
    <m/>
    <m/>
    <m/>
    <m/>
    <m/>
    <m/>
    <m/>
    <n v="126.21330473688568"/>
    <m/>
    <m/>
    <m/>
    <m/>
    <m/>
    <m/>
    <m/>
    <m/>
    <m/>
    <m/>
    <m/>
    <m/>
    <n v="1146.768"/>
    <n v="-68.837680000000091"/>
    <m/>
    <m/>
    <m/>
    <m/>
    <n v="-77.454079999999976"/>
    <n v="15.199360000000002"/>
    <m/>
    <n v="63.379795675071819"/>
    <n v="22.136771786538134"/>
    <n v="21.50905994137122"/>
    <n v="0"/>
    <n v="0"/>
    <n v="0"/>
    <n v="0"/>
    <n v="0"/>
    <n v="5.4363751589286293"/>
    <n v="0"/>
    <n v="0"/>
    <n v="15.197643904360888"/>
    <n v="0"/>
    <n v="0"/>
    <n v="0"/>
    <n v="0.79760125276847482"/>
    <n v="0"/>
    <n v="-1.471275285839603"/>
    <m/>
    <n v="0"/>
    <n v="0"/>
    <n v="0"/>
    <n v="0"/>
    <n v="-0.20232399961034542"/>
    <n v="-2.405708344574653E-2"/>
    <n v="0"/>
    <n v="0"/>
    <m/>
    <m/>
    <m/>
    <n v="505.74508402351927"/>
    <n v="0"/>
    <n v="0"/>
    <n v="-77.45408000000009"/>
    <n v="15.199360000000013"/>
    <n v="0"/>
    <n v="0"/>
    <n v="-125.63565760587284"/>
    <n v="0"/>
    <n v="0"/>
    <n v="0"/>
    <n v="0"/>
    <n v="0"/>
    <n v="0"/>
    <n v="0"/>
    <n v="0"/>
    <n v="0"/>
    <n v="0"/>
    <n v="0"/>
    <n v="0"/>
    <n v="11.06514965693540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79"/>
    <s v="Regular"/>
    <s v="Branca"/>
    <s v="B3"/>
    <s v="Comercial"/>
    <s v="Não se aplica"/>
    <s v="Não se aplica"/>
    <s v="Não se aplica"/>
    <s v="Fora ponta"/>
    <s v="CATIVO"/>
    <x v="5"/>
    <n v="0"/>
    <n v="0"/>
    <n v="11.273999999999999"/>
    <n v="11.273999999999999"/>
    <n v="11.273999999999999"/>
    <n v="11.273999999999999"/>
    <m/>
    <n v="388.22"/>
    <n v="173.25"/>
    <m/>
    <n v="6330.0127799999991"/>
    <n v="6330.0127799999991"/>
    <n v="6313.7782199999992"/>
    <n v="0"/>
    <n v="693.86039538970181"/>
    <n v="0"/>
    <n v="0"/>
    <n v="244.53135999490866"/>
    <n v="16.910159232965075"/>
    <n v="1619.8222587942712"/>
    <n v="1920.4184653788186"/>
    <n v="32.776150823322055"/>
    <n v="0"/>
    <n v="0"/>
    <n v="0"/>
    <n v="0"/>
    <n v="107.20480734656667"/>
    <m/>
    <n v="13.617376597725304"/>
    <n v="711.51107965121287"/>
    <n v="691.33542183753104"/>
    <n v="0"/>
    <n v="0"/>
    <n v="0"/>
    <n v="0"/>
    <n v="0"/>
    <n v="0"/>
    <n v="0"/>
    <n v="0"/>
    <n v="0"/>
    <n v="0"/>
    <m/>
    <n v="0"/>
    <n v="0"/>
    <n v="0"/>
    <n v="0"/>
    <n v="0"/>
    <n v="100.78721303545564"/>
    <n v="0"/>
    <n v="0"/>
    <n v="0"/>
    <n v="0"/>
    <n v="0"/>
    <m/>
    <m/>
    <m/>
    <m/>
    <m/>
    <m/>
    <m/>
    <m/>
    <m/>
    <n v="2021.2056784142742"/>
    <m/>
    <m/>
    <m/>
    <m/>
    <m/>
    <m/>
    <m/>
    <m/>
    <m/>
    <m/>
    <m/>
    <m/>
    <n v="6311.5380999999998"/>
    <n v="-18.504680000000008"/>
    <m/>
    <m/>
    <m/>
    <m/>
    <n v="-259.64022000000034"/>
    <n v="243.40566000000001"/>
    <m/>
    <n v="386.16702777876799"/>
    <n v="70.90055827313256"/>
    <n v="68.890097096311024"/>
    <n v="0"/>
    <n v="0"/>
    <n v="0"/>
    <n v="0"/>
    <n v="0"/>
    <n v="17.411861047753359"/>
    <n v="0"/>
    <n v="0"/>
    <n v="243.37817809341573"/>
    <n v="0"/>
    <n v="0"/>
    <n v="0"/>
    <n v="12.772949607545158"/>
    <n v="0"/>
    <n v="-23.561303370107453"/>
    <m/>
    <n v="0"/>
    <n v="0"/>
    <n v="0"/>
    <n v="0"/>
    <n v="-3.240057914214546"/>
    <n v="-0.38525505506725466"/>
    <n v="0"/>
    <n v="0"/>
    <m/>
    <m/>
    <m/>
    <n v="1619.8222587942712"/>
    <n v="0"/>
    <n v="0"/>
    <n v="-259.64022000000023"/>
    <n v="243.4056599999999"/>
    <n v="0"/>
    <n v="0"/>
    <n v="-402.39132542667176"/>
    <n v="0"/>
    <n v="0"/>
    <n v="0"/>
    <n v="0"/>
    <n v="0"/>
    <n v="0"/>
    <n v="0"/>
    <n v="0"/>
    <n v="0"/>
    <n v="0"/>
    <n v="0"/>
    <n v="0"/>
    <n v="177.199569932229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0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93"/>
    <n v="59.74"/>
    <n v="4266.1000000000004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381"/>
    <s v="Regular"/>
    <s v="Branca"/>
    <s v="B3"/>
    <s v="Comercial"/>
    <s v="Não se aplica"/>
    <s v="Não se aplica"/>
    <s v="Não se aplica"/>
    <s v="Intermediário"/>
    <s v="CATIVO"/>
    <x v="5"/>
    <n v="0"/>
    <n v="0"/>
    <n v="0.57999999999999996"/>
    <n v="0.57999999999999996"/>
    <n v="0.57999999999999996"/>
    <n v="0.57999999999999996"/>
    <m/>
    <n v="970.82"/>
    <n v="173.25"/>
    <m/>
    <n v="663.56060000000002"/>
    <n v="663.56060000000002"/>
    <n v="637.4953999999999"/>
    <n v="0"/>
    <n v="35.696206255634827"/>
    <n v="0"/>
    <n v="0"/>
    <n v="37.740337625611289"/>
    <n v="2.6098702381904526"/>
    <n v="249.99905285896429"/>
    <n v="98.797472939481537"/>
    <n v="1.6861954477139249"/>
    <n v="0"/>
    <n v="0"/>
    <n v="0"/>
    <n v="0"/>
    <n v="5.5152375608487372"/>
    <m/>
    <n v="0.70055689433037749"/>
    <n v="109.81277972264584"/>
    <n v="106.69892087966176"/>
    <n v="0"/>
    <n v="0"/>
    <n v="0"/>
    <n v="0"/>
    <n v="0"/>
    <n v="0"/>
    <n v="0"/>
    <n v="0"/>
    <n v="0"/>
    <n v="0"/>
    <m/>
    <n v="0"/>
    <n v="0"/>
    <n v="0"/>
    <n v="0"/>
    <n v="0"/>
    <n v="5.1850792585208687"/>
    <n v="0"/>
    <n v="0"/>
    <n v="0"/>
    <n v="0"/>
    <n v="0"/>
    <m/>
    <m/>
    <m/>
    <m/>
    <m/>
    <m/>
    <m/>
    <m/>
    <m/>
    <n v="103.98255219800241"/>
    <m/>
    <m/>
    <m/>
    <m/>
    <m/>
    <m/>
    <m/>
    <m/>
    <m/>
    <m/>
    <m/>
    <m/>
    <n v="637.4953999999999"/>
    <n v="-26.095200000000091"/>
    <m/>
    <m/>
    <m/>
    <m/>
    <n v="-38.587400000000045"/>
    <n v="12.522200000000002"/>
    <m/>
    <n v="36.041493272630248"/>
    <n v="10.94260878084566"/>
    <n v="10.632319402836316"/>
    <n v="0"/>
    <n v="0"/>
    <n v="0"/>
    <n v="0"/>
    <n v="0"/>
    <n v="2.6873015986420952"/>
    <n v="0"/>
    <n v="0"/>
    <n v="12.52078617120641"/>
    <n v="0"/>
    <n v="0"/>
    <n v="0"/>
    <n v="0.65711466847402722"/>
    <n v="0"/>
    <n v="-1.2121302070837601"/>
    <m/>
    <n v="0"/>
    <n v="0"/>
    <n v="0"/>
    <n v="0"/>
    <n v="-0.16668738604261435"/>
    <n v="-1.9819756247916209E-2"/>
    <n v="0"/>
    <n v="0"/>
    <m/>
    <m/>
    <m/>
    <n v="249.99905285896429"/>
    <n v="0"/>
    <n v="0"/>
    <n v="-38.587400000000116"/>
    <n v="12.522199999999998"/>
    <n v="0"/>
    <n v="0"/>
    <n v="-62.104005355632125"/>
    <n v="0"/>
    <n v="0"/>
    <n v="0"/>
    <n v="0"/>
    <n v="0"/>
    <n v="0"/>
    <n v="0"/>
    <n v="0"/>
    <n v="0"/>
    <n v="0"/>
    <n v="0"/>
    <n v="0"/>
    <n v="9.116174433270645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2"/>
    <s v="Regular"/>
    <s v="Convencional"/>
    <s v="B2"/>
    <s v="Rural"/>
    <s v="Não se aplica"/>
    <s v="Não se aplica"/>
    <s v="Não se aplica"/>
    <s v="Não se aplica"/>
    <s v="CATIVO"/>
    <x v="5"/>
    <n v="0"/>
    <n v="0"/>
    <n v="6548.1440000000002"/>
    <n v="6548.1440000000002"/>
    <n v="6548.1440000000002"/>
    <n v="6548.1440000000002"/>
    <m/>
    <n v="368.24"/>
    <n v="173.25"/>
    <m/>
    <n v="3545754.4945600005"/>
    <n v="3545754.4945600005"/>
    <n v="3332285.0001600003"/>
    <n v="0"/>
    <n v="403006.72209585807"/>
    <n v="0"/>
    <n v="0"/>
    <n v="16760.219238620153"/>
    <n v="16102.812409565258"/>
    <n v="1542330.8860805"/>
    <n v="1115413.9304203938"/>
    <n v="19036.983799612506"/>
    <n v="0"/>
    <n v="0"/>
    <n v="0"/>
    <n v="0"/>
    <n v="62266.499556286719"/>
    <m/>
    <n v="7909.2196970139585"/>
    <n v="35578.656455597389"/>
    <n v="165898.02624128581"/>
    <n v="0"/>
    <n v="0"/>
    <n v="0"/>
    <n v="0"/>
    <n v="0"/>
    <n v="0"/>
    <n v="0"/>
    <n v="0"/>
    <n v="0"/>
    <n v="0"/>
    <m/>
    <n v="0"/>
    <n v="0"/>
    <n v="0"/>
    <n v="0"/>
    <n v="0"/>
    <n v="58539.04420035841"/>
    <n v="0"/>
    <n v="2648.26"/>
    <n v="23315.97"/>
    <n v="197413.16"/>
    <n v="15772"/>
    <m/>
    <m/>
    <m/>
    <m/>
    <m/>
    <n v="399829.67264"/>
    <m/>
    <m/>
    <m/>
    <n v="1173952.9746207523"/>
    <m/>
    <m/>
    <m/>
    <m/>
    <m/>
    <m/>
    <m/>
    <m/>
    <m/>
    <m/>
    <m/>
    <m/>
    <n v="2932453.5362"/>
    <n v="-187802.59123999951"/>
    <m/>
    <m/>
    <m/>
    <m/>
    <n v="-354843.92336000002"/>
    <n v="141374.42896000002"/>
    <m/>
    <n v="169644.02960681566"/>
    <n v="3545.337068463421"/>
    <n v="16531.3837174316"/>
    <n v="0"/>
    <n v="0"/>
    <n v="0"/>
    <n v="0"/>
    <n v="0"/>
    <n v="16580.561323562884"/>
    <n v="0"/>
    <n v="0"/>
    <n v="141358.46696942812"/>
    <n v="0"/>
    <n v="0"/>
    <n v="0"/>
    <n v="7418.7611615175774"/>
    <n v="0"/>
    <n v="-13684.833004714281"/>
    <m/>
    <n v="0"/>
    <n v="0"/>
    <n v="0"/>
    <n v="0"/>
    <n v="-1881.884494466598"/>
    <n v="-223.76313440733611"/>
    <n v="0"/>
    <n v="0"/>
    <m/>
    <m/>
    <m/>
    <n v="1542330.8860805"/>
    <n v="0"/>
    <n v="0"/>
    <n v="-354843.9233599999"/>
    <n v="141374.42895999993"/>
    <n v="0"/>
    <n v="0"/>
    <n v="-383141.15399204171"/>
    <n v="0"/>
    <n v="0"/>
    <n v="0"/>
    <n v="0"/>
    <n v="0"/>
    <n v="0"/>
    <n v="0"/>
    <n v="0"/>
    <n v="0"/>
    <n v="0"/>
    <n v="0"/>
    <n v="0"/>
    <n v="102920.7291692665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3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4.2759999999999998"/>
    <n v="-4.2759999999999998"/>
    <n v="-4.2759999999999998"/>
    <n v="-4.2759999999999998"/>
    <m/>
    <n v="368.24"/>
    <n v="173.25"/>
    <m/>
    <n v="-2315.4112399999999"/>
    <n v="-2315.4112399999999"/>
    <n v="-2176.0136400000001"/>
    <n v="0"/>
    <n v="-263.16720336050781"/>
    <n v="0"/>
    <n v="0"/>
    <n v="-10.944581772230386"/>
    <n v="-10.51528889152423"/>
    <n v="-1007.1566643739382"/>
    <n v="-728.37585222279836"/>
    <n v="-12.431330576594386"/>
    <n v="0"/>
    <n v="0"/>
    <n v="0"/>
    <n v="0"/>
    <n v="-40.660613465843447"/>
    <m/>
    <n v="-5.1647953106149904"/>
    <n v="-23.233199362160398"/>
    <n v="-108.33298110239147"/>
    <n v="0"/>
    <n v="0"/>
    <n v="0"/>
    <n v="0"/>
    <n v="0"/>
    <n v="0"/>
    <n v="0"/>
    <n v="0"/>
    <n v="0"/>
    <n v="0"/>
    <m/>
    <n v="0"/>
    <n v="0"/>
    <n v="0"/>
    <n v="0"/>
    <n v="0"/>
    <n v="-38.226549843853853"/>
    <n v="0"/>
    <n v="-1.91"/>
    <n v="-15.26"/>
    <n v="17.559999999999999"/>
    <n v="0"/>
    <m/>
    <m/>
    <m/>
    <m/>
    <m/>
    <n v="-261.09255999999999"/>
    <m/>
    <m/>
    <m/>
    <n v="-766.60240206665219"/>
    <m/>
    <m/>
    <m/>
    <m/>
    <m/>
    <m/>
    <m/>
    <m/>
    <m/>
    <m/>
    <m/>
    <m/>
    <n v="-1916.7124000000003"/>
    <n v="120.81435999999962"/>
    <m/>
    <m/>
    <m/>
    <m/>
    <n v="231.71643999999998"/>
    <n v="-92.318840000000009"/>
    <m/>
    <n v="-110.77915675017857"/>
    <n v="-2.3151386568086423"/>
    <n v="-10.795150011321908"/>
    <n v="0"/>
    <n v="0"/>
    <n v="0"/>
    <n v="0"/>
    <n v="0"/>
    <n v="-10.827263453515206"/>
    <n v="0"/>
    <n v="0"/>
    <n v="-92.308416669101121"/>
    <n v="0"/>
    <n v="0"/>
    <n v="0"/>
    <n v="-4.8445212455085169"/>
    <n v="0"/>
    <n v="8.936325457741674"/>
    <m/>
    <n v="0"/>
    <n v="0"/>
    <n v="0"/>
    <n v="0"/>
    <n v="1.2288883839969245"/>
    <n v="0.14611944433808599"/>
    <n v="0"/>
    <n v="0"/>
    <m/>
    <m/>
    <m/>
    <n v="-1007.1566643739382"/>
    <n v="0"/>
    <n v="0"/>
    <n v="231.71643999999992"/>
    <n v="-92.318840000000023"/>
    <n v="0"/>
    <n v="0"/>
    <n v="250.1947993920063"/>
    <n v="0"/>
    <n v="0"/>
    <n v="0"/>
    <n v="0"/>
    <n v="0"/>
    <n v="0"/>
    <n v="0"/>
    <n v="0"/>
    <n v="0"/>
    <n v="0"/>
    <n v="0"/>
    <n v="0"/>
    <n v="-67.208210132181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4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84.281000000000006"/>
    <n v="84.281000000000006"/>
    <n v="84.281000000000006"/>
    <n v="84.281000000000006"/>
    <m/>
    <n v="368.24"/>
    <n v="173.25"/>
    <m/>
    <n v="45637.31869"/>
    <n v="45637.31869"/>
    <n v="42889.758090000003"/>
    <n v="0"/>
    <n v="5187.0895852261374"/>
    <n v="0"/>
    <n v="0"/>
    <n v="215.7203686495204"/>
    <n v="207.25890155906308"/>
    <n v="19851.302813400351"/>
    <n v="14356.465201400766"/>
    <n v="245.02454918754714"/>
    <n v="0"/>
    <n v="0"/>
    <n v="0"/>
    <n v="0"/>
    <n v="801.43058080326296"/>
    <m/>
    <n v="101.7993717432044"/>
    <n v="457.93201015955111"/>
    <n v="2135.2694060548774"/>
    <n v="0"/>
    <n v="0"/>
    <n v="0"/>
    <n v="0"/>
    <n v="0"/>
    <n v="0"/>
    <n v="0"/>
    <n v="0"/>
    <n v="0"/>
    <n v="0"/>
    <m/>
    <n v="0"/>
    <n v="0"/>
    <n v="0"/>
    <n v="0"/>
    <n v="0"/>
    <n v="753.45459480585748"/>
    <n v="0"/>
    <n v="35.159999999999997"/>
    <n v="304.88"/>
    <n v="2610.06"/>
    <n v="261"/>
    <m/>
    <m/>
    <m/>
    <m/>
    <m/>
    <n v="5146.1978600000002"/>
    <m/>
    <m/>
    <m/>
    <n v="15109.919796206623"/>
    <m/>
    <m/>
    <m/>
    <m/>
    <m/>
    <m/>
    <m/>
    <m/>
    <m/>
    <m/>
    <m/>
    <m/>
    <n v="37743.112399999998"/>
    <n v="-2417.6569100000052"/>
    <m/>
    <m/>
    <m/>
    <m/>
    <n v="-4567.1873900000001"/>
    <n v="1819.6267900000005"/>
    <m/>
    <n v="2183.4841230266138"/>
    <n v="45.631946009001297"/>
    <n v="212.77503229752665"/>
    <n v="0"/>
    <n v="0"/>
    <n v="0"/>
    <n v="0"/>
    <n v="0"/>
    <n v="213.407996053722"/>
    <n v="0"/>
    <n v="0"/>
    <n v="1819.4213436128412"/>
    <n v="0"/>
    <n v="0"/>
    <n v="0"/>
    <n v="95.486692023550972"/>
    <n v="0"/>
    <n v="-176.13714824694307"/>
    <m/>
    <n v="0"/>
    <n v="0"/>
    <n v="0"/>
    <n v="0"/>
    <n v="-24.221688936306236"/>
    <n v="-2.8800497867769366"/>
    <n v="0"/>
    <n v="0"/>
    <m/>
    <m/>
    <m/>
    <n v="19851.302813400351"/>
    <n v="0"/>
    <n v="0"/>
    <n v="-4567.1873899999991"/>
    <n v="1819.6267899999984"/>
    <n v="0"/>
    <n v="0"/>
    <n v="-4931.4003478853356"/>
    <n v="0"/>
    <n v="0"/>
    <n v="0"/>
    <n v="0"/>
    <n v="0"/>
    <n v="0"/>
    <n v="0"/>
    <n v="0"/>
    <n v="0"/>
    <n v="0"/>
    <n v="0"/>
    <n v="0"/>
    <n v="1324.69016794910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5"/>
    <s v="Regular"/>
    <s v="Verde"/>
    <s v="A4"/>
    <s v="Rural"/>
    <s v="Não se aplica"/>
    <s v="Não se aplica"/>
    <s v="Não se aplica"/>
    <s v="Ponta"/>
    <s v="CATIVO"/>
    <x v="5"/>
    <n v="0"/>
    <n v="0"/>
    <n v="10.997999999999999"/>
    <n v="10.55808"/>
    <n v="10.997999999999999"/>
    <n v="10.55808"/>
    <m/>
    <n v="1358.36"/>
    <n v="173.25"/>
    <m/>
    <n v="16844.646779999999"/>
    <n v="16844.646779999999"/>
    <n v="14769.434159999999"/>
    <n v="0"/>
    <n v="588.88031459920728"/>
    <n v="0"/>
    <n v="0"/>
    <n v="208.32508751423921"/>
    <n v="200.15431212922255"/>
    <n v="11091.567869370358"/>
    <n v="1873.4044954972724"/>
    <n v="31.973754368892667"/>
    <n v="0"/>
    <n v="0"/>
    <n v="0"/>
    <n v="0"/>
    <n v="104.58031499002485"/>
    <m/>
    <n v="8.8073504730318568"/>
    <n v="442.23862248290322"/>
    <n v="2062.0821207614617"/>
    <n v="0"/>
    <n v="0"/>
    <n v="0"/>
    <n v="0"/>
    <n v="0"/>
    <n v="0"/>
    <n v="0"/>
    <n v="0"/>
    <n v="0"/>
    <n v="0"/>
    <m/>
    <n v="0"/>
    <n v="0"/>
    <n v="0"/>
    <n v="0"/>
    <n v="0"/>
    <n v="82.250265099890299"/>
    <n v="0"/>
    <n v="0"/>
    <n v="0"/>
    <n v="0"/>
    <n v="0"/>
    <m/>
    <m/>
    <m/>
    <m/>
    <m/>
    <n v="590.77736639999853"/>
    <m/>
    <m/>
    <m/>
    <n v="1955.6547605971627"/>
    <m/>
    <m/>
    <m/>
    <m/>
    <m/>
    <m/>
    <m/>
    <m/>
    <m/>
    <m/>
    <m/>
    <m/>
    <n v="14181.235199999999"/>
    <n v="-1989.6557088000009"/>
    <m/>
    <m/>
    <m/>
    <m/>
    <n v="-2312.6594399999994"/>
    <n v="237.44682000000003"/>
    <m/>
    <n v="680.08014875155004"/>
    <n v="44.068133470738417"/>
    <n v="205.4820757516618"/>
    <n v="0"/>
    <n v="0"/>
    <n v="0"/>
    <n v="0"/>
    <n v="0"/>
    <n v="206.092622954658"/>
    <n v="0"/>
    <n v="0"/>
    <n v="237.42001088091047"/>
    <n v="0"/>
    <n v="0"/>
    <n v="0"/>
    <n v="10.42372796793687"/>
    <n v="0"/>
    <n v="-19.996512026260348"/>
    <m/>
    <n v="0"/>
    <n v="0"/>
    <n v="0"/>
    <n v="0"/>
    <n v="-3.160737709821845"/>
    <n v="-0.24917253827373642"/>
    <n v="0"/>
    <n v="0"/>
    <m/>
    <m/>
    <m/>
    <n v="11091.567869370358"/>
    <n v="0"/>
    <n v="0"/>
    <n v="-2312.6594399999994"/>
    <n v="237.44682000000012"/>
    <n v="0"/>
    <n v="0"/>
    <n v="-2755.3336002050291"/>
    <n v="0"/>
    <n v="0"/>
    <n v="0"/>
    <n v="0"/>
    <n v="0"/>
    <n v="0"/>
    <n v="0"/>
    <n v="0"/>
    <n v="0"/>
    <n v="0"/>
    <n v="0"/>
    <n v="0"/>
    <n v="150.389529625666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6"/>
    <s v="Regular"/>
    <s v="Verde"/>
    <s v="A4"/>
    <s v="Rural"/>
    <s v="Não se aplica"/>
    <s v="Não se aplica"/>
    <s v="Não se aplica"/>
    <s v="Fora ponta"/>
    <s v="CATIVO"/>
    <x v="5"/>
    <n v="0"/>
    <n v="0"/>
    <n v="116.01300000000001"/>
    <n v="111.37248"/>
    <n v="116.01300000000001"/>
    <n v="111.37248"/>
    <m/>
    <n v="85.01"/>
    <n v="173.25"/>
    <m/>
    <n v="29961.517380000005"/>
    <n v="29961.517380000005"/>
    <n v="32329.342710000001"/>
    <n v="0"/>
    <n v="6211.8359645024402"/>
    <n v="0"/>
    <n v="0"/>
    <n v="0"/>
    <n v="0"/>
    <n v="0"/>
    <n v="19761.709014013919"/>
    <n v="337.27688357868209"/>
    <n v="0"/>
    <n v="0"/>
    <n v="0"/>
    <n v="0"/>
    <n v="1103.1711295633529"/>
    <m/>
    <n v="92.904814550631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7.62138616417303"/>
    <n v="0"/>
    <n v="0"/>
    <n v="0"/>
    <n v="0"/>
    <n v="0"/>
    <m/>
    <m/>
    <m/>
    <m/>
    <m/>
    <n v="1293.1737084000026"/>
    <m/>
    <m/>
    <m/>
    <n v="20629.330400178093"/>
    <m/>
    <m/>
    <m/>
    <m/>
    <m/>
    <m/>
    <m/>
    <m/>
    <m/>
    <m/>
    <m/>
    <m/>
    <n v="31035.477899999998"/>
    <n v="2272.3912152000012"/>
    <m/>
    <m/>
    <m/>
    <m/>
    <n v="-136.8953400000008"/>
    <n v="2504.7206700000006"/>
    <m/>
    <n v="2367.4892169263912"/>
    <n v="0"/>
    <n v="0"/>
    <n v="0"/>
    <n v="0"/>
    <n v="0"/>
    <n v="0"/>
    <n v="0"/>
    <n v="0"/>
    <n v="0"/>
    <n v="0"/>
    <n v="2504.4378725520146"/>
    <n v="0"/>
    <n v="0"/>
    <n v="0"/>
    <n v="109.95526029680479"/>
    <n v="0"/>
    <n v="-210.93429257160824"/>
    <m/>
    <n v="0"/>
    <n v="0"/>
    <n v="0"/>
    <n v="0"/>
    <n v="-33.341213305106749"/>
    <n v="-2.6284100457129682"/>
    <n v="0"/>
    <n v="0"/>
    <m/>
    <m/>
    <m/>
    <n v="0"/>
    <n v="0"/>
    <n v="0"/>
    <n v="-136.89534000000094"/>
    <n v="2504.7206699999988"/>
    <n v="0"/>
    <n v="0"/>
    <n v="0"/>
    <n v="0"/>
    <n v="0"/>
    <n v="0"/>
    <n v="0"/>
    <n v="0"/>
    <n v="0"/>
    <n v="0"/>
    <n v="0"/>
    <n v="0"/>
    <n v="0"/>
    <n v="0"/>
    <n v="0"/>
    <n v="1586.392116790544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7"/>
    <s v="Sistema de Compensação"/>
    <s v="Verde"/>
    <s v="A4"/>
    <s v="Rural"/>
    <s v="Não se aplica"/>
    <s v="Não se aplica"/>
    <s v="Não se aplica"/>
    <s v="Fora ponta"/>
    <s v="CATIVO"/>
    <x v="5"/>
    <n v="0"/>
    <n v="0"/>
    <n v="40.652999999999999"/>
    <n v="39.026879999999998"/>
    <n v="40.652999999999999"/>
    <n v="39.026879999999998"/>
    <m/>
    <n v="85.01"/>
    <n v="173.25"/>
    <m/>
    <n v="10499.04378"/>
    <n v="10499.04378"/>
    <n v="11328.771509999999"/>
    <n v="0"/>
    <n v="2176.7368093654823"/>
    <n v="0"/>
    <n v="0"/>
    <n v="0"/>
    <n v="0"/>
    <n v="0"/>
    <n v="6924.8511507047288"/>
    <n v="118.18776471709344"/>
    <n v="0"/>
    <n v="0"/>
    <n v="0"/>
    <n v="0"/>
    <n v="386.57060786410989"/>
    <m/>
    <n v="32.555484522655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02982606890714"/>
    <n v="0"/>
    <n v="0"/>
    <n v="0"/>
    <n v="0"/>
    <n v="0"/>
    <m/>
    <m/>
    <m/>
    <m/>
    <m/>
    <n v="453.15086040000006"/>
    <m/>
    <m/>
    <m/>
    <n v="7228.8809767736357"/>
    <m/>
    <m/>
    <m/>
    <m/>
    <m/>
    <m/>
    <m/>
    <m/>
    <m/>
    <m/>
    <m/>
    <m/>
    <n v="10876.490099999999"/>
    <n v="797.37807119999889"/>
    <m/>
    <m/>
    <m/>
    <m/>
    <n v="-47.970540000000277"/>
    <n v="877.69827000000009"/>
    <m/>
    <n v="829.60995005480981"/>
    <n v="0"/>
    <n v="0"/>
    <n v="0"/>
    <n v="0"/>
    <n v="0"/>
    <n v="0"/>
    <n v="0"/>
    <n v="0"/>
    <n v="0"/>
    <n v="0"/>
    <n v="877.59917278974899"/>
    <n v="0"/>
    <n v="0"/>
    <n v="0"/>
    <n v="38.53026123663733"/>
    <n v="0"/>
    <n v="-73.915093962862557"/>
    <m/>
    <n v="0"/>
    <n v="0"/>
    <n v="0"/>
    <n v="0"/>
    <n v="-11.683348801362797"/>
    <n v="-0.92104120735063333"/>
    <n v="0"/>
    <n v="0"/>
    <m/>
    <m/>
    <m/>
    <n v="0"/>
    <n v="0"/>
    <n v="0"/>
    <n v="-47.97054000000071"/>
    <n v="877.69826999999987"/>
    <n v="0"/>
    <n v="0"/>
    <n v="0"/>
    <n v="0"/>
    <n v="0"/>
    <n v="0"/>
    <n v="0"/>
    <n v="0"/>
    <n v="0"/>
    <n v="0"/>
    <n v="0"/>
    <n v="0"/>
    <n v="0"/>
    <n v="0"/>
    <n v="0"/>
    <n v="555.899758853628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88"/>
    <s v="Regular"/>
    <s v="Verde"/>
    <s v="A4"/>
    <s v="Rural"/>
    <s v="Não se aplica"/>
    <s v="Não se aplica"/>
    <s v="Não se aplica"/>
    <s v="Não se aplica"/>
    <s v="CATIVO"/>
    <x v="5"/>
    <n v="662"/>
    <n v="635.52"/>
    <n v="0"/>
    <n v="0"/>
    <n v="0"/>
    <n v="0"/>
    <n v="27.19"/>
    <m/>
    <m/>
    <n v="17999.780000000002"/>
    <m/>
    <n v="17999.780000000002"/>
    <n v="14405.12"/>
    <n v="0"/>
    <n v="0"/>
    <n v="0"/>
    <n v="0"/>
    <n v="154.37880608904737"/>
    <n v="148.31106366322069"/>
    <n v="15843.004020971588"/>
    <m/>
    <m/>
    <m/>
    <n v="0"/>
    <n v="0"/>
    <n v="0"/>
    <n v="0"/>
    <m/>
    <n v="0"/>
    <n v="327.61375818188719"/>
    <n v="1527.9548140736065"/>
    <n v="0"/>
    <n v="0"/>
    <m/>
    <m/>
    <n v="0"/>
    <n v="0"/>
    <n v="0"/>
    <m/>
    <m/>
    <n v="0"/>
    <m/>
    <n v="0"/>
    <n v="0"/>
    <n v="0"/>
    <n v="0"/>
    <m/>
    <n v="0"/>
    <n v="0"/>
    <n v="54.3"/>
    <n v="465.61"/>
    <n v="28.47"/>
    <n v="4"/>
    <m/>
    <m/>
    <m/>
    <m/>
    <m/>
    <n v="576.20480000000043"/>
    <m/>
    <m/>
    <m/>
    <n v="0"/>
    <m/>
    <m/>
    <m/>
    <m/>
    <m/>
    <m/>
    <m/>
    <m/>
    <m/>
    <m/>
    <m/>
    <m/>
    <n v="13828.915200000001"/>
    <n v="-3450.903599999996"/>
    <m/>
    <m/>
    <m/>
    <m/>
    <n v="-3594.66"/>
    <n v="0"/>
    <m/>
    <n v="337.61469667735582"/>
    <n v="32.646010747213552"/>
    <n v="152.25743130668616"/>
    <n v="0"/>
    <n v="0"/>
    <m/>
    <m/>
    <m/>
    <n v="152.711254623456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843.004020971588"/>
    <m/>
    <n v="0"/>
    <n v="0"/>
    <n v="-3594.6600000000017"/>
    <m/>
    <n v="0"/>
    <m/>
    <n v="-3935.670936812650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89"/>
    <s v="Sistema de Compensação"/>
    <s v="Verde"/>
    <s v="A4"/>
    <s v="Rural"/>
    <s v="Não se aplica"/>
    <s v="Não se aplica"/>
    <s v="Não se aplica"/>
    <s v="Não se aplica"/>
    <s v="CATIVO"/>
    <x v="5"/>
    <n v="146"/>
    <n v="140.16"/>
    <n v="0"/>
    <n v="0"/>
    <n v="0"/>
    <n v="0"/>
    <n v="27.19"/>
    <m/>
    <m/>
    <n v="3969.7400000000002"/>
    <m/>
    <n v="3969.7400000000002"/>
    <n v="3176.96"/>
    <n v="0"/>
    <n v="0"/>
    <n v="0"/>
    <n v="0"/>
    <n v="34.047289560424346"/>
    <n v="32.709086548081906"/>
    <n v="3494.0764155012866"/>
    <m/>
    <m/>
    <m/>
    <n v="0"/>
    <n v="0"/>
    <n v="0"/>
    <n v="0"/>
    <m/>
    <n v="0"/>
    <n v="72.253185339207747"/>
    <n v="336.98097107967754"/>
    <n v="0"/>
    <n v="0"/>
    <m/>
    <m/>
    <n v="0"/>
    <n v="0"/>
    <n v="0"/>
    <m/>
    <m/>
    <n v="0"/>
    <m/>
    <n v="0"/>
    <n v="0"/>
    <n v="0"/>
    <n v="0"/>
    <m/>
    <n v="0"/>
    <n v="0"/>
    <n v="14.68"/>
    <n v="125.9"/>
    <n v="5.76"/>
    <n v="1"/>
    <m/>
    <m/>
    <m/>
    <m/>
    <m/>
    <n v="127.07840000000009"/>
    <m/>
    <m/>
    <m/>
    <n v="0"/>
    <m/>
    <m/>
    <m/>
    <m/>
    <m/>
    <m/>
    <m/>
    <m/>
    <m/>
    <m/>
    <m/>
    <m/>
    <n v="3049.8816000000002"/>
    <n v="-761.09880000000067"/>
    <m/>
    <m/>
    <m/>
    <m/>
    <n v="-792.78"/>
    <n v="0"/>
    <m/>
    <n v="74.458830385036322"/>
    <n v="7.1998754820138657"/>
    <n v="33.57943349059849"/>
    <n v="0"/>
    <n v="0"/>
    <m/>
    <m/>
    <m/>
    <n v="33.6795214124239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94.0764155012866"/>
    <m/>
    <n v="0"/>
    <n v="0"/>
    <n v="-792.7800000000002"/>
    <m/>
    <n v="0"/>
    <m/>
    <n v="-867.9878501127595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90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518.28899999999999"/>
    <n v="518.28899999999999"/>
    <n v="518.28899999999999"/>
    <n v="518.28899999999999"/>
    <m/>
    <n v="368.24"/>
    <n v="173.25"/>
    <m/>
    <n v="280648.31061000004"/>
    <n v="280648.31061000004"/>
    <n v="263752.08921000001"/>
    <n v="0"/>
    <n v="31898.191455218483"/>
    <n v="0"/>
    <n v="0"/>
    <n v="1326.5800613067152"/>
    <n v="1274.5459692000004"/>
    <n v="122076.29102472031"/>
    <n v="88285.592159191292"/>
    <n v="1506.7871593106941"/>
    <n v="0"/>
    <n v="0"/>
    <n v="0"/>
    <n v="0"/>
    <n v="4928.4257934047091"/>
    <m/>
    <n v="626.01884863033968"/>
    <n v="2816.0691450455452"/>
    <n v="13130.914977216411"/>
    <n v="0"/>
    <n v="0"/>
    <n v="0"/>
    <n v="0"/>
    <n v="0"/>
    <n v="0"/>
    <n v="0"/>
    <n v="0"/>
    <n v="0"/>
    <n v="0"/>
    <m/>
    <n v="0"/>
    <n v="0"/>
    <n v="0"/>
    <n v="0"/>
    <n v="0"/>
    <n v="4633.3957652060735"/>
    <n v="0"/>
    <n v="234.86"/>
    <n v="2037.53"/>
    <n v="130808.19"/>
    <n v="583"/>
    <m/>
    <m/>
    <m/>
    <m/>
    <m/>
    <m/>
    <m/>
    <m/>
    <m/>
    <n v="92918.98792439737"/>
    <m/>
    <m/>
    <m/>
    <m/>
    <m/>
    <m/>
    <m/>
    <m/>
    <m/>
    <m/>
    <m/>
    <m/>
    <n v="263752.59809999994"/>
    <n v="-16895.742510000127"/>
    <m/>
    <m/>
    <m/>
    <m/>
    <n v="-28086.080909999997"/>
    <n v="11189.859510000002"/>
    <m/>
    <n v="13427.413090012473"/>
    <n v="280.61527111756186"/>
    <n v="1308.4676109022512"/>
    <n v="0"/>
    <n v="0"/>
    <n v="0"/>
    <n v="0"/>
    <n v="0"/>
    <n v="1312.3600439801085"/>
    <n v="0"/>
    <n v="0"/>
    <n v="11188.596110152415"/>
    <n v="0"/>
    <n v="0"/>
    <n v="0"/>
    <n v="587.19880070471572"/>
    <n v="0"/>
    <n v="-1083.1616429297173"/>
    <m/>
    <n v="0"/>
    <n v="0"/>
    <n v="0"/>
    <n v="0"/>
    <n v="-148.95213555972532"/>
    <n v="-17.710968355131399"/>
    <n v="0"/>
    <n v="0"/>
    <m/>
    <m/>
    <m/>
    <n v="122076.29102472031"/>
    <n v="0"/>
    <n v="0"/>
    <n v="-28086.080910000019"/>
    <n v="11189.859509999995"/>
    <n v="0"/>
    <n v="0"/>
    <n v="-30325.821417699612"/>
    <n v="0"/>
    <n v="0"/>
    <n v="0"/>
    <n v="0"/>
    <n v="0"/>
    <n v="0"/>
    <n v="0"/>
    <n v="0"/>
    <n v="0"/>
    <n v="0"/>
    <n v="0"/>
    <n v="0"/>
    <n v="8146.229191112775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91"/>
    <s v="Sistema de Compensação"/>
    <s v="Convencional"/>
    <s v="B3"/>
    <s v="Poder público"/>
    <s v="Não se aplica"/>
    <s v="Não se aplica"/>
    <s v="Não se aplica"/>
    <s v="Não se aplica"/>
    <s v="CATIVO"/>
    <x v="5"/>
    <n v="0"/>
    <n v="0"/>
    <n v="2.3860000000000001"/>
    <n v="2.3860000000000001"/>
    <n v="2.3860000000000001"/>
    <n v="2.3860000000000001"/>
    <m/>
    <n v="368.24"/>
    <n v="173.25"/>
    <m/>
    <n v="1291.99514"/>
    <n v="1291.99514"/>
    <n v="1214.21154"/>
    <n v="0"/>
    <n v="146.84680711369779"/>
    <n v="0"/>
    <n v="0"/>
    <n v="6.1070561526056366"/>
    <n v="5.8675115283388246"/>
    <n v="561.99153442381123"/>
    <n v="406.43236281655686"/>
    <n v="6.9366592038714234"/>
    <n v="0"/>
    <n v="0"/>
    <n v="0"/>
    <n v="0"/>
    <n v="22.688546241698429"/>
    <m/>
    <n v="2.8819461204694496"/>
    <n v="12.964081776921121"/>
    <n v="60.449600774159514"/>
    <n v="0"/>
    <n v="0"/>
    <n v="0"/>
    <n v="0"/>
    <n v="0"/>
    <n v="0"/>
    <n v="0"/>
    <n v="0"/>
    <n v="0"/>
    <n v="0"/>
    <m/>
    <n v="0"/>
    <n v="0"/>
    <n v="0"/>
    <n v="0"/>
    <n v="0"/>
    <n v="21.330343294535851"/>
    <n v="0"/>
    <n v="1.08"/>
    <n v="9.3800000000000008"/>
    <n v="768.02"/>
    <n v="2"/>
    <m/>
    <m/>
    <m/>
    <m/>
    <m/>
    <m/>
    <m/>
    <m/>
    <m/>
    <n v="427.76270611109271"/>
    <m/>
    <m/>
    <m/>
    <m/>
    <m/>
    <m/>
    <m/>
    <m/>
    <m/>
    <m/>
    <m/>
    <m/>
    <n v="1216.2471"/>
    <n v="-75.778039999999919"/>
    <m/>
    <m/>
    <m/>
    <m/>
    <n v="-129.29733999999999"/>
    <n v="51.513740000000013"/>
    <m/>
    <n v="61.814562209056476"/>
    <n v="1.2918430390892013"/>
    <n v="6.0236735095916956"/>
    <n v="0"/>
    <n v="0"/>
    <n v="0"/>
    <n v="0"/>
    <n v="0"/>
    <n v="6.041592750254277"/>
    <n v="0"/>
    <n v="0"/>
    <n v="51.507923800859487"/>
    <n v="0"/>
    <n v="0"/>
    <n v="0"/>
    <n v="2.7032337913431554"/>
    <n v="0"/>
    <n v="-4.9864528863825228"/>
    <m/>
    <n v="0"/>
    <n v="0"/>
    <n v="0"/>
    <n v="0"/>
    <n v="-0.68571741913392614"/>
    <n v="-8.1534376564703415E-2"/>
    <n v="0"/>
    <n v="0"/>
    <m/>
    <m/>
    <m/>
    <n v="561.99153442381123"/>
    <n v="0"/>
    <n v="0"/>
    <n v="-129.29734000000008"/>
    <n v="51.513740000000041"/>
    <n v="0"/>
    <n v="0"/>
    <n v="-139.6082299694404"/>
    <n v="0"/>
    <n v="0"/>
    <n v="0"/>
    <n v="0"/>
    <n v="0"/>
    <n v="0"/>
    <n v="0"/>
    <n v="0"/>
    <n v="0"/>
    <n v="0"/>
    <n v="0"/>
    <n v="0"/>
    <n v="37.5020555134202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92"/>
    <s v="Regular"/>
    <s v="Verde"/>
    <s v="A4"/>
    <s v="Poder público"/>
    <s v="Não se aplica"/>
    <s v="Não se aplica"/>
    <s v="Não se aplica"/>
    <s v="Ponta"/>
    <s v="CATIVO"/>
    <x v="5"/>
    <n v="0"/>
    <n v="0"/>
    <n v="5.0830000000000002"/>
    <n v="5.0830000000000002"/>
    <n v="5.0830000000000002"/>
    <n v="5.0830000000000002"/>
    <m/>
    <n v="1358.36"/>
    <n v="173.25"/>
    <m/>
    <n v="7785.1736300000002"/>
    <n v="7785.1736300000002"/>
    <n v="6826.0623599999999"/>
    <n v="0"/>
    <n v="272.16572459608756"/>
    <n v="0"/>
    <n v="0"/>
    <n v="96.282635009536094"/>
    <n v="92.506307378872378"/>
    <n v="5126.2447244962295"/>
    <n v="865.84061198514598"/>
    <n v="14.777468035741176"/>
    <n v="0"/>
    <n v="0"/>
    <n v="0"/>
    <n v="0"/>
    <n v="48.334400899645061"/>
    <m/>
    <n v="4.0705366843445114"/>
    <n v="204.39160920900139"/>
    <n v="953.04268229046284"/>
    <n v="0"/>
    <n v="0"/>
    <n v="0"/>
    <n v="0"/>
    <n v="0"/>
    <n v="0"/>
    <n v="0"/>
    <n v="0"/>
    <n v="0"/>
    <n v="0"/>
    <m/>
    <n v="0"/>
    <n v="0"/>
    <n v="0"/>
    <n v="0"/>
    <n v="0"/>
    <n v="38.014011411415026"/>
    <n v="0"/>
    <n v="0"/>
    <n v="0"/>
    <n v="0"/>
    <n v="0"/>
    <m/>
    <m/>
    <m/>
    <m/>
    <m/>
    <m/>
    <m/>
    <m/>
    <m/>
    <n v="903.85462339656101"/>
    <m/>
    <m/>
    <m/>
    <m/>
    <m/>
    <m/>
    <m/>
    <m/>
    <m/>
    <m/>
    <m/>
    <m/>
    <n v="6822.0335999999998"/>
    <n v="-963.17003000000113"/>
    <m/>
    <m/>
    <m/>
    <m/>
    <n v="-1068.8532399999999"/>
    <n v="109.74197000000002"/>
    <m/>
    <n v="314.31600255538524"/>
    <n v="20.367186982338922"/>
    <n v="94.968666216193697"/>
    <n v="0"/>
    <n v="0"/>
    <n v="0"/>
    <n v="0"/>
    <n v="0"/>
    <n v="95.250845833653983"/>
    <n v="0"/>
    <n v="0"/>
    <n v="109.72957949696934"/>
    <n v="0"/>
    <n v="0"/>
    <n v="0"/>
    <n v="4.8175858575216495"/>
    <n v="0"/>
    <n v="-9.2418867639099744"/>
    <m/>
    <n v="0"/>
    <n v="0"/>
    <n v="0"/>
    <n v="0"/>
    <n v="-1.4608137642320855"/>
    <n v="-0.11516130315015527"/>
    <n v="0"/>
    <n v="0"/>
    <m/>
    <m/>
    <m/>
    <n v="5126.2447244962295"/>
    <n v="0"/>
    <n v="0"/>
    <n v="-1068.8532400000004"/>
    <n v="109.74197000000004"/>
    <n v="0"/>
    <n v="0"/>
    <n v="-1273.4461438299841"/>
    <n v="0"/>
    <n v="0"/>
    <n v="0"/>
    <n v="0"/>
    <n v="0"/>
    <n v="0"/>
    <n v="0"/>
    <n v="0"/>
    <n v="0"/>
    <n v="0"/>
    <n v="0"/>
    <n v="0"/>
    <n v="69.5062719664721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93"/>
    <s v="Sistema de Compensação"/>
    <s v="Verde"/>
    <s v="A4"/>
    <s v="Poder público"/>
    <s v="Não se aplica"/>
    <s v="Não se aplica"/>
    <s v="Não se aplica"/>
    <s v="Ponta"/>
    <s v="CATIVO"/>
    <x v="5"/>
    <n v="0"/>
    <n v="0"/>
    <n v="0.03"/>
    <n v="0.03"/>
    <n v="0.03"/>
    <n v="0.03"/>
    <m/>
    <n v="1358.36"/>
    <n v="173.25"/>
    <m/>
    <n v="45.948299999999996"/>
    <n v="45.948299999999996"/>
    <n v="40.287599999999998"/>
    <n v="0"/>
    <n v="1.6063292815035659"/>
    <n v="0"/>
    <n v="0"/>
    <n v="0.56826265006611898"/>
    <n v="0.54597466483694101"/>
    <n v="30.255231504010798"/>
    <n v="5.1102141175593898"/>
    <n v="8.7217005916237503E-2"/>
    <n v="0"/>
    <n v="0"/>
    <n v="0"/>
    <n v="0"/>
    <n v="0.28527090831976226"/>
    <m/>
    <n v="2.4024414820054168E-2"/>
    <n v="1.2063246658016999"/>
    <n v="5.6248830353558699"/>
    <n v="0"/>
    <n v="0"/>
    <n v="0"/>
    <n v="0"/>
    <n v="0"/>
    <n v="0"/>
    <n v="0"/>
    <n v="0"/>
    <n v="0"/>
    <n v="0"/>
    <m/>
    <n v="0"/>
    <n v="0"/>
    <n v="0"/>
    <n v="0"/>
    <n v="0"/>
    <n v="0.22435969749015358"/>
    <n v="0"/>
    <n v="0"/>
    <n v="0"/>
    <n v="0"/>
    <n v="0"/>
    <m/>
    <m/>
    <m/>
    <m/>
    <m/>
    <m/>
    <m/>
    <m/>
    <m/>
    <n v="5.3345738150495432"/>
    <m/>
    <m/>
    <m/>
    <m/>
    <m/>
    <m/>
    <m/>
    <m/>
    <m/>
    <m/>
    <m/>
    <m/>
    <n v="40.287599999999998"/>
    <n v="-5.6906999999999925"/>
    <m/>
    <m/>
    <m/>
    <m/>
    <n v="-6.3083999999999989"/>
    <n v="0.64770000000000005"/>
    <m/>
    <n v="1.8551013332011692"/>
    <n v="0.12020767449737702"/>
    <n v="0.56050757160846043"/>
    <n v="0"/>
    <n v="0"/>
    <n v="0"/>
    <n v="0"/>
    <n v="0"/>
    <n v="0.56217300314963992"/>
    <n v="0"/>
    <n v="0"/>
    <n v="0.64762687092447013"/>
    <n v="0"/>
    <n v="0"/>
    <n v="0"/>
    <n v="2.8433518734143154E-2"/>
    <n v="0"/>
    <n v="-5.4545859318767986E-2"/>
    <m/>
    <n v="0"/>
    <n v="0"/>
    <n v="0"/>
    <n v="0"/>
    <n v="-8.6217613470317422E-3"/>
    <n v="-6.796850471187596E-4"/>
    <n v="0"/>
    <n v="0"/>
    <m/>
    <m/>
    <m/>
    <n v="30.255231504010798"/>
    <n v="0"/>
    <n v="0"/>
    <n v="-6.3083999999999989"/>
    <n v="0.64770000000000039"/>
    <n v="0"/>
    <n v="0"/>
    <n v="-7.5159127119613487"/>
    <n v="0"/>
    <n v="0"/>
    <n v="0"/>
    <n v="0"/>
    <n v="0"/>
    <n v="0"/>
    <n v="0"/>
    <n v="0"/>
    <n v="0"/>
    <n v="0"/>
    <n v="0"/>
    <n v="0"/>
    <n v="0.410227849497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94"/>
    <s v="Regular"/>
    <s v="Verde"/>
    <s v="A4"/>
    <s v="Poder público"/>
    <s v="Não se aplica"/>
    <s v="Não se aplica"/>
    <s v="Não se aplica"/>
    <s v="Fora ponta"/>
    <s v="CATIVO"/>
    <x v="5"/>
    <n v="0"/>
    <n v="0"/>
    <n v="35.253"/>
    <n v="35.253"/>
    <n v="35.253"/>
    <n v="35.253"/>
    <m/>
    <n v="85.01"/>
    <n v="173.25"/>
    <m/>
    <n v="9104.4397800000006"/>
    <n v="9104.4397800000006"/>
    <n v="9823.9535099999994"/>
    <n v="0"/>
    <n v="1887.5975386948405"/>
    <n v="0"/>
    <n v="0"/>
    <n v="0"/>
    <n v="0"/>
    <n v="0"/>
    <n v="6005.0126095440392"/>
    <n v="102.4887036521707"/>
    <n v="0"/>
    <n v="0"/>
    <n v="0"/>
    <n v="0"/>
    <n v="335.22184436655266"/>
    <m/>
    <n v="28.231089855045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.64508052067947"/>
    <n v="0"/>
    <n v="0"/>
    <n v="0"/>
    <n v="0"/>
    <n v="0"/>
    <m/>
    <m/>
    <m/>
    <m/>
    <m/>
    <m/>
    <m/>
    <m/>
    <m/>
    <n v="6268.6576900647187"/>
    <m/>
    <m/>
    <m/>
    <m/>
    <m/>
    <m/>
    <m/>
    <m/>
    <m/>
    <m/>
    <m/>
    <m/>
    <n v="9823.1175000000003"/>
    <n v="718.64771999999903"/>
    <m/>
    <m/>
    <m/>
    <m/>
    <n v="-41.598540000000241"/>
    <n v="761.11227000000008"/>
    <m/>
    <n v="719.41159494458225"/>
    <n v="0"/>
    <n v="0"/>
    <n v="0"/>
    <n v="0"/>
    <n v="0"/>
    <n v="0"/>
    <n v="0"/>
    <n v="0"/>
    <n v="0"/>
    <n v="0"/>
    <n v="761.02633602334481"/>
    <n v="0"/>
    <n v="0"/>
    <n v="0"/>
    <n v="33.412227864491626"/>
    <n v="0"/>
    <n v="-64.096839285484521"/>
    <m/>
    <n v="0"/>
    <n v="0"/>
    <n v="0"/>
    <n v="0"/>
    <n v="-10.131431758897008"/>
    <n v="-0.79869789886925346"/>
    <n v="0"/>
    <n v="0"/>
    <m/>
    <m/>
    <m/>
    <n v="0"/>
    <n v="0"/>
    <n v="0"/>
    <n v="-41.598540000000412"/>
    <n v="761.11226999999963"/>
    <n v="0"/>
    <n v="0"/>
    <n v="0"/>
    <n v="0"/>
    <n v="0"/>
    <n v="0"/>
    <n v="0"/>
    <n v="0"/>
    <n v="0"/>
    <n v="0"/>
    <n v="0"/>
    <n v="0"/>
    <n v="0"/>
    <n v="0"/>
    <n v="0"/>
    <n v="482.058745944136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95"/>
    <s v="Regular"/>
    <s v="Verde"/>
    <s v="A4"/>
    <s v="Poder público"/>
    <s v="Não se aplica"/>
    <s v="Não se aplica"/>
    <s v="Não se aplica"/>
    <s v="Não se aplica"/>
    <s v="CATIVO"/>
    <x v="5"/>
    <n v="220"/>
    <n v="220"/>
    <n v="0"/>
    <n v="0"/>
    <n v="0"/>
    <n v="0"/>
    <n v="27.19"/>
    <m/>
    <m/>
    <n v="5981.8"/>
    <m/>
    <n v="5981.8"/>
    <n v="4787.2000000000007"/>
    <n v="0"/>
    <n v="0"/>
    <n v="0"/>
    <n v="0"/>
    <n v="51.304134954064082"/>
    <n v="49.287664661493281"/>
    <n v="5265.0466534950901"/>
    <m/>
    <m/>
    <m/>
    <n v="0"/>
    <n v="0"/>
    <n v="0"/>
    <n v="0"/>
    <m/>
    <n v="0"/>
    <n v="108.87466283990207"/>
    <n v="507.77954546252784"/>
    <n v="0"/>
    <n v="0"/>
    <m/>
    <m/>
    <n v="0"/>
    <n v="0"/>
    <n v="0"/>
    <m/>
    <m/>
    <n v="0"/>
    <m/>
    <n v="0"/>
    <n v="0"/>
    <n v="0"/>
    <n v="0"/>
    <m/>
    <n v="0"/>
    <n v="0"/>
    <n v="20.7"/>
    <n v="177.49"/>
    <n v="12462.25"/>
    <n v="5"/>
    <m/>
    <m/>
    <m/>
    <m/>
    <m/>
    <m/>
    <m/>
    <m/>
    <m/>
    <n v="0"/>
    <m/>
    <m/>
    <m/>
    <m/>
    <m/>
    <m/>
    <m/>
    <m/>
    <m/>
    <m/>
    <m/>
    <m/>
    <n v="4787.2000000000007"/>
    <n v="-1194.6300000000001"/>
    <m/>
    <m/>
    <m/>
    <m/>
    <n v="-1194.5999999999999"/>
    <n v="0"/>
    <m/>
    <n v="112.19823756649305"/>
    <n v="10.849127438651038"/>
    <n v="50.599146355696348"/>
    <n v="0"/>
    <n v="0"/>
    <m/>
    <m/>
    <m/>
    <n v="50.7499637721456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65.0466534950901"/>
    <m/>
    <n v="0"/>
    <n v="0"/>
    <n v="-1194.5999999999995"/>
    <m/>
    <n v="0"/>
    <m/>
    <n v="-1307.926897430186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96"/>
    <s v="Sistema de Compensação"/>
    <s v="Verde"/>
    <s v="A4"/>
    <s v="Poder público"/>
    <s v="Não se aplica"/>
    <s v="Não se aplica"/>
    <s v="Não se aplica"/>
    <s v="Não se aplica"/>
    <s v="CATIVO"/>
    <x v="5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0.67"/>
    <n v="5.74"/>
    <n v="624.96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m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397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1598.7249999999999"/>
    <n v="1598.7249999999999"/>
    <n v="1598.7249999999999"/>
    <n v="1598.7249999999999"/>
    <m/>
    <n v="199.07"/>
    <n v="95.29"/>
    <m/>
    <n v="470600.69099999993"/>
    <n v="470600.69099999993"/>
    <n v="444237.71574999997"/>
    <n v="0"/>
    <n v="54116.602655727358"/>
    <n v="0"/>
    <n v="0"/>
    <n v="2250.5980055179971"/>
    <n v="2902.6176810490529"/>
    <n v="200824.4222397315"/>
    <n v="149780.1628600774"/>
    <n v="2556.3268093630118"/>
    <n v="0"/>
    <n v="0"/>
    <n v="0"/>
    <n v="0"/>
    <n v="8361.2784365643929"/>
    <m/>
    <n v="1062.0668991182451"/>
    <n v="4777.5779133883188"/>
    <n v="22277.140988565632"/>
    <n v="0"/>
    <n v="0"/>
    <n v="0"/>
    <n v="0"/>
    <n v="0"/>
    <n v="0"/>
    <n v="0"/>
    <n v="0"/>
    <n v="0"/>
    <n v="0"/>
    <m/>
    <n v="0"/>
    <n v="0"/>
    <n v="0"/>
    <n v="0"/>
    <n v="0"/>
    <n v="7860.7477770143569"/>
    <n v="0"/>
    <n v="472.75"/>
    <n v="4054.7"/>
    <n v="168945.51"/>
    <n v="63"/>
    <m/>
    <m/>
    <m/>
    <m/>
    <m/>
    <m/>
    <m/>
    <m/>
    <m/>
    <n v="157640.91063709176"/>
    <m/>
    <m/>
    <m/>
    <m/>
    <m/>
    <m/>
    <m/>
    <m/>
    <m/>
    <m/>
    <m/>
    <m/>
    <n v="444239.10509999999"/>
    <n v="-26361.615899999975"/>
    <m/>
    <m/>
    <m/>
    <m/>
    <n v="-45339.840999999971"/>
    <n v="18976.865749999983"/>
    <m/>
    <n v="23542.42362384405"/>
    <n v="476.0754272704753"/>
    <n v="2219.8694833998525"/>
    <n v="0"/>
    <n v="0"/>
    <n v="0"/>
    <n v="0"/>
    <n v="0"/>
    <n v="2988.7344667136317"/>
    <n v="0"/>
    <n v="0"/>
    <n v="18981.916602343175"/>
    <n v="0"/>
    <n v="0"/>
    <n v="0"/>
    <n v="996.20708033768551"/>
    <n v="0"/>
    <n v="-1837.6285791826012"/>
    <m/>
    <n v="0"/>
    <n v="0"/>
    <n v="0"/>
    <n v="0"/>
    <n v="-252.70346584144136"/>
    <n v="-30.047391196718991"/>
    <n v="0"/>
    <n v="0"/>
    <m/>
    <m/>
    <m/>
    <n v="200824.4222397315"/>
    <n v="0"/>
    <n v="0"/>
    <n v="-45339.840999999957"/>
    <n v="18976.865749999997"/>
    <n v="0"/>
    <n v="0"/>
    <n v="-49888.192981891101"/>
    <n v="0"/>
    <n v="0"/>
    <n v="0"/>
    <n v="0"/>
    <n v="0"/>
    <n v="0"/>
    <n v="0"/>
    <n v="0"/>
    <n v="0"/>
    <n v="0"/>
    <n v="0"/>
    <n v="0"/>
    <n v="13820.41514475318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98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604.64700000000005"/>
    <n v="568.36818000000005"/>
    <n v="604.64700000000005"/>
    <n v="568.36818000000005"/>
    <m/>
    <n v="368.24"/>
    <n v="173.25"/>
    <m/>
    <n v="327410.30403"/>
    <n v="327410.30403"/>
    <n v="307698.81183000002"/>
    <n v="0"/>
    <n v="37213.110385949716"/>
    <n v="0"/>
    <n v="0"/>
    <n v="1547.6165890630932"/>
    <n v="1486.9125075756435"/>
    <n v="142416.80440685424"/>
    <n v="102995.85451799775"/>
    <n v="1757.8500325411756"/>
    <n v="0"/>
    <n v="0"/>
    <n v="0"/>
    <n v="0"/>
    <n v="5749.6066300939774"/>
    <m/>
    <n v="730.32693876927556"/>
    <n v="3285.2863177577642"/>
    <n v="15318.805431388611"/>
    <n v="0"/>
    <n v="0"/>
    <n v="0"/>
    <n v="0"/>
    <n v="0"/>
    <n v="0"/>
    <n v="0"/>
    <n v="0"/>
    <n v="0"/>
    <n v="0"/>
    <m/>
    <n v="0"/>
    <n v="0"/>
    <n v="0"/>
    <n v="0"/>
    <n v="0"/>
    <n v="5405.4183076325307"/>
    <n v="0"/>
    <n v="263.33999999999997"/>
    <n v="2265.75"/>
    <n v="169802.85"/>
    <n v="199"/>
    <m/>
    <m/>
    <m/>
    <m/>
    <n v="18461.928709799999"/>
    <m/>
    <m/>
    <m/>
    <m/>
    <n v="108401.27282563028"/>
    <m/>
    <m/>
    <m/>
    <m/>
    <m/>
    <m/>
    <m/>
    <m/>
    <m/>
    <m/>
    <m/>
    <m/>
    <n v="289237.80930000002"/>
    <n v="-18527.906488200009"/>
    <m/>
    <m/>
    <m/>
    <m/>
    <n v="-32765.820930000002"/>
    <n v="13054.328730000003"/>
    <m/>
    <n v="15664.706452648621"/>
    <n v="327.3717594535492"/>
    <n v="1526.4862181701992"/>
    <n v="0"/>
    <n v="0"/>
    <n v="0"/>
    <n v="0"/>
    <n v="0"/>
    <n v="1531.0272136056153"/>
    <n v="0"/>
    <n v="0"/>
    <n v="13052.854820795605"/>
    <n v="0"/>
    <n v="0"/>
    <n v="0"/>
    <n v="685.03864301519934"/>
    <n v="0"/>
    <n v="-1263.6394712458205"/>
    <m/>
    <n v="0"/>
    <n v="0"/>
    <n v="0"/>
    <n v="0"/>
    <n v="-173.77073777329042"/>
    <n v="-20.661993372472011"/>
    <n v="0"/>
    <n v="0"/>
    <m/>
    <m/>
    <m/>
    <n v="142416.80440685424"/>
    <n v="0"/>
    <n v="0"/>
    <n v="-32765.820929999987"/>
    <n v="13054.328729999994"/>
    <n v="0"/>
    <n v="0"/>
    <n v="-35378.749969124998"/>
    <n v="0"/>
    <n v="0"/>
    <n v="0"/>
    <n v="0"/>
    <n v="0"/>
    <n v="0"/>
    <n v="0"/>
    <n v="0"/>
    <n v="0"/>
    <n v="0"/>
    <n v="0"/>
    <n v="0"/>
    <n v="9503.56469405827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399"/>
    <s v="Regular"/>
    <s v="Azul"/>
    <s v="A4"/>
    <s v="Serviço público"/>
    <s v="Água, esgoto e saneamento"/>
    <s v="Não se aplica"/>
    <s v="Não se aplica"/>
    <s v="Ponta"/>
    <s v="CATIVO"/>
    <x v="5"/>
    <n v="70"/>
    <n v="65.8"/>
    <n v="3.8980000000000001"/>
    <n v="3.66412"/>
    <n v="3.8980000000000001"/>
    <n v="3.66412"/>
    <n v="52.95"/>
    <n v="85.01"/>
    <n v="173.25"/>
    <n v="3706.5"/>
    <n v="1006.69748"/>
    <n v="4713.1974800000007"/>
    <n v="4183.7556599999998"/>
    <n v="0"/>
    <n v="208.71571797669668"/>
    <n v="0"/>
    <n v="0"/>
    <n v="55.13663774199847"/>
    <n v="52.972622707879907"/>
    <n v="2935.3599792224049"/>
    <n v="663.98715434155008"/>
    <n v="11.332396302049794"/>
    <n v="0"/>
    <n v="0"/>
    <n v="0"/>
    <n v="0"/>
    <n v="37.066200021014446"/>
    <m/>
    <n v="3.1215722989523718"/>
    <n v="117.04356178510169"/>
    <n v="545.74974404936506"/>
    <n v="0"/>
    <n v="0"/>
    <n v="0"/>
    <n v="0"/>
    <n v="0"/>
    <n v="0"/>
    <n v="0"/>
    <n v="0"/>
    <n v="0"/>
    <n v="0"/>
    <m/>
    <n v="0"/>
    <n v="0"/>
    <n v="0"/>
    <n v="0"/>
    <n v="0"/>
    <n v="29.151803360553959"/>
    <n v="0"/>
    <n v="0"/>
    <n v="0"/>
    <n v="0"/>
    <n v="0"/>
    <m/>
    <m/>
    <m/>
    <m/>
    <n v="251.02533960000017"/>
    <m/>
    <m/>
    <m/>
    <m/>
    <n v="693.13895770210399"/>
    <m/>
    <m/>
    <m/>
    <m/>
    <m/>
    <m/>
    <m/>
    <m/>
    <m/>
    <m/>
    <m/>
    <m/>
    <n v="3931.5822000000003"/>
    <n v="-498.85343120000061"/>
    <m/>
    <m/>
    <m/>
    <m/>
    <n v="-613.59964000000025"/>
    <n v="84.157820000000015"/>
    <m/>
    <n v="200.13707254789665"/>
    <n v="11.66314075798762"/>
    <n v="54.382795485753718"/>
    <n v="0"/>
    <n v="0"/>
    <n v="0"/>
    <n v="0"/>
    <n v="0"/>
    <n v="54.544249596811596"/>
    <n v="0"/>
    <n v="0"/>
    <n v="84.148318095452851"/>
    <n v="0"/>
    <n v="0"/>
    <n v="0"/>
    <n v="3.6944618675229925"/>
    <n v="0"/>
    <n v="-7.0873253208185929"/>
    <m/>
    <n v="0"/>
    <n v="0"/>
    <n v="0"/>
    <n v="0"/>
    <n v="-1.1202541910243298"/>
    <n v="-8.8313743788964061E-2"/>
    <n v="0"/>
    <n v="0"/>
    <m/>
    <m/>
    <n v="2935.3599792224049"/>
    <n v="0"/>
    <n v="0"/>
    <n v="0"/>
    <n v="-613.59964000000036"/>
    <n v="84.157820000000015"/>
    <n v="0"/>
    <n v="0"/>
    <n v="-729.19321007658982"/>
    <n v="0"/>
    <n v="0"/>
    <n v="0"/>
    <n v="0"/>
    <n v="0"/>
    <n v="0"/>
    <n v="0"/>
    <n v="0"/>
    <n v="0"/>
    <n v="0"/>
    <n v="0"/>
    <n v="0"/>
    <n v="53.3022719113335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00"/>
    <s v="Regular"/>
    <s v="Azul"/>
    <s v="A4"/>
    <s v="Serviço público"/>
    <s v="Água, esgoto e saneamento"/>
    <s v="Não se aplica"/>
    <s v="Não se aplica"/>
    <s v="Fora ponta"/>
    <s v="CATIVO"/>
    <x v="5"/>
    <n v="70"/>
    <n v="65.8"/>
    <n v="24.754999999999999"/>
    <n v="23.2697"/>
    <n v="24.754999999999999"/>
    <n v="23.2697"/>
    <n v="27.19"/>
    <n v="85.01"/>
    <n v="173.25"/>
    <n v="1903.3000000000002"/>
    <n v="6393.2263000000003"/>
    <n v="8296.5263000000014"/>
    <n v="8421.6758499999996"/>
    <n v="0"/>
    <n v="1325.4893787873591"/>
    <n v="0"/>
    <n v="0"/>
    <n v="16.32404293992948"/>
    <n v="15.682438755929681"/>
    <n v="1675.2421170211649"/>
    <n v="4216.7783493394236"/>
    <n v="71.968566048548652"/>
    <n v="0"/>
    <n v="0"/>
    <n v="0"/>
    <n v="0"/>
    <n v="235.39604451519051"/>
    <m/>
    <n v="19.824146295681363"/>
    <n v="34.641938176332481"/>
    <n v="161.5662190108043"/>
    <n v="0"/>
    <n v="0"/>
    <n v="0"/>
    <n v="0"/>
    <n v="0"/>
    <n v="0"/>
    <n v="0"/>
    <n v="0"/>
    <n v="0"/>
    <n v="0"/>
    <m/>
    <n v="0"/>
    <n v="0"/>
    <n v="0"/>
    <n v="0"/>
    <n v="0"/>
    <n v="185.13414371229172"/>
    <n v="0"/>
    <n v="0"/>
    <n v="0"/>
    <n v="0"/>
    <n v="0"/>
    <m/>
    <m/>
    <m/>
    <m/>
    <n v="505.3005509999997"/>
    <m/>
    <m/>
    <m/>
    <m/>
    <n v="4401.9124930517155"/>
    <m/>
    <m/>
    <m/>
    <m/>
    <m/>
    <m/>
    <m/>
    <m/>
    <m/>
    <m/>
    <m/>
    <m/>
    <n v="7916.4588999999996"/>
    <n v="117.69417799999883"/>
    <m/>
    <m/>
    <m/>
    <m/>
    <n v="-409.31090000000012"/>
    <n v="534.46045000000004"/>
    <m/>
    <n v="540.87726899488916"/>
    <n v="3.451995094116235"/>
    <n v="16.099728385903376"/>
    <n v="0"/>
    <n v="0"/>
    <n v="0"/>
    <n v="0"/>
    <n v="0"/>
    <n v="16.14771574568271"/>
    <n v="0"/>
    <n v="0"/>
    <n v="534.40010632450776"/>
    <n v="0"/>
    <n v="0"/>
    <n v="0"/>
    <n v="23.462391875457115"/>
    <n v="0"/>
    <n v="-45.009424914536794"/>
    <m/>
    <n v="0"/>
    <n v="0"/>
    <n v="0"/>
    <n v="0"/>
    <n v="-7.1143900715257189"/>
    <n v="-0.56085344471416221"/>
    <n v="0"/>
    <n v="0"/>
    <m/>
    <m/>
    <n v="1675.2421170211649"/>
    <n v="0"/>
    <n v="0"/>
    <n v="0"/>
    <n v="-409.3109000000004"/>
    <n v="534.46044999999958"/>
    <n v="0"/>
    <n v="0"/>
    <n v="-416.15855827324094"/>
    <n v="0"/>
    <n v="0"/>
    <n v="0"/>
    <n v="0"/>
    <n v="0"/>
    <n v="0"/>
    <n v="0"/>
    <n v="0"/>
    <n v="0"/>
    <n v="0"/>
    <n v="0"/>
    <n v="0"/>
    <n v="338.5063471434230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01"/>
    <s v="Regular"/>
    <s v="Azul"/>
    <s v="A4"/>
    <s v="Serviço público"/>
    <s v="Água, esgoto e saneamento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65"/>
    <n v="99.9"/>
    <n v="7479.0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02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0.471"/>
    <n v="10.471"/>
    <n v="10.471"/>
    <n v="10.471"/>
    <m/>
    <n v="368.24"/>
    <n v="173.25"/>
    <m/>
    <n v="5669.9417900000008"/>
    <n v="5669.9417900000008"/>
    <n v="5328.5871900000002"/>
    <n v="0"/>
    <n v="644.43961328060743"/>
    <n v="0"/>
    <n v="0"/>
    <n v="26.800915747667066"/>
    <n v="25.749670248631951"/>
    <n v="2466.3090347660213"/>
    <n v="1783.6350674988125"/>
    <n v="30.441642298297431"/>
    <n v="0"/>
    <n v="0"/>
    <n v="0"/>
    <n v="0"/>
    <n v="99.569056033874361"/>
    <m/>
    <n v="12.64746765609204"/>
    <n v="56.893084780444696"/>
    <n v="265.28406106715181"/>
    <n v="0"/>
    <n v="0"/>
    <n v="0"/>
    <n v="0"/>
    <n v="0"/>
    <n v="0"/>
    <n v="0"/>
    <n v="0"/>
    <n v="0"/>
    <n v="0"/>
    <m/>
    <n v="0"/>
    <n v="0"/>
    <n v="0"/>
    <n v="0"/>
    <n v="0"/>
    <n v="93.608560199951754"/>
    <n v="0"/>
    <n v="4.78"/>
    <n v="41.17"/>
    <n v="2940.54"/>
    <n v="5"/>
    <m/>
    <m/>
    <m/>
    <m/>
    <m/>
    <m/>
    <m/>
    <m/>
    <m/>
    <n v="1877.2436276987644"/>
    <m/>
    <m/>
    <m/>
    <m/>
    <m/>
    <m/>
    <m/>
    <m/>
    <m/>
    <m/>
    <m/>
    <m/>
    <n v="5328.0783000000001"/>
    <n v="-341.89349000000129"/>
    <m/>
    <m/>
    <m/>
    <m/>
    <n v="-567.42349000000002"/>
    <n v="226.06889000000004"/>
    <m/>
    <n v="271.27421663496807"/>
    <n v="5.6692742926668274"/>
    <n v="26.434989655882077"/>
    <n v="0"/>
    <n v="0"/>
    <n v="0"/>
    <n v="0"/>
    <n v="0"/>
    <n v="26.51362853642604"/>
    <n v="0"/>
    <n v="0"/>
    <n v="226.0433655150041"/>
    <n v="0"/>
    <n v="0"/>
    <n v="0"/>
    <n v="11.863185678606115"/>
    <n v="0"/>
    <n v="-21.883129997196761"/>
    <m/>
    <n v="0"/>
    <n v="0"/>
    <n v="0"/>
    <n v="0"/>
    <n v="-3.0092821021589913"/>
    <n v="-0.35781494426194804"/>
    <n v="0"/>
    <n v="0"/>
    <m/>
    <m/>
    <m/>
    <n v="2466.3090347660213"/>
    <n v="0"/>
    <n v="0"/>
    <n v="-567.42349000000013"/>
    <n v="226.06889000000001"/>
    <n v="0"/>
    <n v="0"/>
    <n v="-612.67299916597244"/>
    <n v="0"/>
    <n v="0"/>
    <n v="0"/>
    <n v="0"/>
    <n v="0"/>
    <n v="0"/>
    <n v="0"/>
    <n v="0"/>
    <n v="0"/>
    <n v="0"/>
    <n v="0"/>
    <n v="0"/>
    <n v="164.5783836047878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03"/>
    <s v="Sistema de Compensação"/>
    <s v="Convencional"/>
    <s v="B3"/>
    <s v="Consumo próprio"/>
    <s v="Não se aplica"/>
    <s v="Não se aplica"/>
    <s v="Não se aplica"/>
    <s v="Não se aplica"/>
    <s v="CATIVO"/>
    <x v="5"/>
    <n v="0"/>
    <n v="0"/>
    <n v="3.778"/>
    <n v="3.778"/>
    <n v="3.778"/>
    <n v="3.778"/>
    <m/>
    <n v="368.24"/>
    <n v="173.25"/>
    <m/>
    <n v="2045.7492200000002"/>
    <n v="2045.7492200000002"/>
    <n v="1922.5864200000001"/>
    <n v="0"/>
    <n v="232.51770212722136"/>
    <n v="0"/>
    <n v="0"/>
    <n v="9.6699321645197376"/>
    <n v="9.2906364434468056"/>
    <n v="889.85918568866668"/>
    <n v="643.5462978713125"/>
    <n v="10.983528278384844"/>
    <n v="0"/>
    <n v="0"/>
    <n v="0"/>
    <n v="0"/>
    <n v="35.9251163877354"/>
    <m/>
    <n v="4.5632826668623556"/>
    <n v="20.527368379383066"/>
    <n v="95.716090412730352"/>
    <n v="0"/>
    <n v="0"/>
    <n v="0"/>
    <n v="0"/>
    <n v="0"/>
    <n v="0"/>
    <n v="0"/>
    <n v="0"/>
    <n v="0"/>
    <n v="0"/>
    <m/>
    <n v="0"/>
    <n v="0"/>
    <n v="0"/>
    <n v="0"/>
    <n v="0"/>
    <n v="33.774533514985933"/>
    <n v="0"/>
    <n v="1.73"/>
    <n v="14.85"/>
    <n v="1147.79"/>
    <n v="1"/>
    <m/>
    <m/>
    <m/>
    <m/>
    <m/>
    <m/>
    <m/>
    <m/>
    <m/>
    <n v="677.32083138629844"/>
    <m/>
    <m/>
    <m/>
    <m/>
    <m/>
    <m/>
    <m/>
    <m/>
    <m/>
    <m/>
    <m/>
    <m/>
    <n v="1923.6041999999998"/>
    <n v="-122.17502000000036"/>
    <m/>
    <m/>
    <m/>
    <m/>
    <n v="-204.72981999999999"/>
    <n v="81.567020000000014"/>
    <m/>
    <n v="97.877374696486186"/>
    <n v="2.0455083829333631"/>
    <n v="9.5379038219771246"/>
    <n v="0"/>
    <n v="0"/>
    <n v="0"/>
    <n v="0"/>
    <n v="0"/>
    <n v="9.5662772047194711"/>
    <n v="0"/>
    <n v="0"/>
    <n v="81.557810611754917"/>
    <n v="0"/>
    <n v="0"/>
    <n v="0"/>
    <n v="4.2803089956808265"/>
    <n v="0"/>
    <n v="-7.8955653833835413"/>
    <m/>
    <n v="0"/>
    <n v="0"/>
    <n v="0"/>
    <n v="0"/>
    <n v="-1.0857671456362041"/>
    <n v="-0.1291017915597017"/>
    <n v="0"/>
    <n v="0"/>
    <m/>
    <m/>
    <m/>
    <n v="889.85918568866668"/>
    <n v="0"/>
    <n v="0"/>
    <n v="-204.72982000000002"/>
    <n v="81.56702000000007"/>
    <n v="0"/>
    <n v="0"/>
    <n v="-221.05611602034605"/>
    <n v="0"/>
    <n v="0"/>
    <n v="0"/>
    <n v="0"/>
    <n v="0"/>
    <n v="0"/>
    <n v="0"/>
    <n v="0"/>
    <n v="0"/>
    <n v="0"/>
    <n v="0"/>
    <n v="0"/>
    <n v="59.3808741532698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04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1"/>
    <n v="4.42"/>
    <n v="35.7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05"/>
    <s v="Regular"/>
    <s v="Convencional"/>
    <s v="B2"/>
    <s v="Rural"/>
    <s v="Agropecuária rural"/>
    <s v="IRRIG./AQUIC."/>
    <s v="Não se aplica"/>
    <s v="Não se aplica"/>
    <s v="CATIVO"/>
    <x v="5"/>
    <n v="0"/>
    <n v="0"/>
    <n v="0.79700000000000004"/>
    <n v="0.79700000000000004"/>
    <n v="0.79700000000000004"/>
    <n v="0.79700000000000004"/>
    <m/>
    <n v="368.24"/>
    <n v="173.25"/>
    <m/>
    <n v="431.56753000000003"/>
    <n v="431.56753000000003"/>
    <n v="405.58533"/>
    <n v="0"/>
    <n v="49.051511009898213"/>
    <n v="0"/>
    <n v="0"/>
    <n v="2.0399512798100137"/>
    <n v="1.9599357452162798"/>
    <n v="187.72307331759328"/>
    <n v="135.76135505649447"/>
    <n v="2.3170651238413766"/>
    <n v="0"/>
    <n v="0"/>
    <n v="0"/>
    <n v="0"/>
    <n v="7.5786971310283517"/>
    <m/>
    <n v="0.96266180134708779"/>
    <n v="4.3304162515532827"/>
    <n v="20.192092127831152"/>
    <n v="0"/>
    <n v="0"/>
    <n v="0"/>
    <n v="0"/>
    <n v="0"/>
    <n v="0"/>
    <n v="0"/>
    <n v="0"/>
    <n v="0"/>
    <n v="0"/>
    <m/>
    <n v="0"/>
    <n v="0"/>
    <n v="0"/>
    <n v="0"/>
    <n v="0"/>
    <n v="7.1250140845536771"/>
    <n v="0"/>
    <n v="0"/>
    <n v="0"/>
    <n v="0"/>
    <n v="0"/>
    <m/>
    <m/>
    <m/>
    <m/>
    <m/>
    <n v="48.664820000000006"/>
    <m/>
    <m/>
    <m/>
    <n v="142.88636914104814"/>
    <m/>
    <m/>
    <m/>
    <m/>
    <m/>
    <m/>
    <m/>
    <m/>
    <m/>
    <m/>
    <m/>
    <m/>
    <n v="358.26400000000001"/>
    <n v="-21.54446999999999"/>
    <m/>
    <m/>
    <m/>
    <m/>
    <n v="-43.189430000000002"/>
    <n v="17.207230000000003"/>
    <m/>
    <n v="20.648032724483699"/>
    <n v="0.43151672345100334"/>
    <n v="2.0120988210999933"/>
    <n v="0"/>
    <n v="0"/>
    <n v="0"/>
    <n v="0"/>
    <n v="0"/>
    <n v="2.0180844182534194"/>
    <n v="0"/>
    <n v="0"/>
    <n v="17.20528720422675"/>
    <n v="0"/>
    <n v="0"/>
    <n v="0"/>
    <n v="0.90296619098930986"/>
    <n v="0"/>
    <n v="-1.665634094906487"/>
    <m/>
    <n v="0"/>
    <n v="0"/>
    <n v="0"/>
    <n v="0"/>
    <n v="-0.22905145978614438"/>
    <n v="-2.7235078844119243E-2"/>
    <n v="0"/>
    <n v="0"/>
    <m/>
    <m/>
    <m/>
    <n v="187.72307331759328"/>
    <n v="0"/>
    <n v="0"/>
    <n v="-43.189429999999987"/>
    <n v="17.20723000000001"/>
    <n v="0"/>
    <n v="0"/>
    <n v="-46.633595677134963"/>
    <n v="0"/>
    <n v="0"/>
    <n v="0"/>
    <n v="0"/>
    <n v="0"/>
    <n v="0"/>
    <n v="0"/>
    <n v="0"/>
    <n v="0"/>
    <n v="0"/>
    <n v="0"/>
    <n v="0"/>
    <n v="12.5268810746839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06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1.121"/>
    <n v="0.44840000000000002"/>
    <n v="1.121"/>
    <n v="0.44840000000000002"/>
    <m/>
    <n v="368.24"/>
    <n v="173.25"/>
    <m/>
    <n v="607.01028999999994"/>
    <n v="607.01028999999994"/>
    <n v="570.46569"/>
    <n v="0"/>
    <n v="68.992150366494215"/>
    <n v="0"/>
    <n v="0"/>
    <n v="2.869241386031399"/>
    <n v="2.7566975789052064"/>
    <n v="264.03709559475789"/>
    <n v="190.95166752613588"/>
    <n v="3.2590087877367413"/>
    <n v="0"/>
    <n v="0"/>
    <n v="0"/>
    <n v="0"/>
    <n v="10.659622940881784"/>
    <m/>
    <n v="1.3540073768006091"/>
    <n v="6.0908364090228737"/>
    <n v="28.400671612670919"/>
    <n v="0"/>
    <n v="0"/>
    <n v="0"/>
    <n v="0"/>
    <n v="0"/>
    <n v="0"/>
    <n v="0"/>
    <n v="0"/>
    <n v="0"/>
    <n v="0"/>
    <m/>
    <n v="0"/>
    <n v="0"/>
    <n v="0"/>
    <n v="0"/>
    <n v="0"/>
    <n v="10.021506635865334"/>
    <n v="0"/>
    <n v="0"/>
    <n v="0"/>
    <n v="0"/>
    <n v="0"/>
    <m/>
    <m/>
    <m/>
    <m/>
    <m/>
    <m/>
    <n v="369.65871800000002"/>
    <m/>
    <m/>
    <n v="200.97317416200121"/>
    <m/>
    <m/>
    <m/>
    <m/>
    <m/>
    <m/>
    <m/>
    <m/>
    <m/>
    <m/>
    <m/>
    <m/>
    <n v="201.52350000000001"/>
    <n v="-12.173583999999977"/>
    <m/>
    <m/>
    <m/>
    <m/>
    <n v="-60.746989999999997"/>
    <n v="24.202390000000005"/>
    <m/>
    <n v="29.041963217247542"/>
    <n v="0.60693882934576493"/>
    <n v="2.8300662213965992"/>
    <n v="0"/>
    <n v="0"/>
    <n v="0"/>
    <n v="0"/>
    <n v="0"/>
    <n v="2.8384851102410078"/>
    <n v="0"/>
    <n v="0"/>
    <n v="24.199657410211017"/>
    <n v="0"/>
    <n v="0"/>
    <n v="0"/>
    <n v="1.2700440402748008"/>
    <n v="0"/>
    <n v="-2.3427551071394817"/>
    <m/>
    <n v="0"/>
    <n v="0"/>
    <n v="0"/>
    <n v="0"/>
    <n v="-0.32216648233408662"/>
    <n v="-3.8306804748127643E-2"/>
    <n v="0"/>
    <n v="0"/>
    <m/>
    <m/>
    <m/>
    <n v="264.03709559475789"/>
    <n v="0"/>
    <n v="0"/>
    <n v="-60.746989999999983"/>
    <n v="24.202390000000008"/>
    <n v="0"/>
    <n v="0"/>
    <n v="-65.59129329243197"/>
    <n v="0"/>
    <n v="0"/>
    <n v="0"/>
    <n v="0"/>
    <n v="0"/>
    <n v="0"/>
    <n v="0"/>
    <n v="0"/>
    <n v="0"/>
    <n v="0"/>
    <n v="0"/>
    <n v="0"/>
    <n v="17.6193647236144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07"/>
    <s v="Regular"/>
    <s v="Convencional"/>
    <s v="B1"/>
    <s v="Residencial"/>
    <s v="Residencial"/>
    <s v="Não se aplica"/>
    <s v="Não se aplica"/>
    <s v="Não se aplica"/>
    <s v="CATIVO"/>
    <x v="6"/>
    <n v="0"/>
    <n v="0"/>
    <n v="12955.120999999999"/>
    <n v="12955.120999999999"/>
    <n v="12955.120999999999"/>
    <n v="12955.120999999999"/>
    <m/>
    <n v="368.24"/>
    <n v="173.25"/>
    <m/>
    <n v="7015068.4702899996"/>
    <n v="7015068.4702899996"/>
    <n v="6592731.5256899996"/>
    <n v="0"/>
    <n v="797325.29531501059"/>
    <n v="0"/>
    <n v="0"/>
    <n v="33159.116266052173"/>
    <n v="31858.475196363954"/>
    <n v="3051411.7055474175"/>
    <n v="2206781.4076296706"/>
    <n v="37663.56216341909"/>
    <n v="0"/>
    <n v="0"/>
    <n v="0"/>
    <n v="0"/>
    <n v="123190.63783541424"/>
    <m/>
    <n v="15647.929885231473"/>
    <n v="70390.296761906167"/>
    <n v="328219.56933400256"/>
    <n v="0"/>
    <n v="0"/>
    <n v="0"/>
    <n v="0"/>
    <n v="0"/>
    <n v="0"/>
    <n v="0"/>
    <n v="0"/>
    <n v="0"/>
    <n v="0"/>
    <m/>
    <n v="0"/>
    <n v="0"/>
    <n v="0"/>
    <n v="0"/>
    <n v="0"/>
    <n v="115816.08480815195"/>
    <n v="0"/>
    <n v="5708.7"/>
    <n v="50931.85"/>
    <n v="2812070.52"/>
    <n v="46701"/>
    <m/>
    <m/>
    <m/>
    <m/>
    <m/>
    <m/>
    <m/>
    <m/>
    <m/>
    <n v="2322597.4924378227"/>
    <m/>
    <m/>
    <m/>
    <m/>
    <m/>
    <m/>
    <m/>
    <m/>
    <m/>
    <m/>
    <m/>
    <m/>
    <n v="6592731.0168000003"/>
    <n v="-422337.48348999862"/>
    <m/>
    <m/>
    <m/>
    <m/>
    <n v="-702038.00698999991"/>
    <n v="279701.06239000004"/>
    <n v="31"/>
    <n v="335630.81851649424"/>
    <n v="7014.2426171032421"/>
    <n v="32706.378533635812"/>
    <n v="0"/>
    <n v="0"/>
    <n v="0"/>
    <n v="0"/>
    <n v="0"/>
    <n v="32803.673559206596"/>
    <n v="0"/>
    <n v="0"/>
    <n v="279669.48252259614"/>
    <n v="0"/>
    <n v="0"/>
    <n v="0"/>
    <n v="14677.5862775102"/>
    <n v="0"/>
    <n v="-27074.643966422766"/>
    <m/>
    <n v="0"/>
    <n v="0"/>
    <n v="0"/>
    <n v="0"/>
    <n v="-3723.1987161306606"/>
    <n v="-442.70231100389719"/>
    <n v="0"/>
    <n v="0"/>
    <m/>
    <m/>
    <m/>
    <n v="3051411.7055474175"/>
    <n v="0"/>
    <n v="0"/>
    <n v="-702038.00698999967"/>
    <n v="279701.06238999963"/>
    <n v="0"/>
    <n v="0"/>
    <n v="-758022.42743081553"/>
    <n v="0"/>
    <n v="0"/>
    <n v="0"/>
    <n v="0"/>
    <n v="0"/>
    <n v="0"/>
    <n v="0"/>
    <n v="0"/>
    <n v="0"/>
    <n v="0"/>
    <n v="0"/>
    <n v="0"/>
    <n v="203622.6600691855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08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1.5309999999999999"/>
    <n v="-1.5309999999999999"/>
    <n v="-1.5309999999999999"/>
    <n v="-1.5309999999999999"/>
    <m/>
    <n v="368.24"/>
    <n v="173.25"/>
    <m/>
    <n v="-829.02118999999993"/>
    <n v="-829.02118999999993"/>
    <n v="-779.11059"/>
    <n v="0"/>
    <n v="-94.22567547823607"/>
    <n v="0"/>
    <n v="0"/>
    <n v="-3.9186517056325352"/>
    <n v="-3.7649455783263788"/>
    <n v="-360.60730897018226"/>
    <n v="-260.79126046611418"/>
    <n v="-4.4509745352586538"/>
    <n v="0"/>
    <n v="0"/>
    <n v="0"/>
    <n v="0"/>
    <n v="-14.558325354585202"/>
    <m/>
    <n v="-1.8492286296893241"/>
    <n v="-8.3185285835985887"/>
    <n v="-38.78807157805457"/>
    <n v="0"/>
    <n v="0"/>
    <n v="0"/>
    <n v="0"/>
    <n v="0"/>
    <n v="0"/>
    <n v="0"/>
    <n v="0"/>
    <n v="0"/>
    <n v="0"/>
    <m/>
    <n v="0"/>
    <n v="0"/>
    <n v="0"/>
    <n v="0"/>
    <n v="0"/>
    <n v="-13.686821284130085"/>
    <n v="0"/>
    <n v="-0.69"/>
    <n v="-6.02"/>
    <n v="-471.71"/>
    <n v="0"/>
    <m/>
    <m/>
    <m/>
    <m/>
    <m/>
    <m/>
    <m/>
    <m/>
    <m/>
    <n v="-274.47808175024426"/>
    <m/>
    <m/>
    <m/>
    <m/>
    <m/>
    <m/>
    <m/>
    <m/>
    <m/>
    <m/>
    <m/>
    <m/>
    <n v="-778.60170000000005"/>
    <n v="50.38948999999991"/>
    <m/>
    <m/>
    <m/>
    <m/>
    <n v="82.964889999999997"/>
    <n v="-33.054290000000002"/>
    <n v="31"/>
    <n v="-39.66391229759671"/>
    <n v="-0.82892359297802543"/>
    <n v="-3.8651484254756454"/>
    <n v="0"/>
    <n v="0"/>
    <n v="0"/>
    <n v="0"/>
    <n v="0"/>
    <n v="-3.8766464797314741"/>
    <n v="0"/>
    <n v="0"/>
    <n v="-33.050557979512121"/>
    <n v="0"/>
    <n v="0"/>
    <n v="0"/>
    <n v="-1.7345561335064428"/>
    <n v="0"/>
    <n v="3.1996057707676613"/>
    <m/>
    <n v="0"/>
    <n v="0"/>
    <n v="0"/>
    <n v="0"/>
    <n v="0.43999722074352299"/>
    <n v="5.2317322095792651E-2"/>
    <n v="0"/>
    <n v="0"/>
    <m/>
    <m/>
    <m/>
    <n v="-360.60730897018226"/>
    <n v="0"/>
    <n v="0"/>
    <n v="82.964890000000025"/>
    <n v="-33.05428999999998"/>
    <n v="0"/>
    <n v="0"/>
    <n v="89.580972373517682"/>
    <n v="0"/>
    <n v="0"/>
    <n v="0"/>
    <n v="0"/>
    <n v="0"/>
    <n v="0"/>
    <n v="0"/>
    <n v="0"/>
    <n v="0"/>
    <n v="0"/>
    <n v="0"/>
    <n v="0"/>
    <n v="-24.0635569954092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09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164.107"/>
    <n v="164.107"/>
    <n v="164.107"/>
    <n v="164.107"/>
    <m/>
    <n v="368.24"/>
    <n v="173.25"/>
    <m/>
    <n v="88862.299429999999"/>
    <n v="88862.299429999999"/>
    <n v="83512.411229999998"/>
    <n v="0"/>
    <n v="10099.995379299078"/>
    <n v="0"/>
    <n v="0"/>
    <n v="420.03799833849672"/>
    <n v="403.56232790490338"/>
    <n v="38653.287820489684"/>
    <n v="27954.06360634396"/>
    <n v="477.09737299653295"/>
    <n v="0"/>
    <n v="0"/>
    <n v="0"/>
    <n v="0"/>
    <n v="1560.498431721041"/>
    <m/>
    <n v="198.21774182392286"/>
    <n v="891.65824315389534"/>
    <n v="4157.6708441932078"/>
    <n v="0"/>
    <n v="0"/>
    <n v="0"/>
    <n v="0"/>
    <n v="0"/>
    <n v="0"/>
    <n v="0"/>
    <n v="0"/>
    <n v="0"/>
    <n v="0"/>
    <m/>
    <n v="0"/>
    <n v="0"/>
    <n v="0"/>
    <n v="0"/>
    <n v="0"/>
    <n v="1467.0824170311796"/>
    <n v="0"/>
    <n v="69.42"/>
    <n v="645.77"/>
    <n v="102987.78"/>
    <n v="1315"/>
    <m/>
    <m/>
    <m/>
    <m/>
    <m/>
    <m/>
    <m/>
    <m/>
    <m/>
    <n v="29421.146023375139"/>
    <m/>
    <m/>
    <m/>
    <m/>
    <m/>
    <m/>
    <m/>
    <m/>
    <m/>
    <m/>
    <m/>
    <m/>
    <n v="83513.937900000004"/>
    <n v="-5348.3915299999935"/>
    <m/>
    <m/>
    <m/>
    <m/>
    <n v="-8892.9583299999995"/>
    <n v="3543.0701300000005"/>
    <n v="31"/>
    <n v="4251.5517017777238"/>
    <n v="88.851838061949593"/>
    <n v="414.30301284097459"/>
    <n v="0"/>
    <n v="0"/>
    <n v="0"/>
    <n v="0"/>
    <n v="0"/>
    <n v="415.53548259261464"/>
    <n v="0"/>
    <n v="0"/>
    <n v="3542.6700968933983"/>
    <n v="0"/>
    <n v="0"/>
    <n v="0"/>
    <n v="185.92606361942626"/>
    <n v="0"/>
    <n v="-342.96388257568105"/>
    <m/>
    <n v="0"/>
    <n v="0"/>
    <n v="0"/>
    <n v="0"/>
    <n v="-47.163046312578217"/>
    <n v="-5.6078633423737472"/>
    <n v="0"/>
    <n v="0"/>
    <m/>
    <m/>
    <m/>
    <n v="38653.287820489684"/>
    <n v="0"/>
    <n v="0"/>
    <n v="-8892.9583300000013"/>
    <n v="3543.0701300000001"/>
    <n v="0"/>
    <n v="0"/>
    <n v="-9602.1323535603333"/>
    <n v="0"/>
    <n v="0"/>
    <n v="0"/>
    <n v="0"/>
    <n v="0"/>
    <n v="0"/>
    <n v="0"/>
    <n v="0"/>
    <n v="0"/>
    <n v="0"/>
    <n v="0"/>
    <n v="0"/>
    <n v="2579.35868572542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0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-3.835"/>
    <n v="-3.835"/>
    <n v="-3.835"/>
    <n v="-3.835"/>
    <m/>
    <n v="368.24"/>
    <n v="173.25"/>
    <m/>
    <n v="-2076.6141499999999"/>
    <n v="-2076.6141499999999"/>
    <n v="-1951.5931500000002"/>
    <n v="0"/>
    <n v="-236.02577756958547"/>
    <n v="0"/>
    <n v="0"/>
    <n v="-9.815825794317945"/>
    <n v="-9.4308075067809689"/>
    <n v="-903.28480071890851"/>
    <n v="-653.25570469467539"/>
    <n v="-11.149240589625695"/>
    <n v="0"/>
    <n v="0"/>
    <n v="0"/>
    <n v="0"/>
    <n v="-36.467131113542948"/>
    <m/>
    <n v="-4.6321304995810308"/>
    <n v="-20.837071925604565"/>
    <n v="-97.160192359137355"/>
    <n v="0"/>
    <n v="0"/>
    <n v="0"/>
    <n v="0"/>
    <n v="0"/>
    <n v="0"/>
    <n v="0"/>
    <n v="0"/>
    <n v="0"/>
    <n v="0"/>
    <m/>
    <n v="0"/>
    <n v="0"/>
    <n v="0"/>
    <n v="0"/>
    <n v="0"/>
    <n v="-34.284101649012982"/>
    <n v="0"/>
    <n v="-1.75"/>
    <n v="-15.05"/>
    <n v="-1072.04"/>
    <n v="11"/>
    <m/>
    <m/>
    <m/>
    <m/>
    <m/>
    <m/>
    <m/>
    <m/>
    <m/>
    <n v="-687.53980634368838"/>
    <m/>
    <m/>
    <m/>
    <m/>
    <m/>
    <m/>
    <m/>
    <m/>
    <m/>
    <m/>
    <m/>
    <m/>
    <n v="-1954.1376"/>
    <n v="122.44654999999966"/>
    <m/>
    <m/>
    <m/>
    <m/>
    <n v="207.81864999999999"/>
    <n v="-82.797650000000019"/>
    <n v="31"/>
    <n v="-99.35408469058325"/>
    <n v="-2.0763696793407753"/>
    <n v="-9.6818054942515204"/>
    <n v="0"/>
    <n v="0"/>
    <n v="0"/>
    <n v="0"/>
    <n v="0"/>
    <n v="-9.7106069560876556"/>
    <n v="0"/>
    <n v="0"/>
    <n v="-82.788301666511302"/>
    <n v="0"/>
    <n v="0"/>
    <n v="0"/>
    <n v="-4.3448875062032712"/>
    <n v="0"/>
    <n v="8.0146885244245425"/>
    <m/>
    <n v="0"/>
    <n v="0"/>
    <n v="0"/>
    <n v="0"/>
    <n v="1.1021484921955675"/>
    <n v="0.13104959519096315"/>
    <n v="0"/>
    <n v="0"/>
    <m/>
    <m/>
    <m/>
    <n v="-903.28480071890851"/>
    <n v="0"/>
    <n v="0"/>
    <n v="207.81864999999993"/>
    <n v="-82.797649999999976"/>
    <n v="0"/>
    <n v="0"/>
    <n v="224.39126652674088"/>
    <n v="0"/>
    <n v="0"/>
    <n v="0"/>
    <n v="0"/>
    <n v="0"/>
    <n v="0"/>
    <n v="0"/>
    <n v="0"/>
    <n v="0"/>
    <n v="0"/>
    <n v="0"/>
    <n v="0"/>
    <n v="-60.27677405447056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1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4.6"/>
    <n v="24.6"/>
    <n v="24.6"/>
    <n v="24.6"/>
    <m/>
    <n v="281.47000000000003"/>
    <n v="173.25"/>
    <m/>
    <n v="11186.112000000001"/>
    <n v="11186.112000000001"/>
    <n v="10442.700000000001"/>
    <n v="0"/>
    <n v="0"/>
    <n v="0"/>
    <n v="0"/>
    <n v="62.964619176068176"/>
    <n v="60.494879965270364"/>
    <n v="5794.2128025254633"/>
    <n v="4190.3755763987001"/>
    <n v="71.517944851314766"/>
    <n v="0"/>
    <n v="0"/>
    <n v="0"/>
    <n v="0"/>
    <n v="0"/>
    <m/>
    <n v="29.713275173322913"/>
    <n v="133.66153047454299"/>
    <n v="623.24399792301926"/>
    <n v="0"/>
    <n v="0"/>
    <n v="0"/>
    <n v="0"/>
    <n v="0"/>
    <n v="0"/>
    <n v="0"/>
    <n v="0"/>
    <n v="0"/>
    <n v="0"/>
    <m/>
    <n v="0"/>
    <n v="0"/>
    <n v="0"/>
    <n v="0"/>
    <n v="0"/>
    <n v="219.91887889588514"/>
    <n v="0"/>
    <n v="0"/>
    <n v="24.54"/>
    <n v="1194.18"/>
    <n v="23"/>
    <m/>
    <m/>
    <m/>
    <m/>
    <m/>
    <m/>
    <m/>
    <n v="6787.8780000000006"/>
    <m/>
    <n v="4410.2944552945855"/>
    <m/>
    <m/>
    <m/>
    <m/>
    <m/>
    <m/>
    <m/>
    <m/>
    <m/>
    <m/>
    <m/>
    <m/>
    <n v="3654.8220000000001"/>
    <n v="-260.54400000000078"/>
    <m/>
    <m/>
    <m/>
    <m/>
    <n v="-1274.5260000000007"/>
    <n v="531.11400000000015"/>
    <n v="31"/>
    <n v="695.79782894321124"/>
    <n v="13.319085817935616"/>
    <n v="62.104932244742599"/>
    <n v="0"/>
    <n v="0"/>
    <n v="0"/>
    <n v="0"/>
    <n v="0"/>
    <n v="62.289682169427998"/>
    <n v="0"/>
    <n v="0"/>
    <n v="531.05403415806541"/>
    <n v="0"/>
    <n v="0"/>
    <n v="0"/>
    <n v="27.870725593898413"/>
    <n v="0"/>
    <n v="0"/>
    <m/>
    <n v="0"/>
    <n v="0"/>
    <n v="0"/>
    <n v="0"/>
    <n v="0"/>
    <n v="-0.84063104085989337"/>
    <n v="0"/>
    <n v="0"/>
    <m/>
    <m/>
    <m/>
    <n v="5794.2128025254633"/>
    <n v="0"/>
    <n v="0"/>
    <n v="-1274.5260000000007"/>
    <n v="531.11400000000049"/>
    <n v="0"/>
    <n v="0"/>
    <n v="-1439.3807448651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2"/>
    <s v="Sistema de Compensação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06"/>
    <n v="-1.7999999999999999E-2"/>
    <n v="0.06"/>
    <n v="-1.7999999999999999E-2"/>
    <m/>
    <n v="281.47000000000003"/>
    <n v="173.25"/>
    <m/>
    <n v="27.283200000000001"/>
    <n v="27.283200000000001"/>
    <n v="25.47"/>
    <n v="0"/>
    <n v="0"/>
    <n v="0"/>
    <n v="0"/>
    <n v="0.15357224189284918"/>
    <n v="0.14754848772017159"/>
    <n v="14.13222634762308"/>
    <n v="10.22042823511878"/>
    <n v="0.17443401183247501"/>
    <n v="0"/>
    <n v="0"/>
    <n v="0"/>
    <n v="0"/>
    <n v="0"/>
    <m/>
    <n v="7.2471402861763193E-2"/>
    <n v="0.32600373286473899"/>
    <n v="1.520107312007364"/>
    <n v="0"/>
    <n v="0"/>
    <n v="0"/>
    <n v="0"/>
    <n v="0"/>
    <n v="0"/>
    <n v="0"/>
    <n v="0"/>
    <n v="0"/>
    <n v="0"/>
    <m/>
    <n v="0"/>
    <n v="0"/>
    <n v="0"/>
    <n v="0"/>
    <n v="0"/>
    <n v="0.53638750950215885"/>
    <n v="0"/>
    <n v="0"/>
    <n v="0.06"/>
    <n v="2.98"/>
    <n v="0"/>
    <m/>
    <m/>
    <m/>
    <m/>
    <m/>
    <m/>
    <m/>
    <n v="28.144259999999999"/>
    <m/>
    <n v="10.756815744620939"/>
    <m/>
    <m/>
    <m/>
    <m/>
    <m/>
    <m/>
    <m/>
    <m/>
    <m/>
    <m/>
    <m/>
    <m/>
    <n v="-2.9714"/>
    <n v="-0.13651999999999997"/>
    <m/>
    <m/>
    <m/>
    <m/>
    <n v="-3.1086000000000018"/>
    <n v="1.2954000000000001"/>
    <n v="31"/>
    <n v="1.6970678754712409"/>
    <n v="3.2485575165696612E-2"/>
    <n v="0.151475444499372"/>
    <n v="0"/>
    <n v="0"/>
    <n v="0"/>
    <n v="0"/>
    <n v="0"/>
    <n v="0.15192605407177562"/>
    <n v="0"/>
    <n v="0"/>
    <n v="1.2952537418489403"/>
    <n v="0"/>
    <n v="0"/>
    <n v="0"/>
    <n v="6.7977379497313195E-2"/>
    <n v="0"/>
    <n v="0"/>
    <m/>
    <n v="0"/>
    <n v="0"/>
    <n v="0"/>
    <n v="0"/>
    <n v="0"/>
    <n v="-2.0503196118533962E-3"/>
    <n v="0"/>
    <n v="0"/>
    <m/>
    <m/>
    <m/>
    <n v="14.13222634762308"/>
    <n v="0"/>
    <n v="0"/>
    <n v="-3.1086000000000027"/>
    <n v="1.2954000000000008"/>
    <n v="0"/>
    <n v="0"/>
    <n v="-3.5106847435735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54.487000000000002"/>
    <n v="54.487000000000002"/>
    <n v="54.487000000000002"/>
    <n v="54.487000000000002"/>
    <m/>
    <n v="281.47000000000003"/>
    <n v="173.25"/>
    <m/>
    <n v="24776.328640000003"/>
    <n v="24776.328640000003"/>
    <n v="23129.731500000002"/>
    <n v="0"/>
    <n v="0"/>
    <n v="0"/>
    <n v="0"/>
    <n v="139.46151240026123"/>
    <n v="133.99124084014986"/>
    <n v="12833.710283382314"/>
    <n v="9281.3412207819492"/>
    <n v="158.40643337860109"/>
    <n v="0"/>
    <n v="0"/>
    <n v="0"/>
    <n v="0"/>
    <n v="0"/>
    <m/>
    <n v="65.812488795481528"/>
    <n v="296.04942321001721"/>
    <n v="1380.4347851557541"/>
    <n v="0"/>
    <n v="0"/>
    <n v="0"/>
    <n v="0"/>
    <n v="0"/>
    <n v="0"/>
    <n v="0"/>
    <n v="0"/>
    <n v="0"/>
    <n v="0"/>
    <m/>
    <n v="0"/>
    <n v="0"/>
    <n v="0"/>
    <n v="0"/>
    <n v="0"/>
    <n v="487.10243717073547"/>
    <n v="0"/>
    <n v="7.78"/>
    <n v="85.32"/>
    <n v="4648.62"/>
    <n v="52"/>
    <m/>
    <m/>
    <m/>
    <m/>
    <m/>
    <m/>
    <m/>
    <n v="9252.4374700000008"/>
    <m/>
    <n v="9768.4436579526846"/>
    <m/>
    <m/>
    <m/>
    <m/>
    <m/>
    <m/>
    <m/>
    <m/>
    <m/>
    <m/>
    <m/>
    <m/>
    <n v="13878.0581"/>
    <n v="-987.66011000000071"/>
    <m/>
    <m/>
    <m/>
    <m/>
    <n v="-2822.9714700000018"/>
    <n v="1176.3743300000003"/>
    <n v="31"/>
    <n v="1541.135622180027"/>
    <n v="29.500692234221901"/>
    <n v="137.55737574062141"/>
    <n v="0"/>
    <n v="0"/>
    <n v="0"/>
    <n v="0"/>
    <n v="0"/>
    <n v="137.96658180348064"/>
    <n v="0"/>
    <n v="0"/>
    <n v="1176.2415105353866"/>
    <n v="0"/>
    <n v="0"/>
    <n v="0"/>
    <n v="61.731391277835087"/>
    <n v="0"/>
    <n v="0"/>
    <m/>
    <n v="0"/>
    <n v="0"/>
    <n v="0"/>
    <n v="0"/>
    <n v="0"/>
    <n v="-1.8619294115176075"/>
    <n v="0"/>
    <n v="0"/>
    <m/>
    <m/>
    <m/>
    <n v="12833.710283382314"/>
    <n v="0"/>
    <n v="0"/>
    <n v="-2822.9714700000022"/>
    <n v="1176.3743300000006"/>
    <n v="0"/>
    <n v="0"/>
    <n v="-3188.11132705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4"/>
    <s v="Sistema de Compensação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7.0000000000000007E-2"/>
    <n v="1.4E-2"/>
    <n v="7.0000000000000007E-2"/>
    <n v="1.4E-2"/>
    <m/>
    <n v="281.47000000000003"/>
    <n v="173.25"/>
    <m/>
    <n v="31.830400000000004"/>
    <n v="31.830400000000004"/>
    <n v="29.715000000000003"/>
    <n v="0"/>
    <n v="0"/>
    <n v="0"/>
    <n v="0"/>
    <n v="0.17916761554165742"/>
    <n v="0.17213990234020024"/>
    <n v="16.487597405560262"/>
    <n v="11.923832940971911"/>
    <n v="0.20350634713788754"/>
    <n v="0"/>
    <n v="0"/>
    <n v="0"/>
    <n v="0"/>
    <n v="0"/>
    <m/>
    <n v="8.4549970005390399E-2"/>
    <n v="0.3803376883421955"/>
    <n v="1.7734585306752582"/>
    <n v="0"/>
    <n v="0"/>
    <n v="0"/>
    <n v="0"/>
    <n v="0"/>
    <n v="0"/>
    <n v="0"/>
    <n v="0"/>
    <n v="0"/>
    <n v="0"/>
    <m/>
    <n v="0"/>
    <n v="0"/>
    <n v="0"/>
    <n v="0"/>
    <n v="0"/>
    <n v="0.62578542775251866"/>
    <n v="0"/>
    <n v="0.01"/>
    <n v="0.11"/>
    <n v="8.6199999999999992"/>
    <n v="0"/>
    <m/>
    <m/>
    <m/>
    <m/>
    <m/>
    <m/>
    <m/>
    <n v="26.149340000000002"/>
    <m/>
    <n v="12.549618368724429"/>
    <m/>
    <m/>
    <m/>
    <m/>
    <m/>
    <m/>
    <m/>
    <m/>
    <m/>
    <m/>
    <m/>
    <m/>
    <n v="2.5468999999999999"/>
    <n v="-1.3027199999999999"/>
    <m/>
    <m/>
    <m/>
    <m/>
    <n v="-3.6267000000000027"/>
    <n v="1.5113000000000003"/>
    <n v="31"/>
    <n v="1.9799125213831203"/>
    <n v="3.7899837693312732E-2"/>
    <n v="0.17672135191593408"/>
    <n v="0"/>
    <n v="0"/>
    <n v="0"/>
    <n v="0"/>
    <n v="0"/>
    <n v="0.17724706308373819"/>
    <n v="0"/>
    <n v="0"/>
    <n v="1.5111293654904294"/>
    <n v="0"/>
    <n v="0"/>
    <n v="0"/>
    <n v="7.930694274686545E-2"/>
    <n v="0"/>
    <n v="0"/>
    <m/>
    <n v="0"/>
    <n v="0"/>
    <n v="0"/>
    <n v="0"/>
    <n v="0"/>
    <n v="-2.3920395471623002E-3"/>
    <n v="0"/>
    <n v="0"/>
    <m/>
    <m/>
    <m/>
    <n v="16.487597405560262"/>
    <n v="0"/>
    <n v="0"/>
    <n v="-3.6267000000000031"/>
    <n v="1.5113000000000003"/>
    <n v="0"/>
    <n v="0"/>
    <n v="-4.095798867502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5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72.197999999999993"/>
    <n v="72.197999999999993"/>
    <n v="72.197999999999993"/>
    <n v="72.197999999999993"/>
    <m/>
    <n v="281.47000000000003"/>
    <n v="173.25"/>
    <m/>
    <n v="32829.874559999997"/>
    <n v="32829.874559999997"/>
    <n v="30648.050999999999"/>
    <n v="0"/>
    <n v="0"/>
    <n v="0"/>
    <n v="0"/>
    <n v="184.79347866966543"/>
    <n v="177.54509527368248"/>
    <n v="17005.307964094853"/>
    <n v="12298.241295318427"/>
    <n v="209.89644643801716"/>
    <n v="0"/>
    <n v="0"/>
    <n v="0"/>
    <n v="0"/>
    <n v="0"/>
    <m/>
    <n v="87.204839063559646"/>
    <n v="392.2802917561404"/>
    <n v="1829.145128538461"/>
    <n v="0"/>
    <n v="0"/>
    <n v="0"/>
    <n v="0"/>
    <n v="0"/>
    <n v="0"/>
    <n v="0"/>
    <n v="0"/>
    <n v="0"/>
    <n v="0"/>
    <m/>
    <n v="0"/>
    <n v="0"/>
    <n v="0"/>
    <n v="0"/>
    <n v="0"/>
    <n v="645.43509018394764"/>
    <n v="0"/>
    <n v="18.63"/>
    <n v="161.99"/>
    <n v="9252.26"/>
    <n v="319"/>
    <m/>
    <m/>
    <m/>
    <m/>
    <m/>
    <m/>
    <m/>
    <n v="3065.5270800000003"/>
    <m/>
    <n v="12943.676385502375"/>
    <m/>
    <m/>
    <m/>
    <m/>
    <m/>
    <m/>
    <m/>
    <m/>
    <m/>
    <m/>
    <m/>
    <m/>
    <n v="27583.288"/>
    <n v="-1963.05151999999"/>
    <m/>
    <m/>
    <m/>
    <m/>
    <n v="-3740.5783800000017"/>
    <n v="1558.7548200000001"/>
    <n v="31"/>
    <n v="2042.0817745545501"/>
    <n v="39.089892596882692"/>
    <n v="182.27040236609446"/>
    <n v="0"/>
    <n v="0"/>
    <n v="0"/>
    <n v="0"/>
    <n v="0"/>
    <n v="182.81262086456758"/>
    <n v="0"/>
    <n v="0"/>
    <n v="1558.5788275668292"/>
    <n v="0"/>
    <n v="0"/>
    <n v="0"/>
    <n v="81.797180749117047"/>
    <n v="0"/>
    <n v="0"/>
    <m/>
    <n v="0"/>
    <n v="0"/>
    <n v="0"/>
    <n v="0"/>
    <n v="0"/>
    <n v="-2.4671495889432009"/>
    <n v="0"/>
    <n v="0"/>
    <m/>
    <m/>
    <m/>
    <n v="17005.307964094853"/>
    <n v="0"/>
    <n v="0"/>
    <n v="-3740.578379999999"/>
    <n v="1558.7548200000001"/>
    <n v="0"/>
    <n v="0"/>
    <n v="-4224.4069519420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6"/>
    <s v="Sistema de Compensação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6.3E-2"/>
    <n v="5.04E-2"/>
    <n v="6.3E-2"/>
    <n v="5.04E-2"/>
    <m/>
    <n v="281.47000000000003"/>
    <n v="173.25"/>
    <m/>
    <n v="28.647359999999999"/>
    <n v="28.647359999999999"/>
    <n v="26.743499999999997"/>
    <n v="0"/>
    <n v="0"/>
    <n v="0"/>
    <n v="0"/>
    <n v="0.16125085398749167"/>
    <n v="0.1549259121061802"/>
    <n v="14.838837665004235"/>
    <n v="10.731449646874719"/>
    <n v="0.18315571242409875"/>
    <n v="0"/>
    <n v="0"/>
    <n v="0"/>
    <n v="0"/>
    <n v="0"/>
    <m/>
    <n v="7.6094973004851352E-2"/>
    <n v="0.34230391950797595"/>
    <n v="1.5961126776077321"/>
    <n v="0"/>
    <n v="0"/>
    <n v="0"/>
    <n v="0"/>
    <n v="0"/>
    <n v="0"/>
    <n v="0"/>
    <n v="0"/>
    <n v="0"/>
    <n v="0"/>
    <m/>
    <n v="0"/>
    <n v="0"/>
    <n v="0"/>
    <n v="0"/>
    <n v="0"/>
    <n v="0.56320688497726679"/>
    <n v="0"/>
    <n v="0.02"/>
    <n v="0.14000000000000001"/>
    <n v="20.260000000000002"/>
    <n v="0"/>
    <m/>
    <m/>
    <m/>
    <m/>
    <m/>
    <m/>
    <m/>
    <n v="7.488684000000001"/>
    <m/>
    <n v="11.294656531851986"/>
    <m/>
    <m/>
    <m/>
    <m/>
    <m/>
    <m/>
    <m/>
    <m/>
    <m/>
    <m/>
    <m/>
    <m/>
    <n v="19.102"/>
    <n v="-1.5536959999999986"/>
    <m/>
    <m/>
    <m/>
    <m/>
    <n v="-3.2640300000000018"/>
    <n v="1.3601700000000003"/>
    <n v="31"/>
    <n v="1.7819212692448083"/>
    <n v="3.4109853923981415E-2"/>
    <n v="0.15904921672434069"/>
    <n v="0"/>
    <n v="0"/>
    <n v="0"/>
    <n v="0"/>
    <n v="0"/>
    <n v="0.15952235677536439"/>
    <n v="0"/>
    <n v="0"/>
    <n v="1.3600164289413872"/>
    <n v="0"/>
    <n v="0"/>
    <n v="0"/>
    <n v="7.1376248472178827E-2"/>
    <n v="0"/>
    <n v="0"/>
    <m/>
    <n v="0"/>
    <n v="0"/>
    <n v="0"/>
    <n v="0"/>
    <n v="0"/>
    <n v="-2.1528355924460701E-3"/>
    <n v="0"/>
    <n v="0"/>
    <m/>
    <m/>
    <m/>
    <n v="14.838837665004235"/>
    <n v="0"/>
    <n v="0"/>
    <n v="-3.2640300000000018"/>
    <n v="1.3601700000000001"/>
    <n v="0"/>
    <n v="0"/>
    <n v="-3.6862189807521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7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63.843000000000004"/>
    <n v="63.843000000000004"/>
    <n v="63.843000000000004"/>
    <n v="63.843000000000004"/>
    <m/>
    <n v="281.47000000000003"/>
    <n v="173.25"/>
    <m/>
    <n v="29030.688959999999"/>
    <n v="29030.688959999999"/>
    <n v="27101.353500000001"/>
    <n v="0"/>
    <n v="0"/>
    <n v="0"/>
    <n v="0"/>
    <n v="163.40854398608619"/>
    <n v="156.99896835864863"/>
    <n v="15037.39544518834"/>
    <n v="10875.046663578138"/>
    <n v="185.60651029034506"/>
    <n v="0"/>
    <n v="0"/>
    <n v="0"/>
    <n v="0"/>
    <n v="0"/>
    <m/>
    <n v="77.113196215059133"/>
    <n v="346.88427195472553"/>
    <n v="1617.4701853414358"/>
    <n v="0"/>
    <n v="0"/>
    <n v="0"/>
    <n v="0"/>
    <n v="0"/>
    <n v="0"/>
    <n v="0"/>
    <n v="0"/>
    <n v="0"/>
    <n v="0"/>
    <m/>
    <n v="0"/>
    <n v="0"/>
    <n v="0"/>
    <n v="0"/>
    <n v="0"/>
    <n v="570.7431294857721"/>
    <n v="0"/>
    <n v="20.45"/>
    <n v="164.24"/>
    <n v="9093.2800000000007"/>
    <n v="426"/>
    <m/>
    <m/>
    <m/>
    <m/>
    <m/>
    <m/>
    <m/>
    <m/>
    <m/>
    <n v="11445.78979306391"/>
    <m/>
    <m/>
    <m/>
    <m/>
    <m/>
    <m/>
    <m/>
    <m/>
    <m/>
    <m/>
    <m/>
    <m/>
    <n v="27100.080000000002"/>
    <n v="-1930.6389599999929"/>
    <m/>
    <m/>
    <m/>
    <m/>
    <n v="-3307.7058300000022"/>
    <n v="1378.3703700000003"/>
    <n v="31"/>
    <n v="1805.7650728951794"/>
    <n v="34.566276255059506"/>
    <n v="161.17744671955688"/>
    <n v="0"/>
    <n v="0"/>
    <n v="0"/>
    <n v="0"/>
    <n v="0"/>
    <n v="161.65691783507285"/>
    <n v="0"/>
    <n v="0"/>
    <n v="1378.2147440143654"/>
    <n v="0"/>
    <n v="0"/>
    <n v="0"/>
    <n v="72.331330654116186"/>
    <n v="0"/>
    <n v="0"/>
    <m/>
    <n v="0"/>
    <n v="0"/>
    <n v="0"/>
    <n v="0"/>
    <n v="0"/>
    <n v="-2.1816425829926089"/>
    <n v="0"/>
    <n v="0"/>
    <m/>
    <m/>
    <m/>
    <n v="15037.39544518834"/>
    <n v="0"/>
    <n v="0"/>
    <n v="-3307.7058300000008"/>
    <n v="1378.3703700000005"/>
    <n v="0"/>
    <n v="0"/>
    <n v="-3735.5441013994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18"/>
    <s v="Sistema de Compensação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.4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19"/>
    <s v="Regular"/>
    <s v="Branca"/>
    <s v="B1"/>
    <s v="Residencial"/>
    <s v="Residencial"/>
    <s v="Não se aplica"/>
    <s v="Não se aplica"/>
    <s v="Ponta"/>
    <s v="CATIVO"/>
    <x v="6"/>
    <n v="0"/>
    <n v="0"/>
    <n v="0.53100000000000003"/>
    <n v="0.53100000000000003"/>
    <n v="0.53100000000000003"/>
    <n v="0.53100000000000003"/>
    <m/>
    <n v="775.22"/>
    <n v="173.25"/>
    <m/>
    <n v="503.63757000000004"/>
    <n v="503.63757000000004"/>
    <n v="444.18149999999997"/>
    <n v="0"/>
    <n v="32.680492278865685"/>
    <n v="0"/>
    <n v="0"/>
    <n v="3.3975450164969891"/>
    <n v="3.2642941782713475"/>
    <n v="312.67545075706073"/>
    <n v="90.45078988080121"/>
    <n v="1.5437410047174041"/>
    <n v="0"/>
    <n v="0"/>
    <n v="0"/>
    <n v="0"/>
    <n v="5.0492950772597931"/>
    <m/>
    <n v="0.64137191532660431"/>
    <n v="7.2124238147618902"/>
    <n v="33.630218138502116"/>
    <n v="0"/>
    <n v="0"/>
    <n v="0"/>
    <n v="0"/>
    <n v="0"/>
    <n v="0"/>
    <n v="0"/>
    <n v="0"/>
    <n v="0"/>
    <n v="0"/>
    <m/>
    <n v="0"/>
    <n v="0"/>
    <n v="0"/>
    <n v="0"/>
    <n v="0"/>
    <n v="4.7470294590941062"/>
    <n v="0"/>
    <n v="0"/>
    <n v="0"/>
    <n v="0"/>
    <n v="0"/>
    <m/>
    <m/>
    <m/>
    <m/>
    <m/>
    <m/>
    <m/>
    <m/>
    <m/>
    <n v="95.197819339895318"/>
    <m/>
    <m/>
    <m/>
    <m/>
    <m/>
    <m/>
    <m/>
    <m/>
    <m/>
    <m/>
    <m/>
    <m/>
    <n v="443.34499999999997"/>
    <n v="-60.322570000000042"/>
    <m/>
    <m/>
    <m/>
    <m/>
    <n v="-70.920360000000031"/>
    <n v="11.464290000000002"/>
    <n v="31"/>
    <n v="18.215142209994582"/>
    <n v="0.71870261699890836"/>
    <n v="3.3511793548400064"/>
    <n v="0"/>
    <n v="0"/>
    <n v="0"/>
    <n v="0"/>
    <n v="0"/>
    <n v="3.3611414220305447"/>
    <n v="0"/>
    <n v="0"/>
    <n v="11.462995615363113"/>
    <n v="0"/>
    <n v="0"/>
    <n v="0"/>
    <n v="0.60159980855122175"/>
    <n v="0"/>
    <n v="-1.1097261033818633"/>
    <m/>
    <n v="0"/>
    <n v="0"/>
    <n v="0"/>
    <n v="0"/>
    <n v="-0.15260517584246269"/>
    <n v="-1.8145328564902585E-2"/>
    <n v="0"/>
    <n v="0"/>
    <m/>
    <m/>
    <m/>
    <n v="312.67545075706073"/>
    <n v="0"/>
    <n v="0"/>
    <n v="-70.920360000000073"/>
    <n v="11.464290000000005"/>
    <n v="0"/>
    <n v="0"/>
    <n v="-77.673885746063121"/>
    <n v="0"/>
    <n v="0"/>
    <n v="0"/>
    <n v="0"/>
    <n v="0"/>
    <n v="0"/>
    <n v="0"/>
    <n v="0"/>
    <n v="0"/>
    <n v="0"/>
    <n v="0"/>
    <n v="0"/>
    <n v="8.346014869080541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0"/>
    <s v="Regular"/>
    <s v="Branca"/>
    <s v="B1"/>
    <s v="Residencial"/>
    <s v="Residencial"/>
    <s v="Não se aplica"/>
    <s v="Não se aplica"/>
    <s v="Fora ponta"/>
    <s v="CATIVO"/>
    <x v="6"/>
    <n v="0"/>
    <n v="0"/>
    <n v="5.6559999999999997"/>
    <n v="5.6559999999999997"/>
    <n v="5.6559999999999997"/>
    <n v="5.6559999999999997"/>
    <m/>
    <n v="232.58"/>
    <n v="173.25"/>
    <m/>
    <n v="2295.3744799999999"/>
    <n v="2295.3744799999999"/>
    <n v="2260.6466399999999"/>
    <n v="0"/>
    <n v="348.09955617563895"/>
    <n v="0"/>
    <n v="0"/>
    <n v="7.2383716678829586"/>
    <n v="6.9544520545440882"/>
    <n v="666.09893518463446"/>
    <n v="963.44570163053027"/>
    <n v="16.443312848741311"/>
    <n v="0"/>
    <n v="0"/>
    <n v="0"/>
    <n v="0"/>
    <n v="53.783075248552514"/>
    <m/>
    <n v="6.8316375764355435"/>
    <n v="15.36626462427021"/>
    <n v="71.647724639280426"/>
    <n v="0"/>
    <n v="0"/>
    <n v="0"/>
    <n v="0"/>
    <n v="0"/>
    <n v="0"/>
    <n v="0"/>
    <n v="0"/>
    <n v="0"/>
    <n v="0"/>
    <m/>
    <n v="0"/>
    <n v="0"/>
    <n v="0"/>
    <n v="0"/>
    <n v="0"/>
    <n v="50.563462562403501"/>
    <n v="0"/>
    <n v="0"/>
    <n v="0"/>
    <n v="0"/>
    <n v="0"/>
    <m/>
    <m/>
    <m/>
    <m/>
    <m/>
    <m/>
    <m/>
    <m/>
    <m/>
    <n v="1014.0091641929338"/>
    <m/>
    <m/>
    <m/>
    <m/>
    <m/>
    <m/>
    <m/>
    <m/>
    <m/>
    <m/>
    <m/>
    <m/>
    <n v="2262.2453999999998"/>
    <n v="-33.159080000000358"/>
    <m/>
    <m/>
    <m/>
    <m/>
    <n v="-156.84088000000008"/>
    <n v="122.11304000000001"/>
    <n v="31"/>
    <n v="130.69966749675496"/>
    <n v="1.5312154252995231"/>
    <n v="7.139542617403734"/>
    <n v="0"/>
    <n v="0"/>
    <n v="0"/>
    <n v="0"/>
    <n v="0"/>
    <n v="7.1607813485830238"/>
    <n v="0"/>
    <n v="0"/>
    <n v="122.09925273162662"/>
    <n v="0"/>
    <n v="0"/>
    <n v="0"/>
    <n v="6.4080009739467272"/>
    <n v="0"/>
    <n v="-11.82035939873407"/>
    <m/>
    <n v="0"/>
    <n v="0"/>
    <n v="0"/>
    <n v="0"/>
    <n v="-1.6254894059603942"/>
    <n v="-0.1932767954107133"/>
    <n v="0"/>
    <n v="0"/>
    <m/>
    <m/>
    <m/>
    <n v="666.09893518463446"/>
    <n v="0"/>
    <n v="0"/>
    <n v="-156.84087999999997"/>
    <n v="122.11304000000007"/>
    <n v="0"/>
    <n v="0"/>
    <n v="-165.47027424709796"/>
    <n v="0"/>
    <n v="0"/>
    <n v="0"/>
    <n v="0"/>
    <n v="0"/>
    <n v="0"/>
    <n v="0"/>
    <n v="0"/>
    <n v="0"/>
    <n v="0"/>
    <n v="0"/>
    <n v="0"/>
    <n v="88.89841826651512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1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66"/>
    <n v="23.56"/>
    <n v="1307.8699999999999"/>
    <n v="1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22"/>
    <s v="Regular"/>
    <s v="Branca"/>
    <s v="B1"/>
    <s v="Residencial"/>
    <s v="Residencial"/>
    <s v="Não se aplica"/>
    <s v="Não se aplica"/>
    <s v="Intermediário"/>
    <s v="CATIVO"/>
    <x v="6"/>
    <n v="0"/>
    <n v="0"/>
    <n v="0.41399999999999998"/>
    <n v="0.41399999999999998"/>
    <n v="0.41399999999999998"/>
    <n v="0.41399999999999998"/>
    <m/>
    <n v="503.9"/>
    <n v="173.25"/>
    <m/>
    <n v="280.34009999999995"/>
    <n v="280.34009999999995"/>
    <n v="255.88925999999998"/>
    <n v="0"/>
    <n v="25.479705844539343"/>
    <n v="0"/>
    <n v="0"/>
    <n v="1.5892849336319079"/>
    <n v="1.5269612584609995"/>
    <n v="146.26845352947225"/>
    <n v="70.520954822319581"/>
    <n v="1.2035946816440775"/>
    <n v="0"/>
    <n v="0"/>
    <n v="0"/>
    <n v="0"/>
    <n v="3.9367385348127195"/>
    <m/>
    <n v="0.50005267974616596"/>
    <n v="3.3738199293188291"/>
    <n v="15.731429621235581"/>
    <n v="0"/>
    <n v="0"/>
    <n v="0"/>
    <n v="0"/>
    <n v="0"/>
    <n v="0"/>
    <n v="0"/>
    <n v="0"/>
    <n v="0"/>
    <n v="0"/>
    <m/>
    <n v="0"/>
    <n v="0"/>
    <n v="0"/>
    <n v="0"/>
    <n v="0"/>
    <n v="3.7010738155648957"/>
    <n v="0"/>
    <n v="0"/>
    <n v="0"/>
    <n v="0"/>
    <n v="0"/>
    <m/>
    <m/>
    <m/>
    <m/>
    <m/>
    <m/>
    <m/>
    <m/>
    <m/>
    <n v="74.222028637884478"/>
    <m/>
    <m/>
    <m/>
    <m/>
    <m/>
    <m/>
    <m/>
    <m/>
    <m/>
    <m/>
    <m/>
    <m/>
    <n v="253.4169"/>
    <n v="-26.953199999999924"/>
    <m/>
    <m/>
    <m/>
    <m/>
    <n v="-33.389099999999992"/>
    <n v="8.9382600000000014"/>
    <n v="31"/>
    <n v="11.884018481801292"/>
    <n v="0.336193944610093"/>
    <n v="1.5676033367278954"/>
    <n v="0"/>
    <n v="0"/>
    <n v="0"/>
    <n v="0"/>
    <n v="0"/>
    <n v="1.5722641573827365"/>
    <n v="0"/>
    <n v="0"/>
    <n v="8.9372508187576756"/>
    <n v="0"/>
    <n v="0"/>
    <n v="0"/>
    <n v="0.46904391853146077"/>
    <n v="0"/>
    <n v="-0.8652101822977194"/>
    <m/>
    <n v="0"/>
    <n v="0"/>
    <n v="0"/>
    <n v="0"/>
    <n v="-0.11898030658903869"/>
    <n v="-1.414720532178837E-2"/>
    <n v="0"/>
    <n v="0"/>
    <m/>
    <m/>
    <m/>
    <n v="146.26845352947225"/>
    <n v="0"/>
    <n v="0"/>
    <n v="-33.389099999999985"/>
    <n v="8.9382599999999996"/>
    <n v="0"/>
    <n v="0"/>
    <n v="-36.335564945035983"/>
    <n v="0"/>
    <n v="0"/>
    <n v="0"/>
    <n v="0"/>
    <n v="0"/>
    <n v="0"/>
    <n v="0"/>
    <n v="0"/>
    <n v="0"/>
    <n v="0"/>
    <n v="0"/>
    <n v="0"/>
    <n v="6.50706244030008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3"/>
    <s v="Regular"/>
    <s v="Convencional"/>
    <s v="B3"/>
    <s v="Industrial"/>
    <s v="Não se aplica"/>
    <s v="Não se aplica"/>
    <s v="Não se aplica"/>
    <s v="Não se aplica"/>
    <s v="CATIVO"/>
    <x v="6"/>
    <n v="0"/>
    <n v="0"/>
    <n v="431.35300000000001"/>
    <n v="431.35300000000001"/>
    <n v="431.35300000000001"/>
    <n v="431.35300000000001"/>
    <m/>
    <n v="368.24"/>
    <n v="173.25"/>
    <m/>
    <n v="233573.33597000001"/>
    <n v="233573.33597000001"/>
    <n v="219511.22817000002"/>
    <n v="0"/>
    <n v="26547.699408598019"/>
    <n v="0"/>
    <n v="0"/>
    <n v="1104.0641209534363"/>
    <n v="1060.7580470593198"/>
    <n v="101599.63719543765"/>
    <n v="73476.873008386523"/>
    <n v="1254.0439050995599"/>
    <n v="0"/>
    <n v="0"/>
    <n v="0"/>
    <n v="0"/>
    <n v="4101.7487372151472"/>
    <m/>
    <n v="521.01261731050238"/>
    <n v="2343.7114697067291"/>
    <n v="10928.380822605208"/>
    <n v="0"/>
    <n v="0"/>
    <n v="0"/>
    <n v="0"/>
    <n v="0"/>
    <n v="0"/>
    <n v="0"/>
    <n v="0"/>
    <n v="0"/>
    <n v="0"/>
    <m/>
    <n v="0"/>
    <n v="0"/>
    <n v="0"/>
    <n v="0"/>
    <n v="0"/>
    <n v="3856.2060231047453"/>
    <n v="0"/>
    <n v="196.36"/>
    <n v="1695.93"/>
    <n v="58276.4"/>
    <n v="288"/>
    <m/>
    <m/>
    <m/>
    <m/>
    <m/>
    <m/>
    <m/>
    <m/>
    <m/>
    <n v="77333.079031491274"/>
    <m/>
    <m/>
    <m/>
    <m/>
    <m/>
    <m/>
    <m/>
    <m/>
    <m/>
    <m/>
    <m/>
    <m/>
    <n v="219509.70150000002"/>
    <n v="-14063.664470000018"/>
    <m/>
    <m/>
    <m/>
    <m/>
    <n v="-23375.019069999998"/>
    <n v="9312.9112700000023"/>
    <n v="31"/>
    <n v="11175.145369892358"/>
    <n v="233.5458384074791"/>
    <n v="1088.9897901856275"/>
    <n v="0"/>
    <n v="0"/>
    <n v="0"/>
    <n v="0"/>
    <n v="0"/>
    <n v="1092.2293200337103"/>
    <n v="0"/>
    <n v="0"/>
    <n v="9311.8597884627525"/>
    <n v="0"/>
    <n v="0"/>
    <n v="0"/>
    <n v="488.70410963840914"/>
    <n v="0"/>
    <n v="-901.47586416586637"/>
    <m/>
    <n v="0"/>
    <n v="0"/>
    <n v="0"/>
    <n v="0"/>
    <n v="-123.96742074420627"/>
    <n v="-14.740191925530041"/>
    <n v="0"/>
    <n v="0"/>
    <m/>
    <m/>
    <m/>
    <n v="101599.63719543765"/>
    <n v="0"/>
    <n v="0"/>
    <n v="-23375.01906999998"/>
    <n v="9312.9112699999969"/>
    <n v="0"/>
    <n v="0"/>
    <n v="-25239.073269911154"/>
    <n v="0"/>
    <n v="0"/>
    <n v="0"/>
    <n v="0"/>
    <n v="0"/>
    <n v="0"/>
    <n v="0"/>
    <n v="0"/>
    <n v="0"/>
    <n v="0"/>
    <n v="0"/>
    <n v="0"/>
    <n v="6779.808948818264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4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23.86"/>
    <n v="23.86"/>
    <n v="23.86"/>
    <n v="23.86"/>
    <m/>
    <n v="368.24"/>
    <n v="173.25"/>
    <m/>
    <n v="12919.951399999998"/>
    <n v="12919.951399999998"/>
    <n v="12142.115400000001"/>
    <n v="0"/>
    <n v="1468.4680711369776"/>
    <n v="0"/>
    <n v="0"/>
    <n v="61.070561526056366"/>
    <n v="58.675115283388244"/>
    <n v="5619.9153442381121"/>
    <n v="4064.3236281655682"/>
    <n v="69.366592038714231"/>
    <n v="0"/>
    <n v="0"/>
    <n v="0"/>
    <n v="0"/>
    <n v="226.88546241698427"/>
    <m/>
    <n v="28.819461204694495"/>
    <n v="129.6408177692112"/>
    <n v="604.49600774159512"/>
    <n v="0"/>
    <n v="0"/>
    <n v="0"/>
    <n v="0"/>
    <n v="0"/>
    <n v="0"/>
    <n v="0"/>
    <n v="0"/>
    <n v="0"/>
    <n v="0"/>
    <m/>
    <n v="0"/>
    <n v="0"/>
    <n v="0"/>
    <n v="0"/>
    <n v="0"/>
    <n v="213.30343294535848"/>
    <n v="0"/>
    <n v="11.24"/>
    <n v="98.71"/>
    <n v="8390.89"/>
    <n v="50"/>
    <m/>
    <m/>
    <m/>
    <m/>
    <m/>
    <m/>
    <m/>
    <m/>
    <m/>
    <n v="4277.6270611109267"/>
    <m/>
    <m/>
    <m/>
    <m/>
    <m/>
    <m/>
    <m/>
    <m/>
    <m/>
    <m/>
    <m/>
    <m/>
    <n v="12142.115400000001"/>
    <n v="-777.86599999999817"/>
    <m/>
    <m/>
    <m/>
    <m/>
    <n v="-1292.9733999999999"/>
    <n v="515.13740000000007"/>
    <n v="31"/>
    <n v="618.14562209056658"/>
    <n v="12.918430390892013"/>
    <n v="60.23673509591697"/>
    <n v="0"/>
    <n v="0"/>
    <n v="0"/>
    <n v="0"/>
    <n v="0"/>
    <n v="60.415927502542765"/>
    <n v="0"/>
    <n v="0"/>
    <n v="515.07923800859498"/>
    <n v="0"/>
    <n v="0"/>
    <n v="0"/>
    <n v="27.032337913431547"/>
    <n v="0"/>
    <n v="-49.864528863825171"/>
    <m/>
    <n v="0"/>
    <n v="0"/>
    <n v="0"/>
    <n v="0"/>
    <n v="-6.8571741913392827"/>
    <n v="-0.81534376564703237"/>
    <n v="0"/>
    <n v="0"/>
    <m/>
    <m/>
    <m/>
    <n v="5619.9153442381121"/>
    <n v="0"/>
    <n v="0"/>
    <n v="-1292.9733999999989"/>
    <n v="515.13740000000053"/>
    <n v="0"/>
    <n v="0"/>
    <n v="-1396.0822996944044"/>
    <n v="0"/>
    <n v="0"/>
    <n v="0"/>
    <n v="0"/>
    <n v="0"/>
    <n v="0"/>
    <n v="0"/>
    <n v="0"/>
    <n v="0"/>
    <n v="0"/>
    <n v="0"/>
    <n v="0"/>
    <n v="375.0205551342027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5"/>
    <s v="Regular"/>
    <s v="Azul"/>
    <s v="A4"/>
    <s v="Industrial"/>
    <s v="Não se aplica"/>
    <s v="Não se aplica"/>
    <s v="Não se aplica"/>
    <s v="Ponta"/>
    <s v="CATIVO"/>
    <x v="6"/>
    <n v="10384"/>
    <n v="10384"/>
    <n v="524.08600000000001"/>
    <n v="524.08600000000001"/>
    <n v="524.08600000000001"/>
    <n v="524.08600000000001"/>
    <n v="52.95"/>
    <n v="85.01"/>
    <n v="173.25"/>
    <n v="549832.80000000005"/>
    <n v="135350.45036000002"/>
    <n v="685183.25035999995"/>
    <n v="605539.04561999999"/>
    <n v="0"/>
    <n v="28061.82292753593"/>
    <n v="0"/>
    <n v="0"/>
    <n v="8179.1263758987452"/>
    <n v="7858.1102028374999"/>
    <n v="435439.68606064928"/>
    <n v="89273.055867174349"/>
    <n v="1523.6403920872417"/>
    <n v="0"/>
    <n v="0"/>
    <n v="0"/>
    <n v="0"/>
    <n v="4983.5496419223646"/>
    <m/>
    <n v="419.69531551276361"/>
    <n v="17362.576365378514"/>
    <n v="80958.076317265819"/>
    <n v="0"/>
    <n v="0"/>
    <n v="0"/>
    <n v="0"/>
    <n v="0"/>
    <n v="0"/>
    <n v="0"/>
    <n v="0"/>
    <n v="0"/>
    <n v="0"/>
    <m/>
    <n v="0"/>
    <n v="0"/>
    <n v="0"/>
    <n v="0"/>
    <n v="0"/>
    <n v="3919.4592139608212"/>
    <n v="0"/>
    <n v="0"/>
    <n v="0"/>
    <n v="0"/>
    <n v="0"/>
    <m/>
    <m/>
    <m/>
    <m/>
    <m/>
    <m/>
    <m/>
    <m/>
    <m/>
    <n v="93192.515081135178"/>
    <m/>
    <m/>
    <m/>
    <m/>
    <m/>
    <m/>
    <m/>
    <m/>
    <m/>
    <m/>
    <m/>
    <m/>
    <n v="605540.16029999999"/>
    <n v="-79643.120059999987"/>
    <m/>
    <m/>
    <m/>
    <m/>
    <n v="-90959.221480000037"/>
    <n v="11315.016740000003"/>
    <n v="31"/>
    <n v="28583.769588067807"/>
    <n v="1730.1436232991909"/>
    <n v="8067.2992617723794"/>
    <n v="0"/>
    <n v="0"/>
    <n v="0"/>
    <n v="0"/>
    <n v="0"/>
    <n v="8091.2498259041649"/>
    <n v="0"/>
    <n v="0"/>
    <n v="11313.739209177395"/>
    <n v="0"/>
    <n v="0"/>
    <n v="0"/>
    <n v="496.72030331007136"/>
    <n v="0"/>
    <n v="-952.89070756452929"/>
    <m/>
    <n v="0"/>
    <n v="0"/>
    <n v="0"/>
    <n v="0"/>
    <n v="-150.61814724401665"/>
    <n v="-11.873780586809403"/>
    <n v="0"/>
    <n v="0"/>
    <m/>
    <m/>
    <n v="435439.68606064928"/>
    <n v="0"/>
    <n v="0"/>
    <n v="0"/>
    <n v="-90959.221480000007"/>
    <n v="11315.016740000006"/>
    <n v="0"/>
    <n v="0"/>
    <n v="-108170.60419193294"/>
    <n v="0"/>
    <n v="0"/>
    <n v="0"/>
    <n v="0"/>
    <n v="0"/>
    <n v="0"/>
    <n v="0"/>
    <n v="0"/>
    <n v="0"/>
    <n v="0"/>
    <n v="0"/>
    <n v="0"/>
    <n v="7166.489091052636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6"/>
    <s v="Regular"/>
    <s v="Azul"/>
    <s v="A4"/>
    <s v="Industrial"/>
    <s v="Não se aplica"/>
    <s v="Não se aplica"/>
    <s v="Não se aplica"/>
    <s v="Fora ponta"/>
    <s v="CATIVO"/>
    <x v="6"/>
    <n v="11176"/>
    <n v="11176"/>
    <n v="4563.5969999999998"/>
    <n v="4563.5969999999998"/>
    <n v="4563.5969999999998"/>
    <n v="4563.5969999999998"/>
    <n v="27.19"/>
    <n v="85.01"/>
    <n v="173.25"/>
    <n v="303875.44"/>
    <n v="1178594.56122"/>
    <n v="1482470.00122"/>
    <n v="1514927.3359900001"/>
    <n v="0"/>
    <n v="244354.6496693943"/>
    <n v="0"/>
    <n v="0"/>
    <n v="2606.2500556664554"/>
    <n v="2503.8133648038588"/>
    <n v="267464.36999755056"/>
    <n v="777365.26054172264"/>
    <n v="13267.442218277458"/>
    <n v="0"/>
    <n v="0"/>
    <n v="0"/>
    <n v="0"/>
    <n v="43395.382046511404"/>
    <m/>
    <n v="3654.5915799851578"/>
    <n v="5530.8328722670258"/>
    <n v="25795.200909496412"/>
    <n v="0"/>
    <n v="0"/>
    <n v="0"/>
    <n v="0"/>
    <n v="0"/>
    <n v="0"/>
    <n v="0"/>
    <n v="0"/>
    <n v="0"/>
    <n v="0"/>
    <m/>
    <n v="0"/>
    <n v="0"/>
    <n v="0"/>
    <n v="0"/>
    <n v="0"/>
    <n v="34129.574746232414"/>
    <n v="0"/>
    <n v="0"/>
    <n v="0"/>
    <n v="0"/>
    <n v="0"/>
    <m/>
    <m/>
    <m/>
    <m/>
    <m/>
    <m/>
    <m/>
    <m/>
    <m/>
    <n v="811494.83528795501"/>
    <m/>
    <m/>
    <m/>
    <m/>
    <m/>
    <m/>
    <m/>
    <m/>
    <m/>
    <m/>
    <m/>
    <m/>
    <n v="1514928.1720000003"/>
    <n v="32458.140780000249"/>
    <m/>
    <m/>
    <m/>
    <m/>
    <n v="-66070.724460000027"/>
    <n v="98528.059230000013"/>
    <n v="31"/>
    <n v="98829.4635768882"/>
    <n v="551.13567388347201"/>
    <n v="2570.4366348693766"/>
    <n v="0"/>
    <n v="0"/>
    <n v="0"/>
    <n v="0"/>
    <n v="0"/>
    <n v="2578.0981596249999"/>
    <n v="0"/>
    <n v="0"/>
    <n v="98516.934842343209"/>
    <n v="0"/>
    <n v="0"/>
    <n v="0"/>
    <n v="4325.304026485981"/>
    <n v="0"/>
    <n v="-8297.5106649850786"/>
    <m/>
    <n v="0"/>
    <n v="0"/>
    <n v="0"/>
    <n v="0"/>
    <n v="-1311.5414739343396"/>
    <n v="-103.39362139920104"/>
    <n v="0"/>
    <n v="0"/>
    <m/>
    <m/>
    <n v="267464.36999755056"/>
    <n v="0"/>
    <n v="0"/>
    <n v="0"/>
    <n v="-66070.724459999939"/>
    <n v="98528.059230000013"/>
    <n v="0"/>
    <n v="0"/>
    <n v="-66442.686389453447"/>
    <n v="0"/>
    <n v="0"/>
    <n v="0"/>
    <n v="0"/>
    <n v="0"/>
    <n v="0"/>
    <n v="0"/>
    <n v="0"/>
    <n v="0"/>
    <n v="0"/>
    <n v="0"/>
    <n v="0"/>
    <n v="62403.8194427260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7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06.26"/>
    <n v="17196.75"/>
    <n v="582455.17000000004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28"/>
    <s v="Regular"/>
    <s v="Verde"/>
    <s v="A4"/>
    <s v="Industrial"/>
    <s v="Não se aplica"/>
    <s v="Não se aplica"/>
    <s v="Não se aplica"/>
    <s v="Ponta"/>
    <s v="CATIVO"/>
    <x v="6"/>
    <n v="0"/>
    <n v="0"/>
    <n v="178.84800000000001"/>
    <n v="178.84800000000001"/>
    <n v="178.84800000000001"/>
    <n v="178.84800000000001"/>
    <m/>
    <n v="1358.36"/>
    <n v="173.25"/>
    <m/>
    <n v="273925.38527999999"/>
    <n v="273925.38527999999"/>
    <n v="240178.55616000001"/>
    <n v="0"/>
    <n v="9576.2926446116599"/>
    <n v="0"/>
    <n v="0"/>
    <n v="3387.7546146341751"/>
    <n v="3254.8825618919077"/>
    <n v="180369.58813431079"/>
    <n v="30465.052483242063"/>
    <n v="519.95290247024161"/>
    <n v="0"/>
    <n v="0"/>
    <n v="0"/>
    <n v="0"/>
    <n v="1700.6710470390951"/>
    <m/>
    <n v="143.22395139123495"/>
    <n v="7191.6251276434159"/>
    <n v="33533.302703577552"/>
    <n v="0"/>
    <n v="0"/>
    <n v="0"/>
    <n v="0"/>
    <n v="0"/>
    <n v="0"/>
    <n v="0"/>
    <n v="0"/>
    <n v="0"/>
    <n v="0"/>
    <m/>
    <n v="0"/>
    <n v="0"/>
    <n v="0"/>
    <n v="0"/>
    <n v="0"/>
    <n v="1337.5427725572997"/>
    <n v="0"/>
    <n v="0"/>
    <n v="0"/>
    <n v="0"/>
    <n v="0"/>
    <m/>
    <m/>
    <m/>
    <m/>
    <m/>
    <m/>
    <m/>
    <m/>
    <m/>
    <n v="31802.595255799362"/>
    <m/>
    <m/>
    <m/>
    <m/>
    <m/>
    <m/>
    <m/>
    <m/>
    <m/>
    <m/>
    <m/>
    <m/>
    <n v="240181.24199999997"/>
    <n v="-33744.173280000046"/>
    <m/>
    <m/>
    <m/>
    <m/>
    <n v="-37608.157439999995"/>
    <n v="3861.328320000001"/>
    <n v="31"/>
    <n v="11059.372108012118"/>
    <n v="716.63007228356219"/>
    <n v="3341.5219389010017"/>
    <n v="0"/>
    <n v="0"/>
    <n v="0"/>
    <n v="0"/>
    <n v="0"/>
    <n v="3351.4505755768937"/>
    <n v="0"/>
    <n v="0"/>
    <n v="3860.8923537033188"/>
    <n v="0"/>
    <n v="0"/>
    <n v="0"/>
    <n v="169.50926528546779"/>
    <n v="0"/>
    <n v="-325.18059491476743"/>
    <m/>
    <n v="0"/>
    <n v="0"/>
    <n v="0"/>
    <n v="0"/>
    <n v="-51.399492446464819"/>
    <n v="-4.0520103769032119"/>
    <n v="0"/>
    <n v="0"/>
    <m/>
    <m/>
    <m/>
    <n v="180369.58813431079"/>
    <n v="0"/>
    <n v="0"/>
    <n v="-37608.157439999981"/>
    <n v="3861.3283200000042"/>
    <n v="0"/>
    <n v="0"/>
    <n v="-44806.865223628789"/>
    <n v="0"/>
    <n v="0"/>
    <n v="0"/>
    <n v="0"/>
    <n v="0"/>
    <n v="0"/>
    <n v="0"/>
    <n v="0"/>
    <n v="0"/>
    <n v="0"/>
    <n v="0"/>
    <n v="0"/>
    <n v="2445.61434756238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29"/>
    <s v="Regular"/>
    <s v="Verde"/>
    <s v="A4"/>
    <s v="Industrial"/>
    <s v="Não se aplica"/>
    <s v="Não se aplica"/>
    <s v="Não se aplica"/>
    <s v="Fora ponta"/>
    <s v="CATIVO"/>
    <x v="6"/>
    <n v="0"/>
    <n v="0"/>
    <n v="3039.2190000000001"/>
    <n v="3039.2190000000001"/>
    <n v="3039.2190000000001"/>
    <n v="3039.2190000000001"/>
    <m/>
    <n v="85.01"/>
    <n v="173.25"/>
    <m/>
    <n v="784908.69894000003"/>
    <n v="784908.69894000003"/>
    <n v="846939.15873000002"/>
    <n v="0"/>
    <n v="162732.88242006622"/>
    <n v="0"/>
    <n v="0"/>
    <n v="0"/>
    <n v="0"/>
    <n v="0"/>
    <n v="517701.99467182439"/>
    <n v="8835.7193834580485"/>
    <n v="0"/>
    <n v="0"/>
    <n v="0"/>
    <n v="0"/>
    <n v="28900.025490422657"/>
    <m/>
    <n v="2433.8485994996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29.275181544239"/>
    <n v="0"/>
    <n v="0"/>
    <n v="0"/>
    <n v="0"/>
    <n v="0"/>
    <m/>
    <m/>
    <m/>
    <m/>
    <m/>
    <m/>
    <m/>
    <m/>
    <m/>
    <n v="540431.26985336863"/>
    <m/>
    <m/>
    <m/>
    <m/>
    <m/>
    <m/>
    <m/>
    <m/>
    <m/>
    <m/>
    <m/>
    <m/>
    <n v="846939.43739999994"/>
    <n v="62030.708459999878"/>
    <m/>
    <m/>
    <m/>
    <m/>
    <n v="-3586.278420000021"/>
    <n v="65616.73821000001"/>
    <n v="31"/>
    <n v="62021.654559211573"/>
    <n v="0"/>
    <n v="0"/>
    <n v="0"/>
    <n v="0"/>
    <n v="0"/>
    <n v="0"/>
    <n v="0"/>
    <n v="0"/>
    <n v="0"/>
    <n v="0"/>
    <n v="65609.329700806527"/>
    <n v="0"/>
    <n v="0"/>
    <n v="0"/>
    <n v="2880.5230124554546"/>
    <n v="0"/>
    <n v="-5525.8937337642419"/>
    <m/>
    <n v="0"/>
    <n v="0"/>
    <n v="0"/>
    <n v="0"/>
    <n v="-873.44736331215609"/>
    <n v="-68.857056973974068"/>
    <n v="0"/>
    <n v="0"/>
    <m/>
    <m/>
    <m/>
    <n v="0"/>
    <n v="0"/>
    <n v="0"/>
    <n v="-3586.278420000046"/>
    <n v="65616.738209999981"/>
    <n v="0"/>
    <n v="0"/>
    <n v="0"/>
    <n v="0"/>
    <n v="0"/>
    <n v="0"/>
    <n v="0"/>
    <n v="0"/>
    <n v="0"/>
    <n v="0"/>
    <n v="0"/>
    <n v="0"/>
    <n v="0"/>
    <n v="0"/>
    <n v="0"/>
    <n v="41559.07581736566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30"/>
    <s v="Regular"/>
    <s v="Verde"/>
    <s v="A4"/>
    <s v="Industrial"/>
    <s v="Não se aplica"/>
    <s v="Não se aplica"/>
    <s v="Não se aplica"/>
    <s v="Não se aplica"/>
    <s v="CATIVO"/>
    <x v="6"/>
    <n v="17784"/>
    <n v="17784"/>
    <n v="0"/>
    <n v="0"/>
    <n v="0"/>
    <n v="0"/>
    <n v="27.19"/>
    <m/>
    <m/>
    <n v="483546.96"/>
    <m/>
    <n v="483546.96"/>
    <n v="386979.84000000003"/>
    <n v="0"/>
    <n v="0"/>
    <n v="0"/>
    <n v="0"/>
    <n v="4147.2397091957982"/>
    <n v="3984.2355833636207"/>
    <n v="425607.22584434855"/>
    <m/>
    <m/>
    <m/>
    <n v="0"/>
    <n v="0"/>
    <n v="0"/>
    <n v="0"/>
    <m/>
    <n v="0"/>
    <n v="8801.031836112812"/>
    <n v="41047.05198411634"/>
    <n v="0"/>
    <n v="0"/>
    <m/>
    <m/>
    <n v="0"/>
    <n v="0"/>
    <n v="0"/>
    <m/>
    <m/>
    <n v="0"/>
    <m/>
    <n v="0"/>
    <n v="0"/>
    <n v="0"/>
    <n v="0"/>
    <m/>
    <n v="0"/>
    <n v="0"/>
    <n v="1375.79"/>
    <n v="11796.46"/>
    <n v="401908.8"/>
    <n v="102"/>
    <m/>
    <m/>
    <m/>
    <m/>
    <m/>
    <m/>
    <m/>
    <m/>
    <m/>
    <n v="0"/>
    <m/>
    <m/>
    <m/>
    <m/>
    <m/>
    <m/>
    <m/>
    <m/>
    <m/>
    <m/>
    <m/>
    <m/>
    <n v="386979.84000000003"/>
    <n v="-96567.150000000023"/>
    <m/>
    <m/>
    <m/>
    <m/>
    <n v="-96567.12"/>
    <n v="0"/>
    <n v="31"/>
    <n v="9069.6975312841387"/>
    <n v="877.00401076804519"/>
    <n v="4090.2509944986523"/>
    <n v="0"/>
    <n v="0"/>
    <m/>
    <m/>
    <m/>
    <n v="4102.44252601744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5607.22584434855"/>
    <m/>
    <n v="0"/>
    <n v="0"/>
    <n v="-96567.12"/>
    <m/>
    <n v="0"/>
    <m/>
    <n v="-105728.0542904474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31"/>
    <s v="Refaturamento - Regular"/>
    <s v="Verde"/>
    <s v="A4"/>
    <s v="Industrial"/>
    <s v="Não se aplica"/>
    <s v="Não se aplica"/>
    <s v="Não se aplica"/>
    <s v="Não se aplica"/>
    <s v="CATIVO"/>
    <x v="6"/>
    <n v="-3"/>
    <n v="-3"/>
    <n v="0"/>
    <n v="0"/>
    <n v="0"/>
    <n v="0"/>
    <n v="27.19"/>
    <m/>
    <m/>
    <n v="-81.570000000000007"/>
    <m/>
    <n v="-81.570000000000007"/>
    <n v="-65.28"/>
    <n v="0"/>
    <n v="0"/>
    <n v="0"/>
    <n v="0"/>
    <n v="-0.69960184028269201"/>
    <n v="-0.67210451811127203"/>
    <n v="-71.796090729478493"/>
    <m/>
    <m/>
    <m/>
    <n v="0"/>
    <n v="0"/>
    <n v="0"/>
    <n v="0"/>
    <m/>
    <n v="0"/>
    <n v="-1.4846544932713921"/>
    <n v="-6.9242665290344707"/>
    <n v="0"/>
    <n v="0"/>
    <m/>
    <m/>
    <n v="0"/>
    <n v="0"/>
    <n v="0"/>
    <m/>
    <m/>
    <n v="0"/>
    <m/>
    <n v="0"/>
    <n v="0"/>
    <n v="0"/>
    <n v="0"/>
    <m/>
    <n v="0"/>
    <n v="0"/>
    <n v="-0.62"/>
    <n v="-5.4"/>
    <n v="-301.19"/>
    <n v="0"/>
    <m/>
    <m/>
    <m/>
    <m/>
    <m/>
    <m/>
    <m/>
    <m/>
    <m/>
    <n v="0"/>
    <m/>
    <m/>
    <m/>
    <m/>
    <m/>
    <m/>
    <m/>
    <m/>
    <m/>
    <m/>
    <m/>
    <m/>
    <n v="-65.28"/>
    <n v="16.259999999999991"/>
    <m/>
    <m/>
    <m/>
    <m/>
    <n v="16.29"/>
    <n v="0"/>
    <n v="31"/>
    <n v="-1.5299759668158135"/>
    <n v="-0.14794264689069569"/>
    <n v="-0.68998835939585845"/>
    <n v="0"/>
    <n v="0"/>
    <m/>
    <m/>
    <m/>
    <n v="-0.692044960529259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-71.796090729478493"/>
    <m/>
    <n v="0"/>
    <n v="0"/>
    <n v="16.290000000000006"/>
    <m/>
    <n v="0"/>
    <m/>
    <n v="17.835366783138895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32"/>
    <s v="Sistema de Compensação"/>
    <s v="Verde"/>
    <s v="A4"/>
    <s v="Industrial"/>
    <s v="Não se aplica"/>
    <s v="Não se aplica"/>
    <s v="Não se aplica"/>
    <s v="Não se aplica"/>
    <s v="CATIVO"/>
    <x v="6"/>
    <n v="557"/>
    <n v="557"/>
    <n v="0"/>
    <n v="0"/>
    <n v="0"/>
    <n v="0"/>
    <n v="27.19"/>
    <m/>
    <m/>
    <n v="15144.83"/>
    <m/>
    <n v="15144.83"/>
    <n v="12120.320000000002"/>
    <n v="0"/>
    <n v="0"/>
    <n v="0"/>
    <n v="0"/>
    <n v="129.89274167915315"/>
    <n v="124.78740552932618"/>
    <n v="13330.140845439841"/>
    <m/>
    <m/>
    <m/>
    <n v="0"/>
    <n v="0"/>
    <n v="0"/>
    <n v="0"/>
    <m/>
    <n v="0"/>
    <n v="275.65085091738842"/>
    <n v="1285.6054855574"/>
    <n v="0"/>
    <n v="0"/>
    <m/>
    <m/>
    <n v="0"/>
    <n v="0"/>
    <n v="0"/>
    <m/>
    <m/>
    <n v="0"/>
    <m/>
    <n v="0"/>
    <n v="0"/>
    <n v="0"/>
    <n v="0"/>
    <m/>
    <n v="0"/>
    <n v="0"/>
    <n v="9.39"/>
    <n v="80.67"/>
    <n v="3140.58"/>
    <n v="5"/>
    <m/>
    <m/>
    <m/>
    <m/>
    <m/>
    <m/>
    <m/>
    <m/>
    <m/>
    <n v="0"/>
    <m/>
    <m/>
    <m/>
    <m/>
    <m/>
    <m/>
    <m/>
    <m/>
    <m/>
    <m/>
    <m/>
    <m/>
    <n v="12120.320000000002"/>
    <n v="-3024.5399999999991"/>
    <m/>
    <m/>
    <m/>
    <m/>
    <n v="-3024.5099999999998"/>
    <n v="0"/>
    <n v="31"/>
    <n v="284.06553783880281"/>
    <n v="27.46801810603921"/>
    <n v="128.10783872783122"/>
    <n v="0"/>
    <n v="0"/>
    <m/>
    <m/>
    <m/>
    <n v="128.489681004932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330.140845439841"/>
    <m/>
    <n v="0"/>
    <n v="0"/>
    <n v="-3024.5099999999984"/>
    <m/>
    <n v="0"/>
    <m/>
    <n v="-3311.433099402789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33"/>
    <s v="Regular"/>
    <s v="Branca"/>
    <s v="B3"/>
    <s v="Industrial"/>
    <s v="Não se aplica"/>
    <s v="Não se aplica"/>
    <s v="Não se aplica"/>
    <s v="Ponta"/>
    <s v="CATIVO"/>
    <x v="6"/>
    <n v="0"/>
    <n v="0"/>
    <n v="1.0999999999999999E-2"/>
    <n v="1.0999999999999999E-2"/>
    <n v="1.0999999999999999E-2"/>
    <n v="1.0999999999999999E-2"/>
    <m/>
    <n v="1553.42"/>
    <n v="173.25"/>
    <m/>
    <n v="18.993370000000002"/>
    <n v="18.993370000000002"/>
    <n v="18.02064"/>
    <n v="0"/>
    <n v="0.67699701519307431"/>
    <n v="0"/>
    <n v="0"/>
    <n v="1.192941706556677"/>
    <n v="8.2495821145544948E-2"/>
    <n v="7.9022669378674886"/>
    <n v="1.873745176438443"/>
    <n v="3.1979568835953751E-2"/>
    <n v="0"/>
    <n v="0"/>
    <n v="0"/>
    <n v="0"/>
    <n v="0.1045993330505795"/>
    <m/>
    <n v="1.3286423857989919E-2"/>
    <n v="3.4710936119227167"/>
    <n v="3.3726670392996456"/>
    <n v="0"/>
    <n v="0"/>
    <n v="0"/>
    <n v="0"/>
    <n v="0"/>
    <n v="0"/>
    <n v="0"/>
    <n v="0"/>
    <n v="0"/>
    <n v="0"/>
    <m/>
    <n v="0"/>
    <n v="0"/>
    <n v="0"/>
    <n v="0"/>
    <n v="0"/>
    <n v="9.8337710075395782E-2"/>
    <n v="0"/>
    <n v="0"/>
    <n v="0"/>
    <n v="0"/>
    <n v="0"/>
    <m/>
    <m/>
    <m/>
    <m/>
    <m/>
    <m/>
    <m/>
    <m/>
    <m/>
    <n v="1.9720828865138387"/>
    <m/>
    <m/>
    <m/>
    <m/>
    <m/>
    <m/>
    <m/>
    <m/>
    <m/>
    <m/>
    <m/>
    <m/>
    <n v="16.382400000000001"/>
    <n v="-2.6409700000000065"/>
    <m/>
    <m/>
    <m/>
    <m/>
    <n v="-1.2102199999999996"/>
    <n v="0.23749000000000003"/>
    <n v="31"/>
    <n v="0.99030930742299716"/>
    <n v="0.34588705916465834"/>
    <n v="0.33607906158392531"/>
    <n v="0"/>
    <n v="0"/>
    <n v="0"/>
    <n v="0"/>
    <n v="0"/>
    <n v="8.4943361858259833E-2"/>
    <n v="0"/>
    <n v="0"/>
    <n v="0.23746318600563887"/>
    <n v="0"/>
    <n v="0"/>
    <n v="0"/>
    <n v="1.2462519574507419E-2"/>
    <n v="0"/>
    <n v="-2.2988676341243797E-2"/>
    <m/>
    <n v="0"/>
    <n v="0"/>
    <n v="0"/>
    <n v="0"/>
    <n v="-3.1613124939116471E-3"/>
    <n v="-3.7589192883978953E-4"/>
    <n v="0"/>
    <n v="0"/>
    <m/>
    <m/>
    <m/>
    <n v="7.9022669378674886"/>
    <n v="0"/>
    <n v="0"/>
    <n v="-1.2102200000000014"/>
    <n v="0.2374900000000002"/>
    <n v="0"/>
    <n v="0"/>
    <n v="-1.9630571500917631"/>
    <n v="0"/>
    <n v="0"/>
    <n v="0"/>
    <n v="0"/>
    <n v="0"/>
    <n v="0"/>
    <n v="0"/>
    <n v="0"/>
    <n v="0"/>
    <n v="0"/>
    <n v="0"/>
    <n v="0"/>
    <n v="0.172892963389615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34"/>
    <s v="Regular"/>
    <s v="Branca"/>
    <s v="B3"/>
    <s v="Industrial"/>
    <s v="Não se aplica"/>
    <s v="Não se aplica"/>
    <s v="Não se aplica"/>
    <s v="Fora ponta"/>
    <s v="CATIVO"/>
    <x v="6"/>
    <n v="0"/>
    <n v="0"/>
    <n v="1.1040000000000001"/>
    <n v="1.1040000000000001"/>
    <n v="1.1040000000000001"/>
    <n v="1.1040000000000001"/>
    <m/>
    <n v="388.22"/>
    <n v="173.25"/>
    <m/>
    <n v="619.86288000000013"/>
    <n v="619.86288000000013"/>
    <n v="618.27312000000006"/>
    <n v="0"/>
    <n v="67.945882252104923"/>
    <n v="0"/>
    <n v="0"/>
    <n v="23.94559352797403"/>
    <n v="1.6559176683691188"/>
    <n v="158.62016797133896"/>
    <n v="188.05587952618558"/>
    <n v="3.2095858177175405"/>
    <n v="0"/>
    <n v="0"/>
    <n v="0"/>
    <n v="0"/>
    <n v="10.497969426167254"/>
    <m/>
    <n v="1.3334738126564429"/>
    <n v="69.674315410230548"/>
    <n v="67.698625661578362"/>
    <n v="0"/>
    <n v="0"/>
    <n v="0"/>
    <n v="0"/>
    <n v="0"/>
    <n v="0"/>
    <n v="0"/>
    <n v="0"/>
    <n v="0"/>
    <n v="0"/>
    <m/>
    <n v="0"/>
    <n v="0"/>
    <n v="0"/>
    <n v="0"/>
    <n v="0"/>
    <n v="9.8695301748397224"/>
    <n v="0"/>
    <n v="0"/>
    <n v="0"/>
    <n v="0"/>
    <n v="0"/>
    <m/>
    <m/>
    <m/>
    <m/>
    <m/>
    <m/>
    <m/>
    <m/>
    <m/>
    <n v="197.9254097010253"/>
    <m/>
    <m/>
    <m/>
    <m/>
    <m/>
    <m/>
    <m/>
    <m/>
    <m/>
    <m/>
    <m/>
    <m/>
    <n v="616.03300000000002"/>
    <n v="-3.8598800000000892"/>
    <m/>
    <m/>
    <m/>
    <m/>
    <n v="-25.425120000000035"/>
    <n v="23.835360000000005"/>
    <n v="31"/>
    <n v="37.815185264126285"/>
    <n v="6.9428966057777473"/>
    <n v="6.7460233452481191"/>
    <n v="0"/>
    <n v="0"/>
    <n v="0"/>
    <n v="0"/>
    <n v="0"/>
    <n v="1.7050465315522185"/>
    <n v="0"/>
    <n v="0"/>
    <n v="23.832668850020468"/>
    <n v="0"/>
    <n v="0"/>
    <n v="0"/>
    <n v="1.2507837827505632"/>
    <n v="0"/>
    <n v="-2.3072271527939279"/>
    <m/>
    <n v="0"/>
    <n v="0"/>
    <n v="0"/>
    <n v="0"/>
    <n v="-0.31728081757077042"/>
    <n v="-3.7725880858102467E-2"/>
    <n v="0"/>
    <n v="0"/>
    <m/>
    <m/>
    <m/>
    <n v="158.62016797133896"/>
    <n v="0"/>
    <n v="0"/>
    <n v="-25.425119999999993"/>
    <n v="23.83535999999998"/>
    <n v="0"/>
    <n v="0"/>
    <n v="-39.403940329168478"/>
    <n v="0"/>
    <n v="0"/>
    <n v="0"/>
    <n v="0"/>
    <n v="0"/>
    <n v="0"/>
    <n v="0"/>
    <n v="0"/>
    <n v="0"/>
    <n v="0"/>
    <n v="0"/>
    <n v="0"/>
    <n v="17.35216650746688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35"/>
    <s v="Regular"/>
    <s v="Branca"/>
    <s v="B3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"/>
    <n v="5.23"/>
    <n v="178.4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36"/>
    <s v="Regular"/>
    <s v="Branca"/>
    <s v="B3"/>
    <s v="Industrial"/>
    <s v="Não se aplica"/>
    <s v="Não se aplica"/>
    <s v="Não se aplica"/>
    <s v="Intermediário"/>
    <s v="CATIVO"/>
    <x v="6"/>
    <n v="0"/>
    <n v="0"/>
    <n v="5.7000000000000002E-2"/>
    <n v="5.7000000000000002E-2"/>
    <n v="5.7000000000000002E-2"/>
    <n v="5.7000000000000002E-2"/>
    <m/>
    <n v="970.82"/>
    <n v="173.25"/>
    <m/>
    <n v="65.211990000000014"/>
    <n v="65.211990000000014"/>
    <n v="62.650410000000001"/>
    <n v="0"/>
    <n v="3.5080754423641127"/>
    <n v="0"/>
    <n v="0"/>
    <n v="3.7089642149307651"/>
    <n v="0.25648724754630314"/>
    <n v="24.568872436139596"/>
    <n v="9.7094068233628406"/>
    <n v="0.16571231124085126"/>
    <n v="0"/>
    <n v="0"/>
    <n v="0"/>
    <n v="0"/>
    <n v="0.54201472580754839"/>
    <m/>
    <n v="6.8847832718675034E-2"/>
    <n v="10.791945593432438"/>
    <n v="10.485928431277104"/>
    <n v="0"/>
    <n v="0"/>
    <n v="0"/>
    <n v="0"/>
    <n v="0"/>
    <n v="0"/>
    <n v="0"/>
    <n v="0"/>
    <n v="0"/>
    <n v="0"/>
    <m/>
    <n v="0"/>
    <n v="0"/>
    <n v="0"/>
    <n v="0"/>
    <n v="0"/>
    <n v="0.50956813402705092"/>
    <n v="0"/>
    <n v="0"/>
    <n v="0"/>
    <n v="0"/>
    <n v="0"/>
    <m/>
    <m/>
    <m/>
    <m/>
    <m/>
    <m/>
    <m/>
    <m/>
    <m/>
    <n v="10.218974957389891"/>
    <m/>
    <m/>
    <m/>
    <m/>
    <m/>
    <m/>
    <m/>
    <m/>
    <m/>
    <m/>
    <m/>
    <m/>
    <n v="65.947800000000001"/>
    <n v="0.7058099999999996"/>
    <m/>
    <m/>
    <m/>
    <m/>
    <n v="-3.7922100000000052"/>
    <n v="1.2306300000000003"/>
    <n v="31"/>
    <n v="3.5420088216205556"/>
    <n v="1.0753943112210376"/>
    <n v="1.0449003551063267"/>
    <n v="0"/>
    <n v="0"/>
    <n v="0"/>
    <n v="0"/>
    <n v="0"/>
    <n v="0.26409688124586106"/>
    <n v="0"/>
    <n v="0"/>
    <n v="1.2304910547564933"/>
    <n v="0"/>
    <n v="0"/>
    <n v="0"/>
    <n v="6.4578510522447563E-2"/>
    <n v="0"/>
    <n v="-0.11912314104099053"/>
    <m/>
    <n v="0"/>
    <n v="0"/>
    <n v="0"/>
    <n v="0"/>
    <n v="-1.638134655936041E-2"/>
    <n v="-1.9478036312607222E-3"/>
    <n v="0"/>
    <n v="0"/>
    <m/>
    <m/>
    <m/>
    <n v="24.568872436139596"/>
    <n v="0"/>
    <n v="0"/>
    <n v="-3.7922100000000043"/>
    <n v="1.2306299999999997"/>
    <n v="0"/>
    <n v="0"/>
    <n v="-6.1033246642603984"/>
    <n v="0"/>
    <n v="0"/>
    <n v="0"/>
    <n v="0"/>
    <n v="0"/>
    <n v="0"/>
    <n v="0"/>
    <n v="0"/>
    <n v="0"/>
    <n v="0"/>
    <n v="0"/>
    <n v="0"/>
    <n v="0.895899901200735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37"/>
    <s v="Regular"/>
    <s v="Convencional"/>
    <s v="B3"/>
    <s v="Comercial"/>
    <s v="Não se aplica"/>
    <s v="Não se aplica"/>
    <s v="Não se aplica"/>
    <s v="Não se aplica"/>
    <s v="CATIVO"/>
    <x v="6"/>
    <n v="0"/>
    <n v="0"/>
    <n v="3491.576"/>
    <n v="3491.576"/>
    <n v="3491.576"/>
    <n v="3491.576"/>
    <m/>
    <n v="368.24"/>
    <n v="173.25"/>
    <m/>
    <n v="1890653.4882399999"/>
    <n v="1890653.4882399999"/>
    <n v="1776828.1106400001"/>
    <n v="0"/>
    <n v="214889.6845745249"/>
    <n v="0"/>
    <n v="0"/>
    <n v="8936.819234321114"/>
    <n v="8586.2793093340988"/>
    <n v="822395.70569880679"/>
    <n v="594756.69892438478"/>
    <n v="10150.826821633096"/>
    <n v="0"/>
    <n v="0"/>
    <n v="0"/>
    <n v="0"/>
    <n v="33201.501899582749"/>
    <m/>
    <n v="4217.3235153077285"/>
    <n v="18971.113493015564"/>
    <n v="88459.503467157061"/>
    <n v="0"/>
    <n v="0"/>
    <n v="0"/>
    <n v="0"/>
    <n v="0"/>
    <n v="0"/>
    <n v="0"/>
    <n v="0"/>
    <n v="0"/>
    <n v="0"/>
    <m/>
    <n v="0"/>
    <n v="0"/>
    <n v="0"/>
    <n v="0"/>
    <n v="0"/>
    <n v="31213.962581291828"/>
    <n v="0"/>
    <n v="1579.86"/>
    <n v="13726.65"/>
    <n v="762611.77"/>
    <n v="4329"/>
    <m/>
    <m/>
    <m/>
    <m/>
    <m/>
    <m/>
    <m/>
    <m/>
    <m/>
    <n v="625970.66150567657"/>
    <m/>
    <m/>
    <m/>
    <m/>
    <m/>
    <m/>
    <m/>
    <m/>
    <m/>
    <m/>
    <m/>
    <m/>
    <n v="1776830.1462000001"/>
    <n v="-113823.37203999981"/>
    <m/>
    <m/>
    <m/>
    <m/>
    <n v="-189208.50344"/>
    <n v="75383.125840000008"/>
    <n v="31"/>
    <n v="90456.932883340167"/>
    <n v="1890.4309099123711"/>
    <n v="8814.8004433890019"/>
    <n v="0"/>
    <n v="0"/>
    <n v="0"/>
    <n v="0"/>
    <n v="0"/>
    <n v="8841.0227361952348"/>
    <n v="0"/>
    <n v="0"/>
    <n v="75374.614649165887"/>
    <n v="0"/>
    <n v="0"/>
    <n v="0"/>
    <n v="3955.8031132618526"/>
    <n v="0"/>
    <n v="-7296.9736895322567"/>
    <m/>
    <n v="0"/>
    <n v="0"/>
    <n v="0"/>
    <n v="0"/>
    <n v="-1003.4511665674654"/>
    <n v="-119.31411248461063"/>
    <n v="0"/>
    <n v="0"/>
    <m/>
    <m/>
    <m/>
    <n v="822395.70569880679"/>
    <n v="0"/>
    <n v="0"/>
    <n v="-189208.50343999988"/>
    <n v="75383.125839999993"/>
    <n v="0"/>
    <n v="0"/>
    <n v="-204297.04323712445"/>
    <n v="0"/>
    <n v="0"/>
    <n v="0"/>
    <n v="0"/>
    <n v="0"/>
    <n v="0"/>
    <n v="0"/>
    <n v="0"/>
    <n v="0"/>
    <n v="0"/>
    <n v="0"/>
    <n v="0"/>
    <n v="54878.99286727825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38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51.77199999999999"/>
    <n v="151.77199999999999"/>
    <n v="151.77199999999999"/>
    <n v="151.77199999999999"/>
    <m/>
    <n v="368.24"/>
    <n v="173.25"/>
    <m/>
    <n v="82183.020279999997"/>
    <n v="82183.020279999997"/>
    <n v="77235.253079999995"/>
    <n v="0"/>
    <n v="9340.8355445348443"/>
    <n v="0"/>
    <n v="0"/>
    <n v="388.4661049426918"/>
    <n v="373.22881797109807"/>
    <n v="35747.937620524172"/>
    <n v="25852.913901674125"/>
    <n v="441.23664739730663"/>
    <n v="0"/>
    <n v="0"/>
    <n v="0"/>
    <n v="0"/>
    <n v="1443.2045432502321"/>
    <m/>
    <n v="183.31882925225872"/>
    <n v="824.63730907245269"/>
    <n v="3845.1621159663605"/>
    <n v="0"/>
    <n v="0"/>
    <n v="0"/>
    <n v="0"/>
    <n v="0"/>
    <n v="0"/>
    <n v="0"/>
    <n v="0"/>
    <n v="0"/>
    <n v="0"/>
    <m/>
    <n v="0"/>
    <n v="0"/>
    <n v="0"/>
    <n v="0"/>
    <n v="0"/>
    <n v="1356.8100848693607"/>
    <n v="0"/>
    <n v="68.34"/>
    <n v="597.95000000000005"/>
    <n v="79749.210000000006"/>
    <n v="271"/>
    <m/>
    <m/>
    <m/>
    <m/>
    <m/>
    <m/>
    <m/>
    <m/>
    <m/>
    <n v="27209.723986543486"/>
    <m/>
    <m/>
    <m/>
    <m/>
    <m/>
    <m/>
    <m/>
    <m/>
    <m/>
    <m/>
    <m/>
    <m/>
    <n v="77234.2353"/>
    <n v="-4948.8149799999956"/>
    <m/>
    <m/>
    <m/>
    <m/>
    <n v="-8224.5246799999986"/>
    <n v="3276.7574800000002"/>
    <n v="31"/>
    <n v="3931.9864776164904"/>
    <n v="82.173345234135127"/>
    <n v="383.16218604264532"/>
    <n v="0"/>
    <n v="0"/>
    <n v="0"/>
    <n v="0"/>
    <n v="0"/>
    <n v="384.30201797635874"/>
    <n v="0"/>
    <n v="0"/>
    <n v="3276.3875151316206"/>
    <n v="0"/>
    <n v="0"/>
    <n v="0"/>
    <n v="171.95104735110363"/>
    <n v="0"/>
    <n v="-317.18521687847897"/>
    <m/>
    <n v="0"/>
    <n v="0"/>
    <n v="0"/>
    <n v="0"/>
    <n v="-43.618065438723534"/>
    <n v="-5.1863518021702362"/>
    <n v="0"/>
    <n v="0"/>
    <m/>
    <m/>
    <m/>
    <n v="35747.937620524172"/>
    <n v="0"/>
    <n v="0"/>
    <n v="-8224.5246800000023"/>
    <n v="3276.7574800000002"/>
    <n v="0"/>
    <n v="0"/>
    <n v="-8880.3940816940121"/>
    <n v="0"/>
    <n v="0"/>
    <n v="0"/>
    <n v="0"/>
    <n v="0"/>
    <n v="0"/>
    <n v="0"/>
    <n v="0"/>
    <n v="0"/>
    <n v="0"/>
    <n v="0"/>
    <n v="0"/>
    <n v="2385.482803597159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39"/>
    <s v="Regular"/>
    <s v="Verde"/>
    <s v="A4"/>
    <s v="Comercial"/>
    <s v="Não se aplica"/>
    <s v="Não se aplica"/>
    <s v="Não se aplica"/>
    <s v="Ponta"/>
    <s v="CATIVO"/>
    <x v="6"/>
    <n v="0"/>
    <n v="0"/>
    <n v="105.956"/>
    <n v="105.956"/>
    <n v="105.956"/>
    <n v="105.956"/>
    <m/>
    <n v="1358.36"/>
    <n v="173.25"/>
    <m/>
    <n v="162283.26916"/>
    <n v="162283.26916"/>
    <n v="142290.43151999998"/>
    <n v="0"/>
    <n v="5673.3408450330617"/>
    <n v="0"/>
    <n v="0"/>
    <n v="2007.0279116801901"/>
    <n v="1928.3097195820974"/>
    <n v="106857.44364129895"/>
    <n v="18048.594901337423"/>
    <n v="308.03883596202871"/>
    <n v="0"/>
    <n v="0"/>
    <n v="0"/>
    <n v="0"/>
    <n v="1007.5388120642912"/>
    <m/>
    <n v="84.851029889121989"/>
    <n v="4260.5778763228309"/>
    <n v="19866.336896472218"/>
    <n v="0"/>
    <n v="0"/>
    <n v="0"/>
    <n v="0"/>
    <n v="0"/>
    <n v="0"/>
    <n v="0"/>
    <n v="0"/>
    <n v="0"/>
    <n v="0"/>
    <m/>
    <n v="0"/>
    <n v="0"/>
    <n v="0"/>
    <n v="0"/>
    <n v="0"/>
    <n v="792.40853690889048"/>
    <n v="0"/>
    <n v="0"/>
    <n v="0"/>
    <n v="0"/>
    <n v="0"/>
    <m/>
    <m/>
    <m/>
    <m/>
    <m/>
    <m/>
    <m/>
    <m/>
    <m/>
    <n v="18841.003438246313"/>
    <m/>
    <m/>
    <m/>
    <m/>
    <m/>
    <m/>
    <m/>
    <m/>
    <m/>
    <m/>
    <m/>
    <m/>
    <n v="142295.80319999999"/>
    <n v="-19987.495960000029"/>
    <m/>
    <m/>
    <m/>
    <m/>
    <n v="-22280.427679999997"/>
    <n v="2287.5900400000005"/>
    <n v="31"/>
    <n v="6551.9705620221066"/>
    <n v="424.55747863480337"/>
    <n v="1979.6380085782039"/>
    <n v="0"/>
    <n v="0"/>
    <n v="0"/>
    <n v="0"/>
    <n v="0"/>
    <n v="1985.5200907241083"/>
    <n v="0"/>
    <n v="0"/>
    <n v="2287.3317578557726"/>
    <n v="0"/>
    <n v="0"/>
    <n v="0"/>
    <n v="100.42339703316236"/>
    <n v="0"/>
    <n v="-192.64870233264628"/>
    <m/>
    <n v="0"/>
    <n v="0"/>
    <n v="0"/>
    <n v="0"/>
    <n v="-30.450911509536695"/>
    <n v="-2.4005569617505103"/>
    <n v="0"/>
    <n v="0"/>
    <m/>
    <m/>
    <m/>
    <n v="106857.44364129895"/>
    <n v="0"/>
    <n v="0"/>
    <n v="-22280.427679999993"/>
    <n v="2287.5900399999991"/>
    <n v="0"/>
    <n v="0"/>
    <n v="-26545.201576952561"/>
    <n v="0"/>
    <n v="0"/>
    <n v="0"/>
    <n v="0"/>
    <n v="0"/>
    <n v="0"/>
    <n v="0"/>
    <n v="0"/>
    <n v="0"/>
    <n v="0"/>
    <n v="0"/>
    <n v="0"/>
    <n v="1448.87006737744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40"/>
    <s v="Sistema de Compensação"/>
    <s v="Verde"/>
    <s v="A4"/>
    <s v="Comercial"/>
    <s v="Não se aplica"/>
    <s v="Não se aplica"/>
    <s v="Não se aplica"/>
    <s v="Ponta"/>
    <s v="CATIVO"/>
    <x v="6"/>
    <n v="0"/>
    <n v="0"/>
    <n v="8.51"/>
    <n v="8.51"/>
    <n v="8.51"/>
    <n v="8.51"/>
    <m/>
    <n v="1358.36"/>
    <n v="173.25"/>
    <m/>
    <n v="13034.001099999999"/>
    <n v="13034.001099999999"/>
    <n v="11428.2492"/>
    <n v="0"/>
    <n v="455.66207285317824"/>
    <n v="0"/>
    <n v="0"/>
    <n v="161.19717173542242"/>
    <n v="154.87481325874558"/>
    <n v="8582.4006699710626"/>
    <n v="1449.5974046810136"/>
    <n v="24.740557344906041"/>
    <n v="0"/>
    <n v="0"/>
    <n v="0"/>
    <n v="0"/>
    <n v="80.921847660039234"/>
    <m/>
    <n v="6.8149256706220322"/>
    <n v="342.19409686574892"/>
    <n v="1595.5918210292816"/>
    <n v="0"/>
    <n v="0"/>
    <n v="0"/>
    <n v="0"/>
    <n v="0"/>
    <n v="0"/>
    <n v="0"/>
    <n v="0"/>
    <n v="0"/>
    <n v="0"/>
    <m/>
    <n v="0"/>
    <n v="0"/>
    <n v="0"/>
    <n v="0"/>
    <n v="0"/>
    <n v="63.64336752137357"/>
    <n v="0"/>
    <n v="0"/>
    <n v="0"/>
    <n v="0"/>
    <n v="0"/>
    <m/>
    <m/>
    <m/>
    <m/>
    <m/>
    <m/>
    <m/>
    <m/>
    <m/>
    <n v="1513.2407722023872"/>
    <m/>
    <m/>
    <m/>
    <m/>
    <m/>
    <m/>
    <m/>
    <m/>
    <m/>
    <m/>
    <m/>
    <m/>
    <n v="11428.2492"/>
    <n v="-1605.7819"/>
    <m/>
    <m/>
    <m/>
    <m/>
    <n v="-1789.4827999999998"/>
    <n v="183.73090000000002"/>
    <n v="31"/>
    <n v="526.23041151806683"/>
    <n v="34.098910332422577"/>
    <n v="158.99731447960016"/>
    <n v="0"/>
    <n v="0"/>
    <n v="0"/>
    <n v="0"/>
    <n v="0"/>
    <n v="159.46974189344786"/>
    <n v="0"/>
    <n v="0"/>
    <n v="183.71015571890803"/>
    <n v="0"/>
    <n v="0"/>
    <n v="0"/>
    <n v="8.0656414809185932"/>
    <n v="0"/>
    <n v="-15.472842093423935"/>
    <m/>
    <n v="0"/>
    <n v="0"/>
    <n v="0"/>
    <n v="0"/>
    <n v="-2.4457063021080074"/>
    <n v="-0.19280399169935514"/>
    <n v="0"/>
    <n v="0"/>
    <m/>
    <m/>
    <m/>
    <n v="8582.4006699710626"/>
    <n v="0"/>
    <n v="0"/>
    <n v="-1789.4827999999998"/>
    <n v="183.73090000000002"/>
    <n v="0"/>
    <n v="0"/>
    <n v="-2132.0139059597022"/>
    <n v="0"/>
    <n v="0"/>
    <n v="0"/>
    <n v="0"/>
    <n v="0"/>
    <n v="0"/>
    <n v="0"/>
    <n v="0"/>
    <n v="0"/>
    <n v="0"/>
    <n v="0"/>
    <n v="0"/>
    <n v="116.3679666407000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41"/>
    <s v="Regular"/>
    <s v="Verde"/>
    <s v="A4"/>
    <s v="Comercial"/>
    <s v="Não se aplica"/>
    <s v="Não se aplica"/>
    <s v="Não se aplica"/>
    <s v="Fora ponta"/>
    <s v="CATIVO"/>
    <x v="6"/>
    <n v="0"/>
    <n v="0"/>
    <n v="1193.3150000000001"/>
    <n v="1193.3150000000001"/>
    <n v="1193.3150000000001"/>
    <n v="1193.3150000000001"/>
    <m/>
    <n v="85.01"/>
    <n v="173.25"/>
    <m/>
    <n v="308185.5319"/>
    <n v="308185.5319"/>
    <n v="332541.09104999999"/>
    <n v="0"/>
    <n v="63895.227551914264"/>
    <n v="0"/>
    <n v="0"/>
    <n v="0"/>
    <n v="0"/>
    <n v="0"/>
    <n v="203269.83865651279"/>
    <n v="3469.2453804978322"/>
    <n v="0"/>
    <n v="0"/>
    <n v="0"/>
    <n v="0"/>
    <n v="11347.268465386573"/>
    <m/>
    <n v="955.62315236643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24.3930803487547"/>
    <n v="0"/>
    <n v="0"/>
    <n v="0"/>
    <n v="0"/>
    <n v="0"/>
    <m/>
    <m/>
    <m/>
    <m/>
    <m/>
    <m/>
    <m/>
    <m/>
    <m/>
    <n v="212194.23173686155"/>
    <m/>
    <m/>
    <m/>
    <m/>
    <m/>
    <m/>
    <m/>
    <m/>
    <m/>
    <m/>
    <m/>
    <m/>
    <n v="332542.48440000002"/>
    <n v="24356.922499999986"/>
    <m/>
    <m/>
    <m/>
    <m/>
    <n v="-1408.1117000000081"/>
    <n v="25763.670850000006"/>
    <n v="31"/>
    <n v="24352.101875621884"/>
    <n v="0"/>
    <n v="0"/>
    <n v="0"/>
    <n v="0"/>
    <n v="0"/>
    <n v="0"/>
    <n v="0"/>
    <n v="0"/>
    <n v="0"/>
    <n v="0"/>
    <n v="25760.761982574448"/>
    <n v="0"/>
    <n v="0"/>
    <n v="0"/>
    <n v="1131.0048136078003"/>
    <n v="0"/>
    <n v="-2169.6797370991917"/>
    <m/>
    <n v="0"/>
    <n v="0"/>
    <n v="0"/>
    <n v="0"/>
    <n v="-342.94923806110819"/>
    <n v="-27.035945400084074"/>
    <n v="0"/>
    <n v="0"/>
    <m/>
    <m/>
    <m/>
    <n v="0"/>
    <n v="0"/>
    <n v="0"/>
    <n v="-1408.1117000000086"/>
    <n v="25763.670849999995"/>
    <n v="0"/>
    <n v="0"/>
    <n v="0"/>
    <n v="0"/>
    <n v="0"/>
    <n v="0"/>
    <n v="0"/>
    <n v="0"/>
    <n v="0"/>
    <n v="0"/>
    <n v="0"/>
    <n v="0"/>
    <n v="0"/>
    <n v="0"/>
    <n v="0"/>
    <n v="16317.7015407575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42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35.86"/>
    <n v="35.86"/>
    <n v="35.86"/>
    <n v="35.86"/>
    <m/>
    <n v="85.01"/>
    <n v="173.25"/>
    <m/>
    <n v="9261.2036000000007"/>
    <n v="9261.2036000000007"/>
    <n v="9993.1062000000002"/>
    <n v="0"/>
    <n v="1920.0989344905959"/>
    <n v="0"/>
    <n v="0"/>
    <n v="0"/>
    <n v="0"/>
    <n v="0"/>
    <n v="6108.409275189324"/>
    <n v="104.25339440520924"/>
    <n v="0"/>
    <n v="0"/>
    <n v="0"/>
    <n v="0"/>
    <n v="340.99382574488919"/>
    <m/>
    <n v="28.717183848238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.18462506656357"/>
    <n v="0"/>
    <n v="0"/>
    <n v="0"/>
    <n v="0"/>
    <n v="0"/>
    <m/>
    <m/>
    <m/>
    <m/>
    <m/>
    <m/>
    <m/>
    <m/>
    <m/>
    <n v="6376.593900255888"/>
    <m/>
    <m/>
    <m/>
    <m/>
    <m/>
    <m/>
    <m/>
    <m/>
    <m/>
    <m/>
    <m/>
    <m/>
    <n v="9993.1062000000002"/>
    <n v="731.87259999999878"/>
    <m/>
    <m/>
    <m/>
    <m/>
    <n v="-42.314800000000247"/>
    <n v="774.21740000000011"/>
    <n v="31"/>
    <n v="731.79870634308827"/>
    <n v="0"/>
    <n v="0"/>
    <n v="0"/>
    <n v="0"/>
    <n v="0"/>
    <n v="0"/>
    <n v="0"/>
    <n v="0"/>
    <n v="0"/>
    <n v="0"/>
    <n v="774.12998637838336"/>
    <n v="0"/>
    <n v="0"/>
    <n v="0"/>
    <n v="33.987532726879124"/>
    <n v="0"/>
    <n v="-65.200483839034177"/>
    <m/>
    <n v="0"/>
    <n v="0"/>
    <n v="0"/>
    <n v="0"/>
    <n v="-10.305878730152017"/>
    <n v="-0.81245019298929222"/>
    <n v="0"/>
    <n v="0"/>
    <m/>
    <m/>
    <m/>
    <n v="0"/>
    <n v="0"/>
    <n v="0"/>
    <n v="-42.314800000000105"/>
    <n v="774.21740000000045"/>
    <n v="0"/>
    <n v="0"/>
    <n v="0"/>
    <n v="0"/>
    <n v="0"/>
    <n v="0"/>
    <n v="0"/>
    <n v="0"/>
    <n v="0"/>
    <n v="0"/>
    <n v="0"/>
    <n v="0"/>
    <n v="0"/>
    <n v="0"/>
    <n v="0"/>
    <n v="490.3590227656291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43"/>
    <s v="Regular"/>
    <s v="Verde"/>
    <s v="A4"/>
    <s v="Comercial"/>
    <s v="Não se aplica"/>
    <s v="Não se aplica"/>
    <s v="Não se aplica"/>
    <s v="Não se aplica"/>
    <s v="CATIVO"/>
    <x v="6"/>
    <n v="4599"/>
    <n v="4599"/>
    <n v="0"/>
    <n v="0"/>
    <n v="0"/>
    <n v="0"/>
    <n v="27.19"/>
    <m/>
    <m/>
    <n v="125046.81000000001"/>
    <m/>
    <n v="125046.81000000001"/>
    <n v="100074.24000000001"/>
    <n v="0"/>
    <n v="0"/>
    <n v="0"/>
    <n v="0"/>
    <n v="1072.4896211533669"/>
    <n v="1030.3362262645801"/>
    <n v="110063.40708829054"/>
    <m/>
    <m/>
    <m/>
    <n v="0"/>
    <n v="0"/>
    <n v="0"/>
    <n v="0"/>
    <m/>
    <n v="0"/>
    <n v="2275.9753381850437"/>
    <n v="10614.900589009843"/>
    <n v="0"/>
    <n v="0"/>
    <m/>
    <m/>
    <n v="0"/>
    <n v="0"/>
    <n v="0"/>
    <m/>
    <m/>
    <n v="0"/>
    <m/>
    <n v="0"/>
    <n v="0"/>
    <n v="0"/>
    <n v="0"/>
    <m/>
    <n v="0"/>
    <n v="0"/>
    <n v="541.22"/>
    <n v="4640.79"/>
    <n v="253075.25"/>
    <n v="45"/>
    <m/>
    <m/>
    <m/>
    <m/>
    <m/>
    <m/>
    <m/>
    <m/>
    <m/>
    <n v="0"/>
    <m/>
    <m/>
    <m/>
    <m/>
    <m/>
    <m/>
    <m/>
    <m/>
    <m/>
    <m/>
    <m/>
    <m/>
    <n v="100074.24000000001"/>
    <n v="-24972.599999999991"/>
    <m/>
    <m/>
    <m/>
    <m/>
    <n v="-24972.57"/>
    <n v="0"/>
    <n v="31"/>
    <n v="2345.4531571286425"/>
    <n v="226.79607768343703"/>
    <n v="1057.7521549538524"/>
    <n v="0"/>
    <n v="0"/>
    <m/>
    <m/>
    <m/>
    <n v="1060.9049244913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0063.40708829054"/>
    <m/>
    <n v="0"/>
    <n v="0"/>
    <n v="-24972.570000000007"/>
    <m/>
    <n v="0"/>
    <m/>
    <n v="-27341.6172785519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44"/>
    <s v="Sistema de Compensação"/>
    <s v="Verde"/>
    <s v="A4"/>
    <s v="Comercial"/>
    <s v="Não se aplica"/>
    <s v="Não se aplica"/>
    <s v="Não se aplica"/>
    <s v="Não se aplica"/>
    <s v="CATIVO"/>
    <x v="6"/>
    <n v="845"/>
    <n v="845"/>
    <n v="0"/>
    <n v="0"/>
    <n v="0"/>
    <n v="0"/>
    <n v="27.19"/>
    <m/>
    <m/>
    <n v="22975.55"/>
    <m/>
    <n v="22975.55"/>
    <n v="18387.2"/>
    <n v="0"/>
    <n v="0"/>
    <n v="0"/>
    <n v="0"/>
    <n v="197.05451834629159"/>
    <n v="189.30943926800828"/>
    <n v="20222.565555469777"/>
    <m/>
    <m/>
    <m/>
    <n v="0"/>
    <n v="0"/>
    <n v="0"/>
    <n v="0"/>
    <m/>
    <n v="0"/>
    <n v="418.17768227144205"/>
    <n v="1950.335072344709"/>
    <n v="0"/>
    <n v="0"/>
    <m/>
    <m/>
    <n v="0"/>
    <n v="0"/>
    <n v="0"/>
    <m/>
    <m/>
    <n v="0"/>
    <m/>
    <n v="0"/>
    <n v="0"/>
    <n v="0"/>
    <n v="0"/>
    <m/>
    <n v="0"/>
    <n v="0"/>
    <n v="33.04"/>
    <n v="283.41000000000003"/>
    <n v="16828.599999999999"/>
    <n v="6"/>
    <m/>
    <m/>
    <m/>
    <m/>
    <m/>
    <m/>
    <m/>
    <m/>
    <m/>
    <n v="0"/>
    <m/>
    <m/>
    <m/>
    <m/>
    <m/>
    <m/>
    <m/>
    <m/>
    <m/>
    <m/>
    <m/>
    <m/>
    <n v="18387.2"/>
    <n v="-4588.3799999999937"/>
    <m/>
    <m/>
    <m/>
    <m/>
    <n v="-4588.3499999999995"/>
    <n v="0"/>
    <n v="31"/>
    <n v="430.94323065312165"/>
    <n v="41.670512207546039"/>
    <n v="194.34672122983397"/>
    <n v="0"/>
    <n v="0"/>
    <m/>
    <m/>
    <m/>
    <n v="194.925997215741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222.565555469777"/>
    <m/>
    <n v="0"/>
    <n v="0"/>
    <n v="-4588.3499999999985"/>
    <m/>
    <n v="0"/>
    <m/>
    <n v="-5023.628310584124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45"/>
    <s v="Regular"/>
    <s v="Branca"/>
    <s v="B3"/>
    <s v="Comercial"/>
    <s v="Não se aplica"/>
    <s v="Não se aplica"/>
    <s v="Não se aplica"/>
    <s v="Ponta"/>
    <s v="CATIVO"/>
    <x v="6"/>
    <n v="0"/>
    <n v="0"/>
    <n v="0.56799999999999995"/>
    <n v="0.56799999999999995"/>
    <n v="0.56799999999999995"/>
    <n v="0.56799999999999995"/>
    <m/>
    <n v="1553.42"/>
    <n v="173.25"/>
    <m/>
    <n v="980.74855999999988"/>
    <n v="980.74855999999988"/>
    <n v="930.52031999999997"/>
    <n v="0"/>
    <n v="34.957664057242383"/>
    <n v="0"/>
    <n v="0"/>
    <n v="61.599171756744774"/>
    <n v="4.2597842191517756"/>
    <n v="408.04432915533943"/>
    <n v="96.753387292457774"/>
    <n v="1.6513086453474299"/>
    <n v="0"/>
    <n v="0"/>
    <n v="0"/>
    <n v="0"/>
    <n v="5.4011291975208326"/>
    <m/>
    <n v="0.6860626137580248"/>
    <n v="179.23465196110027"/>
    <n v="174.15226166565444"/>
    <n v="0"/>
    <n v="0"/>
    <n v="0"/>
    <n v="0"/>
    <n v="0"/>
    <n v="0"/>
    <n v="0"/>
    <n v="0"/>
    <n v="0"/>
    <n v="0"/>
    <m/>
    <n v="0"/>
    <n v="0"/>
    <n v="0"/>
    <n v="0"/>
    <n v="0"/>
    <n v="5.0778017566204365"/>
    <n v="0"/>
    <n v="0"/>
    <n v="0"/>
    <n v="0"/>
    <n v="0"/>
    <m/>
    <m/>
    <m/>
    <m/>
    <m/>
    <m/>
    <m/>
    <m/>
    <m/>
    <n v="101.8311890490782"/>
    <m/>
    <m/>
    <m/>
    <m/>
    <m/>
    <m/>
    <m/>
    <m/>
    <m/>
    <m/>
    <m/>
    <m/>
    <n v="933.79679999999996"/>
    <n v="-46.981759999999895"/>
    <m/>
    <m/>
    <m/>
    <m/>
    <n v="-62.491359999999986"/>
    <n v="12.263120000000001"/>
    <n v="31"/>
    <n v="51.13597151056922"/>
    <n v="17.86034996413872"/>
    <n v="17.353900634515384"/>
    <n v="0"/>
    <n v="0"/>
    <n v="0"/>
    <n v="0"/>
    <n v="0"/>
    <n v="4.3861663214083251"/>
    <n v="0"/>
    <n v="0"/>
    <n v="12.261735422836622"/>
    <n v="0"/>
    <n v="0"/>
    <n v="0"/>
    <n v="0.64351919257456469"/>
    <n v="0"/>
    <n v="-1.1870516510751372"/>
    <m/>
    <n v="0"/>
    <n v="0"/>
    <n v="0"/>
    <n v="0"/>
    <n v="-0.1632386815038025"/>
    <n v="-1.9409692325545458E-2"/>
    <n v="0"/>
    <n v="0"/>
    <m/>
    <m/>
    <m/>
    <n v="408.04432915533943"/>
    <n v="0"/>
    <n v="0"/>
    <n v="-62.491359999999986"/>
    <n v="12.263120000000001"/>
    <n v="0"/>
    <n v="0"/>
    <n v="-101.36513284110197"/>
    <n v="0"/>
    <n v="0"/>
    <n v="0"/>
    <n v="0"/>
    <n v="0"/>
    <n v="0"/>
    <n v="0"/>
    <n v="0"/>
    <n v="0"/>
    <n v="0"/>
    <n v="0"/>
    <n v="0"/>
    <n v="8.927563927754700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46"/>
    <s v="Regular"/>
    <s v="Branca"/>
    <s v="B3"/>
    <s v="Comercial"/>
    <s v="Não se aplica"/>
    <s v="Não se aplica"/>
    <s v="Não se aplica"/>
    <s v="Fora ponta"/>
    <s v="CATIVO"/>
    <x v="6"/>
    <n v="0"/>
    <n v="0"/>
    <n v="13.516"/>
    <n v="13.516"/>
    <n v="13.516"/>
    <n v="13.516"/>
    <m/>
    <n v="388.22"/>
    <n v="173.25"/>
    <m/>
    <n v="7588.82852"/>
    <n v="7588.82852"/>
    <n v="7569.3654800000004"/>
    <n v="0"/>
    <n v="831.84469612269027"/>
    <n v="0"/>
    <n v="0"/>
    <n v="293.16000192400088"/>
    <n v="20.272992034127725"/>
    <n v="1941.9476361418635"/>
    <n v="2302.3218004310907"/>
    <n v="39.294168398795541"/>
    <n v="0"/>
    <n v="0"/>
    <n v="0"/>
    <n v="0"/>
    <n v="128.52405322833025"/>
    <m/>
    <n v="16.325391351326523"/>
    <n v="853.00547743177174"/>
    <n v="828.81759460316391"/>
    <n v="0"/>
    <n v="0"/>
    <n v="0"/>
    <n v="0"/>
    <n v="0"/>
    <n v="0"/>
    <n v="0"/>
    <n v="0"/>
    <n v="0"/>
    <n v="0"/>
    <m/>
    <n v="0"/>
    <n v="0"/>
    <n v="0"/>
    <n v="0"/>
    <n v="0"/>
    <n v="120.83022630718631"/>
    <n v="0"/>
    <n v="0"/>
    <n v="0"/>
    <n v="0"/>
    <n v="0"/>
    <m/>
    <m/>
    <m/>
    <m/>
    <m/>
    <m/>
    <m/>
    <m/>
    <m/>
    <n v="2423.1520267382771"/>
    <m/>
    <m/>
    <m/>
    <m/>
    <m/>
    <m/>
    <m/>
    <m/>
    <m/>
    <m/>
    <m/>
    <m/>
    <n v="7571.6056000000008"/>
    <n v="-17.252919999999904"/>
    <m/>
    <m/>
    <m/>
    <m/>
    <n v="-311.2734800000004"/>
    <n v="291.81044000000003"/>
    <n v="31"/>
    <n v="462.96199640392297"/>
    <n v="85.000172575807937"/>
    <n v="82.589901752150013"/>
    <n v="0"/>
    <n v="0"/>
    <n v="0"/>
    <n v="0"/>
    <n v="0"/>
    <n v="20.874464601865746"/>
    <n v="0"/>
    <n v="0"/>
    <n v="291.7774929138377"/>
    <n v="0"/>
    <n v="0"/>
    <n v="0"/>
    <n v="15.313037688094767"/>
    <n v="0"/>
    <n v="-28.246813584386473"/>
    <m/>
    <n v="0"/>
    <n v="0"/>
    <n v="0"/>
    <n v="0"/>
    <n v="-3.8843908788827264"/>
    <n v="-0.46186866456350906"/>
    <n v="0"/>
    <n v="0"/>
    <m/>
    <m/>
    <m/>
    <n v="1941.9476361418635"/>
    <n v="0"/>
    <n v="0"/>
    <n v="-311.27347999999984"/>
    <n v="291.8104400000002"/>
    <n v="0"/>
    <n v="0"/>
    <n v="-482.41273323282712"/>
    <n v="0"/>
    <n v="0"/>
    <n v="0"/>
    <n v="0"/>
    <n v="0"/>
    <n v="0"/>
    <n v="0"/>
    <n v="0"/>
    <n v="0"/>
    <n v="0"/>
    <n v="0"/>
    <n v="0"/>
    <n v="212.4382993794587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47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.86"/>
    <n v="67.7"/>
    <n v="3760.45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48"/>
    <s v="Regular"/>
    <s v="Branca"/>
    <s v="B3"/>
    <s v="Comercial"/>
    <s v="Não se aplica"/>
    <s v="Não se aplica"/>
    <s v="Não se aplica"/>
    <s v="Intermediário"/>
    <s v="CATIVO"/>
    <x v="6"/>
    <n v="0"/>
    <n v="0"/>
    <n v="0.56899999999999995"/>
    <n v="0.56899999999999995"/>
    <n v="0.56899999999999995"/>
    <n v="0.56899999999999995"/>
    <m/>
    <n v="970.82"/>
    <n v="173.25"/>
    <m/>
    <n v="650.97582999999997"/>
    <n v="650.97582999999997"/>
    <n v="625.40496999999993"/>
    <n v="0"/>
    <n v="35.019209240441754"/>
    <n v="0"/>
    <n v="0"/>
    <n v="37.024572601677285"/>
    <n v="2.5603726991902889"/>
    <n v="245.25769151163908"/>
    <n v="96.92372776304309"/>
    <n v="1.6542158788779713"/>
    <n v="0"/>
    <n v="0"/>
    <n v="0"/>
    <n v="0"/>
    <n v="5.4106382277981577"/>
    <m/>
    <n v="0.68727047047238754"/>
    <n v="107.73012355549221"/>
    <n v="104.67532065608195"/>
    <n v="0"/>
    <n v="0"/>
    <n v="0"/>
    <n v="0"/>
    <n v="0"/>
    <n v="0"/>
    <n v="0"/>
    <n v="0"/>
    <n v="0"/>
    <n v="0"/>
    <m/>
    <n v="0"/>
    <n v="0"/>
    <n v="0"/>
    <n v="0"/>
    <n v="0"/>
    <n v="5.0867415484454721"/>
    <n v="0"/>
    <n v="0"/>
    <n v="0"/>
    <n v="0"/>
    <n v="0"/>
    <m/>
    <m/>
    <m/>
    <m/>
    <m/>
    <m/>
    <m/>
    <m/>
    <m/>
    <n v="102.01046931148856"/>
    <m/>
    <m/>
    <m/>
    <m/>
    <m/>
    <m/>
    <m/>
    <m/>
    <m/>
    <m/>
    <m/>
    <m/>
    <n v="626.50409999999999"/>
    <n v="-24.501729999999952"/>
    <m/>
    <m/>
    <m/>
    <m/>
    <n v="-37.855570000000043"/>
    <n v="12.28471"/>
    <n v="31"/>
    <n v="35.35794771056311"/>
    <n v="10.735076545346857"/>
    <n v="10.430671965885978"/>
    <n v="0"/>
    <n v="0"/>
    <n v="0"/>
    <n v="0"/>
    <n v="0"/>
    <n v="2.6363355338402616"/>
    <n v="0"/>
    <n v="0"/>
    <n v="12.283322985200769"/>
    <n v="0"/>
    <n v="0"/>
    <n v="0"/>
    <n v="0.64465214889952094"/>
    <n v="0"/>
    <n v="-1.1891415307425177"/>
    <m/>
    <n v="0"/>
    <n v="0"/>
    <n v="0"/>
    <n v="0"/>
    <n v="-0.16352607354870319"/>
    <n v="-1.9443864319076409E-2"/>
    <n v="0"/>
    <n v="0"/>
    <m/>
    <m/>
    <m/>
    <n v="245.25769151163908"/>
    <n v="0"/>
    <n v="0"/>
    <n v="-37.855570000000057"/>
    <n v="12.284710000000004"/>
    <n v="0"/>
    <n v="0"/>
    <n v="-60.926170771301145"/>
    <n v="0"/>
    <n v="0"/>
    <n v="0"/>
    <n v="0"/>
    <n v="0"/>
    <n v="0"/>
    <n v="0"/>
    <n v="0"/>
    <n v="0"/>
    <n v="0"/>
    <n v="0"/>
    <n v="0"/>
    <n v="8.9432814698810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49"/>
    <s v="Regular"/>
    <s v="Convencional"/>
    <s v="B2"/>
    <s v="Rural"/>
    <s v="Não se aplica"/>
    <s v="Não se aplica"/>
    <s v="Não se aplica"/>
    <s v="Não se aplica"/>
    <s v="CATIVO"/>
    <x v="6"/>
    <n v="0"/>
    <n v="0"/>
    <n v="8477.7119999999995"/>
    <n v="8477.7119999999995"/>
    <n v="8477.7119999999995"/>
    <n v="8477.7119999999995"/>
    <m/>
    <n v="368.24"/>
    <n v="173.25"/>
    <m/>
    <n v="4590596.2708799997"/>
    <n v="4590596.2708799997"/>
    <n v="4314222.8596799998"/>
    <n v="0"/>
    <n v="521762.33815150079"/>
    <n v="0"/>
    <n v="0"/>
    <n v="21699.020632698506"/>
    <n v="20847.89308211919"/>
    <n v="1996815.7482326727"/>
    <n v="1444097.4515667551"/>
    <n v="24646.688588671921"/>
    <n v="0"/>
    <n v="0"/>
    <n v="0"/>
    <n v="0"/>
    <n v="80614.820090444948"/>
    <m/>
    <n v="10239.861361633402"/>
    <n v="46062.762635869862"/>
    <n v="214783.8666715429"/>
    <n v="0"/>
    <n v="0"/>
    <n v="0"/>
    <n v="0"/>
    <n v="0"/>
    <n v="0"/>
    <n v="0"/>
    <n v="0"/>
    <n v="0"/>
    <n v="0"/>
    <m/>
    <n v="0"/>
    <n v="0"/>
    <n v="0"/>
    <n v="0"/>
    <n v="0"/>
    <n v="75788.980432609431"/>
    <n v="0"/>
    <n v="3450.02"/>
    <n v="30191.52"/>
    <n v="198278.92"/>
    <n v="15743"/>
    <m/>
    <m/>
    <m/>
    <m/>
    <m/>
    <n v="517649.09471999994"/>
    <m/>
    <m/>
    <m/>
    <n v="1519886.4319993644"/>
    <m/>
    <m/>
    <m/>
    <m/>
    <m/>
    <m/>
    <m/>
    <m/>
    <m/>
    <m/>
    <m/>
    <m/>
    <n v="3796572.8692999994"/>
    <n v="-243141.7058199998"/>
    <m/>
    <m/>
    <m/>
    <m/>
    <n v="-459407.21327999997"/>
    <n v="183033.80208000002"/>
    <n v="31"/>
    <n v="219633.71995576937"/>
    <n v="4590.0558401521412"/>
    <n v="21402.753225627675"/>
    <n v="0"/>
    <n v="0"/>
    <n v="0"/>
    <n v="0"/>
    <n v="0"/>
    <n v="21466.42219528235"/>
    <n v="0"/>
    <n v="0"/>
    <n v="183013.13650529413"/>
    <n v="0"/>
    <n v="0"/>
    <n v="0"/>
    <n v="9604.8774315487681"/>
    <n v="0"/>
    <n v="-17717.397934752633"/>
    <m/>
    <n v="0"/>
    <n v="0"/>
    <n v="0"/>
    <n v="0"/>
    <n v="-2436.4269877622428"/>
    <n v="-289.7003196207479"/>
    <n v="0"/>
    <n v="0"/>
    <m/>
    <m/>
    <m/>
    <n v="1996815.7482326727"/>
    <n v="0"/>
    <n v="0"/>
    <n v="-459407.21327999979"/>
    <n v="183033.80208000005"/>
    <n v="0"/>
    <n v="0"/>
    <n v="-496042.90298016951"/>
    <n v="0"/>
    <n v="0"/>
    <n v="0"/>
    <n v="0"/>
    <n v="0"/>
    <n v="0"/>
    <n v="0"/>
    <n v="0"/>
    <n v="0"/>
    <n v="0"/>
    <n v="0"/>
    <n v="0"/>
    <n v="133248.7954948823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0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0.309"/>
    <n v="-0.309"/>
    <n v="-0.309"/>
    <n v="-0.309"/>
    <m/>
    <n v="368.24"/>
    <n v="173.25"/>
    <m/>
    <n v="-167.32040999999998"/>
    <n v="-167.32040999999998"/>
    <n v="-157.24700999999999"/>
    <n v="0"/>
    <n v="-19.017461608605455"/>
    <n v="0"/>
    <n v="0"/>
    <n v="-0.79089704574817332"/>
    <n v="-0.75987471175888377"/>
    <n v="-72.780965690258867"/>
    <n v="-52.635205410861715"/>
    <n v="-0.8983351609372463"/>
    <n v="0"/>
    <n v="0"/>
    <n v="0"/>
    <n v="0"/>
    <n v="-2.9382903556935518"/>
    <m/>
    <n v="-0.37322772473808047"/>
    <n v="-1.6789192242534057"/>
    <n v="-7.8285526568379247"/>
    <n v="0"/>
    <n v="0"/>
    <n v="0"/>
    <n v="0"/>
    <n v="0"/>
    <n v="0"/>
    <n v="0"/>
    <n v="0"/>
    <n v="0"/>
    <n v="0"/>
    <m/>
    <n v="0"/>
    <n v="0"/>
    <n v="0"/>
    <n v="0"/>
    <n v="0"/>
    <n v="-2.7623956739361177"/>
    <n v="0"/>
    <n v="-0.12"/>
    <n v="-1.1100000000000001"/>
    <n v="0"/>
    <n v="0"/>
    <m/>
    <m/>
    <m/>
    <m/>
    <m/>
    <n v="-18.867539999999998"/>
    <m/>
    <m/>
    <m/>
    <n v="-55.397601084797834"/>
    <m/>
    <m/>
    <m/>
    <m/>
    <m/>
    <m/>
    <m/>
    <m/>
    <m/>
    <m/>
    <m/>
    <m/>
    <n v="-138.82730000000001"/>
    <n v="8.3842899999999929"/>
    <m/>
    <m/>
    <m/>
    <m/>
    <n v="16.744709999999998"/>
    <n v="-6.671310000000001"/>
    <n v="31"/>
    <n v="-8.0053225995802535"/>
    <n v="-0.16730071210333763"/>
    <n v="-0.78009853917176564"/>
    <n v="0"/>
    <n v="0"/>
    <n v="0"/>
    <n v="0"/>
    <n v="0"/>
    <n v="-0.78241917846964437"/>
    <n v="0"/>
    <n v="0"/>
    <n v="-6.6705567705220403"/>
    <n v="0"/>
    <n v="0"/>
    <n v="0"/>
    <n v="-0.3500835044111632"/>
    <n v="0"/>
    <n v="0.64577281722221613"/>
    <m/>
    <n v="0"/>
    <n v="0"/>
    <n v="0"/>
    <n v="0"/>
    <n v="8.8804141874427422E-2"/>
    <n v="1.0559146001045017E-2"/>
    <n v="0"/>
    <n v="0"/>
    <m/>
    <m/>
    <m/>
    <n v="-72.780965690258867"/>
    <n v="0"/>
    <n v="0"/>
    <n v="16.744709999999998"/>
    <n v="-6.6713099999999983"/>
    <n v="0"/>
    <n v="0"/>
    <n v="18.080026429403638"/>
    <n v="0"/>
    <n v="0"/>
    <n v="0"/>
    <n v="0"/>
    <n v="0"/>
    <n v="0"/>
    <n v="0"/>
    <n v="0"/>
    <n v="0"/>
    <n v="0"/>
    <n v="0"/>
    <n v="0"/>
    <n v="-4.856720517035568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1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141.70099999999999"/>
    <n v="141.70099999999999"/>
    <n v="141.70099999999999"/>
    <n v="141.70099999999999"/>
    <m/>
    <n v="368.24"/>
    <n v="173.25"/>
    <m/>
    <n v="76729.67448999999"/>
    <n v="76729.67448999999"/>
    <n v="72110.221890000001"/>
    <n v="0"/>
    <n v="8721.0140045339849"/>
    <n v="0"/>
    <n v="0"/>
    <n v="362.68900414097703"/>
    <n v="348.46280430726728"/>
    <n v="33375.843428075634"/>
    <n v="24137.415022409437"/>
    <n v="411.95789851122566"/>
    <n v="0"/>
    <n v="0"/>
    <n v="0"/>
    <n v="0"/>
    <n v="1347.4390993272877"/>
    <m/>
    <n v="171.15450428191176"/>
    <n v="769.91758251110627"/>
    <n v="3590.0121036459245"/>
    <n v="0"/>
    <n v="0"/>
    <n v="0"/>
    <n v="0"/>
    <n v="0"/>
    <n v="0"/>
    <n v="0"/>
    <n v="0"/>
    <n v="0"/>
    <n v="0"/>
    <m/>
    <n v="0"/>
    <n v="0"/>
    <n v="0"/>
    <n v="0"/>
    <n v="0"/>
    <n v="1266.7774413994234"/>
    <n v="0"/>
    <n v="59.13"/>
    <n v="511.79"/>
    <n v="3199.19"/>
    <n v="298"/>
    <m/>
    <m/>
    <m/>
    <m/>
    <m/>
    <n v="8652.2630599999993"/>
    <m/>
    <m/>
    <m/>
    <n v="25404.19246380886"/>
    <m/>
    <m/>
    <m/>
    <m/>
    <m/>
    <m/>
    <m/>
    <m/>
    <m/>
    <m/>
    <m/>
    <m/>
    <n v="63457.510999999999"/>
    <n v="-4064.4625099999976"/>
    <m/>
    <m/>
    <m/>
    <m/>
    <n v="-7678.7771899999989"/>
    <n v="3059.3245900000002"/>
    <n v="31"/>
    <n v="3671.0751381330701"/>
    <n v="76.720641442572969"/>
    <n v="357.73703268342524"/>
    <n v="0"/>
    <n v="0"/>
    <n v="0"/>
    <n v="0"/>
    <n v="0"/>
    <n v="358.80122980041125"/>
    <n v="0"/>
    <n v="0"/>
    <n v="3058.9791745622751"/>
    <n v="0"/>
    <n v="0"/>
    <n v="0"/>
    <n v="160.54104420247972"/>
    <n v="0"/>
    <n v="-296.13803874823498"/>
    <m/>
    <n v="0"/>
    <n v="0"/>
    <n v="0"/>
    <n v="0"/>
    <n v="-40.723740154524876"/>
    <n v="-4.8422056553206403"/>
    <n v="0"/>
    <n v="0"/>
    <m/>
    <m/>
    <m/>
    <n v="33375.843428075634"/>
    <n v="0"/>
    <n v="0"/>
    <n v="-7678.7771899999934"/>
    <n v="3059.3245900000002"/>
    <n v="0"/>
    <n v="0"/>
    <n v="-8291.1256474851907"/>
    <n v="0"/>
    <n v="0"/>
    <n v="0"/>
    <n v="0"/>
    <n v="0"/>
    <n v="0"/>
    <n v="0"/>
    <n v="0"/>
    <n v="0"/>
    <n v="0"/>
    <n v="0"/>
    <n v="0"/>
    <n v="2227.19143684290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2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3.7050000000000001"/>
    <n v="3.7050000000000001"/>
    <n v="3.7050000000000001"/>
    <n v="3.7050000000000001"/>
    <m/>
    <n v="368.24"/>
    <n v="173.25"/>
    <m/>
    <n v="2006.2204500000003"/>
    <n v="2006.2204500000003"/>
    <n v="1885.4374500000001"/>
    <n v="0"/>
    <n v="228.02490375366733"/>
    <n v="0"/>
    <n v="0"/>
    <n v="9.4830859368834375"/>
    <n v="9.111119116720598"/>
    <n v="872.66497696572526"/>
    <n v="631.11144351858468"/>
    <n v="10.771300230655333"/>
    <n v="0"/>
    <n v="0"/>
    <n v="0"/>
    <n v="0"/>
    <n v="35.230957177490644"/>
    <m/>
    <n v="4.4751091267138774"/>
    <n v="20.130730504397633"/>
    <n v="93.86662651645473"/>
    <n v="0"/>
    <n v="0"/>
    <n v="0"/>
    <n v="0"/>
    <n v="0"/>
    <n v="0"/>
    <n v="0"/>
    <n v="0"/>
    <n v="0"/>
    <n v="0"/>
    <m/>
    <n v="0"/>
    <n v="0"/>
    <n v="0"/>
    <n v="0"/>
    <n v="0"/>
    <n v="33.121928711758308"/>
    <n v="0"/>
    <n v="1.54"/>
    <n v="13.2"/>
    <n v="8.93"/>
    <n v="1"/>
    <m/>
    <m/>
    <m/>
    <m/>
    <m/>
    <n v="226.22730000000001"/>
    <m/>
    <m/>
    <m/>
    <n v="664.23337223034298"/>
    <m/>
    <m/>
    <m/>
    <m/>
    <m/>
    <m/>
    <m/>
    <m/>
    <m/>
    <m/>
    <m/>
    <m/>
    <n v="1661.4493"/>
    <n v="-104.05025000000023"/>
    <m/>
    <m/>
    <m/>
    <m/>
    <n v="-200.77394999999999"/>
    <n v="79.990950000000012"/>
    <n v="31"/>
    <n v="95.986149616326884"/>
    <n v="2.0059842664817644"/>
    <n v="9.3536086978362221"/>
    <n v="0"/>
    <n v="0"/>
    <n v="0"/>
    <n v="0"/>
    <n v="0"/>
    <n v="9.3814338389321428"/>
    <n v="0"/>
    <n v="0"/>
    <n v="79.981918559172072"/>
    <n v="0"/>
    <n v="0"/>
    <n v="0"/>
    <n v="4.1976031839590888"/>
    <n v="0"/>
    <n v="-7.7430041676643953"/>
    <m/>
    <n v="0"/>
    <n v="0"/>
    <n v="0"/>
    <n v="0"/>
    <n v="-1.0647875263584226"/>
    <n v="-0.12660723603194768"/>
    <n v="0"/>
    <n v="0"/>
    <m/>
    <m/>
    <m/>
    <n v="872.66497696572526"/>
    <n v="0"/>
    <n v="0"/>
    <n v="-200.77395000000001"/>
    <n v="79.990949999999998"/>
    <n v="0"/>
    <n v="0"/>
    <n v="-216.78478291566501"/>
    <n v="0"/>
    <n v="0"/>
    <n v="0"/>
    <n v="0"/>
    <n v="0"/>
    <n v="0"/>
    <n v="0"/>
    <n v="0"/>
    <n v="0"/>
    <n v="0"/>
    <n v="0"/>
    <n v="0"/>
    <n v="58.23349357804783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3"/>
    <s v="Regular"/>
    <s v="Verde"/>
    <s v="A4"/>
    <s v="Rural"/>
    <s v="Não se aplica"/>
    <s v="Não se aplica"/>
    <s v="Não se aplica"/>
    <s v="Ponta"/>
    <s v="CATIVO"/>
    <x v="6"/>
    <n v="0"/>
    <n v="0"/>
    <n v="8.6080000000000005"/>
    <n v="8.2636800000000008"/>
    <n v="8.6080000000000005"/>
    <n v="8.2636800000000008"/>
    <m/>
    <n v="1358.36"/>
    <n v="173.25"/>
    <m/>
    <n v="13184.09888"/>
    <n v="13184.09888"/>
    <n v="11559.855360000001"/>
    <n v="0"/>
    <n v="460.90941517275655"/>
    <n v="0"/>
    <n v="0"/>
    <n v="163.05349639230508"/>
    <n v="156.65833049721294"/>
    <n v="8681.2344262174993"/>
    <n v="1466.2907707983743"/>
    <n v="25.025466230899085"/>
    <n v="0"/>
    <n v="0"/>
    <n v="0"/>
    <n v="0"/>
    <n v="81.853732627217127"/>
    <m/>
    <n v="6.8934054257008768"/>
    <n v="346.13475744070115"/>
    <n v="1613.9664389447776"/>
    <n v="0"/>
    <n v="0"/>
    <n v="0"/>
    <n v="0"/>
    <n v="0"/>
    <n v="0"/>
    <n v="0"/>
    <n v="0"/>
    <n v="0"/>
    <n v="0"/>
    <m/>
    <n v="0"/>
    <n v="0"/>
    <n v="0"/>
    <n v="0"/>
    <n v="0"/>
    <n v="64.376275866508081"/>
    <n v="0"/>
    <n v="0"/>
    <n v="0"/>
    <n v="0"/>
    <n v="0"/>
    <m/>
    <m/>
    <m/>
    <m/>
    <m/>
    <n v="462.39421439999961"/>
    <m/>
    <m/>
    <m/>
    <n v="1530.6670466648825"/>
    <m/>
    <m/>
    <m/>
    <m/>
    <m/>
    <m/>
    <m/>
    <m/>
    <m/>
    <m/>
    <m/>
    <m/>
    <n v="11092.519199999999"/>
    <n v="-1564.245724800001"/>
    <m/>
    <m/>
    <m/>
    <m/>
    <n v="-1810.0902399999998"/>
    <n v="185.84672000000003"/>
    <n v="31"/>
    <n v="532.2904092065246"/>
    <n v="34.491588735780738"/>
    <n v="160.82830588018783"/>
    <n v="0"/>
    <n v="0"/>
    <n v="0"/>
    <n v="0"/>
    <n v="0"/>
    <n v="161.3061737037367"/>
    <n v="0"/>
    <n v="0"/>
    <n v="185.82573683059468"/>
    <n v="0"/>
    <n v="0"/>
    <n v="0"/>
    <n v="8.1585243087834556"/>
    <n v="0"/>
    <n v="-15.651025233865198"/>
    <m/>
    <n v="0"/>
    <n v="0"/>
    <n v="0"/>
    <n v="0"/>
    <n v="-2.473870722508309"/>
    <n v="-0.19502429618660955"/>
    <n v="0"/>
    <n v="0"/>
    <m/>
    <m/>
    <m/>
    <n v="8681.2344262174993"/>
    <n v="0"/>
    <n v="0"/>
    <n v="-1810.0902399999995"/>
    <n v="185.84672000000023"/>
    <n v="0"/>
    <n v="0"/>
    <n v="-2156.5658874854435"/>
    <n v="0"/>
    <n v="0"/>
    <n v="0"/>
    <n v="0"/>
    <n v="0"/>
    <n v="0"/>
    <n v="0"/>
    <n v="0"/>
    <n v="0"/>
    <n v="0"/>
    <n v="0"/>
    <n v="0"/>
    <n v="117.7080442823908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4"/>
    <s v="Regular"/>
    <s v="Verde"/>
    <s v="A4"/>
    <s v="Rural"/>
    <s v="Não se aplica"/>
    <s v="Não se aplica"/>
    <s v="Não se aplica"/>
    <s v="Fora ponta"/>
    <s v="CATIVO"/>
    <x v="6"/>
    <n v="0"/>
    <n v="0"/>
    <n v="95.438000000000002"/>
    <n v="91.620480000000001"/>
    <n v="95.438000000000002"/>
    <n v="91.620480000000001"/>
    <m/>
    <n v="85.01"/>
    <n v="173.25"/>
    <m/>
    <n v="24647.817880000002"/>
    <n v="24647.817880000002"/>
    <n v="26595.707460000001"/>
    <n v="0"/>
    <n v="5110.161798937911"/>
    <n v="0"/>
    <n v="0"/>
    <n v="0"/>
    <n v="0"/>
    <n v="0"/>
    <n v="16256.953831721103"/>
    <n v="277.46055368779582"/>
    <n v="0"/>
    <n v="0"/>
    <n v="0"/>
    <n v="0"/>
    <n v="907.5228316073825"/>
    <m/>
    <n v="76.428070053210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3.74802696884262"/>
    <n v="0"/>
    <n v="0"/>
    <n v="0"/>
    <n v="0"/>
    <n v="0"/>
    <m/>
    <m/>
    <m/>
    <m/>
    <m/>
    <n v="1063.8282984000004"/>
    <m/>
    <m/>
    <m/>
    <n v="16970.701858689947"/>
    <m/>
    <m/>
    <m/>
    <m/>
    <m/>
    <m/>
    <m/>
    <m/>
    <m/>
    <m/>
    <m/>
    <m/>
    <n v="25531.7454"/>
    <n v="1869.8102351999987"/>
    <m/>
    <m/>
    <m/>
    <m/>
    <n v="-112.61684000000065"/>
    <n v="2060.5064200000002"/>
    <n v="31"/>
    <n v="1947.6130768536423"/>
    <n v="0"/>
    <n v="0"/>
    <n v="0"/>
    <n v="0"/>
    <n v="0"/>
    <n v="0"/>
    <n v="0"/>
    <n v="0"/>
    <n v="0"/>
    <n v="0"/>
    <n v="2060.2737769096511"/>
    <n v="0"/>
    <n v="0"/>
    <n v="0"/>
    <n v="90.454605364971712"/>
    <n v="0"/>
    <n v="-173.52492405548583"/>
    <m/>
    <n v="0"/>
    <n v="0"/>
    <n v="0"/>
    <n v="0"/>
    <n v="-27.428121981267282"/>
    <n v="-2.1622593842306657"/>
    <n v="0"/>
    <n v="0"/>
    <m/>
    <m/>
    <m/>
    <n v="0"/>
    <n v="0"/>
    <n v="0"/>
    <n v="-112.61684000000059"/>
    <n v="2060.5064200000015"/>
    <n v="0"/>
    <n v="0"/>
    <n v="0"/>
    <n v="0"/>
    <n v="0"/>
    <n v="0"/>
    <n v="0"/>
    <n v="0"/>
    <n v="0"/>
    <n v="0"/>
    <n v="0"/>
    <n v="0"/>
    <n v="0"/>
    <n v="0"/>
    <n v="0"/>
    <n v="1305.044183343728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5"/>
    <s v="Sistema de Compensação"/>
    <s v="Verde"/>
    <s v="A4"/>
    <s v="Rural"/>
    <s v="Não se aplica"/>
    <s v="Não se aplica"/>
    <s v="Não se aplica"/>
    <s v="Fora ponta"/>
    <s v="CATIVO"/>
    <x v="6"/>
    <n v="0"/>
    <n v="0"/>
    <n v="50.087000000000003"/>
    <n v="48.08352"/>
    <n v="50.087000000000003"/>
    <n v="48.08352"/>
    <m/>
    <n v="85.01"/>
    <n v="173.25"/>
    <m/>
    <n v="12935.468620000001"/>
    <n v="12935.468620000001"/>
    <n v="13957.744290000001"/>
    <n v="0"/>
    <n v="2681.8738240889707"/>
    <n v="0"/>
    <n v="0"/>
    <n v="0"/>
    <n v="0"/>
    <n v="0"/>
    <n v="8531.8431502065723"/>
    <n v="145.6146058442196"/>
    <n v="0"/>
    <n v="0"/>
    <n v="0"/>
    <n v="0"/>
    <n v="476.27879950039784"/>
    <m/>
    <n v="40.110362169735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4.58347227297747"/>
    <n v="0"/>
    <n v="0"/>
    <n v="0"/>
    <n v="0"/>
    <n v="0"/>
    <m/>
    <m/>
    <m/>
    <m/>
    <m/>
    <n v="558.30977160000089"/>
    <m/>
    <m/>
    <m/>
    <n v="8906.4266224795501"/>
    <m/>
    <m/>
    <m/>
    <m/>
    <m/>
    <m/>
    <m/>
    <m/>
    <m/>
    <m/>
    <m/>
    <m/>
    <n v="13398.453599999999"/>
    <n v="980.37372479999794"/>
    <m/>
    <m/>
    <m/>
    <m/>
    <n v="-59.102660000000348"/>
    <n v="1081.3783300000002"/>
    <n v="31"/>
    <n v="1022.1305578529318"/>
    <n v="0"/>
    <n v="0"/>
    <n v="0"/>
    <n v="0"/>
    <n v="0"/>
    <n v="0"/>
    <n v="0"/>
    <n v="0"/>
    <n v="0"/>
    <n v="0"/>
    <n v="1081.2562361331311"/>
    <n v="0"/>
    <n v="0"/>
    <n v="0"/>
    <n v="47.471655094567552"/>
    <n v="0"/>
    <n v="-91.067948523304494"/>
    <m/>
    <n v="0"/>
    <n v="0"/>
    <n v="0"/>
    <n v="0"/>
    <n v="-14.394605352959388"/>
    <n v="-1.1347794985012385"/>
    <n v="0"/>
    <n v="0"/>
    <m/>
    <m/>
    <m/>
    <n v="0"/>
    <n v="0"/>
    <n v="0"/>
    <n v="-59.102660000000469"/>
    <n v="1081.3783299999996"/>
    <n v="0"/>
    <n v="0"/>
    <n v="0"/>
    <n v="0"/>
    <n v="0"/>
    <n v="0"/>
    <n v="0"/>
    <n v="0"/>
    <n v="0"/>
    <n v="0"/>
    <n v="0"/>
    <n v="0"/>
    <n v="0"/>
    <n v="0"/>
    <n v="0"/>
    <n v="684.9027432588419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6"/>
    <s v="Regular"/>
    <s v="Verde"/>
    <s v="A4"/>
    <s v="Rural"/>
    <s v="Não se aplica"/>
    <s v="Não se aplica"/>
    <s v="Não se aplica"/>
    <s v="Não se aplica"/>
    <s v="CATIVO"/>
    <x v="6"/>
    <n v="663"/>
    <n v="636.48"/>
    <n v="0"/>
    <n v="0"/>
    <n v="0"/>
    <n v="0"/>
    <n v="27.19"/>
    <m/>
    <m/>
    <n v="18026.97"/>
    <m/>
    <n v="18026.97"/>
    <n v="14426.880000000001"/>
    <n v="0"/>
    <n v="0"/>
    <n v="0"/>
    <n v="0"/>
    <n v="154.61200670247493"/>
    <n v="148.53509850259113"/>
    <n v="15866.936051214749"/>
    <m/>
    <m/>
    <m/>
    <n v="0"/>
    <n v="0"/>
    <n v="0"/>
    <n v="0"/>
    <m/>
    <n v="0"/>
    <n v="328.10864301297761"/>
    <n v="1530.262902916618"/>
    <n v="0"/>
    <n v="0"/>
    <m/>
    <m/>
    <n v="0"/>
    <n v="0"/>
    <n v="0"/>
    <m/>
    <m/>
    <n v="0"/>
    <m/>
    <n v="0"/>
    <n v="0"/>
    <n v="0"/>
    <n v="0"/>
    <m/>
    <n v="0"/>
    <n v="0"/>
    <n v="46.19"/>
    <n v="396.19"/>
    <n v="28.31"/>
    <n v="4"/>
    <m/>
    <m/>
    <m/>
    <m/>
    <m/>
    <n v="577.07519999999965"/>
    <m/>
    <m/>
    <m/>
    <n v="0"/>
    <m/>
    <m/>
    <m/>
    <m/>
    <m/>
    <m/>
    <m/>
    <m/>
    <m/>
    <m/>
    <m/>
    <m/>
    <n v="13849.804800000002"/>
    <n v="-3456.1163999999953"/>
    <m/>
    <m/>
    <m/>
    <m/>
    <n v="-3600.0899999999997"/>
    <n v="0"/>
    <n v="31"/>
    <n v="338.12468866629479"/>
    <n v="32.695324962843813"/>
    <n v="152.48742742648483"/>
    <n v="0"/>
    <n v="0"/>
    <m/>
    <m/>
    <m/>
    <n v="152.941936276966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866.936051214749"/>
    <m/>
    <n v="0"/>
    <n v="0"/>
    <n v="-3600.09"/>
    <m/>
    <n v="0"/>
    <m/>
    <n v="-3941.616059073698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57"/>
    <s v="Sistema de Compensação"/>
    <s v="Verde"/>
    <s v="A4"/>
    <s v="Rural"/>
    <s v="Não se aplica"/>
    <s v="Não se aplica"/>
    <s v="Não se aplica"/>
    <s v="Não se aplica"/>
    <s v="CATIVO"/>
    <x v="6"/>
    <n v="165"/>
    <n v="158.4"/>
    <n v="0"/>
    <n v="0"/>
    <n v="0"/>
    <n v="0"/>
    <n v="27.19"/>
    <m/>
    <m/>
    <n v="4486.3500000000004"/>
    <m/>
    <n v="4486.3500000000004"/>
    <n v="3590.4"/>
    <n v="0"/>
    <n v="0"/>
    <n v="0"/>
    <n v="0"/>
    <n v="38.478101215548065"/>
    <n v="36.965748496119964"/>
    <n v="3948.7849901213172"/>
    <m/>
    <m/>
    <m/>
    <n v="0"/>
    <n v="0"/>
    <n v="0"/>
    <n v="0"/>
    <m/>
    <n v="0"/>
    <n v="81.655997129926561"/>
    <n v="380.83465909689585"/>
    <n v="0"/>
    <n v="0"/>
    <m/>
    <m/>
    <n v="0"/>
    <n v="0"/>
    <n v="0"/>
    <m/>
    <m/>
    <n v="0"/>
    <m/>
    <n v="0"/>
    <n v="0"/>
    <n v="0"/>
    <n v="0"/>
    <m/>
    <n v="0"/>
    <n v="0"/>
    <n v="17.399999999999999"/>
    <n v="149.16"/>
    <n v="5.77"/>
    <n v="1"/>
    <m/>
    <m/>
    <m/>
    <m/>
    <m/>
    <n v="143.6159999999999"/>
    <m/>
    <m/>
    <m/>
    <n v="0"/>
    <m/>
    <m/>
    <m/>
    <m/>
    <m/>
    <m/>
    <m/>
    <m/>
    <m/>
    <m/>
    <m/>
    <m/>
    <n v="3446.7840000000006"/>
    <n v="-860.14200000000073"/>
    <m/>
    <m/>
    <m/>
    <m/>
    <n v="-895.94999999999993"/>
    <n v="0"/>
    <n v="31"/>
    <n v="84.148678174869701"/>
    <n v="8.1368455789882717"/>
    <n v="37.949359766772261"/>
    <n v="0"/>
    <n v="0"/>
    <m/>
    <m/>
    <m/>
    <n v="38.0624728291092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48.7849901213172"/>
    <m/>
    <n v="0"/>
    <n v="0"/>
    <n v="-895.95000000000027"/>
    <m/>
    <n v="0"/>
    <m/>
    <n v="-980.9451730726395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58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545.96500000000003"/>
    <n v="545.96500000000003"/>
    <n v="545.96500000000003"/>
    <n v="545.96500000000003"/>
    <m/>
    <n v="368.24"/>
    <n v="173.25"/>
    <m/>
    <n v="295634.58785000001"/>
    <n v="295634.58785000001"/>
    <n v="277836.12884999998"/>
    <n v="0"/>
    <n v="33601.515945444262"/>
    <n v="0"/>
    <n v="0"/>
    <n v="1397.417817417157"/>
    <n v="1342.6051683023916"/>
    <n v="128595.01596466727"/>
    <n v="92999.935023110418"/>
    <n v="1587.2477545019538"/>
    <n v="0"/>
    <n v="0"/>
    <n v="0"/>
    <n v="0"/>
    <n v="5191.5977153599679"/>
    <m/>
    <n v="659.44749105704238"/>
    <n v="2966.443800224954"/>
    <n v="13832.089810001677"/>
    <n v="0"/>
    <n v="0"/>
    <n v="0"/>
    <n v="0"/>
    <n v="0"/>
    <n v="0"/>
    <n v="0"/>
    <n v="0"/>
    <n v="0"/>
    <n v="0"/>
    <m/>
    <n v="0"/>
    <n v="0"/>
    <n v="0"/>
    <n v="0"/>
    <n v="0"/>
    <n v="4880.8134437557692"/>
    <n v="0"/>
    <n v="247.6"/>
    <n v="2146.4"/>
    <n v="109587.76"/>
    <n v="580"/>
    <m/>
    <m/>
    <m/>
    <m/>
    <m/>
    <m/>
    <m/>
    <m/>
    <m/>
    <n v="97880.748466866193"/>
    <m/>
    <m/>
    <m/>
    <m/>
    <m/>
    <m/>
    <m/>
    <m/>
    <m/>
    <m/>
    <m/>
    <m/>
    <n v="277838.67330000002"/>
    <n v="-17795.944550000015"/>
    <m/>
    <m/>
    <m/>
    <m/>
    <n v="-29585.843349999999"/>
    <n v="11787.384350000002"/>
    <n v="31"/>
    <n v="14144.420560128929"/>
    <n v="295.59978408899224"/>
    <n v="1378.3381842683266"/>
    <n v="0"/>
    <n v="0"/>
    <n v="0"/>
    <n v="0"/>
    <n v="0"/>
    <n v="1382.4384685216164"/>
    <n v="0"/>
    <n v="0"/>
    <n v="11786.053486142599"/>
    <n v="0"/>
    <n v="0"/>
    <n v="0"/>
    <n v="618.55449995417712"/>
    <n v="0"/>
    <n v="-1141.0011526042908"/>
    <m/>
    <n v="0"/>
    <n v="0"/>
    <n v="0"/>
    <n v="0"/>
    <n v="-156.90599779440709"/>
    <n v="-18.656712448092321"/>
    <n v="0"/>
    <n v="0"/>
    <m/>
    <m/>
    <m/>
    <n v="128595.01596466727"/>
    <n v="0"/>
    <n v="0"/>
    <n v="-29585.84335000001"/>
    <n v="11787.384350000008"/>
    <n v="0"/>
    <n v="0"/>
    <n v="-31945.183267085304"/>
    <n v="0"/>
    <n v="0"/>
    <n v="0"/>
    <n v="0"/>
    <n v="0"/>
    <n v="0"/>
    <n v="0"/>
    <n v="0"/>
    <n v="0"/>
    <n v="0"/>
    <n v="0"/>
    <n v="0"/>
    <n v="8581.227887001048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59"/>
    <s v="Sistema de Compensação"/>
    <s v="Convencional"/>
    <s v="B3"/>
    <s v="Poder público"/>
    <s v="Não se aplica"/>
    <s v="Não se aplica"/>
    <s v="Não se aplica"/>
    <s v="Não se aplica"/>
    <s v="CATIVO"/>
    <x v="6"/>
    <n v="0"/>
    <n v="0"/>
    <n v="1.665"/>
    <n v="1.665"/>
    <n v="1.665"/>
    <n v="1.665"/>
    <m/>
    <n v="368.24"/>
    <n v="173.25"/>
    <m/>
    <n v="901.58085000000005"/>
    <n v="901.58085000000005"/>
    <n v="847.30185000000006"/>
    <n v="0"/>
    <n v="102.47273002695172"/>
    <n v="0"/>
    <n v="0"/>
    <n v="4.261629712526565"/>
    <n v="4.0944705342347625"/>
    <n v="392.16928114654053"/>
    <n v="283.61688352454615"/>
    <n v="4.8405438283511817"/>
    <n v="0"/>
    <n v="0"/>
    <n v="0"/>
    <n v="0"/>
    <n v="15.832535411746807"/>
    <m/>
    <n v="2.0110814294139288"/>
    <n v="9.0466035869965076"/>
    <n v="42.18297790820435"/>
    <n v="0"/>
    <n v="0"/>
    <n v="0"/>
    <n v="0"/>
    <n v="0"/>
    <n v="0"/>
    <n v="0"/>
    <n v="0"/>
    <n v="0"/>
    <n v="0"/>
    <m/>
    <n v="0"/>
    <n v="0"/>
    <n v="0"/>
    <n v="0"/>
    <n v="0"/>
    <n v="14.884753388684908"/>
    <n v="0"/>
    <n v="0.75"/>
    <n v="6.55"/>
    <n v="483.75"/>
    <n v="2"/>
    <m/>
    <m/>
    <m/>
    <m/>
    <m/>
    <m/>
    <m/>
    <m/>
    <m/>
    <n v="298.50163691323104"/>
    <m/>
    <m/>
    <m/>
    <m/>
    <m/>
    <m/>
    <m/>
    <m/>
    <m/>
    <m/>
    <m/>
    <m/>
    <n v="849.84629999999993"/>
    <n v="-51.764550000000099"/>
    <m/>
    <m/>
    <m/>
    <m/>
    <n v="-90.226349999999996"/>
    <n v="35.947350000000007"/>
    <n v="31"/>
    <n v="43.135476143369374"/>
    <n v="0.90147471084808117"/>
    <n v="4.203443584857574"/>
    <n v="0"/>
    <n v="0"/>
    <n v="0"/>
    <n v="0"/>
    <n v="0"/>
    <n v="4.2159480004917729"/>
    <n v="0"/>
    <n v="0"/>
    <n v="35.94329133630805"/>
    <n v="0"/>
    <n v="0"/>
    <n v="0"/>
    <n v="1.8863722810504395"/>
    <n v="0"/>
    <n v="-3.4796496461973589"/>
    <m/>
    <n v="0"/>
    <n v="0"/>
    <n v="0"/>
    <n v="0"/>
    <n v="-0.47850775476026364"/>
    <n v="-5.6896369228931931E-2"/>
    <n v="0"/>
    <n v="0"/>
    <m/>
    <m/>
    <m/>
    <n v="392.16928114654053"/>
    <n v="0"/>
    <n v="0"/>
    <n v="-90.226349999999911"/>
    <n v="35.947350000000029"/>
    <n v="0"/>
    <n v="0"/>
    <n v="-97.421501634165281"/>
    <n v="0"/>
    <n v="0"/>
    <n v="0"/>
    <n v="0"/>
    <n v="0"/>
    <n v="0"/>
    <n v="0"/>
    <n v="0"/>
    <n v="0"/>
    <n v="0"/>
    <n v="0"/>
    <n v="0"/>
    <n v="26.16970764033728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0"/>
    <s v="Regular"/>
    <s v="Verde"/>
    <s v="A4"/>
    <s v="Poder público"/>
    <s v="Não se aplica"/>
    <s v="Não se aplica"/>
    <s v="Não se aplica"/>
    <s v="Ponta"/>
    <s v="CATIVO"/>
    <x v="6"/>
    <n v="0"/>
    <n v="0"/>
    <n v="4.3650000000000002"/>
    <n v="4.3650000000000002"/>
    <n v="4.3650000000000002"/>
    <n v="4.3650000000000002"/>
    <m/>
    <n v="1358.36"/>
    <n v="173.25"/>
    <m/>
    <n v="6685.4776499999998"/>
    <n v="6685.4776499999998"/>
    <n v="5861.8458000000001"/>
    <n v="0"/>
    <n v="233.72091045876888"/>
    <n v="0"/>
    <n v="0"/>
    <n v="82.682215584620309"/>
    <n v="79.439313733774924"/>
    <n v="4402.1361838335715"/>
    <n v="743.53615410489124"/>
    <n v="12.690074360812558"/>
    <n v="0"/>
    <n v="0"/>
    <n v="0"/>
    <n v="0"/>
    <n v="41.506917160525418"/>
    <m/>
    <n v="3.4955523563178819"/>
    <n v="175.52023887414737"/>
    <n v="818.42048164427911"/>
    <n v="0"/>
    <n v="0"/>
    <n v="0"/>
    <n v="0"/>
    <n v="0"/>
    <n v="0"/>
    <n v="0"/>
    <n v="0"/>
    <n v="0"/>
    <n v="0"/>
    <m/>
    <n v="0"/>
    <n v="0"/>
    <n v="0"/>
    <n v="0"/>
    <n v="0"/>
    <n v="32.644335984817346"/>
    <n v="0"/>
    <n v="0"/>
    <n v="0"/>
    <n v="0"/>
    <n v="0"/>
    <m/>
    <m/>
    <m/>
    <m/>
    <m/>
    <m/>
    <m/>
    <m/>
    <m/>
    <n v="776.18049008970854"/>
    <m/>
    <m/>
    <m/>
    <m/>
    <m/>
    <m/>
    <m/>
    <m/>
    <m/>
    <m/>
    <m/>
    <m/>
    <n v="5868.5604000000003"/>
    <n v="-816.94725000000017"/>
    <m/>
    <m/>
    <m/>
    <m/>
    <n v="-917.87219999999991"/>
    <n v="94.240350000000021"/>
    <n v="31"/>
    <n v="269.91724398077076"/>
    <n v="17.490216639368356"/>
    <n v="81.553851669031019"/>
    <n v="0"/>
    <n v="0"/>
    <n v="0"/>
    <n v="0"/>
    <n v="0"/>
    <n v="81.796171958272595"/>
    <n v="0"/>
    <n v="0"/>
    <n v="94.229709719510424"/>
    <n v="0"/>
    <n v="0"/>
    <n v="0"/>
    <n v="4.137076975817827"/>
    <n v="0"/>
    <n v="-7.9364225308807761"/>
    <m/>
    <n v="0"/>
    <n v="0"/>
    <n v="0"/>
    <n v="0"/>
    <n v="-1.2544662759931242"/>
    <n v="-9.8894174355779629E-2"/>
    <n v="0"/>
    <n v="0"/>
    <m/>
    <m/>
    <m/>
    <n v="4402.1361838335715"/>
    <n v="0"/>
    <n v="0"/>
    <n v="-917.87219999999979"/>
    <n v="94.240350000000035"/>
    <n v="0"/>
    <n v="0"/>
    <n v="-1093.5652995903761"/>
    <n v="0"/>
    <n v="0"/>
    <n v="0"/>
    <n v="0"/>
    <n v="0"/>
    <n v="0"/>
    <n v="0"/>
    <n v="0"/>
    <n v="0"/>
    <n v="0"/>
    <n v="0"/>
    <n v="0"/>
    <n v="59.6881521018396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1"/>
    <s v="Sistema de Compensação"/>
    <s v="Verde"/>
    <s v="A4"/>
    <s v="Poder público"/>
    <s v="Não se aplica"/>
    <s v="Não se aplica"/>
    <s v="Não se aplica"/>
    <s v="Ponta"/>
    <s v="CATIVO"/>
    <x v="6"/>
    <n v="0"/>
    <n v="0"/>
    <n v="0.6"/>
    <n v="0.6"/>
    <n v="0.6"/>
    <n v="0.6"/>
    <m/>
    <n v="1358.36"/>
    <n v="173.25"/>
    <m/>
    <n v="918.96600000000001"/>
    <n v="918.96600000000001"/>
    <n v="805.75199999999995"/>
    <n v="0"/>
    <n v="32.126585630071318"/>
    <n v="0"/>
    <n v="0"/>
    <n v="11.36525300132238"/>
    <n v="10.919493296738819"/>
    <n v="605.104630080216"/>
    <n v="102.2042823511878"/>
    <n v="1.74434011832475"/>
    <n v="0"/>
    <n v="0"/>
    <n v="0"/>
    <n v="0"/>
    <n v="5.7054181663952459"/>
    <m/>
    <n v="0.48048829640108337"/>
    <n v="24.126493316034001"/>
    <n v="112.49766070711739"/>
    <n v="0"/>
    <n v="0"/>
    <n v="0"/>
    <n v="0"/>
    <n v="0"/>
    <n v="0"/>
    <n v="0"/>
    <n v="0"/>
    <n v="0"/>
    <n v="0"/>
    <m/>
    <n v="0"/>
    <n v="0"/>
    <n v="0"/>
    <n v="0"/>
    <n v="0"/>
    <n v="4.4871939498030713"/>
    <n v="0"/>
    <n v="0"/>
    <n v="0"/>
    <n v="0"/>
    <n v="0"/>
    <m/>
    <m/>
    <m/>
    <m/>
    <m/>
    <m/>
    <m/>
    <m/>
    <m/>
    <n v="106.69147630099087"/>
    <m/>
    <m/>
    <m/>
    <m/>
    <m/>
    <m/>
    <m/>
    <m/>
    <m/>
    <m/>
    <m/>
    <m/>
    <n v="805.75199999999995"/>
    <n v="-113.24400000000003"/>
    <m/>
    <m/>
    <m/>
    <m/>
    <n v="-126.16799999999998"/>
    <n v="12.954000000000002"/>
    <n v="31"/>
    <n v="37.102026664023356"/>
    <n v="2.4041534899475394"/>
    <n v="11.210151432169212"/>
    <n v="0"/>
    <n v="0"/>
    <n v="0"/>
    <n v="0"/>
    <n v="0"/>
    <n v="11.243460062992797"/>
    <n v="0"/>
    <n v="0"/>
    <n v="12.952537418489399"/>
    <n v="0"/>
    <n v="0"/>
    <n v="0"/>
    <n v="0.56867037468286252"/>
    <n v="0"/>
    <n v="-1.0909171863753606"/>
    <m/>
    <n v="0"/>
    <n v="0"/>
    <n v="0"/>
    <n v="0"/>
    <n v="-0.17243522694063618"/>
    <n v="-1.359370094237522E-2"/>
    <n v="0"/>
    <n v="0"/>
    <m/>
    <m/>
    <m/>
    <n v="605.104630080216"/>
    <n v="0"/>
    <n v="0"/>
    <n v="-126.16800000000001"/>
    <n v="12.953999999999994"/>
    <n v="0"/>
    <n v="0"/>
    <n v="-150.31825423922697"/>
    <n v="0"/>
    <n v="0"/>
    <n v="0"/>
    <n v="0"/>
    <n v="0"/>
    <n v="0"/>
    <n v="0"/>
    <n v="0"/>
    <n v="0"/>
    <n v="0"/>
    <n v="0"/>
    <n v="0"/>
    <n v="8.20455698994359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2"/>
    <s v="Regular"/>
    <s v="Verde"/>
    <s v="A4"/>
    <s v="Poder público"/>
    <s v="Não se aplica"/>
    <s v="Não se aplica"/>
    <s v="Não se aplica"/>
    <s v="Fora ponta"/>
    <s v="CATIVO"/>
    <x v="6"/>
    <n v="0"/>
    <n v="0"/>
    <n v="37.384"/>
    <n v="37.384"/>
    <n v="37.384"/>
    <n v="37.384"/>
    <m/>
    <n v="85.01"/>
    <n v="173.25"/>
    <m/>
    <n v="9654.7918399999999"/>
    <n v="9654.7918399999999"/>
    <n v="10417.799280000001"/>
    <n v="0"/>
    <n v="2001.7004619909771"/>
    <n v="0"/>
    <n v="0"/>
    <n v="0"/>
    <n v="0"/>
    <n v="0"/>
    <n v="6368.0081523613417"/>
    <n v="108.68401830575409"/>
    <n v="0"/>
    <n v="0"/>
    <n v="0"/>
    <n v="0"/>
    <n v="355.48558788753314"/>
    <m/>
    <n v="29.9376241210968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.58209769906341"/>
    <n v="0"/>
    <n v="0"/>
    <n v="0"/>
    <n v="0"/>
    <n v="0"/>
    <m/>
    <m/>
    <m/>
    <m/>
    <m/>
    <m/>
    <m/>
    <m/>
    <m/>
    <n v="6647.5902500604052"/>
    <m/>
    <m/>
    <m/>
    <m/>
    <m/>
    <m/>
    <m/>
    <m/>
    <m/>
    <m/>
    <m/>
    <m/>
    <n v="10416.684600000001"/>
    <n v="761.86275999999998"/>
    <m/>
    <m/>
    <m/>
    <m/>
    <n v="-44.113120000000258"/>
    <n v="807.12056000000018"/>
    <n v="31"/>
    <n v="762.8991310075271"/>
    <n v="0"/>
    <n v="0"/>
    <n v="0"/>
    <n v="0"/>
    <n v="0"/>
    <n v="0"/>
    <n v="0"/>
    <n v="0"/>
    <n v="0"/>
    <n v="0"/>
    <n v="807.02943142134518"/>
    <n v="0"/>
    <n v="0"/>
    <n v="0"/>
    <n v="35.431955478573514"/>
    <n v="0"/>
    <n v="-67.9714134924277"/>
    <m/>
    <n v="0"/>
    <n v="0"/>
    <n v="0"/>
    <n v="0"/>
    <n v="-10.743864206581236"/>
    <n v="-0.84697819338292391"/>
    <n v="0"/>
    <n v="0"/>
    <m/>
    <m/>
    <m/>
    <n v="0"/>
    <n v="0"/>
    <n v="0"/>
    <n v="-44.113119999999981"/>
    <n v="807.1205600000003"/>
    <n v="0"/>
    <n v="0"/>
    <n v="0"/>
    <n v="0"/>
    <n v="0"/>
    <n v="0"/>
    <n v="0"/>
    <n v="0"/>
    <n v="0"/>
    <n v="0"/>
    <n v="0"/>
    <n v="0"/>
    <n v="0"/>
    <n v="0"/>
    <n v="0"/>
    <n v="511.198597520085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3"/>
    <s v="Sistema de Compensação"/>
    <s v="Verde"/>
    <s v="A4"/>
    <s v="Poder público"/>
    <s v="Não se aplica"/>
    <s v="Não se aplica"/>
    <s v="Não se aplica"/>
    <s v="Fora ponta"/>
    <s v="CATIVO"/>
    <x v="6"/>
    <n v="0"/>
    <n v="0"/>
    <n v="1.256"/>
    <n v="1.256"/>
    <n v="1.256"/>
    <n v="1.256"/>
    <m/>
    <n v="85.01"/>
    <n v="173.25"/>
    <m/>
    <n v="324.37456000000003"/>
    <n v="324.37456000000003"/>
    <n v="350.00952000000001"/>
    <n v="0"/>
    <n v="67.251652585615972"/>
    <n v="0"/>
    <n v="0"/>
    <n v="0"/>
    <n v="0"/>
    <n v="0"/>
    <n v="213.94763105515312"/>
    <n v="3.6514853143598103"/>
    <n v="0"/>
    <n v="0"/>
    <n v="0"/>
    <n v="0"/>
    <n v="11.943342028320714"/>
    <m/>
    <n v="1.0058221671329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3931926682544304"/>
    <n v="0"/>
    <n v="0"/>
    <n v="0"/>
    <n v="0"/>
    <n v="0"/>
    <m/>
    <m/>
    <m/>
    <m/>
    <m/>
    <m/>
    <m/>
    <m/>
    <m/>
    <n v="223.34082372340757"/>
    <m/>
    <m/>
    <m/>
    <m/>
    <m/>
    <m/>
    <m/>
    <m/>
    <m/>
    <m/>
    <m/>
    <m/>
    <n v="351.12419999999997"/>
    <n v="26.71963999999997"/>
    <m/>
    <m/>
    <m/>
    <m/>
    <n v="-1.4820800000000085"/>
    <n v="27.117040000000003"/>
    <n v="31"/>
    <n v="25.631321114526429"/>
    <n v="0"/>
    <n v="0"/>
    <n v="0"/>
    <n v="0"/>
    <n v="0"/>
    <n v="0"/>
    <n v="0"/>
    <n v="0"/>
    <n v="0"/>
    <n v="0"/>
    <n v="27.11397832937115"/>
    <n v="0"/>
    <n v="0"/>
    <n v="0"/>
    <n v="1.190416651002792"/>
    <n v="0"/>
    <n v="-2.2836533101457661"/>
    <m/>
    <n v="0"/>
    <n v="0"/>
    <n v="0"/>
    <n v="0"/>
    <n v="-0.36096440839573063"/>
    <n v="-2.8456147306038848E-2"/>
    <n v="0"/>
    <n v="0"/>
    <m/>
    <m/>
    <m/>
    <n v="0"/>
    <n v="0"/>
    <n v="0"/>
    <n v="-1.4820800000000105"/>
    <n v="27.117040000000003"/>
    <n v="0"/>
    <n v="0"/>
    <n v="0"/>
    <n v="0"/>
    <n v="0"/>
    <n v="0"/>
    <n v="0"/>
    <n v="0"/>
    <n v="0"/>
    <n v="0"/>
    <n v="0"/>
    <n v="0"/>
    <n v="0"/>
    <n v="0"/>
    <n v="0"/>
    <n v="17.17487263228193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4"/>
    <s v="Regular"/>
    <s v="Verde"/>
    <s v="A4"/>
    <s v="Poder público"/>
    <s v="Não se aplica"/>
    <s v="Não se aplica"/>
    <s v="Não se aplica"/>
    <s v="Não se aplica"/>
    <s v="CATIVO"/>
    <x v="6"/>
    <n v="212"/>
    <n v="212"/>
    <n v="0"/>
    <n v="0"/>
    <n v="0"/>
    <n v="0"/>
    <n v="27.19"/>
    <m/>
    <m/>
    <n v="5764.2800000000007"/>
    <m/>
    <n v="5764.2800000000007"/>
    <n v="4613.12"/>
    <n v="0"/>
    <n v="0"/>
    <n v="0"/>
    <n v="0"/>
    <n v="49.438530046643571"/>
    <n v="47.495385946529893"/>
    <n v="5073.5904115498133"/>
    <m/>
    <m/>
    <m/>
    <n v="0"/>
    <n v="0"/>
    <n v="0"/>
    <n v="0"/>
    <m/>
    <n v="0"/>
    <n v="104.91558419117837"/>
    <n v="489.31483471843592"/>
    <n v="0"/>
    <n v="0"/>
    <m/>
    <m/>
    <n v="0"/>
    <n v="0"/>
    <n v="0"/>
    <m/>
    <m/>
    <n v="0"/>
    <m/>
    <n v="0"/>
    <n v="0"/>
    <n v="0"/>
    <n v="0"/>
    <m/>
    <n v="0"/>
    <n v="0"/>
    <n v="19.77"/>
    <n v="169.62"/>
    <n v="9351.11"/>
    <n v="5"/>
    <m/>
    <m/>
    <m/>
    <m/>
    <m/>
    <m/>
    <m/>
    <m/>
    <m/>
    <n v="0"/>
    <m/>
    <m/>
    <m/>
    <m/>
    <m/>
    <m/>
    <m/>
    <m/>
    <m/>
    <m/>
    <m/>
    <m/>
    <n v="4613.12"/>
    <n v="-1151.1900000000014"/>
    <m/>
    <m/>
    <m/>
    <m/>
    <n v="-1151.1599999999999"/>
    <n v="0"/>
    <n v="31"/>
    <n v="108.11830165498418"/>
    <n v="10.454613713609177"/>
    <n v="48.759177397307326"/>
    <n v="0"/>
    <n v="0"/>
    <m/>
    <m/>
    <m/>
    <n v="48.9045105440676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73.5904115498133"/>
    <m/>
    <n v="0"/>
    <n v="0"/>
    <n v="-1151.1600000000008"/>
    <m/>
    <n v="0"/>
    <m/>
    <n v="-1260.365919341815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65"/>
    <s v="Sistema de Compensação"/>
    <s v="Verde"/>
    <s v="A4"/>
    <s v="Poder público"/>
    <s v="Não se aplica"/>
    <s v="Não se aplica"/>
    <s v="Não se aplica"/>
    <s v="Não se aplica"/>
    <s v="CATIVO"/>
    <x v="6"/>
    <n v="41"/>
    <n v="41"/>
    <n v="0"/>
    <n v="0"/>
    <n v="0"/>
    <n v="0"/>
    <n v="27.19"/>
    <m/>
    <m/>
    <n v="1114.79"/>
    <m/>
    <n v="1114.79"/>
    <n v="892.16000000000008"/>
    <n v="0"/>
    <n v="0"/>
    <n v="0"/>
    <n v="0"/>
    <n v="9.5612251505301238"/>
    <n v="9.1854284141873848"/>
    <n v="981.21323996953947"/>
    <m/>
    <m/>
    <m/>
    <n v="0"/>
    <n v="0"/>
    <n v="0"/>
    <n v="0"/>
    <m/>
    <n v="0"/>
    <n v="20.290278074709025"/>
    <n v="94.63164256347109"/>
    <n v="0"/>
    <n v="0"/>
    <m/>
    <m/>
    <n v="0"/>
    <n v="0"/>
    <n v="0"/>
    <m/>
    <m/>
    <n v="0"/>
    <m/>
    <n v="0"/>
    <n v="0"/>
    <n v="0"/>
    <n v="0"/>
    <m/>
    <n v="0"/>
    <n v="0"/>
    <n v="1.64"/>
    <n v="14.14"/>
    <n v="871.62"/>
    <n v="1"/>
    <m/>
    <m/>
    <m/>
    <m/>
    <m/>
    <m/>
    <m/>
    <m/>
    <m/>
    <n v="0"/>
    <m/>
    <m/>
    <m/>
    <m/>
    <m/>
    <m/>
    <m/>
    <m/>
    <m/>
    <m/>
    <m/>
    <m/>
    <n v="892.16000000000008"/>
    <n v="-222.65999999999985"/>
    <m/>
    <m/>
    <m/>
    <m/>
    <n v="-222.63"/>
    <n v="0"/>
    <n v="31"/>
    <n v="20.909671546482798"/>
    <n v="2.0218828408395098"/>
    <n v="9.4298409117434119"/>
    <n v="0"/>
    <n v="0"/>
    <m/>
    <m/>
    <m/>
    <n v="9.45794779389987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1.21323996953947"/>
    <m/>
    <n v="0"/>
    <n v="0"/>
    <n v="-222.62999999999988"/>
    <m/>
    <n v="0"/>
    <m/>
    <n v="-243.7500127028982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466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1606.9760000000001"/>
    <n v="1606.9760000000001"/>
    <n v="1606.9760000000001"/>
    <n v="1606.9760000000001"/>
    <m/>
    <n v="199.07"/>
    <n v="95.29"/>
    <m/>
    <n v="473029.45536000002"/>
    <n v="473029.45536000002"/>
    <n v="446530.42112000001"/>
    <n v="0"/>
    <n v="54395.897774345263"/>
    <n v="0"/>
    <n v="0"/>
    <n v="2262.2133140566948"/>
    <n v="2917.5980550885756"/>
    <n v="201860.87460514775"/>
    <n v="150553.1764326171"/>
    <n v="2569.519980486285"/>
    <n v="0"/>
    <n v="0"/>
    <n v="0"/>
    <n v="0"/>
    <n v="8404.4308914144112"/>
    <m/>
    <n v="1067.5482132808588"/>
    <n v="4802.2349340537667"/>
    <n v="22392.113038353222"/>
    <n v="0"/>
    <n v="0"/>
    <n v="0"/>
    <n v="0"/>
    <n v="0"/>
    <n v="0"/>
    <n v="0"/>
    <n v="0"/>
    <n v="0"/>
    <n v="0"/>
    <m/>
    <n v="0"/>
    <n v="0"/>
    <n v="0"/>
    <n v="0"/>
    <n v="0"/>
    <n v="7901.3169993059628"/>
    <n v="0"/>
    <n v="475.2"/>
    <n v="4075.57"/>
    <n v="169817.45"/>
    <n v="66"/>
    <m/>
    <m/>
    <m/>
    <m/>
    <m/>
    <m/>
    <m/>
    <m/>
    <m/>
    <n v="158454.49343192307"/>
    <m/>
    <m/>
    <m/>
    <m/>
    <m/>
    <m/>
    <m/>
    <m/>
    <m/>
    <m/>
    <m/>
    <m/>
    <n v="446531.53260000004"/>
    <n v="-26497.952760000015"/>
    <m/>
    <m/>
    <m/>
    <m/>
    <n v="-45573.839359999976"/>
    <n v="19074.805119999986"/>
    <n v="31"/>
    <n v="23663.925781701342"/>
    <n v="478.53244667681975"/>
    <n v="2231.3262024150245"/>
    <n v="0"/>
    <n v="0"/>
    <n v="0"/>
    <n v="0"/>
    <n v="0"/>
    <n v="3004.1592884214647"/>
    <n v="0"/>
    <n v="0"/>
    <n v="19079.882039729797"/>
    <n v="0"/>
    <n v="0"/>
    <n v="0"/>
    <n v="1001.3484927881482"/>
    <n v="0"/>
    <n v="-1847.112557607179"/>
    <m/>
    <n v="0"/>
    <n v="0"/>
    <n v="0"/>
    <n v="0"/>
    <n v="-254.00766531080444"/>
    <n v="-30.202465411961612"/>
    <n v="0"/>
    <n v="0"/>
    <m/>
    <m/>
    <m/>
    <n v="201860.87460514775"/>
    <n v="0"/>
    <n v="0"/>
    <n v="-45573.839359999984"/>
    <n v="19074.805119999975"/>
    <n v="0"/>
    <n v="0"/>
    <n v="-50145.665330352291"/>
    <n v="0"/>
    <n v="0"/>
    <n v="0"/>
    <n v="0"/>
    <n v="0"/>
    <n v="0"/>
    <n v="0"/>
    <n v="0"/>
    <n v="0"/>
    <n v="0"/>
    <n v="0"/>
    <n v="0"/>
    <n v="13891.74213679957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7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737.51"/>
    <n v="693.25940000000003"/>
    <n v="737.51"/>
    <n v="693.25940000000003"/>
    <m/>
    <n v="368.24"/>
    <n v="173.25"/>
    <m/>
    <n v="399354.28989999997"/>
    <n v="399354.28989999997"/>
    <n v="375311.46389999997"/>
    <n v="0"/>
    <n v="45390.188061367662"/>
    <n v="0"/>
    <n v="0"/>
    <n v="1887.6844019732534"/>
    <n v="1813.6414196417295"/>
    <n v="173710.97089392497"/>
    <n v="125627.80046137419"/>
    <n v="2144.1138011094772"/>
    <n v="0"/>
    <n v="0"/>
    <n v="0"/>
    <n v="0"/>
    <n v="7013.0049198302631"/>
    <m/>
    <n v="890.80640540964953"/>
    <n v="4007.1835504178939"/>
    <n v="18684.905727975849"/>
    <n v="0"/>
    <n v="0"/>
    <n v="0"/>
    <n v="0"/>
    <n v="0"/>
    <n v="0"/>
    <n v="0"/>
    <n v="0"/>
    <n v="0"/>
    <n v="0"/>
    <m/>
    <n v="0"/>
    <n v="0"/>
    <n v="0"/>
    <n v="0"/>
    <n v="0"/>
    <n v="6593.1858688822858"/>
    <n v="0"/>
    <n v="321.5"/>
    <n v="2763.44"/>
    <n v="161089.88"/>
    <n v="200"/>
    <m/>
    <m/>
    <m/>
    <m/>
    <n v="22518.687833999982"/>
    <m/>
    <m/>
    <m/>
    <m/>
    <n v="132220.98633025648"/>
    <m/>
    <m/>
    <m/>
    <m/>
    <m/>
    <m/>
    <m/>
    <m/>
    <m/>
    <m/>
    <m/>
    <m/>
    <n v="352793.08140000002"/>
    <n v="-22599.981106000021"/>
    <m/>
    <m/>
    <m/>
    <m/>
    <n v="-39965.666899999997"/>
    <n v="15922.840900000003"/>
    <n v="31"/>
    <n v="19106.813820117852"/>
    <n v="399.30727567421536"/>
    <n v="1861.9109178788676"/>
    <n v="0"/>
    <n v="0"/>
    <n v="0"/>
    <n v="0"/>
    <n v="0"/>
    <n v="1867.4497356412535"/>
    <n v="0"/>
    <n v="0"/>
    <n v="15921.043119183509"/>
    <n v="0"/>
    <n v="0"/>
    <n v="0"/>
    <n v="835.56661921772411"/>
    <n v="0"/>
    <n v="-1541.3071534937044"/>
    <m/>
    <n v="0"/>
    <n v="0"/>
    <n v="0"/>
    <n v="0"/>
    <n v="-211.95450703498045"/>
    <n v="-25.202186948966641"/>
    <n v="0"/>
    <n v="0"/>
    <m/>
    <m/>
    <m/>
    <n v="173710.97089392497"/>
    <n v="0"/>
    <n v="0"/>
    <n v="-39965.666899999982"/>
    <n v="15922.840899999996"/>
    <n v="0"/>
    <n v="0"/>
    <n v="-43152.751753881792"/>
    <n v="0"/>
    <n v="0"/>
    <n v="0"/>
    <n v="0"/>
    <n v="0"/>
    <n v="0"/>
    <n v="0"/>
    <n v="0"/>
    <n v="0"/>
    <n v="0"/>
    <n v="0"/>
    <n v="0"/>
    <n v="11591.844493588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8"/>
    <s v="Regular"/>
    <s v="Azul"/>
    <s v="A4"/>
    <s v="Serviço público"/>
    <s v="Água, esgoto e saneamento"/>
    <s v="Não se aplica"/>
    <s v="Não se aplica"/>
    <s v="Ponta"/>
    <s v="CATIVO"/>
    <x v="6"/>
    <n v="77"/>
    <n v="72.38"/>
    <n v="3.32"/>
    <n v="3.1208"/>
    <n v="3.32"/>
    <n v="3.1208"/>
    <n v="52.95"/>
    <n v="85.01"/>
    <n v="173.25"/>
    <n v="4077.15"/>
    <n v="857.42319999999995"/>
    <n v="4934.5731999999998"/>
    <n v="4332.4344000000001"/>
    <n v="0"/>
    <n v="177.76710715306129"/>
    <n v="0"/>
    <n v="0"/>
    <n v="60.650301516198319"/>
    <n v="58.269884978667896"/>
    <n v="3228.8959771446453"/>
    <n v="565.53036234323918"/>
    <n v="9.6520153213969504"/>
    <n v="0"/>
    <n v="0"/>
    <n v="0"/>
    <n v="0"/>
    <n v="31.56998052072036"/>
    <m/>
    <n v="2.6587019067526612"/>
    <n v="128.74791796361185"/>
    <n v="600.32471845430166"/>
    <n v="0"/>
    <n v="0"/>
    <n v="0"/>
    <n v="0"/>
    <n v="0"/>
    <n v="0"/>
    <n v="0"/>
    <n v="0"/>
    <n v="0"/>
    <n v="0"/>
    <m/>
    <n v="0"/>
    <n v="0"/>
    <n v="0"/>
    <n v="0"/>
    <n v="0"/>
    <n v="24.829139855576997"/>
    <n v="0"/>
    <n v="0"/>
    <n v="0"/>
    <n v="0"/>
    <n v="0"/>
    <m/>
    <m/>
    <m/>
    <m/>
    <n v="259.94606400000015"/>
    <m/>
    <m/>
    <m/>
    <m/>
    <n v="590.35950219881613"/>
    <m/>
    <m/>
    <m/>
    <m/>
    <m/>
    <m/>
    <m/>
    <m/>
    <m/>
    <m/>
    <m/>
    <m/>
    <n v="4072.2653999999993"/>
    <n v="-566.26340800000162"/>
    <m/>
    <m/>
    <m/>
    <m/>
    <n v="-673.8176000000002"/>
    <n v="71.67880000000001"/>
    <n v="31"/>
    <n v="200.40078571459844"/>
    <n v="12.829454833786372"/>
    <n v="59.821075034329056"/>
    <n v="0"/>
    <n v="0"/>
    <n v="0"/>
    <n v="0"/>
    <n v="0"/>
    <n v="59.998674556492752"/>
    <n v="0"/>
    <n v="0"/>
    <n v="71.670707048974577"/>
    <n v="0"/>
    <n v="0"/>
    <n v="0"/>
    <n v="3.1466427399118366"/>
    <n v="0"/>
    <n v="-6.0364084312769819"/>
    <m/>
    <n v="0"/>
    <n v="0"/>
    <n v="0"/>
    <n v="0"/>
    <n v="-0.95414158907151858"/>
    <n v="-7.5218478547809386E-2"/>
    <n v="0"/>
    <n v="0"/>
    <m/>
    <m/>
    <n v="3228.8959771446453"/>
    <n v="0"/>
    <n v="0"/>
    <n v="0"/>
    <n v="-673.81760000000031"/>
    <n v="71.678800000000024"/>
    <n v="0"/>
    <n v="0"/>
    <n v="-802.11253108424853"/>
    <n v="0"/>
    <n v="0"/>
    <n v="0"/>
    <n v="0"/>
    <n v="0"/>
    <n v="0"/>
    <n v="0"/>
    <n v="0"/>
    <n v="0"/>
    <n v="0"/>
    <n v="0"/>
    <n v="0"/>
    <n v="45.3985486776879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69"/>
    <s v="Regular"/>
    <s v="Azul"/>
    <s v="A4"/>
    <s v="Serviço público"/>
    <s v="Água, esgoto e saneamento"/>
    <s v="Não se aplica"/>
    <s v="Não se aplica"/>
    <s v="Fora ponta"/>
    <s v="CATIVO"/>
    <x v="6"/>
    <n v="77"/>
    <n v="72.38"/>
    <n v="25.353999999999999"/>
    <n v="23.83276"/>
    <n v="25.353999999999999"/>
    <n v="23.83276"/>
    <n v="27.19"/>
    <n v="85.01"/>
    <n v="173.25"/>
    <n v="2093.63"/>
    <n v="6547.9240399999999"/>
    <n v="8641.5540399999991"/>
    <n v="8740.9191800000008"/>
    <n v="0"/>
    <n v="1357.562420108047"/>
    <n v="0"/>
    <n v="0"/>
    <n v="17.956447233922429"/>
    <n v="17.25068263152265"/>
    <n v="1842.7663287232815"/>
    <n v="4318.8122912200261"/>
    <n v="73.70999893334286"/>
    <n v="0"/>
    <n v="0"/>
    <n v="0"/>
    <n v="0"/>
    <n v="241.09195365130844"/>
    <m/>
    <n v="20.303833778255111"/>
    <n v="38.106131993965725"/>
    <n v="177.72284091188473"/>
    <n v="0"/>
    <n v="0"/>
    <n v="0"/>
    <n v="0"/>
    <n v="0"/>
    <n v="0"/>
    <n v="0"/>
    <n v="0"/>
    <n v="0"/>
    <n v="0"/>
    <m/>
    <n v="0"/>
    <n v="0"/>
    <n v="0"/>
    <n v="0"/>
    <n v="0"/>
    <n v="189.61385900551181"/>
    <n v="0"/>
    <n v="0"/>
    <n v="0"/>
    <n v="0"/>
    <n v="0"/>
    <m/>
    <m/>
    <m/>
    <m/>
    <n v="524.45515079999984"/>
    <m/>
    <m/>
    <m/>
    <m/>
    <n v="4508.4261502255376"/>
    <m/>
    <m/>
    <m/>
    <m/>
    <m/>
    <m/>
    <m/>
    <m/>
    <m/>
    <m/>
    <m/>
    <m/>
    <n v="8215.6948999999986"/>
    <n v="92.604102399997828"/>
    <m/>
    <m/>
    <m/>
    <m/>
    <n v="-448.02772000000016"/>
    <n v="547.39286000000004"/>
    <n v="31"/>
    <n v="556.67106749357663"/>
    <n v="3.7971946035278634"/>
    <n v="17.709701224493728"/>
    <n v="0"/>
    <n v="0"/>
    <n v="0"/>
    <n v="0"/>
    <n v="0"/>
    <n v="17.762487320250983"/>
    <n v="0"/>
    <n v="0"/>
    <n v="547.33105618063291"/>
    <n v="0"/>
    <n v="0"/>
    <n v="0"/>
    <n v="24.030114466182141"/>
    <n v="0"/>
    <n v="-46.098523905601496"/>
    <m/>
    <n v="0"/>
    <n v="0"/>
    <n v="0"/>
    <n v="0"/>
    <n v="-7.2865379064214721"/>
    <n v="-0.57442448948830105"/>
    <n v="0"/>
    <n v="0"/>
    <m/>
    <m/>
    <n v="1842.7663287232815"/>
    <n v="0"/>
    <n v="0"/>
    <n v="0"/>
    <n v="-448.02772000000004"/>
    <n v="547.39285999999993"/>
    <n v="0"/>
    <n v="0"/>
    <n v="-457.77441410056531"/>
    <n v="0"/>
    <n v="0"/>
    <n v="0"/>
    <n v="0"/>
    <n v="0"/>
    <n v="0"/>
    <n v="0"/>
    <n v="0"/>
    <n v="0"/>
    <n v="0"/>
    <n v="0"/>
    <n v="0"/>
    <n v="346.6972298717167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0"/>
    <s v="Regular"/>
    <s v="Azul"/>
    <s v="A4"/>
    <s v="Serviço público"/>
    <s v="Água, esgoto e saneamento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58"/>
    <n v="107.82"/>
    <n v="6285.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71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8.77"/>
    <n v="8.77"/>
    <n v="8.77"/>
    <n v="8.77"/>
    <m/>
    <n v="368.24"/>
    <n v="173.25"/>
    <m/>
    <n v="4748.8672999999999"/>
    <n v="4748.8672999999999"/>
    <n v="4462.9652999999998"/>
    <n v="0"/>
    <n v="539.75125665847838"/>
    <n v="0"/>
    <n v="0"/>
    <n v="22.447142690004789"/>
    <n v="21.566670621765084"/>
    <n v="2065.6604178109069"/>
    <n v="1493.885927033195"/>
    <n v="25.496438062846764"/>
    <n v="0"/>
    <n v="0"/>
    <n v="0"/>
    <n v="0"/>
    <n v="83.39419553214384"/>
    <m/>
    <n v="10.592903384961053"/>
    <n v="47.650878953729347"/>
    <n v="222.18901877174304"/>
    <n v="0"/>
    <n v="0"/>
    <n v="0"/>
    <n v="0"/>
    <n v="0"/>
    <n v="0"/>
    <n v="0"/>
    <n v="0"/>
    <n v="0"/>
    <n v="0"/>
    <m/>
    <n v="0"/>
    <n v="0"/>
    <n v="0"/>
    <n v="0"/>
    <n v="0"/>
    <n v="78.401974305565545"/>
    <n v="0"/>
    <n v="4.01"/>
    <n v="34.46"/>
    <n v="1915.55"/>
    <n v="5"/>
    <m/>
    <m/>
    <m/>
    <m/>
    <m/>
    <m/>
    <m/>
    <m/>
    <m/>
    <n v="1572.2879013387605"/>
    <m/>
    <m/>
    <m/>
    <m/>
    <m/>
    <m/>
    <m/>
    <m/>
    <m/>
    <m/>
    <m/>
    <m/>
    <n v="4462.9652999999998"/>
    <n v="-285.9320000000007"/>
    <m/>
    <m/>
    <m/>
    <m/>
    <n v="-475.24629999999996"/>
    <n v="189.34430000000003"/>
    <n v="31"/>
    <n v="227.20608154795718"/>
    <n v="4.7483082367193177"/>
    <n v="22.140660804324881"/>
    <n v="0"/>
    <n v="0"/>
    <n v="0"/>
    <n v="0"/>
    <n v="0"/>
    <n v="22.2065249034912"/>
    <n v="0"/>
    <n v="0"/>
    <n v="189.32292193358649"/>
    <n v="0"/>
    <n v="0"/>
    <n v="0"/>
    <n v="9.9360269698572807"/>
    <n v="0"/>
    <n v="-18.328244682973491"/>
    <m/>
    <n v="0"/>
    <n v="0"/>
    <n v="0"/>
    <n v="0"/>
    <n v="-2.5204282337822974"/>
    <n v="-0.29968838326590408"/>
    <n v="0"/>
    <n v="0"/>
    <m/>
    <m/>
    <m/>
    <n v="2065.6604178109069"/>
    <n v="0"/>
    <n v="0"/>
    <n v="-475.24629999999979"/>
    <n v="189.34429999999998"/>
    <n v="0"/>
    <n v="0"/>
    <n v="-513.14508668566305"/>
    <n v="0"/>
    <n v="0"/>
    <n v="0"/>
    <n v="0"/>
    <n v="0"/>
    <n v="0"/>
    <n v="0"/>
    <n v="0"/>
    <n v="0"/>
    <n v="0"/>
    <n v="0"/>
    <n v="0"/>
    <n v="137.8428444479027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2"/>
    <s v="Sistema de Compensação"/>
    <s v="Convencional"/>
    <s v="B3"/>
    <s v="Consumo próprio"/>
    <s v="Não se aplica"/>
    <s v="Não se aplica"/>
    <s v="Não se aplica"/>
    <s v="Não se aplica"/>
    <s v="CATIVO"/>
    <x v="6"/>
    <n v="0"/>
    <n v="0"/>
    <n v="6.2549999999999999"/>
    <n v="6.2549999999999999"/>
    <n v="6.2549999999999999"/>
    <n v="6.2549999999999999"/>
    <m/>
    <n v="368.24"/>
    <n v="173.25"/>
    <m/>
    <n v="3387.0199499999999"/>
    <n v="3387.0199499999999"/>
    <n v="3183.1069500000003"/>
    <n v="0"/>
    <n v="384.96512091206182"/>
    <n v="0"/>
    <n v="0"/>
    <n v="16.009906217329529"/>
    <n v="15.381929844827891"/>
    <n v="1473.2845967397061"/>
    <n v="1065.4796435111327"/>
    <n v="18.184745733535522"/>
    <n v="0"/>
    <n v="0"/>
    <n v="0"/>
    <n v="0"/>
    <n v="59.47898438467044"/>
    <m/>
    <n v="7.5551437483388133"/>
    <n v="33.985889151149038"/>
    <n v="158.47118727676769"/>
    <n v="0"/>
    <n v="0"/>
    <n v="0"/>
    <n v="0"/>
    <n v="0"/>
    <n v="0"/>
    <n v="0"/>
    <n v="0"/>
    <n v="0"/>
    <n v="0"/>
    <m/>
    <n v="0"/>
    <n v="0"/>
    <n v="0"/>
    <n v="0"/>
    <n v="0"/>
    <n v="55.918397865600056"/>
    <n v="0"/>
    <n v="2.86"/>
    <n v="24.6"/>
    <n v="1471.34"/>
    <n v="1"/>
    <m/>
    <m/>
    <m/>
    <m/>
    <m/>
    <m/>
    <m/>
    <m/>
    <m/>
    <n v="1121.3980413767329"/>
    <m/>
    <m/>
    <m/>
    <m/>
    <m/>
    <m/>
    <m/>
    <m/>
    <m/>
    <m/>
    <m/>
    <m/>
    <n v="3185.6513999999997"/>
    <n v="-201.3985500000008"/>
    <m/>
    <m/>
    <m/>
    <m/>
    <n v="-338.95844999999997"/>
    <n v="135.04545000000002"/>
    <n v="31"/>
    <n v="162.04949145752312"/>
    <n v="3.386621211023872"/>
    <n v="15.791315089059538"/>
    <n v="0"/>
    <n v="0"/>
    <n v="0"/>
    <n v="0"/>
    <n v="0"/>
    <n v="15.838291136982605"/>
    <n v="0"/>
    <n v="0"/>
    <n v="135.030202587752"/>
    <n v="0"/>
    <n v="0"/>
    <n v="0"/>
    <n v="7.0866418125949053"/>
    <n v="0"/>
    <n v="-13.072197319498173"/>
    <m/>
    <n v="0"/>
    <n v="0"/>
    <n v="0"/>
    <n v="0"/>
    <n v="-1.7976372408561261"/>
    <n v="-0.21374581953571692"/>
    <n v="0"/>
    <n v="0"/>
    <m/>
    <m/>
    <m/>
    <n v="1473.2845967397061"/>
    <n v="0"/>
    <n v="0"/>
    <n v="-338.95844999999986"/>
    <n v="135.04545000000007"/>
    <n v="0"/>
    <n v="0"/>
    <n v="-365.98888451753965"/>
    <n v="0"/>
    <n v="0"/>
    <n v="0"/>
    <n v="0"/>
    <n v="0"/>
    <n v="0"/>
    <n v="0"/>
    <n v="0"/>
    <n v="0"/>
    <n v="0"/>
    <n v="0"/>
    <n v="0"/>
    <n v="98.3132260001860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3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5000000000000004"/>
    <n v="4.83"/>
    <n v="35.7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74"/>
    <s v="Regular"/>
    <s v="Convencional"/>
    <s v="B2"/>
    <s v="Rural"/>
    <s v="Agropecuária rural"/>
    <s v="IRRIG./AQUIC."/>
    <s v="Não se aplica"/>
    <s v="Não se aplica"/>
    <s v="CATIVO"/>
    <x v="6"/>
    <n v="0"/>
    <n v="0"/>
    <n v="0.91"/>
    <n v="0.91"/>
    <n v="0.91"/>
    <n v="0.91"/>
    <m/>
    <n v="368.24"/>
    <n v="173.25"/>
    <m/>
    <n v="492.7559"/>
    <n v="492.7559"/>
    <n v="463.08990000000006"/>
    <n v="0"/>
    <n v="56.006116711427062"/>
    <n v="0"/>
    <n v="0"/>
    <n v="2.3291790020415464"/>
    <n v="2.2378187304226027"/>
    <n v="214.33876627228341"/>
    <n v="155.00982823263485"/>
    <n v="2.6455825127925379"/>
    <n v="0"/>
    <n v="0"/>
    <n v="0"/>
    <n v="0"/>
    <n v="8.6532175523661241"/>
    <m/>
    <n v="1.0991496100700751"/>
    <n v="4.9443899484485412"/>
    <n v="23.054960898778354"/>
    <n v="0"/>
    <n v="0"/>
    <n v="0"/>
    <n v="0"/>
    <n v="0"/>
    <n v="0"/>
    <n v="0"/>
    <n v="0"/>
    <n v="0"/>
    <n v="0"/>
    <m/>
    <n v="0"/>
    <n v="0"/>
    <n v="0"/>
    <n v="0"/>
    <n v="0"/>
    <n v="8.1352105607827419"/>
    <n v="0"/>
    <n v="0"/>
    <n v="0"/>
    <n v="0"/>
    <n v="0"/>
    <m/>
    <m/>
    <m/>
    <m/>
    <m/>
    <n v="55.564600000000006"/>
    <m/>
    <m/>
    <m/>
    <n v="163.1450387934176"/>
    <m/>
    <m/>
    <m/>
    <m/>
    <m/>
    <m/>
    <m/>
    <m/>
    <m/>
    <m/>
    <m/>
    <m/>
    <n v="407.52530000000002"/>
    <n v="-26.128800000000012"/>
    <m/>
    <m/>
    <m/>
    <m/>
    <n v="-49.312899999999999"/>
    <n v="19.646900000000002"/>
    <n v="31"/>
    <n v="23.575545519799448"/>
    <n v="0.49269789001306563"/>
    <n v="2.297377574907145"/>
    <n v="0"/>
    <n v="0"/>
    <n v="0"/>
    <n v="0"/>
    <n v="0"/>
    <n v="2.304211820088597"/>
    <n v="0"/>
    <n v="0"/>
    <n v="19.644681751375572"/>
    <n v="0"/>
    <n v="0"/>
    <n v="0"/>
    <n v="1.0309902557092503"/>
    <n v="0"/>
    <n v="-1.9017904973210733"/>
    <m/>
    <n v="0"/>
    <n v="0"/>
    <n v="0"/>
    <n v="0"/>
    <n v="-0.26152676085996518"/>
    <n v="-3.1096514113109652E-2"/>
    <n v="0"/>
    <n v="0"/>
    <m/>
    <m/>
    <m/>
    <n v="214.33876627228341"/>
    <n v="0"/>
    <n v="0"/>
    <n v="-49.312900000000013"/>
    <n v="19.646900000000016"/>
    <n v="0"/>
    <n v="0"/>
    <n v="-53.245385277531767"/>
    <n v="0"/>
    <n v="0"/>
    <n v="0"/>
    <n v="0"/>
    <n v="0"/>
    <n v="0"/>
    <n v="0"/>
    <n v="0"/>
    <n v="0"/>
    <n v="0"/>
    <n v="0"/>
    <n v="0"/>
    <n v="14.3029633349591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5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1.1240000000000001"/>
    <n v="0.4496"/>
    <n v="1.1240000000000001"/>
    <n v="0.4496"/>
    <m/>
    <n v="368.24"/>
    <n v="173.25"/>
    <m/>
    <n v="608.63476000000003"/>
    <n v="608.63476000000003"/>
    <n v="571.99236000000008"/>
    <n v="0"/>
    <n v="69.176785916092342"/>
    <n v="0"/>
    <n v="0"/>
    <n v="2.8769199981260418"/>
    <n v="2.7640750032912154"/>
    <n v="264.74370691213909"/>
    <n v="191.46268893789184"/>
    <n v="3.2677304883283655"/>
    <n v="0"/>
    <n v="0"/>
    <n v="0"/>
    <n v="0"/>
    <n v="10.688150031713763"/>
    <m/>
    <n v="1.3576309469436973"/>
    <n v="6.1071365956661108"/>
    <n v="28.476676978271289"/>
    <n v="0"/>
    <n v="0"/>
    <n v="0"/>
    <n v="0"/>
    <n v="0"/>
    <n v="0"/>
    <n v="0"/>
    <n v="0"/>
    <n v="0"/>
    <n v="0"/>
    <m/>
    <n v="0"/>
    <n v="0"/>
    <n v="0"/>
    <n v="0"/>
    <n v="0"/>
    <n v="10.048326011340443"/>
    <n v="0"/>
    <n v="0"/>
    <n v="0"/>
    <n v="0"/>
    <n v="0"/>
    <m/>
    <m/>
    <m/>
    <m/>
    <m/>
    <m/>
    <n v="370.64799200000004"/>
    <m/>
    <m/>
    <n v="201.51101494923228"/>
    <m/>
    <m/>
    <m/>
    <m/>
    <m/>
    <m/>
    <m/>
    <m/>
    <m/>
    <m/>
    <m/>
    <m/>
    <n v="201.52350000000001"/>
    <n v="-12.745395999999971"/>
    <m/>
    <m/>
    <m/>
    <m/>
    <n v="-60.909560000000006"/>
    <n v="24.267160000000008"/>
    <n v="31"/>
    <n v="29.119684795884154"/>
    <n v="0.60856310810405034"/>
    <n v="2.8376399936215684"/>
    <n v="0"/>
    <n v="0"/>
    <n v="0"/>
    <n v="0"/>
    <n v="0"/>
    <n v="2.8460814129445966"/>
    <n v="0"/>
    <n v="0"/>
    <n v="24.264420097303457"/>
    <n v="0"/>
    <n v="0"/>
    <n v="0"/>
    <n v="1.2734429092496686"/>
    <n v="0"/>
    <n v="-2.3490247461416516"/>
    <m/>
    <n v="0"/>
    <n v="0"/>
    <n v="0"/>
    <n v="0"/>
    <n v="-0.32302865846879136"/>
    <n v="-3.8409320728720386E-2"/>
    <n v="0"/>
    <n v="0"/>
    <m/>
    <m/>
    <m/>
    <n v="264.74370691213909"/>
    <n v="0"/>
    <n v="0"/>
    <n v="-60.909559999999999"/>
    <n v="24.26715999999999"/>
    <n v="0"/>
    <n v="0"/>
    <n v="-65.766827529610651"/>
    <n v="0"/>
    <n v="0"/>
    <n v="0"/>
    <n v="0"/>
    <n v="0"/>
    <n v="0"/>
    <n v="0"/>
    <n v="0"/>
    <n v="0"/>
    <n v="0"/>
    <n v="0"/>
    <n v="0"/>
    <n v="17.66651734999346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6"/>
    <s v="Regular"/>
    <s v="Convencional"/>
    <s v="B1"/>
    <s v="Residencial"/>
    <s v="Residencial"/>
    <s v="Não se aplica"/>
    <s v="Não se aplica"/>
    <s v="Não se aplica"/>
    <s v="CATIVO"/>
    <x v="7"/>
    <n v="0"/>
    <n v="0"/>
    <n v="12374.672"/>
    <n v="12374.672"/>
    <n v="12374.672"/>
    <n v="12374.672"/>
    <m/>
    <n v="368.24"/>
    <n v="173.25"/>
    <m/>
    <n v="6700761.141280001"/>
    <n v="6700761.141280001"/>
    <n v="6297346.8340800004"/>
    <n v="0"/>
    <n v="761601.45527211938"/>
    <n v="0"/>
    <n v="0"/>
    <n v="31673.435362144468"/>
    <n v="30431.06899388586"/>
    <n v="2914694.4280265602"/>
    <n v="2107907.4518188965"/>
    <n v="35976.061367849958"/>
    <n v="0"/>
    <n v="0"/>
    <n v="0"/>
    <n v="0"/>
    <n v="117671.13071997098"/>
    <m/>
    <n v="14946.830663236349"/>
    <n v="67236.487749612759"/>
    <n v="313513.82318154653"/>
    <n v="0"/>
    <n v="0"/>
    <n v="0"/>
    <n v="0"/>
    <n v="0"/>
    <n v="0"/>
    <n v="0"/>
    <n v="0"/>
    <n v="0"/>
    <n v="0"/>
    <m/>
    <n v="0"/>
    <n v="0"/>
    <n v="0"/>
    <n v="0"/>
    <n v="0"/>
    <n v="110626.99158310166"/>
    <n v="0"/>
    <n v="5449.46"/>
    <n v="48648.86"/>
    <n v="2685682.41"/>
    <n v="45731"/>
    <m/>
    <m/>
    <m/>
    <m/>
    <m/>
    <m/>
    <m/>
    <m/>
    <m/>
    <n v="2218534.4434019979"/>
    <m/>
    <m/>
    <m/>
    <m/>
    <m/>
    <m/>
    <m/>
    <m/>
    <m/>
    <m/>
    <m/>
    <m/>
    <n v="6297345.8163000001"/>
    <n v="-403415.35498000029"/>
    <m/>
    <m/>
    <m/>
    <m/>
    <n v="-670583.47568000003"/>
    <n v="267169.16848000005"/>
    <n v="29"/>
    <n v="320593.01431712927"/>
    <n v="6699.9722901140194"/>
    <n v="31240.982362232229"/>
    <n v="0"/>
    <n v="0"/>
    <n v="0"/>
    <n v="0"/>
    <n v="0"/>
    <n v="31333.918123208128"/>
    <n v="0"/>
    <n v="0"/>
    <n v="267139.00353588816"/>
    <n v="0"/>
    <n v="0"/>
    <n v="0"/>
    <n v="14019.96291164626"/>
    <n v="0"/>
    <n v="-25861.57540336845"/>
    <m/>
    <n v="0"/>
    <n v="0"/>
    <n v="0"/>
    <n v="0"/>
    <n v="-3556.3822910598828"/>
    <n v="-422.86721153088547"/>
    <n v="0"/>
    <n v="0"/>
    <m/>
    <m/>
    <m/>
    <n v="2914694.4280265602"/>
    <n v="0"/>
    <n v="0"/>
    <n v="-670583.47568000015"/>
    <n v="267169.16847999999"/>
    <n v="0"/>
    <n v="0"/>
    <n v="-724059.53661877383"/>
    <n v="0"/>
    <n v="0"/>
    <n v="0"/>
    <n v="0"/>
    <n v="0"/>
    <n v="0"/>
    <n v="0"/>
    <n v="0"/>
    <n v="0"/>
    <n v="0"/>
    <n v="0"/>
    <n v="0"/>
    <n v="194499.4284595002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7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5.6040000000000001"/>
    <n v="-5.6040000000000001"/>
    <n v="-5.6040000000000001"/>
    <n v="-5.6040000000000001"/>
    <m/>
    <n v="368.24"/>
    <n v="173.25"/>
    <m/>
    <n v="-3034.5099600000003"/>
    <n v="-3034.5099600000003"/>
    <n v="-2851.8195599999999"/>
    <n v="0"/>
    <n v="-344.89920664927172"/>
    <n v="0"/>
    <n v="0"/>
    <n v="-14.343647392792116"/>
    <n v="-13.781028753064028"/>
    <n v="-1319.9499408679958"/>
    <n v="-954.58799716009412"/>
    <n v="-16.292136705153165"/>
    <n v="0"/>
    <n v="0"/>
    <n v="0"/>
    <n v="0"/>
    <n v="-53.288605674131595"/>
    <m/>
    <n v="-6.7688290272886826"/>
    <n v="-30.448748649566621"/>
    <n v="-141.97802294148781"/>
    <n v="0"/>
    <n v="0"/>
    <n v="0"/>
    <n v="0"/>
    <n v="0"/>
    <n v="0"/>
    <n v="0"/>
    <n v="0"/>
    <n v="0"/>
    <n v="0"/>
    <m/>
    <n v="0"/>
    <n v="0"/>
    <n v="0"/>
    <n v="0"/>
    <n v="0"/>
    <n v="-50.098593387501637"/>
    <n v="0"/>
    <n v="-2.56"/>
    <n v="-22.04"/>
    <n v="-1255.46"/>
    <n v="0"/>
    <m/>
    <m/>
    <m/>
    <m/>
    <m/>
    <m/>
    <m/>
    <m/>
    <m/>
    <n v="-1004.6865905475958"/>
    <m/>
    <m/>
    <m/>
    <m/>
    <m/>
    <m/>
    <m/>
    <m/>
    <m/>
    <m/>
    <m/>
    <m/>
    <n v="-2849.7840000000001"/>
    <n v="184.69595999999956"/>
    <m/>
    <m/>
    <m/>
    <m/>
    <n v="303.68076000000002"/>
    <n v="-120.99036000000002"/>
    <n v="29"/>
    <n v="-145.18390889335842"/>
    <n v="-3.0341527204760617"/>
    <n v="-14.147806516241332"/>
    <n v="0"/>
    <n v="0"/>
    <n v="0"/>
    <n v="0"/>
    <n v="0"/>
    <n v="-14.189893450303842"/>
    <n v="0"/>
    <n v="0"/>
    <n v="-120.97669948869088"/>
    <n v="0"/>
    <n v="0"/>
    <n v="0"/>
    <n v="-6.3490872450490485"/>
    <n v="0"/>
    <n v="11.711685656030056"/>
    <m/>
    <n v="0"/>
    <n v="0"/>
    <n v="0"/>
    <n v="0"/>
    <n v="1.6105450196255333"/>
    <n v="0.19149985174710782"/>
    <n v="0"/>
    <n v="0"/>
    <m/>
    <m/>
    <m/>
    <n v="-1319.9499408679958"/>
    <n v="0"/>
    <n v="0"/>
    <n v="303.68076000000019"/>
    <n v="-120.99036000000001"/>
    <n v="0"/>
    <n v="0"/>
    <n v="327.89795504976701"/>
    <n v="0"/>
    <n v="0"/>
    <n v="0"/>
    <n v="0"/>
    <n v="0"/>
    <n v="0"/>
    <n v="0"/>
    <n v="0"/>
    <n v="0"/>
    <n v="0"/>
    <n v="0"/>
    <n v="0"/>
    <n v="-88.08110607594603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8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93.273"/>
    <n v="193.273"/>
    <n v="193.273"/>
    <n v="193.273"/>
    <m/>
    <n v="368.24"/>
    <n v="173.25"/>
    <m/>
    <n v="104655.39676999999"/>
    <n v="104655.39676999999"/>
    <n v="98354.696970000005"/>
    <n v="0"/>
    <n v="11895.022192491915"/>
    <n v="0"/>
    <n v="0"/>
    <n v="494.68946512261073"/>
    <n v="475.2856477856788"/>
    <n v="45522.963048069258"/>
    <n v="32922.213771435199"/>
    <n v="561.88974614829908"/>
    <n v="0"/>
    <n v="0"/>
    <n v="0"/>
    <n v="0"/>
    <n v="1837.8388087895139"/>
    <m/>
    <n v="233.44609075502595"/>
    <n v="1050.1286576994448"/>
    <n v="4896.5950085599879"/>
    <n v="0"/>
    <n v="0"/>
    <n v="0"/>
    <n v="0"/>
    <n v="0"/>
    <n v="0"/>
    <n v="0"/>
    <n v="0"/>
    <n v="0"/>
    <n v="0"/>
    <m/>
    <n v="0"/>
    <n v="0"/>
    <n v="0"/>
    <n v="0"/>
    <n v="0"/>
    <n v="1727.820385400179"/>
    <n v="0"/>
    <n v="82.14"/>
    <n v="759.62"/>
    <n v="100669.11"/>
    <n v="1434"/>
    <m/>
    <m/>
    <m/>
    <m/>
    <m/>
    <m/>
    <m/>
    <m/>
    <m/>
    <n v="34650.034156835376"/>
    <m/>
    <m/>
    <m/>
    <m/>
    <m/>
    <m/>
    <m/>
    <m/>
    <m/>
    <m/>
    <m/>
    <m/>
    <n v="98353.170300000013"/>
    <n v="-6302.2564699999639"/>
    <m/>
    <m/>
    <m/>
    <m/>
    <n v="-10473.46387"/>
    <n v="4172.7640700000002"/>
    <n v="29"/>
    <n v="5007.1608892837321"/>
    <n v="104.64307614999484"/>
    <n v="487.93522641211894"/>
    <n v="0"/>
    <n v="0"/>
    <n v="0"/>
    <n v="0"/>
    <n v="0"/>
    <n v="489.38673747690478"/>
    <n v="0"/>
    <n v="0"/>
    <n v="4172.2929408061682"/>
    <n v="0"/>
    <n v="0"/>
    <n v="0"/>
    <n v="218.96986779307031"/>
    <n v="0"/>
    <n v="-403.91731295465615"/>
    <m/>
    <n v="0"/>
    <n v="0"/>
    <n v="0"/>
    <n v="0"/>
    <n v="-55.545122694162501"/>
    <n v="-6.6045237056956694"/>
    <n v="0"/>
    <n v="0"/>
    <m/>
    <m/>
    <m/>
    <n v="45522.963048069258"/>
    <n v="0"/>
    <n v="0"/>
    <n v="-10473.46387"/>
    <n v="4172.7640700000047"/>
    <n v="0"/>
    <n v="0"/>
    <n v="-11308.676207411416"/>
    <n v="0"/>
    <n v="0"/>
    <n v="0"/>
    <n v="0"/>
    <n v="0"/>
    <n v="0"/>
    <n v="0"/>
    <n v="0"/>
    <n v="0"/>
    <n v="0"/>
    <n v="0"/>
    <n v="0"/>
    <n v="3037.77651938192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79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54.814"/>
    <n v="54.814"/>
    <n v="54.814"/>
    <n v="54.814"/>
    <m/>
    <n v="281.47000000000003"/>
    <n v="173.25"/>
    <m/>
    <n v="24925.022080000002"/>
    <n v="24925.022080000002"/>
    <n v="23268.542999999998"/>
    <n v="0"/>
    <n v="0"/>
    <n v="0"/>
    <n v="0"/>
    <n v="140.29848111857726"/>
    <n v="134.79538009822477"/>
    <n v="12910.73091697686"/>
    <n v="9337.0425546633469"/>
    <n v="159.3570987430881"/>
    <n v="0"/>
    <n v="0"/>
    <n v="0"/>
    <n v="0"/>
    <n v="0"/>
    <m/>
    <n v="66.207457941078133"/>
    <n v="297.82614355413006"/>
    <n v="1388.7193700061941"/>
    <n v="0"/>
    <n v="0"/>
    <n v="0"/>
    <n v="0"/>
    <n v="0"/>
    <n v="0"/>
    <n v="0"/>
    <n v="0"/>
    <n v="0"/>
    <n v="0"/>
    <m/>
    <n v="0"/>
    <n v="0"/>
    <n v="0"/>
    <n v="0"/>
    <n v="0"/>
    <n v="490.02574909752224"/>
    <n v="0"/>
    <n v="0"/>
    <n v="54.74"/>
    <n v="2597"/>
    <n v="105"/>
    <m/>
    <m/>
    <m/>
    <m/>
    <m/>
    <m/>
    <m/>
    <n v="15124.827020000001"/>
    <m/>
    <n v="9827.0683037608687"/>
    <m/>
    <m/>
    <m/>
    <m/>
    <m/>
    <m/>
    <m/>
    <m/>
    <m/>
    <m/>
    <m/>
    <m/>
    <n v="8143.1216999999997"/>
    <n v="-581.10454000000027"/>
    <m/>
    <m/>
    <m/>
    <m/>
    <n v="-2839.9133400000019"/>
    <n v="1183.4342600000002"/>
    <n v="29"/>
    <n v="1550.3846421013459"/>
    <n v="29.677738618874912"/>
    <n v="138.38291691314316"/>
    <n v="0"/>
    <n v="0"/>
    <n v="0"/>
    <n v="0"/>
    <n v="0"/>
    <n v="138.79457879817181"/>
    <n v="0"/>
    <n v="0"/>
    <n v="1183.3006434284634"/>
    <n v="0"/>
    <n v="0"/>
    <n v="0"/>
    <n v="62.10186799609545"/>
    <n v="0"/>
    <n v="0"/>
    <m/>
    <n v="0"/>
    <n v="0"/>
    <n v="0"/>
    <n v="0"/>
    <n v="0"/>
    <n v="-1.873103653402211"/>
    <n v="0"/>
    <n v="0"/>
    <m/>
    <m/>
    <m/>
    <n v="12910.73091697686"/>
    <n v="0"/>
    <n v="0"/>
    <n v="-2839.913340000001"/>
    <n v="1183.43426"/>
    <n v="0"/>
    <n v="0"/>
    <n v="-3207.2445589039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0"/>
    <s v="Sistema de Compensação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17199999999999999"/>
    <n v="-0.94599999999999995"/>
    <n v="0.17199999999999999"/>
    <n v="-0.94599999999999995"/>
    <m/>
    <n v="281.47000000000003"/>
    <n v="173.25"/>
    <m/>
    <n v="78.211839999999995"/>
    <n v="78.211839999999995"/>
    <n v="73.013999999999996"/>
    <n v="0"/>
    <n v="0"/>
    <n v="0"/>
    <n v="0"/>
    <n v="0.44024042675950098"/>
    <n v="0.42297233146449192"/>
    <n v="40.512382196519496"/>
    <n v="29.298560940673834"/>
    <n v="0.50004416725309497"/>
    <n v="0"/>
    <n v="0"/>
    <n v="0"/>
    <n v="0"/>
    <n v="0"/>
    <m/>
    <n v="0.20775135487038782"/>
    <n v="0.93454403421225163"/>
    <n v="4.3576409610877764"/>
    <n v="0"/>
    <n v="0"/>
    <n v="0"/>
    <n v="0"/>
    <n v="0"/>
    <n v="0"/>
    <n v="0"/>
    <n v="0"/>
    <n v="0"/>
    <n v="0"/>
    <m/>
    <n v="0"/>
    <n v="0"/>
    <n v="0"/>
    <n v="0"/>
    <n v="0"/>
    <n v="1.5376441939061885"/>
    <n v="0"/>
    <n v="0"/>
    <n v="0.17"/>
    <n v="11.95"/>
    <n v="0"/>
    <m/>
    <m/>
    <m/>
    <m/>
    <m/>
    <m/>
    <m/>
    <n v="213.56121999999999"/>
    <m/>
    <n v="30.836205134580023"/>
    <m/>
    <m/>
    <m/>
    <m/>
    <m/>
    <m/>
    <m/>
    <m/>
    <m/>
    <m/>
    <m/>
    <m/>
    <n v="-141.14149999999998"/>
    <n v="9.3938600000000179"/>
    <m/>
    <m/>
    <m/>
    <m/>
    <n v="-8.9113200000000052"/>
    <n v="3.7134800000000001"/>
    <n v="29"/>
    <n v="4.8649279096842264"/>
    <n v="9.3125315474997028E-2"/>
    <n v="0.43422960756486706"/>
    <n v="0"/>
    <n v="0"/>
    <n v="0"/>
    <n v="0"/>
    <n v="0"/>
    <n v="0.43552135500575667"/>
    <n v="0"/>
    <n v="0"/>
    <n v="3.7130607266336249"/>
    <n v="0"/>
    <n v="0"/>
    <n v="0"/>
    <n v="0.19486848789229794"/>
    <n v="0"/>
    <n v="0"/>
    <m/>
    <n v="0"/>
    <n v="0"/>
    <n v="0"/>
    <n v="0"/>
    <n v="0"/>
    <n v="-5.8775828873130764E-3"/>
    <n v="0"/>
    <n v="0"/>
    <m/>
    <m/>
    <m/>
    <n v="40.512382196519496"/>
    <n v="0"/>
    <n v="0"/>
    <n v="-8.9113200000000035"/>
    <n v="3.7134800000000006"/>
    <n v="0"/>
    <n v="0"/>
    <n v="-10.06396293157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1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15.078"/>
    <n v="115.078"/>
    <n v="115.078"/>
    <n v="115.078"/>
    <m/>
    <n v="281.47000000000003"/>
    <n v="173.25"/>
    <m/>
    <n v="52328.268160000007"/>
    <n v="52328.268160000007"/>
    <n v="48850.611000000004"/>
    <n v="0"/>
    <n v="0"/>
    <n v="0"/>
    <n v="0"/>
    <n v="294.54644087575502"/>
    <n v="282.99308116436515"/>
    <n v="27105.139060529484"/>
    <n v="19602.440674016649"/>
    <n v="334.55862022762602"/>
    <n v="0"/>
    <n v="0"/>
    <n v="0"/>
    <n v="0"/>
    <n v="0"/>
    <m/>
    <n v="138.99773497543308"/>
    <n v="625.26429284347387"/>
    <n v="2915.5151541863906"/>
    <n v="0"/>
    <n v="0"/>
    <n v="0"/>
    <n v="0"/>
    <n v="0"/>
    <n v="0"/>
    <n v="0"/>
    <n v="0"/>
    <n v="0"/>
    <n v="0"/>
    <m/>
    <n v="0"/>
    <n v="0"/>
    <n v="0"/>
    <n v="0"/>
    <n v="0"/>
    <n v="1028.7733636414905"/>
    <n v="0"/>
    <n v="16.45"/>
    <n v="179.79"/>
    <n v="9804.67"/>
    <n v="207"/>
    <m/>
    <m/>
    <m/>
    <m/>
    <m/>
    <m/>
    <m/>
    <n v="19541.39518"/>
    <m/>
    <n v="20631.214037658137"/>
    <m/>
    <m/>
    <m/>
    <m/>
    <m/>
    <m/>
    <m/>
    <m/>
    <m/>
    <m/>
    <m/>
    <m/>
    <n v="29309.725200000001"/>
    <n v="-2087.0355399999971"/>
    <m/>
    <m/>
    <m/>
    <m/>
    <n v="-5962.1911800000034"/>
    <n v="2484.5340200000005"/>
    <n v="29"/>
    <n v="3254.9196162246735"/>
    <n v="62.306250315300645"/>
    <n v="290.52485336831251"/>
    <n v="0"/>
    <n v="0"/>
    <n v="0"/>
    <n v="0"/>
    <n v="0"/>
    <n v="291.38910750786323"/>
    <n v="0"/>
    <n v="0"/>
    <n v="2484.2535017415394"/>
    <n v="0"/>
    <n v="0"/>
    <n v="0"/>
    <n v="130.3783479631968"/>
    <n v="0"/>
    <n v="0"/>
    <m/>
    <n v="0"/>
    <n v="0"/>
    <n v="0"/>
    <n v="0"/>
    <n v="0"/>
    <n v="-3.9324446715477563"/>
    <n v="0"/>
    <n v="0"/>
    <m/>
    <m/>
    <m/>
    <n v="27105.139060529484"/>
    <n v="0"/>
    <n v="0"/>
    <n v="-5962.1911800000016"/>
    <n v="2484.5340199999991"/>
    <n v="0"/>
    <n v="0"/>
    <n v="-6733.3763153492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2"/>
    <s v="Sistema de Compensação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.14000000000000001"/>
    <n v="-0.42"/>
    <n v="0.14000000000000001"/>
    <n v="-0.42"/>
    <m/>
    <n v="281.47000000000003"/>
    <n v="173.25"/>
    <m/>
    <n v="63.660800000000009"/>
    <n v="63.660800000000009"/>
    <n v="59.430000000000007"/>
    <n v="0"/>
    <n v="0"/>
    <n v="0"/>
    <n v="0"/>
    <n v="0.35833523108331483"/>
    <n v="0.34427980468040048"/>
    <n v="32.975194811120524"/>
    <n v="23.847665881943822"/>
    <n v="0.40701269427577508"/>
    <n v="0"/>
    <n v="0"/>
    <n v="0"/>
    <n v="0"/>
    <n v="0"/>
    <m/>
    <n v="0.1690999400107808"/>
    <n v="0.760675376684391"/>
    <n v="3.5469170613505163"/>
    <n v="0"/>
    <n v="0"/>
    <n v="0"/>
    <n v="0"/>
    <n v="0"/>
    <n v="0"/>
    <n v="0"/>
    <n v="0"/>
    <n v="0"/>
    <n v="0"/>
    <m/>
    <n v="0"/>
    <n v="0"/>
    <n v="0"/>
    <n v="0"/>
    <n v="0"/>
    <n v="1.2515708555050373"/>
    <n v="0"/>
    <n v="0.02"/>
    <n v="0.22"/>
    <n v="35.93"/>
    <n v="0"/>
    <m/>
    <m/>
    <m/>
    <m/>
    <m/>
    <m/>
    <m/>
    <n v="166.3998"/>
    <m/>
    <n v="25.099236737448859"/>
    <m/>
    <m/>
    <m/>
    <m/>
    <m/>
    <m/>
    <m/>
    <m/>
    <m/>
    <m/>
    <m/>
    <m/>
    <n v="-106.96979999999999"/>
    <n v="7.5887999999999778"/>
    <m/>
    <m/>
    <m/>
    <m/>
    <n v="-7.2534000000000054"/>
    <n v="3.0226000000000006"/>
    <n v="29"/>
    <n v="3.9598250427662407"/>
    <n v="7.5799675386625465E-2"/>
    <n v="0.35344270383186815"/>
    <n v="0"/>
    <n v="0"/>
    <n v="0"/>
    <n v="0"/>
    <n v="0"/>
    <n v="0.35449412616747639"/>
    <n v="0"/>
    <n v="0"/>
    <n v="3.0222587309808588"/>
    <n v="0"/>
    <n v="0"/>
    <n v="0"/>
    <n v="0.1586138854937309"/>
    <n v="0"/>
    <n v="0"/>
    <m/>
    <n v="0"/>
    <n v="0"/>
    <n v="0"/>
    <n v="0"/>
    <n v="0"/>
    <n v="-4.7840790943246003E-3"/>
    <n v="0"/>
    <n v="0"/>
    <m/>
    <m/>
    <m/>
    <n v="32.975194811120524"/>
    <n v="0"/>
    <n v="0"/>
    <n v="-7.2534000000000063"/>
    <n v="3.0226000000000006"/>
    <n v="0"/>
    <n v="0"/>
    <n v="-8.191597735004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3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40.626"/>
    <n v="140.626"/>
    <n v="140.626"/>
    <n v="140.626"/>
    <m/>
    <n v="281.47000000000003"/>
    <n v="173.25"/>
    <m/>
    <n v="63945.454720000002"/>
    <n v="63945.454720000002"/>
    <n v="59695.737000000001"/>
    <n v="0"/>
    <n v="0"/>
    <n v="0"/>
    <n v="0"/>
    <n v="359.93750147373021"/>
    <n v="345.81922723561422"/>
    <n v="33122.641039347393"/>
    <n v="23954.299016530225"/>
    <n v="408.83262246589385"/>
    <n v="0"/>
    <n v="0"/>
    <n v="0"/>
    <n v="0"/>
    <n v="0"/>
    <m/>
    <n v="169.85605831397186"/>
    <n v="764.07668229727972"/>
    <n v="3562.7768476391261"/>
    <n v="0"/>
    <n v="0"/>
    <n v="0"/>
    <n v="0"/>
    <n v="0"/>
    <n v="0"/>
    <n v="0"/>
    <n v="0"/>
    <n v="0"/>
    <n v="0"/>
    <m/>
    <n v="0"/>
    <n v="0"/>
    <n v="0"/>
    <n v="0"/>
    <n v="0"/>
    <n v="1257.1671651875099"/>
    <n v="0"/>
    <n v="36.32"/>
    <n v="315.29000000000002"/>
    <n v="18020.8"/>
    <n v="706"/>
    <m/>
    <m/>
    <m/>
    <m/>
    <m/>
    <m/>
    <m/>
    <n v="5970.9799600000015"/>
    <m/>
    <n v="25211.466181717737"/>
    <m/>
    <m/>
    <m/>
    <m/>
    <m/>
    <m/>
    <m/>
    <m/>
    <m/>
    <m/>
    <m/>
    <m/>
    <n v="53726.285199999998"/>
    <n v="-3823.5290400000085"/>
    <m/>
    <m/>
    <m/>
    <m/>
    <n v="-7285.8330600000045"/>
    <n v="3036.1153400000007"/>
    <n v="29"/>
    <n v="3977.5311176003197"/>
    <n v="76.13860822085428"/>
    <n v="355.02309763614539"/>
    <n v="0"/>
    <n v="0"/>
    <n v="0"/>
    <n v="0"/>
    <n v="0"/>
    <n v="356.07922133162526"/>
    <n v="0"/>
    <n v="0"/>
    <n v="3035.7725450208163"/>
    <n v="0"/>
    <n v="0"/>
    <n v="0"/>
    <n v="159.3231161531528"/>
    <n v="0"/>
    <n v="0"/>
    <m/>
    <n v="0"/>
    <n v="0"/>
    <n v="0"/>
    <n v="0"/>
    <n v="0"/>
    <n v="-4.805470762274922"/>
    <n v="0"/>
    <n v="0"/>
    <m/>
    <m/>
    <m/>
    <n v="33122.641039347393"/>
    <n v="0"/>
    <n v="0"/>
    <n v="-7285.8330600000008"/>
    <n v="3036.1153400000003"/>
    <n v="0"/>
    <n v="0"/>
    <n v="-8228.2258791628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4"/>
    <s v="Sistema de Compensação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0.161"/>
    <n v="0"/>
    <n v="0.161"/>
    <n v="0"/>
    <m/>
    <n v="281.47000000000003"/>
    <n v="173.25"/>
    <m/>
    <n v="73.209920000000011"/>
    <n v="73.209920000000011"/>
    <n v="68.344499999999996"/>
    <n v="0"/>
    <n v="0"/>
    <n v="0"/>
    <n v="0"/>
    <n v="0.41208551574581204"/>
    <n v="0.39592177538246048"/>
    <n v="37.921474032788602"/>
    <n v="27.424815764235394"/>
    <n v="0.46806459841714132"/>
    <n v="0"/>
    <n v="0"/>
    <n v="0"/>
    <n v="0"/>
    <n v="0"/>
    <m/>
    <n v="0.19446493101239792"/>
    <n v="0.8747766831870496"/>
    <n v="4.0789546205530938"/>
    <n v="0"/>
    <n v="0"/>
    <n v="0"/>
    <n v="0"/>
    <n v="0"/>
    <n v="0"/>
    <n v="0"/>
    <n v="0"/>
    <n v="0"/>
    <n v="0"/>
    <m/>
    <n v="0"/>
    <n v="0"/>
    <n v="0"/>
    <n v="0"/>
    <n v="0"/>
    <n v="1.439306483830793"/>
    <n v="0"/>
    <n v="0.04"/>
    <n v="0.36"/>
    <n v="92.2"/>
    <n v="1"/>
    <m/>
    <m/>
    <m/>
    <m/>
    <m/>
    <m/>
    <m/>
    <n v="68.344499999999996"/>
    <m/>
    <n v="28.864122248066188"/>
    <m/>
    <m/>
    <m/>
    <m/>
    <m/>
    <m/>
    <m/>
    <m/>
    <m/>
    <m/>
    <m/>
    <m/>
    <n v="0"/>
    <n v="-0.03"/>
    <m/>
    <m/>
    <m/>
    <m/>
    <n v="-8.3414100000000051"/>
    <n v="3.4759900000000008"/>
    <n v="29"/>
    <n v="4.5537987991811733"/>
    <n v="8.7169626694619251E-2"/>
    <n v="0.40645910940664809"/>
    <n v="0"/>
    <n v="0"/>
    <n v="0"/>
    <n v="0"/>
    <n v="0"/>
    <n v="0.40766824509259786"/>
    <n v="0"/>
    <n v="0"/>
    <n v="3.4755975406279873"/>
    <n v="0"/>
    <n v="0"/>
    <n v="0"/>
    <n v="0.18240596831779032"/>
    <n v="0"/>
    <n v="0"/>
    <m/>
    <n v="0"/>
    <n v="0"/>
    <n v="0"/>
    <n v="0"/>
    <n v="0"/>
    <n v="-5.5016909584733042E-3"/>
    <n v="0"/>
    <n v="0"/>
    <m/>
    <m/>
    <m/>
    <n v="37.921474032788602"/>
    <n v="0"/>
    <n v="0"/>
    <n v="-8.3414100000000104"/>
    <n v="3.4759899999999995"/>
    <n v="0"/>
    <n v="0"/>
    <n v="-9.4203373952556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5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108.628"/>
    <n v="108.628"/>
    <n v="108.628"/>
    <n v="108.628"/>
    <m/>
    <n v="281.47000000000003"/>
    <n v="173.25"/>
    <m/>
    <n v="49395.324160000004"/>
    <n v="49395.324160000004"/>
    <n v="46112.585999999996"/>
    <n v="0"/>
    <n v="0"/>
    <n v="0"/>
    <n v="0"/>
    <n v="278.03742487227373"/>
    <n v="267.1316187344467"/>
    <n v="25585.92472816"/>
    <n v="18503.74463874138"/>
    <n v="315.80696395563496"/>
    <n v="0"/>
    <n v="0"/>
    <n v="0"/>
    <n v="0"/>
    <n v="0"/>
    <m/>
    <n v="131.20705916779355"/>
    <n v="590.21889156051441"/>
    <n v="2752.1036181455988"/>
    <n v="0"/>
    <n v="0"/>
    <n v="0"/>
    <n v="0"/>
    <n v="0"/>
    <n v="0"/>
    <n v="0"/>
    <n v="0"/>
    <n v="0"/>
    <n v="0"/>
    <m/>
    <n v="0"/>
    <n v="0"/>
    <n v="0"/>
    <n v="0"/>
    <n v="0"/>
    <n v="971.11170637000851"/>
    <n v="0"/>
    <n v="34.89"/>
    <n v="279.55"/>
    <n v="15471.82"/>
    <n v="807"/>
    <m/>
    <m/>
    <m/>
    <m/>
    <m/>
    <m/>
    <m/>
    <m/>
    <m/>
    <n v="19474.856345111388"/>
    <m/>
    <m/>
    <m/>
    <m/>
    <m/>
    <m/>
    <m/>
    <m/>
    <m/>
    <m/>
    <m/>
    <m/>
    <n v="46113.434999999998"/>
    <n v="-3281.9191600000049"/>
    <m/>
    <m/>
    <m/>
    <m/>
    <n v="-5628.0166800000034"/>
    <n v="2345.2785200000003"/>
    <n v="29"/>
    <n v="3072.4848196115017"/>
    <n v="58.814050984988285"/>
    <n v="274.24124308462979"/>
    <n v="0"/>
    <n v="0"/>
    <n v="0"/>
    <n v="0"/>
    <n v="0"/>
    <n v="275.05705669514731"/>
    <n v="0"/>
    <n v="0"/>
    <n v="2345.0137244927755"/>
    <n v="0"/>
    <n v="0"/>
    <n v="0"/>
    <n v="123.07077966723568"/>
    <n v="0"/>
    <n v="0"/>
    <m/>
    <n v="0"/>
    <n v="0"/>
    <n v="0"/>
    <n v="0"/>
    <n v="0"/>
    <n v="-3.7120353132735175"/>
    <n v="0"/>
    <n v="0"/>
    <m/>
    <m/>
    <m/>
    <n v="25585.92472816"/>
    <n v="0"/>
    <n v="0"/>
    <n v="-5628.0166800000043"/>
    <n v="2345.2785199999998"/>
    <n v="0"/>
    <n v="0"/>
    <n v="-6355.977705415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6"/>
    <s v="Sistema de Compensação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6.9000000000000006E-2"/>
    <n v="6.9000000000000006E-2"/>
    <n v="6.9000000000000006E-2"/>
    <n v="6.9000000000000006E-2"/>
    <m/>
    <n v="281.47000000000003"/>
    <n v="173.25"/>
    <m/>
    <n v="31.375680000000006"/>
    <n v="31.375680000000006"/>
    <n v="29.290500000000002"/>
    <n v="0"/>
    <n v="0"/>
    <n v="0"/>
    <n v="0"/>
    <n v="0.1766080781767766"/>
    <n v="0.16968076087819736"/>
    <n v="16.252060299766544"/>
    <n v="11.753492470386599"/>
    <n v="0.20059911360734628"/>
    <n v="0"/>
    <n v="0"/>
    <n v="0"/>
    <n v="0"/>
    <n v="0"/>
    <m/>
    <n v="8.3342113291027684E-2"/>
    <n v="0.37490429279444987"/>
    <n v="1.7481234088084687"/>
    <n v="0"/>
    <n v="0"/>
    <n v="0"/>
    <n v="0"/>
    <n v="0"/>
    <n v="0"/>
    <n v="0"/>
    <n v="0"/>
    <n v="0"/>
    <n v="0"/>
    <m/>
    <n v="0"/>
    <n v="0"/>
    <n v="0"/>
    <n v="0"/>
    <n v="0"/>
    <n v="0.61684563592748265"/>
    <n v="0"/>
    <n v="0.02"/>
    <n v="0.18"/>
    <n v="174.94"/>
    <n v="9"/>
    <m/>
    <m/>
    <m/>
    <m/>
    <m/>
    <m/>
    <m/>
    <m/>
    <m/>
    <n v="12.370338106314081"/>
    <m/>
    <m/>
    <m/>
    <m/>
    <m/>
    <m/>
    <m/>
    <m/>
    <m/>
    <m/>
    <m/>
    <m/>
    <n v="29.715000000000003"/>
    <n v="-1.6906800000000075"/>
    <m/>
    <m/>
    <m/>
    <m/>
    <n v="-3.5748900000000026"/>
    <n v="1.4897100000000003"/>
    <n v="29"/>
    <n v="1.9516280567919271"/>
    <n v="3.7358411440551131E-2"/>
    <n v="0.17419676117427785"/>
    <n v="0"/>
    <n v="0"/>
    <n v="0"/>
    <n v="0"/>
    <n v="0"/>
    <n v="0.17471496218254198"/>
    <n v="0"/>
    <n v="0"/>
    <n v="1.4895418031262793"/>
    <n v="0"/>
    <n v="0"/>
    <n v="0"/>
    <n v="7.8173986421910202E-2"/>
    <n v="0"/>
    <n v="0"/>
    <m/>
    <n v="0"/>
    <n v="0"/>
    <n v="0"/>
    <n v="0"/>
    <n v="0"/>
    <n v="-2.3578675536314042E-3"/>
    <n v="0"/>
    <n v="0"/>
    <m/>
    <m/>
    <m/>
    <n v="16.252060299766544"/>
    <n v="0"/>
    <n v="0"/>
    <n v="-3.5748900000000035"/>
    <n v="1.4897099999999988"/>
    <n v="0"/>
    <n v="0"/>
    <n v="-4.037287455109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7"/>
    <s v="Regular"/>
    <s v="Branca"/>
    <s v="B1"/>
    <s v="Residencial"/>
    <s v="Residencial"/>
    <s v="Não se aplica"/>
    <s v="Não se aplica"/>
    <s v="Ponta"/>
    <s v="CATIVO"/>
    <x v="7"/>
    <n v="0"/>
    <n v="0"/>
    <n v="0.60899999999999999"/>
    <n v="0.60899999999999999"/>
    <n v="0.60899999999999999"/>
    <n v="0.60899999999999999"/>
    <m/>
    <n v="775.22"/>
    <n v="173.25"/>
    <m/>
    <n v="577.61823000000004"/>
    <n v="577.61823000000004"/>
    <n v="509.42849999999999"/>
    <n v="0"/>
    <n v="37.481016568416571"/>
    <n v="0"/>
    <n v="0"/>
    <n v="3.8966194256999365"/>
    <n v="3.7437950180174209"/>
    <n v="358.60517798691143"/>
    <n v="103.73734658645562"/>
    <n v="1.7705052200996214"/>
    <n v="0"/>
    <n v="0"/>
    <n v="0"/>
    <n v="0"/>
    <n v="5.7909994388911743"/>
    <m/>
    <n v="0.73558473904689636"/>
    <n v="8.2718759005461227"/>
    <n v="38.570250181445928"/>
    <n v="0"/>
    <n v="0"/>
    <n v="0"/>
    <n v="0"/>
    <n v="0"/>
    <n v="0"/>
    <n v="0"/>
    <n v="0"/>
    <n v="0"/>
    <n v="0"/>
    <m/>
    <n v="0"/>
    <n v="0"/>
    <n v="0"/>
    <n v="0"/>
    <n v="0"/>
    <n v="5.4443332214469118"/>
    <n v="0"/>
    <n v="0"/>
    <n v="0"/>
    <n v="0"/>
    <n v="0"/>
    <m/>
    <m/>
    <m/>
    <m/>
    <m/>
    <m/>
    <m/>
    <m/>
    <m/>
    <n v="109.18167980790253"/>
    <m/>
    <m/>
    <m/>
    <m/>
    <m/>
    <m/>
    <m/>
    <m/>
    <m/>
    <m/>
    <m/>
    <m/>
    <n v="510.26499999999999"/>
    <n v="-67.383230000000026"/>
    <m/>
    <m/>
    <m/>
    <m/>
    <n v="-81.338040000000035"/>
    <n v="13.148310000000002"/>
    <n v="29"/>
    <n v="20.890812817112419"/>
    <n v="0.82427475282925577"/>
    <n v="3.8434429888842985"/>
    <n v="0"/>
    <n v="0"/>
    <n v="0"/>
    <n v="0"/>
    <n v="0"/>
    <n v="3.8548684105774038"/>
    <n v="0"/>
    <n v="0"/>
    <n v="13.146825479766733"/>
    <n v="0"/>
    <n v="0"/>
    <n v="0"/>
    <n v="0.68997040189772907"/>
    <n v="0"/>
    <n v="-1.2727367174379509"/>
    <m/>
    <n v="0"/>
    <n v="0"/>
    <n v="0"/>
    <n v="0"/>
    <n v="-0.17502175534474507"/>
    <n v="-2.0810744060311914E-2"/>
    <n v="0"/>
    <n v="0"/>
    <m/>
    <m/>
    <m/>
    <n v="358.60517798691143"/>
    <n v="0"/>
    <n v="0"/>
    <n v="-81.338040000000035"/>
    <n v="13.148310000000009"/>
    <n v="0"/>
    <n v="0"/>
    <n v="-89.083609075993252"/>
    <n v="0"/>
    <n v="0"/>
    <n v="0"/>
    <n v="0"/>
    <n v="0"/>
    <n v="0"/>
    <n v="0"/>
    <n v="0"/>
    <n v="0"/>
    <n v="0"/>
    <n v="0"/>
    <n v="0"/>
    <n v="9.571983154934178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8"/>
    <s v="Regular"/>
    <s v="Branca"/>
    <s v="B1"/>
    <s v="Residencial"/>
    <s v="Residencial"/>
    <s v="Não se aplica"/>
    <s v="Não se aplica"/>
    <s v="Fora ponta"/>
    <s v="CATIVO"/>
    <x v="7"/>
    <n v="0"/>
    <n v="0"/>
    <n v="5.3319999999999999"/>
    <n v="5.3319999999999999"/>
    <n v="5.3319999999999999"/>
    <n v="5.3319999999999999"/>
    <m/>
    <n v="232.58"/>
    <n v="173.25"/>
    <m/>
    <n v="2163.8855599999997"/>
    <n v="2163.8855599999997"/>
    <n v="2131.1470799999997"/>
    <n v="0"/>
    <n v="328.15891681904299"/>
    <n v="0"/>
    <n v="0"/>
    <n v="6.8237266147722657"/>
    <n v="6.5560711376996252"/>
    <n v="627.94192404605224"/>
    <n v="908.25538916088885"/>
    <n v="15.501369184845945"/>
    <n v="0"/>
    <n v="0"/>
    <n v="0"/>
    <n v="0"/>
    <n v="50.702149438699081"/>
    <m/>
    <n v="6.4402920009820219"/>
    <n v="14.486018913827573"/>
    <n v="67.543434896860546"/>
    <n v="0"/>
    <n v="0"/>
    <n v="0"/>
    <n v="0"/>
    <n v="0"/>
    <n v="0"/>
    <n v="0"/>
    <n v="0"/>
    <n v="0"/>
    <n v="0"/>
    <m/>
    <n v="0"/>
    <n v="0"/>
    <n v="0"/>
    <n v="0"/>
    <n v="0"/>
    <n v="47.666970011091848"/>
    <n v="0"/>
    <n v="0"/>
    <n v="0"/>
    <n v="0"/>
    <n v="0"/>
    <m/>
    <m/>
    <m/>
    <m/>
    <m/>
    <m/>
    <m/>
    <m/>
    <m/>
    <n v="955.9223591719807"/>
    <m/>
    <m/>
    <m/>
    <m/>
    <m/>
    <m/>
    <m/>
    <m/>
    <m/>
    <m/>
    <m/>
    <m/>
    <n v="2130.3477000000003"/>
    <n v="-33.56786000000011"/>
    <m/>
    <m/>
    <m/>
    <m/>
    <n v="-147.85636000000008"/>
    <n v="115.11788000000001"/>
    <n v="29"/>
    <n v="123.21262855245686"/>
    <n v="1.4435008217286196"/>
    <n v="6.7305589172554221"/>
    <n v="0"/>
    <n v="0"/>
    <n v="0"/>
    <n v="0"/>
    <n v="0"/>
    <n v="6.7505810025892288"/>
    <n v="0"/>
    <n v="0"/>
    <n v="115.10488252564244"/>
    <n v="0"/>
    <n v="0"/>
    <n v="0"/>
    <n v="6.0409231246612336"/>
    <n v="0"/>
    <n v="-11.143238386501139"/>
    <m/>
    <n v="0"/>
    <n v="0"/>
    <n v="0"/>
    <n v="0"/>
    <n v="-1.5323743834124457"/>
    <n v="-0.18220506950670501"/>
    <n v="0"/>
    <n v="0"/>
    <m/>
    <m/>
    <m/>
    <n v="627.94192404605224"/>
    <n v="0"/>
    <n v="0"/>
    <n v="-147.85636"/>
    <n v="115.11788000000001"/>
    <n v="0"/>
    <n v="0"/>
    <n v="-155.99142543944959"/>
    <n v="0"/>
    <n v="0"/>
    <n v="0"/>
    <n v="0"/>
    <n v="0"/>
    <n v="0"/>
    <n v="0"/>
    <n v="0"/>
    <n v="0"/>
    <n v="0"/>
    <n v="0"/>
    <n v="0"/>
    <n v="83.8059346175846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89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61"/>
    <n v="23.09"/>
    <n v="1281.71"/>
    <n v="1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90"/>
    <s v="Regular"/>
    <s v="Branca"/>
    <s v="B1"/>
    <s v="Residencial"/>
    <s v="Residencial"/>
    <s v="Não se aplica"/>
    <s v="Não se aplica"/>
    <s v="Intermediário"/>
    <s v="CATIVO"/>
    <x v="7"/>
    <n v="0"/>
    <n v="0"/>
    <n v="0.442"/>
    <n v="0.442"/>
    <n v="0.442"/>
    <n v="0.442"/>
    <m/>
    <n v="503.9"/>
    <n v="173.25"/>
    <m/>
    <n v="299.30029999999999"/>
    <n v="299.30029999999999"/>
    <n v="273.19578000000001"/>
    <n v="0"/>
    <n v="27.202970974121715"/>
    <n v="0"/>
    <n v="0"/>
    <n v="1.6967728035393801"/>
    <n v="1.6302340005791349"/>
    <n v="156.16100594209357"/>
    <n v="75.290487998708343"/>
    <n v="1.2849972204992326"/>
    <n v="0"/>
    <n v="0"/>
    <n v="0"/>
    <n v="0"/>
    <n v="4.2029913825778316"/>
    <m/>
    <n v="0.5338726677483222"/>
    <n v="3.6020009873403929"/>
    <n v="16.795391044894028"/>
    <n v="0"/>
    <n v="0"/>
    <n v="0"/>
    <n v="0"/>
    <n v="0"/>
    <n v="0"/>
    <n v="0"/>
    <n v="0"/>
    <n v="0"/>
    <n v="0"/>
    <m/>
    <n v="0"/>
    <n v="0"/>
    <n v="0"/>
    <n v="0"/>
    <n v="0"/>
    <n v="3.9513879866659032"/>
    <n v="0"/>
    <n v="0"/>
    <n v="0"/>
    <n v="0"/>
    <n v="0"/>
    <m/>
    <m/>
    <m/>
    <m/>
    <m/>
    <m/>
    <m/>
    <m/>
    <m/>
    <n v="79.24187598537425"/>
    <m/>
    <m/>
    <m/>
    <m/>
    <m/>
    <m/>
    <m/>
    <m/>
    <m/>
    <m/>
    <m/>
    <m/>
    <n v="271.95960000000002"/>
    <n v="-27.370699999999943"/>
    <m/>
    <m/>
    <m/>
    <m/>
    <n v="-35.647299999999987"/>
    <n v="9.5427800000000023"/>
    <n v="29"/>
    <n v="12.687768524048749"/>
    <n v="0.35893169931802182"/>
    <n v="1.6736248184389595"/>
    <n v="0"/>
    <n v="0"/>
    <n v="0"/>
    <n v="0"/>
    <n v="0"/>
    <n v="1.6786008636791532"/>
    <n v="0"/>
    <n v="0"/>
    <n v="9.5417025649538516"/>
    <n v="0"/>
    <n v="0"/>
    <n v="0"/>
    <n v="0.50076669563020726"/>
    <n v="0"/>
    <n v="-0.92372681298452264"/>
    <m/>
    <n v="0"/>
    <n v="0"/>
    <n v="0"/>
    <n v="0"/>
    <n v="-0.12702728384626827"/>
    <n v="-1.5104021140653345E-2"/>
    <n v="0"/>
    <n v="0"/>
    <m/>
    <m/>
    <m/>
    <n v="156.16100594209357"/>
    <n v="0"/>
    <n v="0"/>
    <n v="-35.647299999999973"/>
    <n v="9.5427800000000076"/>
    <n v="0"/>
    <n v="0"/>
    <n v="-38.793042767405566"/>
    <n v="0"/>
    <n v="0"/>
    <n v="0"/>
    <n v="0"/>
    <n v="0"/>
    <n v="0"/>
    <n v="0"/>
    <n v="0"/>
    <n v="0"/>
    <n v="0"/>
    <n v="0"/>
    <n v="0"/>
    <n v="6.947153619837285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91"/>
    <s v="Regular"/>
    <s v="Convencional"/>
    <s v="B3"/>
    <s v="Industrial"/>
    <s v="Não se aplica"/>
    <s v="Não se aplica"/>
    <s v="Não se aplica"/>
    <s v="Não se aplica"/>
    <s v="CATIVO"/>
    <x v="7"/>
    <n v="0"/>
    <n v="0"/>
    <n v="544.46900000000005"/>
    <n v="544.46900000000005"/>
    <n v="544.46900000000005"/>
    <n v="544.46900000000005"/>
    <m/>
    <n v="368.24"/>
    <n v="173.25"/>
    <m/>
    <n v="294824.51881000004"/>
    <n v="294824.51881000004"/>
    <n v="277074.82941000001"/>
    <n v="0"/>
    <n v="33509.444351378006"/>
    <n v="0"/>
    <n v="0"/>
    <n v="1393.5887495192953"/>
    <n v="1338.9262926752353"/>
    <n v="128242.65245439987"/>
    <n v="92745.105679114786"/>
    <n v="1582.8985331402641"/>
    <n v="0"/>
    <n v="0"/>
    <n v="0"/>
    <n v="0"/>
    <n v="5177.3722060650889"/>
    <m/>
    <n v="657.6405374123558"/>
    <n v="2958.3154404855263"/>
    <n v="13794.188467688959"/>
    <n v="0"/>
    <n v="0"/>
    <n v="0"/>
    <n v="0"/>
    <n v="0"/>
    <n v="0"/>
    <n v="0"/>
    <n v="0"/>
    <n v="0"/>
    <n v="0"/>
    <m/>
    <n v="0"/>
    <n v="0"/>
    <n v="0"/>
    <n v="0"/>
    <n v="0"/>
    <n v="4867.439515185516"/>
    <n v="0"/>
    <n v="248.28"/>
    <n v="2140.6"/>
    <n v="73642.48"/>
    <n v="291"/>
    <m/>
    <m/>
    <m/>
    <m/>
    <m/>
    <m/>
    <m/>
    <m/>
    <m/>
    <n v="97612.545194300299"/>
    <m/>
    <m/>
    <m/>
    <m/>
    <m/>
    <m/>
    <m/>
    <m/>
    <m/>
    <m/>
    <m/>
    <m/>
    <n v="277075.3383"/>
    <n v="-17749.210510000063"/>
    <m/>
    <m/>
    <m/>
    <m/>
    <n v="-29504.775110000002"/>
    <n v="11755.085710000003"/>
    <n v="29"/>
    <n v="14105.663399582205"/>
    <n v="294.78981041486122"/>
    <n v="1374.5613965188113"/>
    <n v="0"/>
    <n v="0"/>
    <n v="0"/>
    <n v="0"/>
    <n v="0"/>
    <n v="1378.6504455734266"/>
    <n v="0"/>
    <n v="0"/>
    <n v="11753.758492845853"/>
    <n v="0"/>
    <n v="0"/>
    <n v="0"/>
    <n v="616.85959729204387"/>
    <n v="0"/>
    <n v="-1137.874692621881"/>
    <m/>
    <n v="0"/>
    <n v="0"/>
    <n v="0"/>
    <n v="0"/>
    <n v="-156.47605929523434"/>
    <n v="-18.605591145770063"/>
    <n v="0"/>
    <n v="0"/>
    <m/>
    <m/>
    <m/>
    <n v="128242.65245439987"/>
    <n v="0"/>
    <n v="0"/>
    <n v="-29504.775109999988"/>
    <n v="11755.085709999999"/>
    <n v="0"/>
    <n v="0"/>
    <n v="-31857.650194145535"/>
    <n v="0"/>
    <n v="0"/>
    <n v="0"/>
    <n v="0"/>
    <n v="0"/>
    <n v="0"/>
    <n v="0"/>
    <n v="0"/>
    <n v="0"/>
    <n v="0"/>
    <n v="0"/>
    <n v="0"/>
    <n v="8557.714443980061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92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37.426000000000002"/>
    <n v="37.426000000000002"/>
    <n v="37.426000000000002"/>
    <n v="37.426000000000002"/>
    <m/>
    <n v="368.24"/>
    <n v="173.25"/>
    <m/>
    <n v="20265.80474"/>
    <n v="20265.80474"/>
    <n v="19045.717140000001"/>
    <n v="0"/>
    <n v="2303.3900264196368"/>
    <n v="0"/>
    <n v="0"/>
    <n v="95.793245418029571"/>
    <n v="92.035828356919055"/>
    <n v="8815.2117214356913"/>
    <n v="6375.1624521259246"/>
    <n v="108.80612211403684"/>
    <n v="0"/>
    <n v="0"/>
    <n v="0"/>
    <n v="0"/>
    <n v="355.8849671591808"/>
    <m/>
    <n v="45.205245391739155"/>
    <n v="203.35026176992869"/>
    <n v="948.19227098646013"/>
    <n v="0"/>
    <n v="0"/>
    <n v="0"/>
    <n v="0"/>
    <n v="0"/>
    <n v="0"/>
    <n v="0"/>
    <n v="0"/>
    <n v="0"/>
    <n v="0"/>
    <m/>
    <n v="0"/>
    <n v="0"/>
    <n v="0"/>
    <n v="0"/>
    <n v="0"/>
    <n v="334.58064884379661"/>
    <n v="0"/>
    <n v="17.670000000000002"/>
    <n v="153.88999999999999"/>
    <n v="11224.55"/>
    <n v="53"/>
    <m/>
    <m/>
    <m/>
    <m/>
    <m/>
    <m/>
    <m/>
    <m/>
    <m/>
    <n v="6709.7431009697211"/>
    <m/>
    <m/>
    <m/>
    <m/>
    <m/>
    <m/>
    <m/>
    <m/>
    <m/>
    <m/>
    <m/>
    <m/>
    <n v="19047.752700000001"/>
    <n v="-1218.0820400000011"/>
    <m/>
    <m/>
    <m/>
    <m/>
    <n v="-2028.1149399999999"/>
    <n v="808.02734000000021"/>
    <n v="29"/>
    <n v="969.60260068573007"/>
    <n v="20.263418935856038"/>
    <n v="94.485333097224952"/>
    <n v="0"/>
    <n v="0"/>
    <n v="0"/>
    <n v="0"/>
    <n v="0"/>
    <n v="94.766408328171238"/>
    <n v="0"/>
    <n v="0"/>
    <n v="807.93610904064008"/>
    <n v="0"/>
    <n v="0"/>
    <n v="0"/>
    <n v="42.402023417774103"/>
    <n v="0"/>
    <n v="-78.21583643158101"/>
    <m/>
    <n v="0"/>
    <n v="0"/>
    <n v="0"/>
    <n v="0"/>
    <n v="-10.755934672467049"/>
    <n v="-1.278921029887087"/>
    <n v="0"/>
    <n v="0"/>
    <m/>
    <m/>
    <m/>
    <n v="8815.2117214356913"/>
    <n v="0"/>
    <n v="0"/>
    <n v="-2028.1149399999995"/>
    <n v="808.02734000000055"/>
    <n v="0"/>
    <n v="0"/>
    <n v="-2189.8481202163775"/>
    <n v="0"/>
    <n v="0"/>
    <n v="0"/>
    <n v="0"/>
    <n v="0"/>
    <n v="0"/>
    <n v="0"/>
    <n v="0"/>
    <n v="0"/>
    <n v="0"/>
    <n v="0"/>
    <n v="0"/>
    <n v="588.244731619977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93"/>
    <s v="Regular"/>
    <s v="Azul"/>
    <s v="A4"/>
    <s v="Industrial"/>
    <s v="Não se aplica"/>
    <s v="Não se aplica"/>
    <s v="Não se aplica"/>
    <s v="Ponta"/>
    <s v="CATIVO"/>
    <x v="7"/>
    <n v="10623"/>
    <n v="10623"/>
    <n v="508.399"/>
    <n v="508.399"/>
    <n v="508.399"/>
    <n v="508.399"/>
    <n v="52.95"/>
    <n v="85.01"/>
    <n v="173.25"/>
    <n v="562487.85"/>
    <n v="131299.12573999999"/>
    <n v="693786.97573999991"/>
    <n v="611743.29933000007"/>
    <n v="0"/>
    <n v="27221.873346237717"/>
    <n v="0"/>
    <n v="0"/>
    <n v="8367.3786104749961"/>
    <n v="8038.9738717972614"/>
    <n v="445461.84370399435"/>
    <n v="86600.92490510254"/>
    <n v="1478.0346196936412"/>
    <n v="0"/>
    <n v="0"/>
    <n v="0"/>
    <n v="0"/>
    <n v="4834.3814839619608"/>
    <m/>
    <n v="407.13294900335728"/>
    <n v="17762.196526330503"/>
    <n v="82821.421871948653"/>
    <n v="0"/>
    <n v="0"/>
    <n v="0"/>
    <n v="0"/>
    <n v="0"/>
    <n v="0"/>
    <n v="0"/>
    <n v="0"/>
    <n v="0"/>
    <n v="0"/>
    <m/>
    <n v="0"/>
    <n v="0"/>
    <n v="0"/>
    <n v="0"/>
    <n v="0"/>
    <n v="3802.1415281432201"/>
    <n v="0"/>
    <n v="0"/>
    <n v="0"/>
    <n v="0"/>
    <n v="0"/>
    <m/>
    <m/>
    <m/>
    <m/>
    <m/>
    <m/>
    <m/>
    <m/>
    <m/>
    <n v="90403.066433245753"/>
    <m/>
    <m/>
    <m/>
    <m/>
    <m/>
    <m/>
    <m/>
    <m/>
    <m/>
    <m/>
    <m/>
    <m/>
    <n v="611743.57799999998"/>
    <n v="-82043.427739999956"/>
    <m/>
    <m/>
    <m/>
    <m/>
    <n v="-93020.01082000004"/>
    <n v="10976.334410000001"/>
    <n v="29"/>
    <n v="28675.372715271136"/>
    <n v="1769.9649181728928"/>
    <n v="8252.9776635023154"/>
    <n v="0"/>
    <n v="0"/>
    <n v="0"/>
    <n v="0"/>
    <n v="0"/>
    <n v="8277.4794780989942"/>
    <n v="0"/>
    <n v="0"/>
    <n v="10975.095118370984"/>
    <n v="0"/>
    <n v="0"/>
    <n v="0"/>
    <n v="481.85241636398769"/>
    <n v="0"/>
    <n v="-924.36867772674668"/>
    <m/>
    <n v="0"/>
    <n v="0"/>
    <n v="0"/>
    <n v="0"/>
    <n v="-146.10982823565337"/>
    <n v="-11.518373275670967"/>
    <n v="0"/>
    <n v="0"/>
    <m/>
    <m/>
    <n v="445461.84370399435"/>
    <n v="0"/>
    <n v="0"/>
    <n v="0"/>
    <n v="-93020.010819999967"/>
    <n v="10976.33441000001"/>
    <n v="0"/>
    <n v="0"/>
    <n v="-110660.27815205156"/>
    <n v="0"/>
    <n v="0"/>
    <n v="0"/>
    <n v="0"/>
    <n v="0"/>
    <n v="0"/>
    <n v="0"/>
    <n v="0"/>
    <n v="0"/>
    <n v="0"/>
    <n v="0"/>
    <n v="0"/>
    <n v="6951.98094855056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94"/>
    <s v="Regular"/>
    <s v="Azul"/>
    <s v="A4"/>
    <s v="Industrial"/>
    <s v="Não se aplica"/>
    <s v="Não se aplica"/>
    <s v="Não se aplica"/>
    <s v="Fora ponta"/>
    <s v="CATIVO"/>
    <x v="7"/>
    <n v="11260"/>
    <n v="11260"/>
    <n v="4317.4359999999997"/>
    <n v="4317.4359999999997"/>
    <n v="4317.4359999999997"/>
    <n v="4317.4359999999997"/>
    <n v="27.19"/>
    <n v="85.01"/>
    <n v="173.25"/>
    <n v="306159.40000000002"/>
    <n v="1115021.0213599999"/>
    <n v="1421180.42136"/>
    <n v="1448157.49012"/>
    <n v="0"/>
    <n v="231174.12892725432"/>
    <n v="0"/>
    <n v="0"/>
    <n v="2625.8389071943707"/>
    <n v="2522.6322913109743"/>
    <n v="269474.66053797596"/>
    <n v="735434.07996197138"/>
    <n v="12551.794705165892"/>
    <n v="0"/>
    <n v="0"/>
    <n v="0"/>
    <n v="0"/>
    <n v="41054.629644414708"/>
    <m/>
    <n v="3457.4624474345128"/>
    <n v="5572.4031980786249"/>
    <n v="25989.080372309378"/>
    <n v="0"/>
    <n v="0"/>
    <n v="0"/>
    <n v="0"/>
    <n v="0"/>
    <n v="0"/>
    <n v="0"/>
    <n v="0"/>
    <n v="0"/>
    <n v="0"/>
    <m/>
    <n v="0"/>
    <n v="0"/>
    <n v="0"/>
    <n v="0"/>
    <n v="0"/>
    <n v="32288.621163103289"/>
    <n v="0"/>
    <n v="0"/>
    <n v="0"/>
    <n v="0"/>
    <n v="0"/>
    <m/>
    <m/>
    <m/>
    <m/>
    <m/>
    <m/>
    <m/>
    <m/>
    <m/>
    <n v="767722.70112507464"/>
    <m/>
    <m/>
    <m/>
    <m/>
    <m/>
    <m/>
    <m/>
    <m/>
    <m/>
    <m/>
    <m/>
    <m/>
    <n v="1448158.6047999999"/>
    <n v="26978.153439999791"/>
    <m/>
    <m/>
    <m/>
    <m/>
    <n v="-66236.374480000028"/>
    <n v="93213.443240000008"/>
    <n v="29"/>
    <n v="93848.870072054211"/>
    <n v="555.27806799641166"/>
    <n v="2589.7563089324576"/>
    <n v="0"/>
    <n v="0"/>
    <n v="0"/>
    <n v="0"/>
    <n v="0"/>
    <n v="2597.475418519819"/>
    <n v="0"/>
    <n v="0"/>
    <n v="93202.918903221958"/>
    <n v="0"/>
    <n v="0"/>
    <n v="0"/>
    <n v="4091.9965796487995"/>
    <n v="0"/>
    <n v="-7849.9418891261739"/>
    <m/>
    <n v="0"/>
    <n v="0"/>
    <n v="0"/>
    <n v="0"/>
    <n v="-1240.7967607694518"/>
    <n v="-97.816556369741193"/>
    <n v="0"/>
    <n v="0"/>
    <m/>
    <m/>
    <n v="269474.66053797596"/>
    <n v="0"/>
    <n v="0"/>
    <n v="0"/>
    <n v="-66236.374479999999"/>
    <n v="93213.443240000051"/>
    <n v="0"/>
    <n v="0"/>
    <n v="-66942.076659381331"/>
    <n v="0"/>
    <n v="0"/>
    <n v="0"/>
    <n v="0"/>
    <n v="0"/>
    <n v="0"/>
    <n v="0"/>
    <n v="0"/>
    <n v="0"/>
    <n v="0"/>
    <n v="0"/>
    <n v="0"/>
    <n v="59037.74952072356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95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47.99"/>
    <n v="16697.189999999999"/>
    <n v="561773.49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496"/>
    <s v="Regular"/>
    <s v="Verde"/>
    <s v="A4"/>
    <s v="Industrial"/>
    <s v="Não se aplica"/>
    <s v="Não se aplica"/>
    <s v="Não se aplica"/>
    <s v="Ponta"/>
    <s v="CATIVO"/>
    <x v="7"/>
    <n v="0"/>
    <n v="0"/>
    <n v="172.44499999999999"/>
    <n v="172.44499999999999"/>
    <n v="172.44499999999999"/>
    <n v="172.44499999999999"/>
    <m/>
    <n v="1358.36"/>
    <n v="173.25"/>
    <m/>
    <n v="264118.48644999997"/>
    <n v="264118.48644999997"/>
    <n v="231579.83939999997"/>
    <n v="0"/>
    <n v="9233.4484316294147"/>
    <n v="0"/>
    <n v="0"/>
    <n v="3266.4684230217294"/>
    <n v="3138.3533692602095"/>
    <n v="173912.11322363807"/>
    <n v="29374.3624500843"/>
    <n v="501.33788617418588"/>
    <n v="0"/>
    <n v="0"/>
    <n v="0"/>
    <n v="0"/>
    <n v="1639.7847261733802"/>
    <m/>
    <n v="138.09634045480803"/>
    <n v="6934.1552331391385"/>
    <n v="32332.765167731432"/>
    <n v="0"/>
    <n v="0"/>
    <n v="0"/>
    <n v="0"/>
    <n v="0"/>
    <n v="0"/>
    <n v="0"/>
    <n v="0"/>
    <n v="0"/>
    <n v="0"/>
    <m/>
    <n v="0"/>
    <n v="0"/>
    <n v="0"/>
    <n v="0"/>
    <n v="0"/>
    <n v="1289.6569344563179"/>
    <n v="0"/>
    <n v="0"/>
    <n v="0"/>
    <n v="0"/>
    <n v="0"/>
    <m/>
    <m/>
    <m/>
    <m/>
    <m/>
    <m/>
    <m/>
    <m/>
    <m/>
    <n v="30664.019384540617"/>
    <m/>
    <m/>
    <m/>
    <m/>
    <m/>
    <m/>
    <m/>
    <m/>
    <m/>
    <m/>
    <m/>
    <m/>
    <n v="231586.55399999997"/>
    <n v="-32531.962450000021"/>
    <m/>
    <m/>
    <m/>
    <m/>
    <n v="-36261.734599999996"/>
    <n v="3723.0875500000006"/>
    <n v="29"/>
    <n v="10663.431646795885"/>
    <n v="690.97374762333948"/>
    <n v="3221.8909395340343"/>
    <n v="0"/>
    <n v="0"/>
    <n v="0"/>
    <n v="0"/>
    <n v="0"/>
    <n v="3231.4641176046553"/>
    <n v="0"/>
    <n v="0"/>
    <n v="3722.6671918856737"/>
    <n v="0"/>
    <n v="0"/>
    <n v="0"/>
    <n v="163.44060460364358"/>
    <n v="0"/>
    <n v="-313.53869034083255"/>
    <m/>
    <n v="0"/>
    <n v="0"/>
    <n v="0"/>
    <n v="0"/>
    <n v="-49.559321182963231"/>
    <n v="-3.9069429316798221"/>
    <n v="0"/>
    <n v="0"/>
    <m/>
    <m/>
    <m/>
    <n v="173912.11322363807"/>
    <n v="0"/>
    <n v="0"/>
    <n v="-36261.734599999996"/>
    <n v="3723.0875500000002"/>
    <n v="0"/>
    <n v="0"/>
    <n v="-43202.718920472485"/>
    <n v="0"/>
    <n v="0"/>
    <n v="0"/>
    <n v="0"/>
    <n v="0"/>
    <n v="0"/>
    <n v="0"/>
    <n v="0"/>
    <n v="0"/>
    <n v="0"/>
    <n v="0"/>
    <n v="0"/>
    <n v="2358.05805021804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97"/>
    <s v="Sistema de Compensação"/>
    <s v="Verde"/>
    <s v="A4"/>
    <s v="Industrial"/>
    <s v="Não se aplica"/>
    <s v="Não se aplica"/>
    <s v="Não se aplica"/>
    <s v="Ponta"/>
    <s v="CATIVO"/>
    <x v="7"/>
    <n v="0"/>
    <n v="0"/>
    <n v="8.5999999999999993E-2"/>
    <n v="8.5999999999999993E-2"/>
    <n v="8.5999999999999993E-2"/>
    <n v="8.5999999999999993E-2"/>
    <m/>
    <n v="1358.36"/>
    <n v="173.25"/>
    <m/>
    <n v="131.71845999999996"/>
    <n v="131.71845999999996"/>
    <n v="115.49112"/>
    <n v="0"/>
    <n v="4.6048106069768888"/>
    <n v="0"/>
    <n v="0"/>
    <n v="1.6290195968562076"/>
    <n v="1.5651273725325641"/>
    <n v="86.731663644830945"/>
    <n v="14.649280470336917"/>
    <n v="0.25002208362654749"/>
    <n v="0"/>
    <n v="0"/>
    <n v="0"/>
    <n v="0"/>
    <n v="0.81777660384998518"/>
    <m/>
    <n v="6.8869989150821945E-2"/>
    <n v="3.4581307086315398"/>
    <n v="16.124664701353492"/>
    <n v="0"/>
    <n v="0"/>
    <n v="0"/>
    <n v="0"/>
    <n v="0"/>
    <n v="0"/>
    <n v="0"/>
    <n v="0"/>
    <n v="0"/>
    <n v="0"/>
    <m/>
    <n v="0"/>
    <n v="0"/>
    <n v="0"/>
    <n v="0"/>
    <n v="0"/>
    <n v="0.64316446613844025"/>
    <n v="0"/>
    <n v="0"/>
    <n v="0"/>
    <n v="0"/>
    <n v="0"/>
    <m/>
    <m/>
    <m/>
    <m/>
    <m/>
    <m/>
    <m/>
    <m/>
    <m/>
    <n v="15.292444936475357"/>
    <m/>
    <m/>
    <m/>
    <m/>
    <m/>
    <m/>
    <m/>
    <m/>
    <m/>
    <m/>
    <m/>
    <m/>
    <n v="120.86279999999999"/>
    <n v="-10.885659999999973"/>
    <m/>
    <m/>
    <m/>
    <m/>
    <n v="-18.084079999999997"/>
    <n v="1.8567400000000001"/>
    <n v="29"/>
    <n v="5.3179571551766927"/>
    <n v="0.3445953335591474"/>
    <n v="1.6067883719442548"/>
    <n v="0"/>
    <n v="0"/>
    <n v="0"/>
    <n v="0"/>
    <n v="0"/>
    <n v="1.6115626090289676"/>
    <n v="0"/>
    <n v="0"/>
    <n v="1.8565303633168124"/>
    <n v="0"/>
    <n v="0"/>
    <n v="0"/>
    <n v="8.1509420371210228E-2"/>
    <n v="0"/>
    <n v="-0.15636479671380155"/>
    <m/>
    <n v="0"/>
    <n v="0"/>
    <n v="0"/>
    <n v="0"/>
    <n v="-2.4715715861491128E-2"/>
    <n v="-1.9484304684071058E-3"/>
    <n v="0"/>
    <n v="0"/>
    <m/>
    <m/>
    <m/>
    <n v="86.731663644830945"/>
    <n v="0"/>
    <n v="0"/>
    <n v="-18.084079999999986"/>
    <n v="1.8567400000000003"/>
    <n v="0"/>
    <n v="0"/>
    <n v="-21.545616440955854"/>
    <n v="0"/>
    <n v="0"/>
    <n v="0"/>
    <n v="0"/>
    <n v="0"/>
    <n v="0"/>
    <n v="0"/>
    <n v="0"/>
    <n v="0"/>
    <n v="0"/>
    <n v="0"/>
    <n v="0"/>
    <n v="1.17598650189191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98"/>
    <s v="Regular"/>
    <s v="Verde"/>
    <s v="A4"/>
    <s v="Industrial"/>
    <s v="Não se aplica"/>
    <s v="Não se aplica"/>
    <s v="Não se aplica"/>
    <s v="Fora ponta"/>
    <s v="CATIVO"/>
    <x v="7"/>
    <n v="0"/>
    <n v="0"/>
    <n v="3027.4589999999998"/>
    <n v="3027.4589999999998"/>
    <n v="3027.4589999999998"/>
    <n v="3027.4589999999998"/>
    <m/>
    <n v="85.01"/>
    <n v="173.25"/>
    <m/>
    <n v="781871.56134000001"/>
    <n v="781871.56134000001"/>
    <n v="843661.99952999991"/>
    <n v="0"/>
    <n v="162103.20134171681"/>
    <n v="0"/>
    <n v="0"/>
    <n v="0"/>
    <n v="0"/>
    <n v="0"/>
    <n v="515698.7907377411"/>
    <n v="8801.5303171388823"/>
    <n v="0"/>
    <n v="0"/>
    <n v="0"/>
    <n v="0"/>
    <n v="28788.199294361308"/>
    <m/>
    <n v="2424.4310288902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641.326180128097"/>
    <n v="0"/>
    <n v="0"/>
    <n v="0"/>
    <n v="0"/>
    <n v="0"/>
    <m/>
    <m/>
    <m/>
    <m/>
    <m/>
    <m/>
    <m/>
    <m/>
    <m/>
    <n v="538340.11691786919"/>
    <m/>
    <m/>
    <m/>
    <m/>
    <m/>
    <m/>
    <m/>
    <m/>
    <m/>
    <m/>
    <m/>
    <m/>
    <n v="843662.27820000006"/>
    <n v="61790.686860000016"/>
    <m/>
    <m/>
    <m/>
    <m/>
    <n v="-3572.4016200000206"/>
    <n v="65362.839810000005"/>
    <n v="29"/>
    <n v="61781.667030304787"/>
    <n v="0"/>
    <n v="0"/>
    <n v="0"/>
    <n v="0"/>
    <n v="0"/>
    <n v="0"/>
    <n v="0"/>
    <n v="0"/>
    <n v="0"/>
    <n v="0"/>
    <n v="65355.45996740408"/>
    <n v="0"/>
    <n v="0"/>
    <n v="0"/>
    <n v="2869.3770731116711"/>
    <n v="0"/>
    <n v="-5504.5117569112917"/>
    <m/>
    <n v="0"/>
    <n v="0"/>
    <n v="0"/>
    <n v="0"/>
    <n v="-870.0676328641166"/>
    <n v="-68.590620435503752"/>
    <n v="0"/>
    <n v="0"/>
    <m/>
    <m/>
    <m/>
    <n v="0"/>
    <n v="0"/>
    <n v="0"/>
    <n v="-3572.4016200000187"/>
    <n v="65362.839810000034"/>
    <n v="0"/>
    <n v="0"/>
    <n v="0"/>
    <n v="0"/>
    <n v="0"/>
    <n v="0"/>
    <n v="0"/>
    <n v="0"/>
    <n v="0"/>
    <n v="0"/>
    <n v="0"/>
    <n v="0"/>
    <n v="0"/>
    <n v="0"/>
    <n v="0"/>
    <n v="41398.2665003627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499"/>
    <s v="Regular"/>
    <s v="Verde"/>
    <s v="A4"/>
    <s v="Industrial"/>
    <s v="Não se aplica"/>
    <s v="Não se aplica"/>
    <s v="Não se aplica"/>
    <s v="Não se aplica"/>
    <s v="CATIVO"/>
    <x v="7"/>
    <n v="17732"/>
    <n v="17732"/>
    <n v="0"/>
    <n v="0"/>
    <n v="0"/>
    <n v="0"/>
    <n v="27.19"/>
    <m/>
    <m/>
    <n v="482133.08"/>
    <m/>
    <n v="482133.08"/>
    <n v="385848.32000000001"/>
    <n v="0"/>
    <n v="0"/>
    <n v="0"/>
    <n v="0"/>
    <n v="4135.1132772975652"/>
    <n v="3972.5857717163585"/>
    <n v="424362.76027170423"/>
    <m/>
    <m/>
    <m/>
    <n v="0"/>
    <n v="0"/>
    <n v="0"/>
    <n v="0"/>
    <m/>
    <n v="0"/>
    <n v="8775.2978248961081"/>
    <n v="40927.031364279741"/>
    <n v="0"/>
    <n v="0"/>
    <m/>
    <m/>
    <n v="0"/>
    <n v="0"/>
    <n v="0"/>
    <m/>
    <m/>
    <n v="0"/>
    <m/>
    <n v="0"/>
    <n v="0"/>
    <n v="0"/>
    <n v="0"/>
    <m/>
    <n v="0"/>
    <n v="0"/>
    <n v="1373.16"/>
    <n v="11774.39"/>
    <n v="403210.7"/>
    <n v="100"/>
    <m/>
    <m/>
    <m/>
    <m/>
    <m/>
    <m/>
    <m/>
    <m/>
    <m/>
    <n v="0"/>
    <m/>
    <m/>
    <m/>
    <m/>
    <m/>
    <m/>
    <m/>
    <m/>
    <m/>
    <m/>
    <m/>
    <m/>
    <n v="385848.32000000001"/>
    <n v="-96284.790000000037"/>
    <m/>
    <m/>
    <m/>
    <m/>
    <n v="-96284.76"/>
    <n v="0"/>
    <n v="29"/>
    <n v="9043.1779478593526"/>
    <n v="874.43967155527207"/>
    <n v="4078.2911962691287"/>
    <n v="0"/>
    <n v="0"/>
    <m/>
    <m/>
    <m/>
    <n v="4090.44708003494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4362.76027170423"/>
    <m/>
    <n v="0"/>
    <n v="0"/>
    <n v="-96284.760000000009"/>
    <m/>
    <n v="0"/>
    <m/>
    <n v="-105418.90793287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00"/>
    <s v="Sistema de Compensação"/>
    <s v="Verde"/>
    <s v="A4"/>
    <s v="Industrial"/>
    <s v="Não se aplica"/>
    <s v="Não se aplica"/>
    <s v="Não se aplica"/>
    <s v="Não se aplica"/>
    <s v="CATIVO"/>
    <x v="7"/>
    <n v="566"/>
    <n v="566"/>
    <n v="0"/>
    <n v="0"/>
    <n v="0"/>
    <n v="0"/>
    <n v="27.19"/>
    <m/>
    <m/>
    <n v="15389.54"/>
    <m/>
    <n v="15389.54"/>
    <n v="12316.160000000002"/>
    <n v="0"/>
    <n v="0"/>
    <n v="0"/>
    <n v="0"/>
    <n v="131.99154720000124"/>
    <n v="126.80371908365998"/>
    <n v="13545.529117628277"/>
    <m/>
    <m/>
    <m/>
    <n v="0"/>
    <n v="0"/>
    <n v="0"/>
    <n v="0"/>
    <m/>
    <n v="0"/>
    <n v="280.10481439720263"/>
    <n v="1306.3782851445035"/>
    <n v="0"/>
    <n v="0"/>
    <m/>
    <m/>
    <n v="0"/>
    <n v="0"/>
    <n v="0"/>
    <m/>
    <m/>
    <n v="0"/>
    <m/>
    <n v="0"/>
    <n v="0"/>
    <n v="0"/>
    <n v="0"/>
    <m/>
    <n v="0"/>
    <n v="0"/>
    <n v="10.220000000000001"/>
    <n v="87.78"/>
    <n v="3383.66"/>
    <n v="5"/>
    <m/>
    <m/>
    <m/>
    <m/>
    <m/>
    <m/>
    <m/>
    <m/>
    <m/>
    <n v="0"/>
    <m/>
    <m/>
    <m/>
    <m/>
    <m/>
    <m/>
    <m/>
    <m/>
    <m/>
    <m/>
    <m/>
    <m/>
    <n v="12316.160000000002"/>
    <n v="-3073.41"/>
    <m/>
    <m/>
    <m/>
    <m/>
    <n v="-3073.3799999999997"/>
    <n v="0"/>
    <n v="29"/>
    <n v="288.6554657392503"/>
    <n v="27.911846046711275"/>
    <n v="130.1778038060188"/>
    <n v="0"/>
    <n v="0"/>
    <m/>
    <m/>
    <m/>
    <n v="130.565815886520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545.529117628277"/>
    <m/>
    <n v="0"/>
    <n v="0"/>
    <n v="-3073.3799999999992"/>
    <m/>
    <n v="0"/>
    <m/>
    <n v="-3364.939199752207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01"/>
    <s v="Regular"/>
    <s v="Branca"/>
    <s v="B3"/>
    <s v="Industrial"/>
    <s v="Não se aplica"/>
    <s v="Não se aplica"/>
    <s v="Não se aplica"/>
    <s v="Ponta"/>
    <s v="CATIVO"/>
    <x v="7"/>
    <n v="0"/>
    <n v="0"/>
    <n v="1.7999999999999999E-2"/>
    <n v="1.7999999999999999E-2"/>
    <n v="1.7999999999999999E-2"/>
    <n v="1.7999999999999999E-2"/>
    <m/>
    <n v="1553.42"/>
    <n v="173.25"/>
    <m/>
    <n v="31.08006"/>
    <n v="31.08006"/>
    <n v="29.488320000000002"/>
    <n v="0"/>
    <n v="1.1078132975886672"/>
    <n v="0"/>
    <n v="0"/>
    <n v="1.9520864289109259"/>
    <n v="0.13499316187452809"/>
    <n v="12.930982261964981"/>
    <n v="3.066128470535634"/>
    <n v="5.23302035497425E-2"/>
    <n v="0"/>
    <n v="0"/>
    <n v="0"/>
    <n v="0"/>
    <n v="0.17116254499185737"/>
    <m/>
    <n v="2.1741420858528957E-2"/>
    <n v="5.6799713649644454"/>
    <n v="5.5189097006721477"/>
    <n v="0"/>
    <n v="0"/>
    <n v="0"/>
    <n v="0"/>
    <n v="0"/>
    <n v="0"/>
    <n v="0"/>
    <n v="0"/>
    <n v="0"/>
    <n v="0"/>
    <m/>
    <n v="0"/>
    <n v="0"/>
    <n v="0"/>
    <n v="0"/>
    <n v="0"/>
    <n v="0.16091625285064765"/>
    <n v="0"/>
    <n v="0"/>
    <n v="0"/>
    <n v="0"/>
    <n v="0"/>
    <m/>
    <m/>
    <m/>
    <m/>
    <m/>
    <m/>
    <m/>
    <m/>
    <m/>
    <n v="3.2270447233862818"/>
    <m/>
    <m/>
    <m/>
    <m/>
    <m/>
    <m/>
    <m/>
    <m/>
    <m/>
    <m/>
    <m/>
    <m/>
    <n v="32.764800000000001"/>
    <n v="1.6547399999999968"/>
    <m/>
    <m/>
    <m/>
    <m/>
    <n v="-1.9803599999999995"/>
    <n v="0.38862000000000002"/>
    <n v="29"/>
    <n v="1.6205061394194438"/>
    <n v="0.56599700590580415"/>
    <n v="0.54994755531915018"/>
    <n v="0"/>
    <n v="0"/>
    <n v="0"/>
    <n v="0"/>
    <n v="0"/>
    <n v="0.13899822849533428"/>
    <n v="0"/>
    <n v="0"/>
    <n v="0.38857612255468155"/>
    <n v="0"/>
    <n v="0"/>
    <n v="0"/>
    <n v="2.0393213849193959E-2"/>
    <n v="0"/>
    <n v="-3.7617834012944495E-2"/>
    <m/>
    <n v="0"/>
    <n v="0"/>
    <n v="0"/>
    <n v="0"/>
    <n v="-5.1730568082190842E-3"/>
    <n v="-6.1509588355601955E-4"/>
    <n v="0"/>
    <n v="0"/>
    <m/>
    <m/>
    <m/>
    <n v="12.930982261964981"/>
    <n v="0"/>
    <n v="0"/>
    <n v="-1.9803599999999975"/>
    <n v="0.38862000000000041"/>
    <n v="0"/>
    <n v="0"/>
    <n v="-3.2122753365137946"/>
    <n v="0"/>
    <n v="0"/>
    <n v="0"/>
    <n v="0"/>
    <n v="0"/>
    <n v="0"/>
    <n v="0"/>
    <n v="0"/>
    <n v="0"/>
    <n v="0"/>
    <n v="0"/>
    <n v="0"/>
    <n v="0.2829157582739165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02"/>
    <s v="Regular"/>
    <s v="Branca"/>
    <s v="B3"/>
    <s v="Industrial"/>
    <s v="Não se aplica"/>
    <s v="Não se aplica"/>
    <s v="Não se aplica"/>
    <s v="Fora ponta"/>
    <s v="CATIVO"/>
    <x v="7"/>
    <n v="0"/>
    <n v="0"/>
    <n v="2.7469999999999999"/>
    <n v="2.7469999999999999"/>
    <n v="2.7469999999999999"/>
    <n v="2.7469999999999999"/>
    <m/>
    <n v="388.22"/>
    <n v="173.25"/>
    <m/>
    <n v="1542.3580900000002"/>
    <n v="1542.3580900000002"/>
    <n v="1538.4024099999999"/>
    <n v="0"/>
    <n v="169.06461824867048"/>
    <n v="0"/>
    <n v="0"/>
    <n v="59.582015780203491"/>
    <n v="4.1202951404075803"/>
    <n v="394.68260997940951"/>
    <n v="467.92527269785478"/>
    <n v="7.986170508396814"/>
    <n v="0"/>
    <n v="0"/>
    <n v="0"/>
    <n v="0"/>
    <n v="26.1213061718129"/>
    <m/>
    <n v="3.3179823943543916"/>
    <n v="173.3653482173037"/>
    <n v="168.44938830829324"/>
    <n v="0"/>
    <n v="0"/>
    <n v="0"/>
    <n v="0"/>
    <n v="0"/>
    <n v="0"/>
    <n v="0"/>
    <n v="0"/>
    <n v="0"/>
    <n v="0"/>
    <m/>
    <n v="0"/>
    <n v="0"/>
    <n v="0"/>
    <n v="0"/>
    <n v="0"/>
    <n v="24.557608143373837"/>
    <n v="0"/>
    <n v="0"/>
    <n v="0"/>
    <n v="0"/>
    <n v="0"/>
    <m/>
    <m/>
    <m/>
    <m/>
    <m/>
    <m/>
    <m/>
    <m/>
    <m/>
    <n v="492.48288084122862"/>
    <m/>
    <m/>
    <m/>
    <m/>
    <m/>
    <m/>
    <m/>
    <m/>
    <m/>
    <m/>
    <m/>
    <m/>
    <n v="1540.0825"/>
    <n v="-2.3055900000001657"/>
    <m/>
    <m/>
    <m/>
    <m/>
    <n v="-63.263410000000079"/>
    <n v="59.307730000000006"/>
    <n v="29"/>
    <n v="94.092675652676917"/>
    <n v="17.275486391369071"/>
    <n v="16.785621494018642"/>
    <n v="0"/>
    <n v="0"/>
    <n v="0"/>
    <n v="0"/>
    <n v="0"/>
    <n v="4.2425387882010357"/>
    <n v="0"/>
    <n v="0"/>
    <n v="59.301033814317293"/>
    <n v="0"/>
    <n v="0"/>
    <n v="0"/>
    <n v="3.1122310246519902"/>
    <n v="0"/>
    <n v="-5.7408994463087879"/>
    <m/>
    <n v="0"/>
    <n v="0"/>
    <n v="0"/>
    <n v="0"/>
    <n v="-0.78946594734320996"/>
    <n v="-9.3870466229355021E-2"/>
    <n v="0"/>
    <n v="0"/>
    <m/>
    <m/>
    <m/>
    <n v="394.68260997940951"/>
    <n v="0"/>
    <n v="0"/>
    <n v="-63.263410000000135"/>
    <n v="59.307729999999992"/>
    <n v="0"/>
    <n v="0"/>
    <n v="-98.045855148755265"/>
    <n v="0"/>
    <n v="0"/>
    <n v="0"/>
    <n v="0"/>
    <n v="0"/>
    <n v="0"/>
    <n v="0"/>
    <n v="0"/>
    <n v="0"/>
    <n v="0"/>
    <n v="0"/>
    <n v="0"/>
    <n v="43.17608822102494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03"/>
    <s v="Regular"/>
    <s v="Branca"/>
    <s v="B3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5"/>
    <n v="12.89"/>
    <n v="440.0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04"/>
    <s v="Regular"/>
    <s v="Branca"/>
    <s v="B3"/>
    <s v="Industrial"/>
    <s v="Não se aplica"/>
    <s v="Não se aplica"/>
    <s v="Não se aplica"/>
    <s v="Intermediário"/>
    <s v="CATIVO"/>
    <x v="7"/>
    <n v="0"/>
    <n v="0"/>
    <n v="0.14000000000000001"/>
    <n v="0.14000000000000001"/>
    <n v="0.14000000000000001"/>
    <n v="0.14000000000000001"/>
    <m/>
    <n v="970.82"/>
    <n v="173.25"/>
    <m/>
    <n v="160.16980000000001"/>
    <n v="160.16980000000001"/>
    <n v="153.87819999999999"/>
    <n v="0"/>
    <n v="8.6163256479118573"/>
    <n v="0"/>
    <n v="0"/>
    <n v="9.1097366682510028"/>
    <n v="0.62996867818390245"/>
    <n v="60.344598965956905"/>
    <n v="23.847665881943822"/>
    <n v="0.40701269427577508"/>
    <n v="0"/>
    <n v="0"/>
    <n v="0"/>
    <n v="0"/>
    <n v="1.3312642388255576"/>
    <m/>
    <n v="0.1690999400107808"/>
    <n v="26.506533036500723"/>
    <n v="25.754911936470084"/>
    <n v="0"/>
    <n v="0"/>
    <n v="0"/>
    <n v="0"/>
    <n v="0"/>
    <n v="0"/>
    <n v="0"/>
    <n v="0"/>
    <n v="0"/>
    <n v="0"/>
    <m/>
    <n v="0"/>
    <n v="0"/>
    <n v="0"/>
    <n v="0"/>
    <n v="0"/>
    <n v="1.2515708555050373"/>
    <n v="0"/>
    <n v="0"/>
    <n v="0"/>
    <n v="0"/>
    <n v="0"/>
    <m/>
    <m/>
    <m/>
    <m/>
    <m/>
    <m/>
    <m/>
    <m/>
    <m/>
    <n v="25.099236737448859"/>
    <m/>
    <m/>
    <m/>
    <m/>
    <m/>
    <m/>
    <m/>
    <m/>
    <m/>
    <m/>
    <m/>
    <m/>
    <n v="153.87819999999999"/>
    <n v="-6.3215999999999894"/>
    <m/>
    <m/>
    <m/>
    <m/>
    <n v="-9.3142000000000138"/>
    <n v="3.0226000000000006"/>
    <n v="29"/>
    <n v="8.6996707899452304"/>
    <n v="2.6413193608937817"/>
    <n v="2.5664219248225564"/>
    <n v="0"/>
    <n v="0"/>
    <n v="0"/>
    <n v="0"/>
    <n v="0"/>
    <n v="0.64865900656878162"/>
    <n v="0"/>
    <n v="0"/>
    <n v="3.0222587309808588"/>
    <n v="0"/>
    <n v="0"/>
    <n v="0"/>
    <n v="0.1586138854937309"/>
    <n v="0"/>
    <n v="-0.29258315343401264"/>
    <m/>
    <n v="0"/>
    <n v="0"/>
    <n v="0"/>
    <n v="0"/>
    <n v="-4.0234886286148352E-2"/>
    <n v="-4.7840790943246003E-3"/>
    <n v="0"/>
    <n v="0"/>
    <m/>
    <m/>
    <m/>
    <n v="60.344598965956905"/>
    <n v="0"/>
    <n v="0"/>
    <n v="-9.3142000000000138"/>
    <n v="3.0226000000000006"/>
    <n v="0"/>
    <n v="0"/>
    <n v="-14.990621982393961"/>
    <n v="0"/>
    <n v="0"/>
    <n v="0"/>
    <n v="0"/>
    <n v="0"/>
    <n v="0"/>
    <n v="0"/>
    <n v="0"/>
    <n v="0"/>
    <n v="0"/>
    <n v="0"/>
    <n v="0"/>
    <n v="2.20045589768601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05"/>
    <s v="Regular"/>
    <s v="Convencional"/>
    <s v="B3"/>
    <s v="Comercial"/>
    <s v="Não se aplica"/>
    <s v="Não se aplica"/>
    <s v="Não se aplica"/>
    <s v="Não se aplica"/>
    <s v="CATIVO"/>
    <x v="7"/>
    <n v="0"/>
    <n v="0"/>
    <n v="3529.6120000000001"/>
    <n v="3529.6120000000001"/>
    <n v="3529.6120000000001"/>
    <n v="3529.6120000000001"/>
    <m/>
    <n v="368.24"/>
    <n v="173.25"/>
    <m/>
    <n v="1911249.60188"/>
    <n v="1911249.60188"/>
    <n v="1796184.2506800001"/>
    <n v="0"/>
    <n v="217230.61716269614"/>
    <n v="0"/>
    <n v="0"/>
    <n v="9034.173797531721"/>
    <n v="8679.8152139828399"/>
    <n v="831354.59505477664"/>
    <n v="601235.76906356786"/>
    <n v="10261.406356200763"/>
    <n v="0"/>
    <n v="0"/>
    <n v="0"/>
    <n v="0"/>
    <n v="33563.187375211099"/>
    <m/>
    <n v="4263.2655532952285"/>
    <n v="19177.778126069617"/>
    <n v="89423.15016248227"/>
    <n v="0"/>
    <n v="0"/>
    <n v="0"/>
    <n v="0"/>
    <n v="0"/>
    <n v="0"/>
    <n v="0"/>
    <n v="0"/>
    <n v="0"/>
    <n v="0"/>
    <m/>
    <n v="0"/>
    <n v="0"/>
    <n v="0"/>
    <n v="0"/>
    <n v="0"/>
    <n v="31553.996503148897"/>
    <n v="0"/>
    <n v="1597.27"/>
    <n v="13876.06"/>
    <n v="770918.89"/>
    <n v="4328"/>
    <m/>
    <m/>
    <m/>
    <m/>
    <m/>
    <m/>
    <m/>
    <m/>
    <m/>
    <n v="632789.76556671679"/>
    <m/>
    <m/>
    <m/>
    <m/>
    <m/>
    <m/>
    <m/>
    <m/>
    <m/>
    <m/>
    <m/>
    <m/>
    <n v="1796183.2329000002"/>
    <n v="-115066.39897999982"/>
    <m/>
    <m/>
    <m/>
    <m/>
    <n v="-191269.67428000001"/>
    <n v="76204.323080000016"/>
    <n v="29"/>
    <n v="91442.338871682063"/>
    <n v="1911.0245988624156"/>
    <n v="8910.8257768386247"/>
    <n v="0"/>
    <n v="0"/>
    <n v="0"/>
    <n v="0"/>
    <n v="0"/>
    <n v="8937.3337260731332"/>
    <n v="0"/>
    <n v="0"/>
    <n v="76195.719171248609"/>
    <n v="0"/>
    <n v="0"/>
    <n v="0"/>
    <n v="3998.8962400378441"/>
    <n v="0"/>
    <n v="-7376.4643525609281"/>
    <m/>
    <n v="0"/>
    <n v="0"/>
    <n v="0"/>
    <n v="0"/>
    <n v="-1014.382410387323"/>
    <n v="-120.61387843055127"/>
    <n v="0"/>
    <n v="0"/>
    <m/>
    <m/>
    <m/>
    <n v="831354.59505477664"/>
    <n v="0"/>
    <n v="0"/>
    <n v="-191269.67428000015"/>
    <n v="76204.323080000002"/>
    <n v="0"/>
    <n v="0"/>
    <n v="-206522.58331890043"/>
    <n v="0"/>
    <n v="0"/>
    <n v="0"/>
    <n v="0"/>
    <n v="0"/>
    <n v="0"/>
    <n v="0"/>
    <n v="0"/>
    <n v="0"/>
    <n v="0"/>
    <n v="0"/>
    <n v="0"/>
    <n v="55476.8252995953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06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191.34899999999999"/>
    <n v="191.34899999999999"/>
    <n v="191.34899999999999"/>
    <n v="191.34899999999999"/>
    <m/>
    <n v="368.24"/>
    <n v="173.25"/>
    <m/>
    <n v="103613.57001"/>
    <n v="103613.57001"/>
    <n v="97375.592609999992"/>
    <n v="0"/>
    <n v="11776.609260016327"/>
    <n v="0"/>
    <n v="0"/>
    <n v="489.76491523257999"/>
    <n v="470.55425961278524"/>
    <n v="45069.789656522145"/>
    <n v="32594.478706029055"/>
    <n v="556.2962288355377"/>
    <n v="0"/>
    <n v="0"/>
    <n v="0"/>
    <n v="0"/>
    <n v="1819.5434345359397"/>
    <m/>
    <n v="231.12217443659208"/>
    <n v="1039.6748046655823"/>
    <n v="4847.8502340882851"/>
    <n v="0"/>
    <n v="0"/>
    <n v="0"/>
    <n v="0"/>
    <n v="0"/>
    <n v="0"/>
    <n v="0"/>
    <n v="0"/>
    <n v="0"/>
    <n v="0"/>
    <m/>
    <n v="0"/>
    <n v="0"/>
    <n v="0"/>
    <n v="0"/>
    <n v="0"/>
    <n v="1710.6202259288098"/>
    <n v="0"/>
    <n v="86.42"/>
    <n v="753.58"/>
    <n v="77346.66"/>
    <n v="290"/>
    <m/>
    <m/>
    <m/>
    <m/>
    <m/>
    <m/>
    <m/>
    <m/>
    <m/>
    <n v="34305.098931957866"/>
    <m/>
    <m/>
    <m/>
    <m/>
    <m/>
    <m/>
    <m/>
    <m/>
    <m/>
    <m/>
    <m/>
    <m/>
    <n v="97376.10149999999"/>
    <n v="-6237.4985099999903"/>
    <m/>
    <m/>
    <m/>
    <m/>
    <n v="-10369.202309999999"/>
    <n v="4131.2249100000008"/>
    <n v="29"/>
    <n v="4957.3154501847457"/>
    <n v="103.60137203968134"/>
    <n v="483.07791382517189"/>
    <n v="0"/>
    <n v="0"/>
    <n v="0"/>
    <n v="0"/>
    <n v="0"/>
    <n v="484.51497534300313"/>
    <n v="0"/>
    <n v="0"/>
    <n v="4130.7584708175491"/>
    <n v="0"/>
    <n v="0"/>
    <n v="0"/>
    <n v="216.79005982385638"/>
    <n v="0"/>
    <n v="-399.89638447460675"/>
    <m/>
    <n v="0"/>
    <n v="0"/>
    <n v="0"/>
    <n v="0"/>
    <n v="-54.992180399772678"/>
    <n v="-6.5387767901422649"/>
    <n v="0"/>
    <n v="0"/>
    <m/>
    <m/>
    <m/>
    <n v="45069.789656522145"/>
    <n v="0"/>
    <n v="0"/>
    <n v="-10369.202309999993"/>
    <n v="4131.2249100000045"/>
    <n v="0"/>
    <n v="0"/>
    <n v="-11196.100249967494"/>
    <n v="0"/>
    <n v="0"/>
    <n v="0"/>
    <n v="0"/>
    <n v="0"/>
    <n v="0"/>
    <n v="0"/>
    <n v="0"/>
    <n v="0"/>
    <n v="0"/>
    <n v="0"/>
    <n v="0"/>
    <n v="3007.535968330870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07"/>
    <s v="Regular"/>
    <s v="Verde"/>
    <s v="A4"/>
    <s v="Comercial"/>
    <s v="Não se aplica"/>
    <s v="Não se aplica"/>
    <s v="Não se aplica"/>
    <s v="Ponta"/>
    <s v="CATIVO"/>
    <x v="7"/>
    <n v="0"/>
    <n v="0"/>
    <n v="94.203999999999994"/>
    <n v="94.203999999999994"/>
    <n v="94.203999999999994"/>
    <n v="94.203999999999994"/>
    <m/>
    <n v="1358.36"/>
    <n v="173.25"/>
    <m/>
    <n v="144283.78843999997"/>
    <n v="144283.78843999997"/>
    <n v="126508.43567999998"/>
    <n v="0"/>
    <n v="5044.0881211587312"/>
    <n v="0"/>
    <n v="0"/>
    <n v="1784.4204895609557"/>
    <n v="1714.4332442099728"/>
    <n v="95005.460953461108"/>
    <n v="16046.753691018825"/>
    <n v="273.87302751110792"/>
    <n v="0"/>
    <n v="0"/>
    <n v="0"/>
    <n v="0"/>
    <n v="895.7886882451628"/>
    <m/>
    <n v="75.439865790279427"/>
    <n v="3788.0202939061114"/>
    <n v="17662.882715422144"/>
    <n v="0"/>
    <n v="0"/>
    <n v="0"/>
    <n v="0"/>
    <n v="0"/>
    <n v="0"/>
    <n v="0"/>
    <n v="0"/>
    <n v="0"/>
    <n v="0"/>
    <m/>
    <n v="0"/>
    <n v="0"/>
    <n v="0"/>
    <n v="0"/>
    <n v="0"/>
    <n v="704.51936474541424"/>
    <n v="0"/>
    <n v="0"/>
    <n v="0"/>
    <n v="0"/>
    <n v="0"/>
    <m/>
    <m/>
    <m/>
    <m/>
    <m/>
    <m/>
    <m/>
    <m/>
    <m/>
    <n v="16751.273055764239"/>
    <m/>
    <m/>
    <m/>
    <m/>
    <m/>
    <m/>
    <m/>
    <m/>
    <m/>
    <m/>
    <m/>
    <m/>
    <n v="126503.064"/>
    <n v="-17780.754439999975"/>
    <m/>
    <m/>
    <m/>
    <m/>
    <n v="-19809.217119999998"/>
    <n v="2033.8643600000003"/>
    <n v="29"/>
    <n v="5825.2655330960988"/>
    <n v="377.46812561169691"/>
    <n v="1760.0685091934465"/>
    <n v="0"/>
    <n v="0"/>
    <n v="0"/>
    <n v="0"/>
    <n v="0"/>
    <n v="1765.2981862902891"/>
    <n v="0"/>
    <n v="0"/>
    <n v="2033.6347249522914"/>
    <n v="0"/>
    <n v="0"/>
    <n v="0"/>
    <n v="89.285039961040638"/>
    <n v="0"/>
    <n v="-171.28127104217492"/>
    <m/>
    <n v="0"/>
    <n v="0"/>
    <n v="0"/>
    <n v="0"/>
    <n v="-27.07348019785934"/>
    <n v="-2.1343016726258526"/>
    <n v="0"/>
    <n v="0"/>
    <m/>
    <m/>
    <m/>
    <n v="95005.460953461108"/>
    <n v="0"/>
    <n v="0"/>
    <n v="-19809.217120000001"/>
    <n v="2033.8643600000014"/>
    <n v="0"/>
    <n v="0"/>
    <n v="-23600.968037253566"/>
    <n v="0"/>
    <n v="0"/>
    <n v="0"/>
    <n v="0"/>
    <n v="0"/>
    <n v="0"/>
    <n v="0"/>
    <n v="0"/>
    <n v="0"/>
    <n v="0"/>
    <n v="0"/>
    <n v="0"/>
    <n v="1288.170144467744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08"/>
    <s v="Sistema de Compensação"/>
    <s v="Verde"/>
    <s v="A4"/>
    <s v="Comercial"/>
    <s v="Não se aplica"/>
    <s v="Não se aplica"/>
    <s v="Não se aplica"/>
    <s v="Ponta"/>
    <s v="CATIVO"/>
    <x v="7"/>
    <n v="0"/>
    <n v="0"/>
    <n v="6.226"/>
    <n v="6.226"/>
    <n v="6.226"/>
    <n v="6.226"/>
    <m/>
    <n v="1358.36"/>
    <n v="173.25"/>
    <m/>
    <n v="9535.80386"/>
    <n v="9535.80386"/>
    <n v="8361.0199199999988"/>
    <n v="0"/>
    <n v="333.3668702213734"/>
    <n v="0"/>
    <n v="0"/>
    <n v="117.93344197705522"/>
    <n v="113.30794210915982"/>
    <n v="6278.9690447990415"/>
    <n v="1060.5397698641586"/>
    <n v="18.100435961149824"/>
    <n v="0"/>
    <n v="0"/>
    <n v="0"/>
    <n v="0"/>
    <n v="59.203222506628002"/>
    <m/>
    <n v="4.9858668889885749"/>
    <n v="250.35257897604615"/>
    <n v="1167.3507259375215"/>
    <n v="0"/>
    <n v="0"/>
    <n v="0"/>
    <n v="0"/>
    <n v="0"/>
    <n v="0"/>
    <n v="0"/>
    <n v="0"/>
    <n v="0"/>
    <n v="0"/>
    <m/>
    <n v="0"/>
    <n v="0"/>
    <n v="0"/>
    <n v="0"/>
    <n v="0"/>
    <n v="46.562115885789872"/>
    <n v="0"/>
    <n v="0"/>
    <n v="0"/>
    <n v="0"/>
    <n v="0"/>
    <m/>
    <m/>
    <m/>
    <m/>
    <m/>
    <m/>
    <m/>
    <m/>
    <m/>
    <n v="1107.1018857499485"/>
    <m/>
    <m/>
    <m/>
    <m/>
    <m/>
    <m/>
    <m/>
    <m/>
    <m/>
    <m/>
    <m/>
    <m/>
    <n v="8366.3916000000008"/>
    <n v="-1169.4422599999998"/>
    <m/>
    <m/>
    <m/>
    <m/>
    <n v="-1309.2032799999997"/>
    <n v="134.41934000000003"/>
    <n v="29"/>
    <n v="384.995363350351"/>
    <n v="24.947099380688968"/>
    <n v="116.32400469447589"/>
    <n v="0"/>
    <n v="0"/>
    <n v="0"/>
    <n v="0"/>
    <n v="0"/>
    <n v="116.66963725365525"/>
    <n v="0"/>
    <n v="0"/>
    <n v="134.40416327919183"/>
    <n v="0"/>
    <n v="0"/>
    <n v="0"/>
    <n v="5.9009029212925057"/>
    <n v="0"/>
    <n v="-11.320084003955003"/>
    <m/>
    <n v="0"/>
    <n v="0"/>
    <n v="0"/>
    <n v="0"/>
    <n v="-1.7893028715539998"/>
    <n v="-0.14105730344537992"/>
    <n v="0"/>
    <n v="0"/>
    <m/>
    <m/>
    <m/>
    <n v="6278.9690447990415"/>
    <n v="0"/>
    <n v="0"/>
    <n v="-1309.2032799999997"/>
    <n v="134.41933999999992"/>
    <n v="0"/>
    <n v="0"/>
    <n v="-1559.8024181557121"/>
    <n v="0"/>
    <n v="0"/>
    <n v="0"/>
    <n v="0"/>
    <n v="0"/>
    <n v="0"/>
    <n v="0"/>
    <n v="0"/>
    <n v="0"/>
    <n v="0"/>
    <n v="0"/>
    <n v="0"/>
    <n v="85.135953032314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09"/>
    <s v="Regular"/>
    <s v="Verde"/>
    <s v="A4"/>
    <s v="Comercial"/>
    <s v="Não se aplica"/>
    <s v="Não se aplica"/>
    <s v="Não se aplica"/>
    <s v="Fora ponta"/>
    <s v="CATIVO"/>
    <x v="7"/>
    <n v="0"/>
    <n v="0"/>
    <n v="1025.373"/>
    <n v="1025.373"/>
    <n v="1025.373"/>
    <n v="1025.373"/>
    <m/>
    <n v="85.01"/>
    <n v="173.25"/>
    <m/>
    <n v="264812.83098000003"/>
    <n v="264812.83098000003"/>
    <n v="285740.69391000003"/>
    <n v="0"/>
    <n v="54902.889145438538"/>
    <n v="0"/>
    <n v="0"/>
    <n v="0"/>
    <n v="0"/>
    <n v="0"/>
    <n v="174662.51934547417"/>
    <n v="2980.9987669116736"/>
    <n v="0"/>
    <n v="0"/>
    <n v="0"/>
    <n v="0"/>
    <n v="9750.3029025519882"/>
    <m/>
    <n v="821.132876576113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68.4125364857091"/>
    <n v="0"/>
    <n v="0"/>
    <n v="0"/>
    <n v="0"/>
    <n v="0"/>
    <m/>
    <m/>
    <m/>
    <m/>
    <m/>
    <m/>
    <m/>
    <m/>
    <m/>
    <n v="182330.93188195987"/>
    <m/>
    <m/>
    <m/>
    <m/>
    <m/>
    <m/>
    <m/>
    <m/>
    <m/>
    <m/>
    <m/>
    <m/>
    <n v="285739.85789999994"/>
    <n v="20926.996919999947"/>
    <m/>
    <m/>
    <m/>
    <m/>
    <n v="-1209.940140000007"/>
    <n v="22137.803070000005"/>
    <n v="29"/>
    <n v="20924.892217488319"/>
    <n v="0"/>
    <n v="0"/>
    <n v="0"/>
    <n v="0"/>
    <n v="0"/>
    <n v="0"/>
    <n v="0"/>
    <n v="0"/>
    <n v="0"/>
    <n v="0"/>
    <n v="22135.303584014531"/>
    <n v="0"/>
    <n v="0"/>
    <n v="0"/>
    <n v="971.83208016615117"/>
    <n v="0"/>
    <n v="-1864.3283802421065"/>
    <m/>
    <n v="0"/>
    <n v="0"/>
    <n v="0"/>
    <n v="0"/>
    <n v="-294.68404325633492"/>
    <n v="-23.231023193976853"/>
    <n v="0"/>
    <n v="0"/>
    <m/>
    <m/>
    <m/>
    <n v="0"/>
    <n v="0"/>
    <n v="0"/>
    <n v="-1209.9401400000061"/>
    <n v="22137.803069999994"/>
    <n v="0"/>
    <n v="0"/>
    <n v="0"/>
    <n v="0"/>
    <n v="0"/>
    <n v="0"/>
    <n v="0"/>
    <n v="0"/>
    <n v="0"/>
    <n v="0"/>
    <n v="0"/>
    <n v="0"/>
    <n v="0"/>
    <n v="0"/>
    <n v="0"/>
    <n v="14021.2186907490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10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43.808"/>
    <n v="43.808"/>
    <n v="43.808"/>
    <n v="43.808"/>
    <m/>
    <n v="85.01"/>
    <n v="173.25"/>
    <m/>
    <n v="11313.854080000001"/>
    <n v="11313.854080000001"/>
    <n v="12207.975359999999"/>
    <n v="0"/>
    <n v="2345.6691054702742"/>
    <n v="0"/>
    <n v="0"/>
    <n v="0"/>
    <n v="0"/>
    <n v="0"/>
    <n v="7462.2753354013921"/>
    <n v="127.36008650595109"/>
    <n v="0"/>
    <n v="0"/>
    <n v="0"/>
    <n v="0"/>
    <n v="416.57159838907154"/>
    <m/>
    <n v="35.08205214789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7.62498758828826"/>
    <n v="0"/>
    <n v="0"/>
    <n v="0"/>
    <n v="0"/>
    <n v="0"/>
    <m/>
    <m/>
    <m/>
    <m/>
    <m/>
    <m/>
    <m/>
    <m/>
    <m/>
    <n v="7789.9003229896807"/>
    <m/>
    <m/>
    <m/>
    <m/>
    <m/>
    <m/>
    <m/>
    <m/>
    <m/>
    <m/>
    <m/>
    <m/>
    <n v="12208.532700000002"/>
    <n v="894.64861999999994"/>
    <m/>
    <m/>
    <m/>
    <m/>
    <n v="-51.693440000000301"/>
    <n v="945.81472000000019"/>
    <n v="29"/>
    <n v="893.99435938309944"/>
    <n v="0"/>
    <n v="0"/>
    <n v="0"/>
    <n v="0"/>
    <n v="0"/>
    <n v="0"/>
    <n v="0"/>
    <n v="0"/>
    <n v="0"/>
    <n v="0"/>
    <n v="945.70793204863821"/>
    <n v="0"/>
    <n v="0"/>
    <n v="0"/>
    <n v="41.520519623511404"/>
    <n v="0"/>
    <n v="-79.651500167886752"/>
    <m/>
    <n v="0"/>
    <n v="0"/>
    <n v="0"/>
    <n v="0"/>
    <n v="-12.590070703025617"/>
    <n v="-0.99252141813929029"/>
    <n v="0"/>
    <n v="0"/>
    <m/>
    <m/>
    <m/>
    <n v="0"/>
    <n v="0"/>
    <n v="0"/>
    <n v="-51.693440000000464"/>
    <n v="945.8147199999994"/>
    <n v="0"/>
    <n v="0"/>
    <n v="0"/>
    <n v="0"/>
    <n v="0"/>
    <n v="0"/>
    <n v="0"/>
    <n v="0"/>
    <n v="0"/>
    <n v="0"/>
    <n v="0"/>
    <n v="0"/>
    <n v="0"/>
    <n v="0"/>
    <n v="0"/>
    <n v="599.0420543590820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11"/>
    <s v="Regular"/>
    <s v="Verde"/>
    <s v="A4"/>
    <s v="Comercial"/>
    <s v="Não se aplica"/>
    <s v="Não se aplica"/>
    <s v="Não se aplica"/>
    <s v="Não se aplica"/>
    <s v="CATIVO"/>
    <x v="7"/>
    <n v="4541"/>
    <n v="4541"/>
    <n v="0"/>
    <n v="0"/>
    <n v="0"/>
    <n v="0"/>
    <n v="27.19"/>
    <m/>
    <m/>
    <n v="123469.79000000001"/>
    <m/>
    <n v="123469.79000000001"/>
    <n v="98812.160000000003"/>
    <n v="0"/>
    <n v="0"/>
    <n v="0"/>
    <n v="0"/>
    <n v="1058.9639855745681"/>
    <n v="1017.3422055810954"/>
    <n v="108675.34933418728"/>
    <m/>
    <m/>
    <m/>
    <n v="0"/>
    <n v="0"/>
    <n v="0"/>
    <n v="0"/>
    <m/>
    <n v="0"/>
    <n v="2247.272017981797"/>
    <n v="10481.031436115176"/>
    <n v="0"/>
    <n v="0"/>
    <m/>
    <m/>
    <n v="0"/>
    <n v="0"/>
    <n v="0"/>
    <m/>
    <m/>
    <n v="0"/>
    <m/>
    <n v="0"/>
    <n v="0"/>
    <n v="0"/>
    <n v="0"/>
    <m/>
    <n v="0"/>
    <n v="0"/>
    <n v="479.18"/>
    <n v="4109.12"/>
    <n v="223500.24"/>
    <n v="44"/>
    <m/>
    <m/>
    <m/>
    <m/>
    <m/>
    <m/>
    <m/>
    <m/>
    <m/>
    <n v="0"/>
    <m/>
    <m/>
    <m/>
    <m/>
    <m/>
    <m/>
    <m/>
    <m/>
    <m/>
    <m/>
    <m/>
    <m/>
    <n v="98812.160000000003"/>
    <n v="-24657.659999999989"/>
    <m/>
    <m/>
    <m/>
    <m/>
    <n v="-24657.629999999997"/>
    <n v="0"/>
    <n v="29"/>
    <n v="2315.8736217702062"/>
    <n v="223.93585317688348"/>
    <n v="1044.4123800055331"/>
    <n v="0"/>
    <n v="0"/>
    <m/>
    <m/>
    <m/>
    <n v="1047.52538858778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8675.34933418728"/>
    <m/>
    <n v="0"/>
    <n v="0"/>
    <n v="-24657.630000000005"/>
    <m/>
    <n v="0"/>
    <m/>
    <n v="-26996.80018741125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12"/>
    <s v="Sistema de Compensação"/>
    <s v="Verde"/>
    <s v="A4"/>
    <s v="Comercial"/>
    <s v="Não se aplica"/>
    <s v="Não se aplica"/>
    <s v="Não se aplica"/>
    <s v="Não se aplica"/>
    <s v="CATIVO"/>
    <x v="7"/>
    <n v="837"/>
    <n v="837"/>
    <n v="0"/>
    <n v="0"/>
    <n v="0"/>
    <n v="0"/>
    <n v="27.19"/>
    <m/>
    <m/>
    <n v="22758.030000000002"/>
    <m/>
    <n v="22758.030000000002"/>
    <n v="18213.120000000003"/>
    <n v="0"/>
    <n v="0"/>
    <n v="0"/>
    <n v="0"/>
    <n v="195.18891343887108"/>
    <n v="187.5171605530449"/>
    <n v="20031.109313524499"/>
    <m/>
    <m/>
    <m/>
    <n v="0"/>
    <n v="0"/>
    <n v="0"/>
    <n v="0"/>
    <m/>
    <n v="0"/>
    <n v="414.21860362271838"/>
    <n v="1931.8703616006171"/>
    <n v="0"/>
    <n v="0"/>
    <m/>
    <m/>
    <n v="0"/>
    <n v="0"/>
    <n v="0"/>
    <m/>
    <m/>
    <n v="0"/>
    <m/>
    <n v="0"/>
    <n v="0"/>
    <n v="0"/>
    <n v="0"/>
    <m/>
    <n v="0"/>
    <n v="0"/>
    <n v="34.200000000000003"/>
    <n v="293.45"/>
    <n v="16906.490000000002"/>
    <n v="6"/>
    <m/>
    <m/>
    <m/>
    <m/>
    <m/>
    <m/>
    <m/>
    <m/>
    <m/>
    <n v="0"/>
    <m/>
    <m/>
    <m/>
    <m/>
    <m/>
    <m/>
    <m/>
    <m/>
    <m/>
    <m/>
    <m/>
    <m/>
    <n v="18213.120000000003"/>
    <n v="-4544.9399999999951"/>
    <m/>
    <m/>
    <m/>
    <m/>
    <n v="-4544.91"/>
    <n v="0"/>
    <n v="29"/>
    <n v="426.86329474161221"/>
    <n v="41.275998482504122"/>
    <n v="192.50675227144507"/>
    <n v="0"/>
    <n v="0"/>
    <m/>
    <m/>
    <m/>
    <n v="193.080543987663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031.109313524499"/>
    <m/>
    <n v="0"/>
    <n v="0"/>
    <n v="-4544.91"/>
    <m/>
    <n v="0"/>
    <m/>
    <n v="-4976.0673324957515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13"/>
    <s v="Regular"/>
    <s v="Branca"/>
    <s v="B3"/>
    <s v="Comercial"/>
    <s v="Não se aplica"/>
    <s v="Não se aplica"/>
    <s v="Não se aplica"/>
    <s v="Ponta"/>
    <s v="CATIVO"/>
    <x v="7"/>
    <n v="0"/>
    <n v="0"/>
    <n v="0.71299999999999997"/>
    <n v="0.71299999999999997"/>
    <n v="0.71299999999999997"/>
    <n v="0.71299999999999997"/>
    <m/>
    <n v="1553.42"/>
    <n v="173.25"/>
    <m/>
    <n v="1231.11571"/>
    <n v="1231.11571"/>
    <n v="1168.06512"/>
    <n v="0"/>
    <n v="43.881715621151095"/>
    <n v="0"/>
    <n v="0"/>
    <n v="77.324312434082785"/>
    <n v="5.3472291342521405"/>
    <n v="512.21057515450173"/>
    <n v="121.45275552732816"/>
    <n v="2.0728575072759114"/>
    <n v="0"/>
    <n v="0"/>
    <n v="0"/>
    <n v="0"/>
    <n v="6.7799385877330165"/>
    <m/>
    <n v="0.86120183734061928"/>
    <n v="224.98997684553609"/>
    <n v="218.6101453655134"/>
    <n v="0"/>
    <n v="0"/>
    <n v="0"/>
    <n v="0"/>
    <n v="0"/>
    <n v="0"/>
    <n v="0"/>
    <n v="0"/>
    <n v="0"/>
    <n v="0"/>
    <m/>
    <n v="0"/>
    <n v="0"/>
    <n v="0"/>
    <n v="0"/>
    <n v="0"/>
    <n v="6.3740715712506537"/>
    <n v="0"/>
    <n v="0"/>
    <n v="0"/>
    <n v="0"/>
    <n v="0"/>
    <m/>
    <m/>
    <m/>
    <m/>
    <m/>
    <m/>
    <m/>
    <m/>
    <m/>
    <n v="127.82682709857882"/>
    <m/>
    <m/>
    <m/>
    <m/>
    <m/>
    <m/>
    <m/>
    <m/>
    <m/>
    <m/>
    <m/>
    <m/>
    <n v="1163.1504"/>
    <n v="-67.995310000000018"/>
    <m/>
    <m/>
    <m/>
    <m/>
    <n v="-78.444259999999986"/>
    <n v="15.393670000000002"/>
    <n v="29"/>
    <n v="64.190048744781393"/>
    <n v="22.419770289491026"/>
    <n v="21.784033719030788"/>
    <n v="0"/>
    <n v="0"/>
    <n v="0"/>
    <n v="0"/>
    <n v="0"/>
    <n v="5.505874273176298"/>
    <n v="0"/>
    <n v="0"/>
    <n v="15.391931965638221"/>
    <n v="0"/>
    <n v="0"/>
    <n v="0"/>
    <n v="0.80779785969307216"/>
    <n v="0"/>
    <n v="-1.4900842028460772"/>
    <m/>
    <n v="0"/>
    <n v="0"/>
    <n v="0"/>
    <n v="0"/>
    <n v="-0.2049105280144552"/>
    <n v="-2.4364631387524538E-2"/>
    <n v="0"/>
    <n v="0"/>
    <m/>
    <m/>
    <m/>
    <n v="512.21057515450173"/>
    <n v="0"/>
    <n v="0"/>
    <n v="-78.444259999999986"/>
    <n v="15.39367"/>
    <n v="0"/>
    <n v="0"/>
    <n v="-127.24179527412969"/>
    <n v="0"/>
    <n v="0"/>
    <n v="0"/>
    <n v="0"/>
    <n v="0"/>
    <n v="0"/>
    <n v="0"/>
    <n v="0"/>
    <n v="0"/>
    <n v="0"/>
    <n v="0"/>
    <n v="0"/>
    <n v="11.20660753607236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14"/>
    <s v="Regular"/>
    <s v="Branca"/>
    <s v="B3"/>
    <s v="Comercial"/>
    <s v="Não se aplica"/>
    <s v="Não se aplica"/>
    <s v="Não se aplica"/>
    <s v="Fora ponta"/>
    <s v="CATIVO"/>
    <x v="7"/>
    <n v="0"/>
    <n v="0"/>
    <n v="16.469000000000001"/>
    <n v="16.469000000000001"/>
    <n v="16.469000000000001"/>
    <n v="16.469000000000001"/>
    <m/>
    <n v="388.22"/>
    <n v="173.25"/>
    <m/>
    <n v="9246.849430000002"/>
    <n v="9246.849430000002"/>
    <n v="9223.1340700000001"/>
    <n v="0"/>
    <n v="1013.5876221104312"/>
    <n v="0"/>
    <n v="0"/>
    <n v="357.21012664148941"/>
    <n v="24.70227181193027"/>
    <n v="2366.2278499275194"/>
    <n v="2805.3372100695201"/>
    <n v="47.879229014483855"/>
    <n v="0"/>
    <n v="0"/>
    <n v="0"/>
    <n v="0"/>
    <n v="156.60421963727219"/>
    <m/>
    <n v="19.892192228839637"/>
    <n v="1039.3716489955495"/>
    <n v="1009.8991540041068"/>
    <n v="0"/>
    <n v="0"/>
    <n v="0"/>
    <n v="0"/>
    <n v="0"/>
    <n v="0"/>
    <n v="0"/>
    <n v="0"/>
    <n v="0"/>
    <n v="0"/>
    <m/>
    <n v="0"/>
    <n v="0"/>
    <n v="0"/>
    <n v="0"/>
    <n v="0"/>
    <n v="147.22943156651758"/>
    <n v="0"/>
    <n v="0"/>
    <n v="0"/>
    <n v="0"/>
    <n v="0"/>
    <m/>
    <m/>
    <m/>
    <m/>
    <m/>
    <m/>
    <m/>
    <m/>
    <m/>
    <n v="2952.5666416360377"/>
    <m/>
    <m/>
    <m/>
    <m/>
    <m/>
    <m/>
    <m/>
    <m/>
    <m/>
    <m/>
    <m/>
    <m/>
    <n v="9223.6941000000006"/>
    <n v="-23.185330000002068"/>
    <m/>
    <m/>
    <m/>
    <m/>
    <n v="-379.28107000000051"/>
    <n v="355.56571000000008"/>
    <n v="29"/>
    <n v="564.1107664084202"/>
    <n v="103.57116322513934"/>
    <n v="100.63429209501032"/>
    <n v="0"/>
    <n v="0"/>
    <n v="0"/>
    <n v="0"/>
    <n v="0"/>
    <n v="25.435155188526711"/>
    <n v="0"/>
    <n v="0"/>
    <n v="355.52556457516948"/>
    <n v="0"/>
    <n v="0"/>
    <n v="0"/>
    <n v="18.658657715687525"/>
    <n v="0"/>
    <n v="-34.418228242176838"/>
    <m/>
    <n v="0"/>
    <n v="0"/>
    <n v="0"/>
    <n v="0"/>
    <n v="-4.7330595874755659"/>
    <n v="-0.56277856146022742"/>
    <n v="0"/>
    <n v="0"/>
    <m/>
    <m/>
    <m/>
    <n v="2366.2278499275194"/>
    <n v="0"/>
    <n v="0"/>
    <n v="-379.28107000000091"/>
    <n v="355.56570999999985"/>
    <n v="0"/>
    <n v="0"/>
    <n v="-587.81113521836573"/>
    <n v="0"/>
    <n v="0"/>
    <n v="0"/>
    <n v="0"/>
    <n v="0"/>
    <n v="0"/>
    <n v="0"/>
    <n v="0"/>
    <n v="0"/>
    <n v="0"/>
    <n v="0"/>
    <n v="0"/>
    <n v="258.852201278507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15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.61"/>
    <n v="82.63"/>
    <n v="4590.24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16"/>
    <s v="Regular"/>
    <s v="Branca"/>
    <s v="B3"/>
    <s v="Comercial"/>
    <s v="Não se aplica"/>
    <s v="Não se aplica"/>
    <s v="Não se aplica"/>
    <s v="Intermediário"/>
    <s v="CATIVO"/>
    <x v="7"/>
    <n v="0"/>
    <n v="0"/>
    <n v="0.68300000000000005"/>
    <n v="0.68300000000000005"/>
    <n v="0.68300000000000005"/>
    <n v="0.68300000000000005"/>
    <m/>
    <n v="970.82"/>
    <n v="173.25"/>
    <m/>
    <n v="781.39981000000012"/>
    <n v="781.39981000000012"/>
    <n v="750.70579000000009"/>
    <n v="0"/>
    <n v="42.035360125169987"/>
    <n v="0"/>
    <n v="0"/>
    <n v="44.442501031538818"/>
    <n v="3.0733471942828956"/>
    <n v="294.39543638391831"/>
    <n v="116.34254140976878"/>
    <n v="1.9856405013596741"/>
    <n v="0"/>
    <n v="0"/>
    <n v="0"/>
    <n v="0"/>
    <n v="6.4946676794132552"/>
    <m/>
    <n v="0.82496613590973777"/>
    <n v="129.3140147423571"/>
    <n v="125.64717751863618"/>
    <n v="0"/>
    <n v="0"/>
    <n v="0"/>
    <n v="0"/>
    <n v="0"/>
    <n v="0"/>
    <n v="0"/>
    <n v="0"/>
    <n v="0"/>
    <n v="0"/>
    <m/>
    <n v="0"/>
    <n v="0"/>
    <n v="0"/>
    <n v="0"/>
    <n v="0"/>
    <n v="6.1058778164995751"/>
    <n v="0"/>
    <n v="0"/>
    <n v="0"/>
    <n v="0"/>
    <n v="0"/>
    <m/>
    <m/>
    <m/>
    <m/>
    <m/>
    <m/>
    <m/>
    <m/>
    <m/>
    <n v="122.44841922626836"/>
    <m/>
    <m/>
    <m/>
    <m/>
    <m/>
    <m/>
    <m/>
    <m/>
    <m/>
    <m/>
    <m/>
    <m/>
    <n v="747.40840000000003"/>
    <n v="-34.02141000000006"/>
    <m/>
    <m/>
    <m/>
    <m/>
    <n v="-45.439990000000066"/>
    <n v="14.745970000000003"/>
    <n v="29"/>
    <n v="42.441965353804278"/>
    <n v="12.88586516778895"/>
    <n v="12.520472676098635"/>
    <n v="0"/>
    <n v="0"/>
    <n v="0"/>
    <n v="0"/>
    <n v="0"/>
    <n v="3.1645292963319847"/>
    <n v="0"/>
    <n v="0"/>
    <n v="14.744305094713781"/>
    <n v="0"/>
    <n v="0"/>
    <n v="0"/>
    <n v="0.77380916994441584"/>
    <n v="0"/>
    <n v="-1.4273878128245059"/>
    <m/>
    <n v="0"/>
    <n v="0"/>
    <n v="0"/>
    <n v="0"/>
    <n v="-0.19628876666742379"/>
    <n v="-2.3339471581597881E-2"/>
    <n v="0"/>
    <n v="0"/>
    <m/>
    <m/>
    <m/>
    <n v="294.39543638391831"/>
    <n v="0"/>
    <n v="0"/>
    <n v="-45.43999000000008"/>
    <n v="14.745970000000014"/>
    <n v="0"/>
    <n v="0"/>
    <n v="-73.132820099821942"/>
    <n v="0"/>
    <n v="0"/>
    <n v="0"/>
    <n v="0"/>
    <n v="0"/>
    <n v="0"/>
    <n v="0"/>
    <n v="0"/>
    <n v="0"/>
    <n v="0"/>
    <n v="0"/>
    <n v="0"/>
    <n v="10.73508127228250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17"/>
    <s v="Regular"/>
    <s v="Convencional"/>
    <s v="B2"/>
    <s v="Rural"/>
    <s v="Não se aplica"/>
    <s v="Não se aplica"/>
    <s v="Não se aplica"/>
    <s v="Não se aplica"/>
    <s v="CATIVO"/>
    <x v="7"/>
    <n v="0"/>
    <n v="0"/>
    <n v="8674.7270000000008"/>
    <n v="8674.7270000000008"/>
    <n v="8674.7270000000008"/>
    <n v="8674.7270000000008"/>
    <m/>
    <n v="368.24"/>
    <n v="173.25"/>
    <m/>
    <n v="4697277.9232299998"/>
    <n v="4697277.9232299998"/>
    <n v="4414481.8230300006"/>
    <n v="0"/>
    <n v="533887.66241952486"/>
    <n v="0"/>
    <n v="0"/>
    <n v="22203.287886640501"/>
    <n v="21332.380837255689"/>
    <n v="2043220.0911306222"/>
    <n v="1477657.0793791206"/>
    <n v="25219.457202691508"/>
    <n v="0"/>
    <n v="0"/>
    <n v="0"/>
    <n v="0"/>
    <n v="82488.241690532232"/>
    <m/>
    <n v="10477.827252213576"/>
    <n v="47133.22305970898"/>
    <n v="219775.26570612844"/>
    <n v="0"/>
    <n v="0"/>
    <n v="0"/>
    <n v="0"/>
    <n v="0"/>
    <n v="0"/>
    <n v="0"/>
    <n v="0"/>
    <n v="0"/>
    <n v="0"/>
    <m/>
    <n v="0"/>
    <n v="0"/>
    <n v="0"/>
    <n v="0"/>
    <n v="0"/>
    <n v="77550.253519018908"/>
    <n v="0"/>
    <n v="3531.77"/>
    <n v="30894.15"/>
    <n v="194810.41"/>
    <n v="15720"/>
    <m/>
    <m/>
    <m/>
    <m/>
    <m/>
    <n v="529678.83062000014"/>
    <m/>
    <m/>
    <m/>
    <n v="1555207.3328981395"/>
    <m/>
    <m/>
    <m/>
    <m/>
    <m/>
    <m/>
    <m/>
    <m/>
    <m/>
    <m/>
    <m/>
    <m/>
    <n v="3884804.3358999994"/>
    <n v="-248789.85687000025"/>
    <m/>
    <m/>
    <m/>
    <m/>
    <n v="-470083.45613000001"/>
    <n v="187287.35593000005"/>
    <n v="29"/>
    <n v="224737.82556080585"/>
    <n v="4696.7249333399668"/>
    <n v="21900.135470595065"/>
    <n v="0"/>
    <n v="0"/>
    <n v="0"/>
    <n v="0"/>
    <n v="0"/>
    <n v="21965.284054331532"/>
    <n v="0"/>
    <n v="0"/>
    <n v="187266.21010446711"/>
    <n v="0"/>
    <n v="0"/>
    <n v="0"/>
    <n v="9828.0868219098193"/>
    <n v="0"/>
    <n v="-18129.135577422683"/>
    <m/>
    <n v="0"/>
    <n v="0"/>
    <n v="0"/>
    <n v="0"/>
    <n v="-2493.0475314884388"/>
    <n v="-296.43271492623717"/>
    <n v="0"/>
    <n v="0"/>
    <m/>
    <m/>
    <m/>
    <n v="2043220.0911306222"/>
    <n v="0"/>
    <n v="0"/>
    <n v="-470083.45612999983"/>
    <n v="187287.35593000008"/>
    <n v="0"/>
    <n v="0"/>
    <n v="-507570.52889275504"/>
    <n v="0"/>
    <n v="0"/>
    <n v="0"/>
    <n v="0"/>
    <n v="0"/>
    <n v="0"/>
    <n v="0"/>
    <n v="0"/>
    <n v="0"/>
    <n v="0"/>
    <n v="0"/>
    <n v="0"/>
    <n v="136345.3870569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18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4.0599999999999996"/>
    <n v="4.0599999999999996"/>
    <n v="4.0599999999999996"/>
    <n v="4.0599999999999996"/>
    <m/>
    <n v="368.24"/>
    <n v="173.25"/>
    <m/>
    <n v="2198.4494"/>
    <n v="2198.4494"/>
    <n v="2066.0933999999997"/>
    <n v="0"/>
    <n v="249.8734437894438"/>
    <n v="0"/>
    <n v="0"/>
    <n v="10.391721701416127"/>
    <n v="9.9841143357316113"/>
    <n v="956.28064952249508"/>
    <n v="691.58231057637067"/>
    <n v="11.803368133997475"/>
    <n v="0"/>
    <n v="0"/>
    <n v="0"/>
    <n v="0"/>
    <n v="38.606662925941158"/>
    <m/>
    <n v="4.9038982603126424"/>
    <n v="22.059585923847337"/>
    <n v="102.86059477916496"/>
    <n v="0"/>
    <n v="0"/>
    <n v="0"/>
    <n v="0"/>
    <n v="0"/>
    <n v="0"/>
    <n v="0"/>
    <n v="0"/>
    <n v="0"/>
    <n v="0"/>
    <m/>
    <n v="0"/>
    <n v="0"/>
    <n v="0"/>
    <n v="0"/>
    <n v="0"/>
    <n v="36.295554809646077"/>
    <n v="0"/>
    <n v="1.68"/>
    <n v="14.47"/>
    <n v="8.93"/>
    <n v="0"/>
    <m/>
    <m/>
    <m/>
    <m/>
    <m/>
    <n v="247.90359999999998"/>
    <m/>
    <m/>
    <m/>
    <n v="727.87786538601677"/>
    <m/>
    <m/>
    <m/>
    <m/>
    <m/>
    <m/>
    <m/>
    <m/>
    <m/>
    <m/>
    <m/>
    <m/>
    <n v="1818.1897999999997"/>
    <n v="-116.47080000000028"/>
    <m/>
    <m/>
    <m/>
    <m/>
    <n v="-220.01139999999998"/>
    <n v="87.6554"/>
    <n v="29"/>
    <n v="105.18320308833609"/>
    <n v="2.1981905862121351"/>
    <n v="10.249838411124173"/>
    <n v="0"/>
    <n v="0"/>
    <n v="0"/>
    <n v="0"/>
    <n v="0"/>
    <n v="10.280329658856814"/>
    <n v="0"/>
    <n v="0"/>
    <n v="87.645503198444999"/>
    <n v="0"/>
    <n v="0"/>
    <n v="0"/>
    <n v="4.599802679318195"/>
    <n v="0"/>
    <n v="-8.4849114495863489"/>
    <m/>
    <n v="0"/>
    <n v="0"/>
    <n v="0"/>
    <n v="0"/>
    <n v="-1.1668117022982969"/>
    <n v="-0.13873829373541291"/>
    <n v="0"/>
    <n v="0"/>
    <m/>
    <m/>
    <m/>
    <n v="956.28064952249508"/>
    <n v="0"/>
    <n v="0"/>
    <n v="-220.01140000000009"/>
    <n v="87.655399999999986"/>
    <n v="0"/>
    <n v="0"/>
    <n v="-237.55633431514161"/>
    <n v="0"/>
    <n v="0"/>
    <n v="0"/>
    <n v="0"/>
    <n v="0"/>
    <n v="0"/>
    <n v="0"/>
    <n v="0"/>
    <n v="0"/>
    <n v="0"/>
    <n v="0"/>
    <n v="0"/>
    <n v="63.8132210328945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19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275.01100000000002"/>
    <n v="275.01100000000002"/>
    <n v="275.01100000000002"/>
    <n v="275.01100000000002"/>
    <m/>
    <n v="368.24"/>
    <n v="173.25"/>
    <m/>
    <n v="148915.70639000001"/>
    <n v="148915.70639000001"/>
    <n v="139950.34779000003"/>
    <n v="0"/>
    <n v="16925.602376842053"/>
    <n v="0"/>
    <n v="0"/>
    <n v="703.90093025323927"/>
    <n v="676.2909526068687"/>
    <n v="64775.295001436192"/>
    <n v="46845.503156137514"/>
    <n v="799.52120046767982"/>
    <n v="0"/>
    <n v="0"/>
    <n v="0"/>
    <n v="0"/>
    <n v="2615.0879255975387"/>
    <m/>
    <n v="332.17388287360598"/>
    <n v="1494.2435429810789"/>
    <n v="6967.4371997076205"/>
    <n v="0"/>
    <n v="0"/>
    <n v="0"/>
    <n v="0"/>
    <n v="0"/>
    <n v="0"/>
    <n v="0"/>
    <n v="0"/>
    <n v="0"/>
    <n v="0"/>
    <m/>
    <n v="0"/>
    <n v="0"/>
    <n v="0"/>
    <n v="0"/>
    <n v="0"/>
    <n v="2458.5410895949703"/>
    <n v="0"/>
    <n v="115.51"/>
    <n v="996.32"/>
    <n v="5957.03"/>
    <n v="328"/>
    <m/>
    <m/>
    <m/>
    <m/>
    <m/>
    <n v="16792.171660000004"/>
    <m/>
    <m/>
    <m/>
    <n v="49304.044245732483"/>
    <m/>
    <m/>
    <m/>
    <m/>
    <m/>
    <m/>
    <m/>
    <m/>
    <m/>
    <m/>
    <m/>
    <m/>
    <n v="123157.72829999999"/>
    <n v="-7887.7933100000228"/>
    <m/>
    <m/>
    <m/>
    <m/>
    <n v="-14902.846090000001"/>
    <n v="5937.4874900000013"/>
    <n v="29"/>
    <n v="7124.7630208193004"/>
    <n v="148.89817519822327"/>
    <n v="694.29022445361352"/>
    <n v="0"/>
    <n v="0"/>
    <n v="0"/>
    <n v="0"/>
    <n v="0"/>
    <n v="696.35560093888478"/>
    <n v="0"/>
    <n v="0"/>
    <n v="5936.8171133269789"/>
    <n v="0"/>
    <n v="0"/>
    <n v="0"/>
    <n v="311.57545188226004"/>
    <n v="0"/>
    <n v="-574.73989720743521"/>
    <m/>
    <n v="0"/>
    <n v="0"/>
    <n v="0"/>
    <n v="0"/>
    <n v="-79.035973660285435"/>
    <n v="-9.3976741129235393"/>
    <n v="0"/>
    <n v="0"/>
    <m/>
    <m/>
    <m/>
    <n v="64775.295001436192"/>
    <n v="0"/>
    <n v="0"/>
    <n v="-14902.846090000006"/>
    <n v="5937.4874899999995"/>
    <n v="0"/>
    <n v="0"/>
    <n v="-16091.282033581636"/>
    <n v="0"/>
    <n v="0"/>
    <n v="0"/>
    <n v="0"/>
    <n v="0"/>
    <n v="0"/>
    <n v="0"/>
    <n v="0"/>
    <n v="0"/>
    <n v="0"/>
    <n v="0"/>
    <n v="0"/>
    <n v="4322.496977703782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0"/>
    <s v="Regular"/>
    <s v="Verde"/>
    <s v="A4"/>
    <s v="Rural"/>
    <s v="Não se aplica"/>
    <s v="Não se aplica"/>
    <s v="Não se aplica"/>
    <s v="Ponta"/>
    <s v="CATIVO"/>
    <x v="7"/>
    <n v="0"/>
    <n v="0"/>
    <n v="10.369"/>
    <n v="9.9542400000000004"/>
    <n v="10.369"/>
    <n v="9.9542400000000004"/>
    <m/>
    <n v="1358.36"/>
    <n v="173.25"/>
    <m/>
    <n v="15881.264089999999"/>
    <n v="15881.264089999999"/>
    <n v="13924.737479999998"/>
    <n v="0"/>
    <n v="555.20094399701588"/>
    <n v="0"/>
    <n v="0"/>
    <n v="196.41051395118626"/>
    <n v="188.70704332314136"/>
    <n v="10457.216515502932"/>
    <n v="1766.2603394991104"/>
    <n v="30.145104478182223"/>
    <n v="0"/>
    <n v="0"/>
    <n v="0"/>
    <n v="0"/>
    <n v="98.599134945587167"/>
    <m/>
    <n v="8.3036385756380557"/>
    <n v="416.94601532326089"/>
    <n v="1944.1470731201671"/>
    <n v="0"/>
    <n v="0"/>
    <n v="0"/>
    <n v="0"/>
    <n v="0"/>
    <n v="0"/>
    <n v="0"/>
    <n v="0"/>
    <n v="0"/>
    <n v="0"/>
    <m/>
    <n v="0"/>
    <n v="0"/>
    <n v="0"/>
    <n v="0"/>
    <n v="0"/>
    <n v="77.546190109180088"/>
    <n v="0"/>
    <n v="0"/>
    <n v="0"/>
    <n v="0"/>
    <n v="0"/>
    <m/>
    <m/>
    <m/>
    <m/>
    <m/>
    <n v="556.98949919999905"/>
    <m/>
    <m/>
    <m/>
    <n v="1843.8065296082905"/>
    <m/>
    <m/>
    <m/>
    <m/>
    <m/>
    <m/>
    <m/>
    <m/>
    <m/>
    <m/>
    <m/>
    <m/>
    <n v="13362.053999999998"/>
    <n v="-1883.9895264000024"/>
    <m/>
    <m/>
    <m/>
    <m/>
    <n v="-2180.3933199999997"/>
    <n v="223.86671000000004"/>
    <n v="29"/>
    <n v="641.18485746543229"/>
    <n v="41.54777922877679"/>
    <n v="193.73010033360424"/>
    <n v="0"/>
    <n v="0"/>
    <n v="0"/>
    <n v="0"/>
    <n v="0"/>
    <n v="194.30572898862056"/>
    <n v="0"/>
    <n v="0"/>
    <n v="223.84143415386097"/>
    <n v="0"/>
    <n v="0"/>
    <n v="0"/>
    <n v="9.8275718584776683"/>
    <n v="0"/>
    <n v="-18.852867175876895"/>
    <m/>
    <n v="0"/>
    <n v="0"/>
    <n v="0"/>
    <n v="0"/>
    <n v="-2.9799681135790763"/>
    <n v="-0.23492180845248001"/>
    <n v="0"/>
    <n v="0"/>
    <m/>
    <m/>
    <m/>
    <n v="10457.216515502932"/>
    <n v="0"/>
    <n v="0"/>
    <n v="-2180.393320000001"/>
    <n v="223.86671000000001"/>
    <n v="0"/>
    <n v="0"/>
    <n v="-2597.7499636775738"/>
    <n v="0"/>
    <n v="0"/>
    <n v="0"/>
    <n v="0"/>
    <n v="0"/>
    <n v="0"/>
    <n v="0"/>
    <n v="0"/>
    <n v="0"/>
    <n v="0"/>
    <n v="0"/>
    <n v="0"/>
    <n v="141.7884190478753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1"/>
    <s v="Regular"/>
    <s v="Verde"/>
    <s v="A4"/>
    <s v="Rural"/>
    <s v="Não se aplica"/>
    <s v="Não se aplica"/>
    <s v="Não se aplica"/>
    <s v="Fora ponta"/>
    <s v="CATIVO"/>
    <x v="7"/>
    <n v="0"/>
    <n v="0"/>
    <n v="111.27200000000001"/>
    <n v="106.82111999999999"/>
    <n v="111.27200000000001"/>
    <n v="106.82111999999999"/>
    <m/>
    <n v="85.01"/>
    <n v="173.25"/>
    <m/>
    <n v="28737.106720000003"/>
    <n v="28737.106720000003"/>
    <n v="31008.168240000003"/>
    <n v="0"/>
    <n v="5957.9823937154933"/>
    <n v="0"/>
    <n v="0"/>
    <n v="0"/>
    <n v="0"/>
    <n v="0"/>
    <n v="18954.124842968948"/>
    <n v="323.49368941038603"/>
    <n v="0"/>
    <n v="0"/>
    <n v="0"/>
    <n v="0"/>
    <n v="1058.0888170185531"/>
    <m/>
    <n v="89.10815619523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2.16507530414572"/>
    <n v="0"/>
    <n v="0"/>
    <n v="0"/>
    <n v="0"/>
    <n v="0"/>
    <m/>
    <m/>
    <m/>
    <m/>
    <m/>
    <n v="1240.3267296000033"/>
    <m/>
    <m/>
    <m/>
    <n v="19786.289918273094"/>
    <m/>
    <m/>
    <m/>
    <m/>
    <m/>
    <m/>
    <m/>
    <m/>
    <m/>
    <m/>
    <m/>
    <m/>
    <n v="29767.529399999999"/>
    <n v="2179.8769488000034"/>
    <m/>
    <m/>
    <m/>
    <m/>
    <n v="-131.30096000000077"/>
    <n v="2402.3624800000007"/>
    <n v="29"/>
    <n v="2270.7391425601782"/>
    <n v="0"/>
    <n v="0"/>
    <n v="0"/>
    <n v="0"/>
    <n v="0"/>
    <n v="0"/>
    <n v="0"/>
    <n v="0"/>
    <n v="0"/>
    <n v="0"/>
    <n v="2402.0912393835897"/>
    <n v="0"/>
    <n v="0"/>
    <n v="0"/>
    <n v="105.4618165528525"/>
    <n v="0"/>
    <n v="-202.31422860393195"/>
    <m/>
    <n v="0"/>
    <n v="0"/>
    <n v="0"/>
    <n v="0"/>
    <n v="-31.97868762023063"/>
    <n v="-2.5209971520999517"/>
    <n v="0"/>
    <n v="0"/>
    <m/>
    <m/>
    <m/>
    <n v="0"/>
    <n v="0"/>
    <n v="0"/>
    <n v="-131.30096000000231"/>
    <n v="2402.3624800000034"/>
    <n v="0"/>
    <n v="0"/>
    <n v="0"/>
    <n v="0"/>
    <n v="0"/>
    <n v="0"/>
    <n v="0"/>
    <n v="0"/>
    <n v="0"/>
    <n v="0"/>
    <n v="0"/>
    <n v="0"/>
    <n v="0"/>
    <n v="0"/>
    <n v="0"/>
    <n v="1521.562442308340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2"/>
    <s v="Sistema de Compensação"/>
    <s v="Verde"/>
    <s v="A4"/>
    <s v="Rural"/>
    <s v="Não se aplica"/>
    <s v="Não se aplica"/>
    <s v="Não se aplica"/>
    <s v="Fora ponta"/>
    <s v="CATIVO"/>
    <x v="7"/>
    <n v="0"/>
    <n v="0"/>
    <n v="51.218000000000004"/>
    <n v="49.169280000000001"/>
    <n v="51.218000000000004"/>
    <n v="49.169280000000001"/>
    <m/>
    <n v="85.01"/>
    <n v="173.25"/>
    <m/>
    <n v="13227.560680000001"/>
    <n v="13227.560680000001"/>
    <n v="14272.92006"/>
    <n v="0"/>
    <n v="2742.4324380016551"/>
    <n v="0"/>
    <n v="0"/>
    <n v="0"/>
    <n v="0"/>
    <n v="0"/>
    <n v="8724.4982224385622"/>
    <n v="148.90268696726176"/>
    <n v="0"/>
    <n v="0"/>
    <n v="0"/>
    <n v="0"/>
    <n v="487.03351274405287"/>
    <m/>
    <n v="41.01608260845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3.04183286835627"/>
    <n v="0"/>
    <n v="0"/>
    <n v="0"/>
    <n v="0"/>
    <n v="0"/>
    <m/>
    <m/>
    <m/>
    <m/>
    <m/>
    <n v="570.91680240000085"/>
    <m/>
    <m/>
    <m/>
    <n v="9107.5400553069176"/>
    <m/>
    <m/>
    <m/>
    <m/>
    <m/>
    <m/>
    <m/>
    <m/>
    <m/>
    <m/>
    <m/>
    <m/>
    <n v="13702.2039"/>
    <n v="1003.7156472000006"/>
    <m/>
    <m/>
    <m/>
    <m/>
    <n v="-60.437240000000351"/>
    <n v="1105.7966200000003"/>
    <n v="29"/>
    <n v="1045.2109911176867"/>
    <n v="0"/>
    <n v="0"/>
    <n v="0"/>
    <n v="0"/>
    <n v="0"/>
    <n v="0"/>
    <n v="0"/>
    <n v="0"/>
    <n v="0"/>
    <n v="0"/>
    <n v="1105.6717691669837"/>
    <n v="0"/>
    <n v="0"/>
    <n v="0"/>
    <n v="48.543598750844751"/>
    <n v="0"/>
    <n v="-93.124327419622205"/>
    <m/>
    <n v="0"/>
    <n v="0"/>
    <n v="0"/>
    <n v="0"/>
    <n v="-14.719645755742476"/>
    <n v="-1.1604036247776222"/>
    <n v="0"/>
    <n v="0"/>
    <m/>
    <m/>
    <m/>
    <n v="0"/>
    <n v="0"/>
    <n v="0"/>
    <n v="-60.437240000000202"/>
    <n v="1105.796620000001"/>
    <n v="0"/>
    <n v="0"/>
    <n v="0"/>
    <n v="0"/>
    <n v="0"/>
    <n v="0"/>
    <n v="0"/>
    <n v="0"/>
    <n v="0"/>
    <n v="0"/>
    <n v="0"/>
    <n v="0"/>
    <n v="0"/>
    <n v="0"/>
    <n v="0"/>
    <n v="700.3683331848856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3"/>
    <s v="Regular"/>
    <s v="Verde"/>
    <s v="A4"/>
    <s v="Rural"/>
    <s v="Não se aplica"/>
    <s v="Não se aplica"/>
    <s v="Não se aplica"/>
    <s v="Não se aplica"/>
    <s v="CATIVO"/>
    <x v="7"/>
    <n v="667"/>
    <n v="640.32000000000005"/>
    <n v="0"/>
    <n v="0"/>
    <n v="0"/>
    <n v="0"/>
    <n v="27.19"/>
    <m/>
    <m/>
    <n v="18135.73"/>
    <m/>
    <n v="18135.73"/>
    <n v="14513.920000000002"/>
    <n v="0"/>
    <n v="0"/>
    <n v="0"/>
    <n v="0"/>
    <n v="155.54480915618521"/>
    <n v="149.43123786007283"/>
    <n v="15962.664172187386"/>
    <m/>
    <m/>
    <m/>
    <n v="0"/>
    <n v="0"/>
    <n v="0"/>
    <n v="0"/>
    <m/>
    <n v="0"/>
    <n v="330.0881823373395"/>
    <n v="1539.495258288664"/>
    <n v="0"/>
    <n v="0"/>
    <m/>
    <m/>
    <n v="0"/>
    <n v="0"/>
    <n v="0"/>
    <m/>
    <m/>
    <n v="0"/>
    <m/>
    <n v="0"/>
    <n v="0"/>
    <n v="0"/>
    <n v="0"/>
    <m/>
    <n v="0"/>
    <n v="0"/>
    <n v="52.9"/>
    <n v="453.61"/>
    <n v="28.32"/>
    <n v="4"/>
    <m/>
    <m/>
    <m/>
    <m/>
    <m/>
    <n v="580.55679999999893"/>
    <m/>
    <m/>
    <m/>
    <n v="0"/>
    <m/>
    <m/>
    <m/>
    <m/>
    <m/>
    <m/>
    <m/>
    <m/>
    <m/>
    <m/>
    <m/>
    <m/>
    <n v="13933.363200000002"/>
    <n v="-3476.9675999999945"/>
    <m/>
    <m/>
    <m/>
    <m/>
    <n v="-3621.81"/>
    <n v="0"/>
    <n v="29"/>
    <n v="340.16465662204928"/>
    <n v="32.892581825364687"/>
    <n v="153.40741190567928"/>
    <n v="0"/>
    <n v="0"/>
    <m/>
    <m/>
    <m/>
    <n v="153.864662891005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962.664172187386"/>
    <m/>
    <n v="0"/>
    <n v="0"/>
    <n v="-3621.8099999999977"/>
    <m/>
    <n v="0"/>
    <m/>
    <n v="-3965.39654811788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24"/>
    <s v="Sistema de Compensação"/>
    <s v="Verde"/>
    <s v="A4"/>
    <s v="Rural"/>
    <s v="Não se aplica"/>
    <s v="Não se aplica"/>
    <s v="Não se aplica"/>
    <s v="Não se aplica"/>
    <s v="CATIVO"/>
    <x v="7"/>
    <n v="163"/>
    <n v="156.47999999999999"/>
    <n v="0"/>
    <n v="0"/>
    <n v="0"/>
    <n v="0"/>
    <n v="27.19"/>
    <m/>
    <m/>
    <n v="4431.97"/>
    <m/>
    <n v="4431.97"/>
    <n v="3546.88"/>
    <n v="0"/>
    <n v="0"/>
    <n v="0"/>
    <n v="0"/>
    <n v="38.011699988692932"/>
    <n v="36.517678817379114"/>
    <n v="3900.9209296349982"/>
    <m/>
    <m/>
    <m/>
    <n v="0"/>
    <n v="0"/>
    <n v="0"/>
    <n v="0"/>
    <m/>
    <n v="0"/>
    <n v="80.666227467745628"/>
    <n v="376.21848141087287"/>
    <n v="0"/>
    <n v="0"/>
    <m/>
    <m/>
    <n v="0"/>
    <n v="0"/>
    <n v="0"/>
    <m/>
    <m/>
    <n v="0"/>
    <m/>
    <n v="0"/>
    <n v="0"/>
    <n v="0"/>
    <n v="0"/>
    <m/>
    <n v="0"/>
    <n v="0"/>
    <n v="17.77"/>
    <n v="152.32"/>
    <n v="5.76"/>
    <n v="1"/>
    <m/>
    <m/>
    <m/>
    <m/>
    <m/>
    <n v="141.87520000000023"/>
    <m/>
    <m/>
    <m/>
    <n v="0"/>
    <m/>
    <m/>
    <m/>
    <m/>
    <m/>
    <m/>
    <m/>
    <m/>
    <m/>
    <m/>
    <m/>
    <m/>
    <n v="3405.0048000000002"/>
    <n v="-849.7164000000007"/>
    <m/>
    <m/>
    <m/>
    <m/>
    <n v="-885.08999999999992"/>
    <n v="0"/>
    <n v="29"/>
    <n v="83.128694196992569"/>
    <n v="8.0382171477278206"/>
    <n v="37.489367527175034"/>
    <n v="0"/>
    <n v="0"/>
    <m/>
    <m/>
    <m/>
    <n v="37.6011095220897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00.9209296349982"/>
    <m/>
    <n v="0"/>
    <n v="0"/>
    <n v="-885.09000000000015"/>
    <m/>
    <n v="0"/>
    <m/>
    <n v="-969.0549285505467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25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572.54600000000005"/>
    <n v="572.54600000000005"/>
    <n v="572.54600000000005"/>
    <n v="572.54600000000005"/>
    <m/>
    <n v="368.24"/>
    <n v="173.25"/>
    <m/>
    <n v="310027.93354"/>
    <n v="310027.93354"/>
    <n v="291362.93394000002"/>
    <n v="0"/>
    <n v="35237.448460066727"/>
    <n v="0"/>
    <n v="0"/>
    <n v="1465.4528801130541"/>
    <n v="1407.9716075038898"/>
    <n v="134855.82777377008"/>
    <n v="97527.755071738618"/>
    <n v="1664.5249289772707"/>
    <n v="0"/>
    <n v="0"/>
    <n v="0"/>
    <n v="0"/>
    <n v="5444.3572491615541"/>
    <m/>
    <n v="691.55353038151793"/>
    <n v="3110.868887279581"/>
    <n v="14505.522684342804"/>
    <n v="0"/>
    <n v="0"/>
    <n v="0"/>
    <n v="0"/>
    <n v="0"/>
    <n v="0"/>
    <n v="0"/>
    <n v="0"/>
    <n v="0"/>
    <n v="0"/>
    <m/>
    <n v="0"/>
    <n v="0"/>
    <n v="0"/>
    <n v="0"/>
    <n v="0"/>
    <n v="5118.4420502570511"/>
    <n v="0"/>
    <n v="259.72000000000003"/>
    <n v="2250.9899999999998"/>
    <n v="116066.59"/>
    <n v="583"/>
    <m/>
    <m/>
    <m/>
    <m/>
    <m/>
    <m/>
    <m/>
    <m/>
    <m/>
    <n v="102646.19712199568"/>
    <m/>
    <m/>
    <m/>
    <m/>
    <m/>
    <m/>
    <m/>
    <m/>
    <m/>
    <m/>
    <m/>
    <m/>
    <n v="291364.96950000001"/>
    <n v="-18662.99404000002"/>
    <m/>
    <m/>
    <m/>
    <m/>
    <n v="-31026.267740000003"/>
    <n v="12361.268140000004"/>
    <n v="29"/>
    <n v="14833.059654042998"/>
    <n v="309.99143531364871"/>
    <n v="1445.4443307722922"/>
    <n v="0"/>
    <n v="0"/>
    <n v="0"/>
    <n v="0"/>
    <n v="0"/>
    <n v="1449.744242576314"/>
    <n v="0"/>
    <n v="0"/>
    <n v="12359.872481344064"/>
    <n v="0"/>
    <n v="0"/>
    <n v="0"/>
    <n v="648.66961202781113"/>
    <n v="0"/>
    <n v="-1196.5522440430723"/>
    <m/>
    <n v="0"/>
    <n v="0"/>
    <n v="0"/>
    <n v="0"/>
    <n v="-164.54516573992169"/>
    <n v="-19.565038208136912"/>
    <n v="0"/>
    <n v="0"/>
    <m/>
    <m/>
    <m/>
    <n v="134855.82777377008"/>
    <n v="0"/>
    <n v="0"/>
    <n v="-31026.26774000001"/>
    <n v="12361.26814"/>
    <n v="0"/>
    <n v="0"/>
    <n v="-33500.475119900759"/>
    <n v="0"/>
    <n v="0"/>
    <n v="0"/>
    <n v="0"/>
    <n v="0"/>
    <n v="0"/>
    <n v="0"/>
    <n v="0"/>
    <n v="0"/>
    <n v="0"/>
    <n v="0"/>
    <n v="0"/>
    <n v="8999.01587426099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6"/>
    <s v="Sistema de Compensação"/>
    <s v="Convencional"/>
    <s v="B3"/>
    <s v="Poder público"/>
    <s v="Não se aplica"/>
    <s v="Não se aplica"/>
    <s v="Não se aplica"/>
    <s v="Não se aplica"/>
    <s v="CATIVO"/>
    <x v="7"/>
    <n v="0"/>
    <n v="0"/>
    <n v="1.3169999999999999"/>
    <n v="1.3169999999999999"/>
    <n v="1.3169999999999999"/>
    <n v="1.3169999999999999"/>
    <m/>
    <n v="368.24"/>
    <n v="173.25"/>
    <m/>
    <n v="713.14233000000002"/>
    <n v="713.14233000000002"/>
    <n v="670.20812999999998"/>
    <n v="0"/>
    <n v="81.055006273570811"/>
    <n v="0"/>
    <n v="0"/>
    <n v="3.3709107095480397"/>
    <n v="3.2386893054577666"/>
    <n v="310.20236833032664"/>
    <n v="224.33839976085721"/>
    <n v="3.8288265597228266"/>
    <n v="0"/>
    <n v="0"/>
    <n v="0"/>
    <n v="0"/>
    <n v="12.523392875237564"/>
    <m/>
    <n v="1.590747292815702"/>
    <n v="7.15578193638102"/>
    <n v="33.366355498561639"/>
    <n v="0"/>
    <n v="0"/>
    <n v="0"/>
    <n v="0"/>
    <n v="0"/>
    <n v="0"/>
    <n v="0"/>
    <n v="0"/>
    <n v="0"/>
    <n v="0"/>
    <m/>
    <n v="0"/>
    <n v="0"/>
    <n v="0"/>
    <n v="0"/>
    <n v="0"/>
    <n v="11.773705833572386"/>
    <n v="0"/>
    <n v="0.59"/>
    <n v="5.18"/>
    <n v="366.88"/>
    <n v="2"/>
    <m/>
    <m/>
    <m/>
    <m/>
    <m/>
    <m/>
    <m/>
    <m/>
    <m/>
    <n v="236.11210559442961"/>
    <m/>
    <m/>
    <m/>
    <m/>
    <m/>
    <m/>
    <m/>
    <m/>
    <m/>
    <m/>
    <m/>
    <m/>
    <n v="671.73480000000006"/>
    <n v="-41.437529999999924"/>
    <m/>
    <m/>
    <m/>
    <m/>
    <n v="-71.368229999999997"/>
    <n v="28.434030000000003"/>
    <n v="29"/>
    <n v="34.119773021512003"/>
    <n v="0.71305837488704071"/>
    <n v="3.3248860067612185"/>
    <n v="0"/>
    <n v="0"/>
    <n v="0"/>
    <n v="0"/>
    <n v="0"/>
    <n v="3.334776886875475"/>
    <n v="0"/>
    <n v="0"/>
    <n v="28.430819633584207"/>
    <n v="0"/>
    <n v="0"/>
    <n v="0"/>
    <n v="1.4921034799660244"/>
    <n v="0"/>
    <n v="-2.7523715219470972"/>
    <m/>
    <n v="0"/>
    <n v="0"/>
    <n v="0"/>
    <n v="0"/>
    <n v="-0.37849532313469503"/>
    <n v="-4.5004515480182139E-2"/>
    <n v="0"/>
    <n v="0"/>
    <m/>
    <m/>
    <m/>
    <n v="310.20236833032664"/>
    <n v="0"/>
    <n v="0"/>
    <n v="-71.368229999999983"/>
    <n v="28.434030000000035"/>
    <n v="0"/>
    <n v="0"/>
    <n v="-77.059530121438826"/>
    <n v="0"/>
    <n v="0"/>
    <n v="0"/>
    <n v="0"/>
    <n v="0"/>
    <n v="0"/>
    <n v="0"/>
    <n v="0"/>
    <n v="0"/>
    <n v="0"/>
    <n v="0"/>
    <n v="0"/>
    <n v="20.70000298037489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7"/>
    <s v="Regular"/>
    <s v="Verde"/>
    <s v="A4"/>
    <s v="Poder público"/>
    <s v="Não se aplica"/>
    <s v="Não se aplica"/>
    <s v="Não se aplica"/>
    <s v="Ponta"/>
    <s v="CATIVO"/>
    <x v="7"/>
    <n v="0"/>
    <n v="0"/>
    <n v="5.1139999999999999"/>
    <n v="5.1139999999999999"/>
    <n v="5.1139999999999999"/>
    <n v="5.1139999999999999"/>
    <m/>
    <n v="1358.36"/>
    <n v="173.25"/>
    <m/>
    <n v="7832.6535399999993"/>
    <n v="7832.6535399999993"/>
    <n v="6867.6928799999996"/>
    <n v="0"/>
    <n v="273.82559818697456"/>
    <n v="0"/>
    <n v="0"/>
    <n v="96.869839747937746"/>
    <n v="93.070481199203869"/>
    <n v="5157.5084637170403"/>
    <n v="871.12116657329068"/>
    <n v="14.867592275187953"/>
    <n v="0"/>
    <n v="0"/>
    <n v="0"/>
    <n v="0"/>
    <n v="48.629180838242142"/>
    <m/>
    <n v="4.0953619129919003"/>
    <n v="205.63814469699645"/>
    <n v="958.85506142699717"/>
    <n v="0"/>
    <n v="0"/>
    <n v="0"/>
    <n v="0"/>
    <n v="0"/>
    <n v="0"/>
    <n v="0"/>
    <n v="0"/>
    <n v="0"/>
    <n v="0"/>
    <m/>
    <n v="0"/>
    <n v="0"/>
    <n v="0"/>
    <n v="0"/>
    <n v="0"/>
    <n v="38.245849765488181"/>
    <n v="0"/>
    <n v="0"/>
    <n v="0"/>
    <n v="0"/>
    <n v="0"/>
    <m/>
    <m/>
    <m/>
    <m/>
    <m/>
    <m/>
    <m/>
    <m/>
    <m/>
    <n v="909.36701633877885"/>
    <m/>
    <m/>
    <m/>
    <m/>
    <m/>
    <m/>
    <m/>
    <m/>
    <m/>
    <m/>
    <m/>
    <m/>
    <n v="6862.3212000000003"/>
    <n v="-970.36233999999968"/>
    <m/>
    <m/>
    <m/>
    <m/>
    <n v="-1075.3719199999998"/>
    <n v="110.41126000000001"/>
    <n v="29"/>
    <n v="316.23294059969294"/>
    <n v="20.491401579319557"/>
    <n v="95.547857373522334"/>
    <n v="0"/>
    <n v="0"/>
    <n v="0"/>
    <n v="0"/>
    <n v="0"/>
    <n v="95.831757936908616"/>
    <n v="0"/>
    <n v="0"/>
    <n v="110.39879393025797"/>
    <n v="0"/>
    <n v="0"/>
    <n v="0"/>
    <n v="4.8469671602136017"/>
    <n v="0"/>
    <n v="-9.2982508185393726"/>
    <m/>
    <n v="0"/>
    <n v="0"/>
    <n v="0"/>
    <n v="0"/>
    <n v="-1.4697229176240185"/>
    <n v="-0.11586364436551122"/>
    <n v="0"/>
    <n v="0"/>
    <m/>
    <m/>
    <m/>
    <n v="5157.5084637170403"/>
    <n v="0"/>
    <n v="0"/>
    <n v="-1075.3719199999996"/>
    <n v="110.41125999999997"/>
    <n v="0"/>
    <n v="0"/>
    <n v="-1281.2125869656775"/>
    <n v="0"/>
    <n v="0"/>
    <n v="0"/>
    <n v="0"/>
    <n v="0"/>
    <n v="0"/>
    <n v="0"/>
    <n v="0"/>
    <n v="0"/>
    <n v="0"/>
    <n v="0"/>
    <n v="0"/>
    <n v="69.93017407761928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8"/>
    <s v="Sistema de Compensação"/>
    <s v="Verde"/>
    <s v="A4"/>
    <s v="Poder público"/>
    <s v="Não se aplica"/>
    <s v="Não se aplica"/>
    <s v="Não se aplica"/>
    <s v="Ponta"/>
    <s v="CATIVO"/>
    <x v="7"/>
    <n v="0"/>
    <n v="0"/>
    <n v="0.746"/>
    <n v="0.746"/>
    <n v="0.746"/>
    <n v="0.746"/>
    <m/>
    <n v="1358.36"/>
    <n v="173.25"/>
    <m/>
    <n v="1142.58106"/>
    <n v="1142.58106"/>
    <n v="1001.81832"/>
    <n v="0"/>
    <n v="39.944054800055341"/>
    <n v="0"/>
    <n v="0"/>
    <n v="14.130797898310826"/>
    <n v="13.576569998945265"/>
    <n v="752.34675673306856"/>
    <n v="127.07399105664349"/>
    <n v="2.1687962137837729"/>
    <n v="0"/>
    <n v="0"/>
    <n v="0"/>
    <n v="0"/>
    <n v="7.0937365868847557"/>
    <m/>
    <n v="0.59740711519201362"/>
    <n v="29.997273356268941"/>
    <n v="139.87209147918261"/>
    <n v="0"/>
    <n v="0"/>
    <n v="0"/>
    <n v="0"/>
    <n v="0"/>
    <n v="0"/>
    <n v="0"/>
    <n v="0"/>
    <n v="0"/>
    <n v="0"/>
    <m/>
    <n v="0"/>
    <n v="0"/>
    <n v="0"/>
    <n v="0"/>
    <n v="0"/>
    <n v="5.5790778109218193"/>
    <n v="0"/>
    <n v="0"/>
    <n v="0"/>
    <n v="0"/>
    <n v="0"/>
    <m/>
    <m/>
    <m/>
    <m/>
    <m/>
    <m/>
    <m/>
    <m/>
    <m/>
    <n v="132.65306886756531"/>
    <m/>
    <m/>
    <m/>
    <m/>
    <m/>
    <m/>
    <m/>
    <m/>
    <m/>
    <m/>
    <m/>
    <m/>
    <n v="1007.1899999999999"/>
    <n v="-135.42106000000001"/>
    <m/>
    <m/>
    <m/>
    <m/>
    <n v="-156.86887999999999"/>
    <n v="16.106140000000003"/>
    <n v="29"/>
    <n v="46.130186485602508"/>
    <n v="2.9891641725014395"/>
    <n v="13.937954947330411"/>
    <n v="0"/>
    <n v="0"/>
    <n v="0"/>
    <n v="0"/>
    <n v="0"/>
    <n v="13.979368678321046"/>
    <n v="0"/>
    <n v="0"/>
    <n v="16.104321523655145"/>
    <n v="0"/>
    <n v="0"/>
    <n v="0"/>
    <n v="0.70704683252235867"/>
    <n v="0"/>
    <n v="-1.3563737017266959"/>
    <m/>
    <n v="0"/>
    <n v="0"/>
    <n v="0"/>
    <n v="0"/>
    <n v="-0.21439446549619046"/>
    <n v="-1.6901501505019789E-2"/>
    <n v="0"/>
    <n v="0"/>
    <m/>
    <m/>
    <m/>
    <n v="752.34675673306856"/>
    <n v="0"/>
    <n v="0"/>
    <n v="-156.86887999999999"/>
    <n v="16.106140000000011"/>
    <n v="0"/>
    <n v="0"/>
    <n v="-186.89569610410558"/>
    <n v="0"/>
    <n v="0"/>
    <n v="0"/>
    <n v="0"/>
    <n v="0"/>
    <n v="0"/>
    <n v="0"/>
    <n v="0"/>
    <n v="0"/>
    <n v="0"/>
    <n v="0"/>
    <n v="0"/>
    <n v="10.2009991908298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29"/>
    <s v="Regular"/>
    <s v="Verde"/>
    <s v="A4"/>
    <s v="Poder público"/>
    <s v="Não se aplica"/>
    <s v="Não se aplica"/>
    <s v="Não se aplica"/>
    <s v="Fora ponta"/>
    <s v="CATIVO"/>
    <x v="7"/>
    <n v="0"/>
    <n v="0"/>
    <n v="34.762999999999998"/>
    <n v="34.762999999999998"/>
    <n v="34.762999999999998"/>
    <n v="34.762999999999998"/>
    <m/>
    <n v="85.01"/>
    <n v="173.25"/>
    <m/>
    <n v="8977.8923799999993"/>
    <n v="8977.8923799999993"/>
    <n v="9687.4052100000008"/>
    <n v="0"/>
    <n v="1861.3608270969487"/>
    <n v="0"/>
    <n v="0"/>
    <n v="0"/>
    <n v="0"/>
    <n v="0"/>
    <n v="5921.5457789572356"/>
    <n v="101.06415922220548"/>
    <n v="0"/>
    <n v="0"/>
    <n v="0"/>
    <n v="0"/>
    <n v="330.56241953066319"/>
    <m/>
    <n v="27.8386910796514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.98053879500696"/>
    <n v="0"/>
    <n v="0"/>
    <n v="0"/>
    <n v="0"/>
    <n v="0"/>
    <m/>
    <m/>
    <m/>
    <m/>
    <m/>
    <m/>
    <m/>
    <m/>
    <m/>
    <n v="6181.5263177522429"/>
    <m/>
    <m/>
    <m/>
    <m/>
    <m/>
    <m/>
    <m/>
    <m/>
    <m/>
    <m/>
    <m/>
    <m/>
    <n v="9686.5691999999999"/>
    <n v="708.64681999999993"/>
    <m/>
    <m/>
    <m/>
    <m/>
    <n v="-41.020340000000232"/>
    <n v="750.53317000000004"/>
    <n v="29"/>
    <n v="709.41211457347163"/>
    <n v="0"/>
    <n v="0"/>
    <n v="0"/>
    <n v="0"/>
    <n v="0"/>
    <n v="0"/>
    <n v="0"/>
    <n v="0"/>
    <n v="0"/>
    <n v="0"/>
    <n v="750.44843046491133"/>
    <n v="0"/>
    <n v="0"/>
    <n v="0"/>
    <n v="32.947813725167236"/>
    <n v="0"/>
    <n v="-63.205923583277809"/>
    <m/>
    <n v="0"/>
    <n v="0"/>
    <n v="0"/>
    <n v="0"/>
    <n v="-9.9906096568955149"/>
    <n v="-0.78759637643297964"/>
    <n v="0"/>
    <n v="0"/>
    <m/>
    <m/>
    <m/>
    <n v="0"/>
    <n v="0"/>
    <n v="0"/>
    <n v="-41.020340000000488"/>
    <n v="750.53317000000061"/>
    <n v="0"/>
    <n v="0"/>
    <n v="0"/>
    <n v="0"/>
    <n v="0"/>
    <n v="0"/>
    <n v="0"/>
    <n v="0"/>
    <n v="0"/>
    <n v="0"/>
    <n v="0"/>
    <n v="0"/>
    <n v="0"/>
    <n v="0"/>
    <n v="0"/>
    <n v="475.358357735682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30"/>
    <s v="Sistema de Compensação"/>
    <s v="Verde"/>
    <s v="A4"/>
    <s v="Poder público"/>
    <s v="Não se aplica"/>
    <s v="Não se aplica"/>
    <s v="Não se aplica"/>
    <s v="Fora ponta"/>
    <s v="CATIVO"/>
    <x v="7"/>
    <n v="0"/>
    <n v="0"/>
    <n v="3.5459999999999998"/>
    <n v="3.5459999999999998"/>
    <n v="3.5459999999999998"/>
    <n v="3.5459999999999998"/>
    <m/>
    <n v="85.01"/>
    <n v="173.25"/>
    <m/>
    <n v="915.78995999999995"/>
    <n v="915.78995999999995"/>
    <n v="988.16381999999999"/>
    <n v="0"/>
    <n v="189.86812107372151"/>
    <n v="0"/>
    <n v="0"/>
    <n v="0"/>
    <n v="0"/>
    <n v="0"/>
    <n v="604.02730869551988"/>
    <n v="10.309050099299272"/>
    <n v="0"/>
    <n v="0"/>
    <n v="0"/>
    <n v="0"/>
    <n v="33.719021363395903"/>
    <m/>
    <n v="2.8396858317304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519316243336153"/>
    <n v="0"/>
    <n v="0"/>
    <n v="0"/>
    <n v="0"/>
    <n v="0"/>
    <m/>
    <m/>
    <m/>
    <m/>
    <m/>
    <m/>
    <m/>
    <m/>
    <m/>
    <n v="630.54662493885598"/>
    <m/>
    <m/>
    <m/>
    <m/>
    <m/>
    <m/>
    <m/>
    <m/>
    <m/>
    <m/>
    <m/>
    <m/>
    <n v="989.27850000000001"/>
    <n v="73.458540000000085"/>
    <m/>
    <m/>
    <m/>
    <m/>
    <n v="-4.1842800000000242"/>
    <n v="76.558140000000009"/>
    <n v="29"/>
    <n v="72.36358652238107"/>
    <n v="0"/>
    <n v="0"/>
    <n v="0"/>
    <n v="0"/>
    <n v="0"/>
    <n v="0"/>
    <n v="0"/>
    <n v="0"/>
    <n v="0"/>
    <n v="0"/>
    <n v="76.549496143272336"/>
    <n v="0"/>
    <n v="0"/>
    <n v="0"/>
    <n v="3.3608419143757189"/>
    <n v="0"/>
    <n v="-6.4473205714784001"/>
    <m/>
    <n v="0"/>
    <n v="0"/>
    <n v="0"/>
    <n v="0"/>
    <n v="-1.0190921912191584"/>
    <n v="-8.0338772569437555E-2"/>
    <n v="0"/>
    <n v="0"/>
    <m/>
    <m/>
    <m/>
    <n v="0"/>
    <n v="0"/>
    <n v="0"/>
    <n v="-4.184280000000058"/>
    <n v="76.558140000000094"/>
    <n v="0"/>
    <n v="0"/>
    <n v="0"/>
    <n v="0"/>
    <n v="0"/>
    <n v="0"/>
    <n v="0"/>
    <n v="0"/>
    <n v="0"/>
    <n v="0"/>
    <n v="0"/>
    <n v="0"/>
    <n v="0"/>
    <n v="0"/>
    <n v="0"/>
    <n v="48.4889318105666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31"/>
    <s v="Regular"/>
    <s v="Verde"/>
    <s v="A4"/>
    <s v="Poder público"/>
    <s v="Não se aplica"/>
    <s v="Não se aplica"/>
    <s v="Não se aplica"/>
    <s v="Não se aplica"/>
    <s v="CATIVO"/>
    <x v="7"/>
    <n v="214"/>
    <n v="214"/>
    <n v="0"/>
    <n v="0"/>
    <n v="0"/>
    <n v="0"/>
    <n v="27.19"/>
    <m/>
    <m/>
    <n v="5818.66"/>
    <m/>
    <n v="5818.66"/>
    <n v="4656.6400000000003"/>
    <n v="0"/>
    <n v="0"/>
    <n v="0"/>
    <n v="0"/>
    <n v="49.904931273498697"/>
    <n v="47.943455625270737"/>
    <n v="5121.4544720361328"/>
    <m/>
    <m/>
    <m/>
    <n v="0"/>
    <n v="0"/>
    <n v="0"/>
    <n v="0"/>
    <m/>
    <n v="0"/>
    <n v="105.9053538533593"/>
    <n v="493.9310124044589"/>
    <n v="0"/>
    <n v="0"/>
    <m/>
    <m/>
    <n v="0"/>
    <n v="0"/>
    <n v="0"/>
    <m/>
    <m/>
    <n v="0"/>
    <m/>
    <n v="0"/>
    <n v="0"/>
    <n v="0"/>
    <n v="0"/>
    <m/>
    <n v="0"/>
    <n v="0"/>
    <n v="19.829999999999998"/>
    <n v="170.22"/>
    <n v="9456.59"/>
    <n v="5"/>
    <m/>
    <m/>
    <m/>
    <m/>
    <m/>
    <m/>
    <m/>
    <m/>
    <m/>
    <n v="0"/>
    <m/>
    <m/>
    <m/>
    <m/>
    <m/>
    <m/>
    <m/>
    <m/>
    <m/>
    <m/>
    <m/>
    <m/>
    <n v="4656.6400000000003"/>
    <n v="-1162.0500000000002"/>
    <m/>
    <m/>
    <m/>
    <m/>
    <n v="-1162.02"/>
    <n v="0"/>
    <n v="29"/>
    <n v="109.13828563286143"/>
    <n v="10.553242144869643"/>
    <n v="49.219169636904667"/>
    <n v="0"/>
    <n v="0"/>
    <m/>
    <m/>
    <m/>
    <n v="49.3658738510871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21.4544720361328"/>
    <m/>
    <n v="0"/>
    <n v="0"/>
    <n v="-1162.0199999999995"/>
    <m/>
    <n v="0"/>
    <m/>
    <n v="-1272.256163863908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32"/>
    <s v="Sistema de Compensação"/>
    <s v="Verde"/>
    <s v="A4"/>
    <s v="Poder público"/>
    <s v="Não se aplica"/>
    <s v="Não se aplica"/>
    <s v="Não se aplica"/>
    <s v="Não se aplica"/>
    <s v="CATIVO"/>
    <x v="7"/>
    <n v="58"/>
    <n v="58"/>
    <n v="0"/>
    <n v="0"/>
    <n v="0"/>
    <n v="0"/>
    <n v="27.19"/>
    <m/>
    <m/>
    <n v="1577.02"/>
    <m/>
    <n v="1577.02"/>
    <n v="1262.0800000000002"/>
    <n v="0"/>
    <n v="0"/>
    <n v="0"/>
    <n v="0"/>
    <n v="13.525635578798713"/>
    <n v="12.994020683484592"/>
    <n v="1388.057754103251"/>
    <m/>
    <m/>
    <m/>
    <n v="0"/>
    <n v="0"/>
    <n v="0"/>
    <n v="0"/>
    <m/>
    <n v="0"/>
    <n v="28.703320203246911"/>
    <n v="133.86915289466643"/>
    <n v="0"/>
    <n v="0"/>
    <m/>
    <m/>
    <n v="0"/>
    <n v="0"/>
    <n v="0"/>
    <m/>
    <m/>
    <n v="0"/>
    <m/>
    <n v="0"/>
    <n v="0"/>
    <n v="0"/>
    <n v="0"/>
    <m/>
    <n v="0"/>
    <n v="0"/>
    <n v="3.29"/>
    <n v="28.27"/>
    <n v="1618.15"/>
    <n v="1"/>
    <m/>
    <m/>
    <m/>
    <m/>
    <m/>
    <m/>
    <m/>
    <m/>
    <m/>
    <n v="0"/>
    <m/>
    <m/>
    <m/>
    <m/>
    <m/>
    <m/>
    <m/>
    <m/>
    <m/>
    <m/>
    <m/>
    <m/>
    <n v="1262.0800000000002"/>
    <n v="-314.9699999999998"/>
    <m/>
    <m/>
    <m/>
    <m/>
    <n v="-314.94"/>
    <n v="0"/>
    <n v="29"/>
    <n v="29.579535358439074"/>
    <n v="2.8602245065534539"/>
    <n v="13.339774948319956"/>
    <n v="0"/>
    <n v="0"/>
    <m/>
    <m/>
    <m/>
    <n v="13.3795359035656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88.057754103251"/>
    <m/>
    <n v="0"/>
    <n v="0"/>
    <n v="-314.93999999999983"/>
    <m/>
    <n v="0"/>
    <m/>
    <n v="-344.8170911406855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3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1455.452"/>
    <n v="1455.452"/>
    <n v="1455.452"/>
    <n v="1455.452"/>
    <m/>
    <n v="199.07"/>
    <n v="95.29"/>
    <m/>
    <n v="428426.85071999999"/>
    <n v="428426.85071999999"/>
    <n v="404426.44724000001"/>
    <n v="0"/>
    <n v="49266.832987839494"/>
    <n v="0"/>
    <n v="0"/>
    <n v="2048.9060772347843"/>
    <n v="2642.4936803504083"/>
    <n v="182827.13224454594"/>
    <n v="136357.30822688417"/>
    <n v="2327.2363710713316"/>
    <n v="0"/>
    <n v="0"/>
    <n v="0"/>
    <n v="0"/>
    <n v="7611.9654243566092"/>
    <m/>
    <n v="966.88760884795579"/>
    <n v="4349.425529216629"/>
    <n v="20280.729585194345"/>
    <n v="0"/>
    <n v="0"/>
    <n v="0"/>
    <n v="0"/>
    <n v="0"/>
    <n v="0"/>
    <n v="0"/>
    <n v="0"/>
    <n v="0"/>
    <n v="0"/>
    <m/>
    <n v="0"/>
    <n v="0"/>
    <n v="0"/>
    <n v="0"/>
    <n v="0"/>
    <n v="7156.2908402327485"/>
    <n v="0"/>
    <n v="430.3"/>
    <n v="3691.34"/>
    <n v="153805.07"/>
    <n v="67"/>
    <m/>
    <m/>
    <m/>
    <m/>
    <m/>
    <m/>
    <m/>
    <m/>
    <m/>
    <n v="143513.59906711691"/>
    <m/>
    <m/>
    <m/>
    <m/>
    <m/>
    <m/>
    <m/>
    <m/>
    <m/>
    <m/>
    <m/>
    <m/>
    <n v="404425.89150000003"/>
    <n v="-24000.989219999989"/>
    <m/>
    <m/>
    <m/>
    <m/>
    <n v="-41276.618719999977"/>
    <n v="17276.215239999987"/>
    <n v="29"/>
    <n v="21432.621337735472"/>
    <n v="433.41095733892234"/>
    <n v="2020.9313542687341"/>
    <n v="0"/>
    <n v="0"/>
    <n v="0"/>
    <n v="0"/>
    <n v="0"/>
    <n v="2720.8929347119042"/>
    <n v="0"/>
    <n v="0"/>
    <n v="17280.813449913898"/>
    <n v="0"/>
    <n v="0"/>
    <n v="0"/>
    <n v="906.92995198776771"/>
    <n v="0"/>
    <n v="-1672.9457479106641"/>
    <m/>
    <n v="0"/>
    <n v="0"/>
    <n v="0"/>
    <n v="0"/>
    <n v="-230.05692959443149"/>
    <n v="-27.354632980685778"/>
    <n v="0"/>
    <n v="0"/>
    <m/>
    <m/>
    <m/>
    <n v="182827.13224454594"/>
    <n v="0"/>
    <n v="0"/>
    <n v="-41276.618719999999"/>
    <n v="17276.21523999999"/>
    <n v="0"/>
    <n v="0"/>
    <n v="-45417.360866865376"/>
    <n v="0"/>
    <n v="0"/>
    <n v="0"/>
    <n v="0"/>
    <n v="0"/>
    <n v="0"/>
    <n v="0"/>
    <n v="0"/>
    <n v="0"/>
    <n v="0"/>
    <n v="0"/>
    <n v="0"/>
    <n v="12581.87046756716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3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687.68899999999996"/>
    <n v="646.42765999999995"/>
    <n v="687.68899999999996"/>
    <n v="646.42765999999995"/>
    <m/>
    <n v="368.24"/>
    <n v="173.25"/>
    <m/>
    <n v="372376.71661"/>
    <n v="372376.71661"/>
    <n v="349958.05521000002"/>
    <n v="0"/>
    <n v="42323.945489191829"/>
    <n v="0"/>
    <n v="0"/>
    <n v="1760.165690917526"/>
    <n v="1691.1245328632849"/>
    <n v="161976.27674617613"/>
    <n v="117141.26787634331"/>
    <n v="1999.2725193843817"/>
    <n v="0"/>
    <n v="0"/>
    <n v="0"/>
    <n v="0"/>
    <n v="6539.2555223836334"/>
    <m/>
    <n v="830.62977604338448"/>
    <n v="3736.486350833658"/>
    <n v="17422.684621450535"/>
    <n v="0"/>
    <n v="0"/>
    <n v="0"/>
    <n v="0"/>
    <n v="0"/>
    <n v="0"/>
    <n v="0"/>
    <n v="0"/>
    <n v="0"/>
    <n v="0"/>
    <m/>
    <n v="0"/>
    <n v="0"/>
    <n v="0"/>
    <n v="0"/>
    <n v="0"/>
    <n v="6147.7965003671679"/>
    <n v="0"/>
    <n v="299.61"/>
    <n v="2576.87"/>
    <n v="150207.66"/>
    <n v="201"/>
    <m/>
    <m/>
    <m/>
    <m/>
    <n v="20997.483312600009"/>
    <m/>
    <m/>
    <m/>
    <m/>
    <n v="123289.06437671048"/>
    <m/>
    <m/>
    <m/>
    <m/>
    <m/>
    <m/>
    <m/>
    <m/>
    <m/>
    <m/>
    <m/>
    <m/>
    <n v="328961.76269999996"/>
    <n v="-21072.380913400033"/>
    <m/>
    <m/>
    <m/>
    <m/>
    <n v="-37265.866909999997"/>
    <n v="14847.205510000002"/>
    <n v="29"/>
    <n v="17816.091563698195"/>
    <n v="372.33287833537861"/>
    <n v="1736.1332825388126"/>
    <n v="0"/>
    <n v="0"/>
    <n v="0"/>
    <n v="0"/>
    <n v="0"/>
    <n v="1741.2979366427548"/>
    <n v="0"/>
    <n v="0"/>
    <n v="14845.529174639261"/>
    <n v="0"/>
    <n v="0"/>
    <n v="0"/>
    <n v="779.12160215213044"/>
    <n v="0"/>
    <n v="-1437.187258584876"/>
    <m/>
    <n v="0"/>
    <n v="0"/>
    <n v="0"/>
    <n v="0"/>
    <n v="-197.63634796596489"/>
    <n v="-23.499704059264218"/>
    <n v="0"/>
    <n v="0"/>
    <m/>
    <m/>
    <m/>
    <n v="161976.27674617613"/>
    <n v="0"/>
    <n v="0"/>
    <n v="-37265.866909999982"/>
    <n v="14847.20551"/>
    <n v="0"/>
    <n v="0"/>
    <n v="-40237.654677055514"/>
    <n v="0"/>
    <n v="0"/>
    <n v="0"/>
    <n v="0"/>
    <n v="0"/>
    <n v="0"/>
    <n v="0"/>
    <n v="0"/>
    <n v="0"/>
    <n v="0"/>
    <n v="0"/>
    <n v="0"/>
    <n v="10808.78082731285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35"/>
    <s v="Regular"/>
    <s v="Azul"/>
    <s v="A4"/>
    <s v="Serviço público"/>
    <s v="Água, esgoto e saneamento"/>
    <s v="Não se aplica"/>
    <s v="Não se aplica"/>
    <s v="Ponta"/>
    <s v="CATIVO"/>
    <x v="7"/>
    <n v="78"/>
    <n v="73.319999999999993"/>
    <n v="3.7610000000000001"/>
    <n v="3.5353400000000001"/>
    <n v="3.7610000000000001"/>
    <n v="3.5353400000000001"/>
    <n v="52.95"/>
    <n v="85.01"/>
    <n v="173.25"/>
    <n v="4130.1000000000004"/>
    <n v="971.31586000000004"/>
    <n v="5101.4158600000001"/>
    <n v="4499.5778700000001"/>
    <n v="0"/>
    <n v="201.38014759116373"/>
    <n v="0"/>
    <n v="0"/>
    <n v="61.437967769655444"/>
    <n v="59.026636731637609"/>
    <n v="3270.8296911335369"/>
    <n v="640.65050987136226"/>
    <n v="10.934105308365643"/>
    <n v="0"/>
    <n v="0"/>
    <n v="0"/>
    <n v="0"/>
    <n v="35.76346287302087"/>
    <m/>
    <n v="3.0118608046074575"/>
    <n v="130.41996884625618"/>
    <n v="608.12114336929255"/>
    <n v="0"/>
    <n v="0"/>
    <n v="0"/>
    <n v="0"/>
    <n v="0"/>
    <n v="0"/>
    <n v="0"/>
    <n v="0"/>
    <n v="0"/>
    <n v="0"/>
    <m/>
    <n v="0"/>
    <n v="0"/>
    <n v="0"/>
    <n v="0"/>
    <n v="0"/>
    <n v="28.127227408682256"/>
    <n v="0"/>
    <n v="0"/>
    <n v="0"/>
    <n v="0"/>
    <n v="0"/>
    <m/>
    <m/>
    <m/>
    <m/>
    <n v="269.97467220000033"/>
    <m/>
    <m/>
    <m/>
    <m/>
    <n v="668.77773728004456"/>
    <m/>
    <m/>
    <m/>
    <m/>
    <m/>
    <m/>
    <m/>
    <m/>
    <m/>
    <m/>
    <m/>
    <m/>
    <n v="4230.9017999999996"/>
    <n v="-564.45910840000124"/>
    <m/>
    <m/>
    <m/>
    <m/>
    <n v="-683.03798000000029"/>
    <n v="81.199990000000014"/>
    <n v="29"/>
    <n v="211.1230349891789"/>
    <n v="12.996071130329028"/>
    <n v="60.597972112696993"/>
    <n v="0"/>
    <n v="0"/>
    <n v="0"/>
    <n v="0"/>
    <n v="0"/>
    <n v="60.777878122161496"/>
    <n v="0"/>
    <n v="0"/>
    <n v="81.190822051564282"/>
    <n v="0"/>
    <n v="0"/>
    <n v="0"/>
    <n v="3.5646154653037456"/>
    <n v="0"/>
    <n v="-6.838232563262892"/>
    <m/>
    <n v="0"/>
    <n v="0"/>
    <n v="0"/>
    <n v="0"/>
    <n v="-1.0808814808728897"/>
    <n v="-8.5209848740455119E-2"/>
    <n v="0"/>
    <n v="0"/>
    <m/>
    <m/>
    <n v="3270.8296911335369"/>
    <n v="0"/>
    <n v="0"/>
    <n v="0"/>
    <n v="-683.03798000000006"/>
    <n v="81.199990000000071"/>
    <n v="0"/>
    <n v="0"/>
    <n v="-812.52957694248562"/>
    <n v="0"/>
    <n v="0"/>
    <n v="0"/>
    <n v="0"/>
    <n v="0"/>
    <n v="0"/>
    <n v="0"/>
    <n v="0"/>
    <n v="0"/>
    <n v="0"/>
    <n v="0"/>
    <n v="0"/>
    <n v="51.42889806529647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36"/>
    <s v="Regular"/>
    <s v="Azul"/>
    <s v="A4"/>
    <s v="Serviço público"/>
    <s v="Água, esgoto e saneamento"/>
    <s v="Não se aplica"/>
    <s v="Não se aplica"/>
    <s v="Fora ponta"/>
    <s v="CATIVO"/>
    <x v="7"/>
    <n v="78"/>
    <n v="73.319999999999993"/>
    <n v="23.533999999999999"/>
    <n v="22.121960000000001"/>
    <n v="23.533999999999999"/>
    <n v="22.121960000000001"/>
    <n v="27.19"/>
    <n v="85.01"/>
    <n v="173.25"/>
    <n v="2120.8200000000002"/>
    <n v="6077.89084"/>
    <n v="8198.7108399999997"/>
    <n v="8255.4997800000001"/>
    <n v="0"/>
    <n v="1260.1117770301641"/>
    <n v="0"/>
    <n v="0"/>
    <n v="18.189647847349992"/>
    <n v="17.474717470893072"/>
    <n v="1866.698358966441"/>
    <n v="4008.7926347547559"/>
    <n v="68.418833907757787"/>
    <n v="0"/>
    <n v="0"/>
    <n v="0"/>
    <n v="0"/>
    <n v="223.78551854657618"/>
    <m/>
    <n v="18.846352612505161"/>
    <n v="38.601016825056192"/>
    <n v="180.03092975489622"/>
    <n v="0"/>
    <n v="0"/>
    <n v="0"/>
    <n v="0"/>
    <n v="0"/>
    <n v="0"/>
    <n v="0"/>
    <n v="0"/>
    <n v="0"/>
    <n v="0"/>
    <m/>
    <n v="0"/>
    <n v="0"/>
    <n v="0"/>
    <n v="0"/>
    <n v="0"/>
    <n v="176.00270402444247"/>
    <n v="0"/>
    <n v="0"/>
    <n v="0"/>
    <n v="0"/>
    <n v="0"/>
    <m/>
    <m/>
    <m/>
    <m/>
    <n v="495.32998679999946"/>
    <m/>
    <m/>
    <m/>
    <m/>
    <n v="4184.7953387791986"/>
    <m/>
    <m/>
    <m/>
    <m/>
    <m/>
    <m/>
    <m/>
    <m/>
    <m/>
    <m/>
    <m/>
    <m/>
    <n v="7759.6236000000008"/>
    <n v="52.805410400000255"/>
    <m/>
    <m/>
    <m/>
    <m/>
    <n v="-451.3101200000001"/>
    <n v="508.09906000000007"/>
    <n v="29"/>
    <n v="520.04013238981133"/>
    <n v="3.8465088191580961"/>
    <n v="17.939697344292341"/>
    <n v="0"/>
    <n v="0"/>
    <n v="0"/>
    <n v="0"/>
    <n v="0"/>
    <n v="17.993168973760735"/>
    <n v="0"/>
    <n v="0"/>
    <n v="508.04169267788211"/>
    <n v="0"/>
    <n v="0"/>
    <n v="0"/>
    <n v="22.305147662977504"/>
    <n v="0"/>
    <n v="-42.78940844026306"/>
    <m/>
    <n v="0"/>
    <n v="0"/>
    <n v="0"/>
    <n v="0"/>
    <n v="-6.7634843847015418"/>
    <n v="-0.53319026329643293"/>
    <n v="0"/>
    <n v="0"/>
    <m/>
    <m/>
    <n v="1866.698358966441"/>
    <n v="0"/>
    <n v="0"/>
    <n v="0"/>
    <n v="-451.3101200000001"/>
    <n v="508.09906000000001"/>
    <n v="0"/>
    <n v="0"/>
    <n v="-463.71953636161152"/>
    <n v="0"/>
    <n v="0"/>
    <n v="0"/>
    <n v="0"/>
    <n v="0"/>
    <n v="0"/>
    <n v="0"/>
    <n v="0"/>
    <n v="0"/>
    <n v="0"/>
    <n v="0"/>
    <n v="0"/>
    <n v="321.810073668887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37"/>
    <s v="Regular"/>
    <s v="Azul"/>
    <s v="A4"/>
    <s v="Serviço público"/>
    <s v="Água, esgoto e saneamento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31"/>
    <n v="105.58"/>
    <n v="6156.9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3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17.864000000000001"/>
    <n v="17.864000000000001"/>
    <n v="17.864000000000001"/>
    <n v="17.864000000000001"/>
    <m/>
    <n v="368.24"/>
    <n v="173.25"/>
    <m/>
    <n v="9673.1773600000015"/>
    <n v="9673.1773600000015"/>
    <n v="9090.8109600000007"/>
    <n v="0"/>
    <n v="1099.443152673553"/>
    <n v="0"/>
    <n v="0"/>
    <n v="45.72357548623097"/>
    <n v="43.930103077219094"/>
    <n v="4207.6348578989791"/>
    <n v="3042.9621665360314"/>
    <n v="51.934819789588893"/>
    <n v="0"/>
    <n v="0"/>
    <n v="0"/>
    <n v="0"/>
    <n v="169.86931687414113"/>
    <m/>
    <n v="21.57715234537563"/>
    <n v="97.06217806492829"/>
    <n v="452.58661702832586"/>
    <n v="0"/>
    <n v="0"/>
    <n v="0"/>
    <n v="0"/>
    <n v="0"/>
    <n v="0"/>
    <n v="0"/>
    <n v="0"/>
    <n v="0"/>
    <n v="0"/>
    <m/>
    <n v="0"/>
    <n v="0"/>
    <n v="0"/>
    <n v="0"/>
    <n v="0"/>
    <n v="159.70044116244276"/>
    <n v="0"/>
    <n v="8.16"/>
    <n v="70.239999999999995"/>
    <n v="3901.91"/>
    <n v="5"/>
    <m/>
    <m/>
    <m/>
    <m/>
    <m/>
    <m/>
    <m/>
    <m/>
    <m/>
    <n v="3202.6626076984739"/>
    <m/>
    <m/>
    <m/>
    <m/>
    <m/>
    <m/>
    <m/>
    <m/>
    <m/>
    <m/>
    <m/>
    <m/>
    <n v="9088.7754000000004"/>
    <n v="-584.43196000000171"/>
    <m/>
    <m/>
    <m/>
    <m/>
    <n v="-968.05016000000001"/>
    <n v="385.68376000000006"/>
    <n v="29"/>
    <n v="462.80609358867787"/>
    <n v="9.6720385793334032"/>
    <n v="45.099289008946357"/>
    <n v="0"/>
    <n v="0"/>
    <n v="0"/>
    <n v="0"/>
    <n v="0"/>
    <n v="45.233450498969994"/>
    <n v="0"/>
    <n v="0"/>
    <n v="385.64021407315795"/>
    <n v="0"/>
    <n v="0"/>
    <n v="0"/>
    <n v="20.239131789000055"/>
    <n v="0"/>
    <n v="-37.333610378180083"/>
    <m/>
    <n v="0"/>
    <n v="0"/>
    <n v="0"/>
    <n v="0"/>
    <n v="-5.1339714901125433"/>
    <n v="-0.61044849243581822"/>
    <n v="0"/>
    <n v="0"/>
    <m/>
    <m/>
    <m/>
    <n v="4207.6348578989791"/>
    <n v="0"/>
    <n v="0"/>
    <n v="-968.05015999999978"/>
    <n v="385.68375999999989"/>
    <n v="0"/>
    <n v="0"/>
    <n v="-1045.2478709866236"/>
    <n v="0"/>
    <n v="0"/>
    <n v="0"/>
    <n v="0"/>
    <n v="0"/>
    <n v="0"/>
    <n v="0"/>
    <n v="0"/>
    <n v="0"/>
    <n v="0"/>
    <n v="0"/>
    <n v="0"/>
    <n v="280.7781725447359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39"/>
    <s v="Sistema de Compensação"/>
    <s v="Convencional"/>
    <s v="B3"/>
    <s v="Consumo próprio"/>
    <s v="Não se aplica"/>
    <s v="Não se aplica"/>
    <s v="Não se aplica"/>
    <s v="Não se aplica"/>
    <s v="CATIVO"/>
    <x v="7"/>
    <n v="0"/>
    <n v="0"/>
    <n v="4.532"/>
    <n v="4.532"/>
    <n v="4.532"/>
    <n v="4.532"/>
    <m/>
    <n v="368.24"/>
    <n v="173.25"/>
    <m/>
    <n v="2454.0326800000003"/>
    <n v="2454.0326800000003"/>
    <n v="2306.2894799999999"/>
    <n v="0"/>
    <n v="278.92277025954667"/>
    <n v="0"/>
    <n v="0"/>
    <n v="11.599823337639876"/>
    <n v="11.144829105796962"/>
    <n v="1067.4541634571301"/>
    <n v="771.98301269263857"/>
    <n v="13.175582360412946"/>
    <n v="0"/>
    <n v="0"/>
    <n v="0"/>
    <n v="0"/>
    <n v="43.09492521683876"/>
    <m/>
    <n v="5.4740066294918464"/>
    <n v="24.624148622383284"/>
    <n v="114.81877230028957"/>
    <n v="0"/>
    <n v="0"/>
    <n v="0"/>
    <n v="0"/>
    <n v="0"/>
    <n v="0"/>
    <n v="0"/>
    <n v="0"/>
    <n v="0"/>
    <n v="0"/>
    <m/>
    <n v="0"/>
    <n v="0"/>
    <n v="0"/>
    <n v="0"/>
    <n v="0"/>
    <n v="40.515136551063065"/>
    <n v="0"/>
    <n v="2.0699999999999998"/>
    <n v="17.82"/>
    <n v="1034.5899999999999"/>
    <n v="1"/>
    <m/>
    <m/>
    <m/>
    <m/>
    <m/>
    <m/>
    <m/>
    <m/>
    <m/>
    <n v="812.49814924370162"/>
    <m/>
    <m/>
    <m/>
    <m/>
    <m/>
    <m/>
    <m/>
    <m/>
    <m/>
    <m/>
    <m/>
    <m/>
    <n v="2305.2717000000002"/>
    <n v="-148.79098000000022"/>
    <m/>
    <m/>
    <m/>
    <m/>
    <n v="-245.58908"/>
    <n v="97.845880000000022"/>
    <n v="29"/>
    <n v="117.41139812717688"/>
    <n v="2.4537437775156192"/>
    <n v="11.441445241185903"/>
    <n v="0"/>
    <n v="0"/>
    <n v="0"/>
    <n v="0"/>
    <n v="0"/>
    <n v="11.475481284221452"/>
    <n v="0"/>
    <n v="0"/>
    <n v="97.83483263432322"/>
    <n v="0"/>
    <n v="0"/>
    <n v="0"/>
    <n v="5.1345580646970532"/>
    <n v="0"/>
    <n v="-9.4713346525924749"/>
    <m/>
    <n v="0"/>
    <n v="0"/>
    <n v="0"/>
    <n v="0"/>
    <n v="-1.302460747491601"/>
    <n v="-0.15486747468199269"/>
    <n v="0"/>
    <n v="0"/>
    <m/>
    <m/>
    <m/>
    <n v="1067.4541634571301"/>
    <n v="0"/>
    <n v="0"/>
    <n v="-245.58908000000019"/>
    <n v="97.845880000000079"/>
    <n v="0"/>
    <n v="0"/>
    <n v="-265.17372096458678"/>
    <n v="0"/>
    <n v="0"/>
    <n v="0"/>
    <n v="0"/>
    <n v="0"/>
    <n v="0"/>
    <n v="0"/>
    <n v="0"/>
    <n v="0"/>
    <n v="0"/>
    <n v="0"/>
    <n v="0"/>
    <n v="71.2319009165216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0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5"/>
    <n v="3.11"/>
    <n v="35.7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41"/>
    <s v="Regular"/>
    <s v="Convencional"/>
    <s v="B2"/>
    <s v="Rural"/>
    <s v="Agropecuária rural"/>
    <s v="IRRIG./AQUIC."/>
    <s v="Não se aplica"/>
    <s v="Não se aplica"/>
    <s v="CATIVO"/>
    <x v="7"/>
    <n v="0"/>
    <n v="0"/>
    <n v="0.63"/>
    <n v="0.63"/>
    <n v="0.63"/>
    <n v="0.63"/>
    <m/>
    <n v="368.24"/>
    <n v="173.25"/>
    <m/>
    <n v="341.13870000000003"/>
    <n v="341.13870000000003"/>
    <n v="320.60070000000002"/>
    <n v="0"/>
    <n v="38.773465415603354"/>
    <n v="0"/>
    <n v="0"/>
    <n v="1.6125085398749166"/>
    <n v="1.5492591210618019"/>
    <n v="148.38837665004235"/>
    <n v="107.31449646874719"/>
    <n v="1.8315571242409876"/>
    <n v="0"/>
    <n v="0"/>
    <n v="0"/>
    <n v="0"/>
    <n v="5.9906890747150081"/>
    <m/>
    <n v="0.76094973004851352"/>
    <n v="3.4230391950797592"/>
    <n v="15.961126776077322"/>
    <n v="0"/>
    <n v="0"/>
    <n v="0"/>
    <n v="0"/>
    <n v="0"/>
    <n v="0"/>
    <n v="0"/>
    <n v="0"/>
    <n v="0"/>
    <n v="0"/>
    <m/>
    <n v="0"/>
    <n v="0"/>
    <n v="0"/>
    <n v="0"/>
    <n v="0"/>
    <n v="5.6320688497726676"/>
    <n v="0"/>
    <n v="0"/>
    <n v="0"/>
    <n v="0"/>
    <n v="0"/>
    <m/>
    <m/>
    <m/>
    <m/>
    <m/>
    <n v="38.467800000000004"/>
    <m/>
    <m/>
    <m/>
    <n v="112.94656531851986"/>
    <m/>
    <m/>
    <m/>
    <m/>
    <m/>
    <m/>
    <m/>
    <m/>
    <m/>
    <m/>
    <m/>
    <m/>
    <n v="282.13290000000001"/>
    <n v="-18.09839999999997"/>
    <m/>
    <m/>
    <m/>
    <m/>
    <n v="-34.139699999999998"/>
    <n v="13.601700000000003"/>
    <n v="29"/>
    <n v="16.321531513707356"/>
    <n v="0.3410985392398147"/>
    <n v="1.5904921672434078"/>
    <n v="0"/>
    <n v="0"/>
    <n v="0"/>
    <n v="0"/>
    <n v="0"/>
    <n v="1.5952235677536442"/>
    <n v="0"/>
    <n v="0"/>
    <n v="13.600164289413868"/>
    <n v="0"/>
    <n v="0"/>
    <n v="0"/>
    <n v="0.71376248472178894"/>
    <n v="0"/>
    <n v="-1.3166241904530551"/>
    <m/>
    <n v="0"/>
    <n v="0"/>
    <n v="0"/>
    <n v="0"/>
    <n v="-0.18105698828766759"/>
    <n v="-2.1528355924460674E-2"/>
    <n v="0"/>
    <n v="0"/>
    <m/>
    <m/>
    <m/>
    <n v="148.38837665004235"/>
    <n v="0"/>
    <n v="0"/>
    <n v="-34.139700000000005"/>
    <n v="13.601700000000008"/>
    <n v="0"/>
    <n v="0"/>
    <n v="-36.862189807521972"/>
    <n v="0"/>
    <n v="0"/>
    <n v="0"/>
    <n v="0"/>
    <n v="0"/>
    <n v="0"/>
    <n v="0"/>
    <n v="0"/>
    <n v="0"/>
    <n v="0"/>
    <n v="0"/>
    <n v="0"/>
    <n v="9.9020515395870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2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0.61499999999999999"/>
    <n v="0.246"/>
    <n v="0.61499999999999999"/>
    <n v="0.246"/>
    <m/>
    <n v="368.24"/>
    <n v="173.25"/>
    <m/>
    <n v="333.01634999999999"/>
    <n v="333.01634999999999"/>
    <n v="312.96735000000001"/>
    <n v="0"/>
    <n v="37.850287667612797"/>
    <n v="0"/>
    <n v="0"/>
    <n v="1.5741154794017043"/>
    <n v="1.512371999131759"/>
    <n v="144.85532006313659"/>
    <n v="104.7593894099675"/>
    <n v="1.7879486212828688"/>
    <n v="0"/>
    <n v="0"/>
    <n v="0"/>
    <n v="0"/>
    <n v="5.8480536205551266"/>
    <m/>
    <n v="0.74283187933307271"/>
    <n v="3.3415382618635747"/>
    <n v="15.581099948075481"/>
    <n v="0"/>
    <n v="0"/>
    <n v="0"/>
    <n v="0"/>
    <n v="0"/>
    <n v="0"/>
    <n v="0"/>
    <n v="0"/>
    <n v="0"/>
    <n v="0"/>
    <m/>
    <n v="0"/>
    <n v="0"/>
    <n v="0"/>
    <n v="0"/>
    <n v="0"/>
    <n v="5.4979719723971279"/>
    <n v="0"/>
    <n v="0"/>
    <n v="0"/>
    <n v="0"/>
    <n v="0"/>
    <m/>
    <m/>
    <m/>
    <m/>
    <m/>
    <m/>
    <n v="202.80117000000001"/>
    <m/>
    <m/>
    <n v="110.25736138236462"/>
    <m/>
    <m/>
    <m/>
    <m/>
    <m/>
    <m/>
    <m/>
    <m/>
    <m/>
    <m/>
    <m/>
    <m/>
    <n v="111.95750000000001"/>
    <n v="-5.2939600000000127"/>
    <m/>
    <m/>
    <m/>
    <m/>
    <n v="-33.32685"/>
    <n v="13.277850000000003"/>
    <n v="29"/>
    <n v="15.932923620523752"/>
    <n v="0.3329771454483903"/>
    <n v="1.5526233061185639"/>
    <n v="0"/>
    <n v="0"/>
    <n v="0"/>
    <n v="0"/>
    <n v="0"/>
    <n v="1.5572420542356999"/>
    <n v="0"/>
    <n v="0"/>
    <n v="13.276350853951627"/>
    <n v="0"/>
    <n v="0"/>
    <n v="0"/>
    <n v="0.69676813984746033"/>
    <n v="0"/>
    <n v="-1.2852759954422694"/>
    <m/>
    <n v="0"/>
    <n v="0"/>
    <n v="0"/>
    <n v="0"/>
    <n v="-0.17674610761415099"/>
    <n v="-2.101577602149729E-2"/>
    <n v="0"/>
    <n v="0"/>
    <m/>
    <m/>
    <m/>
    <n v="144.85532006313659"/>
    <n v="0"/>
    <n v="0"/>
    <n v="-33.326850000000007"/>
    <n v="13.277850000000001"/>
    <n v="0"/>
    <n v="0"/>
    <n v="-35.984518621628609"/>
    <n v="0"/>
    <n v="0"/>
    <n v="0"/>
    <n v="0"/>
    <n v="0"/>
    <n v="0"/>
    <n v="0"/>
    <n v="0"/>
    <n v="0"/>
    <n v="0"/>
    <n v="0"/>
    <n v="0"/>
    <n v="9.6662884076921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3"/>
    <s v="Regular"/>
    <s v="Convencional"/>
    <s v="B1"/>
    <s v="Residencial"/>
    <s v="Residencial"/>
    <s v="Não se aplica"/>
    <s v="Não se aplica"/>
    <s v="Não se aplica"/>
    <s v="CATIVO"/>
    <x v="8"/>
    <n v="0"/>
    <n v="0"/>
    <n v="10287.936"/>
    <n v="10287.936"/>
    <n v="10287.936"/>
    <n v="10287.936"/>
    <m/>
    <n v="368.24"/>
    <n v="173.25"/>
    <m/>
    <n v="5570814.4646399999"/>
    <n v="5570814.4646399999"/>
    <n v="5235427.7510399995"/>
    <n v="0"/>
    <n v="633172.90586339787"/>
    <n v="0"/>
    <n v="0"/>
    <n v="26332.356599502524"/>
    <n v="25299.489976031859"/>
    <n v="2423190.6700309999"/>
    <n v="1752451.8595915826"/>
    <n v="29909.432499262428"/>
    <n v="0"/>
    <n v="0"/>
    <n v="0"/>
    <n v="0"/>
    <n v="97828.294915186067"/>
    <m/>
    <n v="12426.352574533943"/>
    <n v="55898.425657892185"/>
    <n v="260646.11231772986"/>
    <n v="0"/>
    <n v="0"/>
    <n v="0"/>
    <n v="0"/>
    <n v="0"/>
    <n v="0"/>
    <n v="0"/>
    <n v="0"/>
    <n v="0"/>
    <n v="0"/>
    <m/>
    <n v="0"/>
    <n v="0"/>
    <n v="0"/>
    <n v="0"/>
    <n v="0"/>
    <n v="91972.00614929336"/>
    <n v="0"/>
    <n v="4499.34"/>
    <n v="50635.05"/>
    <n v="2231218.27"/>
    <n v="45752"/>
    <m/>
    <m/>
    <m/>
    <m/>
    <m/>
    <m/>
    <m/>
    <m/>
    <m/>
    <n v="1844423.8657408759"/>
    <m/>
    <m/>
    <m/>
    <m/>
    <m/>
    <m/>
    <m/>
    <m/>
    <m/>
    <m/>
    <m/>
    <m/>
    <n v="5235429.7866000012"/>
    <n v="-335384.70803999808"/>
    <m/>
    <m/>
    <m/>
    <m/>
    <n v="-557503.25183999992"/>
    <n v="222116.53824000002"/>
    <n v="31"/>
    <n v="266531.54227778409"/>
    <n v="5570.1586371312733"/>
    <n v="25972.827976351546"/>
    <n v="0"/>
    <n v="0"/>
    <n v="0"/>
    <n v="0"/>
    <n v="0"/>
    <n v="26050.092017049443"/>
    <n v="0"/>
    <n v="0"/>
    <n v="222091.45999837364"/>
    <n v="0"/>
    <n v="0"/>
    <n v="0"/>
    <n v="11655.782161934505"/>
    <n v="0"/>
    <n v="-21500.548265766352"/>
    <m/>
    <n v="0"/>
    <n v="0"/>
    <n v="0"/>
    <n v="0"/>
    <n v="-2956.6709648512333"/>
    <n v="-351.55928243820927"/>
    <n v="0"/>
    <n v="0"/>
    <m/>
    <m/>
    <m/>
    <n v="2423190.6700309999"/>
    <n v="0"/>
    <n v="0"/>
    <n v="-557503.25184000004"/>
    <n v="222116.53823999991"/>
    <n v="0"/>
    <n v="0"/>
    <n v="-601961.66596767982"/>
    <n v="0"/>
    <n v="0"/>
    <n v="0"/>
    <n v="0"/>
    <n v="0"/>
    <n v="0"/>
    <n v="0"/>
    <n v="0"/>
    <n v="0"/>
    <n v="0"/>
    <n v="0"/>
    <n v="0"/>
    <n v="161701.0674729735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4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2.7080000000000002"/>
    <n v="-2.7080000000000002"/>
    <n v="-2.7080000000000002"/>
    <n v="-2.7080000000000002"/>
    <m/>
    <n v="368.24"/>
    <n v="173.25"/>
    <m/>
    <n v="-1466.3549200000002"/>
    <n v="-1466.3549200000002"/>
    <n v="-1378.0741200000002"/>
    <n v="0"/>
    <n v="-166.66435610389505"/>
    <n v="0"/>
    <n v="0"/>
    <n v="-6.9312271840972608"/>
    <n v="-6.6593550791037455"/>
    <n v="-637.83448248938839"/>
    <n v="-461.28199434502761"/>
    <n v="-7.8727884007057058"/>
    <n v="0"/>
    <n v="0"/>
    <n v="0"/>
    <n v="0"/>
    <n v="-25.750453990997212"/>
    <m/>
    <n v="-3.2708759824942457"/>
    <n v="-14.713635143295221"/>
    <n v="-68.607510015265703"/>
    <n v="0"/>
    <n v="0"/>
    <n v="0"/>
    <n v="0"/>
    <n v="0"/>
    <n v="0"/>
    <n v="0"/>
    <n v="0"/>
    <n v="0"/>
    <n v="0"/>
    <m/>
    <n v="0"/>
    <n v="0"/>
    <n v="0"/>
    <n v="0"/>
    <n v="0"/>
    <n v="-24.208956262197436"/>
    <n v="0"/>
    <n v="-1.23"/>
    <n v="-10.62"/>
    <n v="-625.63"/>
    <n v="0"/>
    <m/>
    <m/>
    <m/>
    <m/>
    <m/>
    <m/>
    <m/>
    <m/>
    <m/>
    <n v="-485.49095060722505"/>
    <m/>
    <m/>
    <m/>
    <m/>
    <m/>
    <m/>
    <m/>
    <m/>
    <m/>
    <m/>
    <m/>
    <m/>
    <n v="-1379.0918999999999"/>
    <n v="87.233020000000352"/>
    <m/>
    <m/>
    <m/>
    <m/>
    <n v="146.74652"/>
    <n v="-58.465720000000012"/>
    <n v="31"/>
    <n v="-70.156678316062539"/>
    <n v="-1.4661822924784396"/>
    <n v="-6.8365917284049971"/>
    <n v="0"/>
    <n v="0"/>
    <n v="0"/>
    <n v="0"/>
    <n v="0"/>
    <n v="-6.8569292404394737"/>
    <n v="0"/>
    <n v="0"/>
    <n v="-58.459118882115547"/>
    <n v="0"/>
    <n v="0"/>
    <n v="0"/>
    <n v="-3.0680457279787383"/>
    <n v="0"/>
    <n v="5.6593941392807494"/>
    <m/>
    <n v="0"/>
    <n v="0"/>
    <n v="0"/>
    <n v="0"/>
    <n v="0.77825765759206789"/>
    <n v="9.2537758481650023E-2"/>
    <n v="0"/>
    <n v="0"/>
    <m/>
    <m/>
    <m/>
    <n v="-637.83448248938839"/>
    <n v="0"/>
    <n v="0"/>
    <n v="146.74651999999992"/>
    <n v="-58.465720000000033"/>
    <n v="0"/>
    <n v="0"/>
    <n v="158.44890475995157"/>
    <n v="0"/>
    <n v="0"/>
    <n v="0"/>
    <n v="0"/>
    <n v="0"/>
    <n v="0"/>
    <n v="0"/>
    <n v="0"/>
    <n v="0"/>
    <n v="0"/>
    <n v="0"/>
    <n v="0"/>
    <n v="-42.56310407809812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5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93.09100000000001"/>
    <n v="193.09100000000001"/>
    <n v="193.09100000000001"/>
    <n v="193.09100000000001"/>
    <m/>
    <n v="368.24"/>
    <n v="173.25"/>
    <m/>
    <n v="104556.84559000001"/>
    <n v="104556.84559000001"/>
    <n v="98262.078990000009"/>
    <n v="0"/>
    <n v="11883.82096914963"/>
    <n v="0"/>
    <n v="0"/>
    <n v="494.22362932220244"/>
    <n v="474.83808403959432"/>
    <n v="45480.095294814804"/>
    <n v="32891.211805788676"/>
    <n v="561.36062964574057"/>
    <n v="0"/>
    <n v="0"/>
    <n v="0"/>
    <n v="0"/>
    <n v="1836.1081652790408"/>
    <m/>
    <n v="233.22626083301196"/>
    <n v="1049.1397797097552"/>
    <n v="4891.9840163802319"/>
    <n v="0"/>
    <n v="0"/>
    <n v="0"/>
    <n v="0"/>
    <n v="0"/>
    <n v="0"/>
    <n v="0"/>
    <n v="0"/>
    <n v="0"/>
    <n v="0"/>
    <m/>
    <n v="0"/>
    <n v="0"/>
    <n v="0"/>
    <n v="0"/>
    <n v="0"/>
    <n v="1726.1933432880226"/>
    <n v="0"/>
    <n v="81.510000000000005"/>
    <n v="950.47"/>
    <n v="93380.66"/>
    <n v="1578"/>
    <m/>
    <m/>
    <m/>
    <m/>
    <m/>
    <m/>
    <m/>
    <m/>
    <m/>
    <n v="34617.405149076701"/>
    <m/>
    <m/>
    <m/>
    <m/>
    <m/>
    <m/>
    <m/>
    <m/>
    <m/>
    <m/>
    <m/>
    <m/>
    <n v="98261.570100000012"/>
    <n v="-6295.3054899999843"/>
    <m/>
    <m/>
    <m/>
    <m/>
    <n v="-10463.601290000001"/>
    <n v="4168.8346900000006"/>
    <n v="31"/>
    <n v="5002.4457801797835"/>
    <n v="104.54453657199224"/>
    <n v="487.47575089713791"/>
    <n v="0"/>
    <n v="0"/>
    <n v="0"/>
    <n v="0"/>
    <n v="0"/>
    <n v="488.92589511288708"/>
    <n v="0"/>
    <n v="0"/>
    <n v="4168.3640044558924"/>
    <n v="0"/>
    <n v="0"/>
    <n v="0"/>
    <n v="218.76366974192842"/>
    <n v="0"/>
    <n v="-403.53695485519165"/>
    <m/>
    <n v="0"/>
    <n v="0"/>
    <n v="0"/>
    <n v="0"/>
    <n v="-55.492817341990531"/>
    <n v="-6.5983044028730831"/>
    <n v="0"/>
    <n v="0"/>
    <m/>
    <m/>
    <m/>
    <n v="45480.095294814804"/>
    <n v="0"/>
    <n v="0"/>
    <n v="-10463.601289999999"/>
    <n v="4168.8346900000033"/>
    <n v="0"/>
    <n v="0"/>
    <n v="-11298.027130355913"/>
    <n v="0"/>
    <n v="0"/>
    <n v="0"/>
    <n v="0"/>
    <n v="0"/>
    <n v="0"/>
    <n v="0"/>
    <n v="0"/>
    <n v="0"/>
    <n v="0"/>
    <n v="0"/>
    <n v="0"/>
    <n v="3034.915926714935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6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-0.64100000000000001"/>
    <n v="-0.64100000000000001"/>
    <n v="-0.64100000000000001"/>
    <n v="-0.64100000000000001"/>
    <m/>
    <n v="368.24"/>
    <n v="173.25"/>
    <m/>
    <n v="-347.09509000000003"/>
    <n v="-347.09509000000003"/>
    <n v="-326.19848999999999"/>
    <n v="0"/>
    <n v="-39.450462430796428"/>
    <n v="0"/>
    <n v="0"/>
    <n v="-1.6406634508886055"/>
    <n v="-1.5763096771438334"/>
    <n v="-150.97928481377326"/>
    <n v="-109.18824164518564"/>
    <n v="-1.8635366930769415"/>
    <n v="0"/>
    <n v="0"/>
    <n v="0"/>
    <n v="0"/>
    <n v="-6.0952884077655876"/>
    <m/>
    <n v="-0.77423615390650347"/>
    <n v="-3.4828065461049613"/>
    <n v="-16.239813116612005"/>
    <n v="0"/>
    <n v="0"/>
    <n v="0"/>
    <n v="0"/>
    <n v="0"/>
    <n v="0"/>
    <n v="0"/>
    <n v="0"/>
    <n v="0"/>
    <n v="0"/>
    <m/>
    <n v="0"/>
    <n v="0"/>
    <n v="0"/>
    <n v="0"/>
    <n v="0"/>
    <n v="-5.7304065598480634"/>
    <n v="0"/>
    <n v="-0.28999999999999998"/>
    <n v="-2.5299999999999998"/>
    <n v="-140.02000000000001"/>
    <n v="2"/>
    <m/>
    <m/>
    <m/>
    <m/>
    <m/>
    <m/>
    <m/>
    <m/>
    <m/>
    <n v="-114.9186482050337"/>
    <m/>
    <m/>
    <m/>
    <m/>
    <m/>
    <m/>
    <m/>
    <m/>
    <m/>
    <m/>
    <m/>
    <m/>
    <n v="-325.68960000000004"/>
    <n v="21.375490000000013"/>
    <m/>
    <m/>
    <m/>
    <m/>
    <n v="34.735790000000001"/>
    <n v="-13.839190000000002"/>
    <n v="31"/>
    <n v="-16.606510635375201"/>
    <n v="-0.34705422802019248"/>
    <n v="-1.6182626654016268"/>
    <n v="0"/>
    <n v="0"/>
    <n v="0"/>
    <n v="0"/>
    <n v="0"/>
    <n v="-1.6230766776668026"/>
    <n v="0"/>
    <n v="0"/>
    <n v="-13.837627475419495"/>
    <n v="0"/>
    <n v="0"/>
    <n v="0"/>
    <n v="-0.72622500429629611"/>
    <n v="0"/>
    <n v="1.3396128667942975"/>
    <m/>
    <n v="0"/>
    <n v="0"/>
    <n v="0"/>
    <n v="0"/>
    <n v="0.18421830078157875"/>
    <n v="2.1904247853300474E-2"/>
    <n v="0"/>
    <n v="0"/>
    <m/>
    <m/>
    <m/>
    <n v="-150.97928481377326"/>
    <n v="0"/>
    <n v="0"/>
    <n v="34.735790000000009"/>
    <n v="-13.839190000000002"/>
    <n v="0"/>
    <n v="0"/>
    <n v="37.505815343843807"/>
    <n v="0"/>
    <n v="0"/>
    <n v="0"/>
    <n v="0"/>
    <n v="0"/>
    <n v="0"/>
    <n v="0"/>
    <n v="0"/>
    <n v="0"/>
    <n v="0"/>
    <n v="0"/>
    <n v="0"/>
    <n v="-10.07494450297669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7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55.732999999999997"/>
    <n v="55.732999999999997"/>
    <n v="55.732999999999997"/>
    <n v="55.732999999999997"/>
    <m/>
    <n v="281.47000000000003"/>
    <n v="173.25"/>
    <m/>
    <n v="25342.909760000002"/>
    <n v="25342.909760000002"/>
    <n v="23658.658499999998"/>
    <n v="0"/>
    <n v="0"/>
    <n v="0"/>
    <n v="0"/>
    <n v="142.65069595690272"/>
    <n v="137.05533110180539"/>
    <n v="13127.189517201285"/>
    <n v="9493.5854471312487"/>
    <n v="162.02884635765548"/>
    <n v="0"/>
    <n v="0"/>
    <n v="0"/>
    <n v="0"/>
    <n v="0"/>
    <m/>
    <n v="67.317478261577463"/>
    <n v="302.81943406250826"/>
    <n v="1412.0023470017736"/>
    <n v="0"/>
    <n v="0"/>
    <n v="0"/>
    <n v="0"/>
    <n v="0"/>
    <n v="0"/>
    <n v="0"/>
    <n v="0"/>
    <n v="0"/>
    <n v="0"/>
    <m/>
    <n v="0"/>
    <n v="0"/>
    <n v="0"/>
    <n v="0"/>
    <n v="0"/>
    <n v="498.24141778473029"/>
    <n v="0"/>
    <n v="0"/>
    <n v="55.68"/>
    <n v="2628.01"/>
    <n v="106"/>
    <m/>
    <m/>
    <m/>
    <m/>
    <m/>
    <m/>
    <m/>
    <n v="15378.40669"/>
    <m/>
    <n v="9991.8268649159781"/>
    <m/>
    <m/>
    <m/>
    <m/>
    <m/>
    <m/>
    <m/>
    <m/>
    <m/>
    <m/>
    <m/>
    <m/>
    <n v="8279.806099999998"/>
    <n v="-590.68818000000283"/>
    <m/>
    <m/>
    <m/>
    <m/>
    <n v="-2887.5267300000014"/>
    <n v="1203.27547"/>
    <n v="31"/>
    <n v="1576.3780650606495"/>
    <n v="30.175309345162816"/>
    <n v="140.70301580472506"/>
    <n v="0"/>
    <n v="0"/>
    <n v="0"/>
    <n v="0"/>
    <n v="0"/>
    <n v="141.12157952637114"/>
    <n v="0"/>
    <n v="0"/>
    <n v="1203.1396132411155"/>
    <n v="0"/>
    <n v="0"/>
    <n v="0"/>
    <n v="63.143054858729215"/>
    <n v="0"/>
    <n v="0"/>
    <m/>
    <n v="0"/>
    <n v="0"/>
    <n v="0"/>
    <n v="0"/>
    <n v="0"/>
    <n v="-1.9045077154570862"/>
    <n v="0"/>
    <n v="0"/>
    <m/>
    <m/>
    <m/>
    <n v="13127.189517201285"/>
    <n v="0"/>
    <n v="0"/>
    <n v="-2887.5267300000014"/>
    <n v="1203.2754700000005"/>
    <n v="0"/>
    <n v="0"/>
    <n v="-3261.01654689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8"/>
    <s v="Refaturamento - 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03"/>
    <n v="0.03"/>
    <n v="0.03"/>
    <n v="0.03"/>
    <m/>
    <n v="281.47000000000003"/>
    <n v="173.25"/>
    <m/>
    <n v="13.6416"/>
    <n v="13.6416"/>
    <n v="12.734999999999999"/>
    <n v="0"/>
    <n v="0"/>
    <n v="0"/>
    <n v="0"/>
    <n v="7.6786120946424591E-2"/>
    <n v="7.3774243860085797E-2"/>
    <n v="7.0661131738115399"/>
    <n v="5.1102141175593898"/>
    <n v="8.7217005916237503E-2"/>
    <n v="0"/>
    <n v="0"/>
    <n v="0"/>
    <n v="0"/>
    <n v="0"/>
    <m/>
    <n v="3.6235701430881596E-2"/>
    <n v="0.1630018664323695"/>
    <n v="0.76005365600368202"/>
    <n v="0"/>
    <n v="0"/>
    <n v="0"/>
    <n v="0"/>
    <n v="0"/>
    <n v="0"/>
    <n v="0"/>
    <n v="0"/>
    <n v="0"/>
    <n v="0"/>
    <m/>
    <n v="0"/>
    <n v="0"/>
    <n v="0"/>
    <n v="0"/>
    <n v="0"/>
    <n v="0.26819375475107943"/>
    <n v="0"/>
    <n v="0"/>
    <n v="0.03"/>
    <n v="1.49"/>
    <n v="0"/>
    <m/>
    <m/>
    <m/>
    <m/>
    <m/>
    <m/>
    <m/>
    <n v="8.2778999999999989"/>
    <m/>
    <n v="5.3784078723104694"/>
    <m/>
    <m/>
    <m/>
    <m/>
    <m/>
    <m/>
    <m/>
    <m/>
    <m/>
    <m/>
    <m/>
    <m/>
    <n v="4.4571000000000005"/>
    <n v="-0.3476999999999979"/>
    <m/>
    <m/>
    <m/>
    <m/>
    <n v="-1.5543000000000009"/>
    <n v="0.64770000000000005"/>
    <n v="31"/>
    <n v="0.84853393773562047"/>
    <n v="1.6242787582848306E-2"/>
    <n v="7.5737722249686001E-2"/>
    <n v="0"/>
    <n v="0"/>
    <n v="0"/>
    <n v="0"/>
    <n v="0"/>
    <n v="7.5963027035887809E-2"/>
    <n v="0"/>
    <n v="0"/>
    <n v="0.64762687092447013"/>
    <n v="0"/>
    <n v="0"/>
    <n v="0"/>
    <n v="3.3988689748656598E-2"/>
    <n v="0"/>
    <n v="0"/>
    <m/>
    <n v="0"/>
    <n v="0"/>
    <n v="0"/>
    <n v="0"/>
    <n v="0"/>
    <n v="-1.0251598059266981E-3"/>
    <n v="0"/>
    <n v="0"/>
    <m/>
    <m/>
    <m/>
    <n v="7.0661131738115399"/>
    <n v="0"/>
    <n v="0"/>
    <n v="-1.5543000000000013"/>
    <n v="0.64770000000000039"/>
    <n v="0"/>
    <n v="0"/>
    <n v="-1.7553423717867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49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36399999999999999"/>
    <n v="-2.9483999999999999"/>
    <n v="0.36399999999999999"/>
    <n v="-2.9483999999999999"/>
    <m/>
    <n v="281.47000000000003"/>
    <n v="173.25"/>
    <m/>
    <n v="165.51808"/>
    <n v="165.51808"/>
    <n v="154.518"/>
    <n v="0"/>
    <n v="0"/>
    <n v="0"/>
    <n v="0"/>
    <n v="0.93167160081661848"/>
    <n v="0.89512749216904108"/>
    <n v="85.73550650891336"/>
    <n v="62.003931293053931"/>
    <n v="1.058233005117015"/>
    <n v="0"/>
    <n v="0"/>
    <n v="0"/>
    <n v="0"/>
    <n v="0"/>
    <m/>
    <n v="0.43965984402803004"/>
    <n v="1.9777559793794164"/>
    <n v="9.2219843595113407"/>
    <n v="0"/>
    <n v="0"/>
    <n v="0"/>
    <n v="0"/>
    <n v="0"/>
    <n v="0"/>
    <n v="0"/>
    <n v="0"/>
    <n v="0"/>
    <n v="0"/>
    <m/>
    <n v="0"/>
    <n v="0"/>
    <n v="0"/>
    <n v="0"/>
    <n v="0"/>
    <n v="3.2540842243130967"/>
    <n v="0"/>
    <n v="0"/>
    <n v="0.36"/>
    <n v="18.96"/>
    <n v="1"/>
    <m/>
    <m/>
    <m/>
    <m/>
    <m/>
    <m/>
    <m/>
    <n v="592.56178799999998"/>
    <m/>
    <n v="65.258015517367028"/>
    <m/>
    <m/>
    <m/>
    <m/>
    <m/>
    <m/>
    <m/>
    <m/>
    <m/>
    <m/>
    <m/>
    <m/>
    <n v="-438.28150000000005"/>
    <n v="30.955843999999956"/>
    <m/>
    <m/>
    <m/>
    <m/>
    <n v="-18.858840000000011"/>
    <n v="7.8587600000000011"/>
    <n v="31"/>
    <n v="10.295545111192226"/>
    <n v="0.19707915600522607"/>
    <n v="0.91895102996285871"/>
    <n v="0"/>
    <n v="0"/>
    <n v="0"/>
    <n v="0"/>
    <n v="0"/>
    <n v="0.92168472803543855"/>
    <n v="0"/>
    <n v="0"/>
    <n v="7.8578727005502387"/>
    <n v="0"/>
    <n v="0"/>
    <n v="0"/>
    <n v="0.41239610228370038"/>
    <n v="0"/>
    <n v="0"/>
    <m/>
    <n v="0"/>
    <n v="0"/>
    <n v="0"/>
    <n v="0"/>
    <n v="0"/>
    <n v="-1.2438605645243961E-2"/>
    <n v="0"/>
    <n v="0"/>
    <m/>
    <m/>
    <m/>
    <n v="85.73550650891336"/>
    <n v="0"/>
    <n v="0"/>
    <n v="-18.858840000000015"/>
    <n v="7.8587600000000108"/>
    <n v="0"/>
    <n v="0"/>
    <n v="-21.298154111012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0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15.33499999999999"/>
    <n v="115.33499999999999"/>
    <n v="115.33499999999999"/>
    <n v="115.33499999999999"/>
    <m/>
    <n v="281.47000000000003"/>
    <n v="173.25"/>
    <m/>
    <n v="52445.131200000003"/>
    <n v="52445.131200000003"/>
    <n v="48959.707499999997"/>
    <n v="0"/>
    <n v="0"/>
    <n v="0"/>
    <n v="0"/>
    <n v="295.20424197852935"/>
    <n v="283.62508052009986"/>
    <n v="27165.672096718466"/>
    <n v="19646.218174957074"/>
    <n v="335.3057792449751"/>
    <n v="0"/>
    <n v="0"/>
    <n v="0"/>
    <n v="0"/>
    <n v="0"/>
    <m/>
    <n v="139.3081541510243"/>
    <n v="626.66067549924446"/>
    <n v="2922.0262805061552"/>
    <n v="0"/>
    <n v="0"/>
    <n v="0"/>
    <n v="0"/>
    <n v="0"/>
    <n v="0"/>
    <n v="0"/>
    <n v="0"/>
    <n v="0"/>
    <n v="0"/>
    <m/>
    <n v="0"/>
    <n v="0"/>
    <n v="0"/>
    <n v="0"/>
    <n v="0"/>
    <n v="1031.0708901405249"/>
    <n v="0"/>
    <n v="16.46"/>
    <n v="230.54"/>
    <n v="9832.74"/>
    <n v="268"/>
    <m/>
    <m/>
    <m/>
    <m/>
    <m/>
    <m/>
    <m/>
    <n v="19585.036350000002"/>
    <m/>
    <n v="20677.289065097597"/>
    <m/>
    <m/>
    <m/>
    <m/>
    <m/>
    <m/>
    <m/>
    <m/>
    <m/>
    <m/>
    <m/>
    <m/>
    <n v="29375.944600000003"/>
    <n v="-2090.9334499999932"/>
    <m/>
    <m/>
    <m/>
    <m/>
    <n v="-5975.5063500000033"/>
    <n v="2490.0826500000003"/>
    <n v="31"/>
    <n v="3262.1887236246002"/>
    <n v="62.445396862260282"/>
    <n v="291.1736731889182"/>
    <n v="0"/>
    <n v="0"/>
    <n v="0"/>
    <n v="0"/>
    <n v="0"/>
    <n v="292.03985743947061"/>
    <n v="0"/>
    <n v="0"/>
    <n v="2489.8015052691226"/>
    <n v="0"/>
    <n v="0"/>
    <n v="0"/>
    <n v="130.66951773871028"/>
    <n v="0"/>
    <n v="0"/>
    <m/>
    <n v="0"/>
    <n v="0"/>
    <n v="0"/>
    <n v="0"/>
    <n v="0"/>
    <n v="-3.9412268738851992"/>
    <n v="0"/>
    <n v="0"/>
    <m/>
    <m/>
    <m/>
    <n v="27165.672096718466"/>
    <n v="0"/>
    <n v="0"/>
    <n v="-5975.5063500000033"/>
    <n v="2490.0826500000003"/>
    <n v="0"/>
    <n v="0"/>
    <n v="-6748.413748334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1"/>
    <s v="Refaturamento - 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7.0000000000000007E-2"/>
    <n v="7.0000000000000007E-2"/>
    <n v="7.0000000000000007E-2"/>
    <n v="7.0000000000000007E-2"/>
    <m/>
    <n v="281.47000000000003"/>
    <n v="173.25"/>
    <m/>
    <n v="31.830400000000004"/>
    <n v="31.830400000000004"/>
    <n v="29.715000000000003"/>
    <n v="0"/>
    <n v="0"/>
    <n v="0"/>
    <n v="0"/>
    <n v="0.17916761554165742"/>
    <n v="0.17213990234020024"/>
    <n v="16.487597405560262"/>
    <n v="11.923832940971911"/>
    <n v="0.20350634713788754"/>
    <n v="0"/>
    <n v="0"/>
    <n v="0"/>
    <n v="0"/>
    <n v="0"/>
    <m/>
    <n v="8.4549970005390399E-2"/>
    <n v="0.3803376883421955"/>
    <n v="1.7734585306752582"/>
    <n v="0"/>
    <n v="0"/>
    <n v="0"/>
    <n v="0"/>
    <n v="0"/>
    <n v="0"/>
    <n v="0"/>
    <n v="0"/>
    <n v="0"/>
    <n v="0"/>
    <m/>
    <n v="0"/>
    <n v="0"/>
    <n v="0"/>
    <n v="0"/>
    <n v="0"/>
    <n v="0.62578542775251866"/>
    <n v="0"/>
    <n v="0.01"/>
    <n v="0.11"/>
    <n v="5.98"/>
    <n v="0"/>
    <m/>
    <m/>
    <m/>
    <m/>
    <m/>
    <m/>
    <m/>
    <n v="11.886700000000001"/>
    <m/>
    <n v="12.549618368724429"/>
    <m/>
    <m/>
    <m/>
    <m/>
    <m/>
    <m/>
    <m/>
    <m/>
    <m/>
    <m/>
    <m/>
    <m/>
    <n v="17.828300000000002"/>
    <n v="-1.2998000000000012"/>
    <m/>
    <m/>
    <m/>
    <m/>
    <n v="-3.6267000000000027"/>
    <n v="1.5113000000000003"/>
    <n v="31"/>
    <n v="1.9799125213831203"/>
    <n v="3.7899837693312732E-2"/>
    <n v="0.17672135191593408"/>
    <n v="0"/>
    <n v="0"/>
    <n v="0"/>
    <n v="0"/>
    <n v="0"/>
    <n v="0.17724706308373819"/>
    <n v="0"/>
    <n v="0"/>
    <n v="1.5111293654904294"/>
    <n v="0"/>
    <n v="0"/>
    <n v="0"/>
    <n v="7.930694274686545E-2"/>
    <n v="0"/>
    <n v="0"/>
    <m/>
    <n v="0"/>
    <n v="0"/>
    <n v="0"/>
    <n v="0"/>
    <n v="0"/>
    <n v="-2.3920395471623002E-3"/>
    <n v="0"/>
    <n v="0"/>
    <m/>
    <m/>
    <m/>
    <n v="16.487597405560262"/>
    <n v="0"/>
    <n v="0"/>
    <n v="-3.6267000000000031"/>
    <n v="1.5113000000000003"/>
    <n v="0"/>
    <n v="0"/>
    <n v="-4.095798867502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2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.32300000000000001"/>
    <n v="-1.3566"/>
    <n v="0.32300000000000001"/>
    <n v="-1.3566"/>
    <m/>
    <n v="281.47000000000003"/>
    <n v="173.25"/>
    <m/>
    <n v="146.87456000000003"/>
    <n v="146.87456000000003"/>
    <n v="137.11350000000002"/>
    <n v="0"/>
    <n v="0"/>
    <n v="0"/>
    <n v="0"/>
    <n v="0.82673056885650487"/>
    <n v="0.79430269222692385"/>
    <n v="76.078485171370914"/>
    <n v="55.019971999056104"/>
    <n v="0.93903643036482387"/>
    <n v="0"/>
    <n v="0"/>
    <n v="0"/>
    <n v="0"/>
    <n v="0"/>
    <m/>
    <n v="0.39013771873915853"/>
    <n v="1.7549867619218449"/>
    <n v="8.1832443629729763"/>
    <n v="0"/>
    <n v="0"/>
    <n v="0"/>
    <n v="0"/>
    <n v="0"/>
    <n v="0"/>
    <n v="0"/>
    <n v="0"/>
    <n v="0"/>
    <n v="0"/>
    <m/>
    <n v="0"/>
    <n v="0"/>
    <n v="0"/>
    <n v="0"/>
    <n v="0"/>
    <n v="2.8875527594866219"/>
    <n v="0"/>
    <n v="0.04"/>
    <n v="0.66"/>
    <n v="52.84"/>
    <n v="0"/>
    <m/>
    <m/>
    <m/>
    <m/>
    <m/>
    <m/>
    <m/>
    <n v="482.62595400000004"/>
    <m/>
    <n v="57.907524758542728"/>
    <m/>
    <m/>
    <m/>
    <m/>
    <m/>
    <m/>
    <m/>
    <m/>
    <m/>
    <m/>
    <m/>
    <m/>
    <n v="-346.3784"/>
    <n v="23.712778000000014"/>
    <m/>
    <m/>
    <m/>
    <m/>
    <n v="-16.73463000000001"/>
    <n v="6.9735700000000014"/>
    <n v="31"/>
    <n v="9.1358820629535415"/>
    <n v="0.17488067964200016"/>
    <n v="0.81544280955495374"/>
    <n v="0"/>
    <n v="0"/>
    <n v="0"/>
    <n v="0"/>
    <n v="0"/>
    <n v="0.81786859108639209"/>
    <n v="0"/>
    <n v="0"/>
    <n v="6.9727826436201212"/>
    <n v="0"/>
    <n v="0"/>
    <n v="0"/>
    <n v="0.36594489296053601"/>
    <n v="0"/>
    <n v="0"/>
    <m/>
    <n v="0"/>
    <n v="0"/>
    <n v="0"/>
    <n v="0"/>
    <n v="0"/>
    <n v="-1.1037553910477449E-2"/>
    <n v="0"/>
    <n v="0"/>
    <m/>
    <m/>
    <m/>
    <n v="76.078485171370914"/>
    <n v="0"/>
    <n v="0"/>
    <n v="-16.73463000000001"/>
    <n v="6.9735700000000023"/>
    <n v="0"/>
    <n v="0"/>
    <n v="-18.89918620290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3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28.29499999999999"/>
    <n v="128.29499999999999"/>
    <n v="128.29499999999999"/>
    <n v="128.29499999999999"/>
    <m/>
    <n v="281.47000000000003"/>
    <n v="173.25"/>
    <m/>
    <n v="58338.3024"/>
    <n v="58338.3024"/>
    <n v="54461.227499999994"/>
    <n v="0"/>
    <n v="0"/>
    <n v="0"/>
    <n v="0"/>
    <n v="328.37584622738478"/>
    <n v="315.49555386765689"/>
    <n v="30218.232987805048"/>
    <n v="21853.83067374273"/>
    <n v="372.98352580078966"/>
    <n v="0"/>
    <n v="0"/>
    <n v="0"/>
    <n v="0"/>
    <n v="0"/>
    <m/>
    <n v="154.96197716916512"/>
    <n v="697.07748179802809"/>
    <n v="3250.3694598997458"/>
    <n v="0"/>
    <n v="0"/>
    <n v="0"/>
    <n v="0"/>
    <n v="0"/>
    <n v="0"/>
    <n v="0"/>
    <n v="0"/>
    <n v="0"/>
    <n v="0"/>
    <m/>
    <n v="0"/>
    <n v="0"/>
    <n v="0"/>
    <n v="0"/>
    <n v="0"/>
    <n v="1146.9305921929911"/>
    <n v="0"/>
    <n v="33.380000000000003"/>
    <n v="371.58"/>
    <n v="16463.59"/>
    <n v="836"/>
    <m/>
    <m/>
    <m/>
    <m/>
    <m/>
    <m/>
    <m/>
    <n v="5447.4057000000003"/>
    <m/>
    <n v="23000.761265935722"/>
    <m/>
    <m/>
    <m/>
    <m/>
    <m/>
    <m/>
    <m/>
    <m/>
    <m/>
    <m/>
    <m/>
    <m/>
    <n v="49015.732000000004"/>
    <n v="-3487.7437999999893"/>
    <m/>
    <m/>
    <m/>
    <m/>
    <n v="-6646.963950000003"/>
    <n v="2769.8890500000002"/>
    <n v="31"/>
    <n v="3628.7553847263807"/>
    <n v="69.462281098050767"/>
    <n v="323.89236920078247"/>
    <n v="0"/>
    <n v="0"/>
    <n v="0"/>
    <n v="0"/>
    <n v="0"/>
    <n v="324.85588511897413"/>
    <n v="0"/>
    <n v="0"/>
    <n v="2769.5763135084926"/>
    <n v="0"/>
    <n v="0"/>
    <n v="0"/>
    <n v="145.3526317101298"/>
    <n v="0"/>
    <n v="0"/>
    <m/>
    <n v="0"/>
    <n v="0"/>
    <n v="0"/>
    <n v="0"/>
    <n v="0"/>
    <n v="-4.3840959100455166"/>
    <n v="0"/>
    <n v="0"/>
    <m/>
    <m/>
    <m/>
    <n v="30218.232987805048"/>
    <n v="0"/>
    <n v="0"/>
    <n v="-6646.9639500000048"/>
    <n v="2769.889049999998"/>
    <n v="0"/>
    <n v="0"/>
    <n v="-7506.7216529460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4"/>
    <s v="Refaturamento - 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.12"/>
    <n v="0.12"/>
    <n v="0.12"/>
    <n v="0.12"/>
    <m/>
    <n v="281.47000000000003"/>
    <n v="173.25"/>
    <m/>
    <n v="54.566400000000002"/>
    <n v="54.566400000000002"/>
    <n v="50.94"/>
    <n v="0"/>
    <n v="0"/>
    <n v="0"/>
    <n v="0"/>
    <n v="0.30714448378569836"/>
    <n v="0.29509697544034319"/>
    <n v="28.26445269524616"/>
    <n v="20.440856470237559"/>
    <n v="0.34886802366495001"/>
    <n v="0"/>
    <n v="0"/>
    <n v="0"/>
    <n v="0"/>
    <n v="0"/>
    <m/>
    <n v="0.14494280572352639"/>
    <n v="0.65200746572947799"/>
    <n v="3.0402146240147281"/>
    <n v="0"/>
    <n v="0"/>
    <n v="0"/>
    <n v="0"/>
    <n v="0"/>
    <n v="0"/>
    <n v="0"/>
    <n v="0"/>
    <n v="0"/>
    <n v="0"/>
    <m/>
    <n v="0"/>
    <n v="0"/>
    <n v="0"/>
    <n v="0"/>
    <n v="0"/>
    <n v="1.0727750190043177"/>
    <n v="0"/>
    <n v="0.03"/>
    <n v="0.27"/>
    <n v="15.38"/>
    <n v="0"/>
    <m/>
    <m/>
    <m/>
    <m/>
    <m/>
    <m/>
    <m/>
    <n v="5.0952000000000002"/>
    <m/>
    <n v="21.513631489241877"/>
    <m/>
    <m/>
    <m/>
    <m/>
    <m/>
    <m/>
    <m/>
    <m/>
    <m/>
    <m/>
    <m/>
    <m/>
    <n v="45.844799999999992"/>
    <n v="-3.294000000000004"/>
    <m/>
    <m/>
    <m/>
    <m/>
    <n v="-6.2172000000000036"/>
    <n v="2.5908000000000002"/>
    <n v="31"/>
    <n v="3.3941357509424819"/>
    <n v="6.4971150331393224E-2"/>
    <n v="0.30295088899874401"/>
    <n v="0"/>
    <n v="0"/>
    <n v="0"/>
    <n v="0"/>
    <n v="0"/>
    <n v="0.30385210814355124"/>
    <n v="0"/>
    <n v="0"/>
    <n v="2.5905074836978805"/>
    <n v="0"/>
    <n v="0"/>
    <n v="0"/>
    <n v="0.13595475899462639"/>
    <n v="0"/>
    <n v="0"/>
    <m/>
    <n v="0"/>
    <n v="0"/>
    <n v="0"/>
    <n v="0"/>
    <n v="0"/>
    <n v="-4.1006392237067923E-3"/>
    <n v="0"/>
    <n v="0"/>
    <m/>
    <m/>
    <m/>
    <n v="28.26445269524616"/>
    <n v="0"/>
    <n v="0"/>
    <n v="-6.2172000000000054"/>
    <n v="2.5908000000000015"/>
    <n v="0"/>
    <n v="0"/>
    <n v="-7.0213694871470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5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.22"/>
    <n v="-6.6000000000000003E-2"/>
    <n v="0.22"/>
    <n v="-6.6000000000000003E-2"/>
    <m/>
    <n v="281.47000000000003"/>
    <n v="173.25"/>
    <m/>
    <n v="100.03840000000001"/>
    <n v="100.03840000000001"/>
    <n v="93.39"/>
    <n v="0"/>
    <n v="0"/>
    <n v="0"/>
    <n v="0"/>
    <n v="0.56309822027378043"/>
    <n v="0.54101112164062926"/>
    <n v="51.818163274617966"/>
    <n v="37.474903528768863"/>
    <n v="0.63959137671907507"/>
    <n v="0"/>
    <n v="0"/>
    <n v="0"/>
    <n v="0"/>
    <n v="0"/>
    <m/>
    <n v="0.26572847715979836"/>
    <n v="1.1953470205040428"/>
    <n v="5.5737268106936684"/>
    <n v="0"/>
    <n v="0"/>
    <n v="0"/>
    <n v="0"/>
    <n v="0"/>
    <n v="0"/>
    <n v="0"/>
    <n v="0"/>
    <n v="0"/>
    <n v="0"/>
    <m/>
    <n v="0"/>
    <n v="0"/>
    <n v="0"/>
    <n v="0"/>
    <n v="0"/>
    <n v="1.9667542015079158"/>
    <n v="0"/>
    <n v="7.0000000000000007E-2"/>
    <n v="0.62"/>
    <n v="116.73"/>
    <n v="3"/>
    <m/>
    <m/>
    <m/>
    <m/>
    <m/>
    <m/>
    <m/>
    <n v="118.60464"/>
    <m/>
    <n v="39.441657730276781"/>
    <m/>
    <m/>
    <m/>
    <m/>
    <m/>
    <m/>
    <m/>
    <m/>
    <m/>
    <m/>
    <m/>
    <m/>
    <n v="-26.742800000000003"/>
    <n v="0.23703999999999326"/>
    <m/>
    <m/>
    <m/>
    <m/>
    <n v="-11.398200000000006"/>
    <n v="4.7498000000000005"/>
    <n v="31"/>
    <n v="6.2225822100612191"/>
    <n v="0.11911377560755443"/>
    <n v="0.55540996316436431"/>
    <n v="0"/>
    <n v="0"/>
    <n v="0"/>
    <n v="0"/>
    <n v="0"/>
    <n v="0.55706219826317716"/>
    <n v="0"/>
    <n v="0"/>
    <n v="4.7492637201127792"/>
    <n v="0"/>
    <n v="0"/>
    <n v="0"/>
    <n v="0.24925039149014849"/>
    <n v="0"/>
    <n v="0"/>
    <m/>
    <n v="0"/>
    <n v="0"/>
    <n v="0"/>
    <n v="0"/>
    <n v="0"/>
    <n v="-7.5178385767957767E-3"/>
    <n v="0"/>
    <n v="0"/>
    <m/>
    <m/>
    <m/>
    <n v="51.818163274617966"/>
    <n v="0"/>
    <n v="0"/>
    <n v="-11.39820000000001"/>
    <n v="4.7498000000000005"/>
    <n v="0"/>
    <n v="0"/>
    <n v="-12.872510726436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6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69.915999999999997"/>
    <n v="69.915999999999997"/>
    <n v="69.915999999999997"/>
    <n v="69.915999999999997"/>
    <m/>
    <n v="281.47000000000003"/>
    <n v="173.25"/>
    <m/>
    <n v="31792.203520000003"/>
    <n v="31792.203520000003"/>
    <n v="29679.341999999997"/>
    <n v="0"/>
    <n v="0"/>
    <n v="0"/>
    <n v="0"/>
    <n v="178.9526144030074"/>
    <n v="171.93333445739196"/>
    <n v="16467.812288673587"/>
    <n v="11909.524341442742"/>
    <n v="203.26213952132204"/>
    <n v="0"/>
    <n v="0"/>
    <n v="0"/>
    <n v="0"/>
    <n v="0"/>
    <m/>
    <n v="84.448510041383926"/>
    <n v="379.88128311618482"/>
    <n v="1771.3303804384477"/>
    <n v="0"/>
    <n v="0"/>
    <n v="0"/>
    <n v="0"/>
    <n v="0"/>
    <n v="0"/>
    <n v="0"/>
    <n v="0"/>
    <n v="0"/>
    <n v="0"/>
    <m/>
    <n v="0"/>
    <n v="0"/>
    <n v="0"/>
    <n v="0"/>
    <n v="0"/>
    <n v="625.03448523921554"/>
    <n v="0"/>
    <n v="22.9"/>
    <n v="221.09"/>
    <n v="9975.44"/>
    <n v="646"/>
    <m/>
    <m/>
    <m/>
    <m/>
    <m/>
    <m/>
    <m/>
    <m/>
    <m/>
    <n v="12534.558826681958"/>
    <m/>
    <m/>
    <m/>
    <m/>
    <m/>
    <m/>
    <m/>
    <m/>
    <m/>
    <m/>
    <m/>
    <m/>
    <n v="29681.040000000001"/>
    <n v="-2111.1935199999971"/>
    <m/>
    <m/>
    <m/>
    <m/>
    <n v="-3622.3479600000019"/>
    <n v="1509.4864400000001"/>
    <n v="31"/>
    <n v="1977.5366263574579"/>
    <n v="37.854357888080756"/>
    <n v="176.50928629363489"/>
    <n v="0"/>
    <n v="0"/>
    <n v="0"/>
    <n v="0"/>
    <n v="0"/>
    <n v="177.03436660803769"/>
    <n v="0"/>
    <n v="0"/>
    <n v="1509.3160102518414"/>
    <n v="0"/>
    <n v="0"/>
    <n v="0"/>
    <n v="79.211774415569153"/>
    <n v="0"/>
    <n v="0"/>
    <m/>
    <n v="0"/>
    <n v="0"/>
    <n v="0"/>
    <n v="0"/>
    <n v="0"/>
    <n v="-2.3891690997057111"/>
    <n v="0"/>
    <n v="0"/>
    <m/>
    <m/>
    <m/>
    <n v="16467.812288673587"/>
    <n v="0"/>
    <n v="0"/>
    <n v="-3622.3479600000028"/>
    <n v="1509.4864399999988"/>
    <n v="0"/>
    <n v="0"/>
    <n v="-4090.8839088614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7"/>
    <s v="Refaturamento - 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8.7999999999999995E-2"/>
    <n v="8.7999999999999995E-2"/>
    <n v="8.7999999999999995E-2"/>
    <n v="8.7999999999999995E-2"/>
    <m/>
    <n v="281.47000000000003"/>
    <n v="173.25"/>
    <m/>
    <n v="40.015360000000001"/>
    <n v="40.015360000000001"/>
    <n v="37.355999999999995"/>
    <n v="0"/>
    <n v="0"/>
    <n v="0"/>
    <n v="0"/>
    <n v="0.22523928810951213"/>
    <n v="0.21640444865625169"/>
    <n v="20.727265309847184"/>
    <n v="14.989961411507544"/>
    <n v="0.25583655068763"/>
    <n v="0"/>
    <n v="0"/>
    <n v="0"/>
    <n v="0"/>
    <n v="0"/>
    <m/>
    <n v="0.10629139086391935"/>
    <n v="0.47813880820161714"/>
    <n v="2.2294907242774671"/>
    <n v="0"/>
    <n v="0"/>
    <n v="0"/>
    <n v="0"/>
    <n v="0"/>
    <n v="0"/>
    <n v="0"/>
    <n v="0"/>
    <n v="0"/>
    <n v="0"/>
    <m/>
    <n v="0"/>
    <n v="0"/>
    <n v="0"/>
    <n v="0"/>
    <n v="0"/>
    <n v="0.78670168060316625"/>
    <n v="0"/>
    <n v="0.03"/>
    <n v="0.23"/>
    <n v="12.53"/>
    <n v="0"/>
    <m/>
    <m/>
    <m/>
    <m/>
    <m/>
    <m/>
    <m/>
    <m/>
    <m/>
    <n v="15.776663092110709"/>
    <m/>
    <m/>
    <m/>
    <m/>
    <m/>
    <m/>
    <m/>
    <m/>
    <m/>
    <m/>
    <m/>
    <m/>
    <n v="38.204999999999998"/>
    <n v="-1.840360000000004"/>
    <m/>
    <m/>
    <m/>
    <m/>
    <n v="-4.559280000000002"/>
    <n v="1.8999200000000003"/>
    <n v="31"/>
    <n v="2.4890328840244926"/>
    <n v="4.764551024302166E-2"/>
    <n v="0.22216398526574554"/>
    <n v="0"/>
    <n v="0"/>
    <n v="0"/>
    <n v="0"/>
    <n v="0"/>
    <n v="0.2228248793052709"/>
    <n v="0"/>
    <n v="0"/>
    <n v="1.899705488045111"/>
    <n v="0"/>
    <n v="0"/>
    <n v="0"/>
    <n v="9.9700156596059353E-2"/>
    <n v="0"/>
    <n v="0"/>
    <m/>
    <n v="0"/>
    <n v="0"/>
    <n v="0"/>
    <n v="0"/>
    <n v="0"/>
    <n v="-3.0071354307183162E-3"/>
    <n v="0"/>
    <n v="0"/>
    <m/>
    <m/>
    <m/>
    <n v="20.727265309847184"/>
    <n v="0"/>
    <n v="0"/>
    <n v="-4.5592800000000047"/>
    <n v="1.8999200000000016"/>
    <n v="0"/>
    <n v="0"/>
    <n v="-5.149004290574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58"/>
    <s v="Sistema de Compensação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9.78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59"/>
    <s v="Regular"/>
    <s v="Branca"/>
    <s v="B1"/>
    <s v="Residencial"/>
    <s v="Residencial"/>
    <s v="Não se aplica"/>
    <s v="Não se aplica"/>
    <s v="Ponta"/>
    <s v="CATIVO"/>
    <x v="8"/>
    <n v="0"/>
    <n v="0"/>
    <n v="0.40799999999999997"/>
    <n v="0.40799999999999997"/>
    <n v="0.40799999999999997"/>
    <n v="0.40799999999999997"/>
    <m/>
    <n v="775.22"/>
    <n v="173.25"/>
    <m/>
    <n v="386.97575999999998"/>
    <n v="386.97575999999998"/>
    <n v="341.29199999999992"/>
    <n v="0"/>
    <n v="25.11043474534312"/>
    <n v="0"/>
    <n v="0"/>
    <n v="2.6105430635231097"/>
    <n v="2.5081582386717693"/>
    <n v="240.24780397152685"/>
    <n v="69.498911998807699"/>
    <n v="1.1861512804608301"/>
    <n v="0"/>
    <n v="0"/>
    <n v="0"/>
    <n v="0"/>
    <n v="3.8796843531487668"/>
    <m/>
    <n v="0.49280553945998967"/>
    <n v="5.5417493717944462"/>
    <n v="25.84016760924456"/>
    <n v="0"/>
    <n v="0"/>
    <n v="0"/>
    <n v="0"/>
    <n v="0"/>
    <n v="0"/>
    <n v="0"/>
    <n v="0"/>
    <n v="0"/>
    <n v="0"/>
    <m/>
    <n v="0"/>
    <n v="0"/>
    <n v="0"/>
    <n v="0"/>
    <n v="0"/>
    <n v="3.6474350646146796"/>
    <n v="0"/>
    <n v="0"/>
    <n v="0"/>
    <n v="0"/>
    <n v="0"/>
    <m/>
    <m/>
    <m/>
    <m/>
    <m/>
    <m/>
    <m/>
    <m/>
    <m/>
    <n v="73.146347063422382"/>
    <m/>
    <m/>
    <m/>
    <m/>
    <m/>
    <m/>
    <m/>
    <m/>
    <m/>
    <m/>
    <m/>
    <m/>
    <n v="342.96499999999992"/>
    <n v="-44.040760000000034"/>
    <m/>
    <m/>
    <m/>
    <m/>
    <n v="-54.492480000000022"/>
    <n v="8.808720000000001"/>
    <n v="31"/>
    <n v="13.995815483385655"/>
    <n v="0.55222347972797525"/>
    <n v="2.5749174703855395"/>
    <n v="0"/>
    <n v="0"/>
    <n v="0"/>
    <n v="0"/>
    <n v="0"/>
    <n v="2.5825719400912659"/>
    <n v="0"/>
    <n v="0"/>
    <n v="8.8077254445727959"/>
    <n v="0"/>
    <n v="0"/>
    <n v="0"/>
    <n v="0.46224618058173039"/>
    <n v="0"/>
    <n v="-0.85267090429340442"/>
    <m/>
    <n v="0"/>
    <n v="0"/>
    <n v="0"/>
    <n v="0"/>
    <n v="-0.11725595431963187"/>
    <n v="-1.3942173360603105E-2"/>
    <n v="0"/>
    <n v="0"/>
    <m/>
    <m/>
    <m/>
    <n v="240.24780397152685"/>
    <n v="0"/>
    <n v="0"/>
    <n v="-54.492480000000057"/>
    <n v="8.8087200000000081"/>
    <n v="0"/>
    <n v="0"/>
    <n v="-59.681629725788582"/>
    <n v="0"/>
    <n v="0"/>
    <n v="0"/>
    <n v="0"/>
    <n v="0"/>
    <n v="0"/>
    <n v="0"/>
    <n v="0"/>
    <n v="0"/>
    <n v="0"/>
    <n v="0"/>
    <n v="0"/>
    <n v="6.41275718754210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60"/>
    <s v="Regular"/>
    <s v="Branca"/>
    <s v="B1"/>
    <s v="Residencial"/>
    <s v="Residencial"/>
    <s v="Não se aplica"/>
    <s v="Não se aplica"/>
    <s v="Fora ponta"/>
    <s v="CATIVO"/>
    <x v="8"/>
    <n v="0"/>
    <n v="0"/>
    <n v="4.2690000000000001"/>
    <n v="4.2690000000000001"/>
    <n v="4.2690000000000001"/>
    <n v="4.2690000000000001"/>
    <m/>
    <n v="232.58"/>
    <n v="173.25"/>
    <m/>
    <n v="1732.4882700000001"/>
    <n v="1732.4882700000001"/>
    <n v="1706.2766099999999"/>
    <n v="0"/>
    <n v="262.73638707811222"/>
    <n v="0"/>
    <n v="0"/>
    <n v="5.4633325053381103"/>
    <n v="5.2490374506451056"/>
    <n v="502.75395231669114"/>
    <n v="727.18346892870125"/>
    <n v="12.410979941880598"/>
    <n v="0"/>
    <n v="0"/>
    <n v="0"/>
    <n v="0"/>
    <n v="40.594050253902175"/>
    <m/>
    <n v="5.156340313614451"/>
    <n v="11.598052277406211"/>
    <n v="54.077817624661975"/>
    <n v="0"/>
    <n v="0"/>
    <n v="0"/>
    <n v="0"/>
    <n v="0"/>
    <n v="0"/>
    <n v="0"/>
    <n v="0"/>
    <n v="0"/>
    <n v="0"/>
    <m/>
    <n v="0"/>
    <n v="0"/>
    <n v="0"/>
    <n v="0"/>
    <n v="0"/>
    <n v="38.163971301078604"/>
    <n v="0"/>
    <n v="0"/>
    <n v="0"/>
    <n v="0"/>
    <n v="0"/>
    <m/>
    <m/>
    <m/>
    <m/>
    <m/>
    <m/>
    <m/>
    <m/>
    <m/>
    <n v="765.34744022977986"/>
    <m/>
    <m/>
    <m/>
    <m/>
    <m/>
    <m/>
    <m/>
    <m/>
    <m/>
    <m/>
    <m/>
    <m/>
    <n v="1706.6762999999999"/>
    <n v="-25.841970000000174"/>
    <m/>
    <m/>
    <m/>
    <m/>
    <n v="-118.37937000000008"/>
    <n v="92.167710000000014"/>
    <n v="31"/>
    <n v="98.648670534590792"/>
    <n v="1.1557211192722185"/>
    <n v="5.3887389380651598"/>
    <n v="0"/>
    <n v="0"/>
    <n v="0"/>
    <n v="0"/>
    <n v="0"/>
    <n v="5.4047693736034175"/>
    <n v="0"/>
    <n v="0"/>
    <n v="92.157303732552009"/>
    <n v="0"/>
    <n v="0"/>
    <n v="0"/>
    <n v="4.836590551233833"/>
    <n v="0"/>
    <n v="-8.9216963000699536"/>
    <m/>
    <n v="0"/>
    <n v="0"/>
    <n v="0"/>
    <n v="0"/>
    <n v="-1.2268766396826223"/>
    <n v="-0.14588024038336922"/>
    <n v="0"/>
    <n v="0"/>
    <m/>
    <m/>
    <m/>
    <n v="502.75395231669114"/>
    <n v="0"/>
    <n v="0"/>
    <n v="-118.37937000000011"/>
    <n v="92.167710000000056"/>
    <n v="0"/>
    <n v="0"/>
    <n v="-124.89260975262755"/>
    <n v="0"/>
    <n v="0"/>
    <n v="0"/>
    <n v="0"/>
    <n v="0"/>
    <n v="0"/>
    <n v="0"/>
    <n v="0"/>
    <n v="0"/>
    <n v="0"/>
    <n v="0"/>
    <n v="0"/>
    <n v="67.09818733729721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61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02"/>
    <n v="22"/>
    <n v="975.37"/>
    <n v="1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62"/>
    <s v="Regular"/>
    <s v="Branca"/>
    <s v="B1"/>
    <s v="Residencial"/>
    <s v="Residencial"/>
    <s v="Não se aplica"/>
    <s v="Não se aplica"/>
    <s v="Intermediário"/>
    <s v="CATIVO"/>
    <x v="8"/>
    <n v="0"/>
    <n v="0"/>
    <n v="0.31900000000000001"/>
    <n v="0.31900000000000001"/>
    <n v="0.31900000000000001"/>
    <n v="0.31900000000000001"/>
    <m/>
    <n v="503.9"/>
    <n v="173.25"/>
    <m/>
    <n v="216.01085"/>
    <n v="216.01085"/>
    <n v="197.17071000000001"/>
    <n v="0"/>
    <n v="19.632913440599157"/>
    <n v="0"/>
    <n v="0"/>
    <n v="1.2245939464458422"/>
    <n v="1.1765715977030409"/>
    <n v="112.70443641522138"/>
    <n v="54.338610116714847"/>
    <n v="0.92740749624265884"/>
    <n v="0"/>
    <n v="0"/>
    <n v="0"/>
    <n v="0"/>
    <n v="3.0333806584668057"/>
    <m/>
    <n v="0.38530629188170767"/>
    <n v="2.5996341967456682"/>
    <n v="12.121560505251573"/>
    <n v="0"/>
    <n v="0"/>
    <n v="0"/>
    <n v="0"/>
    <n v="0"/>
    <n v="0"/>
    <n v="0"/>
    <n v="0"/>
    <n v="0"/>
    <n v="0"/>
    <m/>
    <n v="0"/>
    <n v="0"/>
    <n v="0"/>
    <n v="0"/>
    <n v="0"/>
    <n v="2.8517935921864779"/>
    <n v="0"/>
    <n v="0"/>
    <n v="0"/>
    <n v="0"/>
    <n v="0"/>
    <m/>
    <m/>
    <m/>
    <m/>
    <m/>
    <m/>
    <m/>
    <m/>
    <m/>
    <n v="57.190403708901322"/>
    <m/>
    <m/>
    <m/>
    <m/>
    <m/>
    <m/>
    <m/>
    <m/>
    <m/>
    <m/>
    <m/>
    <m/>
    <n v="197.78880000000001"/>
    <n v="-18.252049999999969"/>
    <m/>
    <m/>
    <m/>
    <m/>
    <n v="-25.727349999999994"/>
    <n v="6.8872100000000014"/>
    <n v="31"/>
    <n v="9.1570094098904065"/>
    <n v="0.25904799113676225"/>
    <n v="1.2078875952082075"/>
    <n v="0"/>
    <n v="0"/>
    <n v="0"/>
    <n v="0"/>
    <n v="0"/>
    <n v="1.2114789038770359"/>
    <n v="0"/>
    <n v="0"/>
    <n v="6.8864323941635277"/>
    <n v="0"/>
    <n v="0"/>
    <n v="0"/>
    <n v="0.36141306766071501"/>
    <n v="0"/>
    <n v="-0.66667161389607088"/>
    <m/>
    <n v="0"/>
    <n v="0"/>
    <n v="0"/>
    <n v="0"/>
    <n v="-9.1678062323437892E-2"/>
    <n v="-1.0900865936353921E-2"/>
    <n v="0"/>
    <n v="0"/>
    <m/>
    <m/>
    <m/>
    <n v="112.70443641522138"/>
    <n v="0"/>
    <n v="0"/>
    <n v="-25.727350000000001"/>
    <n v="6.8872100000000032"/>
    <n v="0"/>
    <n v="0"/>
    <n v="-27.997693761996331"/>
    <n v="0"/>
    <n v="0"/>
    <n v="0"/>
    <n v="0"/>
    <n v="0"/>
    <n v="0"/>
    <n v="0"/>
    <n v="0"/>
    <n v="0"/>
    <n v="0"/>
    <n v="0"/>
    <n v="0"/>
    <n v="5.013895938298855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63"/>
    <s v="Regular"/>
    <s v="Convencional"/>
    <s v="B3"/>
    <s v="Industrial"/>
    <s v="Não se aplica"/>
    <s v="Não se aplica"/>
    <s v="Não se aplica"/>
    <s v="Não se aplica"/>
    <s v="CATIVO"/>
    <x v="8"/>
    <n v="0"/>
    <n v="0"/>
    <n v="478.459"/>
    <n v="478.459"/>
    <n v="478.459"/>
    <n v="478.459"/>
    <m/>
    <n v="368.24"/>
    <n v="173.25"/>
    <m/>
    <n v="259080.76390999998"/>
    <n v="259080.76390999998"/>
    <n v="243483.00050999998"/>
    <n v="0"/>
    <n v="29446.846808387563"/>
    <n v="0"/>
    <n v="0"/>
    <n v="1224.6336880635122"/>
    <n v="1176.5983647684266"/>
    <n v="112694.84810095653"/>
    <n v="81500.93121577827"/>
    <n v="1390.992047789236"/>
    <n v="0"/>
    <n v="0"/>
    <n v="0"/>
    <n v="0"/>
    <n v="4549.6811174588383"/>
    <m/>
    <n v="577.9099156972726"/>
    <n v="2599.6570003788356"/>
    <n v="12121.817073262189"/>
    <n v="0"/>
    <n v="0"/>
    <n v="0"/>
    <n v="0"/>
    <n v="0"/>
    <n v="0"/>
    <n v="0"/>
    <n v="0"/>
    <n v="0"/>
    <n v="0"/>
    <m/>
    <n v="0"/>
    <n v="0"/>
    <n v="0"/>
    <n v="0"/>
    <n v="0"/>
    <n v="4277.32385681489"/>
    <n v="0"/>
    <n v="218.3"/>
    <n v="2355.0100000000002"/>
    <n v="64826.97"/>
    <n v="293"/>
    <m/>
    <m/>
    <m/>
    <m/>
    <m/>
    <m/>
    <m/>
    <m/>
    <m/>
    <n v="85778.255072593165"/>
    <m/>
    <m/>
    <m/>
    <m/>
    <m/>
    <m/>
    <m/>
    <m/>
    <m/>
    <m/>
    <m/>
    <m/>
    <n v="243483.50940000001"/>
    <n v="-15597.284509999998"/>
    <m/>
    <m/>
    <m/>
    <m/>
    <n v="-25927.693209999998"/>
    <n v="10329.929810000001"/>
    <n v="31"/>
    <n v="12395.529597645887"/>
    <n v="259.05026347006742"/>
    <n v="1207.9131616620853"/>
    <n v="0"/>
    <n v="0"/>
    <n v="0"/>
    <n v="0"/>
    <n v="0"/>
    <n v="1211.5064650854615"/>
    <n v="0"/>
    <n v="0"/>
    <n v="10328.763501188369"/>
    <n v="0"/>
    <n v="0"/>
    <n v="0"/>
    <n v="542.0731502817498"/>
    <n v="0"/>
    <n v="-999.9217357777452"/>
    <m/>
    <n v="0"/>
    <n v="0"/>
    <n v="0"/>
    <n v="0"/>
    <n v="-137.5053104113158"/>
    <n v="-16.349897852796062"/>
    <n v="0"/>
    <n v="0"/>
    <m/>
    <m/>
    <m/>
    <n v="112694.84810095653"/>
    <n v="0"/>
    <n v="0"/>
    <n v="-25927.693209999998"/>
    <n v="10329.929810000001"/>
    <n v="0"/>
    <n v="0"/>
    <n v="-27995.311862090733"/>
    <n v="0"/>
    <n v="0"/>
    <n v="0"/>
    <n v="0"/>
    <n v="0"/>
    <n v="0"/>
    <n v="0"/>
    <n v="0"/>
    <n v="0"/>
    <n v="0"/>
    <n v="0"/>
    <n v="0"/>
    <n v="7520.19948822110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64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47.143000000000001"/>
    <n v="47.143000000000001"/>
    <n v="47.143000000000001"/>
    <n v="47.143000000000001"/>
    <m/>
    <n v="368.24"/>
    <n v="173.25"/>
    <m/>
    <n v="25527.463070000002"/>
    <n v="25527.463070000002"/>
    <n v="23990.601269999999"/>
    <n v="0"/>
    <n v="2901.424571567919"/>
    <n v="0"/>
    <n v="0"/>
    <n v="120.66426999257649"/>
    <n v="115.93130594320084"/>
    <n v="11103.925778433248"/>
    <n v="8030.3608048034112"/>
    <n v="137.05571033030617"/>
    <n v="0"/>
    <n v="0"/>
    <n v="0"/>
    <n v="0"/>
    <n v="448.28421436395178"/>
    <m/>
    <n v="56.941989085201705"/>
    <n v="256.14656630737318"/>
    <n v="1194.3736501660528"/>
    <n v="0"/>
    <n v="0"/>
    <n v="0"/>
    <n v="0"/>
    <n v="0"/>
    <n v="0"/>
    <n v="0"/>
    <n v="0"/>
    <n v="0"/>
    <n v="0"/>
    <m/>
    <n v="0"/>
    <n v="0"/>
    <n v="0"/>
    <n v="0"/>
    <n v="0"/>
    <n v="421.44860600767123"/>
    <n v="0"/>
    <n v="22.24"/>
    <n v="241.57"/>
    <n v="12314.53"/>
    <n v="57"/>
    <m/>
    <m/>
    <m/>
    <m/>
    <m/>
    <m/>
    <m/>
    <m/>
    <m/>
    <n v="8451.8094108110818"/>
    <m/>
    <m/>
    <m/>
    <m/>
    <m/>
    <m/>
    <m/>
    <m/>
    <m/>
    <m/>
    <m/>
    <m/>
    <n v="23989.0746"/>
    <n v="-1538.4184699999969"/>
    <m/>
    <m/>
    <m/>
    <m/>
    <n v="-2554.6791699999999"/>
    <n v="1017.8173700000002"/>
    <n v="31"/>
    <n v="1221.3427938900059"/>
    <n v="25.524457833940573"/>
    <n v="119.01678133389828"/>
    <n v="0"/>
    <n v="0"/>
    <n v="0"/>
    <n v="0"/>
    <n v="0"/>
    <n v="119.3708327850953"/>
    <n v="0"/>
    <n v="0"/>
    <n v="1017.7024525330762"/>
    <n v="0"/>
    <n v="0"/>
    <n v="0"/>
    <n v="53.410960027363956"/>
    <n v="0"/>
    <n v="-98.523197159569008"/>
    <m/>
    <n v="0"/>
    <n v="0"/>
    <n v="0"/>
    <n v="0"/>
    <n v="-13.548523172770615"/>
    <n v="-1.6109702910267458"/>
    <n v="0"/>
    <n v="0"/>
    <m/>
    <m/>
    <m/>
    <n v="11103.925778433248"/>
    <n v="0"/>
    <n v="0"/>
    <n v="-2554.6791700000012"/>
    <n v="1017.8173700000007"/>
    <n v="0"/>
    <n v="0"/>
    <n v="-2758.4035144381087"/>
    <n v="0"/>
    <n v="0"/>
    <n v="0"/>
    <n v="0"/>
    <n v="0"/>
    <n v="0"/>
    <n v="0"/>
    <n v="0"/>
    <n v="0"/>
    <n v="0"/>
    <n v="0"/>
    <n v="0"/>
    <n v="740.972088461513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65"/>
    <s v="Regular"/>
    <s v="Azul"/>
    <s v="A4"/>
    <s v="Industrial"/>
    <s v="Não se aplica"/>
    <s v="Não se aplica"/>
    <s v="Não se aplica"/>
    <s v="Ponta"/>
    <s v="CATIVO"/>
    <x v="8"/>
    <n v="10563"/>
    <n v="10563"/>
    <n v="550.70100000000002"/>
    <n v="550.70100000000002"/>
    <n v="550.70100000000002"/>
    <n v="550.70100000000002"/>
    <n v="52.95"/>
    <n v="85.01"/>
    <n v="173.25"/>
    <n v="559310.85"/>
    <n v="142224.04026000001"/>
    <n v="701534.89026000001"/>
    <n v="620876.59767000005"/>
    <n v="0"/>
    <n v="29486.904721776511"/>
    <n v="0"/>
    <n v="0"/>
    <n v="8320.1186352675704"/>
    <n v="7993.5687666190779"/>
    <n v="442945.8208646609"/>
    <n v="93806.667491802451"/>
    <n v="1601.0164125025972"/>
    <n v="0"/>
    <n v="0"/>
    <n v="0"/>
    <n v="0"/>
    <n v="5236.6324827533808"/>
    <m/>
    <n v="441.00897552728838"/>
    <n v="17661.873473371845"/>
    <n v="82353.636377049188"/>
    <n v="0"/>
    <n v="0"/>
    <n v="0"/>
    <n v="0"/>
    <n v="0"/>
    <n v="0"/>
    <n v="0"/>
    <n v="0"/>
    <n v="0"/>
    <n v="0"/>
    <m/>
    <n v="0"/>
    <n v="0"/>
    <n v="0"/>
    <n v="0"/>
    <n v="0"/>
    <n v="4118.5036589175024"/>
    <n v="0"/>
    <n v="0"/>
    <n v="0"/>
    <n v="0"/>
    <n v="0"/>
    <m/>
    <m/>
    <m/>
    <m/>
    <m/>
    <m/>
    <m/>
    <m/>
    <m/>
    <n v="97925.171150719951"/>
    <m/>
    <m/>
    <m/>
    <m/>
    <m/>
    <m/>
    <m/>
    <m/>
    <m/>
    <m/>
    <m/>
    <m/>
    <n v="620876.31900000002"/>
    <n v="-80658.601260000025"/>
    <m/>
    <m/>
    <m/>
    <m/>
    <n v="-92547.927180000042"/>
    <n v="11889.634590000001"/>
    <n v="31"/>
    <n v="29435.27096140536"/>
    <n v="1759.9679403803311"/>
    <n v="8206.3638388002437"/>
    <n v="0"/>
    <n v="0"/>
    <n v="0"/>
    <n v="0"/>
    <n v="0"/>
    <n v="8230.7272641588715"/>
    <n v="0"/>
    <n v="0"/>
    <n v="11888.29218149923"/>
    <n v="0"/>
    <n v="0"/>
    <n v="0"/>
    <n v="521.94557334704496"/>
    <n v="0"/>
    <n v="-1001.2819757568286"/>
    <m/>
    <n v="0"/>
    <n v="0"/>
    <n v="0"/>
    <n v="0"/>
    <n v="-158.26708651905847"/>
    <n v="-12.476774504444961"/>
    <n v="0"/>
    <n v="0"/>
    <m/>
    <m/>
    <n v="442945.8208646609"/>
    <n v="0"/>
    <n v="0"/>
    <n v="0"/>
    <n v="-92547.927179999999"/>
    <n v="11889.634590000001"/>
    <n v="0"/>
    <n v="0"/>
    <n v="-110035.25540055742"/>
    <n v="0"/>
    <n v="0"/>
    <n v="0"/>
    <n v="0"/>
    <n v="0"/>
    <n v="0"/>
    <n v="0"/>
    <n v="0"/>
    <n v="0"/>
    <n v="0"/>
    <n v="0"/>
    <n v="0"/>
    <n v="7530.429564864884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66"/>
    <s v="Regular"/>
    <s v="Azul"/>
    <s v="A4"/>
    <s v="Industrial"/>
    <s v="Não se aplica"/>
    <s v="Não se aplica"/>
    <s v="Não se aplica"/>
    <s v="Fora ponta"/>
    <s v="CATIVO"/>
    <x v="8"/>
    <n v="11369"/>
    <n v="11369"/>
    <n v="4772.8040000000001"/>
    <n v="4772.8040000000001"/>
    <n v="4772.8040000000001"/>
    <n v="4772.8040000000001"/>
    <n v="27.19"/>
    <n v="85.01"/>
    <n v="173.25"/>
    <n v="309123.11"/>
    <n v="1232624.3610400001"/>
    <n v="1541747.4710400002"/>
    <n v="1577426.73068"/>
    <n v="0"/>
    <n v="255556.4940025782"/>
    <n v="0"/>
    <n v="0"/>
    <n v="2651.2577740579754"/>
    <n v="2547.0520888023507"/>
    <n v="272083.25183448032"/>
    <n v="813001.6793714643"/>
    <n v="13875.655823501402"/>
    <n v="0"/>
    <n v="0"/>
    <n v="0"/>
    <n v="0"/>
    <n v="45384.737743739825"/>
    <m/>
    <n v="3822.1274383604605"/>
    <n v="5626.3456446674854"/>
    <n v="26240.662056197631"/>
    <n v="0"/>
    <n v="0"/>
    <n v="0"/>
    <n v="0"/>
    <n v="0"/>
    <n v="0"/>
    <n v="0"/>
    <n v="0"/>
    <n v="0"/>
    <n v="0"/>
    <m/>
    <n v="0"/>
    <n v="0"/>
    <n v="0"/>
    <n v="0"/>
    <n v="0"/>
    <n v="35694.162053993168"/>
    <n v="0"/>
    <n v="0"/>
    <n v="0"/>
    <n v="0"/>
    <n v="0"/>
    <m/>
    <m/>
    <m/>
    <m/>
    <m/>
    <m/>
    <m/>
    <m/>
    <m/>
    <n v="848695.8414254575"/>
    <m/>
    <m/>
    <m/>
    <m/>
    <m/>
    <m/>
    <m/>
    <m/>
    <m/>
    <m/>
    <m/>
    <m/>
    <n v="1577425.6160000002"/>
    <n v="35678.114959999919"/>
    <m/>
    <m/>
    <m/>
    <m/>
    <n v="-67365.578720000034"/>
    <n v="103044.83836000002"/>
    <n v="31"/>
    <n v="103197.2007858546"/>
    <n v="560.65331750010682"/>
    <n v="2614.8258859905072"/>
    <n v="0"/>
    <n v="0"/>
    <n v="0"/>
    <n v="0"/>
    <n v="0"/>
    <n v="2622.6197187523817"/>
    <n v="0"/>
    <n v="0"/>
    <n v="103033.20400185976"/>
    <n v="0"/>
    <n v="0"/>
    <n v="0"/>
    <n v="4523.5870649464414"/>
    <n v="0"/>
    <n v="-8677.889851335116"/>
    <m/>
    <n v="0"/>
    <n v="0"/>
    <n v="0"/>
    <n v="0"/>
    <n v="-1371.6659014719553"/>
    <n v="-108.13345038762009"/>
    <n v="0"/>
    <n v="0"/>
    <m/>
    <m/>
    <n v="272083.25183448032"/>
    <n v="0"/>
    <n v="0"/>
    <n v="0"/>
    <n v="-67365.57871999999"/>
    <n v="103044.83835999994"/>
    <n v="0"/>
    <n v="0"/>
    <n v="-67590.094985835371"/>
    <n v="0"/>
    <n v="0"/>
    <n v="0"/>
    <n v="0"/>
    <n v="0"/>
    <n v="0"/>
    <n v="0"/>
    <n v="0"/>
    <n v="0"/>
    <n v="0"/>
    <n v="0"/>
    <n v="0"/>
    <n v="65264.57069971795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67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88.0100000000002"/>
    <n v="22371.93"/>
    <n v="603223.43000000005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68"/>
    <s v="Regular"/>
    <s v="Verde"/>
    <s v="A4"/>
    <s v="Industrial"/>
    <s v="Não se aplica"/>
    <s v="Não se aplica"/>
    <s v="Não se aplica"/>
    <s v="Ponta"/>
    <s v="CATIVO"/>
    <x v="8"/>
    <n v="0"/>
    <n v="0"/>
    <n v="184.07499999999999"/>
    <n v="184.07499999999999"/>
    <n v="184.07499999999999"/>
    <n v="184.07499999999999"/>
    <m/>
    <n v="1358.36"/>
    <n v="173.25"/>
    <m/>
    <n v="281931.11074999999"/>
    <n v="281931.11074999999"/>
    <n v="247197.99899999995"/>
    <n v="0"/>
    <n v="9856.1687497589628"/>
    <n v="0"/>
    <n v="0"/>
    <n v="3486.7649103640283"/>
    <n v="3350.0095476619967"/>
    <n v="185641.05797002625"/>
    <n v="31355.422122991487"/>
    <n v="535.14901213438065"/>
    <n v="0"/>
    <n v="0"/>
    <n v="0"/>
    <n v="0"/>
    <n v="1750.3747482986746"/>
    <m/>
    <n v="147.40980526671569"/>
    <n v="7401.807095248264"/>
    <n v="34513.344824437721"/>
    <n v="0"/>
    <n v="0"/>
    <n v="0"/>
    <n v="0"/>
    <n v="0"/>
    <n v="0"/>
    <n v="0"/>
    <n v="0"/>
    <n v="0"/>
    <n v="0"/>
    <m/>
    <n v="0"/>
    <n v="0"/>
    <n v="0"/>
    <n v="0"/>
    <n v="0"/>
    <n v="1376.6337105166674"/>
    <n v="0"/>
    <n v="0"/>
    <n v="0"/>
    <n v="0"/>
    <n v="0"/>
    <m/>
    <m/>
    <m/>
    <m/>
    <m/>
    <m/>
    <m/>
    <m/>
    <m/>
    <n v="32732.055833508155"/>
    <m/>
    <m/>
    <m/>
    <m/>
    <m/>
    <m/>
    <m/>
    <m/>
    <m/>
    <m/>
    <m/>
    <m/>
    <n v="247204.71360000002"/>
    <n v="-34726.427150000003"/>
    <m/>
    <m/>
    <m/>
    <m/>
    <n v="-38707.29099999999"/>
    <n v="3974.1792500000006"/>
    <n v="31"/>
    <n v="11382.592596966861"/>
    <n v="737.57425610348946"/>
    <n v="3439.1810414609135"/>
    <n v="0"/>
    <n v="0"/>
    <n v="0"/>
    <n v="0"/>
    <n v="0"/>
    <n v="3449.3998518256653"/>
    <n v="0"/>
    <n v="0"/>
    <n v="3973.7305421807287"/>
    <n v="0"/>
    <n v="0"/>
    <n v="0"/>
    <n v="174.46333203291306"/>
    <n v="0"/>
    <n v="-334.68430180340692"/>
    <m/>
    <n v="0"/>
    <n v="0"/>
    <n v="0"/>
    <n v="0"/>
    <n v="-52.901690665162505"/>
    <n v="-4.1704341682795132"/>
    <n v="0"/>
    <n v="0"/>
    <m/>
    <m/>
    <m/>
    <n v="185641.05797002625"/>
    <n v="0"/>
    <n v="0"/>
    <n v="-38707.290999999997"/>
    <n v="3974.1792499999974"/>
    <n v="0"/>
    <n v="0"/>
    <n v="-46116.387748476176"/>
    <n v="0"/>
    <n v="0"/>
    <n v="0"/>
    <n v="0"/>
    <n v="0"/>
    <n v="0"/>
    <n v="0"/>
    <n v="0"/>
    <n v="0"/>
    <n v="0"/>
    <n v="0"/>
    <n v="0"/>
    <n v="2517.08971320644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69"/>
    <s v="Sistema de Compensação"/>
    <s v="Verde"/>
    <s v="A4"/>
    <s v="Industrial"/>
    <s v="Não se aplica"/>
    <s v="Não se aplica"/>
    <s v="Não se aplica"/>
    <s v="Ponta"/>
    <s v="CATIVO"/>
    <x v="8"/>
    <n v="0"/>
    <n v="0"/>
    <n v="0.27100000000000002"/>
    <n v="0.27100000000000002"/>
    <n v="0.27100000000000002"/>
    <n v="0.27100000000000002"/>
    <m/>
    <n v="1358.36"/>
    <n v="173.25"/>
    <m/>
    <n v="415.06631000000004"/>
    <n v="415.06631000000004"/>
    <n v="363.93132000000003"/>
    <n v="0"/>
    <n v="14.510507842915548"/>
    <n v="0"/>
    <n v="0"/>
    <n v="5.1333059389306088"/>
    <n v="4.9319711390270342"/>
    <n v="273.30559125289756"/>
    <n v="46.162267528619829"/>
    <n v="0.78786028677667885"/>
    <n v="0"/>
    <n v="0"/>
    <n v="0"/>
    <n v="0"/>
    <n v="2.5769472051551863"/>
    <m/>
    <n v="0.21702054720782268"/>
    <n v="10.897132814408691"/>
    <n v="50.811443419381362"/>
    <n v="0"/>
    <n v="0"/>
    <n v="0"/>
    <n v="0"/>
    <n v="0"/>
    <n v="0"/>
    <n v="0"/>
    <n v="0"/>
    <n v="0"/>
    <n v="0"/>
    <m/>
    <n v="0"/>
    <n v="0"/>
    <n v="0"/>
    <n v="0"/>
    <n v="0"/>
    <n v="2.0267159339943874"/>
    <n v="0"/>
    <n v="0"/>
    <n v="0"/>
    <n v="0"/>
    <n v="0"/>
    <m/>
    <m/>
    <m/>
    <m/>
    <m/>
    <m/>
    <m/>
    <m/>
    <m/>
    <n v="48.188983462614218"/>
    <m/>
    <m/>
    <m/>
    <m/>
    <m/>
    <m/>
    <m/>
    <m/>
    <m/>
    <m/>
    <m/>
    <m/>
    <n v="362.58840000000004"/>
    <n v="-52.507909999999981"/>
    <m/>
    <m/>
    <m/>
    <m/>
    <n v="-56.985879999999995"/>
    <n v="5.8508900000000015"/>
    <n v="31"/>
    <n v="16.757748709917252"/>
    <n v="1.0858759929596395"/>
    <n v="5.063251730196427"/>
    <n v="0"/>
    <n v="0"/>
    <n v="0"/>
    <n v="0"/>
    <n v="0"/>
    <n v="5.0782961284517469"/>
    <n v="0"/>
    <n v="0"/>
    <n v="5.8502294006843769"/>
    <n v="0"/>
    <n v="0"/>
    <n v="0"/>
    <n v="0.25684945256509328"/>
    <n v="0"/>
    <n v="-0.49273092917953853"/>
    <m/>
    <n v="0"/>
    <n v="0"/>
    <n v="0"/>
    <n v="0"/>
    <n v="-7.7883244168186927E-2"/>
    <n v="-6.1398215923061383E-3"/>
    <n v="0"/>
    <n v="0"/>
    <m/>
    <m/>
    <m/>
    <n v="273.30559125289756"/>
    <n v="0"/>
    <n v="0"/>
    <n v="-56.985880000000009"/>
    <n v="5.8508899999999997"/>
    <n v="0"/>
    <n v="0"/>
    <n v="-67.893744831384168"/>
    <n v="0"/>
    <n v="0"/>
    <n v="0"/>
    <n v="0"/>
    <n v="0"/>
    <n v="0"/>
    <n v="0"/>
    <n v="0"/>
    <n v="0"/>
    <n v="0"/>
    <n v="0"/>
    <n v="0"/>
    <n v="3.705724907124526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70"/>
    <s v="Regular"/>
    <s v="Verde"/>
    <s v="A4"/>
    <s v="Industrial"/>
    <s v="Não se aplica"/>
    <s v="Não se aplica"/>
    <s v="Não se aplica"/>
    <s v="Fora ponta"/>
    <s v="CATIVO"/>
    <x v="8"/>
    <n v="0"/>
    <n v="0"/>
    <n v="3391.9160000000002"/>
    <n v="3391.9160000000002"/>
    <n v="3391.9160000000002"/>
    <n v="3391.9160000000002"/>
    <m/>
    <n v="85.01"/>
    <n v="173.25"/>
    <m/>
    <n v="875996.22616000008"/>
    <n v="875996.22616000008"/>
    <n v="945225.23172000004"/>
    <n v="0"/>
    <n v="181617.79970668166"/>
    <n v="0"/>
    <n v="0"/>
    <n v="0"/>
    <n v="0"/>
    <n v="0"/>
    <n v="577780.56762585253"/>
    <n v="9861.0919279793561"/>
    <n v="0"/>
    <n v="0"/>
    <n v="0"/>
    <n v="0"/>
    <n v="32253.831942144498"/>
    <m/>
    <n v="2716.2932339592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66.974922400394"/>
    <n v="0"/>
    <n v="0"/>
    <n v="0"/>
    <n v="0"/>
    <n v="0"/>
    <m/>
    <m/>
    <m/>
    <m/>
    <m/>
    <m/>
    <m/>
    <m/>
    <m/>
    <n v="603147.54254825297"/>
    <m/>
    <m/>
    <m/>
    <m/>
    <m/>
    <m/>
    <m/>
    <m/>
    <m/>
    <m/>
    <m/>
    <m/>
    <n v="945226.34640000015"/>
    <n v="69230.090240000049"/>
    <m/>
    <m/>
    <m/>
    <m/>
    <n v="-4002.4608800000233"/>
    <n v="73231.466440000018"/>
    <n v="31"/>
    <n v="69219.178494824795"/>
    <n v="0"/>
    <n v="0"/>
    <n v="0"/>
    <n v="0"/>
    <n v="0"/>
    <n v="0"/>
    <n v="0"/>
    <n v="0"/>
    <n v="0"/>
    <n v="0"/>
    <n v="73223.19818395481"/>
    <n v="0"/>
    <n v="0"/>
    <n v="0"/>
    <n v="3214.8035710213298"/>
    <n v="0"/>
    <n v="-6167.1657652359572"/>
    <m/>
    <n v="0"/>
    <n v="0"/>
    <n v="0"/>
    <n v="0"/>
    <n v="-974.80967537262404"/>
    <n v="-76.847819542762409"/>
    <n v="0"/>
    <n v="0"/>
    <m/>
    <m/>
    <m/>
    <n v="0"/>
    <n v="0"/>
    <n v="0"/>
    <n v="-4002.4608800000278"/>
    <n v="73231.466439999989"/>
    <n v="0"/>
    <n v="0"/>
    <n v="0"/>
    <n v="0"/>
    <n v="0"/>
    <n v="0"/>
    <n v="0"/>
    <n v="0"/>
    <n v="0"/>
    <n v="0"/>
    <n v="0"/>
    <n v="0"/>
    <n v="0"/>
    <n v="0"/>
    <n v="0"/>
    <n v="46381.9468785025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71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0.59"/>
    <n v="0.59"/>
    <n v="0.59"/>
    <n v="0.59"/>
    <m/>
    <n v="85.01"/>
    <n v="173.25"/>
    <m/>
    <n v="152.3734"/>
    <n v="152.3734"/>
    <n v="164.4153"/>
    <n v="0"/>
    <n v="31.591142536236799"/>
    <n v="0"/>
    <n v="0"/>
    <n v="0"/>
    <n v="0"/>
    <n v="0"/>
    <n v="100.50087764533467"/>
    <n v="1.7152677830193375"/>
    <n v="0"/>
    <n v="0"/>
    <n v="0"/>
    <n v="0"/>
    <n v="5.6103278636219915"/>
    <m/>
    <n v="0.47248015812773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4124073839730205"/>
    <n v="0"/>
    <n v="0"/>
    <n v="0"/>
    <n v="0"/>
    <n v="0"/>
    <m/>
    <m/>
    <m/>
    <m/>
    <m/>
    <m/>
    <m/>
    <m/>
    <m/>
    <n v="104.91328502930769"/>
    <m/>
    <m/>
    <m/>
    <m/>
    <m/>
    <m/>
    <m/>
    <m/>
    <m/>
    <m/>
    <m/>
    <m/>
    <n v="164.4153"/>
    <n v="12.011900000000026"/>
    <m/>
    <m/>
    <m/>
    <m/>
    <n v="-0.69620000000000404"/>
    <n v="12.738100000000001"/>
    <n v="31"/>
    <n v="12.040190650932004"/>
    <n v="0"/>
    <n v="0"/>
    <n v="0"/>
    <n v="0"/>
    <n v="0"/>
    <n v="0"/>
    <n v="0"/>
    <n v="0"/>
    <n v="0"/>
    <n v="0"/>
    <n v="12.736661794847905"/>
    <n v="0"/>
    <n v="0"/>
    <n v="0"/>
    <n v="0.55919253510481504"/>
    <n v="0"/>
    <n v="-1.0727352332691069"/>
    <m/>
    <n v="0"/>
    <n v="0"/>
    <n v="0"/>
    <n v="0"/>
    <n v="-0.16956130649162482"/>
    <n v="-1.336713926000227E-2"/>
    <n v="0"/>
    <n v="0"/>
    <m/>
    <m/>
    <m/>
    <n v="0"/>
    <n v="0"/>
    <n v="0"/>
    <n v="-0.69620000000000459"/>
    <n v="12.738099999999989"/>
    <n v="0"/>
    <n v="0"/>
    <n v="0"/>
    <n v="0"/>
    <n v="0"/>
    <n v="0"/>
    <n v="0"/>
    <n v="0"/>
    <n v="0"/>
    <n v="0"/>
    <n v="0"/>
    <n v="0"/>
    <n v="0"/>
    <n v="0"/>
    <n v="0"/>
    <n v="8.067814373444539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72"/>
    <s v="Regular"/>
    <s v="Verde"/>
    <s v="A4"/>
    <s v="Industrial"/>
    <s v="Não se aplica"/>
    <s v="Não se aplica"/>
    <s v="Não se aplica"/>
    <s v="Não se aplica"/>
    <s v="CATIVO"/>
    <x v="8"/>
    <n v="17824"/>
    <n v="17824"/>
    <n v="0"/>
    <n v="0"/>
    <n v="0"/>
    <n v="0"/>
    <n v="27.19"/>
    <m/>
    <m/>
    <n v="484634.56"/>
    <m/>
    <n v="484634.56"/>
    <n v="387850.24000000005"/>
    <n v="0"/>
    <n v="0"/>
    <n v="0"/>
    <n v="0"/>
    <n v="4156.5677337329007"/>
    <n v="3993.1969769384377"/>
    <n v="426564.5070540749"/>
    <m/>
    <m/>
    <m/>
    <n v="0"/>
    <n v="0"/>
    <n v="0"/>
    <n v="0"/>
    <m/>
    <n v="0"/>
    <n v="8820.8272293564296"/>
    <n v="41139.375537836801"/>
    <n v="0"/>
    <n v="0"/>
    <m/>
    <m/>
    <n v="0"/>
    <n v="0"/>
    <n v="0"/>
    <m/>
    <m/>
    <n v="0"/>
    <m/>
    <n v="0"/>
    <n v="0"/>
    <n v="0"/>
    <n v="0"/>
    <m/>
    <n v="0"/>
    <n v="0"/>
    <n v="1494.12"/>
    <n v="16013.75"/>
    <n v="439048.44"/>
    <n v="100"/>
    <m/>
    <m/>
    <m/>
    <m/>
    <m/>
    <m/>
    <m/>
    <m/>
    <m/>
    <n v="0"/>
    <m/>
    <m/>
    <m/>
    <m/>
    <m/>
    <m/>
    <m/>
    <m/>
    <m/>
    <m/>
    <m/>
    <m/>
    <n v="387850.24000000005"/>
    <n v="-96784.349999999977"/>
    <m/>
    <m/>
    <m/>
    <m/>
    <n v="-96784.319999999992"/>
    <n v="0"/>
    <n v="31"/>
    <n v="9090.09721084169"/>
    <n v="878.97657939325472"/>
    <n v="4099.4508392905991"/>
    <n v="0"/>
    <n v="0"/>
    <m/>
    <m/>
    <m/>
    <n v="4111.6697921578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6564.5070540749"/>
    <m/>
    <n v="0"/>
    <n v="0"/>
    <n v="-96784.319999999949"/>
    <m/>
    <n v="0"/>
    <m/>
    <n v="-105965.8591808892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73"/>
    <s v="Refaturamento - Regular"/>
    <s v="Verde"/>
    <s v="A4"/>
    <s v="Industrial"/>
    <s v="Não se aplica"/>
    <s v="Não se aplica"/>
    <s v="Não se aplica"/>
    <s v="Não se aplica"/>
    <s v="CATIVO"/>
    <x v="8"/>
    <n v="-45"/>
    <n v="-45"/>
    <n v="0"/>
    <n v="0"/>
    <n v="0"/>
    <n v="0"/>
    <n v="27.19"/>
    <m/>
    <m/>
    <n v="-1223.55"/>
    <m/>
    <n v="-1223.55"/>
    <n v="-979.2"/>
    <n v="0"/>
    <n v="0"/>
    <n v="0"/>
    <n v="0"/>
    <n v="-10.494027604240381"/>
    <n v="-10.08156777166908"/>
    <n v="-1076.9413609421774"/>
    <m/>
    <m/>
    <m/>
    <n v="0"/>
    <n v="0"/>
    <n v="0"/>
    <n v="0"/>
    <m/>
    <n v="0"/>
    <n v="-22.269817399070881"/>
    <n v="-103.86399793551705"/>
    <n v="0"/>
    <n v="0"/>
    <m/>
    <m/>
    <n v="0"/>
    <n v="0"/>
    <n v="0"/>
    <m/>
    <m/>
    <n v="0"/>
    <m/>
    <n v="0"/>
    <n v="0"/>
    <n v="0"/>
    <n v="0"/>
    <m/>
    <n v="0"/>
    <n v="0"/>
    <n v="-2.41"/>
    <n v="-20.64"/>
    <n v="-704.44"/>
    <n v="0"/>
    <m/>
    <m/>
    <m/>
    <m/>
    <m/>
    <m/>
    <m/>
    <m/>
    <m/>
    <n v="0"/>
    <m/>
    <m/>
    <m/>
    <m/>
    <m/>
    <m/>
    <m/>
    <m/>
    <m/>
    <m/>
    <m/>
    <m/>
    <n v="-979.2"/>
    <n v="244.31999999999994"/>
    <m/>
    <m/>
    <m/>
    <m/>
    <n v="244.35"/>
    <n v="0"/>
    <n v="31"/>
    <n v="-22.949639502237204"/>
    <n v="-2.2191397033604368"/>
    <n v="-10.349825390937895"/>
    <n v="0"/>
    <n v="0"/>
    <m/>
    <m/>
    <m/>
    <n v="-10.3806744079388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076.9413609421774"/>
    <m/>
    <n v="0"/>
    <n v="0"/>
    <n v="244.34999999999991"/>
    <m/>
    <n v="0"/>
    <m/>
    <n v="267.5305017470834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74"/>
    <s v="Sistema de Compensação"/>
    <s v="Verde"/>
    <s v="A4"/>
    <s v="Industrial"/>
    <s v="Não se aplica"/>
    <s v="Não se aplica"/>
    <s v="Não se aplica"/>
    <s v="Não se aplica"/>
    <s v="CATIVO"/>
    <x v="8"/>
    <n v="563"/>
    <n v="563"/>
    <n v="0"/>
    <n v="0"/>
    <n v="0"/>
    <n v="0"/>
    <n v="27.19"/>
    <m/>
    <m/>
    <n v="15307.970000000001"/>
    <m/>
    <n v="15307.970000000001"/>
    <n v="12250.880000000001"/>
    <n v="0"/>
    <n v="0"/>
    <n v="0"/>
    <n v="0"/>
    <n v="131.29194535971854"/>
    <n v="126.13161456554872"/>
    <n v="13473.733026898797"/>
    <m/>
    <m/>
    <m/>
    <n v="0"/>
    <n v="0"/>
    <n v="0"/>
    <n v="0"/>
    <m/>
    <n v="0"/>
    <n v="278.62015990393121"/>
    <n v="1299.4540186154688"/>
    <n v="0"/>
    <n v="0"/>
    <m/>
    <m/>
    <n v="0"/>
    <n v="0"/>
    <n v="0"/>
    <m/>
    <m/>
    <n v="0"/>
    <m/>
    <n v="0"/>
    <n v="0"/>
    <n v="0"/>
    <n v="0"/>
    <m/>
    <n v="0"/>
    <n v="0"/>
    <n v="10.31"/>
    <n v="110.66"/>
    <n v="3710.69"/>
    <n v="5"/>
    <m/>
    <m/>
    <m/>
    <m/>
    <m/>
    <m/>
    <m/>
    <m/>
    <m/>
    <n v="0"/>
    <m/>
    <m/>
    <m/>
    <m/>
    <m/>
    <m/>
    <m/>
    <m/>
    <m/>
    <m/>
    <m/>
    <m/>
    <n v="12250.880000000001"/>
    <n v="-3057.1200000000008"/>
    <m/>
    <m/>
    <m/>
    <m/>
    <n v="-3057.0899999999997"/>
    <n v="0"/>
    <n v="31"/>
    <n v="287.12548977243455"/>
    <n v="27.763903399820606"/>
    <n v="129.48781544662302"/>
    <n v="0"/>
    <n v="0"/>
    <m/>
    <m/>
    <m/>
    <n v="129.873770925990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473.733026898797"/>
    <m/>
    <n v="0"/>
    <n v="0"/>
    <n v="-3057.09"/>
    <m/>
    <n v="0"/>
    <m/>
    <n v="-3347.103832969067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75"/>
    <s v="Regular"/>
    <s v="Branca"/>
    <s v="B3"/>
    <s v="Industrial"/>
    <s v="Não se aplica"/>
    <s v="Não se aplica"/>
    <s v="Não se aplica"/>
    <s v="Ponta"/>
    <s v="CATIVO"/>
    <x v="8"/>
    <n v="0"/>
    <n v="0"/>
    <n v="1.7000000000000001E-2"/>
    <n v="1.7000000000000001E-2"/>
    <n v="1.7000000000000001E-2"/>
    <n v="1.7000000000000001E-2"/>
    <m/>
    <n v="1553.42"/>
    <n v="173.25"/>
    <m/>
    <n v="29.353390000000005"/>
    <n v="29.353390000000005"/>
    <n v="27.850080000000005"/>
    <n v="0"/>
    <n v="1.0462681143892969"/>
    <n v="0"/>
    <n v="0"/>
    <n v="1.8436371828603191"/>
    <n v="0.12749354177038766"/>
    <n v="12.212594358522484"/>
    <n v="2.8957879999503211"/>
    <n v="4.9422970019201255E-2"/>
    <n v="0"/>
    <n v="0"/>
    <n v="0"/>
    <n v="0"/>
    <n v="0.16165351471453199"/>
    <m/>
    <n v="2.0533564144166239E-2"/>
    <n v="5.3644174002441991"/>
    <n v="5.2123036061903623"/>
    <n v="0"/>
    <n v="0"/>
    <n v="0"/>
    <n v="0"/>
    <n v="0"/>
    <n v="0"/>
    <n v="0"/>
    <n v="0"/>
    <n v="0"/>
    <n v="0"/>
    <m/>
    <n v="0"/>
    <n v="0"/>
    <n v="0"/>
    <n v="0"/>
    <n v="0"/>
    <n v="0.15197646102561169"/>
    <n v="0"/>
    <n v="0"/>
    <n v="0"/>
    <n v="0"/>
    <n v="0"/>
    <m/>
    <m/>
    <m/>
    <m/>
    <m/>
    <m/>
    <m/>
    <m/>
    <m/>
    <n v="3.0477644609759329"/>
    <m/>
    <m/>
    <m/>
    <m/>
    <m/>
    <m/>
    <m/>
    <m/>
    <m/>
    <m/>
    <m/>
    <m/>
    <n v="32.764800000000001"/>
    <n v="3.3814099999999918"/>
    <m/>
    <m/>
    <m/>
    <m/>
    <n v="-1.8703399999999999"/>
    <n v="0.36703000000000008"/>
    <n v="31"/>
    <n v="1.5304780205628106"/>
    <n v="0.53455272779992669"/>
    <n v="0.51939491335697507"/>
    <n v="0"/>
    <n v="0"/>
    <n v="0"/>
    <n v="0"/>
    <n v="0"/>
    <n v="0.13127610469003795"/>
    <n v="0"/>
    <n v="0"/>
    <n v="0.36698856019053316"/>
    <n v="0"/>
    <n v="0"/>
    <n v="0"/>
    <n v="1.9260257524238739E-2"/>
    <n v="0"/>
    <n v="-3.5527954345558665E-2"/>
    <m/>
    <n v="0"/>
    <n v="0"/>
    <n v="0"/>
    <n v="0"/>
    <n v="-4.8856647633180317E-3"/>
    <n v="-5.8092389002512707E-4"/>
    <n v="0"/>
    <n v="0"/>
    <m/>
    <m/>
    <m/>
    <n v="12.212594358522484"/>
    <n v="0"/>
    <n v="0"/>
    <n v="-1.8703399999999988"/>
    <n v="0.36703000000000019"/>
    <n v="0"/>
    <n v="0"/>
    <n v="-3.0338155955963604"/>
    <n v="0"/>
    <n v="0"/>
    <n v="0"/>
    <n v="0"/>
    <n v="0"/>
    <n v="0"/>
    <n v="0"/>
    <n v="0"/>
    <n v="0"/>
    <n v="0"/>
    <n v="0"/>
    <n v="0"/>
    <n v="0.267198216147587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76"/>
    <s v="Regular"/>
    <s v="Branca"/>
    <s v="B3"/>
    <s v="Industrial"/>
    <s v="Não se aplica"/>
    <s v="Não se aplica"/>
    <s v="Não se aplica"/>
    <s v="Fora ponta"/>
    <s v="CATIVO"/>
    <x v="8"/>
    <n v="0"/>
    <n v="0"/>
    <n v="1.9690000000000001"/>
    <n v="1.9690000000000001"/>
    <n v="1.9690000000000001"/>
    <n v="1.9690000000000001"/>
    <m/>
    <n v="388.22"/>
    <n v="173.25"/>
    <m/>
    <n v="1105.5344300000002"/>
    <n v="1105.5344300000002"/>
    <n v="1102.6990700000001"/>
    <n v="0"/>
    <n v="121.18246571956033"/>
    <n v="0"/>
    <n v="0"/>
    <n v="42.707313094729045"/>
    <n v="2.9533531603431111"/>
    <n v="282.9013684198971"/>
    <n v="335.4003865824813"/>
    <n v="5.7243428216357222"/>
    <n v="0"/>
    <n v="0"/>
    <n v="0"/>
    <n v="0"/>
    <n v="18.723280616053732"/>
    <m/>
    <n v="2.3782698705801955"/>
    <n v="124.26515130683327"/>
    <n v="120.74148000692733"/>
    <n v="0"/>
    <n v="0"/>
    <n v="0"/>
    <n v="0"/>
    <n v="0"/>
    <n v="0"/>
    <n v="0"/>
    <n v="0"/>
    <n v="0"/>
    <n v="0"/>
    <m/>
    <n v="0"/>
    <n v="0"/>
    <n v="0"/>
    <n v="0"/>
    <n v="0"/>
    <n v="17.602450103495848"/>
    <n v="0"/>
    <n v="0"/>
    <n v="0"/>
    <n v="0"/>
    <n v="0"/>
    <m/>
    <m/>
    <m/>
    <m/>
    <m/>
    <m/>
    <m/>
    <m/>
    <m/>
    <n v="353.00283668597717"/>
    <m/>
    <m/>
    <m/>
    <m/>
    <m/>
    <m/>
    <m/>
    <m/>
    <m/>
    <m/>
    <m/>
    <m/>
    <n v="1103.2591"/>
    <n v="-2.30533000000014"/>
    <m/>
    <m/>
    <m/>
    <m/>
    <n v="-45.346070000000061"/>
    <n v="42.51071000000001"/>
    <n v="31"/>
    <n v="67.443930964732317"/>
    <n v="12.382756718094555"/>
    <n v="12.031630404704316"/>
    <n v="0"/>
    <n v="0"/>
    <n v="0"/>
    <n v="0"/>
    <n v="0"/>
    <n v="3.0409751998426797"/>
    <n v="0"/>
    <n v="0"/>
    <n v="42.505910295009357"/>
    <n v="0"/>
    <n v="0"/>
    <n v="0"/>
    <n v="2.2307910038368277"/>
    <n v="0"/>
    <n v="-4.1149730650826513"/>
    <m/>
    <n v="0"/>
    <n v="0"/>
    <n v="0"/>
    <n v="0"/>
    <n v="-0.56587493641018582"/>
    <n v="-6.7284655262322079E-2"/>
    <n v="0"/>
    <n v="0"/>
    <m/>
    <m/>
    <m/>
    <n v="282.9013684198971"/>
    <n v="0"/>
    <n v="0"/>
    <n v="-45.346070000000054"/>
    <n v="42.510710000000017"/>
    <n v="0"/>
    <n v="0"/>
    <n v="-70.277498648670928"/>
    <n v="0"/>
    <n v="0"/>
    <n v="0"/>
    <n v="0"/>
    <n v="0"/>
    <n v="0"/>
    <n v="0"/>
    <n v="0"/>
    <n v="0"/>
    <n v="0"/>
    <n v="0"/>
    <n v="0"/>
    <n v="30.9478404467412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77"/>
    <s v="Regular"/>
    <s v="Branca"/>
    <s v="B3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08"/>
    <n v="11.58"/>
    <n v="316.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78"/>
    <s v="Regular"/>
    <s v="Branca"/>
    <s v="B3"/>
    <s v="Industrial"/>
    <s v="Não se aplica"/>
    <s v="Não se aplica"/>
    <s v="Não se aplica"/>
    <s v="Intermediário"/>
    <s v="CATIVO"/>
    <x v="8"/>
    <n v="0"/>
    <n v="0"/>
    <n v="9.6000000000000002E-2"/>
    <n v="9.6000000000000002E-2"/>
    <n v="9.6000000000000002E-2"/>
    <n v="9.6000000000000002E-2"/>
    <m/>
    <n v="970.82"/>
    <n v="173.25"/>
    <m/>
    <n v="109.83072000000001"/>
    <n v="109.83072000000001"/>
    <n v="105.51648"/>
    <n v="0"/>
    <n v="5.9083375871395587"/>
    <n v="0"/>
    <n v="0"/>
    <n v="6.2466765725149731"/>
    <n v="0.43197852218324739"/>
    <n v="41.379153576656158"/>
    <n v="16.352685176190047"/>
    <n v="0.27909441893196002"/>
    <n v="0"/>
    <n v="0"/>
    <n v="0"/>
    <n v="0"/>
    <n v="0.91286690662323933"/>
    <m/>
    <n v="0.11595424457882111"/>
    <n v="18.175908367886208"/>
    <n v="17.660511042150912"/>
    <n v="0"/>
    <n v="0"/>
    <n v="0"/>
    <n v="0"/>
    <n v="0"/>
    <n v="0"/>
    <n v="0"/>
    <n v="0"/>
    <n v="0"/>
    <n v="0"/>
    <m/>
    <n v="0"/>
    <n v="0"/>
    <n v="0"/>
    <n v="0"/>
    <n v="0"/>
    <n v="0.85822001520345415"/>
    <n v="0"/>
    <n v="0"/>
    <n v="0"/>
    <n v="0"/>
    <n v="0"/>
    <m/>
    <m/>
    <m/>
    <m/>
    <m/>
    <m/>
    <m/>
    <m/>
    <m/>
    <n v="17.210905191393501"/>
    <m/>
    <m/>
    <m/>
    <m/>
    <m/>
    <m/>
    <m/>
    <m/>
    <m/>
    <m/>
    <m/>
    <m/>
    <n v="109.91300000000001"/>
    <n v="5.2279999999981897E-2"/>
    <m/>
    <m/>
    <m/>
    <m/>
    <n v="-6.3868800000000086"/>
    <n v="2.0726400000000003"/>
    <n v="31"/>
    <n v="5.9654885416767343"/>
    <n v="1.8111904188985939"/>
    <n v="1.7598321770211847"/>
    <n v="0"/>
    <n v="0"/>
    <n v="0"/>
    <n v="0"/>
    <n v="0"/>
    <n v="0.44479474736145019"/>
    <n v="0"/>
    <n v="0"/>
    <n v="2.0724059869583051"/>
    <n v="0"/>
    <n v="0"/>
    <n v="0"/>
    <n v="0.10876380719570111"/>
    <n v="0"/>
    <n v="-0.20062844806903701"/>
    <m/>
    <n v="0"/>
    <n v="0"/>
    <n v="0"/>
    <n v="0"/>
    <n v="-2.7589636310501708E-2"/>
    <n v="-3.2805113789654422E-3"/>
    <n v="0"/>
    <n v="0"/>
    <m/>
    <m/>
    <m/>
    <n v="41.379153576656158"/>
    <n v="0"/>
    <n v="0"/>
    <n v="-6.386880000000005"/>
    <n v="2.0726399999999998"/>
    <n v="0"/>
    <n v="0"/>
    <n v="-10.279283645070141"/>
    <n v="0"/>
    <n v="0"/>
    <n v="0"/>
    <n v="0"/>
    <n v="0"/>
    <n v="0"/>
    <n v="0"/>
    <n v="0"/>
    <n v="0"/>
    <n v="0"/>
    <n v="0"/>
    <n v="0"/>
    <n v="1.508884044127555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79"/>
    <s v="Regular"/>
    <s v="Convencional"/>
    <s v="B3"/>
    <s v="Comercial"/>
    <s v="Não se aplica"/>
    <s v="Não se aplica"/>
    <s v="Não se aplica"/>
    <s v="Não se aplica"/>
    <s v="CATIVO"/>
    <x v="8"/>
    <n v="0"/>
    <n v="0"/>
    <n v="3012.59"/>
    <n v="3012.59"/>
    <n v="3012.59"/>
    <n v="3012.59"/>
    <m/>
    <n v="368.24"/>
    <n v="173.25"/>
    <m/>
    <n v="1631287.3591"/>
    <n v="1631287.3591"/>
    <n v="1533076.9251000001"/>
    <n v="0"/>
    <n v="185410.40345459129"/>
    <n v="0"/>
    <n v="0"/>
    <n v="7710.83667006631"/>
    <n v="7408.3849770151974"/>
    <n v="709576.72954309697"/>
    <n v="513165.9982806081"/>
    <n v="8758.3026617732648"/>
    <n v="0"/>
    <n v="0"/>
    <n v="0"/>
    <n v="0"/>
    <n v="28646.809523167758"/>
    <m/>
    <n v="3638.7770591219864"/>
    <n v="16368.593093183068"/>
    <n v="76324.334784671082"/>
    <n v="0"/>
    <n v="0"/>
    <n v="0"/>
    <n v="0"/>
    <n v="0"/>
    <n v="0"/>
    <n v="0"/>
    <n v="0"/>
    <n v="0"/>
    <n v="0"/>
    <m/>
    <n v="0"/>
    <n v="0"/>
    <n v="0"/>
    <n v="0"/>
    <n v="0"/>
    <n v="26931.927454185145"/>
    <n v="0"/>
    <n v="1362.23"/>
    <n v="14827.49"/>
    <n v="658982.66"/>
    <n v="4335"/>
    <m/>
    <m/>
    <m/>
    <m/>
    <m/>
    <m/>
    <m/>
    <m/>
    <m/>
    <n v="540097.92573479319"/>
    <m/>
    <m/>
    <m/>
    <m/>
    <m/>
    <m/>
    <m/>
    <m/>
    <m/>
    <m/>
    <m/>
    <m/>
    <n v="1533076.9251000001"/>
    <n v="-98210.46399999992"/>
    <m/>
    <m/>
    <m/>
    <m/>
    <n v="-163252.25210000001"/>
    <n v="65041.818100000011"/>
    <n v="31"/>
    <n v="78047.750195047003"/>
    <n v="1631.0953148071003"/>
    <n v="7605.5568224060553"/>
    <n v="0"/>
    <n v="0"/>
    <n v="0"/>
    <n v="0"/>
    <n v="0"/>
    <n v="7628.1818539348405"/>
    <n v="0"/>
    <n v="0"/>
    <n v="65034.474502611673"/>
    <n v="0"/>
    <n v="0"/>
    <n v="0"/>
    <n v="3413.1328949968483"/>
    <n v="0"/>
    <n v="-6295.9505871697911"/>
    <m/>
    <n v="0"/>
    <n v="0"/>
    <n v="0"/>
    <n v="0"/>
    <n v="-865.79440054848237"/>
    <n v="-102.94620599122345"/>
    <n v="0"/>
    <n v="0"/>
    <m/>
    <m/>
    <m/>
    <n v="709576.72954309697"/>
    <n v="0"/>
    <n v="0"/>
    <n v="-163252.25209999993"/>
    <n v="65041.818100000033"/>
    <n v="0"/>
    <n v="0"/>
    <n v="-176270.89586070261"/>
    <n v="0"/>
    <n v="0"/>
    <n v="0"/>
    <n v="0"/>
    <n v="0"/>
    <n v="0"/>
    <n v="0"/>
    <n v="0"/>
    <n v="0"/>
    <n v="0"/>
    <n v="0"/>
    <n v="0"/>
    <n v="47350.5102343565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0"/>
    <s v="Refaturamento - Regular"/>
    <s v="Convencional"/>
    <s v="B3"/>
    <s v="Comercial"/>
    <s v="Não se aplica"/>
    <s v="Não se aplica"/>
    <s v="Não se aplica"/>
    <s v="Não se aplica"/>
    <s v="CATIVO"/>
    <x v="8"/>
    <n v="0"/>
    <n v="0"/>
    <n v="-0.879"/>
    <n v="-0.879"/>
    <n v="-0.879"/>
    <n v="-0.879"/>
    <m/>
    <n v="368.24"/>
    <n v="173.25"/>
    <m/>
    <n v="-475.96971000000008"/>
    <n v="-475.96971000000008"/>
    <n v="-447.31431000000003"/>
    <n v="0"/>
    <n v="-54.098216032246583"/>
    <n v="0"/>
    <n v="0"/>
    <n v="-2.2498333437302409"/>
    <n v="-2.161585345100514"/>
    <n v="-207.03711599267814"/>
    <n v="-149.72927364449012"/>
    <n v="-2.5554582733457591"/>
    <n v="0"/>
    <n v="0"/>
    <n v="0"/>
    <n v="0"/>
    <n v="-8.3584376137690359"/>
    <m/>
    <n v="-1.0617060519248307"/>
    <n v="-4.7759546864684257"/>
    <n v="-22.269572120907881"/>
    <n v="0"/>
    <n v="0"/>
    <n v="0"/>
    <n v="0"/>
    <n v="0"/>
    <n v="0"/>
    <n v="0"/>
    <n v="0"/>
    <n v="0"/>
    <n v="0"/>
    <m/>
    <n v="0"/>
    <n v="0"/>
    <n v="0"/>
    <n v="0"/>
    <n v="0"/>
    <n v="-7.8580770142066267"/>
    <n v="0"/>
    <n v="-0.4"/>
    <n v="-3.46"/>
    <n v="-191.99"/>
    <n v="0"/>
    <m/>
    <m/>
    <m/>
    <m/>
    <m/>
    <m/>
    <m/>
    <m/>
    <m/>
    <n v="-157.58735065869675"/>
    <m/>
    <m/>
    <m/>
    <m/>
    <m/>
    <m/>
    <m/>
    <m/>
    <m/>
    <m/>
    <m/>
    <m/>
    <n v="-447.82320000000004"/>
    <n v="28.116510000000062"/>
    <m/>
    <m/>
    <m/>
    <m/>
    <n v="47.633009999999999"/>
    <n v="-18.977610000000002"/>
    <n v="31"/>
    <n v="-22.772422540553521"/>
    <n v="-0.47591367617745561"/>
    <n v="-2.2191152619158032"/>
    <n v="0"/>
    <n v="0"/>
    <n v="0"/>
    <n v="0"/>
    <n v="0"/>
    <n v="-2.2257166921515124"/>
    <n v="0"/>
    <n v="0"/>
    <n v="-18.97546731808697"/>
    <n v="0"/>
    <n v="0"/>
    <n v="0"/>
    <n v="-0.9958686096356395"/>
    <n v="0"/>
    <n v="1.8370042276321215"/>
    <m/>
    <n v="0"/>
    <n v="0"/>
    <n v="0"/>
    <n v="0"/>
    <n v="0.25261760746803219"/>
    <n v="3.0037182313652266E-2"/>
    <n v="0"/>
    <n v="0"/>
    <m/>
    <m/>
    <m/>
    <n v="-207.03711599267814"/>
    <n v="0"/>
    <n v="0"/>
    <n v="47.633010000000013"/>
    <n v="-18.977609999999999"/>
    <n v="0"/>
    <n v="0"/>
    <n v="51.431531493352082"/>
    <n v="0"/>
    <n v="0"/>
    <n v="0"/>
    <n v="0"/>
    <n v="0"/>
    <n v="0"/>
    <n v="0"/>
    <n v="0"/>
    <n v="0"/>
    <n v="0"/>
    <n v="0"/>
    <n v="0"/>
    <n v="-13.81571952904292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1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221.249"/>
    <n v="221.249"/>
    <n v="221.249"/>
    <n v="221.249"/>
    <m/>
    <n v="368.24"/>
    <n v="173.25"/>
    <m/>
    <n v="119804.12101"/>
    <n v="119804.12101"/>
    <n v="112591.40361000001"/>
    <n v="0"/>
    <n v="13616.8102376775"/>
    <n v="0"/>
    <n v="0"/>
    <n v="566.29508244251656"/>
    <n v="544.08258932667081"/>
    <n v="52112.349119754319"/>
    <n v="37687.658776529912"/>
    <n v="643.22251139872105"/>
    <n v="0"/>
    <n v="0"/>
    <n v="0"/>
    <n v="0"/>
    <n v="2103.8634398279696"/>
    <m/>
    <n v="267.2370901960374"/>
    <n v="1202.1333315431773"/>
    <n v="5605.3703779052876"/>
    <n v="0"/>
    <n v="0"/>
    <n v="0"/>
    <n v="0"/>
    <n v="0"/>
    <n v="0"/>
    <n v="0"/>
    <n v="0"/>
    <n v="0"/>
    <n v="0"/>
    <m/>
    <n v="0"/>
    <n v="0"/>
    <n v="0"/>
    <n v="0"/>
    <n v="0"/>
    <n v="1977.9200014973856"/>
    <n v="0"/>
    <n v="100.39"/>
    <n v="1092.75"/>
    <n v="80020.5"/>
    <n v="312"/>
    <m/>
    <m/>
    <m/>
    <m/>
    <m/>
    <m/>
    <m/>
    <m/>
    <m/>
    <n v="39665.578778027295"/>
    <m/>
    <m/>
    <m/>
    <m/>
    <m/>
    <m/>
    <m/>
    <m/>
    <m/>
    <m/>
    <m/>
    <m/>
    <n v="112591.91250000001"/>
    <n v="-7212.238509999981"/>
    <m/>
    <m/>
    <m/>
    <m/>
    <n v="-11989.48331"/>
    <n v="4776.765910000001"/>
    <n v="31"/>
    <n v="5731.9405172638508"/>
    <n v="119.79001699725336"/>
    <n v="558.56317700069303"/>
    <n v="0"/>
    <n v="0"/>
    <n v="0"/>
    <n v="0"/>
    <n v="0"/>
    <n v="560.22479228877137"/>
    <n v="0"/>
    <n v="0"/>
    <n v="4776.226585505603"/>
    <n v="0"/>
    <n v="0"/>
    <n v="0"/>
    <n v="250.66545394001764"/>
    <n v="0"/>
    <n v="-462.38378652944084"/>
    <m/>
    <n v="0"/>
    <n v="0"/>
    <n v="0"/>
    <n v="0"/>
    <n v="-63.585202542314619"/>
    <n v="-7.5605193967158471"/>
    <n v="0"/>
    <n v="0"/>
    <m/>
    <m/>
    <m/>
    <n v="52112.349119754319"/>
    <n v="0"/>
    <n v="0"/>
    <n v="-11989.483309999996"/>
    <n v="4776.7659100000019"/>
    <n v="0"/>
    <n v="0"/>
    <n v="-12945.591480514973"/>
    <n v="0"/>
    <n v="0"/>
    <n v="0"/>
    <n v="0"/>
    <n v="0"/>
    <n v="0"/>
    <n v="0"/>
    <n v="0"/>
    <n v="0"/>
    <n v="0"/>
    <n v="0"/>
    <n v="0"/>
    <n v="3477.49047790809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2"/>
    <s v="Regular"/>
    <s v="Verde"/>
    <s v="A4"/>
    <s v="Comercial"/>
    <s v="Não se aplica"/>
    <s v="Não se aplica"/>
    <s v="Não se aplica"/>
    <s v="Ponta"/>
    <s v="CATIVO"/>
    <x v="8"/>
    <n v="0"/>
    <n v="0"/>
    <n v="97.087000000000003"/>
    <n v="97.087000000000003"/>
    <n v="97.087000000000003"/>
    <n v="97.087000000000003"/>
    <m/>
    <n v="1358.36"/>
    <n v="173.25"/>
    <m/>
    <n v="148699.42006999999"/>
    <n v="148699.42006999999"/>
    <n v="130380.07404000001"/>
    <n v="0"/>
    <n v="5198.4563651112239"/>
    <n v="0"/>
    <n v="0"/>
    <n v="1839.0305302323097"/>
    <n v="1766.9014095008031"/>
    <n v="97912.988700996546"/>
    <n v="16537.845267716282"/>
    <n v="282.25458177965839"/>
    <n v="0"/>
    <n v="0"/>
    <n v="0"/>
    <n v="0"/>
    <n v="923.20322253469215"/>
    <m/>
    <n v="77.748612054486642"/>
    <n v="3903.9480942896553"/>
    <n v="18203.433975119846"/>
    <n v="0"/>
    <n v="0"/>
    <n v="0"/>
    <n v="0"/>
    <n v="0"/>
    <n v="0"/>
    <n v="0"/>
    <n v="0"/>
    <n v="0"/>
    <n v="0"/>
    <m/>
    <n v="0"/>
    <n v="0"/>
    <n v="0"/>
    <n v="0"/>
    <n v="0"/>
    <n v="726.08033167421809"/>
    <n v="0"/>
    <n v="0"/>
    <n v="0"/>
    <n v="0"/>
    <n v="0"/>
    <m/>
    <m/>
    <m/>
    <m/>
    <m/>
    <m/>
    <m/>
    <m/>
    <m/>
    <n v="17263.925599390499"/>
    <m/>
    <m/>
    <m/>
    <m/>
    <m/>
    <m/>
    <m/>
    <m/>
    <m/>
    <m/>
    <m/>
    <m/>
    <n v="130384.10279999999"/>
    <n v="-18315.347270000027"/>
    <m/>
    <m/>
    <m/>
    <m/>
    <n v="-20415.45436"/>
    <n v="2096.1083300000005"/>
    <n v="31"/>
    <n v="6003.5407712167507"/>
    <n v="389.02008313089482"/>
    <n v="1813.9332868250203"/>
    <n v="0"/>
    <n v="0"/>
    <n v="0"/>
    <n v="0"/>
    <n v="0"/>
    <n v="1819.3230118929698"/>
    <n v="0"/>
    <n v="0"/>
    <n v="2095.8716672481351"/>
    <n v="0"/>
    <n v="0"/>
    <n v="0"/>
    <n v="92.017501111391766"/>
    <n v="0"/>
    <n v="-176.52312812270793"/>
    <m/>
    <n v="0"/>
    <n v="0"/>
    <n v="0"/>
    <n v="0"/>
    <n v="-27.902031463309186"/>
    <n v="-2.1996194056539764"/>
    <n v="0"/>
    <n v="0"/>
    <m/>
    <m/>
    <m/>
    <n v="97912.988700996546"/>
    <n v="0"/>
    <n v="0"/>
    <n v="-20415.454360000003"/>
    <n v="2096.1083300000028"/>
    <n v="0"/>
    <n v="0"/>
    <n v="-24323.247248873042"/>
    <n v="0"/>
    <n v="0"/>
    <n v="0"/>
    <n v="0"/>
    <n v="0"/>
    <n v="0"/>
    <n v="0"/>
    <n v="0"/>
    <n v="0"/>
    <n v="0"/>
    <n v="0"/>
    <n v="0"/>
    <n v="1327.593040804423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3"/>
    <s v="Sistema de Compensação"/>
    <s v="Verde"/>
    <s v="A4"/>
    <s v="Comercial"/>
    <s v="Não se aplica"/>
    <s v="Não se aplica"/>
    <s v="Não se aplica"/>
    <s v="Ponta"/>
    <s v="CATIVO"/>
    <x v="8"/>
    <n v="0"/>
    <n v="0"/>
    <n v="5.6790000000000003"/>
    <n v="5.6790000000000003"/>
    <n v="5.6790000000000003"/>
    <n v="5.6790000000000003"/>
    <m/>
    <n v="1358.36"/>
    <n v="173.25"/>
    <m/>
    <n v="8698.0131899999997"/>
    <n v="8698.0131899999997"/>
    <n v="7626.4426800000001"/>
    <n v="0"/>
    <n v="304.07813298862504"/>
    <n v="0"/>
    <n v="0"/>
    <n v="107.57211965751632"/>
    <n v="103.35300405363293"/>
    <n v="5727.3153237092447"/>
    <n v="967.36353245399255"/>
    <n v="16.510179219943762"/>
    <n v="0"/>
    <n v="0"/>
    <n v="0"/>
    <n v="0"/>
    <n v="54.001782944931009"/>
    <m/>
    <n v="4.5478217254362541"/>
    <n v="228.35725923626183"/>
    <n v="1064.7903585928661"/>
    <n v="0"/>
    <n v="0"/>
    <n v="0"/>
    <n v="0"/>
    <n v="0"/>
    <n v="0"/>
    <n v="0"/>
    <n v="0"/>
    <n v="0"/>
    <n v="0"/>
    <m/>
    <n v="0"/>
    <n v="0"/>
    <n v="0"/>
    <n v="0"/>
    <n v="0"/>
    <n v="42.471290734886075"/>
    <n v="0"/>
    <n v="0"/>
    <n v="0"/>
    <n v="0"/>
    <n v="0"/>
    <m/>
    <m/>
    <m/>
    <m/>
    <m/>
    <m/>
    <m/>
    <m/>
    <m/>
    <n v="1009.8348231888787"/>
    <m/>
    <m/>
    <m/>
    <m/>
    <m/>
    <m/>
    <m/>
    <m/>
    <m/>
    <m/>
    <m/>
    <m/>
    <n v="7627.7855999999992"/>
    <n v="-1070.2575900000011"/>
    <m/>
    <m/>
    <m/>
    <m/>
    <n v="-1194.18012"/>
    <n v="122.60961000000003"/>
    <n v="31"/>
    <n v="351.17068237498233"/>
    <n v="22.755312782353485"/>
    <n v="106.10408330548171"/>
    <n v="0"/>
    <n v="0"/>
    <n v="0"/>
    <n v="0"/>
    <n v="0"/>
    <n v="106.41934949622686"/>
    <n v="0"/>
    <n v="0"/>
    <n v="122.59576666600219"/>
    <n v="0"/>
    <n v="0"/>
    <n v="0"/>
    <n v="5.382465096373295"/>
    <n v="0"/>
    <n v="-10.32553116904279"/>
    <m/>
    <n v="0"/>
    <n v="0"/>
    <n v="0"/>
    <n v="0"/>
    <n v="-1.6320994229931216"/>
    <n v="-0.12866437941958075"/>
    <n v="0"/>
    <n v="0"/>
    <m/>
    <m/>
    <m/>
    <n v="5727.3153237092447"/>
    <n v="0"/>
    <n v="0"/>
    <n v="-1194.18012"/>
    <n v="122.60961000000009"/>
    <n v="0"/>
    <n v="0"/>
    <n v="-1422.7622763742838"/>
    <n v="0"/>
    <n v="0"/>
    <n v="0"/>
    <n v="0"/>
    <n v="0"/>
    <n v="0"/>
    <n v="0"/>
    <n v="0"/>
    <n v="0"/>
    <n v="0"/>
    <n v="0"/>
    <n v="0"/>
    <n v="77.6561319098161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4"/>
    <s v="Regular"/>
    <s v="Verde"/>
    <s v="A4"/>
    <s v="Comercial"/>
    <s v="Não se aplica"/>
    <s v="Não se aplica"/>
    <s v="Não se aplica"/>
    <s v="Fora ponta"/>
    <s v="CATIVO"/>
    <x v="8"/>
    <n v="0"/>
    <n v="0"/>
    <n v="1062.6120000000001"/>
    <n v="1062.6120000000001"/>
    <n v="1062.6120000000001"/>
    <n v="1062.6120000000001"/>
    <m/>
    <n v="85.01"/>
    <n v="173.25"/>
    <m/>
    <n v="274430.17512000003"/>
    <n v="274430.17512000003"/>
    <n v="296118.08604000002"/>
    <n v="0"/>
    <n v="56896.825682568917"/>
    <n v="0"/>
    <n v="0"/>
    <n v="0"/>
    <n v="0"/>
    <n v="0"/>
    <n v="181005.82812960062"/>
    <n v="3089.261236355499"/>
    <n v="0"/>
    <n v="0"/>
    <n v="0"/>
    <n v="0"/>
    <n v="10104.409681049308"/>
    <m/>
    <n v="850.95438269224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46.9102289802368"/>
    <n v="0"/>
    <n v="0"/>
    <n v="0"/>
    <n v="0"/>
    <n v="0"/>
    <m/>
    <m/>
    <m/>
    <m/>
    <m/>
    <m/>
    <m/>
    <m/>
    <m/>
    <n v="188952.73835858086"/>
    <m/>
    <m/>
    <m/>
    <m/>
    <m/>
    <m/>
    <m/>
    <m/>
    <m/>
    <m/>
    <m/>
    <m/>
    <n v="296117.52869999997"/>
    <n v="21687.323579999909"/>
    <m/>
    <m/>
    <m/>
    <m/>
    <n v="-1253.8821600000074"/>
    <n v="22941.793080000007"/>
    <n v="31"/>
    <n v="21684.832318590023"/>
    <n v="0"/>
    <n v="0"/>
    <n v="0"/>
    <n v="0"/>
    <n v="0"/>
    <n v="0"/>
    <n v="0"/>
    <n v="0"/>
    <n v="0"/>
    <n v="0"/>
    <n v="22939.2028188931"/>
    <n v="0"/>
    <n v="0"/>
    <n v="0"/>
    <n v="1007.1266069708427"/>
    <n v="0"/>
    <n v="-1932.0361554144984"/>
    <m/>
    <n v="0"/>
    <n v="0"/>
    <n v="0"/>
    <n v="0"/>
    <n v="-305.38623561640452"/>
    <n v="-24.074716242965337"/>
    <n v="0"/>
    <n v="0"/>
    <m/>
    <m/>
    <m/>
    <n v="0"/>
    <n v="0"/>
    <n v="0"/>
    <n v="-1253.8821600000083"/>
    <n v="22941.793080000003"/>
    <n v="0"/>
    <n v="0"/>
    <n v="0"/>
    <n v="0"/>
    <n v="0"/>
    <n v="0"/>
    <n v="0"/>
    <n v="0"/>
    <n v="0"/>
    <n v="0"/>
    <n v="0"/>
    <n v="0"/>
    <n v="0"/>
    <n v="0"/>
    <n v="0"/>
    <n v="14530.43452032991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5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53.546999999999997"/>
    <n v="53.546999999999997"/>
    <n v="53.546999999999997"/>
    <n v="53.546999999999997"/>
    <m/>
    <n v="85.01"/>
    <n v="173.25"/>
    <m/>
    <n v="13829.048219999999"/>
    <n v="13829.048219999999"/>
    <n v="14921.942490000001"/>
    <n v="0"/>
    <n v="2867.137134555715"/>
    <n v="0"/>
    <n v="0"/>
    <n v="0"/>
    <n v="0"/>
    <n v="0"/>
    <n v="9121.2211784317551"/>
    <n v="155.67363385989231"/>
    <n v="0"/>
    <n v="0"/>
    <n v="0"/>
    <n v="0"/>
    <n v="509.18004425994371"/>
    <m/>
    <n v="42.881178012314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0.45962405017514"/>
    <n v="0"/>
    <n v="0"/>
    <n v="0"/>
    <n v="0"/>
    <n v="0"/>
    <m/>
    <m/>
    <m/>
    <m/>
    <m/>
    <m/>
    <m/>
    <m/>
    <m/>
    <n v="9521.6808024819311"/>
    <m/>
    <m/>
    <m/>
    <m/>
    <m/>
    <m/>
    <m/>
    <m/>
    <m/>
    <m/>
    <m/>
    <m/>
    <n v="14922.778499999999"/>
    <n v="1093.7002799999991"/>
    <m/>
    <m/>
    <m/>
    <m/>
    <n v="-63.185460000000361"/>
    <n v="1156.0797300000002"/>
    <n v="31"/>
    <n v="1092.7391335346692"/>
    <n v="0"/>
    <n v="0"/>
    <n v="0"/>
    <n v="0"/>
    <n v="0"/>
    <n v="0"/>
    <n v="0"/>
    <n v="0"/>
    <n v="0"/>
    <n v="0"/>
    <n v="1155.9492019130848"/>
    <n v="0"/>
    <n v="0"/>
    <n v="0"/>
    <n v="50.750987588572059"/>
    <n v="0"/>
    <n v="-97.358904298069319"/>
    <m/>
    <n v="0"/>
    <n v="0"/>
    <n v="0"/>
    <n v="0"/>
    <n v="-15.388981828317071"/>
    <n v="-1.2131698406022764"/>
    <n v="0"/>
    <n v="0"/>
    <m/>
    <m/>
    <m/>
    <n v="0"/>
    <n v="0"/>
    <n v="0"/>
    <n v="-63.185459999999694"/>
    <n v="1156.0797300000013"/>
    <n v="0"/>
    <n v="0"/>
    <n v="0"/>
    <n v="0"/>
    <n v="0"/>
    <n v="0"/>
    <n v="0"/>
    <n v="0"/>
    <n v="0"/>
    <n v="0"/>
    <n v="0"/>
    <n v="0"/>
    <n v="0"/>
    <n v="0"/>
    <n v="0"/>
    <n v="732.2156885675166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6"/>
    <s v="Regular"/>
    <s v="Verde"/>
    <s v="A4"/>
    <s v="Comercial"/>
    <s v="Não se aplica"/>
    <s v="Não se aplica"/>
    <s v="Não se aplica"/>
    <s v="Não se aplica"/>
    <s v="CATIVO"/>
    <x v="8"/>
    <n v="4416"/>
    <n v="4416"/>
    <n v="0"/>
    <n v="0"/>
    <n v="0"/>
    <n v="0"/>
    <n v="27.19"/>
    <m/>
    <m/>
    <n v="120071.04000000001"/>
    <m/>
    <n v="120071.04000000001"/>
    <n v="96092.160000000003"/>
    <n v="0"/>
    <n v="0"/>
    <n v="0"/>
    <n v="0"/>
    <n v="1029.8139088961227"/>
    <n v="989.33785065979248"/>
    <n v="105683.84555379234"/>
    <m/>
    <m/>
    <m/>
    <n v="0"/>
    <n v="0"/>
    <n v="0"/>
    <n v="0"/>
    <m/>
    <n v="0"/>
    <n v="2185.4114140954889"/>
    <n v="10192.52033073874"/>
    <n v="0"/>
    <n v="0"/>
    <m/>
    <m/>
    <n v="0"/>
    <n v="0"/>
    <n v="0"/>
    <m/>
    <m/>
    <n v="0"/>
    <m/>
    <n v="0"/>
    <n v="0"/>
    <n v="0"/>
    <n v="0"/>
    <m/>
    <n v="0"/>
    <n v="0"/>
    <n v="488.95"/>
    <n v="5241.2"/>
    <n v="227988.5"/>
    <n v="44"/>
    <m/>
    <m/>
    <m/>
    <m/>
    <m/>
    <m/>
    <m/>
    <m/>
    <m/>
    <n v="0"/>
    <m/>
    <m/>
    <m/>
    <m/>
    <m/>
    <m/>
    <m/>
    <m/>
    <m/>
    <m/>
    <m/>
    <m/>
    <n v="96092.160000000003"/>
    <n v="-23978.909999999989"/>
    <m/>
    <m/>
    <m/>
    <m/>
    <n v="-23978.879999999997"/>
    <n v="0"/>
    <n v="31"/>
    <n v="2252.1246231528803"/>
    <n v="217.7715762231046"/>
    <n v="1015.6628650307048"/>
    <n v="0"/>
    <n v="0"/>
    <m/>
    <m/>
    <m/>
    <n v="1018.69018189906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5683.84555379234"/>
    <m/>
    <n v="0"/>
    <n v="0"/>
    <n v="-23978.880000000005"/>
    <m/>
    <n v="0"/>
    <m/>
    <n v="-26253.65990478046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87"/>
    <s v="Sistema de Compensação"/>
    <s v="Verde"/>
    <s v="A4"/>
    <s v="Comercial"/>
    <s v="Não se aplica"/>
    <s v="Não se aplica"/>
    <s v="Não se aplica"/>
    <s v="Não se aplica"/>
    <s v="CATIVO"/>
    <x v="8"/>
    <n v="815"/>
    <n v="815"/>
    <n v="0"/>
    <n v="0"/>
    <n v="0"/>
    <n v="0"/>
    <n v="27.19"/>
    <m/>
    <m/>
    <n v="22159.850000000002"/>
    <m/>
    <n v="22159.850000000002"/>
    <n v="17734.400000000001"/>
    <n v="0"/>
    <n v="0"/>
    <n v="0"/>
    <n v="0"/>
    <n v="190.05849994346468"/>
    <n v="182.58839408689556"/>
    <n v="19504.604648174991"/>
    <m/>
    <m/>
    <m/>
    <n v="0"/>
    <n v="0"/>
    <n v="0"/>
    <n v="0"/>
    <m/>
    <n v="0"/>
    <n v="403.33113733872818"/>
    <n v="1881.0924070543645"/>
    <n v="0"/>
    <n v="0"/>
    <m/>
    <m/>
    <n v="0"/>
    <n v="0"/>
    <n v="0"/>
    <m/>
    <m/>
    <n v="0"/>
    <m/>
    <n v="0"/>
    <n v="0"/>
    <n v="0"/>
    <n v="0"/>
    <m/>
    <n v="0"/>
    <n v="0"/>
    <n v="34.840000000000003"/>
    <n v="373.73"/>
    <n v="16290.7"/>
    <n v="6"/>
    <m/>
    <m/>
    <m/>
    <m/>
    <m/>
    <m/>
    <m/>
    <m/>
    <m/>
    <n v="0"/>
    <m/>
    <m/>
    <m/>
    <m/>
    <m/>
    <m/>
    <m/>
    <m/>
    <m/>
    <m/>
    <m/>
    <m/>
    <n v="17734.400000000001"/>
    <n v="-4425.4799999999959"/>
    <m/>
    <m/>
    <m/>
    <m/>
    <n v="-4425.45"/>
    <n v="0"/>
    <n v="31"/>
    <n v="415.64347098496273"/>
    <n v="40.191085738639003"/>
    <n v="187.44683763587523"/>
    <n v="0"/>
    <n v="0"/>
    <m/>
    <m/>
    <m/>
    <n v="188.005547610448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504.604648174991"/>
    <m/>
    <n v="0"/>
    <n v="0"/>
    <n v="-4425.4500000000007"/>
    <m/>
    <n v="0"/>
    <m/>
    <n v="-4845.2746427527345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88"/>
    <s v="Regular"/>
    <s v="Branca"/>
    <s v="B3"/>
    <s v="Comercial"/>
    <s v="Não se aplica"/>
    <s v="Não se aplica"/>
    <s v="Não se aplica"/>
    <s v="Ponta"/>
    <s v="CATIVO"/>
    <x v="8"/>
    <n v="0"/>
    <n v="0"/>
    <n v="0.7"/>
    <n v="0.7"/>
    <n v="0.7"/>
    <n v="0.7"/>
    <m/>
    <n v="1553.42"/>
    <n v="173.25"/>
    <m/>
    <n v="1208.6690000000001"/>
    <n v="1208.6690000000001"/>
    <n v="1146.768"/>
    <n v="0"/>
    <n v="43.081628239559279"/>
    <n v="0"/>
    <n v="0"/>
    <n v="75.914472235424896"/>
    <n v="5.2497340728983151"/>
    <n v="502.87153240974925"/>
    <n v="119.23832940971909"/>
    <n v="2.0350634713788751"/>
    <n v="0"/>
    <n v="0"/>
    <n v="0"/>
    <n v="0"/>
    <n v="6.6563211941277869"/>
    <m/>
    <n v="0.84549970005390385"/>
    <n v="220.88777530417289"/>
    <n v="214.62426613725017"/>
    <n v="0"/>
    <n v="0"/>
    <n v="0"/>
    <n v="0"/>
    <n v="0"/>
    <n v="0"/>
    <n v="0"/>
    <n v="0"/>
    <n v="0"/>
    <n v="0"/>
    <m/>
    <n v="0"/>
    <n v="0"/>
    <n v="0"/>
    <n v="0"/>
    <n v="0"/>
    <n v="6.257854277525186"/>
    <n v="0"/>
    <n v="0"/>
    <n v="0"/>
    <n v="0"/>
    <n v="0"/>
    <m/>
    <m/>
    <m/>
    <m/>
    <m/>
    <m/>
    <m/>
    <m/>
    <m/>
    <n v="125.49618368724427"/>
    <m/>
    <m/>
    <m/>
    <m/>
    <m/>
    <m/>
    <m/>
    <m/>
    <m/>
    <m/>
    <m/>
    <m/>
    <n v="1146.768"/>
    <n v="-61.93100000000004"/>
    <m/>
    <m/>
    <m/>
    <m/>
    <n v="-77.013999999999982"/>
    <n v="15.113000000000001"/>
    <n v="31"/>
    <n v="63.019683199645101"/>
    <n v="22.010994674114613"/>
    <n v="21.386849373522523"/>
    <n v="0"/>
    <n v="0"/>
    <n v="0"/>
    <n v="0"/>
    <n v="0"/>
    <n v="5.4054866637074444"/>
    <n v="0"/>
    <n v="0"/>
    <n v="15.111293654904301"/>
    <n v="0"/>
    <n v="0"/>
    <n v="0"/>
    <n v="0.79306942746865428"/>
    <n v="0"/>
    <n v="-1.4629157671700668"/>
    <m/>
    <n v="0"/>
    <n v="0"/>
    <n v="0"/>
    <n v="0"/>
    <n v="-0.20117443143074176"/>
    <n v="-2.3920395471622946E-2"/>
    <n v="0"/>
    <n v="0"/>
    <m/>
    <m/>
    <m/>
    <n v="502.87153240974925"/>
    <n v="0"/>
    <n v="0"/>
    <n v="-77.01400000000001"/>
    <n v="15.113000000000014"/>
    <n v="0"/>
    <n v="0"/>
    <n v="-124.92181864220305"/>
    <n v="0"/>
    <n v="0"/>
    <n v="0"/>
    <n v="0"/>
    <n v="0"/>
    <n v="0"/>
    <n v="0"/>
    <n v="0"/>
    <n v="0"/>
    <n v="0"/>
    <n v="0"/>
    <n v="0"/>
    <n v="11.00227948843008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89"/>
    <s v="Regular"/>
    <s v="Branca"/>
    <s v="B3"/>
    <s v="Comercial"/>
    <s v="Não se aplica"/>
    <s v="Não se aplica"/>
    <s v="Não se aplica"/>
    <s v="Fora ponta"/>
    <s v="CATIVO"/>
    <x v="8"/>
    <n v="0"/>
    <n v="0"/>
    <n v="13.509"/>
    <n v="13.509"/>
    <n v="13.509"/>
    <n v="13.509"/>
    <m/>
    <n v="388.22"/>
    <n v="173.25"/>
    <m/>
    <n v="7584.8982300000007"/>
    <n v="7584.8982300000007"/>
    <n v="7565.4452700000002"/>
    <n v="0"/>
    <n v="831.41387984029473"/>
    <n v="0"/>
    <n v="0"/>
    <n v="293.00817297953"/>
    <n v="20.262492556157994"/>
    <n v="1940.9418923232047"/>
    <n v="2301.1294171369932"/>
    <n v="39.273817764081748"/>
    <n v="0"/>
    <n v="0"/>
    <n v="0"/>
    <n v="0"/>
    <n v="128.45749001638896"/>
    <m/>
    <n v="16.316936354325982"/>
    <n v="852.56370188116341"/>
    <n v="828.3883460708895"/>
    <n v="0"/>
    <n v="0"/>
    <n v="0"/>
    <n v="0"/>
    <n v="0"/>
    <n v="0"/>
    <n v="0"/>
    <n v="0"/>
    <n v="0"/>
    <n v="0"/>
    <m/>
    <n v="0"/>
    <n v="0"/>
    <n v="0"/>
    <n v="0"/>
    <n v="0"/>
    <n v="120.76764776441107"/>
    <n v="0"/>
    <n v="0"/>
    <n v="0"/>
    <n v="0"/>
    <n v="0"/>
    <m/>
    <m/>
    <m/>
    <m/>
    <m/>
    <m/>
    <m/>
    <m/>
    <m/>
    <n v="2421.8970649014041"/>
    <m/>
    <m/>
    <m/>
    <m/>
    <m/>
    <m/>
    <m/>
    <m/>
    <m/>
    <m/>
    <m/>
    <m/>
    <n v="7566.0052999999989"/>
    <n v="-18.922930000002452"/>
    <m/>
    <m/>
    <m/>
    <m/>
    <n v="-311.11227000000042"/>
    <n v="291.65931000000006"/>
    <n v="31"/>
    <n v="462.7222262075029"/>
    <n v="84.956150586459671"/>
    <n v="82.547128053402957"/>
    <n v="0"/>
    <n v="0"/>
    <n v="0"/>
    <n v="0"/>
    <n v="0"/>
    <n v="20.863653618422937"/>
    <n v="0"/>
    <n v="0"/>
    <n v="291.62637997728916"/>
    <n v="0"/>
    <n v="0"/>
    <n v="0"/>
    <n v="15.305106993820061"/>
    <n v="0"/>
    <n v="-28.232184426714753"/>
    <m/>
    <n v="0"/>
    <n v="0"/>
    <n v="0"/>
    <n v="0"/>
    <n v="-3.88237913456841"/>
    <n v="-0.46162946060879051"/>
    <n v="0"/>
    <n v="0"/>
    <m/>
    <m/>
    <m/>
    <n v="1940.9418923232047"/>
    <n v="0"/>
    <n v="0"/>
    <n v="-311.11227000000054"/>
    <n v="291.65931"/>
    <n v="0"/>
    <n v="0"/>
    <n v="-482.16288940827621"/>
    <n v="0"/>
    <n v="0"/>
    <n v="0"/>
    <n v="0"/>
    <n v="0"/>
    <n v="0"/>
    <n v="0"/>
    <n v="0"/>
    <n v="0"/>
    <n v="0"/>
    <n v="0"/>
    <n v="0"/>
    <n v="212.3282765845744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0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08"/>
    <n v="86.99"/>
    <n v="3865.55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591"/>
    <s v="Regular"/>
    <s v="Branca"/>
    <s v="B3"/>
    <s v="Comercial"/>
    <s v="Não se aplica"/>
    <s v="Não se aplica"/>
    <s v="Não se aplica"/>
    <s v="Intermediário"/>
    <s v="CATIVO"/>
    <x v="8"/>
    <n v="0"/>
    <n v="0"/>
    <n v="0.622"/>
    <n v="0.622"/>
    <n v="0.622"/>
    <n v="0.622"/>
    <m/>
    <n v="970.82"/>
    <n v="173.25"/>
    <m/>
    <n v="711.61153999999999"/>
    <n v="711.61153999999999"/>
    <n v="683.65886"/>
    <n v="0"/>
    <n v="38.281103950008387"/>
    <n v="0"/>
    <n v="0"/>
    <n v="40.47325862608659"/>
    <n v="2.7988608416456238"/>
    <n v="268.10243254875138"/>
    <n v="105.95177270406468"/>
    <n v="1.8082992559966575"/>
    <n v="0"/>
    <n v="0"/>
    <n v="0"/>
    <n v="0"/>
    <n v="5.9146168324964048"/>
    <m/>
    <n v="0.7512868763336118"/>
    <n v="117.76473963359607"/>
    <n v="114.42539446060277"/>
    <n v="0"/>
    <n v="0"/>
    <n v="0"/>
    <n v="0"/>
    <n v="0"/>
    <n v="0"/>
    <n v="0"/>
    <n v="0"/>
    <n v="0"/>
    <n v="0"/>
    <m/>
    <n v="0"/>
    <n v="0"/>
    <n v="0"/>
    <n v="0"/>
    <n v="0"/>
    <n v="5.5605505151723795"/>
    <n v="0"/>
    <n v="0"/>
    <n v="0"/>
    <n v="0"/>
    <n v="0"/>
    <m/>
    <m/>
    <m/>
    <m/>
    <m/>
    <m/>
    <m/>
    <m/>
    <m/>
    <n v="111.51232321923706"/>
    <m/>
    <m/>
    <m/>
    <m/>
    <m/>
    <m/>
    <m/>
    <m/>
    <m/>
    <m/>
    <m/>
    <m/>
    <n v="681.4606"/>
    <n v="-30.180939999999964"/>
    <m/>
    <m/>
    <m/>
    <m/>
    <n v="-41.381660000000053"/>
    <n v="13.428980000000003"/>
    <n v="31"/>
    <n v="38.651394509613795"/>
    <n v="11.7350045891138"/>
    <n v="11.402245980283084"/>
    <n v="0"/>
    <n v="0"/>
    <n v="0"/>
    <n v="0"/>
    <n v="0"/>
    <n v="2.8818993006127291"/>
    <n v="0"/>
    <n v="0"/>
    <n v="13.427463790500681"/>
    <n v="0"/>
    <n v="0"/>
    <n v="0"/>
    <n v="0.70469883412214696"/>
    <n v="0"/>
    <n v="-1.2999051531139685"/>
    <m/>
    <n v="0"/>
    <n v="0"/>
    <n v="0"/>
    <n v="0"/>
    <n v="-0.1787578519284585"/>
    <n v="-2.1254979976213617E-2"/>
    <n v="0"/>
    <n v="0"/>
    <m/>
    <m/>
    <m/>
    <n v="268.10243254875138"/>
    <n v="0"/>
    <n v="0"/>
    <n v="-41.381660000000011"/>
    <n v="13.42898000000001"/>
    <n v="0"/>
    <n v="0"/>
    <n v="-66.601191950350312"/>
    <n v="0"/>
    <n v="0"/>
    <n v="0"/>
    <n v="0"/>
    <n v="0"/>
    <n v="0"/>
    <n v="0"/>
    <n v="0"/>
    <n v="0"/>
    <n v="0"/>
    <n v="0"/>
    <n v="0"/>
    <n v="9.77631120257645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2"/>
    <s v="Regular"/>
    <s v="Convencional"/>
    <s v="B2"/>
    <s v="Rural"/>
    <s v="Não se aplica"/>
    <s v="Não se aplica"/>
    <s v="Não se aplica"/>
    <s v="Não se aplica"/>
    <s v="CATIVO"/>
    <x v="8"/>
    <n v="0"/>
    <n v="0"/>
    <n v="7012.3050000000003"/>
    <n v="7012.3050000000003"/>
    <n v="7012.3050000000003"/>
    <n v="7012.3050000000003"/>
    <m/>
    <n v="368.24"/>
    <n v="173.25"/>
    <m/>
    <n v="3797093.0344500002"/>
    <n v="3797093.0344500002"/>
    <n v="3568491.8914500005"/>
    <n v="0"/>
    <n v="431573.59587486106"/>
    <n v="0"/>
    <n v="0"/>
    <n v="17948.256661440599"/>
    <n v="17244.249969709967"/>
    <n v="1651658.0246428179"/>
    <n v="1194479.3335877433"/>
    <n v="20386.408222382062"/>
    <n v="0"/>
    <n v="0"/>
    <n v="0"/>
    <n v="0"/>
    <n v="66680.220558840359"/>
    <m/>
    <n v="8469.859677409273"/>
    <n v="38100.626766434558"/>
    <n v="177657.60174209665"/>
    <n v="0"/>
    <n v="0"/>
    <n v="0"/>
    <n v="0"/>
    <n v="0"/>
    <n v="0"/>
    <n v="0"/>
    <n v="0"/>
    <n v="0"/>
    <n v="0"/>
    <m/>
    <n v="0"/>
    <n v="0"/>
    <n v="0"/>
    <n v="0"/>
    <n v="0"/>
    <n v="62688.546913658931"/>
    <n v="0"/>
    <n v="2844.85"/>
    <n v="31269.279999999999"/>
    <n v="183473.68"/>
    <n v="15685"/>
    <m/>
    <m/>
    <m/>
    <m/>
    <m/>
    <n v="428171.34330000007"/>
    <m/>
    <m/>
    <m/>
    <n v="1257167.8805014023"/>
    <m/>
    <m/>
    <m/>
    <m/>
    <m/>
    <m/>
    <m/>
    <m/>
    <m/>
    <m/>
    <m/>
    <m/>
    <n v="3140322.7873"/>
    <n v="-201110.69824999943"/>
    <m/>
    <m/>
    <m/>
    <m/>
    <n v="-379996.80794999999"/>
    <n v="151395.66495000003"/>
    <n v="31"/>
    <n v="181669.13816067902"/>
    <n v="3796.6460193715029"/>
    <n v="17703.200280669495"/>
    <n v="0"/>
    <n v="0"/>
    <n v="0"/>
    <n v="0"/>
    <n v="0"/>
    <n v="17755.863809963044"/>
    <n v="0"/>
    <n v="0"/>
    <n v="151378.57150393375"/>
    <n v="0"/>
    <n v="0"/>
    <n v="0"/>
    <n v="7944.6353022651238"/>
    <n v="0"/>
    <n v="-14654.873641007813"/>
    <m/>
    <n v="0"/>
    <n v="0"/>
    <n v="0"/>
    <n v="0"/>
    <n v="-2015.2806734199185"/>
    <n v="-239.62444109662647"/>
    <n v="0"/>
    <n v="0"/>
    <m/>
    <m/>
    <m/>
    <n v="1651658.0246428179"/>
    <n v="0"/>
    <n v="0"/>
    <n v="-379996.80794999981"/>
    <n v="151395.66495000012"/>
    <n v="0"/>
    <n v="0"/>
    <n v="-410299.86967973877"/>
    <n v="0"/>
    <n v="0"/>
    <n v="0"/>
    <n v="0"/>
    <n v="0"/>
    <n v="0"/>
    <n v="0"/>
    <n v="0"/>
    <n v="0"/>
    <n v="0"/>
    <n v="0"/>
    <n v="0"/>
    <n v="110216.199240165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3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0.4"/>
    <n v="-0.4"/>
    <n v="-0.4"/>
    <n v="-0.4"/>
    <m/>
    <n v="368.24"/>
    <n v="173.25"/>
    <m/>
    <n v="-216.596"/>
    <n v="-216.596"/>
    <n v="-203.55600000000001"/>
    <n v="0"/>
    <n v="-24.61807327974816"/>
    <n v="0"/>
    <n v="0"/>
    <n v="-1.023814945952328"/>
    <n v="-0.98365658480114415"/>
    <n v="-94.214842317487211"/>
    <n v="-68.1361882341252"/>
    <n v="-1.1628934122165002"/>
    <n v="0"/>
    <n v="0"/>
    <n v="0"/>
    <n v="0"/>
    <n v="-3.8036121109301639"/>
    <m/>
    <n v="-0.48314268574508801"/>
    <n v="-2.1733582190982599"/>
    <n v="-10.134048746715761"/>
    <n v="0"/>
    <n v="0"/>
    <n v="0"/>
    <n v="0"/>
    <n v="0"/>
    <n v="0"/>
    <n v="0"/>
    <n v="0"/>
    <n v="0"/>
    <n v="0"/>
    <m/>
    <n v="0"/>
    <n v="0"/>
    <n v="0"/>
    <n v="0"/>
    <n v="0"/>
    <n v="-3.5759167300143924"/>
    <n v="0"/>
    <n v="-0.16"/>
    <n v="-1.58"/>
    <n v="-35.74"/>
    <n v="0"/>
    <m/>
    <m/>
    <m/>
    <m/>
    <m/>
    <n v="-24.423999999999999"/>
    <m/>
    <m/>
    <m/>
    <n v="-71.712104964139598"/>
    <m/>
    <m/>
    <m/>
    <m/>
    <m/>
    <m/>
    <m/>
    <m/>
    <m/>
    <m/>
    <m/>
    <m/>
    <n v="-179.13200000000001"/>
    <n v="11.442000000000036"/>
    <m/>
    <m/>
    <m/>
    <m/>
    <n v="21.676000000000002"/>
    <n v="-8.636000000000001"/>
    <n v="31"/>
    <n v="-10.362877151560198"/>
    <n v="-0.21657050110464438"/>
    <n v="-1.0098362966624794"/>
    <n v="0"/>
    <n v="0"/>
    <n v="0"/>
    <n v="0"/>
    <n v="0"/>
    <n v="-1.0128403604785041"/>
    <n v="0"/>
    <n v="0"/>
    <n v="-8.6350249456595947"/>
    <n v="0"/>
    <n v="0"/>
    <n v="0"/>
    <n v="-0.45318252998208841"/>
    <n v="0"/>
    <n v="0.83595186695431778"/>
    <m/>
    <n v="0"/>
    <n v="0"/>
    <n v="0"/>
    <n v="0"/>
    <n v="0.11495681796042367"/>
    <n v="1.3668797412355993E-2"/>
    <n v="0"/>
    <n v="0"/>
    <m/>
    <m/>
    <m/>
    <n v="-94.214842317487211"/>
    <n v="0"/>
    <n v="0"/>
    <n v="21.676000000000016"/>
    <n v="-8.6360000000000099"/>
    <n v="0"/>
    <n v="0"/>
    <n v="23.404564957156808"/>
    <n v="0"/>
    <n v="0"/>
    <n v="0"/>
    <n v="0"/>
    <n v="0"/>
    <n v="0"/>
    <n v="0"/>
    <n v="0"/>
    <n v="0"/>
    <n v="0"/>
    <n v="0"/>
    <n v="0"/>
    <n v="-6.287016850531480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4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239.12700000000001"/>
    <n v="239.12700000000001"/>
    <n v="239.12700000000001"/>
    <n v="239.12700000000001"/>
    <m/>
    <n v="368.24"/>
    <n v="173.25"/>
    <m/>
    <n v="129484.87923000001"/>
    <n v="129484.87923000001"/>
    <n v="121689.33903"/>
    <n v="0"/>
    <n v="14717.115022915847"/>
    <n v="0"/>
    <n v="0"/>
    <n v="612.05449145185582"/>
    <n v="588.04712038435798"/>
    <n v="56323.281497134412"/>
    <n v="40733.005709654142"/>
    <n v="695.19803245773755"/>
    <n v="0"/>
    <n v="0"/>
    <n v="0"/>
    <n v="0"/>
    <n v="2273.8658831259932"/>
    <m/>
    <n v="288.83115253541416"/>
    <n v="1299.271577145774"/>
    <n v="6058.3116866397495"/>
    <n v="0"/>
    <n v="0"/>
    <n v="0"/>
    <n v="0"/>
    <n v="0"/>
    <n v="0"/>
    <n v="0"/>
    <n v="0"/>
    <n v="0"/>
    <n v="0"/>
    <m/>
    <n v="0"/>
    <n v="0"/>
    <n v="0"/>
    <n v="0"/>
    <n v="0"/>
    <n v="2137.745599745379"/>
    <n v="0"/>
    <n v="100.12"/>
    <n v="1081.83"/>
    <n v="5319.64"/>
    <n v="364"/>
    <m/>
    <m/>
    <m/>
    <m/>
    <m/>
    <n v="14601.094620000002"/>
    <m/>
    <m/>
    <m/>
    <n v="42870.751309399522"/>
    <m/>
    <m/>
    <m/>
    <m/>
    <m/>
    <m/>
    <m/>
    <m/>
    <m/>
    <m/>
    <m/>
    <m/>
    <n v="107089.5879"/>
    <n v="-6856.8488699999871"/>
    <m/>
    <m/>
    <m/>
    <m/>
    <n v="-12958.29213"/>
    <n v="5162.7519300000013"/>
    <n v="31"/>
    <n v="6195.1093115528492"/>
    <n v="129.46963554412559"/>
    <n v="603.69781028002217"/>
    <n v="0"/>
    <n v="0"/>
    <n v="0"/>
    <n v="0"/>
    <n v="0"/>
    <n v="605.49369220035817"/>
    <n v="0"/>
    <n v="0"/>
    <n v="5162.1690254518544"/>
    <n v="0"/>
    <n v="0"/>
    <n v="0"/>
    <n v="270.92044711756716"/>
    <n v="0"/>
    <n v="-499.74665522296527"/>
    <m/>
    <n v="0"/>
    <n v="0"/>
    <n v="0"/>
    <n v="0"/>
    <n v="-68.723197521055226"/>
    <n v="-8.1714462970611521"/>
    <n v="0"/>
    <n v="0"/>
    <m/>
    <m/>
    <m/>
    <n v="56323.281497134412"/>
    <n v="0"/>
    <n v="0"/>
    <n v="-12958.292130000002"/>
    <n v="5162.7519300000058"/>
    <n v="0"/>
    <n v="0"/>
    <n v="-13991.658511275098"/>
    <n v="0"/>
    <n v="0"/>
    <n v="0"/>
    <n v="0"/>
    <n v="0"/>
    <n v="0"/>
    <n v="0"/>
    <n v="0"/>
    <n v="0"/>
    <n v="0"/>
    <n v="0"/>
    <n v="0"/>
    <n v="3758.488696042603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5"/>
    <s v="Regular"/>
    <s v="Verde"/>
    <s v="A4"/>
    <s v="Rural"/>
    <s v="Não se aplica"/>
    <s v="Não se aplica"/>
    <s v="Não se aplica"/>
    <s v="Ponta"/>
    <s v="CATIVO"/>
    <x v="8"/>
    <n v="0"/>
    <n v="0"/>
    <n v="6.8540000000000001"/>
    <n v="6.5798399999999999"/>
    <n v="6.8540000000000001"/>
    <n v="6.5798399999999999"/>
    <m/>
    <n v="1358.36"/>
    <n v="173.25"/>
    <m/>
    <n v="10497.65494"/>
    <n v="10497.65494"/>
    <n v="9204.3736800000006"/>
    <n v="0"/>
    <n v="366.99269651418138"/>
    <n v="0"/>
    <n v="0"/>
    <n v="129.82907345177264"/>
    <n v="124.73701175974645"/>
    <n v="6912.311890949667"/>
    <n v="1167.5135853917352"/>
    <n v="19.926178618329729"/>
    <n v="0"/>
    <n v="0"/>
    <n v="0"/>
    <n v="0"/>
    <n v="65.174893520788359"/>
    <m/>
    <n v="5.4887779725550425"/>
    <n v="275.60497531349506"/>
    <n v="1285.0982774776378"/>
    <n v="0"/>
    <n v="0"/>
    <n v="0"/>
    <n v="0"/>
    <n v="0"/>
    <n v="0"/>
    <n v="0"/>
    <n v="0"/>
    <n v="0"/>
    <n v="0"/>
    <m/>
    <n v="0"/>
    <n v="0"/>
    <n v="0"/>
    <n v="0"/>
    <n v="0"/>
    <n v="51.258712219917093"/>
    <n v="0"/>
    <n v="0"/>
    <n v="0"/>
    <n v="0"/>
    <n v="0"/>
    <m/>
    <m/>
    <m/>
    <m/>
    <m/>
    <n v="368.17494720000019"/>
    <m/>
    <m/>
    <m/>
    <n v="1218.7722976116522"/>
    <m/>
    <m/>
    <m/>
    <m/>
    <m/>
    <m/>
    <m/>
    <m/>
    <m/>
    <m/>
    <m/>
    <m/>
    <n v="8836.4135999999999"/>
    <n v="-1241.3651424"/>
    <m/>
    <m/>
    <m/>
    <m/>
    <n v="-1441.2591199999999"/>
    <n v="147.97786000000002"/>
    <n v="31"/>
    <n v="423.82881792536045"/>
    <n v="27.463446700167424"/>
    <n v="128.05729652681293"/>
    <n v="0"/>
    <n v="0"/>
    <n v="0"/>
    <n v="0"/>
    <n v="0"/>
    <n v="128.43779211958773"/>
    <n v="0"/>
    <n v="0"/>
    <n v="147.96115244387738"/>
    <n v="0"/>
    <n v="0"/>
    <n v="0"/>
    <n v="6.4961112467938946"/>
    <n v="0"/>
    <n v="-12.461910659027865"/>
    <m/>
    <n v="0"/>
    <n v="0"/>
    <n v="0"/>
    <n v="0"/>
    <n v="-1.969785075751858"/>
    <n v="-0.15528537709839974"/>
    <n v="0"/>
    <n v="0"/>
    <m/>
    <m/>
    <m/>
    <n v="6912.311890949667"/>
    <n v="0"/>
    <n v="0"/>
    <n v="-1441.2591200000006"/>
    <n v="147.97785999999996"/>
    <n v="0"/>
    <n v="0"/>
    <n v="-1717.1355242594354"/>
    <n v="0"/>
    <n v="0"/>
    <n v="0"/>
    <n v="0"/>
    <n v="0"/>
    <n v="0"/>
    <n v="0"/>
    <n v="0"/>
    <n v="0"/>
    <n v="0"/>
    <n v="0"/>
    <n v="0"/>
    <n v="93.7233893484557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6"/>
    <s v="Regular"/>
    <s v="Verde"/>
    <s v="A4"/>
    <s v="Rural"/>
    <s v="Não se aplica"/>
    <s v="Não se aplica"/>
    <s v="Não se aplica"/>
    <s v="Fora ponta"/>
    <s v="CATIVO"/>
    <x v="8"/>
    <n v="0"/>
    <n v="0"/>
    <n v="79.988"/>
    <n v="76.788480000000007"/>
    <n v="79.988"/>
    <n v="76.788480000000007"/>
    <m/>
    <n v="85.01"/>
    <n v="173.25"/>
    <m/>
    <n v="20657.70088"/>
    <n v="20657.70088"/>
    <n v="22290.255959999999"/>
    <n v="0"/>
    <n v="4282.9022189635743"/>
    <n v="0"/>
    <n v="0"/>
    <n v="0"/>
    <n v="0"/>
    <n v="0"/>
    <n v="13625.193561178015"/>
    <n v="232.54379564093352"/>
    <n v="0"/>
    <n v="0"/>
    <n v="0"/>
    <n v="0"/>
    <n v="760.60831382270487"/>
    <m/>
    <n v="64.055496420883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8.20278276141346"/>
    <n v="0"/>
    <n v="0"/>
    <n v="0"/>
    <n v="0"/>
    <n v="0"/>
    <m/>
    <m/>
    <m/>
    <m/>
    <m/>
    <n v="891.61023839999791"/>
    <m/>
    <m/>
    <m/>
    <n v="14223.396343939428"/>
    <m/>
    <m/>
    <m/>
    <m/>
    <m/>
    <m/>
    <m/>
    <m/>
    <m/>
    <m/>
    <m/>
    <m/>
    <n v="21399.069300000003"/>
    <n v="1567.6464552000034"/>
    <m/>
    <m/>
    <m/>
    <m/>
    <n v="-94.385840000000542"/>
    <n v="1726.9409200000002"/>
    <n v="31"/>
    <n v="1632.3233386216052"/>
    <n v="0"/>
    <n v="0"/>
    <n v="0"/>
    <n v="0"/>
    <n v="0"/>
    <n v="0"/>
    <n v="0"/>
    <n v="0"/>
    <n v="0"/>
    <n v="0"/>
    <n v="1726.7459383835503"/>
    <n v="0"/>
    <n v="0"/>
    <n v="0"/>
    <n v="75.811343216888076"/>
    <n v="0"/>
    <n v="-145.43380650632025"/>
    <m/>
    <n v="0"/>
    <n v="0"/>
    <n v="0"/>
    <n v="0"/>
    <n v="-22.987914887545912"/>
    <n v="-1.8122215849645045"/>
    <n v="0"/>
    <n v="0"/>
    <m/>
    <m/>
    <m/>
    <n v="0"/>
    <n v="0"/>
    <n v="0"/>
    <n v="-94.385839999999916"/>
    <n v="1726.9409199999991"/>
    <n v="0"/>
    <n v="0"/>
    <n v="0"/>
    <n v="0"/>
    <n v="0"/>
    <n v="0"/>
    <n v="0"/>
    <n v="0"/>
    <n v="0"/>
    <n v="0"/>
    <n v="0"/>
    <n v="0"/>
    <n v="0"/>
    <n v="0"/>
    <n v="0"/>
    <n v="1093.776840852681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7"/>
    <s v="Sistema de Compensação"/>
    <s v="Verde"/>
    <s v="A4"/>
    <s v="Rural"/>
    <s v="Não se aplica"/>
    <s v="Não se aplica"/>
    <s v="Não se aplica"/>
    <s v="Fora ponta"/>
    <s v="CATIVO"/>
    <x v="8"/>
    <n v="0"/>
    <n v="0"/>
    <n v="49.683"/>
    <n v="47.695679999999996"/>
    <n v="49.683"/>
    <n v="47.695679999999996"/>
    <m/>
    <n v="85.01"/>
    <n v="173.25"/>
    <m/>
    <n v="12831.131580000001"/>
    <n v="12831.131580000001"/>
    <n v="13845.161609999999"/>
    <n v="0"/>
    <n v="2660.2419230980558"/>
    <n v="0"/>
    <n v="0"/>
    <n v="0"/>
    <n v="0"/>
    <n v="0"/>
    <n v="8463.0256000901063"/>
    <n v="144.44008349788095"/>
    <n v="0"/>
    <n v="0"/>
    <n v="0"/>
    <n v="0"/>
    <n v="472.43715126835832"/>
    <m/>
    <n v="39.786833383491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56209501344335"/>
    <n v="0"/>
    <n v="0"/>
    <n v="0"/>
    <n v="0"/>
    <n v="0"/>
    <m/>
    <m/>
    <m/>
    <m/>
    <m/>
    <n v="553.80646440000112"/>
    <m/>
    <m/>
    <m/>
    <n v="8834.5876951035498"/>
    <m/>
    <m/>
    <m/>
    <m/>
    <m/>
    <m/>
    <m/>
    <m/>
    <m/>
    <m/>
    <m/>
    <m/>
    <n v="13292.559000000001"/>
    <n v="974.64268320000156"/>
    <m/>
    <m/>
    <m/>
    <m/>
    <n v="-58.625940000000341"/>
    <n v="1072.6559700000003"/>
    <n v="31"/>
    <n v="1013.8860883224643"/>
    <n v="0"/>
    <n v="0"/>
    <n v="0"/>
    <n v="0"/>
    <n v="0"/>
    <n v="0"/>
    <n v="0"/>
    <n v="0"/>
    <n v="0"/>
    <n v="0"/>
    <n v="1072.5348609380144"/>
    <n v="0"/>
    <n v="0"/>
    <n v="0"/>
    <n v="47.088750375614438"/>
    <n v="0"/>
    <n v="-90.333397617811897"/>
    <m/>
    <n v="0"/>
    <n v="0"/>
    <n v="0"/>
    <n v="0"/>
    <n v="-14.278498966819313"/>
    <n v="-1.1256264065333781"/>
    <n v="0"/>
    <n v="0"/>
    <m/>
    <m/>
    <m/>
    <n v="0"/>
    <n v="0"/>
    <n v="0"/>
    <n v="-58.62594000000081"/>
    <n v="1072.6559699999998"/>
    <n v="0"/>
    <n v="0"/>
    <n v="0"/>
    <n v="0"/>
    <n v="0"/>
    <n v="0"/>
    <n v="0"/>
    <n v="0"/>
    <n v="0"/>
    <n v="0"/>
    <n v="0"/>
    <n v="0"/>
    <n v="0"/>
    <n v="0"/>
    <n v="0"/>
    <n v="679.3783415522798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598"/>
    <s v="Regular"/>
    <s v="Verde"/>
    <s v="A4"/>
    <s v="Rural"/>
    <s v="Não se aplica"/>
    <s v="Não se aplica"/>
    <s v="Não se aplica"/>
    <s v="Não se aplica"/>
    <s v="CATIVO"/>
    <x v="8"/>
    <n v="670"/>
    <n v="643.20000000000005"/>
    <n v="0"/>
    <n v="0"/>
    <n v="0"/>
    <n v="0"/>
    <n v="27.19"/>
    <m/>
    <m/>
    <n v="18217.3"/>
    <m/>
    <n v="18217.3"/>
    <n v="14579.2"/>
    <n v="0"/>
    <n v="0"/>
    <n v="0"/>
    <n v="0"/>
    <n v="156.24441099646788"/>
    <n v="150.1033423781841"/>
    <n v="16034.460262916864"/>
    <m/>
    <m/>
    <m/>
    <n v="0"/>
    <n v="0"/>
    <n v="0"/>
    <n v="0"/>
    <m/>
    <n v="0"/>
    <n v="331.57283683061087"/>
    <n v="1546.4195248176984"/>
    <n v="0"/>
    <n v="0"/>
    <m/>
    <m/>
    <n v="0"/>
    <n v="0"/>
    <n v="0"/>
    <m/>
    <m/>
    <n v="0"/>
    <m/>
    <n v="0"/>
    <n v="0"/>
    <n v="0"/>
    <n v="0"/>
    <m/>
    <n v="0"/>
    <n v="0"/>
    <n v="39.9"/>
    <n v="427.73"/>
    <n v="28.23"/>
    <n v="4"/>
    <m/>
    <m/>
    <m/>
    <m/>
    <m/>
    <n v="583.1679999999991"/>
    <m/>
    <m/>
    <m/>
    <n v="0"/>
    <m/>
    <m/>
    <m/>
    <m/>
    <m/>
    <m/>
    <m/>
    <m/>
    <m/>
    <m/>
    <m/>
    <m/>
    <n v="13996.032000000003"/>
    <n v="-3492.6059999999961"/>
    <m/>
    <m/>
    <m/>
    <m/>
    <n v="-3638.1"/>
    <n v="0"/>
    <n v="31"/>
    <n v="341.69463258886526"/>
    <n v="33.040524472255413"/>
    <n v="154.09740026507529"/>
    <n v="0"/>
    <n v="0"/>
    <m/>
    <m/>
    <m/>
    <n v="154.55670785153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034.460262916864"/>
    <m/>
    <n v="0"/>
    <n v="0"/>
    <n v="-3638.0999999999985"/>
    <m/>
    <n v="0"/>
    <m/>
    <n v="-3983.231914901021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599"/>
    <s v="Sistema de Compensação"/>
    <s v="Verde"/>
    <s v="A4"/>
    <s v="Rural"/>
    <s v="Não se aplica"/>
    <s v="Não se aplica"/>
    <s v="Não se aplica"/>
    <s v="Não se aplica"/>
    <s v="CATIVO"/>
    <x v="8"/>
    <n v="160"/>
    <n v="153.6"/>
    <n v="0"/>
    <n v="0"/>
    <n v="0"/>
    <n v="0"/>
    <n v="27.19"/>
    <m/>
    <m/>
    <n v="4350.4000000000005"/>
    <m/>
    <n v="4350.4000000000005"/>
    <n v="3481.6000000000004"/>
    <n v="0"/>
    <n v="0"/>
    <n v="0"/>
    <n v="0"/>
    <n v="37.312098148410243"/>
    <n v="35.845574299267838"/>
    <n v="3829.1248389055199"/>
    <m/>
    <m/>
    <m/>
    <n v="0"/>
    <n v="0"/>
    <n v="0"/>
    <n v="0"/>
    <m/>
    <n v="0"/>
    <n v="79.181572974474236"/>
    <n v="369.2942148818384"/>
    <n v="0"/>
    <n v="0"/>
    <m/>
    <m/>
    <n v="0"/>
    <n v="0"/>
    <n v="0"/>
    <m/>
    <m/>
    <n v="0"/>
    <m/>
    <n v="0"/>
    <n v="0"/>
    <n v="0"/>
    <n v="0"/>
    <m/>
    <n v="0"/>
    <n v="0"/>
    <n v="17.22"/>
    <n v="184.6"/>
    <n v="5.78"/>
    <n v="1"/>
    <m/>
    <m/>
    <m/>
    <m/>
    <m/>
    <n v="139.26400000000012"/>
    <m/>
    <m/>
    <m/>
    <n v="0"/>
    <m/>
    <m/>
    <m/>
    <m/>
    <m/>
    <m/>
    <m/>
    <m/>
    <m/>
    <m/>
    <m/>
    <m/>
    <n v="3342.3360000000002"/>
    <n v="-834.07800000000043"/>
    <m/>
    <m/>
    <m/>
    <m/>
    <n v="-868.8"/>
    <n v="0"/>
    <n v="31"/>
    <n v="81.598718230176928"/>
    <n v="7.8902745008371227"/>
    <n v="36.799379167779193"/>
    <n v="0"/>
    <n v="0"/>
    <m/>
    <m/>
    <m/>
    <n v="36.9090645615604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29.1248389055199"/>
    <m/>
    <n v="0"/>
    <n v="0"/>
    <n v="-868.80000000000018"/>
    <m/>
    <n v="0"/>
    <m/>
    <n v="-951.2195617674083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00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601.60199999999998"/>
    <n v="601.60199999999998"/>
    <n v="601.60199999999998"/>
    <n v="601.60199999999998"/>
    <m/>
    <n v="368.24"/>
    <n v="173.25"/>
    <m/>
    <n v="325761.46698000003"/>
    <n v="325761.46698000003"/>
    <n v="306149.24178000004"/>
    <n v="0"/>
    <n v="37025.705303107628"/>
    <n v="0"/>
    <n v="0"/>
    <n v="1539.822797787031"/>
    <n v="1479.4244218238446"/>
    <n v="141699.59391971235"/>
    <n v="102477.16778506547"/>
    <n v="1748.9975064406772"/>
    <n v="0"/>
    <n v="0"/>
    <n v="0"/>
    <n v="0"/>
    <n v="5720.6516328995212"/>
    <m/>
    <n v="726.64901507404102"/>
    <n v="3268.7416283148782"/>
    <n v="15241.659985304235"/>
    <n v="0"/>
    <n v="0"/>
    <n v="0"/>
    <n v="0"/>
    <n v="0"/>
    <n v="0"/>
    <n v="0"/>
    <n v="0"/>
    <n v="0"/>
    <n v="0"/>
    <m/>
    <n v="0"/>
    <n v="0"/>
    <n v="0"/>
    <n v="0"/>
    <n v="0"/>
    <n v="5378.1966415252955"/>
    <n v="0"/>
    <n v="273.55"/>
    <n v="2961.12"/>
    <n v="118231.86"/>
    <n v="585"/>
    <m/>
    <m/>
    <m/>
    <m/>
    <m/>
    <m/>
    <m/>
    <m/>
    <m/>
    <n v="107855.36442659076"/>
    <m/>
    <m/>
    <m/>
    <m/>
    <m/>
    <m/>
    <m/>
    <m/>
    <m/>
    <m/>
    <m/>
    <m/>
    <n v="306148.22400000005"/>
    <n v="-19613.272980000009"/>
    <m/>
    <m/>
    <m/>
    <m/>
    <n v="-32600.812379999996"/>
    <n v="12988.587180000002"/>
    <n v="31"/>
    <n v="15585.819050332328"/>
    <n v="325.72311651389009"/>
    <n v="1518.7988393618543"/>
    <n v="0"/>
    <n v="0"/>
    <n v="0"/>
    <n v="0"/>
    <n v="0"/>
    <n v="1523.3169663614726"/>
    <n v="0"/>
    <n v="0"/>
    <n v="12987.120693396762"/>
    <n v="0"/>
    <n v="0"/>
    <n v="0"/>
    <n v="681.58879100571085"/>
    <n v="0"/>
    <n v="-1257.2757876586329"/>
    <m/>
    <n v="0"/>
    <n v="0"/>
    <n v="0"/>
    <n v="0"/>
    <n v="-172.89562899656721"/>
    <n v="-20.557939652170489"/>
    <n v="0"/>
    <n v="0"/>
    <m/>
    <m/>
    <m/>
    <n v="141699.59391971235"/>
    <n v="0"/>
    <n v="0"/>
    <n v="-32600.812379999988"/>
    <n v="12988.587180000002"/>
    <n v="0"/>
    <n v="0"/>
    <n v="-35200.582718388643"/>
    <n v="0"/>
    <n v="0"/>
    <n v="0"/>
    <n v="0"/>
    <n v="0"/>
    <n v="0"/>
    <n v="0"/>
    <n v="0"/>
    <n v="0"/>
    <n v="0"/>
    <n v="0"/>
    <n v="0"/>
    <n v="9455.7047782835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01"/>
    <s v="Sistema de Compensação"/>
    <s v="Convencional"/>
    <s v="B3"/>
    <s v="Poder público"/>
    <s v="Não se aplica"/>
    <s v="Não se aplica"/>
    <s v="Não se aplica"/>
    <s v="Não se aplica"/>
    <s v="CATIVO"/>
    <x v="8"/>
    <n v="0"/>
    <n v="0"/>
    <n v="3.0979999999999999"/>
    <n v="3.0979999999999999"/>
    <n v="3.0979999999999999"/>
    <n v="3.0979999999999999"/>
    <m/>
    <n v="368.24"/>
    <n v="173.25"/>
    <m/>
    <n v="1677.53602"/>
    <n v="1677.53602"/>
    <n v="1576.5412200000001"/>
    <n v="0"/>
    <n v="190.6669775516495"/>
    <n v="0"/>
    <n v="0"/>
    <n v="7.9294467564007798"/>
    <n v="7.6184202492848607"/>
    <n v="729.69395374893838"/>
    <n v="527.71477787329968"/>
    <n v="9.0066094776167933"/>
    <n v="0"/>
    <n v="0"/>
    <n v="0"/>
    <n v="0"/>
    <n v="29.458975799154118"/>
    <m/>
    <n v="3.7419401010957061"/>
    <n v="16.832659406916022"/>
    <n v="78.488207543313564"/>
    <n v="0"/>
    <n v="0"/>
    <n v="0"/>
    <n v="0"/>
    <n v="0"/>
    <n v="0"/>
    <n v="0"/>
    <n v="0"/>
    <n v="0"/>
    <n v="0"/>
    <m/>
    <n v="0"/>
    <n v="0"/>
    <n v="0"/>
    <n v="0"/>
    <n v="0"/>
    <n v="27.695475073961465"/>
    <n v="0"/>
    <n v="1.41"/>
    <n v="15.25"/>
    <n v="776.93"/>
    <n v="2"/>
    <m/>
    <m/>
    <m/>
    <m/>
    <m/>
    <m/>
    <m/>
    <m/>
    <m/>
    <n v="555.41025294726114"/>
    <m/>
    <m/>
    <m/>
    <m/>
    <m/>
    <m/>
    <m/>
    <m/>
    <m/>
    <m/>
    <m/>
    <m/>
    <n v="1577.5590000000002"/>
    <n v="-100.00701999999978"/>
    <m/>
    <m/>
    <m/>
    <m/>
    <n v="-167.88061999999999"/>
    <n v="66.88582000000001"/>
    <n v="31"/>
    <n v="80.260483538833682"/>
    <n v="1.6773385310554687"/>
    <n v="7.8211821176509062"/>
    <n v="0"/>
    <n v="0"/>
    <n v="0"/>
    <n v="0"/>
    <n v="0"/>
    <n v="7.844448591906013"/>
    <n v="0"/>
    <n v="0"/>
    <n v="66.878268204133519"/>
    <n v="0"/>
    <n v="0"/>
    <n v="0"/>
    <n v="3.5098986947112749"/>
    <n v="0"/>
    <n v="-6.4744472095612196"/>
    <m/>
    <n v="0"/>
    <n v="0"/>
    <n v="0"/>
    <n v="0"/>
    <n v="-0.89034055510348153"/>
    <n v="-0.10586483595869689"/>
    <n v="0"/>
    <n v="0"/>
    <m/>
    <m/>
    <m/>
    <n v="729.69395374893838"/>
    <n v="0"/>
    <n v="0"/>
    <n v="-167.88062000000002"/>
    <n v="66.885820000000081"/>
    <n v="0"/>
    <n v="0"/>
    <n v="-181.26835559317954"/>
    <n v="0"/>
    <n v="0"/>
    <n v="0"/>
    <n v="0"/>
    <n v="0"/>
    <n v="0"/>
    <n v="0"/>
    <n v="0"/>
    <n v="0"/>
    <n v="0"/>
    <n v="0"/>
    <n v="0"/>
    <n v="48.69294550736631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02"/>
    <s v="Regular"/>
    <s v="Verde"/>
    <s v="A4"/>
    <s v="Poder público"/>
    <s v="Não se aplica"/>
    <s v="Não se aplica"/>
    <s v="Não se aplica"/>
    <s v="Ponta"/>
    <s v="CATIVO"/>
    <x v="8"/>
    <n v="0"/>
    <n v="0"/>
    <n v="5.157"/>
    <n v="5.157"/>
    <n v="5.157"/>
    <n v="5.157"/>
    <m/>
    <n v="1358.36"/>
    <n v="173.25"/>
    <m/>
    <n v="7898.5127699999994"/>
    <n v="7898.5127699999994"/>
    <n v="6925.4384399999999"/>
    <n v="0"/>
    <n v="276.12800349046302"/>
    <n v="0"/>
    <n v="0"/>
    <n v="97.684349546365851"/>
    <n v="93.853044885470155"/>
    <n v="5200.8742955394564"/>
    <n v="878.44580680845911"/>
    <n v="14.992603317001228"/>
    <n v="0"/>
    <n v="0"/>
    <n v="0"/>
    <n v="0"/>
    <n v="49.038069140167138"/>
    <m/>
    <n v="4.1297969075673118"/>
    <n v="207.36721005131224"/>
    <n v="966.91739377767396"/>
    <n v="0"/>
    <n v="0"/>
    <n v="0"/>
    <n v="0"/>
    <n v="0"/>
    <n v="0"/>
    <n v="0"/>
    <n v="0"/>
    <n v="0"/>
    <n v="0"/>
    <m/>
    <n v="0"/>
    <n v="0"/>
    <n v="0"/>
    <n v="0"/>
    <n v="0"/>
    <n v="38.567431998557403"/>
    <n v="0"/>
    <n v="0"/>
    <n v="0"/>
    <n v="0"/>
    <n v="0"/>
    <m/>
    <m/>
    <m/>
    <m/>
    <m/>
    <m/>
    <m/>
    <m/>
    <m/>
    <n v="917.01323880701648"/>
    <m/>
    <m/>
    <m/>
    <m/>
    <m/>
    <m/>
    <m/>
    <m/>
    <m/>
    <m/>
    <m/>
    <m/>
    <n v="6929.4671999999991"/>
    <n v="-969.07557000000088"/>
    <m/>
    <m/>
    <m/>
    <m/>
    <n v="-1084.4139599999999"/>
    <n v="111.33963000000001"/>
    <n v="31"/>
    <n v="318.89191917728158"/>
    <n v="20.6636992460991"/>
    <n v="96.351251559494472"/>
    <n v="0"/>
    <n v="0"/>
    <n v="0"/>
    <n v="0"/>
    <n v="0"/>
    <n v="96.637539241423099"/>
    <n v="0"/>
    <n v="0"/>
    <n v="111.32705911191636"/>
    <n v="0"/>
    <n v="0"/>
    <n v="0"/>
    <n v="4.8877218703992042"/>
    <n v="0"/>
    <n v="-9.3764332168962596"/>
    <m/>
    <n v="0"/>
    <n v="0"/>
    <n v="0"/>
    <n v="0"/>
    <n v="-1.4820807755547634"/>
    <n v="-0.11683785959971527"/>
    <n v="0"/>
    <n v="0"/>
    <m/>
    <m/>
    <m/>
    <n v="5200.8742955394564"/>
    <n v="0"/>
    <n v="0"/>
    <n v="-1084.4139599999999"/>
    <n v="111.33963000000006"/>
    <n v="0"/>
    <n v="0"/>
    <n v="-1291.985395186156"/>
    <n v="0"/>
    <n v="0"/>
    <n v="0"/>
    <n v="0"/>
    <n v="0"/>
    <n v="0"/>
    <n v="0"/>
    <n v="0"/>
    <n v="0"/>
    <n v="0"/>
    <n v="0"/>
    <n v="0"/>
    <n v="70.51816732856524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03"/>
    <s v="Sistema de Compensação"/>
    <s v="Verde"/>
    <s v="A4"/>
    <s v="Poder público"/>
    <s v="Não se aplica"/>
    <s v="Não se aplica"/>
    <s v="Não se aplica"/>
    <s v="Ponta"/>
    <s v="CATIVO"/>
    <x v="8"/>
    <n v="0"/>
    <n v="0"/>
    <n v="1.0089999999999999"/>
    <n v="1.0089999999999999"/>
    <n v="1.0089999999999999"/>
    <n v="1.0089999999999999"/>
    <m/>
    <n v="1358.36"/>
    <n v="173.25"/>
    <m/>
    <n v="1545.3944899999997"/>
    <n v="1545.3944899999997"/>
    <n v="1355.0062799999998"/>
    <n v="0"/>
    <n v="54.026208167903263"/>
    <n v="0"/>
    <n v="0"/>
    <n v="19.112567130557132"/>
    <n v="18.362947894015779"/>
    <n v="1017.5842862515631"/>
    <n v="171.8735348205808"/>
    <n v="2.9333986323161212"/>
    <n v="0"/>
    <n v="0"/>
    <n v="0"/>
    <n v="0"/>
    <n v="9.5946115498213373"/>
    <m/>
    <n v="0.80802115178115508"/>
    <n v="40.572719593130508"/>
    <n v="189.18356608913572"/>
    <n v="0"/>
    <n v="0"/>
    <n v="0"/>
    <n v="0"/>
    <n v="0"/>
    <n v="0"/>
    <n v="0"/>
    <n v="0"/>
    <n v="0"/>
    <n v="0"/>
    <m/>
    <n v="0"/>
    <n v="0"/>
    <n v="0"/>
    <n v="0"/>
    <n v="0"/>
    <n v="7.5459644922521649"/>
    <n v="0"/>
    <n v="0"/>
    <n v="0"/>
    <n v="0"/>
    <n v="0"/>
    <m/>
    <m/>
    <m/>
    <m/>
    <m/>
    <m/>
    <m/>
    <m/>
    <m/>
    <n v="179.41949931283295"/>
    <m/>
    <m/>
    <m/>
    <m/>
    <m/>
    <m/>
    <m/>
    <m/>
    <m/>
    <m/>
    <m/>
    <m/>
    <n v="1356.3491999999999"/>
    <n v="-189.07528999999977"/>
    <m/>
    <m/>
    <m/>
    <m/>
    <n v="-212.17251999999996"/>
    <n v="21.784310000000001"/>
    <n v="31"/>
    <n v="62.393241506666186"/>
    <n v="4.0429847855951166"/>
    <n v="18.851737991764566"/>
    <n v="0"/>
    <n v="0"/>
    <n v="0"/>
    <n v="0"/>
    <n v="0"/>
    <n v="18.907752005932888"/>
    <n v="0"/>
    <n v="0"/>
    <n v="21.781850425426342"/>
    <n v="0"/>
    <n v="0"/>
    <n v="0"/>
    <n v="0.95631401342501388"/>
    <n v="0"/>
    <n v="-1.8345590684212354"/>
    <m/>
    <n v="0"/>
    <n v="0"/>
    <n v="0"/>
    <n v="0"/>
    <n v="-0.2899785733051683"/>
    <n v="-2.2860073751427623E-2"/>
    <n v="0"/>
    <n v="0"/>
    <m/>
    <m/>
    <m/>
    <n v="1017.5842862515631"/>
    <n v="0"/>
    <n v="0"/>
    <n v="-212.17251999999985"/>
    <n v="21.784310000000005"/>
    <n v="0"/>
    <n v="0"/>
    <n v="-252.78519754563331"/>
    <n v="0"/>
    <n v="0"/>
    <n v="0"/>
    <n v="0"/>
    <n v="0"/>
    <n v="0"/>
    <n v="0"/>
    <n v="0"/>
    <n v="0"/>
    <n v="0"/>
    <n v="0"/>
    <n v="0"/>
    <n v="13.79733000475515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04"/>
    <s v="Regular"/>
    <s v="Verde"/>
    <s v="A4"/>
    <s v="Poder público"/>
    <s v="Não se aplica"/>
    <s v="Não se aplica"/>
    <s v="Não se aplica"/>
    <s v="Fora ponta"/>
    <s v="CATIVO"/>
    <x v="8"/>
    <n v="0"/>
    <n v="0"/>
    <n v="32.353000000000002"/>
    <n v="32.353000000000002"/>
    <n v="32.353000000000002"/>
    <n v="32.353000000000002"/>
    <m/>
    <n v="85.01"/>
    <n v="173.25"/>
    <m/>
    <n v="8355.4857800000009"/>
    <n v="8355.4857800000009"/>
    <n v="9015.8105100000012"/>
    <n v="0"/>
    <n v="1732.3190414828291"/>
    <n v="0"/>
    <n v="0"/>
    <n v="0"/>
    <n v="0"/>
    <n v="0"/>
    <n v="5511.0252448466317"/>
    <n v="94.057726413601074"/>
    <n v="0"/>
    <n v="0"/>
    <n v="0"/>
    <n v="0"/>
    <n v="307.645656562309"/>
    <m/>
    <n v="25.908729755773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1.95697642996464"/>
    <n v="0"/>
    <n v="0"/>
    <n v="0"/>
    <n v="0"/>
    <n v="0"/>
    <m/>
    <m/>
    <m/>
    <m/>
    <m/>
    <m/>
    <m/>
    <m/>
    <m/>
    <n v="5752.9822212765966"/>
    <m/>
    <m/>
    <m/>
    <m/>
    <m/>
    <m/>
    <m/>
    <m/>
    <m/>
    <m/>
    <m/>
    <m/>
    <n v="9014.9745000000003"/>
    <n v="659.45871999999872"/>
    <m/>
    <m/>
    <m/>
    <m/>
    <n v="-38.176540000000223"/>
    <n v="698.50127000000009"/>
    <n v="31"/>
    <n v="660.23099682983593"/>
    <n v="0"/>
    <n v="0"/>
    <n v="0"/>
    <n v="0"/>
    <n v="0"/>
    <n v="0"/>
    <n v="0"/>
    <n v="0"/>
    <n v="0"/>
    <n v="0"/>
    <n v="698.42240516731272"/>
    <n v="0"/>
    <n v="0"/>
    <n v="0"/>
    <n v="30.663654386857786"/>
    <n v="0"/>
    <n v="-58.824072884670159"/>
    <m/>
    <n v="0"/>
    <n v="0"/>
    <n v="0"/>
    <n v="0"/>
    <n v="-9.2979948286839544"/>
    <n v="-0.73299501098111008"/>
    <n v="0"/>
    <n v="0"/>
    <m/>
    <m/>
    <m/>
    <n v="0"/>
    <n v="0"/>
    <n v="0"/>
    <n v="-38.176539999999932"/>
    <n v="698.50127000000066"/>
    <n v="0"/>
    <n v="0"/>
    <n v="0"/>
    <n v="0"/>
    <n v="0"/>
    <n v="0"/>
    <n v="0"/>
    <n v="0"/>
    <n v="0"/>
    <n v="0"/>
    <n v="0"/>
    <n v="0"/>
    <n v="0"/>
    <n v="0"/>
    <n v="0"/>
    <n v="442.403387159408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05"/>
    <s v="Sistema de Compensação"/>
    <s v="Verde"/>
    <s v="A4"/>
    <s v="Poder público"/>
    <s v="Não se aplica"/>
    <s v="Não se aplica"/>
    <s v="Não se aplica"/>
    <s v="Fora ponta"/>
    <s v="CATIVO"/>
    <x v="8"/>
    <n v="0"/>
    <n v="0"/>
    <n v="5.0049999999999999"/>
    <n v="5.0049999999999999"/>
    <n v="5.0049999999999999"/>
    <n v="5.0049999999999999"/>
    <m/>
    <n v="85.01"/>
    <n v="173.25"/>
    <m/>
    <n v="1292.5913"/>
    <n v="1292.5913"/>
    <n v="1394.74335"/>
    <n v="0"/>
    <n v="267.98926846417828"/>
    <n v="0"/>
    <n v="0"/>
    <n v="0"/>
    <n v="0"/>
    <n v="0"/>
    <n v="852.55405527949154"/>
    <n v="14.550703820358956"/>
    <n v="0"/>
    <n v="0"/>
    <n v="0"/>
    <n v="0"/>
    <n v="47.592696538013676"/>
    <m/>
    <n v="4.00807320581237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43067619794062"/>
    <n v="0"/>
    <n v="0"/>
    <n v="0"/>
    <n v="0"/>
    <n v="0"/>
    <m/>
    <m/>
    <m/>
    <m/>
    <m/>
    <m/>
    <m/>
    <m/>
    <m/>
    <n v="889.98473147743221"/>
    <m/>
    <m/>
    <m/>
    <m/>
    <m/>
    <m/>
    <m/>
    <m/>
    <m/>
    <m/>
    <m/>
    <m/>
    <n v="1396.1367"/>
    <n v="103.5154"/>
    <m/>
    <m/>
    <m/>
    <m/>
    <n v="-5.9059000000000337"/>
    <n v="108.05795000000002"/>
    <n v="31"/>
    <n v="102.13754950494013"/>
    <n v="0"/>
    <n v="0"/>
    <n v="0"/>
    <n v="0"/>
    <n v="0"/>
    <n v="0"/>
    <n v="0"/>
    <n v="0"/>
    <n v="0"/>
    <n v="0"/>
    <n v="108.04574963256573"/>
    <n v="0"/>
    <n v="0"/>
    <n v="0"/>
    <n v="4.7436587088128803"/>
    <n v="0"/>
    <n v="-9.1000675296811551"/>
    <m/>
    <n v="0"/>
    <n v="0"/>
    <n v="0"/>
    <n v="0"/>
    <n v="-1.4383971847298014"/>
    <n v="-0.1133941220276462"/>
    <n v="0"/>
    <n v="0"/>
    <m/>
    <m/>
    <m/>
    <n v="0"/>
    <n v="0"/>
    <n v="0"/>
    <n v="-5.905900000000031"/>
    <n v="108.05795000000001"/>
    <n v="0"/>
    <n v="0"/>
    <n v="0"/>
    <n v="0"/>
    <n v="0"/>
    <n v="0"/>
    <n v="0"/>
    <n v="0"/>
    <n v="0"/>
    <n v="0"/>
    <n v="0"/>
    <n v="0"/>
    <n v="0"/>
    <n v="0"/>
    <n v="0"/>
    <n v="68.43967955777952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06"/>
    <s v="Regular"/>
    <s v="Verde"/>
    <s v="A4"/>
    <s v="Poder público"/>
    <s v="Não se aplica"/>
    <s v="Não se aplica"/>
    <s v="Não se aplica"/>
    <s v="Não se aplica"/>
    <s v="CATIVO"/>
    <x v="8"/>
    <n v="304"/>
    <n v="304"/>
    <n v="0"/>
    <n v="0"/>
    <n v="0"/>
    <n v="0"/>
    <n v="27.19"/>
    <m/>
    <m/>
    <n v="8265.76"/>
    <m/>
    <n v="8265.76"/>
    <n v="6615.0400000000009"/>
    <n v="0"/>
    <n v="0"/>
    <n v="0"/>
    <n v="0"/>
    <n v="70.892986481979463"/>
    <n v="68.106591168608901"/>
    <n v="7275.3371939204881"/>
    <m/>
    <m/>
    <m/>
    <n v="0"/>
    <n v="0"/>
    <n v="0"/>
    <n v="0"/>
    <m/>
    <n v="0"/>
    <n v="150.44498865150106"/>
    <n v="701.65900827549297"/>
    <n v="0"/>
    <n v="0"/>
    <m/>
    <m/>
    <n v="0"/>
    <n v="0"/>
    <n v="0"/>
    <m/>
    <m/>
    <n v="0"/>
    <m/>
    <n v="0"/>
    <n v="0"/>
    <n v="0"/>
    <n v="0"/>
    <m/>
    <n v="0"/>
    <n v="0"/>
    <n v="21.03"/>
    <n v="225.66"/>
    <n v="9458.77"/>
    <n v="5"/>
    <m/>
    <m/>
    <m/>
    <m/>
    <m/>
    <m/>
    <m/>
    <m/>
    <m/>
    <n v="0"/>
    <m/>
    <m/>
    <m/>
    <m/>
    <m/>
    <m/>
    <m/>
    <m/>
    <m/>
    <m/>
    <m/>
    <m/>
    <n v="6615.0400000000009"/>
    <n v="-1650.75"/>
    <m/>
    <m/>
    <m/>
    <m/>
    <n v="-1650.7199999999998"/>
    <n v="0"/>
    <n v="31"/>
    <n v="155.03756463733578"/>
    <n v="14.991521551590523"/>
    <n v="69.918820418780456"/>
    <n v="0"/>
    <n v="0"/>
    <m/>
    <m/>
    <m/>
    <n v="70.1272226669649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75.3371939204881"/>
    <m/>
    <n v="0"/>
    <n v="0"/>
    <n v="-1650.7199999999993"/>
    <m/>
    <n v="0"/>
    <m/>
    <n v="-1807.3171673580755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07"/>
    <s v="Sistema de Compensação"/>
    <s v="Verde"/>
    <s v="A4"/>
    <s v="Poder público"/>
    <s v="Não se aplica"/>
    <s v="Não se aplica"/>
    <s v="Não se aplica"/>
    <s v="Não se aplica"/>
    <s v="CATIVO"/>
    <x v="8"/>
    <n v="51"/>
    <n v="51"/>
    <n v="0"/>
    <n v="0"/>
    <n v="0"/>
    <n v="0"/>
    <n v="27.19"/>
    <m/>
    <m/>
    <n v="1386.69"/>
    <m/>
    <n v="1386.69"/>
    <n v="1109.76"/>
    <n v="0"/>
    <n v="0"/>
    <n v="0"/>
    <n v="0"/>
    <n v="11.893231284805765"/>
    <n v="11.425776807891625"/>
    <n v="1220.5335424011344"/>
    <m/>
    <m/>
    <m/>
    <n v="0"/>
    <n v="0"/>
    <n v="0"/>
    <n v="0"/>
    <m/>
    <n v="0"/>
    <n v="25.239126385613663"/>
    <n v="117.712530993586"/>
    <n v="0"/>
    <n v="0"/>
    <m/>
    <m/>
    <n v="0"/>
    <n v="0"/>
    <n v="0"/>
    <m/>
    <m/>
    <n v="0"/>
    <m/>
    <n v="0"/>
    <n v="0"/>
    <n v="0"/>
    <n v="0"/>
    <m/>
    <n v="0"/>
    <n v="0"/>
    <n v="3.69"/>
    <n v="39.64"/>
    <n v="1792.43"/>
    <n v="1"/>
    <m/>
    <m/>
    <m/>
    <m/>
    <m/>
    <m/>
    <m/>
    <m/>
    <m/>
    <n v="0"/>
    <m/>
    <m/>
    <m/>
    <m/>
    <m/>
    <m/>
    <m/>
    <m/>
    <m/>
    <m/>
    <m/>
    <m/>
    <n v="1109.76"/>
    <n v="-276.96000000000004"/>
    <m/>
    <m/>
    <m/>
    <m/>
    <n v="-276.93"/>
    <n v="0"/>
    <n v="31"/>
    <n v="26.009591435868828"/>
    <n v="2.5150249971418326"/>
    <n v="11.729802109729604"/>
    <n v="0"/>
    <n v="0"/>
    <m/>
    <m/>
    <m/>
    <n v="11.7647643289974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0.5335424011344"/>
    <m/>
    <n v="0"/>
    <n v="0"/>
    <n v="-276.93000000000006"/>
    <m/>
    <n v="0"/>
    <m/>
    <n v="-303.2012353133612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0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1615.191"/>
    <n v="1615.191"/>
    <n v="1615.191"/>
    <n v="1615.191"/>
    <m/>
    <n v="199.07"/>
    <n v="95.29"/>
    <m/>
    <n v="475447.62276000006"/>
    <n v="475447.62276000006"/>
    <n v="448813.12316999998"/>
    <n v="0"/>
    <n v="54673.974298335816"/>
    <n v="0"/>
    <n v="0"/>
    <n v="2273.7779437555678"/>
    <n v="2932.5130681457417"/>
    <n v="202892.80481747279"/>
    <n v="151322.81726383918"/>
    <n v="2582.6555883856527"/>
    <n v="0"/>
    <n v="0"/>
    <n v="0"/>
    <n v="0"/>
    <n v="8447.3950674649368"/>
    <m/>
    <n v="1073.0056118805282"/>
    <n v="4826.7843734873677"/>
    <n v="22506.583452727842"/>
    <n v="0"/>
    <n v="0"/>
    <n v="0"/>
    <n v="0"/>
    <n v="0"/>
    <n v="0"/>
    <n v="0"/>
    <n v="0"/>
    <n v="0"/>
    <n v="0"/>
    <m/>
    <n v="0"/>
    <n v="0"/>
    <n v="0"/>
    <n v="0"/>
    <n v="0"/>
    <n v="7941.7092137194313"/>
    <n v="0"/>
    <n v="478.31"/>
    <n v="5128.33"/>
    <n v="170943.74"/>
    <n v="67"/>
    <m/>
    <m/>
    <m/>
    <m/>
    <m/>
    <m/>
    <m/>
    <m/>
    <m/>
    <n v="159264.52647755863"/>
    <m/>
    <m/>
    <m/>
    <m/>
    <m/>
    <m/>
    <m/>
    <m/>
    <m/>
    <m/>
    <m/>
    <m/>
    <n v="448812.84530000004"/>
    <n v="-26634.80746000004"/>
    <m/>
    <m/>
    <m/>
    <m/>
    <n v="-45806.81675999998"/>
    <n v="19172.317169999984"/>
    <n v="31"/>
    <n v="23784.897812582145"/>
    <n v="480.97874584336023"/>
    <n v="2242.7329345335129"/>
    <n v="0"/>
    <n v="0"/>
    <n v="0"/>
    <n v="0"/>
    <n v="0"/>
    <n v="3019.5168099739844"/>
    <n v="0"/>
    <n v="0"/>
    <n v="19177.42004338163"/>
    <n v="0"/>
    <n v="0"/>
    <n v="0"/>
    <n v="1006.4674727033753"/>
    <n v="0"/>
    <n v="-1856.5551564143461"/>
    <m/>
    <n v="0"/>
    <n v="0"/>
    <n v="0"/>
    <n v="0"/>
    <n v="-255.30617441767936"/>
    <n v="-30.356863021732579"/>
    <n v="0"/>
    <n v="0"/>
    <m/>
    <m/>
    <m/>
    <n v="202892.80481747279"/>
    <n v="0"/>
    <n v="0"/>
    <n v="-45806.816760000016"/>
    <n v="19172.317169999966"/>
    <n v="0"/>
    <n v="0"/>
    <n v="-50402.014299278264"/>
    <n v="0"/>
    <n v="0"/>
    <n v="0"/>
    <n v="0"/>
    <n v="0"/>
    <n v="0"/>
    <n v="0"/>
    <n v="0"/>
    <n v="0"/>
    <n v="0"/>
    <n v="0"/>
    <n v="0"/>
    <n v="13962.75792151186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0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639.76700000000005"/>
    <n v="601.38098000000002"/>
    <n v="639.76700000000005"/>
    <n v="601.38098000000002"/>
    <m/>
    <n v="368.24"/>
    <n v="173.25"/>
    <m/>
    <n v="346427.43283000001"/>
    <n v="346427.43283000001"/>
    <n v="325571.02863000002"/>
    <n v="0"/>
    <n v="39374.577219911604"/>
    <n v="0"/>
    <n v="0"/>
    <n v="1637.5075413177076"/>
    <n v="1573.2775557211839"/>
    <n v="150688.8675623296"/>
    <n v="108978.21184495396"/>
    <n v="1859.9520741337842"/>
    <n v="0"/>
    <n v="0"/>
    <n v="0"/>
    <n v="0"/>
    <n v="6083.563773433646"/>
    <m/>
    <n v="772.74686657769428"/>
    <n v="3476.1071693945914"/>
    <n v="16208.574911350255"/>
    <n v="0"/>
    <n v="0"/>
    <n v="0"/>
    <n v="0"/>
    <n v="0"/>
    <n v="0"/>
    <n v="0"/>
    <n v="0"/>
    <n v="0"/>
    <n v="0"/>
    <m/>
    <n v="0"/>
    <n v="0"/>
    <n v="0"/>
    <n v="0"/>
    <n v="0"/>
    <n v="5719.3837965277944"/>
    <n v="0"/>
    <n v="279.14"/>
    <n v="3001.2"/>
    <n v="139951.67999999999"/>
    <n v="201"/>
    <m/>
    <m/>
    <m/>
    <m/>
    <n v="19534.261717800015"/>
    <m/>
    <m/>
    <m/>
    <m/>
    <n v="114697.59564148175"/>
    <m/>
    <m/>
    <m/>
    <m/>
    <m/>
    <m/>
    <m/>
    <m/>
    <m/>
    <m/>
    <m/>
    <m/>
    <n v="306036.26819999999"/>
    <n v="-19605.548660200031"/>
    <m/>
    <m/>
    <m/>
    <m/>
    <n v="-34668.973729999998"/>
    <n v="13812.569530000002"/>
    <n v="31"/>
    <n v="16574.567066555552"/>
    <n v="346.38664945053688"/>
    <n v="1615.1498450171621"/>
    <n v="0"/>
    <n v="0"/>
    <n v="0"/>
    <n v="0"/>
    <n v="0"/>
    <n v="1619.954597255628"/>
    <n v="0"/>
    <n v="0"/>
    <n v="13811.010011024511"/>
    <n v="0"/>
    <n v="0"/>
    <n v="0"/>
    <n v="724.82806914762659"/>
    <n v="0"/>
    <n v="-1337.0360451644083"/>
    <m/>
    <n v="0"/>
    <n v="0"/>
    <n v="0"/>
    <n v="0"/>
    <n v="-183.86394639021637"/>
    <n v="-21.862113785276847"/>
    <n v="0"/>
    <n v="0"/>
    <m/>
    <m/>
    <m/>
    <n v="150688.8675623296"/>
    <n v="0"/>
    <n v="0"/>
    <n v="-34668.973729999998"/>
    <n v="13812.569530000008"/>
    <n v="0"/>
    <n v="0"/>
    <n v="-37433.670772363359"/>
    <n v="0"/>
    <n v="0"/>
    <n v="0"/>
    <n v="0"/>
    <n v="0"/>
    <n v="0"/>
    <n v="0"/>
    <n v="0"/>
    <n v="0"/>
    <n v="0"/>
    <n v="0"/>
    <n v="0"/>
    <n v="10055.56477353493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0"/>
    <s v="Regular"/>
    <s v="Azul"/>
    <s v="A4"/>
    <s v="Serviço público"/>
    <s v="Água, esgoto e saneamento"/>
    <s v="Não se aplica"/>
    <s v="Não se aplica"/>
    <s v="Ponta"/>
    <s v="CATIVO"/>
    <x v="8"/>
    <n v="65"/>
    <n v="61.1"/>
    <n v="3.6739999999999999"/>
    <n v="3.45356"/>
    <n v="3.6739999999999999"/>
    <n v="3.45356"/>
    <n v="52.95"/>
    <n v="85.01"/>
    <n v="173.25"/>
    <n v="3441.75"/>
    <n v="948.84724000000006"/>
    <n v="4390.5972400000001"/>
    <n v="3900.08358"/>
    <n v="0"/>
    <n v="196.7217926748034"/>
    <n v="0"/>
    <n v="0"/>
    <n v="51.198306474712865"/>
    <n v="49.188863943031343"/>
    <n v="2725.6914092779475"/>
    <n v="625.83088893043998"/>
    <n v="10.681175991208553"/>
    <n v="0"/>
    <n v="0"/>
    <n v="0"/>
    <n v="0"/>
    <n v="34.936177238893556"/>
    <m/>
    <n v="2.9421900016293003"/>
    <n v="108.68330737188015"/>
    <n v="506.76761947441048"/>
    <n v="0"/>
    <n v="0"/>
    <n v="0"/>
    <n v="0"/>
    <n v="0"/>
    <n v="0"/>
    <n v="0"/>
    <n v="0"/>
    <n v="0"/>
    <n v="0"/>
    <m/>
    <n v="0"/>
    <n v="0"/>
    <n v="0"/>
    <n v="0"/>
    <n v="0"/>
    <n v="27.476584285960808"/>
    <n v="0"/>
    <n v="0"/>
    <n v="0"/>
    <n v="0"/>
    <n v="0"/>
    <m/>
    <m/>
    <m/>
    <m/>
    <n v="234.00501479999991"/>
    <m/>
    <m/>
    <m/>
    <m/>
    <n v="653.30747321640081"/>
    <m/>
    <m/>
    <m/>
    <m/>
    <m/>
    <m/>
    <m/>
    <m/>
    <m/>
    <m/>
    <m/>
    <m/>
    <n v="3665.0865000000003"/>
    <n v="-462.10490560000108"/>
    <m/>
    <m/>
    <m/>
    <m/>
    <n v="-569.83532000000025"/>
    <n v="79.321660000000008"/>
    <n v="31"/>
    <n v="186.95229681820547"/>
    <n v="10.830059275274195"/>
    <n v="50.498310093914142"/>
    <n v="0"/>
    <n v="0"/>
    <n v="0"/>
    <n v="0"/>
    <n v="0"/>
    <n v="50.648231768467902"/>
    <n v="0"/>
    <n v="0"/>
    <n v="79.312704125883329"/>
    <n v="0"/>
    <n v="0"/>
    <n v="0"/>
    <n v="3.4821582609747281"/>
    <n v="0"/>
    <n v="-6.6800495712384702"/>
    <m/>
    <n v="0"/>
    <n v="0"/>
    <n v="0"/>
    <n v="0"/>
    <n v="-1.0558783729664967"/>
    <n v="-8.323876210381087E-2"/>
    <n v="0"/>
    <n v="0"/>
    <m/>
    <m/>
    <n v="2725.6914092779475"/>
    <n v="0"/>
    <n v="0"/>
    <n v="0"/>
    <n v="-569.83532000000014"/>
    <n v="79.321660000000065"/>
    <n v="0"/>
    <n v="0"/>
    <n v="-677.10798078540483"/>
    <n v="0"/>
    <n v="0"/>
    <n v="0"/>
    <n v="0"/>
    <n v="0"/>
    <n v="0"/>
    <n v="0"/>
    <n v="0"/>
    <n v="0"/>
    <n v="0"/>
    <n v="0"/>
    <n v="0"/>
    <n v="50.23923730175464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1"/>
    <s v="Regular"/>
    <s v="Azul"/>
    <s v="A4"/>
    <s v="Serviço público"/>
    <s v="Água, esgoto e saneamento"/>
    <s v="Não se aplica"/>
    <s v="Não se aplica"/>
    <s v="Fora ponta"/>
    <s v="CATIVO"/>
    <x v="8"/>
    <n v="78"/>
    <n v="73.319999999999993"/>
    <n v="24.161999999999999"/>
    <n v="22.71228"/>
    <n v="24.161999999999999"/>
    <n v="22.71228"/>
    <n v="27.19"/>
    <n v="85.01"/>
    <n v="173.25"/>
    <n v="2120.8200000000002"/>
    <n v="6240.0781200000001"/>
    <n v="8360.8981200000017"/>
    <n v="8430.5045399999999"/>
    <n v="0"/>
    <n v="1293.7376033229721"/>
    <n v="0"/>
    <n v="0"/>
    <n v="18.189647847349992"/>
    <n v="17.474717470893072"/>
    <n v="1866.698358966441"/>
    <n v="4115.7664502823327"/>
    <n v="70.244576564937688"/>
    <n v="0"/>
    <n v="0"/>
    <n v="0"/>
    <n v="0"/>
    <n v="229.75718956073655"/>
    <m/>
    <n v="19.349263696071628"/>
    <n v="38.601016825056192"/>
    <n v="180.03092975489622"/>
    <n v="0"/>
    <n v="0"/>
    <n v="0"/>
    <n v="0"/>
    <n v="0"/>
    <n v="0"/>
    <n v="0"/>
    <n v="0"/>
    <n v="0"/>
    <n v="0"/>
    <m/>
    <n v="0"/>
    <n v="0"/>
    <n v="0"/>
    <n v="0"/>
    <n v="0"/>
    <n v="180.6993003585697"/>
    <n v="0"/>
    <n v="0"/>
    <n v="0"/>
    <n v="0"/>
    <n v="0"/>
    <m/>
    <m/>
    <m/>
    <m/>
    <n v="505.83027239999996"/>
    <m/>
    <m/>
    <m/>
    <m/>
    <n v="4296.4657506409021"/>
    <m/>
    <m/>
    <m/>
    <m/>
    <m/>
    <m/>
    <m/>
    <m/>
    <m/>
    <m/>
    <m/>
    <m/>
    <n v="7924.0389000000005"/>
    <n v="64.764667200000076"/>
    <m/>
    <m/>
    <m/>
    <m/>
    <n v="-452.05116000000015"/>
    <n v="521.65758000000005"/>
    <n v="31"/>
    <n v="532.85579294707441"/>
    <n v="3.8465088191580961"/>
    <n v="17.939697344292341"/>
    <n v="0"/>
    <n v="0"/>
    <n v="0"/>
    <n v="0"/>
    <n v="0"/>
    <n v="17.993168973760735"/>
    <n v="0"/>
    <n v="0"/>
    <n v="521.59868184256811"/>
    <n v="0"/>
    <n v="0"/>
    <n v="0"/>
    <n v="22.900355988478879"/>
    <n v="0"/>
    <n v="-43.931235095335978"/>
    <m/>
    <n v="0"/>
    <n v="0"/>
    <n v="0"/>
    <n v="0"/>
    <n v="-6.9439665888994"/>
    <n v="-0.54741833694945186"/>
    <n v="0"/>
    <n v="0"/>
    <m/>
    <m/>
    <n v="1866.698358966441"/>
    <n v="0"/>
    <n v="0"/>
    <n v="0"/>
    <n v="-452.05116000000089"/>
    <n v="521.65758000000005"/>
    <n v="0"/>
    <n v="0"/>
    <n v="-463.71953636161152"/>
    <n v="0"/>
    <n v="0"/>
    <n v="0"/>
    <n v="0"/>
    <n v="0"/>
    <n v="0"/>
    <n v="0"/>
    <n v="0"/>
    <n v="0"/>
    <n v="0"/>
    <n v="0"/>
    <n v="0"/>
    <n v="330.397509985028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2"/>
    <s v="Regular"/>
    <s v="Azul"/>
    <s v="A4"/>
    <s v="Serviço público"/>
    <s v="Água, esgoto e saneamento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35"/>
    <n v="121.55"/>
    <n v="5618.1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1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20.754000000000001"/>
    <n v="20.754000000000001"/>
    <n v="20.754000000000001"/>
    <n v="20.754000000000001"/>
    <m/>
    <n v="368.24"/>
    <n v="173.25"/>
    <m/>
    <n v="11238.083460000002"/>
    <n v="11238.083460000002"/>
    <n v="10561.503060000001"/>
    <n v="0"/>
    <n v="1277.3087321197333"/>
    <n v="0"/>
    <n v="0"/>
    <n v="53.120638470736537"/>
    <n v="51.037021902407361"/>
    <n v="4888.3370936428237"/>
    <n v="3535.2461265275861"/>
    <n v="60.33672469285311"/>
    <n v="0"/>
    <n v="0"/>
    <n v="0"/>
    <n v="0"/>
    <n v="197.35041437561156"/>
    <m/>
    <n v="25.067858249883891"/>
    <n v="112.76469119791322"/>
    <n v="525.80511922334722"/>
    <n v="0"/>
    <n v="0"/>
    <n v="0"/>
    <n v="0"/>
    <n v="0"/>
    <n v="0"/>
    <n v="0"/>
    <n v="0"/>
    <n v="0"/>
    <n v="0"/>
    <m/>
    <n v="0"/>
    <n v="0"/>
    <n v="0"/>
    <n v="0"/>
    <n v="0"/>
    <n v="185.53643953679676"/>
    <n v="0"/>
    <n v="9.52"/>
    <n v="102.15"/>
    <n v="4540.04"/>
    <n v="5"/>
    <m/>
    <m/>
    <m/>
    <m/>
    <m/>
    <m/>
    <m/>
    <m/>
    <m/>
    <n v="3720.782566064383"/>
    <m/>
    <m/>
    <m/>
    <m/>
    <m/>
    <m/>
    <m/>
    <m/>
    <m/>
    <m/>
    <m/>
    <m/>
    <n v="10559.467500000001"/>
    <n v="-678.64596000000165"/>
    <m/>
    <m/>
    <m/>
    <m/>
    <n v="-1124.6592600000001"/>
    <n v="448.07886000000008"/>
    <n v="31"/>
    <n v="537.67788100870166"/>
    <n v="11.236760449814454"/>
    <n v="52.395356252332817"/>
    <n v="0"/>
    <n v="0"/>
    <n v="0"/>
    <n v="0"/>
    <n v="0"/>
    <n v="52.551222103427193"/>
    <n v="0"/>
    <n v="0"/>
    <n v="448.02826930554829"/>
    <n v="0"/>
    <n v="0"/>
    <n v="0"/>
    <n v="23.513375568120637"/>
    <n v="0"/>
    <n v="-43.373362616924851"/>
    <m/>
    <n v="0"/>
    <n v="0"/>
    <n v="0"/>
    <n v="0"/>
    <n v="-5.9645344998765779"/>
    <n v="-0.70920555374009098"/>
    <n v="0"/>
    <n v="0"/>
    <m/>
    <m/>
    <m/>
    <n v="4888.3370936428237"/>
    <n v="0"/>
    <n v="0"/>
    <n v="-1124.6592599999994"/>
    <n v="448.07886000000008"/>
    <n v="0"/>
    <n v="0"/>
    <n v="-1214.345852802081"/>
    <n v="0"/>
    <n v="0"/>
    <n v="0"/>
    <n v="0"/>
    <n v="0"/>
    <n v="0"/>
    <n v="0"/>
    <n v="0"/>
    <n v="0"/>
    <n v="0"/>
    <n v="0"/>
    <n v="0"/>
    <n v="326.2018692898258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4"/>
    <s v="Sistema de Compensação"/>
    <s v="Convencional"/>
    <s v="B3"/>
    <s v="Consumo próprio"/>
    <s v="Não se aplica"/>
    <s v="Não se aplica"/>
    <s v="Não se aplica"/>
    <s v="Não se aplica"/>
    <s v="CATIVO"/>
    <x v="8"/>
    <n v="0"/>
    <n v="0"/>
    <n v="4.7560000000000002"/>
    <n v="4.7560000000000002"/>
    <n v="4.7560000000000002"/>
    <n v="4.7560000000000002"/>
    <m/>
    <n v="368.24"/>
    <n v="173.25"/>
    <m/>
    <n v="2575.3264400000003"/>
    <n v="2575.3264400000003"/>
    <n v="2420.2808400000004"/>
    <n v="0"/>
    <n v="292.70889129620565"/>
    <n v="0"/>
    <n v="0"/>
    <n v="12.173159707373181"/>
    <n v="11.695676793285603"/>
    <n v="1120.2144751549229"/>
    <n v="810.13927810374867"/>
    <n v="13.826802671254187"/>
    <n v="0"/>
    <n v="0"/>
    <n v="0"/>
    <n v="0"/>
    <n v="45.224947998959649"/>
    <m/>
    <n v="5.7445665335090963"/>
    <n v="25.841229225078312"/>
    <n v="120.49383959845039"/>
    <n v="0"/>
    <n v="0"/>
    <n v="0"/>
    <n v="0"/>
    <n v="0"/>
    <n v="0"/>
    <n v="0"/>
    <n v="0"/>
    <n v="0"/>
    <n v="0"/>
    <m/>
    <n v="0"/>
    <n v="0"/>
    <n v="0"/>
    <n v="0"/>
    <n v="0"/>
    <n v="42.517649919871126"/>
    <n v="0"/>
    <n v="2.1800000000000002"/>
    <n v="23.41"/>
    <n v="1078.29"/>
    <n v="1"/>
    <m/>
    <m/>
    <m/>
    <m/>
    <m/>
    <m/>
    <m/>
    <m/>
    <m/>
    <n v="852.6569280236198"/>
    <m/>
    <m/>
    <m/>
    <m/>
    <m/>
    <m/>
    <m/>
    <m/>
    <m/>
    <m/>
    <m/>
    <m/>
    <n v="2422.3163999999997"/>
    <n v="-153.04004000000077"/>
    <m/>
    <m/>
    <m/>
    <m/>
    <n v="-257.72764000000001"/>
    <n v="102.68204000000001"/>
    <n v="31"/>
    <n v="123.2146093320514"/>
    <n v="2.5750232581342196"/>
    <n v="12.006953567316884"/>
    <n v="0"/>
    <n v="0"/>
    <n v="0"/>
    <n v="0"/>
    <n v="0"/>
    <n v="12.042671886089416"/>
    <n v="0"/>
    <n v="0"/>
    <n v="102.67044660389263"/>
    <n v="0"/>
    <n v="0"/>
    <n v="0"/>
    <n v="5.3883402814870252"/>
    <n v="0"/>
    <n v="-9.9394676980869008"/>
    <m/>
    <n v="0"/>
    <n v="0"/>
    <n v="0"/>
    <n v="0"/>
    <n v="-1.3668365655494341"/>
    <n v="-0.16252200123291249"/>
    <n v="0"/>
    <n v="0"/>
    <m/>
    <m/>
    <m/>
    <n v="1120.2144751549229"/>
    <n v="0"/>
    <n v="0"/>
    <n v="-257.72764000000006"/>
    <n v="102.68203999999992"/>
    <n v="0"/>
    <n v="0"/>
    <n v="-278.28027734059447"/>
    <n v="0"/>
    <n v="0"/>
    <n v="0"/>
    <n v="0"/>
    <n v="0"/>
    <n v="0"/>
    <n v="0"/>
    <n v="0"/>
    <n v="0"/>
    <n v="0"/>
    <n v="0"/>
    <n v="0"/>
    <n v="74.75263035281929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5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8000000000000003"/>
    <n v="3.04"/>
    <n v="35.76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16"/>
    <s v="Regular"/>
    <s v="Convencional"/>
    <s v="B2"/>
    <s v="Rural"/>
    <s v="Agropecuária rural"/>
    <s v="IRRIG./AQUIC."/>
    <s v="Não se aplica"/>
    <s v="Não se aplica"/>
    <s v="CATIVO"/>
    <x v="8"/>
    <n v="0"/>
    <n v="0"/>
    <n v="0.52200000000000002"/>
    <n v="0.52200000000000002"/>
    <n v="0.52200000000000002"/>
    <n v="0.52200000000000002"/>
    <m/>
    <n v="368.24"/>
    <n v="173.25"/>
    <m/>
    <n v="282.65778"/>
    <n v="282.65778"/>
    <n v="265.64058"/>
    <n v="0"/>
    <n v="32.126585630071347"/>
    <n v="0"/>
    <n v="0"/>
    <n v="1.3360785044677881"/>
    <n v="1.283671843165493"/>
    <n v="122.95036922432081"/>
    <n v="88.917725645533395"/>
    <n v="1.5175759029425326"/>
    <n v="0"/>
    <n v="0"/>
    <n v="0"/>
    <n v="0"/>
    <n v="4.9637138047638638"/>
    <m/>
    <n v="0.63050120489733985"/>
    <n v="2.8362324759232291"/>
    <n v="13.224933614464067"/>
    <n v="0"/>
    <n v="0"/>
    <n v="0"/>
    <n v="0"/>
    <n v="0"/>
    <n v="0"/>
    <n v="0"/>
    <n v="0"/>
    <n v="0"/>
    <n v="0"/>
    <m/>
    <n v="0"/>
    <n v="0"/>
    <n v="0"/>
    <n v="0"/>
    <n v="0"/>
    <n v="4.6665713326687817"/>
    <n v="0"/>
    <n v="0"/>
    <n v="0"/>
    <n v="0"/>
    <n v="0"/>
    <m/>
    <m/>
    <m/>
    <m/>
    <m/>
    <n v="31.873320000000003"/>
    <m/>
    <m/>
    <m/>
    <n v="93.584296978202175"/>
    <m/>
    <m/>
    <m/>
    <m/>
    <m/>
    <m/>
    <m/>
    <m/>
    <m/>
    <m/>
    <m/>
    <m/>
    <n v="232.8716"/>
    <n v="-15.896619999999984"/>
    <m/>
    <m/>
    <m/>
    <m/>
    <n v="-28.287179999999999"/>
    <n v="11.269980000000002"/>
    <n v="31"/>
    <n v="13.523554682786084"/>
    <n v="0.28262450394156069"/>
    <n v="1.3178363671445368"/>
    <n v="0"/>
    <n v="0"/>
    <n v="0"/>
    <n v="0"/>
    <n v="0"/>
    <n v="1.3217566704244481"/>
    <n v="0"/>
    <n v="0"/>
    <n v="11.268707554085765"/>
    <n v="0"/>
    <n v="0"/>
    <n v="0"/>
    <n v="0.5914032016266253"/>
    <n v="0"/>
    <n v="-1.0909171863753855"/>
    <m/>
    <n v="0"/>
    <n v="0"/>
    <n v="0"/>
    <n v="0"/>
    <n v="-0.15001864743835291"/>
    <n v="-1.7837780623124577E-2"/>
    <n v="0"/>
    <n v="0"/>
    <m/>
    <m/>
    <m/>
    <n v="122.95036922432081"/>
    <n v="0"/>
    <n v="0"/>
    <n v="-28.287180000000006"/>
    <n v="11.26997999999999"/>
    <n v="0"/>
    <n v="0"/>
    <n v="-30.542957269089641"/>
    <n v="0"/>
    <n v="0"/>
    <n v="0"/>
    <n v="0"/>
    <n v="0"/>
    <n v="0"/>
    <n v="0"/>
    <n v="0"/>
    <n v="0"/>
    <n v="0"/>
    <n v="0"/>
    <n v="0"/>
    <n v="8.204556989943581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7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41399999999999998"/>
    <n v="0.1656"/>
    <n v="0.41399999999999998"/>
    <n v="0.1656"/>
    <m/>
    <n v="368.24"/>
    <n v="173.25"/>
    <m/>
    <n v="224.17685999999998"/>
    <n v="224.17685999999998"/>
    <n v="210.68045999999998"/>
    <n v="0"/>
    <n v="25.479705844539343"/>
    <n v="0"/>
    <n v="0"/>
    <n v="1.0596484690606593"/>
    <n v="1.0180845652691841"/>
    <n v="97.512361798599258"/>
    <n v="70.520954822319581"/>
    <n v="1.2035946816440775"/>
    <n v="0"/>
    <n v="0"/>
    <n v="0"/>
    <n v="0"/>
    <n v="3.9367385348127195"/>
    <m/>
    <n v="0.50005267974616596"/>
    <n v="2.2494257567666986"/>
    <n v="10.488740452850811"/>
    <n v="0"/>
    <n v="0"/>
    <n v="0"/>
    <n v="0"/>
    <n v="0"/>
    <n v="0"/>
    <n v="0"/>
    <n v="0"/>
    <n v="0"/>
    <n v="0"/>
    <m/>
    <n v="0"/>
    <n v="0"/>
    <n v="0"/>
    <n v="0"/>
    <n v="0"/>
    <n v="3.7010738155648957"/>
    <n v="0"/>
    <n v="0"/>
    <n v="0"/>
    <n v="0"/>
    <n v="0"/>
    <m/>
    <m/>
    <m/>
    <m/>
    <m/>
    <m/>
    <n v="136.519812"/>
    <m/>
    <m/>
    <n v="74.222028637884478"/>
    <m/>
    <m/>
    <m/>
    <m/>
    <m/>
    <m/>
    <m/>
    <m/>
    <m/>
    <m/>
    <m/>
    <m/>
    <n v="76.131100000000004"/>
    <n v="-2.8089559999999949"/>
    <m/>
    <m/>
    <m/>
    <m/>
    <n v="-22.434659999999997"/>
    <n v="8.9382600000000014"/>
    <n v="31"/>
    <n v="10.725577851864827"/>
    <n v="0.22415046864330668"/>
    <n v="1.0451805670456675"/>
    <n v="0"/>
    <n v="0"/>
    <n v="0"/>
    <n v="0"/>
    <n v="0"/>
    <n v="1.0482897730952516"/>
    <n v="0"/>
    <n v="0"/>
    <n v="8.9372508187576756"/>
    <n v="0"/>
    <n v="0"/>
    <n v="0"/>
    <n v="0.46904391853146077"/>
    <n v="0"/>
    <n v="-0.8652101822977194"/>
    <m/>
    <n v="0"/>
    <n v="0"/>
    <n v="0"/>
    <n v="0"/>
    <n v="-0.11898030658903869"/>
    <n v="-1.414720532178837E-2"/>
    <n v="0"/>
    <n v="0"/>
    <m/>
    <m/>
    <m/>
    <n v="97.512361798599258"/>
    <n v="0"/>
    <n v="0"/>
    <n v="-22.434660000000008"/>
    <n v="8.9382599999999996"/>
    <n v="0"/>
    <n v="0"/>
    <n v="-24.22372473065731"/>
    <n v="0"/>
    <n v="0"/>
    <n v="0"/>
    <n v="0"/>
    <n v="0"/>
    <n v="0"/>
    <n v="0"/>
    <n v="0"/>
    <n v="0"/>
    <n v="0"/>
    <n v="0"/>
    <n v="0"/>
    <n v="6.50706244030008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8"/>
    <s v="Regular"/>
    <s v="Convencional"/>
    <s v="B1"/>
    <s v="Residencial"/>
    <s v="Residencial"/>
    <s v="Não se aplica"/>
    <s v="Não se aplica"/>
    <s v="Não se aplica"/>
    <s v="CATIVO"/>
    <x v="9"/>
    <n v="0"/>
    <n v="0"/>
    <n v="8348.2999999999993"/>
    <n v="8348.2999999999993"/>
    <n v="8348.2999999999993"/>
    <n v="8348.2999999999993"/>
    <m/>
    <n v="368.24"/>
    <n v="173.25"/>
    <m/>
    <n v="4520520.9669999992"/>
    <n v="4520520.9669999992"/>
    <n v="4248366.3870000001"/>
    <n v="0"/>
    <n v="513797.65290330385"/>
    <n v="0"/>
    <n v="0"/>
    <n v="21367.785783234547"/>
    <n v="20529.650667238475"/>
    <n v="1966334.420297696"/>
    <n v="1422053.3505873685"/>
    <n v="24270.457683017517"/>
    <n v="0"/>
    <n v="0"/>
    <n v="0"/>
    <n v="0"/>
    <n v="79384.237464195714"/>
    <m/>
    <n v="10083.550208514294"/>
    <n v="45359.616051245001"/>
    <n v="211505.19788051792"/>
    <n v="0"/>
    <n v="0"/>
    <n v="0"/>
    <n v="0"/>
    <n v="0"/>
    <n v="0"/>
    <n v="0"/>
    <n v="0"/>
    <n v="0"/>
    <n v="0"/>
    <m/>
    <n v="0"/>
    <n v="0"/>
    <n v="0"/>
    <n v="0"/>
    <n v="0"/>
    <n v="74632.064092947869"/>
    <n v="0"/>
    <n v="3505.15"/>
    <n v="39956.36"/>
    <n v="1755318.63"/>
    <n v="45673"/>
    <m/>
    <m/>
    <m/>
    <m/>
    <m/>
    <m/>
    <m/>
    <m/>
    <m/>
    <n v="1496685.4146803163"/>
    <m/>
    <m/>
    <m/>
    <m/>
    <m/>
    <m/>
    <m/>
    <m/>
    <m/>
    <m/>
    <m/>
    <m/>
    <n v="4248366.3870000001"/>
    <n v="-272154.60999999847"/>
    <m/>
    <m/>
    <m/>
    <m/>
    <n v="-452394.37699999992"/>
    <n v="180239.79700000002"/>
    <n v="30"/>
    <n v="216281.01831092453"/>
    <n v="4519.9887859297523"/>
    <n v="21076.040888568474"/>
    <n v="0"/>
    <n v="0"/>
    <n v="0"/>
    <n v="0"/>
    <n v="0"/>
    <n v="21138.737953456741"/>
    <n v="0"/>
    <n v="0"/>
    <n v="180219.44688462489"/>
    <n v="0"/>
    <n v="0"/>
    <n v="0"/>
    <n v="9458.2592876236595"/>
    <n v="0"/>
    <n v="-17446.942427236878"/>
    <m/>
    <n v="0"/>
    <n v="0"/>
    <n v="0"/>
    <n v="0"/>
    <n v="-2399.2350084475183"/>
    <n v="-285.27805359392914"/>
    <n v="0"/>
    <n v="0"/>
    <m/>
    <m/>
    <m/>
    <n v="1966334.420297696"/>
    <n v="0"/>
    <n v="0"/>
    <n v="-452394.37699999986"/>
    <n v="180239.79700000002"/>
    <n v="0"/>
    <n v="0"/>
    <n v="-488470.82407958061"/>
    <n v="0"/>
    <n v="0"/>
    <n v="0"/>
    <n v="0"/>
    <n v="0"/>
    <n v="0"/>
    <n v="0"/>
    <n v="0"/>
    <n v="0"/>
    <n v="0"/>
    <n v="0"/>
    <n v="0"/>
    <n v="131214.7569332298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19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2.8730000000000002"/>
    <n v="-2.8730000000000002"/>
    <n v="-2.8730000000000002"/>
    <n v="-2.8730000000000002"/>
    <m/>
    <n v="368.24"/>
    <n v="173.25"/>
    <m/>
    <n v="-1555.7007700000001"/>
    <n v="-1555.7007700000001"/>
    <n v="-1462.04097"/>
    <n v="0"/>
    <n v="-176.81931133179117"/>
    <n v="0"/>
    <n v="0"/>
    <n v="-7.3535508493025965"/>
    <n v="-7.0651134203342183"/>
    <n v="-676.69810494535193"/>
    <n v="-489.38817199160428"/>
    <n v="-8.3524819332450129"/>
    <n v="0"/>
    <n v="0"/>
    <n v="0"/>
    <n v="0"/>
    <n v="-27.319443986755903"/>
    <m/>
    <n v="-3.4701723403640945"/>
    <n v="-15.610145408673253"/>
    <n v="-72.787805123285949"/>
    <n v="0"/>
    <n v="0"/>
    <n v="0"/>
    <n v="0"/>
    <n v="0"/>
    <n v="0"/>
    <n v="0"/>
    <n v="0"/>
    <n v="0"/>
    <n v="0"/>
    <m/>
    <n v="0"/>
    <n v="0"/>
    <n v="0"/>
    <n v="0"/>
    <n v="0"/>
    <n v="-25.684021913328372"/>
    <n v="0"/>
    <n v="-1.28"/>
    <n v="-13.18"/>
    <n v="-655.29"/>
    <n v="0"/>
    <m/>
    <m/>
    <m/>
    <m/>
    <m/>
    <m/>
    <m/>
    <m/>
    <m/>
    <n v="-515.07219390493265"/>
    <m/>
    <m/>
    <m/>
    <m/>
    <m/>
    <m/>
    <m/>
    <m/>
    <m/>
    <m/>
    <m/>
    <m/>
    <n v="-1460.5143000000003"/>
    <n v="95.156469999999899"/>
    <m/>
    <m/>
    <m/>
    <m/>
    <n v="155.68787"/>
    <n v="-62.028070000000014"/>
    <n v="30"/>
    <n v="-74.431365141081301"/>
    <n v="-1.5555176241841071"/>
    <n v="-7.2531492007782674"/>
    <n v="0"/>
    <n v="0"/>
    <n v="0"/>
    <n v="0"/>
    <n v="0"/>
    <n v="-7.2747258891368558"/>
    <n v="0"/>
    <n v="0"/>
    <n v="-62.02106667220005"/>
    <n v="0"/>
    <n v="0"/>
    <n v="0"/>
    <n v="-3.2549835215963476"/>
    <n v="0"/>
    <n v="6.0042242843994131"/>
    <m/>
    <n v="0"/>
    <n v="0"/>
    <n v="0"/>
    <n v="0"/>
    <n v="0.82567734500074152"/>
    <n v="9.8176137414246689E-2"/>
    <n v="0"/>
    <n v="0"/>
    <m/>
    <m/>
    <m/>
    <n v="-676.69810494535193"/>
    <n v="0"/>
    <n v="0"/>
    <n v="155.68786999999998"/>
    <n v="-62.028070000000014"/>
    <n v="0"/>
    <n v="0"/>
    <n v="168.10328780477886"/>
    <n v="0"/>
    <n v="0"/>
    <n v="0"/>
    <n v="0"/>
    <n v="0"/>
    <n v="0"/>
    <n v="0"/>
    <n v="0"/>
    <n v="0"/>
    <n v="0"/>
    <n v="0"/>
    <n v="0"/>
    <n v="-45.15649852894235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0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168.22800000000001"/>
    <n v="168.22800000000001"/>
    <n v="168.22800000000001"/>
    <n v="168.22800000000001"/>
    <m/>
    <n v="368.24"/>
    <n v="173.25"/>
    <m/>
    <n v="91093.779720000006"/>
    <n v="91093.779720000006"/>
    <n v="85609.546919999993"/>
    <n v="0"/>
    <n v="10353.623079263683"/>
    <n v="0"/>
    <n v="0"/>
    <n v="430.58585181917061"/>
    <n v="413.69644986981717"/>
    <n v="39623.936233465596"/>
    <n v="28656.036685626037"/>
    <n v="489.07808237589347"/>
    <n v="0"/>
    <n v="0"/>
    <n v="0"/>
    <n v="0"/>
    <n v="1599.6851454938992"/>
    <m/>
    <n v="203.19531934381166"/>
    <n v="914.04926620615515"/>
    <n v="4262.0768814062476"/>
    <n v="0"/>
    <n v="0"/>
    <n v="0"/>
    <n v="0"/>
    <n v="0"/>
    <n v="0"/>
    <n v="0"/>
    <n v="0"/>
    <n v="0"/>
    <n v="0"/>
    <m/>
    <n v="0"/>
    <n v="0"/>
    <n v="0"/>
    <n v="0"/>
    <n v="0"/>
    <n v="1503.9232991421529"/>
    <n v="0"/>
    <n v="68.12"/>
    <n v="801.79"/>
    <n v="81168.44"/>
    <n v="1755"/>
    <m/>
    <m/>
    <m/>
    <m/>
    <m/>
    <m/>
    <m/>
    <m/>
    <m/>
    <n v="30159.959984768189"/>
    <m/>
    <m/>
    <m/>
    <m/>
    <m/>
    <m/>
    <m/>
    <m/>
    <m/>
    <m/>
    <m/>
    <m/>
    <n v="85610.564699999988"/>
    <n v="-5483.2450200000167"/>
    <m/>
    <m/>
    <m/>
    <m/>
    <n v="-9116.2753200000006"/>
    <n v="3632.0425200000009"/>
    <n v="30"/>
    <n v="4358.3152436316741"/>
    <n v="91.083055649580274"/>
    <n v="424.7068512873393"/>
    <n v="0"/>
    <n v="0"/>
    <n v="0"/>
    <n v="0"/>
    <n v="0"/>
    <n v="425.97027040644451"/>
    <n v="0"/>
    <n v="0"/>
    <n v="3631.6324413960574"/>
    <n v="0"/>
    <n v="0"/>
    <n v="0"/>
    <n v="190.59497663456682"/>
    <n v="0"/>
    <n v="-351.57627668497844"/>
    <m/>
    <n v="0"/>
    <n v="0"/>
    <n v="0"/>
    <n v="0"/>
    <n v="-48.34738892961559"/>
    <n v="-5.7486861277145636"/>
    <n v="0"/>
    <n v="0"/>
    <m/>
    <m/>
    <m/>
    <n v="39623.936233465596"/>
    <n v="0"/>
    <n v="0"/>
    <n v="-9116.2753200000006"/>
    <n v="3632.0425199999991"/>
    <n v="0"/>
    <n v="0"/>
    <n v="-9843.2578840314418"/>
    <n v="0"/>
    <n v="0"/>
    <n v="0"/>
    <n v="0"/>
    <n v="0"/>
    <n v="0"/>
    <n v="0"/>
    <n v="0"/>
    <n v="0"/>
    <n v="0"/>
    <n v="0"/>
    <n v="0"/>
    <n v="2644.130676828024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1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58.154000000000003"/>
    <n v="58.154000000000003"/>
    <n v="58.154000000000003"/>
    <n v="58.154000000000003"/>
    <m/>
    <n v="281.47000000000003"/>
    <n v="173.25"/>
    <m/>
    <n v="26443.786880000003"/>
    <n v="26443.786880000003"/>
    <n v="24686.373"/>
    <n v="0"/>
    <n v="0"/>
    <n v="0"/>
    <n v="0"/>
    <n v="148.84733591727922"/>
    <n v="143.00891258131435"/>
    <n v="13697.424850327878"/>
    <n v="9905.9797264182926"/>
    <n v="169.06725873509586"/>
    <n v="0"/>
    <n v="0"/>
    <n v="0"/>
    <n v="0"/>
    <n v="0"/>
    <m/>
    <n v="70.24169936704962"/>
    <n v="315.97368468360054"/>
    <n v="1473.3386770412708"/>
    <n v="0"/>
    <n v="0"/>
    <n v="0"/>
    <n v="0"/>
    <n v="0"/>
    <n v="0"/>
    <n v="0"/>
    <n v="0"/>
    <n v="0"/>
    <n v="0"/>
    <m/>
    <n v="0"/>
    <n v="0"/>
    <n v="0"/>
    <n v="0"/>
    <n v="0"/>
    <n v="519.88465379314243"/>
    <n v="0"/>
    <n v="0"/>
    <n v="58.09"/>
    <n v="2725.62"/>
    <n v="118"/>
    <m/>
    <m/>
    <m/>
    <m/>
    <m/>
    <m/>
    <m/>
    <n v="16046.433220000001"/>
    <m/>
    <n v="10425.864380211435"/>
    <m/>
    <m/>
    <m/>
    <m/>
    <m/>
    <m/>
    <m/>
    <m/>
    <m/>
    <m/>
    <m/>
    <m/>
    <n v="8639.3454999999994"/>
    <n v="-616.47514000000047"/>
    <m/>
    <m/>
    <m/>
    <m/>
    <n v="-3012.9587400000019"/>
    <n v="1255.5448600000002"/>
    <n v="30"/>
    <n v="1644.8547538359126"/>
    <n v="31.486102303098676"/>
    <n v="146.81504999027493"/>
    <n v="0"/>
    <n v="0"/>
    <n v="0"/>
    <n v="0"/>
    <n v="0"/>
    <n v="147.25179580816729"/>
    <n v="0"/>
    <n v="0"/>
    <n v="1255.4031017247216"/>
    <n v="0"/>
    <n v="0"/>
    <n v="0"/>
    <n v="65.885942121445851"/>
    <n v="0"/>
    <n v="0"/>
    <m/>
    <n v="0"/>
    <n v="0"/>
    <n v="0"/>
    <n v="0"/>
    <n v="0"/>
    <n v="-1.9872381117953779"/>
    <n v="0"/>
    <n v="0"/>
    <m/>
    <m/>
    <m/>
    <n v="13697.424850327878"/>
    <n v="0"/>
    <n v="0"/>
    <n v="-3012.9587400000019"/>
    <n v="1255.54486"/>
    <n v="0"/>
    <n v="0"/>
    <n v="-3402.6726762962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2"/>
    <s v="Refaturamento - 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7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23"/>
    <s v="Sistema de Compensação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191"/>
    <n v="-1.7954000000000001"/>
    <n v="0.191"/>
    <n v="-1.7954000000000001"/>
    <m/>
    <n v="281.47000000000003"/>
    <n v="173.25"/>
    <m/>
    <n v="86.851520000000008"/>
    <n v="86.851520000000008"/>
    <n v="81.079499999999996"/>
    <n v="0"/>
    <n v="0"/>
    <n v="0"/>
    <n v="0"/>
    <n v="0.4888716366922366"/>
    <n v="0.46969601924254628"/>
    <n v="44.987587206600139"/>
    <n v="32.535029881794785"/>
    <n v="0.55528160433337881"/>
    <n v="0"/>
    <n v="0"/>
    <n v="0"/>
    <n v="0"/>
    <n v="0"/>
    <m/>
    <n v="0.23070063244327951"/>
    <n v="1.0377785496194192"/>
    <n v="4.8390082765567755"/>
    <n v="0"/>
    <n v="0"/>
    <n v="0"/>
    <n v="0"/>
    <n v="0"/>
    <n v="0"/>
    <n v="0"/>
    <n v="0"/>
    <n v="0"/>
    <n v="0"/>
    <m/>
    <n v="0"/>
    <n v="0"/>
    <n v="0"/>
    <n v="0"/>
    <n v="0"/>
    <n v="1.7075002385818723"/>
    <n v="0"/>
    <n v="0"/>
    <n v="0.19"/>
    <n v="17.170000000000002"/>
    <n v="0"/>
    <m/>
    <m/>
    <m/>
    <m/>
    <m/>
    <m/>
    <m/>
    <n v="347.82207800000003"/>
    <m/>
    <n v="34.242530120376657"/>
    <m/>
    <m/>
    <m/>
    <m/>
    <m/>
    <m/>
    <m/>
    <m/>
    <m/>
    <m/>
    <m/>
    <m/>
    <n v="-267.42599999999999"/>
    <n v="18.299864000000071"/>
    <m/>
    <m/>
    <m/>
    <m/>
    <n v="-9.8957100000000064"/>
    <n v="4.1236900000000007"/>
    <n v="30"/>
    <n v="5.4023327369167902"/>
    <n v="0.1034124142774675"/>
    <n v="0.48219683165633409"/>
    <n v="0"/>
    <n v="0"/>
    <n v="0"/>
    <n v="0"/>
    <n v="0"/>
    <n v="0.48363127212848572"/>
    <n v="0"/>
    <n v="0"/>
    <n v="4.1232244115524566"/>
    <n v="0"/>
    <n v="0"/>
    <n v="0"/>
    <n v="0.21639465806644709"/>
    <n v="0"/>
    <n v="0"/>
    <m/>
    <n v="0"/>
    <n v="0"/>
    <n v="0"/>
    <n v="0"/>
    <n v="0"/>
    <n v="-6.5268507643999885E-3"/>
    <n v="0"/>
    <n v="0"/>
    <m/>
    <m/>
    <m/>
    <n v="44.987587206600139"/>
    <n v="0"/>
    <n v="0"/>
    <n v="-9.8957100000000082"/>
    <n v="4.1236900000000034"/>
    <n v="0"/>
    <n v="0"/>
    <n v="-11.17567976704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4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17.84"/>
    <n v="117.84"/>
    <n v="117.84"/>
    <n v="117.84"/>
    <m/>
    <n v="281.47000000000003"/>
    <n v="173.25"/>
    <m/>
    <n v="53584.2048"/>
    <n v="53584.2048"/>
    <n v="50023.08"/>
    <n v="0"/>
    <n v="0"/>
    <n v="0"/>
    <n v="0"/>
    <n v="301.61588307755585"/>
    <n v="289.78522988241707"/>
    <n v="27755.692546731731"/>
    <n v="20072.921053773283"/>
    <n v="342.58839923898091"/>
    <n v="0"/>
    <n v="0"/>
    <n v="0"/>
    <n v="0"/>
    <n v="0"/>
    <m/>
    <n v="142.33383522050292"/>
    <n v="640.27133134634732"/>
    <n v="2985.490760782463"/>
    <n v="0"/>
    <n v="0"/>
    <n v="0"/>
    <n v="0"/>
    <n v="0"/>
    <n v="0"/>
    <n v="0"/>
    <n v="0"/>
    <n v="0"/>
    <n v="0"/>
    <m/>
    <n v="0"/>
    <n v="0"/>
    <n v="0"/>
    <n v="0"/>
    <n v="0"/>
    <n v="1053.4650686622399"/>
    <n v="0"/>
    <n v="16.899999999999999"/>
    <n v="235.6"/>
    <n v="10042.709999999999"/>
    <n v="367"/>
    <m/>
    <m/>
    <m/>
    <m/>
    <m/>
    <m/>
    <m/>
    <n v="20010.410400000001"/>
    <m/>
    <n v="21126.386122435524"/>
    <m/>
    <m/>
    <m/>
    <m/>
    <m/>
    <m/>
    <m/>
    <m/>
    <m/>
    <m/>
    <m/>
    <m/>
    <n v="30012.669600000001"/>
    <n v="-2137.6475999999966"/>
    <m/>
    <m/>
    <m/>
    <m/>
    <n v="-6105.2904000000035"/>
    <n v="2544.1656000000003"/>
    <n v="30"/>
    <n v="3333.041307425523"/>
    <n v="63.80166962542819"/>
    <n v="297.4977729967668"/>
    <n v="0"/>
    <n v="0"/>
    <n v="0"/>
    <n v="0"/>
    <n v="0"/>
    <n v="298.38277019696727"/>
    <n v="0"/>
    <n v="0"/>
    <n v="2543.8783489913185"/>
    <n v="0"/>
    <n v="0"/>
    <n v="0"/>
    <n v="133.50757333272327"/>
    <n v="0"/>
    <n v="0"/>
    <m/>
    <n v="0"/>
    <n v="0"/>
    <n v="0"/>
    <n v="0"/>
    <n v="0"/>
    <n v="-4.026827717680078"/>
    <n v="0"/>
    <n v="0"/>
    <m/>
    <m/>
    <m/>
    <n v="27755.692546731731"/>
    <n v="0"/>
    <n v="0"/>
    <n v="-6105.2904000000017"/>
    <n v="2544.1656000000039"/>
    <n v="0"/>
    <n v="0"/>
    <n v="-6894.9848363783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5"/>
    <s v="Refaturamento - 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.14000000000000001"/>
    <n v="0.14000000000000001"/>
    <n v="0.14000000000000001"/>
    <n v="0.14000000000000001"/>
    <m/>
    <n v="281.47000000000003"/>
    <n v="173.25"/>
    <m/>
    <n v="63.660800000000009"/>
    <n v="63.660800000000009"/>
    <n v="59.430000000000007"/>
    <n v="0"/>
    <n v="0"/>
    <n v="0"/>
    <n v="0"/>
    <n v="0.35833523108331483"/>
    <n v="0.34427980468040048"/>
    <n v="32.975194811120524"/>
    <n v="23.847665881943822"/>
    <n v="0.40701269427577508"/>
    <n v="0"/>
    <n v="0"/>
    <n v="0"/>
    <n v="0"/>
    <n v="0"/>
    <m/>
    <n v="0.1690999400107808"/>
    <n v="0.760675376684391"/>
    <n v="3.5469170613505163"/>
    <n v="0"/>
    <n v="0"/>
    <n v="0"/>
    <n v="0"/>
    <n v="0"/>
    <n v="0"/>
    <n v="0"/>
    <n v="0"/>
    <n v="0"/>
    <n v="0"/>
    <m/>
    <n v="0"/>
    <n v="0"/>
    <n v="0"/>
    <n v="0"/>
    <n v="0"/>
    <n v="1.2515708555050373"/>
    <n v="0"/>
    <n v="0.02"/>
    <n v="0.28000000000000003"/>
    <n v="11.98"/>
    <n v="0"/>
    <m/>
    <m/>
    <m/>
    <m/>
    <m/>
    <m/>
    <m/>
    <n v="23.773400000000002"/>
    <m/>
    <n v="25.099236737448859"/>
    <m/>
    <m/>
    <m/>
    <m/>
    <m/>
    <m/>
    <m/>
    <m/>
    <m/>
    <m/>
    <m/>
    <m/>
    <n v="35.656600000000005"/>
    <n v="-2.5696000000000012"/>
    <m/>
    <m/>
    <m/>
    <m/>
    <n v="-7.2534000000000054"/>
    <n v="3.0226000000000006"/>
    <n v="30"/>
    <n v="3.9598250427662407"/>
    <n v="7.5799675386625465E-2"/>
    <n v="0.35344270383186815"/>
    <n v="0"/>
    <n v="0"/>
    <n v="0"/>
    <n v="0"/>
    <n v="0"/>
    <n v="0.35449412616747639"/>
    <n v="0"/>
    <n v="0"/>
    <n v="3.0222587309808588"/>
    <n v="0"/>
    <n v="0"/>
    <n v="0"/>
    <n v="0.1586138854937309"/>
    <n v="0"/>
    <n v="0"/>
    <m/>
    <n v="0"/>
    <n v="0"/>
    <n v="0"/>
    <n v="0"/>
    <n v="0"/>
    <n v="-4.7840790943246003E-3"/>
    <n v="0"/>
    <n v="0"/>
    <m/>
    <m/>
    <m/>
    <n v="32.975194811120524"/>
    <n v="0"/>
    <n v="0"/>
    <n v="-7.2534000000000063"/>
    <n v="3.0226000000000006"/>
    <n v="0"/>
    <n v="0"/>
    <n v="-8.191597735004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6"/>
    <s v="Sistema de Compensação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.29199999999999998"/>
    <n v="-1.5768"/>
    <n v="0.29199999999999998"/>
    <n v="-1.5768"/>
    <m/>
    <n v="281.47000000000003"/>
    <n v="173.25"/>
    <m/>
    <n v="132.77823999999998"/>
    <n v="132.77823999999998"/>
    <n v="123.95399999999998"/>
    <n v="0"/>
    <n v="0"/>
    <n v="0"/>
    <n v="0"/>
    <n v="0.7473849105451994"/>
    <n v="0.71806930690483517"/>
    <n v="68.77683489176566"/>
    <n v="49.739417410911393"/>
    <n v="0.84891219091804504"/>
    <n v="0"/>
    <n v="0"/>
    <n v="0"/>
    <n v="0"/>
    <n v="0"/>
    <m/>
    <n v="0.35269416059391417"/>
    <n v="1.5865514999417296"/>
    <n v="7.3978555851025041"/>
    <n v="0"/>
    <n v="0"/>
    <n v="0"/>
    <n v="0"/>
    <n v="0"/>
    <n v="0"/>
    <n v="0"/>
    <n v="0"/>
    <n v="0"/>
    <n v="0"/>
    <m/>
    <n v="0"/>
    <n v="0"/>
    <n v="0"/>
    <n v="0"/>
    <n v="0"/>
    <n v="2.6104192129105059"/>
    <n v="0"/>
    <n v="0.04"/>
    <n v="0.57999999999999996"/>
    <n v="62.92"/>
    <n v="1"/>
    <m/>
    <m/>
    <m/>
    <m/>
    <m/>
    <m/>
    <m/>
    <n v="525.54919199999995"/>
    <m/>
    <n v="52.349836623821901"/>
    <m/>
    <m/>
    <m/>
    <m/>
    <m/>
    <m/>
    <m/>
    <m/>
    <m/>
    <m/>
    <m/>
    <m/>
    <n v="-402.41020000000003"/>
    <n v="27.758144000000016"/>
    <m/>
    <m/>
    <m/>
    <m/>
    <n v="-15.128520000000009"/>
    <n v="6.3042800000000003"/>
    <n v="30"/>
    <n v="8.2590636606267225"/>
    <n v="0.15809646580639014"/>
    <n v="0.73718049656361107"/>
    <n v="0"/>
    <n v="0"/>
    <n v="0"/>
    <n v="0"/>
    <n v="0"/>
    <n v="0.73937346314930785"/>
    <n v="0"/>
    <n v="0"/>
    <n v="6.3035682103315054"/>
    <n v="0"/>
    <n v="0"/>
    <n v="0"/>
    <n v="0.33082324688692433"/>
    <n v="0"/>
    <n v="0"/>
    <m/>
    <n v="0"/>
    <n v="0"/>
    <n v="0"/>
    <n v="0"/>
    <n v="0"/>
    <n v="-9.978222111019841E-3"/>
    <n v="0"/>
    <n v="0"/>
    <m/>
    <m/>
    <m/>
    <n v="68.77683489176566"/>
    <n v="0"/>
    <n v="0"/>
    <n v="-15.128520000000009"/>
    <n v="6.3042799999999986"/>
    <n v="0"/>
    <n v="0"/>
    <n v="-17.085332418724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7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112.874"/>
    <n v="112.874"/>
    <n v="112.874"/>
    <n v="112.874"/>
    <m/>
    <n v="281.47000000000003"/>
    <n v="173.25"/>
    <m/>
    <n v="51326.065280000003"/>
    <n v="51326.065280000003"/>
    <n v="47915.012999999992"/>
    <n v="0"/>
    <n v="0"/>
    <n v="0"/>
    <n v="0"/>
    <n v="288.90522052355766"/>
    <n v="277.57313338211083"/>
    <n v="26586.015279360126"/>
    <n v="19227.01027684662"/>
    <n v="328.15107752631309"/>
    <n v="0"/>
    <n v="0"/>
    <n v="0"/>
    <n v="0"/>
    <n v="0"/>
    <m/>
    <n v="136.33561877697764"/>
    <n v="613.28908905624246"/>
    <n v="2859.6765455919867"/>
    <n v="0"/>
    <n v="0"/>
    <n v="0"/>
    <n v="0"/>
    <n v="0"/>
    <n v="0"/>
    <n v="0"/>
    <n v="0"/>
    <n v="0"/>
    <n v="0"/>
    <m/>
    <n v="0"/>
    <n v="0"/>
    <n v="0"/>
    <n v="0"/>
    <n v="0"/>
    <n v="1009.0700624591112"/>
    <n v="0"/>
    <n v="29.82"/>
    <n v="326.06"/>
    <n v="14484.09"/>
    <n v="971"/>
    <m/>
    <m/>
    <m/>
    <m/>
    <m/>
    <m/>
    <m/>
    <n v="4792.63004"/>
    <m/>
    <n v="20236.080339305732"/>
    <m/>
    <m/>
    <m/>
    <m/>
    <m/>
    <m/>
    <m/>
    <m/>
    <m/>
    <m/>
    <m/>
    <m/>
    <n v="43120.854800000001"/>
    <n v="-3071.7309599999935"/>
    <m/>
    <m/>
    <m/>
    <m/>
    <n v="-5848.0019400000028"/>
    <n v="2436.9496600000002"/>
    <n v="30"/>
    <n v="3192.5806562656871"/>
    <n v="61.112946854213988"/>
    <n v="284.96065537370214"/>
    <n v="0"/>
    <n v="0"/>
    <n v="0"/>
    <n v="0"/>
    <n v="0"/>
    <n v="285.80835712162667"/>
    <n v="0"/>
    <n v="0"/>
    <n v="2436.6745142909531"/>
    <n v="0"/>
    <n v="0"/>
    <n v="0"/>
    <n v="127.88131222299546"/>
    <n v="0"/>
    <n v="0"/>
    <m/>
    <n v="0"/>
    <n v="0"/>
    <n v="0"/>
    <n v="0"/>
    <n v="0"/>
    <n v="-3.857129597805681"/>
    <n v="0"/>
    <n v="0"/>
    <m/>
    <m/>
    <m/>
    <n v="26586.015279360126"/>
    <n v="0"/>
    <n v="0"/>
    <n v="-5848.0019400000056"/>
    <n v="2436.9496599999984"/>
    <n v="0"/>
    <n v="0"/>
    <n v="-6604.417162435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8"/>
    <s v="Refaturamento - 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.23200000000000001"/>
    <n v="0.23200000000000001"/>
    <n v="0.23200000000000001"/>
    <n v="0.23200000000000001"/>
    <m/>
    <n v="281.47000000000003"/>
    <n v="173.25"/>
    <m/>
    <n v="105.49504000000002"/>
    <n v="105.49504000000002"/>
    <n v="98.484000000000009"/>
    <n v="0"/>
    <n v="0"/>
    <n v="0"/>
    <n v="0"/>
    <n v="0.59381266865235027"/>
    <n v="0.57052081918466357"/>
    <n v="54.644608544142585"/>
    <n v="39.518989175792619"/>
    <n v="0.67447817908557006"/>
    <n v="0"/>
    <n v="0"/>
    <n v="0"/>
    <n v="0"/>
    <n v="0"/>
    <m/>
    <n v="0.28022275773215105"/>
    <n v="1.2605477670769909"/>
    <n v="5.8777482730951416"/>
    <n v="0"/>
    <n v="0"/>
    <n v="0"/>
    <n v="0"/>
    <n v="0"/>
    <n v="0"/>
    <n v="0"/>
    <n v="0"/>
    <n v="0"/>
    <n v="0"/>
    <m/>
    <n v="0"/>
    <n v="0"/>
    <n v="0"/>
    <n v="0"/>
    <n v="0"/>
    <n v="2.0740317034083477"/>
    <n v="0"/>
    <n v="0.06"/>
    <n v="0.67"/>
    <n v="29.77"/>
    <n v="0"/>
    <m/>
    <m/>
    <m/>
    <m/>
    <m/>
    <m/>
    <m/>
    <n v="9.8507200000000026"/>
    <m/>
    <n v="41.593020879200964"/>
    <m/>
    <m/>
    <m/>
    <m/>
    <m/>
    <m/>
    <m/>
    <m/>
    <m/>
    <m/>
    <m/>
    <m/>
    <n v="87.869200000000006"/>
    <n v="-7.1044799999999952"/>
    <m/>
    <m/>
    <m/>
    <m/>
    <n v="-12.019920000000008"/>
    <n v="5.0088800000000013"/>
    <n v="30"/>
    <n v="6.5619957851554744"/>
    <n v="0.12561089064069342"/>
    <n v="0.58570505206423817"/>
    <n v="0"/>
    <n v="0"/>
    <n v="0"/>
    <n v="0"/>
    <n v="0"/>
    <n v="0.58744740907753235"/>
    <n v="0"/>
    <n v="0"/>
    <n v="5.0083144684825669"/>
    <n v="0"/>
    <n v="0"/>
    <n v="0"/>
    <n v="0.2628458673896108"/>
    <n v="0"/>
    <n v="0"/>
    <m/>
    <n v="0"/>
    <n v="0"/>
    <n v="0"/>
    <n v="0"/>
    <n v="0"/>
    <n v="-7.9279024991664726E-3"/>
    <n v="0"/>
    <n v="0"/>
    <m/>
    <m/>
    <m/>
    <n v="54.644608544142585"/>
    <n v="0"/>
    <n v="0"/>
    <n v="-12.019920000000013"/>
    <n v="5.0088799999999978"/>
    <n v="0"/>
    <n v="0"/>
    <n v="-13.574647675150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29"/>
    <s v="Sistema de Compensação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.36"/>
    <n v="-0.18"/>
    <n v="0.36"/>
    <n v="-0.18"/>
    <m/>
    <n v="281.47000000000003"/>
    <n v="173.25"/>
    <m/>
    <n v="163.69919999999999"/>
    <n v="163.69919999999999"/>
    <n v="152.82"/>
    <n v="0"/>
    <n v="0"/>
    <n v="0"/>
    <n v="0"/>
    <n v="0.9214334513570952"/>
    <n v="0.88529092632102968"/>
    <n v="84.793358085738475"/>
    <n v="61.322569410712674"/>
    <n v="1.0466040709948501"/>
    <n v="0"/>
    <n v="0"/>
    <n v="0"/>
    <n v="0"/>
    <n v="0"/>
    <m/>
    <n v="0.43482841717057913"/>
    <n v="1.9560223971884338"/>
    <n v="9.1206438720441838"/>
    <n v="0"/>
    <n v="0"/>
    <n v="0"/>
    <n v="0"/>
    <n v="0"/>
    <n v="0"/>
    <n v="0"/>
    <n v="0"/>
    <n v="0"/>
    <n v="0"/>
    <m/>
    <n v="0"/>
    <n v="0"/>
    <n v="0"/>
    <n v="0"/>
    <n v="0"/>
    <n v="3.2183250570129527"/>
    <n v="0"/>
    <n v="0.09"/>
    <n v="1.05"/>
    <n v="132.51"/>
    <n v="7"/>
    <m/>
    <m/>
    <m/>
    <m/>
    <m/>
    <m/>
    <m/>
    <n v="221.58720000000002"/>
    <m/>
    <n v="64.540894467725622"/>
    <m/>
    <m/>
    <m/>
    <m/>
    <m/>
    <m/>
    <m/>
    <m/>
    <m/>
    <m/>
    <m/>
    <m/>
    <n v="-68.767200000000003"/>
    <n v="4.8659999999999997"/>
    <m/>
    <m/>
    <m/>
    <m/>
    <n v="-18.651600000000009"/>
    <n v="7.7724000000000011"/>
    <n v="30"/>
    <n v="10.18240725282746"/>
    <n v="0.19491345099417967"/>
    <n v="0.90885266699623202"/>
    <n v="0"/>
    <n v="0"/>
    <n v="0"/>
    <n v="0"/>
    <n v="0"/>
    <n v="0.9115563244306536"/>
    <n v="0"/>
    <n v="0"/>
    <n v="7.7715224510936451"/>
    <n v="0"/>
    <n v="0"/>
    <n v="0"/>
    <n v="0.40786427698387939"/>
    <n v="0"/>
    <n v="0"/>
    <m/>
    <n v="0"/>
    <n v="0"/>
    <n v="0"/>
    <n v="0"/>
    <n v="0"/>
    <n v="-1.2301917671120377E-2"/>
    <n v="0"/>
    <n v="0"/>
    <m/>
    <m/>
    <m/>
    <n v="84.793358085738475"/>
    <n v="0"/>
    <n v="0"/>
    <n v="-18.651600000000002"/>
    <n v="7.7723999999999975"/>
    <n v="0"/>
    <n v="0"/>
    <n v="-21.064108461441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0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39.238999999999997"/>
    <n v="39.238999999999997"/>
    <n v="39.238999999999997"/>
    <n v="39.238999999999997"/>
    <m/>
    <n v="281.47000000000003"/>
    <n v="173.25"/>
    <m/>
    <n v="17842.75808"/>
    <n v="17842.75808"/>
    <n v="16656.9555"/>
    <n v="0"/>
    <n v="0"/>
    <n v="0"/>
    <n v="0"/>
    <n v="100.43368666055849"/>
    <n v="96.494251827530221"/>
    <n v="9242.2404942397006"/>
    <n v="6683.9897252970959"/>
    <n v="114.0769365049081"/>
    <n v="0"/>
    <n v="0"/>
    <n v="0"/>
    <n v="0"/>
    <n v="0"/>
    <m/>
    <n v="47.395089614878763"/>
    <n v="213.20100789799153"/>
    <n v="994.12484693094916"/>
    <n v="0"/>
    <n v="0"/>
    <n v="0"/>
    <n v="0"/>
    <n v="0"/>
    <n v="0"/>
    <n v="0"/>
    <n v="0"/>
    <n v="0"/>
    <n v="0"/>
    <m/>
    <n v="0"/>
    <n v="0"/>
    <n v="0"/>
    <n v="0"/>
    <n v="0"/>
    <n v="350.78849142258679"/>
    <n v="0"/>
    <n v="13.22"/>
    <n v="123.48"/>
    <n v="5598.67"/>
    <n v="481"/>
    <m/>
    <m/>
    <m/>
    <m/>
    <m/>
    <m/>
    <m/>
    <m/>
    <m/>
    <n v="7034.7782167196829"/>
    <m/>
    <m/>
    <m/>
    <m/>
    <m/>
    <m/>
    <m/>
    <m/>
    <m/>
    <m/>
    <m/>
    <m/>
    <n v="16657.38"/>
    <n v="-1185.4080799999974"/>
    <m/>
    <m/>
    <m/>
    <m/>
    <n v="-2032.972590000001"/>
    <n v="847.17001000000005"/>
    <n v="30"/>
    <n v="1109.8541060936004"/>
    <n v="21.245024732112824"/>
    <n v="99.062416111847824"/>
    <n v="0"/>
    <n v="0"/>
    <n v="0"/>
    <n v="0"/>
    <n v="0"/>
    <n v="99.35710726204006"/>
    <n v="0"/>
    <n v="0"/>
    <n v="847.07435960684234"/>
    <n v="0"/>
    <n v="0"/>
    <n v="0"/>
    <n v="44.456073234917881"/>
    <n v="0"/>
    <n v="0"/>
    <m/>
    <n v="0"/>
    <n v="0"/>
    <n v="0"/>
    <n v="0"/>
    <n v="0"/>
    <n v="-1.3408748541585922"/>
    <n v="0"/>
    <n v="0"/>
    <m/>
    <m/>
    <m/>
    <n v="9242.2404942397006"/>
    <n v="0"/>
    <n v="0"/>
    <n v="-2032.9725899999994"/>
    <n v="847.17001000000073"/>
    <n v="0"/>
    <n v="0"/>
    <n v="-2295.9293108846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1"/>
    <s v="Refaturamento - 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10100000000000001"/>
    <n v="0.10100000000000001"/>
    <n v="0.10100000000000001"/>
    <n v="0.10100000000000001"/>
    <m/>
    <n v="281.47000000000003"/>
    <n v="173.25"/>
    <m/>
    <n v="45.926720000000003"/>
    <n v="45.926720000000003"/>
    <n v="42.874499999999998"/>
    <n v="0"/>
    <n v="0"/>
    <n v="0"/>
    <n v="0"/>
    <n v="0.25851327385296285"/>
    <n v="0.24837328766228889"/>
    <n v="23.78924768516552"/>
    <n v="17.204387529116612"/>
    <n v="0.29363058658466629"/>
    <n v="0"/>
    <n v="0"/>
    <n v="0"/>
    <n v="0"/>
    <n v="0"/>
    <m/>
    <n v="0.12199352815063472"/>
    <n v="0.54877295032231066"/>
    <n v="2.5588473085457295"/>
    <n v="0"/>
    <n v="0"/>
    <n v="0"/>
    <n v="0"/>
    <n v="0"/>
    <n v="0"/>
    <n v="0"/>
    <n v="0"/>
    <n v="0"/>
    <n v="0"/>
    <m/>
    <n v="0"/>
    <n v="0"/>
    <n v="0"/>
    <n v="0"/>
    <n v="0"/>
    <n v="0.90291897432863411"/>
    <n v="0"/>
    <n v="0.03"/>
    <n v="0.32"/>
    <n v="14.41"/>
    <n v="0"/>
    <m/>
    <m/>
    <m/>
    <m/>
    <m/>
    <m/>
    <m/>
    <m/>
    <m/>
    <n v="18.107306503445248"/>
    <m/>
    <m/>
    <m/>
    <m/>
    <m/>
    <m/>
    <m/>
    <m/>
    <m/>
    <m/>
    <m/>
    <m/>
    <n v="42.45"/>
    <n v="-3.5067200000000085"/>
    <m/>
    <m/>
    <m/>
    <m/>
    <n v="-5.2328100000000033"/>
    <n v="2.1805900000000005"/>
    <n v="30"/>
    <n v="2.8567309237099252"/>
    <n v="5.4684051528922639E-2"/>
    <n v="0.25498366490727653"/>
    <n v="0"/>
    <n v="0"/>
    <n v="0"/>
    <n v="0"/>
    <n v="0"/>
    <n v="0.25574219102082224"/>
    <n v="0"/>
    <n v="0"/>
    <n v="2.1803437987790488"/>
    <n v="0"/>
    <n v="0"/>
    <n v="0"/>
    <n v="0.11442858882047724"/>
    <n v="0"/>
    <n v="0"/>
    <m/>
    <n v="0"/>
    <n v="0"/>
    <n v="0"/>
    <n v="0"/>
    <n v="0"/>
    <n v="-3.4513713466198803E-3"/>
    <n v="0"/>
    <n v="0"/>
    <m/>
    <m/>
    <m/>
    <n v="23.78924768516552"/>
    <n v="0"/>
    <n v="0"/>
    <n v="-5.2328100000000042"/>
    <n v="2.1805899999999987"/>
    <n v="0"/>
    <n v="0"/>
    <n v="-5.9096526516820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2"/>
    <s v="Sistema de Compensação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42899999999999999"/>
    <n v="0.42899999999999999"/>
    <n v="0.42899999999999999"/>
    <n v="0.42899999999999999"/>
    <m/>
    <n v="281.47000000000003"/>
    <n v="173.25"/>
    <m/>
    <n v="195.07488000000001"/>
    <n v="195.07488000000001"/>
    <n v="182.1105"/>
    <n v="0"/>
    <n v="0"/>
    <n v="0"/>
    <n v="0"/>
    <n v="1.0980415295338717"/>
    <n v="1.054971687199227"/>
    <n v="101.04541838550503"/>
    <n v="73.076061881099278"/>
    <n v="1.2472031846021963"/>
    <n v="0"/>
    <n v="0"/>
    <n v="0"/>
    <n v="0"/>
    <n v="0"/>
    <m/>
    <n v="0.51817053046160688"/>
    <n v="2.3309266899828835"/>
    <n v="10.868767280852653"/>
    <n v="0"/>
    <n v="0"/>
    <n v="0"/>
    <n v="0"/>
    <n v="0"/>
    <n v="0"/>
    <n v="0"/>
    <n v="0"/>
    <n v="0"/>
    <n v="0"/>
    <m/>
    <n v="0"/>
    <n v="0"/>
    <n v="0"/>
    <n v="0"/>
    <n v="0"/>
    <n v="3.8351706929404354"/>
    <n v="0"/>
    <n v="0.11"/>
    <n v="1.4"/>
    <n v="131.46"/>
    <n v="8"/>
    <m/>
    <m/>
    <m/>
    <m/>
    <m/>
    <m/>
    <m/>
    <m/>
    <m/>
    <n v="76.911232574039715"/>
    <m/>
    <m/>
    <m/>
    <m/>
    <m/>
    <m/>
    <m/>
    <m/>
    <m/>
    <m/>
    <m/>
    <m/>
    <n v="182.535"/>
    <n v="-12.569880000000012"/>
    <m/>
    <m/>
    <m/>
    <m/>
    <n v="-22.226490000000013"/>
    <n v="9.2621100000000016"/>
    <n v="30"/>
    <n v="12.134035309619392"/>
    <n v="0.23227186243473108"/>
    <n v="1.0830494281705096"/>
    <n v="0"/>
    <n v="0"/>
    <n v="0"/>
    <n v="0"/>
    <n v="0"/>
    <n v="1.0862712866131954"/>
    <n v="0"/>
    <n v="0"/>
    <n v="9.2610642542199173"/>
    <n v="0"/>
    <n v="0"/>
    <n v="0"/>
    <n v="0.48603826340578937"/>
    <n v="0"/>
    <n v="0"/>
    <m/>
    <n v="0"/>
    <n v="0"/>
    <n v="0"/>
    <n v="0"/>
    <n v="0"/>
    <n v="-1.4659785224751865E-2"/>
    <n v="0"/>
    <n v="0"/>
    <m/>
    <m/>
    <m/>
    <n v="101.04541838550503"/>
    <n v="0"/>
    <n v="0"/>
    <n v="-22.226490000000013"/>
    <n v="9.2621100000000069"/>
    <n v="0"/>
    <n v="0"/>
    <n v="-25.101395916550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3"/>
    <s v="Regular"/>
    <s v="Branca"/>
    <s v="B1"/>
    <s v="Residencial"/>
    <s v="Residencial"/>
    <s v="Não se aplica"/>
    <s v="Não se aplica"/>
    <s v="Ponta"/>
    <s v="CATIVO"/>
    <x v="9"/>
    <n v="0"/>
    <n v="0"/>
    <n v="0.42499999999999999"/>
    <n v="0.42499999999999999"/>
    <n v="0.42499999999999999"/>
    <n v="0.42499999999999999"/>
    <m/>
    <n v="775.22"/>
    <n v="173.25"/>
    <m/>
    <n v="403.09974999999997"/>
    <n v="403.09974999999997"/>
    <n v="355.51249999999999"/>
    <n v="0"/>
    <n v="26.15670285973242"/>
    <n v="0"/>
    <n v="0"/>
    <n v="2.7193156911699061"/>
    <n v="2.6126648319497598"/>
    <n v="250.25812913700713"/>
    <n v="72.394699998758028"/>
    <n v="1.2355742504800313"/>
    <n v="0"/>
    <n v="0"/>
    <n v="0"/>
    <n v="0"/>
    <n v="4.041337867863299"/>
    <m/>
    <n v="0.51333910360415591"/>
    <n v="5.7726555956192147"/>
    <n v="26.916841259629752"/>
    <n v="0"/>
    <n v="0"/>
    <n v="0"/>
    <n v="0"/>
    <n v="0"/>
    <n v="0"/>
    <n v="0"/>
    <n v="0"/>
    <n v="0"/>
    <n v="0"/>
    <m/>
    <n v="0"/>
    <n v="0"/>
    <n v="0"/>
    <n v="0"/>
    <n v="0"/>
    <n v="3.7994115256402914"/>
    <n v="0"/>
    <n v="0"/>
    <n v="0"/>
    <n v="0"/>
    <n v="0"/>
    <m/>
    <m/>
    <m/>
    <m/>
    <m/>
    <m/>
    <m/>
    <m/>
    <m/>
    <n v="76.194111524398323"/>
    <m/>
    <m/>
    <m/>
    <m/>
    <m/>
    <m/>
    <m/>
    <m/>
    <m/>
    <m/>
    <m/>
    <m/>
    <n v="359.69499999999999"/>
    <n v="-43.434749999999951"/>
    <m/>
    <m/>
    <m/>
    <m/>
    <n v="-56.763000000000027"/>
    <n v="9.1757500000000007"/>
    <n v="30"/>
    <n v="14.578974461860042"/>
    <n v="0.57523279138330707"/>
    <n v="2.6822056983182705"/>
    <n v="0"/>
    <n v="0"/>
    <n v="0"/>
    <n v="0"/>
    <n v="0"/>
    <n v="2.6901791042617353"/>
    <n v="0"/>
    <n v="0"/>
    <n v="9.1747140047633167"/>
    <n v="0"/>
    <n v="0"/>
    <n v="0"/>
    <n v="0.48150643810596883"/>
    <n v="0"/>
    <n v="-0.88819885863896531"/>
    <m/>
    <n v="0"/>
    <n v="0"/>
    <n v="0"/>
    <n v="0"/>
    <n v="-0.12214161908295029"/>
    <n v="-1.452309725062817E-2"/>
    <n v="0"/>
    <n v="0"/>
    <m/>
    <m/>
    <m/>
    <n v="250.25812913700713"/>
    <n v="0"/>
    <n v="0"/>
    <n v="-56.763000000000034"/>
    <n v="9.1757500000000078"/>
    <n v="0"/>
    <n v="0"/>
    <n v="-62.168364297696428"/>
    <n v="0"/>
    <n v="0"/>
    <n v="0"/>
    <n v="0"/>
    <n v="0"/>
    <n v="0"/>
    <n v="0"/>
    <n v="0"/>
    <n v="0"/>
    <n v="0"/>
    <n v="0"/>
    <n v="0"/>
    <n v="6.679955403689697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4"/>
    <s v="Regular"/>
    <s v="Branca"/>
    <s v="B1"/>
    <s v="Residencial"/>
    <s v="Residencial"/>
    <s v="Não se aplica"/>
    <s v="Não se aplica"/>
    <s v="Fora ponta"/>
    <s v="CATIVO"/>
    <x v="9"/>
    <n v="0"/>
    <n v="0"/>
    <n v="3.5419999999999998"/>
    <n v="3.5419999999999998"/>
    <n v="3.5419999999999998"/>
    <n v="3.5419999999999998"/>
    <m/>
    <n v="232.58"/>
    <n v="173.25"/>
    <m/>
    <n v="1437.4498599999999"/>
    <n v="1437.4498599999999"/>
    <n v="1415.7019799999998"/>
    <n v="0"/>
    <n v="217.99303889216995"/>
    <n v="0"/>
    <n v="0"/>
    <n v="4.5329406732039317"/>
    <n v="4.3551395292070652"/>
    <n v="417.13621436067456"/>
    <n v="603.34594681317856"/>
    <n v="10.297421165177107"/>
    <n v="0"/>
    <n v="0"/>
    <n v="0"/>
    <n v="0"/>
    <n v="33.680985242286603"/>
    <m/>
    <n v="4.2782284822727537"/>
    <n v="9.6229330444068388"/>
    <n v="44.868500826084023"/>
    <n v="0"/>
    <n v="0"/>
    <n v="0"/>
    <n v="0"/>
    <n v="0"/>
    <n v="0"/>
    <n v="0"/>
    <n v="0"/>
    <n v="0"/>
    <n v="0"/>
    <m/>
    <n v="0"/>
    <n v="0"/>
    <n v="0"/>
    <n v="0"/>
    <n v="0"/>
    <n v="31.664742644277442"/>
    <n v="0"/>
    <n v="0"/>
    <n v="0"/>
    <n v="0"/>
    <n v="0"/>
    <m/>
    <m/>
    <m/>
    <m/>
    <m/>
    <m/>
    <m/>
    <m/>
    <m/>
    <n v="635.01068945745601"/>
    <m/>
    <m/>
    <m/>
    <m/>
    <m/>
    <m/>
    <m/>
    <m/>
    <m/>
    <m/>
    <m/>
    <m/>
    <n v="1414.9025999999999"/>
    <n v="-22.577260000000024"/>
    <m/>
    <m/>
    <m/>
    <m/>
    <n v="-98.219660000000061"/>
    <n v="76.47178000000001"/>
    <n v="30"/>
    <n v="81.849049199700175"/>
    <n v="0.95890470940787154"/>
    <n v="4.4710502034731334"/>
    <n v="0"/>
    <n v="0"/>
    <n v="0"/>
    <n v="0"/>
    <n v="0"/>
    <n v="4.4843506960185771"/>
    <n v="0"/>
    <n v="0"/>
    <n v="76.463145893815749"/>
    <n v="0"/>
    <n v="0"/>
    <n v="0"/>
    <n v="4.0129313029913867"/>
    <n v="0"/>
    <n v="-7.402353781880521"/>
    <m/>
    <n v="0"/>
    <n v="0"/>
    <n v="0"/>
    <n v="0"/>
    <n v="-1.0179426230395521"/>
    <n v="-0.12103720108641181"/>
    <n v="0"/>
    <n v="0"/>
    <m/>
    <m/>
    <m/>
    <n v="417.13621436067456"/>
    <n v="0"/>
    <n v="0"/>
    <n v="-98.21966000000009"/>
    <n v="76.471780000000081"/>
    <n v="0"/>
    <n v="0"/>
    <n v="-103.62371134781137"/>
    <n v="0"/>
    <n v="0"/>
    <n v="0"/>
    <n v="0"/>
    <n v="0"/>
    <n v="0"/>
    <n v="0"/>
    <n v="0"/>
    <n v="0"/>
    <n v="0"/>
    <n v="0"/>
    <n v="0"/>
    <n v="55.67153421145625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5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65"/>
    <n v="18.510000000000002"/>
    <n v="818.25"/>
    <n v="1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36"/>
    <s v="Regular"/>
    <s v="Branca"/>
    <s v="B1"/>
    <s v="Residencial"/>
    <s v="Residencial"/>
    <s v="Não se aplica"/>
    <s v="Não se aplica"/>
    <s v="Intermediário"/>
    <s v="CATIVO"/>
    <x v="9"/>
    <n v="0"/>
    <n v="0"/>
    <n v="0.253"/>
    <n v="0.253"/>
    <n v="0.253"/>
    <n v="0.253"/>
    <m/>
    <n v="503.9"/>
    <n v="173.25"/>
    <m/>
    <n v="171.31895"/>
    <n v="171.31895"/>
    <n v="156.37676999999999"/>
    <n v="0"/>
    <n v="15.570931349440711"/>
    <n v="0"/>
    <n v="0"/>
    <n v="0.97122968166394374"/>
    <n v="0.93314299128172196"/>
    <n v="89.386277156899709"/>
    <n v="43.096139058084191"/>
    <n v="0.73553008322693636"/>
    <n v="0"/>
    <n v="0"/>
    <n v="0"/>
    <n v="0"/>
    <n v="2.4057846601633286"/>
    <m/>
    <n v="0.30558774873376815"/>
    <n v="2.0617788456948403"/>
    <n v="9.6136514351995217"/>
    <n v="0"/>
    <n v="0"/>
    <n v="0"/>
    <n v="0"/>
    <n v="0"/>
    <n v="0"/>
    <n v="0"/>
    <n v="0"/>
    <n v="0"/>
    <n v="0"/>
    <m/>
    <n v="0"/>
    <n v="0"/>
    <n v="0"/>
    <n v="0"/>
    <n v="0"/>
    <n v="2.2617673317341032"/>
    <n v="0"/>
    <n v="0"/>
    <n v="0"/>
    <n v="0"/>
    <n v="0"/>
    <m/>
    <m/>
    <m/>
    <m/>
    <m/>
    <m/>
    <m/>
    <m/>
    <m/>
    <n v="45.357906389818297"/>
    <m/>
    <m/>
    <m/>
    <m/>
    <m/>
    <m/>
    <m/>
    <m/>
    <m/>
    <m/>
    <m/>
    <m/>
    <n v="154.52250000000001"/>
    <n v="-16.826449999999994"/>
    <m/>
    <m/>
    <m/>
    <m/>
    <n v="-20.404449999999994"/>
    <n v="5.4622700000000011"/>
    <n v="30"/>
    <n v="7.262455738878586"/>
    <n v="0.20545185503950103"/>
    <n v="0.95797981688926903"/>
    <n v="0"/>
    <n v="0"/>
    <n v="0"/>
    <n v="0"/>
    <n v="0"/>
    <n v="0.96082809617833909"/>
    <n v="0"/>
    <n v="0"/>
    <n v="5.4616532781296954"/>
    <n v="0"/>
    <n v="0"/>
    <n v="0"/>
    <n v="0.28663795021367067"/>
    <n v="0"/>
    <n v="-0.52873955584860788"/>
    <m/>
    <n v="0"/>
    <n v="0"/>
    <n v="0"/>
    <n v="0"/>
    <n v="-7.2710187359967815E-2"/>
    <n v="-8.6455143633151765E-3"/>
    <n v="0"/>
    <n v="0"/>
    <m/>
    <m/>
    <m/>
    <n v="89.386277156899709"/>
    <n v="0"/>
    <n v="0"/>
    <n v="-20.404449999999997"/>
    <n v="5.4622699999999966"/>
    <n v="0"/>
    <n v="0"/>
    <n v="-22.205067466410867"/>
    <n v="0"/>
    <n v="0"/>
    <n v="0"/>
    <n v="0"/>
    <n v="0"/>
    <n v="0"/>
    <n v="0"/>
    <n v="0"/>
    <n v="0"/>
    <n v="0"/>
    <n v="0"/>
    <n v="0"/>
    <n v="3.97653815796116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7"/>
    <s v="Regular"/>
    <s v="Convencional"/>
    <s v="B3"/>
    <s v="Industrial"/>
    <s v="Não se aplica"/>
    <s v="Não se aplica"/>
    <s v="Não se aplica"/>
    <s v="Não se aplica"/>
    <s v="CATIVO"/>
    <x v="9"/>
    <n v="0"/>
    <n v="0"/>
    <n v="474.49299999999999"/>
    <n v="474.49299999999999"/>
    <n v="474.49299999999999"/>
    <n v="474.49299999999999"/>
    <m/>
    <n v="368.24"/>
    <n v="173.25"/>
    <m/>
    <n v="256933.21456999998"/>
    <n v="256933.21456999998"/>
    <n v="241464.74277000001"/>
    <n v="0"/>
    <n v="29202.758611818859"/>
    <n v="0"/>
    <n v="0"/>
    <n v="1214.4825628743949"/>
    <n v="1166.845409730123"/>
    <n v="111760.70793937864"/>
    <n v="80825.360909436917"/>
    <n v="1379.4619596071095"/>
    <n v="0"/>
    <n v="0"/>
    <n v="0"/>
    <n v="0"/>
    <n v="4511.9683033789661"/>
    <m/>
    <n v="573.11955596811003"/>
    <n v="2578.1081536364763"/>
    <n v="12021.337979938502"/>
    <n v="0"/>
    <n v="0"/>
    <n v="0"/>
    <n v="0"/>
    <n v="0"/>
    <n v="0"/>
    <n v="0"/>
    <n v="0"/>
    <n v="0"/>
    <n v="0"/>
    <m/>
    <n v="0"/>
    <n v="0"/>
    <n v="0"/>
    <n v="0"/>
    <n v="0"/>
    <n v="4241.868642436797"/>
    <n v="0"/>
    <n v="211.21"/>
    <n v="2278.94"/>
    <n v="62880.45"/>
    <n v="294"/>
    <m/>
    <m/>
    <m/>
    <m/>
    <m/>
    <m/>
    <m/>
    <m/>
    <m/>
    <n v="85067.229551873708"/>
    <m/>
    <m/>
    <m/>
    <m/>
    <m/>
    <m/>
    <m/>
    <m/>
    <m/>
    <m/>
    <m/>
    <m/>
    <n v="241463.21610000002"/>
    <n v="-15470.02846999999"/>
    <m/>
    <m/>
    <m/>
    <m/>
    <n v="-25712.775669999999"/>
    <n v="10244.303870000002"/>
    <n v="30"/>
    <n v="12292.781670688157"/>
    <n v="256.90296695161487"/>
    <n v="1197.9006347806771"/>
    <n v="0"/>
    <n v="0"/>
    <n v="0"/>
    <n v="0"/>
    <n v="0"/>
    <n v="1201.4641529113171"/>
    <n v="0"/>
    <n v="0"/>
    <n v="10243.147228852147"/>
    <n v="0"/>
    <n v="0"/>
    <n v="0"/>
    <n v="537.57984549697812"/>
    <n v="0"/>
    <n v="-991.6332730168906"/>
    <m/>
    <n v="0"/>
    <n v="0"/>
    <n v="0"/>
    <n v="0"/>
    <n v="-136.36551356123891"/>
    <n v="-16.214371726452555"/>
    <n v="0"/>
    <n v="0"/>
    <m/>
    <m/>
    <m/>
    <n v="111760.70793937864"/>
    <n v="0"/>
    <n v="0"/>
    <n v="-25712.775669999974"/>
    <n v="10244.303870000003"/>
    <n v="0"/>
    <n v="0"/>
    <n v="-27763.25560054052"/>
    <n v="0"/>
    <n v="0"/>
    <n v="0"/>
    <n v="0"/>
    <n v="0"/>
    <n v="0"/>
    <n v="0"/>
    <n v="0"/>
    <n v="0"/>
    <n v="0"/>
    <n v="0"/>
    <n v="0"/>
    <n v="7457.86371614808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8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52.598999999999997"/>
    <n v="52.598999999999997"/>
    <n v="52.598999999999997"/>
    <n v="52.598999999999997"/>
    <m/>
    <n v="368.24"/>
    <n v="173.25"/>
    <m/>
    <n v="28481.83251"/>
    <n v="28481.83251"/>
    <n v="26767.105109999997"/>
    <n v="0"/>
    <n v="3237.2150911036833"/>
    <n v="0"/>
    <n v="0"/>
    <n v="134.62910585536625"/>
    <n v="129.34838175988844"/>
    <n v="12389.016227643773"/>
    <n v="8959.7384123168777"/>
    <n v="152.9175764729392"/>
    <n v="0"/>
    <n v="0"/>
    <n v="0"/>
    <n v="0"/>
    <n v="500.16548355703918"/>
    <m/>
    <n v="63.532055318764698"/>
    <n v="285.7911724158734"/>
    <n v="1332.6020750712555"/>
    <n v="0"/>
    <n v="0"/>
    <n v="0"/>
    <n v="0"/>
    <n v="0"/>
    <n v="0"/>
    <n v="0"/>
    <n v="0"/>
    <n v="0"/>
    <n v="0"/>
    <m/>
    <n v="0"/>
    <n v="0"/>
    <n v="0"/>
    <n v="0"/>
    <n v="0"/>
    <n v="470.22411020506752"/>
    <n v="0"/>
    <n v="24.53"/>
    <n v="265.74"/>
    <n v="13169.16"/>
    <n v="60"/>
    <m/>
    <m/>
    <m/>
    <m/>
    <m/>
    <m/>
    <m/>
    <m/>
    <m/>
    <n v="9429.9625225219461"/>
    <m/>
    <m/>
    <m/>
    <m/>
    <m/>
    <m/>
    <m/>
    <m/>
    <m/>
    <m/>
    <m/>
    <m/>
    <n v="26767.614000000001"/>
    <n v="-1714.248509999994"/>
    <m/>
    <m/>
    <m/>
    <m/>
    <n v="-2850.3398099999995"/>
    <n v="1135.6124100000002"/>
    <n v="30"/>
    <n v="1362.6924382372854"/>
    <n v="28.478479469007937"/>
    <n v="132.79094842037466"/>
    <n v="0"/>
    <n v="0"/>
    <n v="0"/>
    <n v="0"/>
    <n v="0"/>
    <n v="133.18597530202206"/>
    <n v="0"/>
    <n v="0"/>
    <n v="1135.4841927918733"/>
    <n v="0"/>
    <n v="0"/>
    <n v="0"/>
    <n v="59.592369736319597"/>
    <n v="0"/>
    <n v="-109.92558062482567"/>
    <m/>
    <n v="0"/>
    <n v="0"/>
    <n v="0"/>
    <n v="0"/>
    <n v="-15.116534169750821"/>
    <n v="-1.7974126877312813"/>
    <n v="0"/>
    <n v="0"/>
    <m/>
    <m/>
    <m/>
    <n v="12389.016227643773"/>
    <n v="0"/>
    <n v="0"/>
    <n v="-2850.3398100000013"/>
    <n v="1135.6124099999997"/>
    <n v="0"/>
    <n v="0"/>
    <n v="-3077.6417804537268"/>
    <n v="0"/>
    <n v="0"/>
    <n v="0"/>
    <n v="0"/>
    <n v="0"/>
    <n v="0"/>
    <n v="0"/>
    <n v="0"/>
    <n v="0"/>
    <n v="0"/>
    <n v="0"/>
    <n v="0"/>
    <n v="826.726998302763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39"/>
    <s v="Regular"/>
    <s v="Azul"/>
    <s v="A4"/>
    <s v="Industrial"/>
    <s v="Não se aplica"/>
    <s v="Não se aplica"/>
    <s v="Não se aplica"/>
    <s v="Ponta"/>
    <s v="CATIVO"/>
    <x v="9"/>
    <n v="10527"/>
    <n v="10527"/>
    <n v="432.99599999999998"/>
    <n v="432.99599999999998"/>
    <n v="432.99599999999998"/>
    <n v="432.99599999999998"/>
    <n v="52.95"/>
    <n v="85.01"/>
    <n v="173.25"/>
    <n v="557404.65"/>
    <n v="111825.54696000001"/>
    <n v="669230.19696000009"/>
    <n v="586482.74531999999"/>
    <n v="0"/>
    <n v="23184.471785797268"/>
    <n v="0"/>
    <n v="0"/>
    <n v="8291.7626501431132"/>
    <n v="7966.3257035121687"/>
    <n v="441436.20716106077"/>
    <n v="73756.742401558178"/>
    <n v="1258.8204897902392"/>
    <n v="0"/>
    <n v="0"/>
    <n v="0"/>
    <n v="0"/>
    <n v="4117.3720739607934"/>
    <m/>
    <n v="346.74918398080581"/>
    <n v="17601.679641596649"/>
    <n v="82072.965080109527"/>
    <n v="0"/>
    <n v="0"/>
    <n v="0"/>
    <n v="0"/>
    <n v="0"/>
    <n v="0"/>
    <n v="0"/>
    <n v="0"/>
    <n v="0"/>
    <n v="0"/>
    <m/>
    <n v="0"/>
    <n v="0"/>
    <n v="0"/>
    <n v="0"/>
    <n v="0"/>
    <n v="3238.2283858148849"/>
    <n v="0"/>
    <n v="0"/>
    <n v="0"/>
    <n v="0"/>
    <n v="0"/>
    <m/>
    <m/>
    <m/>
    <m/>
    <m/>
    <m/>
    <m/>
    <m/>
    <m/>
    <n v="76994.970787373066"/>
    <m/>
    <m/>
    <m/>
    <m/>
    <m/>
    <m/>
    <m/>
    <m/>
    <m/>
    <m/>
    <m/>
    <m/>
    <n v="586483.86"/>
    <n v="-82746.36696000013"/>
    <m/>
    <m/>
    <m/>
    <m/>
    <n v="-92095.835280000028"/>
    <n v="9348.3836400000018"/>
    <n v="30"/>
    <n v="26971.235116683529"/>
    <n v="1753.9697537047941"/>
    <n v="8178.3955439789861"/>
    <n v="0"/>
    <n v="0"/>
    <n v="0"/>
    <n v="0"/>
    <n v="0"/>
    <n v="8202.6759357947958"/>
    <n v="0"/>
    <n v="0"/>
    <n v="9347.3281534270645"/>
    <n v="0"/>
    <n v="0"/>
    <n v="0"/>
    <n v="410.38666259363436"/>
    <n v="0"/>
    <n v="-787.27129671964576"/>
    <m/>
    <n v="0"/>
    <n v="0"/>
    <n v="0"/>
    <n v="0"/>
    <n v="-124.43960587397942"/>
    <n v="-9.8100302220744879"/>
    <n v="0"/>
    <n v="0"/>
    <m/>
    <m/>
    <n v="441436.20716106077"/>
    <n v="0"/>
    <n v="0"/>
    <n v="0"/>
    <n v="-92095.835280000058"/>
    <n v="9348.38364"/>
    <n v="0"/>
    <n v="0"/>
    <n v="-109660.24174966081"/>
    <n v="0"/>
    <n v="0"/>
    <n v="0"/>
    <n v="0"/>
    <n v="0"/>
    <n v="0"/>
    <n v="0"/>
    <n v="0"/>
    <n v="0"/>
    <n v="0"/>
    <n v="0"/>
    <n v="0"/>
    <n v="5920.90059736269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40"/>
    <s v="Regular"/>
    <s v="Azul"/>
    <s v="A4"/>
    <s v="Industrial"/>
    <s v="Não se aplica"/>
    <s v="Não se aplica"/>
    <s v="Não se aplica"/>
    <s v="Fora ponta"/>
    <s v="CATIVO"/>
    <x v="9"/>
    <n v="11216"/>
    <n v="11216"/>
    <n v="4075.2759999999998"/>
    <n v="4075.2759999999998"/>
    <n v="4075.2759999999998"/>
    <n v="4075.2759999999998"/>
    <n v="27.19"/>
    <n v="85.01"/>
    <n v="173.25"/>
    <n v="304963.04000000004"/>
    <n v="1052480.7797599998"/>
    <n v="1357443.8197599999"/>
    <n v="1379717.3229199999"/>
    <n v="0"/>
    <n v="218207.83896695756"/>
    <n v="0"/>
    <n v="0"/>
    <n v="2615.5780802035579"/>
    <n v="2512.7747583786759"/>
    <n v="268421.65120727691"/>
    <n v="694184.43160503195"/>
    <n v="11847.779033410023"/>
    <n v="0"/>
    <n v="0"/>
    <n v="0"/>
    <n v="0"/>
    <n v="38751.922872457588"/>
    <m/>
    <n v="3263.5373710070357"/>
    <n v="5550.6282655106443"/>
    <n v="25887.524463216872"/>
    <n v="0"/>
    <n v="0"/>
    <n v="0"/>
    <n v="0"/>
    <n v="0"/>
    <n v="0"/>
    <n v="0"/>
    <n v="0"/>
    <n v="0"/>
    <n v="0"/>
    <m/>
    <n v="0"/>
    <n v="0"/>
    <n v="0"/>
    <n v="0"/>
    <n v="0"/>
    <n v="30477.589684962772"/>
    <n v="0"/>
    <n v="0"/>
    <n v="0"/>
    <n v="0"/>
    <n v="0"/>
    <m/>
    <m/>
    <m/>
    <m/>
    <m/>
    <m/>
    <m/>
    <m/>
    <m/>
    <n v="724662.02128999471"/>
    <m/>
    <m/>
    <m/>
    <m/>
    <m/>
    <m/>
    <m/>
    <m/>
    <m/>
    <m/>
    <m/>
    <m/>
    <n v="1379718.4376000001"/>
    <n v="22274.587840000167"/>
    <m/>
    <m/>
    <m/>
    <m/>
    <n v="-65711.705680000028"/>
    <n v="87985.208840000007"/>
    <n v="30"/>
    <n v="88884.646410931135"/>
    <n v="553.10824250868154"/>
    <n v="2579.6364796613198"/>
    <n v="0"/>
    <n v="0"/>
    <n v="0"/>
    <n v="0"/>
    <n v="0"/>
    <n v="2587.3254257653898"/>
    <n v="0"/>
    <n v="0"/>
    <n v="87975.274801119696"/>
    <n v="0"/>
    <n v="0"/>
    <n v="0"/>
    <n v="3862.4812164267969"/>
    <n v="0"/>
    <n v="-7409.6477127050748"/>
    <m/>
    <n v="0"/>
    <n v="0"/>
    <n v="0"/>
    <n v="0"/>
    <n v="-1171.2019031762102"/>
    <n v="-92.330138669398366"/>
    <n v="0"/>
    <n v="0"/>
    <m/>
    <m/>
    <n v="268421.65120727691"/>
    <n v="0"/>
    <n v="0"/>
    <n v="0"/>
    <n v="-65711.70568000013"/>
    <n v="87985.208840000094"/>
    <n v="0"/>
    <n v="0"/>
    <n v="-66680.491279895272"/>
    <n v="0"/>
    <n v="0"/>
    <n v="0"/>
    <n v="0"/>
    <n v="0"/>
    <n v="0"/>
    <n v="0"/>
    <n v="0"/>
    <n v="0"/>
    <n v="0"/>
    <n v="0"/>
    <n v="0"/>
    <n v="55726.39031958232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41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20.23"/>
    <n v="17360.03"/>
    <n v="459159.07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42"/>
    <s v="Regular"/>
    <s v="Verde"/>
    <s v="A4"/>
    <s v="Industrial"/>
    <s v="Não se aplica"/>
    <s v="Não se aplica"/>
    <s v="Não se aplica"/>
    <s v="Ponta"/>
    <s v="CATIVO"/>
    <x v="9"/>
    <n v="0"/>
    <n v="0"/>
    <n v="158.399"/>
    <n v="158.399"/>
    <n v="158.399"/>
    <n v="158.399"/>
    <m/>
    <n v="1358.36"/>
    <n v="173.25"/>
    <m/>
    <n v="242605.49238999997"/>
    <n v="242605.49238999997"/>
    <n v="212717.18508"/>
    <n v="0"/>
    <n v="8481.3650620294447"/>
    <n v="0"/>
    <n v="0"/>
    <n v="3000.4078502607726"/>
    <n v="2882.7280311835539"/>
    <n v="159746.61383346023"/>
    <n v="26981.760200242996"/>
    <n v="460.50288400420351"/>
    <n v="0"/>
    <n v="0"/>
    <n v="0"/>
    <n v="0"/>
    <n v="1506.2208868980676"/>
    <m/>
    <n v="126.84810943605868"/>
    <n v="6369.3540246107832"/>
    <n v="29699.194930577814"/>
    <n v="0"/>
    <n v="0"/>
    <n v="0"/>
    <n v="0"/>
    <n v="0"/>
    <n v="0"/>
    <n v="0"/>
    <n v="0"/>
    <n v="0"/>
    <n v="0"/>
    <m/>
    <n v="0"/>
    <n v="0"/>
    <n v="0"/>
    <n v="0"/>
    <n v="0"/>
    <n v="1184.611724091428"/>
    <n v="0"/>
    <n v="0"/>
    <n v="0"/>
    <n v="0"/>
    <n v="0"/>
    <m/>
    <m/>
    <m/>
    <m/>
    <m/>
    <m/>
    <m/>
    <m/>
    <m/>
    <n v="28166.371924334424"/>
    <m/>
    <m/>
    <m/>
    <m/>
    <m/>
    <m/>
    <m/>
    <m/>
    <m/>
    <m/>
    <m/>
    <m/>
    <n v="212718.52799999999"/>
    <n v="-29886.994390000007"/>
    <m/>
    <m/>
    <m/>
    <m/>
    <n v="-33308.141719999992"/>
    <n v="3419.8344100000004"/>
    <n v="30"/>
    <n v="9794.8732025910722"/>
    <n v="634.69251442366749"/>
    <n v="2959.461294506953"/>
    <n v="0"/>
    <n v="0"/>
    <n v="0"/>
    <n v="0"/>
    <n v="0"/>
    <n v="2968.2547175299942"/>
    <n v="0"/>
    <n v="0"/>
    <n v="3419.4482909188337"/>
    <n v="0"/>
    <n v="0"/>
    <n v="0"/>
    <n v="150.1280311323178"/>
    <n v="0"/>
    <n v="-288.00031900778413"/>
    <m/>
    <n v="0"/>
    <n v="0"/>
    <n v="0"/>
    <n v="0"/>
    <n v="-45.522612520283019"/>
    <n v="-3.5887143926188116"/>
    <n v="0"/>
    <n v="0"/>
    <m/>
    <m/>
    <m/>
    <n v="159746.61383346023"/>
    <n v="0"/>
    <n v="0"/>
    <n v="-33308.141719999985"/>
    <n v="3419.8344099999995"/>
    <n v="0"/>
    <n v="0"/>
    <n v="-39683.7685887322"/>
    <n v="0"/>
    <n v="0"/>
    <n v="0"/>
    <n v="0"/>
    <n v="0"/>
    <n v="0"/>
    <n v="0"/>
    <n v="0"/>
    <n v="0"/>
    <n v="0"/>
    <n v="0"/>
    <n v="0"/>
    <n v="2165.989371083460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43"/>
    <s v="Sistema de Compensação"/>
    <s v="Verde"/>
    <s v="A4"/>
    <s v="Industrial"/>
    <s v="Não se aplica"/>
    <s v="Não se aplica"/>
    <s v="Não se aplica"/>
    <s v="Ponta"/>
    <s v="CATIVO"/>
    <x v="9"/>
    <n v="0"/>
    <n v="0"/>
    <n v="1.7470000000000001"/>
    <n v="1.7470000000000001"/>
    <n v="1.7470000000000001"/>
    <n v="1.7470000000000001"/>
    <m/>
    <n v="1358.36"/>
    <n v="173.25"/>
    <m/>
    <n v="2675.7226700000001"/>
    <n v="2675.7226700000001"/>
    <n v="2346.08124"/>
    <n v="0"/>
    <n v="93.541908492890997"/>
    <n v="0"/>
    <n v="0"/>
    <n v="33.091828322183666"/>
    <n v="31.793924649004531"/>
    <n v="1761.862981250229"/>
    <n v="297.58480211254181"/>
    <n v="5.0789369778555642"/>
    <n v="0"/>
    <n v="0"/>
    <n v="0"/>
    <n v="0"/>
    <n v="16.612275894487492"/>
    <m/>
    <n v="1.3990217563544878"/>
    <n v="70.248306371852337"/>
    <n v="327.55568875889014"/>
    <n v="0"/>
    <n v="0"/>
    <n v="0"/>
    <n v="0"/>
    <n v="0"/>
    <n v="0"/>
    <n v="0"/>
    <n v="0"/>
    <n v="0"/>
    <n v="0"/>
    <m/>
    <n v="0"/>
    <n v="0"/>
    <n v="0"/>
    <n v="0"/>
    <n v="0"/>
    <n v="13.065213050509945"/>
    <n v="0"/>
    <n v="0"/>
    <n v="0"/>
    <n v="0"/>
    <n v="0"/>
    <m/>
    <m/>
    <m/>
    <m/>
    <m/>
    <m/>
    <m/>
    <m/>
    <m/>
    <n v="310.65001516305176"/>
    <m/>
    <m/>
    <m/>
    <m/>
    <m/>
    <m/>
    <m/>
    <m/>
    <m/>
    <m/>
    <m/>
    <m/>
    <n v="2350.1099999999997"/>
    <n v="-325.64267000000109"/>
    <m/>
    <m/>
    <m/>
    <m/>
    <n v="-367.35915999999997"/>
    <n v="37.71773000000001"/>
    <n v="30"/>
    <n v="108.02873430341492"/>
    <n v="7.0000935782305902"/>
    <n v="32.640224253332747"/>
    <n v="0"/>
    <n v="0"/>
    <n v="0"/>
    <n v="0"/>
    <n v="0"/>
    <n v="32.737207883414037"/>
    <n v="0"/>
    <n v="0"/>
    <n v="37.713471450168299"/>
    <n v="0"/>
    <n v="0"/>
    <n v="0"/>
    <n v="1.6557785742849358"/>
    <n v="0"/>
    <n v="-3.1763872076629269"/>
    <m/>
    <n v="0"/>
    <n v="0"/>
    <n v="0"/>
    <n v="0"/>
    <n v="-0.50207390244215233"/>
    <n v="-3.9580325910549163E-2"/>
    <n v="0"/>
    <n v="0"/>
    <m/>
    <m/>
    <m/>
    <n v="1761.862981250229"/>
    <n v="0"/>
    <n v="0"/>
    <n v="-367.35915999999997"/>
    <n v="37.717730000000017"/>
    <n v="0"/>
    <n v="0"/>
    <n v="-437.67665025988254"/>
    <n v="0"/>
    <n v="0"/>
    <n v="0"/>
    <n v="0"/>
    <n v="0"/>
    <n v="0"/>
    <n v="0"/>
    <n v="0"/>
    <n v="0"/>
    <n v="0"/>
    <n v="0"/>
    <n v="0"/>
    <n v="23.88893510238578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44"/>
    <s v="Regular"/>
    <s v="Verde"/>
    <s v="A4"/>
    <s v="Industrial"/>
    <s v="Não se aplica"/>
    <s v="Não se aplica"/>
    <s v="Não se aplica"/>
    <s v="Fora ponta"/>
    <s v="CATIVO"/>
    <x v="9"/>
    <n v="0"/>
    <n v="0"/>
    <n v="2901.8679999999999"/>
    <n v="2901.8679999999999"/>
    <n v="2901.8679999999999"/>
    <n v="2901.8679999999999"/>
    <m/>
    <n v="85.01"/>
    <n v="173.25"/>
    <m/>
    <n v="749436.42968000006"/>
    <n v="749436.42968000006"/>
    <n v="808663.55556000001"/>
    <n v="0"/>
    <n v="155378.51798193966"/>
    <n v="0"/>
    <n v="0"/>
    <n v="0"/>
    <n v="0"/>
    <n v="0"/>
    <n v="494305.56069646106"/>
    <n v="8436.4079508046761"/>
    <n v="0"/>
    <n v="0"/>
    <n v="0"/>
    <n v="0"/>
    <n v="27593.950672801733"/>
    <m/>
    <n v="2323.8560195013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702.0742212119"/>
    <n v="0"/>
    <n v="0"/>
    <n v="0"/>
    <n v="0"/>
    <n v="0"/>
    <m/>
    <m/>
    <m/>
    <m/>
    <m/>
    <m/>
    <m/>
    <m/>
    <m/>
    <n v="516007.63491767296"/>
    <m/>
    <m/>
    <m/>
    <m/>
    <m/>
    <m/>
    <m/>
    <m/>
    <m/>
    <m/>
    <m/>
    <m/>
    <n v="808664.11290000007"/>
    <n v="59227.653219999978"/>
    <m/>
    <m/>
    <m/>
    <m/>
    <n v="-3424.2042400000196"/>
    <n v="62651.330120000006"/>
    <n v="30"/>
    <n v="59218.718582777423"/>
    <n v="0"/>
    <n v="0"/>
    <n v="0"/>
    <n v="0"/>
    <n v="0"/>
    <n v="0"/>
    <n v="0"/>
    <n v="0"/>
    <n v="0"/>
    <n v="0"/>
    <n v="62644.256422528357"/>
    <n v="0"/>
    <n v="0"/>
    <n v="0"/>
    <n v="2750.3439380670134"/>
    <n v="0"/>
    <n v="-5276.1627896544815"/>
    <m/>
    <n v="0"/>
    <n v="0"/>
    <n v="0"/>
    <n v="0"/>
    <n v="-833.97377855295053"/>
    <n v="-65.745209610414349"/>
    <n v="0"/>
    <n v="0"/>
    <m/>
    <m/>
    <m/>
    <n v="0"/>
    <n v="0"/>
    <n v="0"/>
    <n v="-3424.2042400000209"/>
    <n v="62651.330119999999"/>
    <n v="0"/>
    <n v="0"/>
    <n v="0"/>
    <n v="0"/>
    <n v="0"/>
    <n v="0"/>
    <n v="0"/>
    <n v="0"/>
    <n v="0"/>
    <n v="0"/>
    <n v="0"/>
    <n v="0"/>
    <n v="0"/>
    <n v="0"/>
    <n v="0"/>
    <n v="39680.90230548942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45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44.44"/>
    <n v="44.44"/>
    <n v="44.44"/>
    <n v="44.44"/>
    <m/>
    <n v="85.01"/>
    <n v="173.25"/>
    <m/>
    <n v="11477.0744"/>
    <n v="11477.0744"/>
    <n v="12384.094799999999"/>
    <n v="0"/>
    <n v="2379.5091090006158"/>
    <n v="0"/>
    <n v="0"/>
    <n v="0"/>
    <n v="0"/>
    <n v="0"/>
    <n v="7569.9305128113092"/>
    <n v="129.19745809725316"/>
    <n v="0"/>
    <n v="0"/>
    <n v="0"/>
    <n v="0"/>
    <n v="422.58130552434119"/>
    <m/>
    <n v="35.588166486773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2.35149854874749"/>
    <n v="0"/>
    <n v="0"/>
    <n v="0"/>
    <n v="0"/>
    <n v="0"/>
    <m/>
    <m/>
    <m/>
    <m/>
    <m/>
    <m/>
    <m/>
    <m/>
    <m/>
    <n v="7902.2820113600565"/>
    <m/>
    <m/>
    <m/>
    <m/>
    <m/>
    <m/>
    <m/>
    <m/>
    <m/>
    <m/>
    <m/>
    <m/>
    <n v="12384.094799999999"/>
    <n v="906.99039999999877"/>
    <m/>
    <m/>
    <m/>
    <m/>
    <n v="-52.439200000000298"/>
    <n v="959.45960000000014"/>
    <n v="30"/>
    <n v="906.89164835155316"/>
    <n v="0"/>
    <n v="0"/>
    <n v="0"/>
    <n v="0"/>
    <n v="0"/>
    <n v="0"/>
    <n v="0"/>
    <n v="0"/>
    <n v="0"/>
    <n v="0"/>
    <n v="959.35127146278046"/>
    <n v="0"/>
    <n v="0"/>
    <n v="0"/>
    <n v="42.119519084844057"/>
    <n v="0"/>
    <n v="-80.800599604202034"/>
    <m/>
    <n v="0"/>
    <n v="0"/>
    <n v="0"/>
    <n v="0"/>
    <n v="-12.77170247540306"/>
    <n v="-1.0068401164652556"/>
    <n v="0"/>
    <n v="0"/>
    <m/>
    <m/>
    <m/>
    <n v="0"/>
    <n v="0"/>
    <n v="0"/>
    <n v="-52.439200000000255"/>
    <n v="959.45960000000014"/>
    <n v="0"/>
    <n v="0"/>
    <n v="0"/>
    <n v="0"/>
    <n v="0"/>
    <n v="0"/>
    <n v="0"/>
    <n v="0"/>
    <n v="0"/>
    <n v="0"/>
    <n v="0"/>
    <n v="0"/>
    <n v="0"/>
    <n v="0"/>
    <n v="0"/>
    <n v="607.6841877218225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46"/>
    <s v="Regular"/>
    <s v="Verde"/>
    <s v="A4"/>
    <s v="Industrial"/>
    <s v="Não se aplica"/>
    <s v="Não se aplica"/>
    <s v="Não se aplica"/>
    <s v="Não se aplica"/>
    <s v="CATIVO"/>
    <x v="9"/>
    <n v="17695"/>
    <n v="17695"/>
    <n v="0"/>
    <n v="0"/>
    <n v="0"/>
    <n v="0"/>
    <n v="27.19"/>
    <m/>
    <m/>
    <n v="481127.05000000005"/>
    <m/>
    <n v="481127.05000000005"/>
    <n v="385043.20000000001"/>
    <n v="0"/>
    <n v="0"/>
    <n v="0"/>
    <n v="0"/>
    <n v="4126.4848546007452"/>
    <n v="3964.2964826596531"/>
    <n v="423477.27515270736"/>
    <m/>
    <m/>
    <m/>
    <n v="0"/>
    <n v="0"/>
    <n v="0"/>
    <n v="0"/>
    <m/>
    <n v="0"/>
    <n v="8756.9870861457603"/>
    <n v="40841.632077088318"/>
    <n v="0"/>
    <n v="0"/>
    <m/>
    <m/>
    <n v="0"/>
    <n v="0"/>
    <n v="0"/>
    <m/>
    <m/>
    <n v="0"/>
    <m/>
    <n v="0"/>
    <n v="0"/>
    <n v="0"/>
    <n v="0"/>
    <m/>
    <n v="0"/>
    <n v="0"/>
    <n v="1166.6500000000001"/>
    <n v="12506.16"/>
    <n v="339144.49"/>
    <n v="99"/>
    <m/>
    <m/>
    <m/>
    <m/>
    <m/>
    <m/>
    <m/>
    <m/>
    <m/>
    <n v="0"/>
    <m/>
    <m/>
    <m/>
    <m/>
    <m/>
    <m/>
    <m/>
    <m/>
    <m/>
    <m/>
    <m/>
    <m/>
    <n v="385043.20000000001"/>
    <n v="-96083.880000000063"/>
    <m/>
    <m/>
    <m/>
    <m/>
    <n v="-96083.849999999991"/>
    <n v="0"/>
    <n v="30"/>
    <n v="9024.3082442685991"/>
    <n v="872.6150455769548"/>
    <n v="4069.7813398365761"/>
    <n v="0"/>
    <n v="0"/>
    <m/>
    <m/>
    <m/>
    <n v="4081.91185885507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3477.27515270736"/>
    <m/>
    <n v="0"/>
    <n v="0"/>
    <n v="-96083.850000000035"/>
    <m/>
    <n v="0"/>
    <m/>
    <n v="-105198.9384092143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47"/>
    <s v="Refaturamento - Regular"/>
    <s v="Verde"/>
    <s v="A4"/>
    <s v="Industrial"/>
    <s v="Não se aplica"/>
    <s v="Não se aplica"/>
    <s v="Não se aplica"/>
    <s v="Não se aplica"/>
    <s v="CATIVO"/>
    <x v="9"/>
    <n v="-43"/>
    <n v="-43"/>
    <n v="0"/>
    <n v="0"/>
    <n v="0"/>
    <n v="0"/>
    <n v="27.19"/>
    <m/>
    <m/>
    <n v="-1169.17"/>
    <m/>
    <n v="-1169.17"/>
    <n v="-935.68000000000006"/>
    <n v="0"/>
    <n v="0"/>
    <n v="0"/>
    <n v="0"/>
    <n v="-10.027626377385253"/>
    <n v="-9.6334980929282317"/>
    <n v="-1029.0773004558584"/>
    <m/>
    <m/>
    <m/>
    <n v="0"/>
    <n v="0"/>
    <n v="0"/>
    <n v="0"/>
    <m/>
    <n v="0"/>
    <n v="-21.280047736889951"/>
    <n v="-99.247820249494069"/>
    <n v="0"/>
    <n v="0"/>
    <m/>
    <m/>
    <n v="0"/>
    <n v="0"/>
    <n v="0"/>
    <m/>
    <m/>
    <n v="0"/>
    <m/>
    <n v="0"/>
    <n v="0"/>
    <n v="0"/>
    <n v="0"/>
    <m/>
    <n v="0"/>
    <n v="0"/>
    <n v="-1.98"/>
    <n v="-21.23"/>
    <n v="-588.67999999999995"/>
    <n v="0"/>
    <m/>
    <m/>
    <m/>
    <m/>
    <m/>
    <m/>
    <m/>
    <m/>
    <m/>
    <n v="0"/>
    <m/>
    <m/>
    <m/>
    <m/>
    <m/>
    <m/>
    <m/>
    <m/>
    <m/>
    <m/>
    <m/>
    <m/>
    <n v="-935.68000000000006"/>
    <n v="233.46000000000004"/>
    <m/>
    <m/>
    <m/>
    <m/>
    <n v="233.48999999999998"/>
    <n v="0"/>
    <n v="30"/>
    <n v="-21.929655524359987"/>
    <n v="-2.120511272099975"/>
    <n v="-9.8898331513406532"/>
    <n v="0"/>
    <n v="0"/>
    <m/>
    <m/>
    <m/>
    <n v="-9.919311100919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029.0773004558584"/>
    <m/>
    <n v="0"/>
    <n v="0"/>
    <n v="233.49"/>
    <m/>
    <n v="0"/>
    <m/>
    <n v="255.6402572249909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48"/>
    <s v="Sistema de Compensação"/>
    <s v="Verde"/>
    <s v="A4"/>
    <s v="Industrial"/>
    <s v="Não se aplica"/>
    <s v="Não se aplica"/>
    <s v="Não se aplica"/>
    <s v="Não se aplica"/>
    <s v="CATIVO"/>
    <x v="9"/>
    <n v="712"/>
    <n v="712"/>
    <n v="0"/>
    <n v="0"/>
    <n v="0"/>
    <n v="0"/>
    <n v="27.19"/>
    <m/>
    <m/>
    <n v="19359.280000000002"/>
    <m/>
    <n v="19359.280000000002"/>
    <n v="15493.12"/>
    <n v="0"/>
    <n v="0"/>
    <n v="0"/>
    <n v="0"/>
    <n v="166.03883676042557"/>
    <n v="159.51280563174188"/>
    <n v="17039.605533129565"/>
    <m/>
    <m/>
    <m/>
    <n v="0"/>
    <n v="0"/>
    <n v="0"/>
    <n v="0"/>
    <m/>
    <n v="0"/>
    <n v="352.35799973641036"/>
    <n v="1643.3592562241809"/>
    <n v="0"/>
    <n v="0"/>
    <m/>
    <m/>
    <n v="0"/>
    <n v="0"/>
    <n v="0"/>
    <m/>
    <m/>
    <n v="0"/>
    <m/>
    <n v="0"/>
    <n v="0"/>
    <n v="0"/>
    <n v="0"/>
    <m/>
    <n v="0"/>
    <n v="0"/>
    <n v="24.71"/>
    <n v="265.10000000000002"/>
    <n v="7533.03"/>
    <n v="6"/>
    <m/>
    <m/>
    <m/>
    <m/>
    <m/>
    <m/>
    <m/>
    <m/>
    <m/>
    <n v="0"/>
    <m/>
    <m/>
    <m/>
    <m/>
    <m/>
    <m/>
    <m/>
    <m/>
    <m/>
    <m/>
    <m/>
    <m/>
    <n v="15493.12"/>
    <n v="-3866.1899999999969"/>
    <m/>
    <m/>
    <m/>
    <m/>
    <n v="-3866.16"/>
    <n v="0"/>
    <n v="30"/>
    <n v="363.11429612428674"/>
    <n v="35.111721528725184"/>
    <n v="163.7572372966174"/>
    <n v="0"/>
    <n v="0"/>
    <m/>
    <m/>
    <m/>
    <n v="164.2453372989441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039.605533129565"/>
    <m/>
    <n v="0"/>
    <n v="0"/>
    <n v="-3866.1600000000017"/>
    <m/>
    <n v="0"/>
    <m/>
    <n v="-4232.927049864967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49"/>
    <s v="Regular"/>
    <s v="Branca"/>
    <s v="B3"/>
    <s v="Industrial"/>
    <s v="Não se aplica"/>
    <s v="Não se aplica"/>
    <s v="Não se aplica"/>
    <s v="Ponta"/>
    <s v="CATIVO"/>
    <x v="9"/>
    <n v="0"/>
    <n v="0"/>
    <n v="1.4E-2"/>
    <n v="1.4E-2"/>
    <n v="1.4E-2"/>
    <n v="1.4E-2"/>
    <m/>
    <n v="1553.42"/>
    <n v="173.25"/>
    <m/>
    <n v="24.173380000000002"/>
    <n v="24.173380000000002"/>
    <n v="22.935360000000003"/>
    <n v="0"/>
    <n v="0.86163256479118555"/>
    <n v="0"/>
    <n v="0"/>
    <n v="1.518289444708498"/>
    <n v="0.10499468145796631"/>
    <n v="10.057430648194986"/>
    <n v="2.384766588194382"/>
    <n v="4.0701269427577506E-2"/>
    <n v="0"/>
    <n v="0"/>
    <n v="0"/>
    <n v="0"/>
    <n v="0.13312642388255574"/>
    <m/>
    <n v="1.690999400107808E-2"/>
    <n v="4.4177555060834584"/>
    <n v="4.2924853227450042"/>
    <n v="0"/>
    <n v="0"/>
    <n v="0"/>
    <n v="0"/>
    <n v="0"/>
    <n v="0"/>
    <n v="0"/>
    <n v="0"/>
    <n v="0"/>
    <n v="0"/>
    <m/>
    <n v="0"/>
    <n v="0"/>
    <n v="0"/>
    <n v="0"/>
    <n v="0"/>
    <n v="0.12515708555050373"/>
    <n v="0"/>
    <n v="0"/>
    <n v="0"/>
    <n v="0"/>
    <n v="0"/>
    <m/>
    <m/>
    <m/>
    <m/>
    <m/>
    <m/>
    <m/>
    <m/>
    <m/>
    <n v="2.5099236737448858"/>
    <m/>
    <m/>
    <m/>
    <m/>
    <m/>
    <m/>
    <m/>
    <m/>
    <m/>
    <m/>
    <m/>
    <m/>
    <n v="16.382400000000001"/>
    <n v="-7.8209800000000058"/>
    <m/>
    <m/>
    <m/>
    <m/>
    <n v="-1.5402799999999999"/>
    <n v="0.30226000000000003"/>
    <n v="30"/>
    <n v="1.2603936639929003"/>
    <n v="0.44021989348229162"/>
    <n v="0.42773698747044975"/>
    <n v="0"/>
    <n v="0"/>
    <n v="0"/>
    <n v="0"/>
    <n v="0"/>
    <n v="0.10810973327414888"/>
    <n v="0"/>
    <n v="0"/>
    <n v="0.3022258730980858"/>
    <n v="0"/>
    <n v="0"/>
    <n v="0"/>
    <n v="1.5861388549373079E-2"/>
    <n v="0"/>
    <n v="-2.9258315343401176E-2"/>
    <m/>
    <n v="0"/>
    <n v="0"/>
    <n v="0"/>
    <n v="0"/>
    <n v="-4.0234886286148464E-3"/>
    <n v="-4.7840790943246003E-4"/>
    <n v="0"/>
    <n v="0"/>
    <m/>
    <m/>
    <m/>
    <n v="10.057430648194986"/>
    <n v="0"/>
    <n v="0"/>
    <n v="-1.5402799999999992"/>
    <n v="0.30225999999999997"/>
    <n v="0"/>
    <n v="0"/>
    <n v="-2.4984363728440613"/>
    <n v="0"/>
    <n v="0"/>
    <n v="0"/>
    <n v="0"/>
    <n v="0"/>
    <n v="0"/>
    <n v="0"/>
    <n v="0"/>
    <n v="0"/>
    <n v="0"/>
    <n v="0"/>
    <n v="0"/>
    <n v="0.2200455897686018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0"/>
    <s v="Regular"/>
    <s v="Branca"/>
    <s v="B3"/>
    <s v="Industrial"/>
    <s v="Não se aplica"/>
    <s v="Não se aplica"/>
    <s v="Não se aplica"/>
    <s v="Fora ponta"/>
    <s v="CATIVO"/>
    <x v="9"/>
    <n v="0"/>
    <n v="0"/>
    <n v="1.73"/>
    <n v="1.73"/>
    <n v="1.73"/>
    <n v="1.73"/>
    <m/>
    <n v="388.22"/>
    <n v="173.25"/>
    <m/>
    <n v="971.34310000000005"/>
    <n v="971.34310000000005"/>
    <n v="968.85189999999989"/>
    <n v="0"/>
    <n v="106.47316693491079"/>
    <n v="0"/>
    <n v="0"/>
    <n v="37.523439133510024"/>
    <n v="2.5948709839479847"/>
    <n v="248.56240089711631"/>
    <n v="294.68901411259151"/>
    <n v="5.0295140078363625"/>
    <n v="0"/>
    <n v="0"/>
    <n v="0"/>
    <n v="0"/>
    <n v="16.450622379772959"/>
    <m/>
    <n v="2.0895921158475055"/>
    <n v="109.18167179320547"/>
    <n v="106.08570869069796"/>
    <n v="0"/>
    <n v="0"/>
    <n v="0"/>
    <n v="0"/>
    <n v="0"/>
    <n v="0"/>
    <n v="0"/>
    <n v="0"/>
    <n v="0"/>
    <n v="0"/>
    <m/>
    <n v="0"/>
    <n v="0"/>
    <n v="0"/>
    <n v="0"/>
    <n v="0"/>
    <n v="15.465839857312247"/>
    <n v="0"/>
    <n v="0"/>
    <n v="0"/>
    <n v="0"/>
    <n v="0"/>
    <m/>
    <m/>
    <m/>
    <m/>
    <m/>
    <m/>
    <m/>
    <m/>
    <m/>
    <n v="310.15485396990374"/>
    <m/>
    <m/>
    <m/>
    <m/>
    <m/>
    <m/>
    <m/>
    <m/>
    <m/>
    <m/>
    <m/>
    <m/>
    <n v="968.85189999999989"/>
    <n v="-2.5212000000001353"/>
    <m/>
    <m/>
    <m/>
    <m/>
    <n v="-39.841900000000052"/>
    <n v="37.350700000000003"/>
    <n v="30"/>
    <n v="59.257491401212405"/>
    <n v="10.879720224633601"/>
    <n v="10.571214118912366"/>
    <n v="0"/>
    <n v="0"/>
    <n v="0"/>
    <n v="0"/>
    <n v="0"/>
    <n v="2.6718573365809224"/>
    <n v="0"/>
    <n v="0"/>
    <n v="37.346482889977722"/>
    <n v="0"/>
    <n v="0"/>
    <n v="0"/>
    <n v="1.960014442172529"/>
    <n v="0"/>
    <n v="-3.6154918245774468"/>
    <m/>
    <n v="0"/>
    <n v="0"/>
    <n v="0"/>
    <n v="0"/>
    <n v="-0.49718823767883258"/>
    <n v="-5.9117548808439668E-2"/>
    <n v="0"/>
    <n v="0"/>
    <m/>
    <m/>
    <m/>
    <n v="248.56240089711631"/>
    <n v="0"/>
    <n v="0"/>
    <n v="-39.841900000000123"/>
    <n v="37.350699999999961"/>
    <n v="0"/>
    <n v="0"/>
    <n v="-61.747116639004958"/>
    <n v="0"/>
    <n v="0"/>
    <n v="0"/>
    <n v="0"/>
    <n v="0"/>
    <n v="0"/>
    <n v="0"/>
    <n v="0"/>
    <n v="0"/>
    <n v="0"/>
    <n v="0"/>
    <n v="0"/>
    <n v="27.19134787854865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1"/>
    <s v="Regular"/>
    <s v="Branca"/>
    <s v="B3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89"/>
    <n v="9.57"/>
    <n v="261.4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52"/>
    <s v="Regular"/>
    <s v="Branca"/>
    <s v="B3"/>
    <s v="Industrial"/>
    <s v="Não se aplica"/>
    <s v="Não se aplica"/>
    <s v="Não se aplica"/>
    <s v="Intermediário"/>
    <s v="CATIVO"/>
    <x v="9"/>
    <n v="0"/>
    <n v="0"/>
    <n v="8.5000000000000006E-2"/>
    <n v="8.5000000000000006E-2"/>
    <n v="8.5000000000000006E-2"/>
    <n v="8.5000000000000006E-2"/>
    <m/>
    <n v="970.82"/>
    <n v="173.25"/>
    <m/>
    <n v="97.245950000000022"/>
    <n v="97.245950000000022"/>
    <n v="93.426050000000004"/>
    <n v="0"/>
    <n v="5.2313405719464843"/>
    <n v="0"/>
    <n v="0"/>
    <n v="5.5309115485809661"/>
    <n v="0.38248098318308366"/>
    <n v="36.637792229330977"/>
    <n v="14.478939999751606"/>
    <n v="0.24711485009600628"/>
    <n v="0"/>
    <n v="0"/>
    <n v="0"/>
    <n v="0"/>
    <n v="0.80826757357265988"/>
    <m/>
    <n v="0.10266782072083119"/>
    <n v="16.093252200732582"/>
    <n v="15.636910818571121"/>
    <n v="0"/>
    <n v="0"/>
    <n v="0"/>
    <n v="0"/>
    <n v="0"/>
    <n v="0"/>
    <n v="0"/>
    <n v="0"/>
    <n v="0"/>
    <n v="0"/>
    <m/>
    <n v="0"/>
    <n v="0"/>
    <n v="0"/>
    <n v="0"/>
    <n v="0"/>
    <n v="0.75988230512805843"/>
    <n v="0"/>
    <n v="0"/>
    <n v="0"/>
    <n v="0"/>
    <n v="0"/>
    <m/>
    <m/>
    <m/>
    <m/>
    <m/>
    <m/>
    <m/>
    <m/>
    <m/>
    <n v="15.238822304879665"/>
    <m/>
    <m/>
    <m/>
    <m/>
    <m/>
    <m/>
    <m/>
    <m/>
    <m/>
    <m/>
    <m/>
    <m/>
    <n v="98.921700000000001"/>
    <n v="1.6457499999999641"/>
    <m/>
    <m/>
    <m/>
    <m/>
    <n v="-5.6550500000000081"/>
    <n v="1.8351500000000005"/>
    <n v="30"/>
    <n v="5.281942979609596"/>
    <n v="1.6036581833997943"/>
    <n v="1.5581847400708391"/>
    <n v="0"/>
    <n v="0"/>
    <n v="0"/>
    <n v="0"/>
    <n v="0"/>
    <n v="0.39382868255961745"/>
    <n v="0"/>
    <n v="0"/>
    <n v="1.834942800952664"/>
    <n v="0"/>
    <n v="0"/>
    <n v="0"/>
    <n v="9.6301287621193721E-2"/>
    <n v="0"/>
    <n v="-0.17763977172779288"/>
    <m/>
    <n v="0"/>
    <n v="0"/>
    <n v="0"/>
    <n v="0"/>
    <n v="-2.4428323816589992E-2"/>
    <n v="-2.9046194501256423E-3"/>
    <n v="0"/>
    <n v="0"/>
    <m/>
    <m/>
    <m/>
    <n v="36.637792229330977"/>
    <n v="0"/>
    <n v="0"/>
    <n v="-5.655050000000017"/>
    <n v="1.8351500000000023"/>
    <n v="0"/>
    <n v="0"/>
    <n v="-9.1014490607391885"/>
    <n v="0"/>
    <n v="0"/>
    <n v="0"/>
    <n v="0"/>
    <n v="0"/>
    <n v="0"/>
    <n v="0"/>
    <n v="0"/>
    <n v="0"/>
    <n v="0"/>
    <n v="0"/>
    <n v="0"/>
    <n v="1.335991080737939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3"/>
    <s v="Regular"/>
    <s v="Convencional"/>
    <s v="B3"/>
    <s v="Comercial"/>
    <s v="Não se aplica"/>
    <s v="Não se aplica"/>
    <s v="Não se aplica"/>
    <s v="Não se aplica"/>
    <s v="CATIVO"/>
    <x v="9"/>
    <n v="0"/>
    <n v="0"/>
    <n v="2653.96"/>
    <n v="2653.96"/>
    <n v="2653.96"/>
    <n v="2653.96"/>
    <m/>
    <n v="368.24"/>
    <n v="173.25"/>
    <m/>
    <n v="1437092.8004000001"/>
    <n v="1437092.8004000001"/>
    <n v="1350573.7044000002"/>
    <n v="0"/>
    <n v="163338.45440380106"/>
    <n v="0"/>
    <n v="0"/>
    <n v="6792.9097848991014"/>
    <n v="6526.4630744971109"/>
    <n v="625106.05729229585"/>
    <n v="452076.79531459732"/>
    <n v="7715.6815007152563"/>
    <n v="0"/>
    <n v="0"/>
    <n v="0"/>
    <n v="0"/>
    <n v="25236.585994810546"/>
    <m/>
    <n v="3205.6034056500844"/>
    <n v="14420.014447895044"/>
    <n v="67238.400029584402"/>
    <n v="0"/>
    <n v="0"/>
    <n v="0"/>
    <n v="0"/>
    <n v="0"/>
    <n v="0"/>
    <n v="0"/>
    <n v="0"/>
    <n v="0"/>
    <n v="0"/>
    <m/>
    <n v="0"/>
    <n v="0"/>
    <n v="0"/>
    <n v="0"/>
    <n v="0"/>
    <n v="23725.849911972491"/>
    <n v="0"/>
    <n v="1162.1500000000001"/>
    <n v="12671.38"/>
    <n v="563198.25"/>
    <n v="4331"/>
    <m/>
    <m/>
    <m/>
    <m/>
    <m/>
    <m/>
    <m/>
    <m/>
    <m/>
    <n v="475802.64522656979"/>
    <m/>
    <m/>
    <m/>
    <m/>
    <m/>
    <m/>
    <m/>
    <m/>
    <m/>
    <m/>
    <m/>
    <m/>
    <n v="1350573.7044000002"/>
    <n v="-86519.125999999931"/>
    <m/>
    <m/>
    <m/>
    <m/>
    <n v="-143818.09239999999"/>
    <n v="57298.996400000011"/>
    <n v="30"/>
    <n v="68756.653612886788"/>
    <n v="1436.9236177792045"/>
    <n v="6700.1628447258845"/>
    <n v="0"/>
    <n v="0"/>
    <n v="0"/>
    <n v="0"/>
    <n v="0"/>
    <n v="6720.094507738826"/>
    <n v="0"/>
    <n v="0"/>
    <n v="57292.527011956845"/>
    <n v="0"/>
    <n v="0"/>
    <n v="0"/>
    <n v="3006.8207681781569"/>
    <n v="0"/>
    <n v="-5546.4570420552336"/>
    <m/>
    <n v="0"/>
    <n v="0"/>
    <n v="0"/>
    <n v="0"/>
    <n v="-762.72699148561514"/>
    <n v="-90.691103951241075"/>
    <n v="0"/>
    <n v="0"/>
    <m/>
    <m/>
    <m/>
    <n v="625106.05729229585"/>
    <n v="0"/>
    <n v="0"/>
    <n v="-143818.09239999996"/>
    <n v="57298.996400000004"/>
    <n v="0"/>
    <n v="0"/>
    <n v="-155286.9480342397"/>
    <n v="0"/>
    <n v="0"/>
    <n v="0"/>
    <n v="0"/>
    <n v="0"/>
    <n v="0"/>
    <n v="0"/>
    <n v="0"/>
    <n v="0"/>
    <n v="0"/>
    <n v="0"/>
    <n v="0"/>
    <n v="41713.7281015913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4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200.61"/>
    <n v="200.61"/>
    <n v="200.61"/>
    <n v="200.61"/>
    <m/>
    <n v="368.24"/>
    <n v="173.25"/>
    <m/>
    <n v="108628.3089"/>
    <n v="108628.3089"/>
    <n v="102088.42290000001"/>
    <n v="0"/>
    <n v="12346.579201625696"/>
    <n v="0"/>
    <n v="0"/>
    <n v="513.46879076874131"/>
    <n v="493.32836869239384"/>
    <n v="47251.098793277772"/>
    <n v="34172.001804119645"/>
    <n v="583.22011856188021"/>
    <n v="0"/>
    <n v="0"/>
    <n v="0"/>
    <n v="0"/>
    <n v="1907.6065639342505"/>
    <m/>
    <n v="242.30813546830527"/>
    <n v="1089.9934808332548"/>
    <n v="5082.4787976966218"/>
    <n v="0"/>
    <n v="0"/>
    <n v="0"/>
    <n v="0"/>
    <n v="0"/>
    <n v="0"/>
    <n v="0"/>
    <n v="0"/>
    <n v="0"/>
    <n v="0"/>
    <m/>
    <n v="0"/>
    <n v="0"/>
    <n v="0"/>
    <n v="0"/>
    <n v="0"/>
    <n v="1793.4116380204682"/>
    <n v="0"/>
    <n v="87.94"/>
    <n v="957.64"/>
    <n v="74311.820000000007"/>
    <n v="331"/>
    <m/>
    <m/>
    <m/>
    <m/>
    <m/>
    <m/>
    <m/>
    <m/>
    <m/>
    <n v="35965.41344214011"/>
    <m/>
    <m/>
    <m/>
    <m/>
    <m/>
    <m/>
    <m/>
    <m/>
    <m/>
    <m/>
    <m/>
    <m/>
    <n v="102088.42290000001"/>
    <n v="-6539.9159999999829"/>
    <m/>
    <m/>
    <m/>
    <m/>
    <n v="-10871.055899999999"/>
    <n v="4331.1699000000008"/>
    <n v="30"/>
    <n v="5197.2419634362377"/>
    <n v="108.6155205665068"/>
    <n v="506.45814868365051"/>
    <n v="0"/>
    <n v="0"/>
    <n v="0"/>
    <n v="0"/>
    <n v="0"/>
    <n v="507.96476178898172"/>
    <n v="0"/>
    <n v="0"/>
    <n v="4330.6808858719305"/>
    <n v="0"/>
    <n v="0"/>
    <n v="0"/>
    <n v="227.28236834926656"/>
    <n v="0"/>
    <n v="-419.25076007426469"/>
    <m/>
    <n v="0"/>
    <n v="0"/>
    <n v="0"/>
    <n v="0"/>
    <n v="-57.653718127601451"/>
    <n v="-6.8552436222318534"/>
    <n v="0"/>
    <n v="0"/>
    <m/>
    <m/>
    <m/>
    <n v="47251.098793277772"/>
    <n v="0"/>
    <n v="0"/>
    <n v="-10871.055899999999"/>
    <n v="4331.1699000000008"/>
    <n v="0"/>
    <n v="0"/>
    <n v="-11737.974440138067"/>
    <n v="0"/>
    <n v="0"/>
    <n v="0"/>
    <n v="0"/>
    <n v="0"/>
    <n v="0"/>
    <n v="0"/>
    <n v="0"/>
    <n v="0"/>
    <n v="0"/>
    <n v="0"/>
    <n v="0"/>
    <n v="3153.096125962800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5"/>
    <s v="Regular"/>
    <s v="Verde"/>
    <s v="A4"/>
    <s v="Comercial"/>
    <s v="Não se aplica"/>
    <s v="Não se aplica"/>
    <s v="Não se aplica"/>
    <s v="Ponta"/>
    <s v="CATIVO"/>
    <x v="9"/>
    <n v="0"/>
    <n v="0"/>
    <n v="73.665999999999997"/>
    <n v="73.665999999999997"/>
    <n v="73.665999999999997"/>
    <n v="73.665999999999997"/>
    <m/>
    <n v="1358.36"/>
    <n v="173.25"/>
    <m/>
    <n v="112827.58226"/>
    <n v="112827.58226"/>
    <n v="98927.544719999991"/>
    <n v="0"/>
    <n v="3944.3950950413896"/>
    <n v="0"/>
    <n v="0"/>
    <n v="1395.3878793256906"/>
    <n v="1340.6589886626032"/>
    <n v="74292.729465815311"/>
    <n v="12548.301106137667"/>
    <n v="214.16426526085172"/>
    <n v="0"/>
    <n v="0"/>
    <n v="0"/>
    <n v="0"/>
    <n v="700.49222440945357"/>
    <m/>
    <n v="58.99275140447034"/>
    <n v="2962.1704276982678"/>
    <n v="13812.087789417516"/>
    <n v="0"/>
    <n v="0"/>
    <n v="0"/>
    <n v="0"/>
    <n v="0"/>
    <n v="0"/>
    <n v="0"/>
    <n v="0"/>
    <n v="0"/>
    <n v="0"/>
    <m/>
    <n v="0"/>
    <n v="0"/>
    <n v="0"/>
    <n v="0"/>
    <n v="0"/>
    <n v="550.92271584365517"/>
    <n v="0"/>
    <n v="0"/>
    <n v="0"/>
    <n v="0"/>
    <n v="0"/>
    <m/>
    <m/>
    <m/>
    <m/>
    <m/>
    <m/>
    <m/>
    <m/>
    <m/>
    <n v="13099.223821981323"/>
    <m/>
    <m/>
    <m/>
    <m/>
    <m/>
    <m/>
    <m/>
    <m/>
    <m/>
    <m/>
    <m/>
    <m/>
    <n v="98932.916400000002"/>
    <n v="-13894.695859999978"/>
    <m/>
    <m/>
    <m/>
    <m/>
    <n v="-15490.486479999998"/>
    <n v="1590.4489400000002"/>
    <n v="30"/>
    <n v="4555.2631603865884"/>
    <n v="295.17395165079233"/>
    <n v="1376.3450256702963"/>
    <n v="0"/>
    <n v="0"/>
    <n v="0"/>
    <n v="0"/>
    <n v="0"/>
    <n v="1380.4345483340455"/>
    <n v="0"/>
    <n v="0"/>
    <n v="1590.269369117399"/>
    <n v="0"/>
    <n v="0"/>
    <n v="0"/>
    <n v="69.819453035646234"/>
    <n v="0"/>
    <n v="-133.93917575254545"/>
    <m/>
    <n v="0"/>
    <n v="0"/>
    <n v="0"/>
    <n v="0"/>
    <n v="-21.171022379681403"/>
    <n v="-1.6689892893683478"/>
    <n v="0"/>
    <n v="0"/>
    <m/>
    <m/>
    <m/>
    <n v="74292.729465815311"/>
    <n v="0"/>
    <n v="0"/>
    <n v="-15490.486480000007"/>
    <n v="1590.4489400000002"/>
    <n v="0"/>
    <n v="0"/>
    <n v="-18455.574194644818"/>
    <n v="0"/>
    <n v="0"/>
    <n v="0"/>
    <n v="0"/>
    <n v="0"/>
    <n v="0"/>
    <n v="0"/>
    <n v="0"/>
    <n v="0"/>
    <n v="0"/>
    <n v="0"/>
    <n v="0"/>
    <n v="1007.328158701975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6"/>
    <s v="Sistema de Compensação"/>
    <s v="Verde"/>
    <s v="A4"/>
    <s v="Comercial"/>
    <s v="Não se aplica"/>
    <s v="Não se aplica"/>
    <s v="Não se aplica"/>
    <s v="Ponta"/>
    <s v="CATIVO"/>
    <x v="9"/>
    <n v="0"/>
    <n v="0"/>
    <n v="5.0670000000000002"/>
    <n v="5.0670000000000002"/>
    <n v="5.0670000000000002"/>
    <n v="5.0670000000000002"/>
    <m/>
    <n v="1358.36"/>
    <n v="173.25"/>
    <m/>
    <n v="7760.6678700000002"/>
    <n v="7760.6678700000002"/>
    <n v="6804.57564"/>
    <n v="0"/>
    <n v="271.30901564595234"/>
    <n v="0"/>
    <n v="0"/>
    <n v="95.9795615961675"/>
    <n v="92.215120890959341"/>
    <n v="5110.1086010274239"/>
    <n v="863.11516445578104"/>
    <n v="14.730952299252515"/>
    <n v="0"/>
    <n v="0"/>
    <n v="0"/>
    <n v="0"/>
    <n v="48.182256415207853"/>
    <m/>
    <n v="4.0577236631071489"/>
    <n v="203.74823605390714"/>
    <n v="950.04274467160644"/>
    <n v="0"/>
    <n v="0"/>
    <n v="0"/>
    <n v="0"/>
    <n v="0"/>
    <n v="0"/>
    <n v="0"/>
    <n v="0"/>
    <n v="0"/>
    <n v="0"/>
    <m/>
    <n v="0"/>
    <n v="0"/>
    <n v="0"/>
    <n v="0"/>
    <n v="0"/>
    <n v="37.894352906086944"/>
    <n v="0"/>
    <n v="0"/>
    <n v="0"/>
    <n v="0"/>
    <n v="0"/>
    <m/>
    <m/>
    <m/>
    <m/>
    <m/>
    <m/>
    <m/>
    <m/>
    <m/>
    <n v="901.00951736186801"/>
    <m/>
    <m/>
    <m/>
    <m/>
    <m/>
    <m/>
    <m/>
    <m/>
    <m/>
    <m/>
    <m/>
    <m/>
    <n v="6808.6044000000002"/>
    <n v="-952.09347000000071"/>
    <m/>
    <m/>
    <m/>
    <m/>
    <n v="-1065.48876"/>
    <n v="109.39653000000003"/>
    <n v="30"/>
    <n v="313.32661517767792"/>
    <n v="20.30307622260699"/>
    <n v="94.669728844668953"/>
    <n v="0"/>
    <n v="0"/>
    <n v="0"/>
    <n v="0"/>
    <n v="0"/>
    <n v="94.951020231974169"/>
    <n v="0"/>
    <n v="0"/>
    <n v="109.38417849914288"/>
    <n v="0"/>
    <n v="0"/>
    <n v="0"/>
    <n v="4.8024213141967707"/>
    <n v="0"/>
    <n v="-9.2127956389399515"/>
    <m/>
    <n v="0"/>
    <n v="0"/>
    <n v="0"/>
    <n v="0"/>
    <n v="-1.4562154915136674"/>
    <n v="-0.11479880445835811"/>
    <n v="0"/>
    <n v="0"/>
    <m/>
    <m/>
    <m/>
    <n v="5110.1086010274239"/>
    <n v="0"/>
    <n v="0"/>
    <n v="-1065.4887600000002"/>
    <n v="109.39652999999998"/>
    <n v="0"/>
    <n v="0"/>
    <n v="-1269.4376570502714"/>
    <n v="0"/>
    <n v="0"/>
    <n v="0"/>
    <n v="0"/>
    <n v="0"/>
    <n v="0"/>
    <n v="0"/>
    <n v="0"/>
    <n v="0"/>
    <n v="0"/>
    <n v="0"/>
    <n v="0"/>
    <n v="69.2874837800737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7"/>
    <s v="Regular"/>
    <s v="Verde"/>
    <s v="A4"/>
    <s v="Comercial"/>
    <s v="Não se aplica"/>
    <s v="Não se aplica"/>
    <s v="Não se aplica"/>
    <s v="Fora ponta"/>
    <s v="CATIVO"/>
    <x v="9"/>
    <n v="0"/>
    <n v="0"/>
    <n v="901.64200000000005"/>
    <n v="901.64200000000005"/>
    <n v="901.64200000000005"/>
    <n v="901.64200000000005"/>
    <m/>
    <n v="85.01"/>
    <n v="173.25"/>
    <m/>
    <n v="232858.06292000003"/>
    <n v="232858.06292000003"/>
    <n v="251260.57614000002"/>
    <n v="0"/>
    <n v="48277.798201114616"/>
    <n v="0"/>
    <n v="0"/>
    <n v="0"/>
    <n v="0"/>
    <n v="0"/>
    <n v="153586.12257948279"/>
    <n v="2621.283854944274"/>
    <n v="0"/>
    <n v="0"/>
    <n v="0"/>
    <n v="0"/>
    <n v="8573.7410773082374"/>
    <m/>
    <n v="722.04738090610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43.0708788139027"/>
    <n v="0"/>
    <n v="0"/>
    <n v="0"/>
    <n v="0"/>
    <n v="0"/>
    <m/>
    <m/>
    <m/>
    <m/>
    <m/>
    <m/>
    <m/>
    <m/>
    <m/>
    <n v="160329.19345829671"/>
    <m/>
    <m/>
    <m/>
    <m/>
    <m/>
    <m/>
    <m/>
    <m/>
    <m/>
    <m/>
    <m/>
    <m/>
    <n v="251260.01880000002"/>
    <n v="18401.925879999995"/>
    <m/>
    <m/>
    <m/>
    <m/>
    <n v="-1063.9375600000062"/>
    <n v="19466.450780000003"/>
    <n v="30"/>
    <n v="18399.900981165469"/>
    <n v="0"/>
    <n v="0"/>
    <n v="0"/>
    <n v="0"/>
    <n v="0"/>
    <n v="0"/>
    <n v="0"/>
    <n v="0"/>
    <n v="0"/>
    <n v="0"/>
    <n v="19464.252905136032"/>
    <n v="0"/>
    <n v="0"/>
    <n v="0"/>
    <n v="854.56182328300929"/>
    <n v="0"/>
    <n v="-1639.3612562630951"/>
    <m/>
    <n v="0"/>
    <n v="0"/>
    <n v="0"/>
    <n v="0"/>
    <n v="-259.12473814868099"/>
    <n v="-20.427752841808456"/>
    <n v="0"/>
    <n v="0"/>
    <m/>
    <m/>
    <m/>
    <n v="0"/>
    <n v="0"/>
    <n v="0"/>
    <n v="-1063.9375600000058"/>
    <n v="19466.450779999985"/>
    <n v="0"/>
    <n v="0"/>
    <n v="0"/>
    <n v="0"/>
    <n v="0"/>
    <n v="0"/>
    <n v="0"/>
    <n v="0"/>
    <n v="0"/>
    <n v="0"/>
    <n v="0"/>
    <n v="0"/>
    <n v="0"/>
    <n v="0"/>
    <n v="0"/>
    <n v="12329.28862254454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8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43.497999999999998"/>
    <n v="43.497999999999998"/>
    <n v="43.497999999999998"/>
    <n v="43.497999999999998"/>
    <m/>
    <n v="85.01"/>
    <n v="173.25"/>
    <m/>
    <n v="11233.79348"/>
    <n v="11233.79348"/>
    <n v="12121.587659999997"/>
    <n v="0"/>
    <n v="2329.0703695614038"/>
    <n v="0"/>
    <n v="0"/>
    <n v="0"/>
    <n v="0"/>
    <n v="0"/>
    <n v="7409.4697895199442"/>
    <n v="126.4588441114833"/>
    <n v="0"/>
    <n v="0"/>
    <n v="0"/>
    <n v="0"/>
    <n v="413.62379900310066"/>
    <m/>
    <n v="34.83379986142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5.30660404755668"/>
    <n v="0"/>
    <n v="0"/>
    <n v="0"/>
    <n v="0"/>
    <n v="0"/>
    <m/>
    <m/>
    <m/>
    <m/>
    <m/>
    <m/>
    <m/>
    <m/>
    <m/>
    <n v="7734.7763935675011"/>
    <m/>
    <m/>
    <m/>
    <m/>
    <m/>
    <m/>
    <m/>
    <m/>
    <m/>
    <m/>
    <m/>
    <m/>
    <n v="12122.145"/>
    <n v="888.32151999999951"/>
    <m/>
    <m/>
    <m/>
    <m/>
    <n v="-51.327640000000294"/>
    <n v="939.12182000000007"/>
    <n v="30"/>
    <n v="887.66815751565809"/>
    <n v="0"/>
    <n v="0"/>
    <n v="0"/>
    <n v="0"/>
    <n v="0"/>
    <n v="0"/>
    <n v="0"/>
    <n v="0"/>
    <n v="0"/>
    <n v="0"/>
    <n v="939.01578771575259"/>
    <n v="0"/>
    <n v="0"/>
    <n v="0"/>
    <n v="41.226706596591953"/>
    <n v="0"/>
    <n v="-79.087859621592543"/>
    <m/>
    <n v="0"/>
    <n v="0"/>
    <n v="0"/>
    <n v="0"/>
    <n v="-12.500979169106301"/>
    <n v="-0.98549800598572546"/>
    <n v="0"/>
    <n v="0"/>
    <m/>
    <m/>
    <m/>
    <n v="0"/>
    <n v="0"/>
    <n v="0"/>
    <n v="-51.327640000000429"/>
    <n v="939.12181999999939"/>
    <n v="0"/>
    <n v="0"/>
    <n v="0"/>
    <n v="0"/>
    <n v="0"/>
    <n v="0"/>
    <n v="0"/>
    <n v="0"/>
    <n v="0"/>
    <n v="0"/>
    <n v="0"/>
    <n v="0"/>
    <n v="0"/>
    <n v="0"/>
    <n v="0"/>
    <n v="594.8030332476112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59"/>
    <s v="Regular"/>
    <s v="Verde"/>
    <s v="A4"/>
    <s v="Comercial"/>
    <s v="Não se aplica"/>
    <s v="Não se aplica"/>
    <s v="Não se aplica"/>
    <s v="Não se aplica"/>
    <s v="CATIVO"/>
    <x v="9"/>
    <n v="4346"/>
    <n v="4346"/>
    <n v="0"/>
    <n v="0"/>
    <n v="0"/>
    <n v="0"/>
    <n v="27.19"/>
    <m/>
    <m/>
    <n v="118167.74"/>
    <m/>
    <n v="118167.74"/>
    <n v="94568.960000000006"/>
    <n v="0"/>
    <n v="0"/>
    <n v="0"/>
    <n v="0"/>
    <n v="1013.4898659561932"/>
    <n v="973.65541190386273"/>
    <n v="104008.60343677118"/>
    <m/>
    <m/>
    <m/>
    <n v="0"/>
    <n v="0"/>
    <n v="0"/>
    <n v="0"/>
    <m/>
    <n v="0"/>
    <n v="2150.7694759191563"/>
    <n v="10030.954111727935"/>
    <n v="0"/>
    <n v="0"/>
    <m/>
    <m/>
    <n v="0"/>
    <n v="0"/>
    <n v="0"/>
    <m/>
    <m/>
    <n v="0"/>
    <m/>
    <n v="0"/>
    <n v="0"/>
    <n v="0"/>
    <n v="0"/>
    <m/>
    <n v="0"/>
    <n v="0"/>
    <n v="363.68"/>
    <n v="3899.05"/>
    <n v="166600.18"/>
    <n v="44"/>
    <m/>
    <m/>
    <m/>
    <m/>
    <m/>
    <m/>
    <m/>
    <m/>
    <m/>
    <n v="0"/>
    <m/>
    <m/>
    <m/>
    <m/>
    <m/>
    <m/>
    <m/>
    <m/>
    <m/>
    <m/>
    <m/>
    <m/>
    <n v="94568.960000000006"/>
    <n v="-23598.809999999983"/>
    <m/>
    <m/>
    <m/>
    <m/>
    <n v="-23598.78"/>
    <n v="0"/>
    <n v="30"/>
    <n v="2216.4251839271801"/>
    <n v="214.31958112898837"/>
    <n v="999.56313664480331"/>
    <n v="0"/>
    <n v="0"/>
    <m/>
    <m/>
    <m/>
    <n v="1002.54246615338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4008.60343677118"/>
    <m/>
    <n v="0"/>
    <n v="0"/>
    <n v="-23598.78"/>
    <m/>
    <n v="0"/>
    <m/>
    <n v="-25837.50134650722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60"/>
    <s v="Sistema de Compensação"/>
    <s v="Verde"/>
    <s v="A4"/>
    <s v="Comercial"/>
    <s v="Não se aplica"/>
    <s v="Não se aplica"/>
    <s v="Não se aplica"/>
    <s v="Não se aplica"/>
    <s v="CATIVO"/>
    <x v="9"/>
    <n v="552"/>
    <n v="552"/>
    <n v="0"/>
    <n v="0"/>
    <n v="0"/>
    <n v="0"/>
    <n v="27.19"/>
    <m/>
    <m/>
    <n v="15008.880000000001"/>
    <m/>
    <n v="15008.880000000001"/>
    <n v="12011.52"/>
    <n v="0"/>
    <n v="0"/>
    <n v="0"/>
    <n v="0"/>
    <n v="128.72673861201534"/>
    <n v="123.66723133247406"/>
    <n v="13210.480694224043"/>
    <m/>
    <m/>
    <m/>
    <n v="0"/>
    <n v="0"/>
    <n v="0"/>
    <n v="0"/>
    <m/>
    <n v="0"/>
    <n v="273.17642676193611"/>
    <n v="1274.0650413423425"/>
    <n v="0"/>
    <n v="0"/>
    <m/>
    <m/>
    <n v="0"/>
    <n v="0"/>
    <n v="0"/>
    <m/>
    <m/>
    <n v="0"/>
    <m/>
    <n v="0"/>
    <n v="0"/>
    <n v="0"/>
    <n v="0"/>
    <m/>
    <n v="0"/>
    <n v="0"/>
    <n v="24.55"/>
    <n v="263.33"/>
    <n v="11110.58"/>
    <n v="5"/>
    <m/>
    <m/>
    <m/>
    <m/>
    <m/>
    <m/>
    <m/>
    <m/>
    <m/>
    <n v="0"/>
    <m/>
    <m/>
    <m/>
    <m/>
    <m/>
    <m/>
    <m/>
    <m/>
    <m/>
    <m/>
    <m/>
    <m/>
    <n v="12011.52"/>
    <n v="-2997.3900000000012"/>
    <m/>
    <m/>
    <m/>
    <m/>
    <n v="-2997.3599999999997"/>
    <n v="0"/>
    <n v="30"/>
    <n v="281.51557789411004"/>
    <n v="27.221447027888075"/>
    <n v="126.9578581288381"/>
    <n v="0"/>
    <n v="0"/>
    <m/>
    <m/>
    <m/>
    <n v="127.336272737383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210.480694224043"/>
    <m/>
    <n v="0"/>
    <n v="0"/>
    <n v="-2997.3600000000006"/>
    <m/>
    <n v="0"/>
    <m/>
    <n v="-3281.707488097557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61"/>
    <s v="Regular"/>
    <s v="Branca"/>
    <s v="B3"/>
    <s v="Comercial"/>
    <s v="Não se aplica"/>
    <s v="Não se aplica"/>
    <s v="Não se aplica"/>
    <s v="Ponta"/>
    <s v="CATIVO"/>
    <x v="9"/>
    <n v="0"/>
    <n v="0"/>
    <n v="0.68799999999999994"/>
    <n v="0.68799999999999994"/>
    <n v="0.68799999999999994"/>
    <n v="0.68799999999999994"/>
    <m/>
    <n v="1553.42"/>
    <n v="173.25"/>
    <m/>
    <n v="1187.9489599999999"/>
    <n v="1187.9489599999999"/>
    <n v="1127.1091200000001"/>
    <n v="0"/>
    <n v="42.343086041166828"/>
    <n v="0"/>
    <n v="0"/>
    <n v="74.613081282817618"/>
    <n v="5.1597386316486293"/>
    <n v="494.25087756843931"/>
    <n v="117.19424376269534"/>
    <n v="2.0001766690123799"/>
    <n v="0"/>
    <n v="0"/>
    <n v="0"/>
    <n v="0"/>
    <n v="6.5422128307998815"/>
    <m/>
    <n v="0.83100541948155127"/>
    <n v="217.10112772752993"/>
    <n v="210.94499300346874"/>
    <n v="0"/>
    <n v="0"/>
    <n v="0"/>
    <n v="0"/>
    <n v="0"/>
    <n v="0"/>
    <n v="0"/>
    <n v="0"/>
    <n v="0"/>
    <n v="0"/>
    <m/>
    <n v="0"/>
    <n v="0"/>
    <n v="0"/>
    <n v="0"/>
    <n v="0"/>
    <n v="6.1505767756247538"/>
    <n v="0"/>
    <n v="0"/>
    <n v="0"/>
    <n v="0"/>
    <n v="0"/>
    <m/>
    <m/>
    <m/>
    <m/>
    <m/>
    <m/>
    <m/>
    <m/>
    <m/>
    <n v="123.34482053832009"/>
    <m/>
    <m/>
    <m/>
    <m/>
    <m/>
    <m/>
    <m/>
    <m/>
    <m/>
    <m/>
    <m/>
    <m/>
    <n v="1130.3856000000001"/>
    <n v="-57.593359999999848"/>
    <m/>
    <m/>
    <m/>
    <m/>
    <n v="-75.693759999999983"/>
    <n v="14.85392"/>
    <n v="30"/>
    <n v="61.939345773365517"/>
    <n v="21.63366333684408"/>
    <n v="21.020217669976404"/>
    <n v="0"/>
    <n v="0"/>
    <n v="0"/>
    <n v="0"/>
    <n v="0"/>
    <n v="5.3128211780438885"/>
    <n v="0"/>
    <n v="0"/>
    <n v="14.852242906534499"/>
    <n v="0"/>
    <n v="0"/>
    <n v="0"/>
    <n v="0.77947395156919175"/>
    <n v="0"/>
    <n v="-1.4378372111614297"/>
    <m/>
    <n v="0"/>
    <n v="0"/>
    <n v="0"/>
    <n v="0"/>
    <n v="-0.19772572689192902"/>
    <n v="-2.3510331549252306E-2"/>
    <n v="0"/>
    <n v="0"/>
    <m/>
    <m/>
    <m/>
    <n v="494.25087756843931"/>
    <n v="0"/>
    <n v="0"/>
    <n v="-75.693759999999997"/>
    <n v="14.853920000000002"/>
    <n v="0"/>
    <n v="0"/>
    <n v="-122.78030175119392"/>
    <n v="0"/>
    <n v="0"/>
    <n v="0"/>
    <n v="0"/>
    <n v="0"/>
    <n v="0"/>
    <n v="0"/>
    <n v="0"/>
    <n v="0"/>
    <n v="0"/>
    <n v="0"/>
    <n v="0"/>
    <n v="10.81366898291414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62"/>
    <s v="Regular"/>
    <s v="Branca"/>
    <s v="B3"/>
    <s v="Comercial"/>
    <s v="Não se aplica"/>
    <s v="Não se aplica"/>
    <s v="Não se aplica"/>
    <s v="Fora ponta"/>
    <s v="CATIVO"/>
    <x v="9"/>
    <n v="0"/>
    <n v="0"/>
    <n v="10.207000000000001"/>
    <n v="10.207000000000001"/>
    <n v="10.207000000000001"/>
    <n v="10.207000000000001"/>
    <m/>
    <n v="388.22"/>
    <n v="173.25"/>
    <m/>
    <n v="5730.9242900000008"/>
    <n v="5730.9242900000008"/>
    <n v="5716.2262100000007"/>
    <n v="0"/>
    <n v="628.19168491597372"/>
    <n v="0"/>
    <n v="0"/>
    <n v="221.38829088770916"/>
    <n v="15.309738805293112"/>
    <n v="1466.5181652929864"/>
    <n v="1738.6651832642899"/>
    <n v="29.674132646234543"/>
    <n v="0"/>
    <n v="0"/>
    <n v="0"/>
    <n v="0"/>
    <n v="97.058672040660468"/>
    <m/>
    <n v="12.328593483500283"/>
    <n v="644.17186357991227"/>
    <n v="625.90568127511801"/>
    <n v="0"/>
    <n v="0"/>
    <n v="0"/>
    <n v="0"/>
    <n v="0"/>
    <n v="0"/>
    <n v="0"/>
    <n v="0"/>
    <n v="0"/>
    <n v="0"/>
    <m/>
    <n v="0"/>
    <n v="0"/>
    <n v="0"/>
    <n v="0"/>
    <n v="0"/>
    <n v="91.248455158142264"/>
    <n v="0"/>
    <n v="0"/>
    <n v="0"/>
    <n v="0"/>
    <n v="0"/>
    <m/>
    <m/>
    <m/>
    <m/>
    <m/>
    <m/>
    <m/>
    <m/>
    <m/>
    <n v="1829.9136384224321"/>
    <m/>
    <m/>
    <m/>
    <m/>
    <m/>
    <m/>
    <m/>
    <m/>
    <m/>
    <m/>
    <m/>
    <m/>
    <n v="5717.9063000000006"/>
    <n v="-13.047990000000937"/>
    <m/>
    <m/>
    <m/>
    <m/>
    <n v="-235.06721000000033"/>
    <n v="220.36913000000004"/>
    <n v="30"/>
    <n v="349.61919926715382"/>
    <n v="64.190349325338275"/>
    <n v="62.37016330158292"/>
    <n v="0"/>
    <n v="0"/>
    <n v="0"/>
    <n v="0"/>
    <n v="0"/>
    <n v="15.763958285827442"/>
    <n v="0"/>
    <n v="0"/>
    <n v="220.34424905086871"/>
    <n v="0"/>
    <n v="0"/>
    <n v="0"/>
    <n v="11.564085208817929"/>
    <n v="0"/>
    <n v="-21.331401765006945"/>
    <m/>
    <n v="0"/>
    <n v="0"/>
    <n v="0"/>
    <n v="0"/>
    <n v="-2.9334106023051163"/>
    <n v="-0.34879353796979373"/>
    <n v="0"/>
    <n v="0"/>
    <m/>
    <m/>
    <m/>
    <n v="1466.5181652929864"/>
    <n v="0"/>
    <n v="0"/>
    <n v="-235.06721000000016"/>
    <n v="220.36913000000004"/>
    <n v="0"/>
    <n v="0"/>
    <n v="-364.30798817012942"/>
    <n v="0"/>
    <n v="0"/>
    <n v="0"/>
    <n v="0"/>
    <n v="0"/>
    <n v="0"/>
    <n v="0"/>
    <n v="0"/>
    <n v="0"/>
    <n v="0"/>
    <n v="0"/>
    <n v="0"/>
    <n v="160.4289524834370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63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23"/>
    <n v="67.06"/>
    <n v="2980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64"/>
    <s v="Regular"/>
    <s v="Branca"/>
    <s v="B3"/>
    <s v="Comercial"/>
    <s v="Não se aplica"/>
    <s v="Não se aplica"/>
    <s v="Não se aplica"/>
    <s v="Intermediário"/>
    <s v="CATIVO"/>
    <x v="9"/>
    <n v="0"/>
    <n v="0"/>
    <n v="0.52900000000000003"/>
    <n v="0.52900000000000003"/>
    <n v="0.52900000000000003"/>
    <n v="0.52900000000000003"/>
    <m/>
    <n v="970.82"/>
    <n v="173.25"/>
    <m/>
    <n v="605.21303000000012"/>
    <n v="605.21303000000012"/>
    <n v="581.43977000000007"/>
    <n v="0"/>
    <n v="32.557401912466943"/>
    <n v="0"/>
    <n v="0"/>
    <n v="34.421790696462715"/>
    <n v="2.3803816482806028"/>
    <n v="228.01637752136571"/>
    <n v="90.110108939630578"/>
    <n v="1.5379265376563214"/>
    <n v="0"/>
    <n v="0"/>
    <n v="0"/>
    <n v="0"/>
    <n v="5.030277016705142"/>
    <m/>
    <n v="0.63895620189787883"/>
    <n v="100.1568284022063"/>
    <n v="97.316774388519093"/>
    <n v="0"/>
    <n v="0"/>
    <n v="0"/>
    <n v="0"/>
    <n v="0"/>
    <n v="0"/>
    <n v="0"/>
    <n v="0"/>
    <n v="0"/>
    <n v="0"/>
    <m/>
    <n v="0"/>
    <n v="0"/>
    <n v="0"/>
    <n v="0"/>
    <n v="0"/>
    <n v="4.7291498754440342"/>
    <n v="0"/>
    <n v="0"/>
    <n v="0"/>
    <n v="0"/>
    <n v="0"/>
    <m/>
    <m/>
    <m/>
    <m/>
    <m/>
    <m/>
    <m/>
    <m/>
    <m/>
    <n v="94.839258815074615"/>
    <m/>
    <m/>
    <m/>
    <m/>
    <m/>
    <m/>
    <m/>
    <m/>
    <m/>
    <m/>
    <m/>
    <m/>
    <n v="582.53890000000001"/>
    <n v="-22.704130000000077"/>
    <m/>
    <m/>
    <m/>
    <m/>
    <n v="-35.194370000000049"/>
    <n v="11.421110000000002"/>
    <n v="30"/>
    <n v="32.8723274848644"/>
    <n v="9.9804138708057764"/>
    <n v="9.6974085587938106"/>
    <n v="0"/>
    <n v="0"/>
    <n v="0"/>
    <n v="0"/>
    <n v="0"/>
    <n v="2.4510043891063247"/>
    <n v="0"/>
    <n v="0"/>
    <n v="11.41982049063482"/>
    <n v="0"/>
    <n v="0"/>
    <n v="0"/>
    <n v="0.59933389590131103"/>
    <n v="0"/>
    <n v="-1.1055463440470881"/>
    <m/>
    <n v="0"/>
    <n v="0"/>
    <n v="0"/>
    <n v="0"/>
    <n v="-0.15203039175266042"/>
    <n v="-1.8076984577840793E-2"/>
    <n v="0"/>
    <n v="0"/>
    <m/>
    <m/>
    <m/>
    <n v="228.01637752136571"/>
    <n v="0"/>
    <n v="0"/>
    <n v="-35.194370000000049"/>
    <n v="11.421109999999999"/>
    <n v="0"/>
    <n v="0"/>
    <n v="-56.643135919188609"/>
    <n v="0"/>
    <n v="0"/>
    <n v="0"/>
    <n v="0"/>
    <n v="0"/>
    <n v="0"/>
    <n v="0"/>
    <n v="0"/>
    <n v="0"/>
    <n v="0"/>
    <n v="0"/>
    <n v="0"/>
    <n v="8.314579784827882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65"/>
    <s v="Regular"/>
    <s v="Convencional"/>
    <s v="B2"/>
    <s v="Rural"/>
    <s v="Não se aplica"/>
    <s v="Não se aplica"/>
    <s v="Não se aplica"/>
    <s v="Não se aplica"/>
    <s v="CATIVO"/>
    <x v="9"/>
    <n v="0"/>
    <n v="0"/>
    <n v="5667.2370000000001"/>
    <n v="5667.2370000000001"/>
    <n v="5667.2370000000001"/>
    <n v="5667.2370000000001"/>
    <m/>
    <n v="368.24"/>
    <n v="173.25"/>
    <m/>
    <n v="3068752.1631300002"/>
    <n v="3068752.1631300002"/>
    <n v="2884000.2369300001"/>
    <n v="0"/>
    <n v="348791.13939925033"/>
    <n v="0"/>
    <n v="0"/>
    <n v="14505.504857135084"/>
    <n v="13936.537481696703"/>
    <n v="1334844.6008270732"/>
    <n v="965359.81749849755"/>
    <n v="16475.981431924003"/>
    <n v="0"/>
    <n v="0"/>
    <n v="0"/>
    <n v="0"/>
    <n v="53889.928221778828"/>
    <m/>
    <n v="6845.2102623348374"/>
    <n v="30792.340283819412"/>
    <n v="143580.14004297796"/>
    <n v="0"/>
    <n v="0"/>
    <n v="0"/>
    <n v="0"/>
    <n v="0"/>
    <n v="0"/>
    <n v="0"/>
    <n v="0"/>
    <n v="0"/>
    <n v="0"/>
    <m/>
    <n v="0"/>
    <n v="0"/>
    <n v="0"/>
    <n v="0"/>
    <n v="0"/>
    <n v="50663.919003141433"/>
    <n v="0"/>
    <n v="2263.88"/>
    <n v="25042.46"/>
    <n v="171403.63"/>
    <n v="15618"/>
    <m/>
    <m/>
    <m/>
    <m/>
    <m/>
    <n v="346041.49122000003"/>
    <m/>
    <m/>
    <m/>
    <n v="1016023.736501639"/>
    <m/>
    <m/>
    <m/>
    <m/>
    <m/>
    <m/>
    <m/>
    <m/>
    <m/>
    <m/>
    <m/>
    <m/>
    <n v="2537960.0892000003"/>
    <n v="-162535.04366999958"/>
    <m/>
    <m/>
    <m/>
    <m/>
    <n v="-307107.57302999997"/>
    <n v="122355.64683000003"/>
    <n v="30"/>
    <n v="146822.2020494414"/>
    <n v="3068.390892421954"/>
    <n v="14307.454060971475"/>
    <n v="0"/>
    <n v="0"/>
    <n v="0"/>
    <n v="0"/>
    <n v="0"/>
    <n v="14350.015914992791"/>
    <n v="0"/>
    <n v="0"/>
    <n v="122341.83216991264"/>
    <n v="0"/>
    <n v="0"/>
    <n v="0"/>
    <n v="6420.7320041702478"/>
    <n v="0"/>
    <n v="-11843.843376556528"/>
    <m/>
    <n v="0"/>
    <n v="0"/>
    <n v="0"/>
    <n v="0"/>
    <n v="-1628.7188303689472"/>
    <n v="-193.66078610202021"/>
    <n v="0"/>
    <n v="0"/>
    <m/>
    <m/>
    <m/>
    <n v="1334844.6008270732"/>
    <n v="0"/>
    <n v="0"/>
    <n v="-307107.57303000009"/>
    <n v="122355.6468300001"/>
    <n v="0"/>
    <n v="0"/>
    <n v="-331598.04123525636"/>
    <n v="0"/>
    <n v="0"/>
    <n v="0"/>
    <n v="0"/>
    <n v="0"/>
    <n v="0"/>
    <n v="0"/>
    <n v="0"/>
    <n v="0"/>
    <n v="0"/>
    <n v="0"/>
    <n v="0"/>
    <n v="89075.03628738869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66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1.3580000000000001"/>
    <n v="-1.3580000000000001"/>
    <n v="-1.3580000000000001"/>
    <n v="-1.3580000000000001"/>
    <m/>
    <n v="368.24"/>
    <n v="173.25"/>
    <m/>
    <n v="-735.34342000000004"/>
    <n v="-735.34342000000004"/>
    <n v="-691.07262000000014"/>
    <n v="0"/>
    <n v="-83.578358784745006"/>
    <n v="0"/>
    <n v="0"/>
    <n v="-3.4758517415081536"/>
    <n v="-3.3395141053998842"/>
    <n v="-319.8593896678691"/>
    <n v="-231.32235905485507"/>
    <n v="-3.9480231344750183"/>
    <n v="0"/>
    <n v="0"/>
    <n v="0"/>
    <n v="0"/>
    <n v="-12.913263116607908"/>
    <m/>
    <n v="-1.6402694181045738"/>
    <n v="-7.3785511538385924"/>
    <n v="-34.405095495100007"/>
    <n v="0"/>
    <n v="0"/>
    <n v="0"/>
    <n v="0"/>
    <n v="0"/>
    <n v="0"/>
    <n v="0"/>
    <n v="0"/>
    <n v="0"/>
    <n v="0"/>
    <m/>
    <n v="0"/>
    <n v="0"/>
    <n v="0"/>
    <n v="0"/>
    <n v="0"/>
    <n v="-12.140237298398862"/>
    <n v="0"/>
    <n v="-0.51"/>
    <n v="-5.04"/>
    <n v="-309.95"/>
    <n v="0"/>
    <m/>
    <m/>
    <m/>
    <m/>
    <m/>
    <n v="-82.919480000000007"/>
    <m/>
    <m/>
    <m/>
    <n v="-243.46259635325393"/>
    <m/>
    <m/>
    <m/>
    <m/>
    <m/>
    <m/>
    <m/>
    <m/>
    <m/>
    <m/>
    <m/>
    <m/>
    <n v="-609.04880000000003"/>
    <n v="38.021780000000035"/>
    <m/>
    <m/>
    <m/>
    <m/>
    <n v="73.590019999999996"/>
    <n v="-29.319220000000005"/>
    <n v="30"/>
    <n v="-35.181967929546943"/>
    <n v="-0.7352568512502673"/>
    <n v="-3.4283942271691217"/>
    <n v="0"/>
    <n v="0"/>
    <n v="0"/>
    <n v="0"/>
    <n v="0"/>
    <n v="-3.4385930238245215"/>
    <n v="0"/>
    <n v="0"/>
    <n v="-29.31590969051436"/>
    <n v="0"/>
    <n v="0"/>
    <n v="0"/>
    <n v="-1.5385546892891888"/>
    <n v="0"/>
    <n v="2.8380565883099109"/>
    <m/>
    <n v="0"/>
    <n v="0"/>
    <n v="0"/>
    <n v="0"/>
    <n v="0.39027839697563849"/>
    <n v="4.6405567214948595E-2"/>
    <n v="0"/>
    <n v="0"/>
    <m/>
    <m/>
    <m/>
    <n v="-319.8593896678691"/>
    <n v="0"/>
    <n v="0"/>
    <n v="73.590019999999981"/>
    <n v="-29.31922000000003"/>
    <n v="0"/>
    <n v="0"/>
    <n v="79.4584980295474"/>
    <n v="0"/>
    <n v="0"/>
    <n v="0"/>
    <n v="0"/>
    <n v="0"/>
    <n v="0"/>
    <n v="0"/>
    <n v="0"/>
    <n v="0"/>
    <n v="0"/>
    <n v="0"/>
    <n v="0"/>
    <n v="-21.34442220755437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67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56.72699999999998"/>
    <n v="256.72699999999998"/>
    <n v="256.72699999999998"/>
    <n v="256.72699999999998"/>
    <m/>
    <n v="368.24"/>
    <n v="173.25"/>
    <m/>
    <n v="139015.10323000001"/>
    <n v="139015.10323000001"/>
    <n v="130645.80302999998"/>
    <n v="0"/>
    <n v="15800.310247224763"/>
    <n v="0"/>
    <n v="0"/>
    <n v="657.10234907375821"/>
    <n v="631.32801011560821"/>
    <n v="60468.734559103839"/>
    <n v="43730.997991955643"/>
    <n v="746.36534259526343"/>
    <n v="0"/>
    <n v="0"/>
    <n v="0"/>
    <n v="0"/>
    <n v="2441.2248160069203"/>
    <m/>
    <n v="310.08943070819794"/>
    <n v="1394.8993387860974"/>
    <n v="6504.2098314952418"/>
    <n v="0"/>
    <n v="0"/>
    <n v="0"/>
    <n v="0"/>
    <n v="0"/>
    <n v="0"/>
    <n v="0"/>
    <n v="0"/>
    <n v="0"/>
    <n v="0"/>
    <m/>
    <n v="0"/>
    <n v="0"/>
    <n v="0"/>
    <n v="0"/>
    <n v="0"/>
    <n v="2295.0859358660118"/>
    <n v="0"/>
    <n v="105.45"/>
    <n v="1143.44"/>
    <n v="6265.84"/>
    <n v="420"/>
    <m/>
    <m/>
    <m/>
    <m/>
    <m/>
    <n v="15675.750619999999"/>
    <m/>
    <m/>
    <m/>
    <n v="46026.083927821652"/>
    <m/>
    <m/>
    <m/>
    <m/>
    <m/>
    <m/>
    <m/>
    <m/>
    <m/>
    <m/>
    <m/>
    <m/>
    <n v="114971.3959"/>
    <n v="-7361.6168699999689"/>
    <m/>
    <m/>
    <m/>
    <m/>
    <n v="-13912.036129999999"/>
    <n v="5542.7359300000007"/>
    <n v="30"/>
    <n v="6651.0759062215075"/>
    <n v="138.99873759272987"/>
    <n v="648.13060733317161"/>
    <n v="0"/>
    <n v="0"/>
    <n v="0"/>
    <n v="0"/>
    <n v="0"/>
    <n v="650.05866806141228"/>
    <n v="0"/>
    <n v="0"/>
    <n v="5542.1101230608838"/>
    <n v="0"/>
    <n v="0"/>
    <n v="0"/>
    <n v="290.86047843677898"/>
    <n v="0"/>
    <n v="-536.52853736895486"/>
    <m/>
    <n v="0"/>
    <n v="0"/>
    <n v="0"/>
    <n v="0"/>
    <n v="-73.781297511314278"/>
    <n v="-8.7728733832047396"/>
    <n v="0"/>
    <n v="0"/>
    <m/>
    <m/>
    <m/>
    <n v="60468.734559103839"/>
    <n v="0"/>
    <n v="0"/>
    <n v="-13912.036130000008"/>
    <n v="5542.7359300000026"/>
    <n v="0"/>
    <n v="0"/>
    <n v="-15021.459369389988"/>
    <n v="0"/>
    <n v="0"/>
    <n v="0"/>
    <n v="0"/>
    <n v="0"/>
    <n v="0"/>
    <n v="0"/>
    <n v="0"/>
    <n v="0"/>
    <n v="0"/>
    <n v="0"/>
    <n v="0"/>
    <n v="4035.117437465987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68"/>
    <s v="Regular"/>
    <s v="Verde"/>
    <s v="A4"/>
    <s v="Rural"/>
    <s v="Não se aplica"/>
    <s v="Não se aplica"/>
    <s v="Não se aplica"/>
    <s v="Ponta"/>
    <s v="CATIVO"/>
    <x v="9"/>
    <n v="0"/>
    <n v="0"/>
    <n v="5.6340000000000003"/>
    <n v="5.4086400000000001"/>
    <n v="5.6340000000000003"/>
    <n v="5.4086400000000001"/>
    <m/>
    <n v="1358.36"/>
    <n v="173.25"/>
    <m/>
    <n v="8629.0907399999996"/>
    <n v="8629.0907399999996"/>
    <n v="7566.0112800000006"/>
    <n v="0"/>
    <n v="301.66863906636974"/>
    <n v="0"/>
    <n v="0"/>
    <n v="106.71972568241715"/>
    <n v="102.53404205637753"/>
    <n v="5681.9324764532284"/>
    <n v="959.69821127765351"/>
    <n v="16.379353711069406"/>
    <n v="0"/>
    <n v="0"/>
    <n v="0"/>
    <n v="0"/>
    <n v="53.573876582451362"/>
    <m/>
    <n v="4.5117851032061731"/>
    <n v="226.54777223755929"/>
    <n v="1056.3530340398324"/>
    <n v="0"/>
    <n v="0"/>
    <n v="0"/>
    <n v="0"/>
    <n v="0"/>
    <n v="0"/>
    <n v="0"/>
    <n v="0"/>
    <n v="0"/>
    <n v="0"/>
    <m/>
    <n v="0"/>
    <n v="0"/>
    <n v="0"/>
    <n v="0"/>
    <n v="0"/>
    <n v="42.134751188650846"/>
    <n v="0"/>
    <n v="0"/>
    <n v="0"/>
    <n v="0"/>
    <n v="0"/>
    <m/>
    <m/>
    <m/>
    <m/>
    <m/>
    <n v="302.64045120000031"/>
    <m/>
    <m/>
    <m/>
    <n v="1001.8329624663044"/>
    <m/>
    <m/>
    <m/>
    <m/>
    <m/>
    <m/>
    <m/>
    <m/>
    <m/>
    <m/>
    <m/>
    <m/>
    <n v="7265.1971999999996"/>
    <n v="-1018.759910400001"/>
    <m/>
    <m/>
    <m/>
    <m/>
    <n v="-1184.7175199999999"/>
    <n v="121.63806000000002"/>
    <n v="30"/>
    <n v="348.38803037517982"/>
    <n v="22.575001270607402"/>
    <n v="105.26332194806878"/>
    <n v="0"/>
    <n v="0"/>
    <n v="0"/>
    <n v="0"/>
    <n v="0"/>
    <n v="105.57608999150239"/>
    <n v="0"/>
    <n v="0"/>
    <n v="121.62432635961534"/>
    <n v="0"/>
    <n v="0"/>
    <n v="0"/>
    <n v="5.3398148182720817"/>
    <n v="0"/>
    <n v="-10.243712380064665"/>
    <m/>
    <n v="0"/>
    <n v="0"/>
    <n v="0"/>
    <n v="0"/>
    <n v="-1.6191667809725701"/>
    <n v="-0.12764485184890351"/>
    <n v="0"/>
    <n v="0"/>
    <m/>
    <m/>
    <m/>
    <n v="5681.9324764532284"/>
    <n v="0"/>
    <n v="0"/>
    <n v="-1184.7175200000001"/>
    <n v="121.63806"/>
    <n v="0"/>
    <n v="0"/>
    <n v="-1411.4884073063413"/>
    <n v="0"/>
    <n v="0"/>
    <n v="0"/>
    <n v="0"/>
    <n v="0"/>
    <n v="0"/>
    <n v="0"/>
    <n v="0"/>
    <n v="0"/>
    <n v="0"/>
    <n v="0"/>
    <n v="0"/>
    <n v="77.0407901355704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69"/>
    <s v="Sistema de Compensação"/>
    <s v="Verde"/>
    <s v="A4"/>
    <s v="Rural"/>
    <s v="Não se aplica"/>
    <s v="Não se aplica"/>
    <s v="Não se aplica"/>
    <s v="Ponta"/>
    <s v="CATIVO"/>
    <x v="9"/>
    <n v="0"/>
    <n v="0"/>
    <n v="1.6140000000000001"/>
    <n v="1.5494400000000002"/>
    <n v="1.6140000000000001"/>
    <n v="1.5494400000000002"/>
    <m/>
    <n v="1358.36"/>
    <n v="173.25"/>
    <m/>
    <n v="2472.01854"/>
    <n v="2472.01854"/>
    <n v="2167.4728799999998"/>
    <n v="0"/>
    <n v="86.420515344891854"/>
    <n v="0"/>
    <n v="0"/>
    <n v="30.572530573557202"/>
    <n v="29.373436968227427"/>
    <n v="1627.7314549157811"/>
    <n v="274.92951952469519"/>
    <n v="4.6922749182935783"/>
    <n v="0"/>
    <n v="0"/>
    <n v="0"/>
    <n v="0"/>
    <n v="15.347574867603212"/>
    <m/>
    <n v="1.2925135173189144"/>
    <n v="64.900267020131466"/>
    <n v="302.61870730214582"/>
    <n v="0"/>
    <n v="0"/>
    <n v="0"/>
    <n v="0"/>
    <n v="0"/>
    <n v="0"/>
    <n v="0"/>
    <n v="0"/>
    <n v="0"/>
    <n v="0"/>
    <m/>
    <n v="0"/>
    <n v="0"/>
    <n v="0"/>
    <n v="0"/>
    <n v="0"/>
    <n v="12.070551724970263"/>
    <n v="0"/>
    <n v="0"/>
    <n v="0"/>
    <n v="0"/>
    <n v="0"/>
    <m/>
    <m/>
    <m/>
    <m/>
    <m/>
    <n v="86.698915199999931"/>
    <m/>
    <m/>
    <m/>
    <n v="287.00007124966544"/>
    <m/>
    <m/>
    <m/>
    <m/>
    <m/>
    <m/>
    <m/>
    <m/>
    <m/>
    <m/>
    <m/>
    <m/>
    <n v="2081.5259999999998"/>
    <n v="-291.64179840000088"/>
    <m/>
    <m/>
    <m/>
    <m/>
    <n v="-339.39191999999997"/>
    <n v="34.846260000000008"/>
    <n v="30"/>
    <n v="99.804451726222965"/>
    <n v="6.4671728879588812"/>
    <n v="30.155307352535146"/>
    <n v="0"/>
    <n v="0"/>
    <n v="0"/>
    <n v="0"/>
    <n v="0"/>
    <n v="30.244907569450628"/>
    <n v="0"/>
    <n v="0"/>
    <n v="34.842325655736488"/>
    <n v="0"/>
    <n v="0"/>
    <n v="0"/>
    <n v="1.5297233078969015"/>
    <n v="0"/>
    <n v="-2.9345672313497175"/>
    <m/>
    <n v="0"/>
    <n v="0"/>
    <n v="0"/>
    <n v="0"/>
    <n v="-0.46385076047030971"/>
    <n v="-3.656705553498929E-2"/>
    <n v="0"/>
    <n v="0"/>
    <m/>
    <m/>
    <m/>
    <n v="1627.7314549157811"/>
    <n v="0"/>
    <n v="0"/>
    <n v="-339.39192000000003"/>
    <n v="34.846259999999972"/>
    <n v="0"/>
    <n v="0"/>
    <n v="-404.35610390352053"/>
    <n v="0"/>
    <n v="0"/>
    <n v="0"/>
    <n v="0"/>
    <n v="0"/>
    <n v="0"/>
    <n v="0"/>
    <n v="0"/>
    <n v="0"/>
    <n v="0"/>
    <n v="0"/>
    <n v="0"/>
    <n v="22.07025830294828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0"/>
    <s v="Regular"/>
    <s v="Verde"/>
    <s v="A4"/>
    <s v="Rural"/>
    <s v="Não se aplica"/>
    <s v="Não se aplica"/>
    <s v="Não se aplica"/>
    <s v="Fora ponta"/>
    <s v="CATIVO"/>
    <x v="9"/>
    <n v="0"/>
    <n v="0"/>
    <n v="73.507000000000005"/>
    <n v="70.566720000000004"/>
    <n v="73.507000000000005"/>
    <n v="70.566720000000004"/>
    <m/>
    <n v="85.01"/>
    <n v="173.25"/>
    <m/>
    <n v="18983.917820000002"/>
    <n v="18983.917820000002"/>
    <n v="20484.19569"/>
    <n v="0"/>
    <n v="3935.8815498494214"/>
    <n v="0"/>
    <n v="0"/>
    <n v="0"/>
    <n v="0"/>
    <n v="0"/>
    <n v="12521.216971314603"/>
    <n v="213.70201512949569"/>
    <n v="0"/>
    <n v="0"/>
    <n v="0"/>
    <n v="0"/>
    <n v="698.98028859535896"/>
    <m/>
    <n v="58.865422005924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9.73360944695742"/>
    <n v="0"/>
    <n v="0"/>
    <n v="0"/>
    <n v="0"/>
    <n v="0"/>
    <m/>
    <m/>
    <m/>
    <m/>
    <m/>
    <n v="819.36782760000028"/>
    <m/>
    <m/>
    <m/>
    <n v="13070.950580761561"/>
    <m/>
    <m/>
    <m/>
    <m/>
    <m/>
    <m/>
    <m/>
    <m/>
    <m/>
    <m/>
    <m/>
    <m/>
    <n v="19665.741899999997"/>
    <n v="1441.1507927999992"/>
    <m/>
    <m/>
    <m/>
    <m/>
    <n v="-86.738260000000508"/>
    <n v="1587.0161300000004"/>
    <n v="30"/>
    <n v="1500.0649053865382"/>
    <n v="0"/>
    <n v="0"/>
    <n v="0"/>
    <n v="0"/>
    <n v="0"/>
    <n v="0"/>
    <n v="0"/>
    <n v="0"/>
    <n v="0"/>
    <n v="0"/>
    <n v="1586.8369467015"/>
    <n v="0"/>
    <n v="0"/>
    <n v="0"/>
    <n v="69.668755386355201"/>
    <n v="0"/>
    <n v="-133.65008269815644"/>
    <m/>
    <n v="0"/>
    <n v="0"/>
    <n v="0"/>
    <n v="0"/>
    <n v="-21.125327044542132"/>
    <n v="-1.665386958618619"/>
    <n v="0"/>
    <n v="0"/>
    <m/>
    <m/>
    <m/>
    <n v="0"/>
    <n v="0"/>
    <n v="0"/>
    <n v="-86.738260000000992"/>
    <n v="1587.01613"/>
    <n v="0"/>
    <n v="0"/>
    <n v="0"/>
    <n v="0"/>
    <n v="0"/>
    <n v="0"/>
    <n v="0"/>
    <n v="0"/>
    <n v="0"/>
    <n v="0"/>
    <n v="0"/>
    <n v="0"/>
    <n v="0"/>
    <n v="0"/>
    <n v="0"/>
    <n v="1005.153951099640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1"/>
    <s v="Sistema de Compensação"/>
    <s v="Verde"/>
    <s v="A4"/>
    <s v="Rural"/>
    <s v="Não se aplica"/>
    <s v="Não se aplica"/>
    <s v="Não se aplica"/>
    <s v="Fora ponta"/>
    <s v="CATIVO"/>
    <x v="9"/>
    <n v="0"/>
    <n v="0"/>
    <n v="47.48"/>
    <n v="45.580799999999996"/>
    <n v="47.48"/>
    <n v="45.580799999999996"/>
    <m/>
    <n v="85.01"/>
    <n v="173.25"/>
    <m/>
    <n v="12262.184799999999"/>
    <n v="12262.184799999999"/>
    <n v="13231.2516"/>
    <n v="0"/>
    <n v="2542.2838095263105"/>
    <n v="0"/>
    <n v="0"/>
    <n v="0"/>
    <n v="0"/>
    <n v="0"/>
    <n v="8087.7655433906602"/>
    <n v="138.03544803009856"/>
    <n v="0"/>
    <n v="0"/>
    <n v="0"/>
    <n v="0"/>
    <n v="451.4887575674104"/>
    <m/>
    <n v="38.022640521872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5.08661456108308"/>
    <n v="0"/>
    <n v="0"/>
    <n v="0"/>
    <n v="0"/>
    <n v="0"/>
    <m/>
    <m/>
    <m/>
    <m/>
    <m/>
    <n v="529.25006400000007"/>
    <m/>
    <m/>
    <m/>
    <n v="8442.8521579517437"/>
    <m/>
    <m/>
    <m/>
    <m/>
    <m/>
    <m/>
    <m/>
    <m/>
    <m/>
    <m/>
    <m/>
    <m/>
    <n v="12701.7786"/>
    <n v="930.05119199999899"/>
    <m/>
    <m/>
    <m/>
    <m/>
    <n v="-56.026400000000322"/>
    <n v="1025.0932"/>
    <n v="30"/>
    <n v="968.92924085805134"/>
    <n v="0"/>
    <n v="0"/>
    <n v="0"/>
    <n v="0"/>
    <n v="0"/>
    <n v="0"/>
    <n v="0"/>
    <n v="0"/>
    <n v="0"/>
    <n v="0"/>
    <n v="1024.9774610497952"/>
    <n v="0"/>
    <n v="0"/>
    <n v="0"/>
    <n v="45.000782316570508"/>
    <n v="0"/>
    <n v="-86.327913348503898"/>
    <m/>
    <n v="0"/>
    <n v="0"/>
    <n v="0"/>
    <n v="0"/>
    <n v="-13.645374291902272"/>
    <n v="-1.0757148679066262"/>
    <n v="0"/>
    <n v="0"/>
    <m/>
    <m/>
    <m/>
    <n v="0"/>
    <n v="0"/>
    <n v="0"/>
    <n v="-56.026400000000649"/>
    <n v="1025.0931999999993"/>
    <n v="0"/>
    <n v="0"/>
    <n v="0"/>
    <n v="0"/>
    <n v="0"/>
    <n v="0"/>
    <n v="0"/>
    <n v="0"/>
    <n v="0"/>
    <n v="0"/>
    <n v="0"/>
    <n v="0"/>
    <n v="0"/>
    <n v="0"/>
    <n v="0"/>
    <n v="649.253943137536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2"/>
    <s v="Regular"/>
    <s v="Verde"/>
    <s v="A4"/>
    <s v="Rural"/>
    <s v="Não se aplica"/>
    <s v="Não se aplica"/>
    <s v="Não se aplica"/>
    <s v="Não se aplica"/>
    <s v="CATIVO"/>
    <x v="9"/>
    <n v="652"/>
    <n v="625.91999999999996"/>
    <n v="0"/>
    <n v="0"/>
    <n v="0"/>
    <n v="0"/>
    <n v="27.19"/>
    <m/>
    <m/>
    <n v="17727.88"/>
    <m/>
    <n v="17727.88"/>
    <n v="14187.52"/>
    <n v="0"/>
    <n v="0"/>
    <n v="0"/>
    <n v="0"/>
    <n v="152.04679995477173"/>
    <n v="146.07071526951646"/>
    <n v="15603.683718539993"/>
    <m/>
    <m/>
    <m/>
    <n v="0"/>
    <n v="0"/>
    <n v="0"/>
    <n v="0"/>
    <m/>
    <n v="0"/>
    <n v="322.66490987098251"/>
    <n v="1504.8739256434915"/>
    <n v="0"/>
    <n v="0"/>
    <m/>
    <m/>
    <n v="0"/>
    <n v="0"/>
    <n v="0"/>
    <m/>
    <m/>
    <n v="0"/>
    <m/>
    <n v="0"/>
    <n v="0"/>
    <n v="0"/>
    <n v="0"/>
    <m/>
    <n v="0"/>
    <n v="0"/>
    <n v="32.57"/>
    <n v="349.1"/>
    <n v="26.61"/>
    <n v="4"/>
    <m/>
    <m/>
    <m/>
    <m/>
    <m/>
    <n v="567.50080000000094"/>
    <m/>
    <m/>
    <m/>
    <n v="0"/>
    <m/>
    <m/>
    <m/>
    <m/>
    <m/>
    <m/>
    <m/>
    <m/>
    <m/>
    <m/>
    <m/>
    <m/>
    <n v="13620.019200000001"/>
    <n v="-3398.7755999999954"/>
    <m/>
    <m/>
    <m/>
    <m/>
    <n v="-3540.3599999999997"/>
    <n v="0"/>
    <n v="30"/>
    <n v="332.51477678797028"/>
    <n v="32.152868590911282"/>
    <n v="149.95747010870014"/>
    <n v="0"/>
    <n v="0"/>
    <m/>
    <m/>
    <m/>
    <n v="150.404438088358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603.683718539993"/>
    <m/>
    <n v="0"/>
    <n v="0"/>
    <n v="-3540.3600000000006"/>
    <m/>
    <n v="0"/>
    <m/>
    <n v="-3876.219714202186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73"/>
    <s v="Sistema de Compensação"/>
    <s v="Verde"/>
    <s v="A4"/>
    <s v="Rural"/>
    <s v="Não se aplica"/>
    <s v="Não se aplica"/>
    <s v="Não se aplica"/>
    <s v="Não se aplica"/>
    <s v="CATIVO"/>
    <x v="9"/>
    <n v="152"/>
    <n v="145.91999999999999"/>
    <n v="0"/>
    <n v="0"/>
    <n v="0"/>
    <n v="0"/>
    <n v="27.19"/>
    <m/>
    <m/>
    <n v="4132.88"/>
    <m/>
    <n v="4132.88"/>
    <n v="3307.5200000000004"/>
    <n v="0"/>
    <n v="0"/>
    <n v="0"/>
    <n v="0"/>
    <n v="35.446493240989732"/>
    <n v="34.05329558430445"/>
    <n v="3637.668596960244"/>
    <m/>
    <m/>
    <m/>
    <n v="0"/>
    <n v="0"/>
    <n v="0"/>
    <n v="0"/>
    <m/>
    <n v="0"/>
    <n v="75.222494325750532"/>
    <n v="350.82950413774648"/>
    <n v="0"/>
    <n v="0"/>
    <m/>
    <m/>
    <n v="0"/>
    <n v="0"/>
    <n v="0"/>
    <m/>
    <m/>
    <n v="0"/>
    <m/>
    <n v="0"/>
    <n v="0"/>
    <n v="0"/>
    <n v="0"/>
    <m/>
    <n v="0"/>
    <n v="0"/>
    <n v="15.51"/>
    <n v="166.2"/>
    <n v="6.21"/>
    <n v="1"/>
    <m/>
    <m/>
    <m/>
    <m/>
    <m/>
    <n v="132.30080000000029"/>
    <m/>
    <m/>
    <m/>
    <n v="0"/>
    <m/>
    <m/>
    <m/>
    <m/>
    <m/>
    <m/>
    <m/>
    <m/>
    <m/>
    <m/>
    <m/>
    <m/>
    <n v="3175.2192"/>
    <n v="-792.3756000000003"/>
    <m/>
    <m/>
    <m/>
    <m/>
    <n v="-825.3599999999999"/>
    <n v="0"/>
    <n v="30"/>
    <n v="77.518782318667888"/>
    <n v="7.4957607757952616"/>
    <n v="34.959410209390228"/>
    <n v="0"/>
    <n v="0"/>
    <m/>
    <m/>
    <m/>
    <n v="35.0636113334824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37.668596960244"/>
    <m/>
    <n v="0"/>
    <n v="0"/>
    <n v="-825.35999999999967"/>
    <m/>
    <n v="0"/>
    <m/>
    <n v="-903.65858367903775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74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506.37200000000001"/>
    <n v="506.37200000000001"/>
    <n v="506.37200000000001"/>
    <n v="506.37200000000001"/>
    <m/>
    <n v="368.24"/>
    <n v="173.25"/>
    <m/>
    <n v="274195.37427999999"/>
    <n v="274195.37427999999"/>
    <n v="257687.64708000002"/>
    <n v="0"/>
    <n v="31164.757507031587"/>
    <n v="0"/>
    <n v="0"/>
    <n v="1296.0780545294306"/>
    <n v="1245.2403803973123"/>
    <n v="119269.39533497658"/>
    <n v="86255.644771226114"/>
    <n v="1472.141657327234"/>
    <n v="0"/>
    <n v="0"/>
    <n v="0"/>
    <n v="0"/>
    <n v="4815.1066795898223"/>
    <m/>
    <n v="611.62482016527917"/>
    <n v="2751.3193703030602"/>
    <n v="12828.996329929883"/>
    <n v="0"/>
    <n v="0"/>
    <n v="0"/>
    <n v="0"/>
    <n v="0"/>
    <n v="0"/>
    <n v="0"/>
    <n v="0"/>
    <n v="0"/>
    <n v="0"/>
    <m/>
    <n v="0"/>
    <n v="0"/>
    <n v="0"/>
    <n v="0"/>
    <n v="0"/>
    <n v="4526.8602660271199"/>
    <n v="0"/>
    <n v="225.85"/>
    <n v="2449.58"/>
    <n v="98031.24"/>
    <n v="588"/>
    <m/>
    <m/>
    <m/>
    <m/>
    <m/>
    <m/>
    <m/>
    <m/>
    <m/>
    <n v="90782.505037253228"/>
    <m/>
    <m/>
    <m/>
    <m/>
    <m/>
    <m/>
    <m/>
    <m/>
    <m/>
    <m/>
    <m/>
    <m/>
    <n v="257686.62930000003"/>
    <n v="-16508.774979999987"/>
    <m/>
    <m/>
    <m/>
    <m/>
    <n v="-27440.29868"/>
    <n v="10932.571480000002"/>
    <n v="30"/>
    <n v="13118.677072474617"/>
    <n v="274.1630944634021"/>
    <n v="1278.3820630339324"/>
    <n v="0"/>
    <n v="0"/>
    <n v="0"/>
    <n v="0"/>
    <n v="0"/>
    <n v="1282.1849975405528"/>
    <n v="0"/>
    <n v="0"/>
    <n v="10931.337129458858"/>
    <n v="0"/>
    <n v="0"/>
    <n v="0"/>
    <n v="573.69736018022468"/>
    <n v="0"/>
    <n v="-1058.2565469334804"/>
    <m/>
    <n v="0"/>
    <n v="0"/>
    <n v="0"/>
    <n v="0"/>
    <n v="-145.52728456063869"/>
    <n v="-17.303740708223813"/>
    <n v="0"/>
    <n v="0"/>
    <m/>
    <m/>
    <m/>
    <n v="119269.39533497658"/>
    <n v="0"/>
    <n v="0"/>
    <n v="-27440.298679999978"/>
    <n v="10932.571479999999"/>
    <n v="0"/>
    <n v="0"/>
    <n v="-29628.540916213518"/>
    <n v="0"/>
    <n v="0"/>
    <n v="0"/>
    <n v="0"/>
    <n v="0"/>
    <n v="0"/>
    <n v="0"/>
    <n v="0"/>
    <n v="0"/>
    <n v="0"/>
    <n v="0"/>
    <n v="0"/>
    <n v="7958.923241593316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5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1.899"/>
    <n v="1.899"/>
    <n v="1.899"/>
    <n v="1.899"/>
    <m/>
    <n v="368.24"/>
    <n v="173.25"/>
    <m/>
    <n v="1028.2895100000001"/>
    <n v="1028.2895100000001"/>
    <n v="966.38211000000001"/>
    <n v="0"/>
    <n v="116.87430289560439"/>
    <n v="0"/>
    <n v="0"/>
    <n v="4.8605614559086767"/>
    <n v="4.6699096363434318"/>
    <n v="447.28496390227053"/>
    <n v="323.47655364150938"/>
    <n v="5.520836474497834"/>
    <n v="0"/>
    <n v="0"/>
    <n v="0"/>
    <n v="0"/>
    <n v="18.057648496640955"/>
    <m/>
    <n v="2.2937199005748052"/>
    <n v="10.318018145168988"/>
    <n v="48.111396425033071"/>
    <n v="0"/>
    <n v="0"/>
    <n v="0"/>
    <n v="0"/>
    <n v="0"/>
    <n v="0"/>
    <n v="0"/>
    <n v="0"/>
    <n v="0"/>
    <n v="0"/>
    <m/>
    <n v="0"/>
    <n v="0"/>
    <n v="0"/>
    <n v="0"/>
    <n v="0"/>
    <n v="16.976664675743326"/>
    <n v="0"/>
    <n v="0.84"/>
    <n v="9.16"/>
    <n v="480.46"/>
    <n v="2"/>
    <m/>
    <m/>
    <m/>
    <m/>
    <m/>
    <m/>
    <m/>
    <m/>
    <m/>
    <n v="340.45321831725272"/>
    <m/>
    <m/>
    <m/>
    <m/>
    <m/>
    <m/>
    <m/>
    <m/>
    <m/>
    <m/>
    <m/>
    <m/>
    <n v="966.89100000000008"/>
    <n v="-61.42850999999996"/>
    <m/>
    <m/>
    <m/>
    <m/>
    <n v="-102.90680999999999"/>
    <n v="40.999410000000005"/>
    <n v="30"/>
    <n v="49.197759277032105"/>
    <n v="1.028168453994299"/>
    <n v="4.7941978184051237"/>
    <n v="0"/>
    <n v="0"/>
    <n v="0"/>
    <n v="0"/>
    <n v="0"/>
    <n v="4.8084596113716973"/>
    <n v="0"/>
    <n v="0"/>
    <n v="40.994780929518924"/>
    <n v="0"/>
    <n v="0"/>
    <n v="0"/>
    <n v="2.1514840610899633"/>
    <n v="0"/>
    <n v="-3.9686814883656325"/>
    <m/>
    <n v="0"/>
    <n v="0"/>
    <n v="0"/>
    <n v="0"/>
    <n v="-0.54575749326711431"/>
    <n v="-6.489261571516014E-2"/>
    <n v="0"/>
    <n v="0"/>
    <m/>
    <m/>
    <m/>
    <n v="447.28496390227053"/>
    <n v="0"/>
    <n v="0"/>
    <n v="-102.90681000000006"/>
    <n v="40.999410000000012"/>
    <n v="0"/>
    <n v="0"/>
    <n v="-111.113172134102"/>
    <n v="0"/>
    <n v="0"/>
    <n v="0"/>
    <n v="0"/>
    <n v="0"/>
    <n v="0"/>
    <n v="0"/>
    <n v="0"/>
    <n v="0"/>
    <n v="0"/>
    <n v="0"/>
    <n v="0"/>
    <n v="29.8476124978982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6"/>
    <s v="Regular"/>
    <s v="Verde"/>
    <s v="A4"/>
    <s v="Poder público"/>
    <s v="Não se aplica"/>
    <s v="Não se aplica"/>
    <s v="Não se aplica"/>
    <s v="Ponta"/>
    <s v="CATIVO"/>
    <x v="9"/>
    <n v="0"/>
    <n v="0"/>
    <n v="4.085"/>
    <n v="4.085"/>
    <n v="4.085"/>
    <n v="4.085"/>
    <m/>
    <n v="1358.36"/>
    <n v="173.25"/>
    <m/>
    <n v="6256.6268499999996"/>
    <n v="6256.6268499999996"/>
    <n v="5485.8281999999999"/>
    <n v="0"/>
    <n v="218.72850383140224"/>
    <n v="0"/>
    <n v="0"/>
    <n v="77.378430850669872"/>
    <n v="74.3435501952968"/>
    <n v="4119.7540231294706"/>
    <n v="695.84082234100356"/>
    <n v="11.876048972261007"/>
    <n v="0"/>
    <n v="0"/>
    <n v="0"/>
    <n v="0"/>
    <n v="38.844388682874296"/>
    <m/>
    <n v="3.2713244846640426"/>
    <n v="164.26120865999815"/>
    <n v="765.92157331429087"/>
    <n v="0"/>
    <n v="0"/>
    <n v="0"/>
    <n v="0"/>
    <n v="0"/>
    <n v="0"/>
    <n v="0"/>
    <n v="0"/>
    <n v="0"/>
    <n v="0"/>
    <m/>
    <n v="0"/>
    <n v="0"/>
    <n v="0"/>
    <n v="0"/>
    <n v="0"/>
    <n v="30.550312141575915"/>
    <n v="0"/>
    <n v="0"/>
    <n v="0"/>
    <n v="0"/>
    <n v="0"/>
    <m/>
    <m/>
    <m/>
    <m/>
    <m/>
    <m/>
    <m/>
    <m/>
    <m/>
    <n v="726.39113448257945"/>
    <m/>
    <m/>
    <m/>
    <m/>
    <m/>
    <m/>
    <m/>
    <m/>
    <m/>
    <m/>
    <m/>
    <m/>
    <n v="5492.5427999999993"/>
    <n v="-764.11405000000104"/>
    <m/>
    <m/>
    <m/>
    <m/>
    <n v="-858.99379999999985"/>
    <n v="88.195150000000012"/>
    <n v="30"/>
    <n v="252.60296487089317"/>
    <n v="16.368278344059519"/>
    <n v="76.322447667352094"/>
    <n v="0"/>
    <n v="0"/>
    <n v="0"/>
    <n v="0"/>
    <n v="0"/>
    <n v="76.549223928875975"/>
    <n v="0"/>
    <n v="0"/>
    <n v="88.185192257548692"/>
    <n v="0"/>
    <n v="0"/>
    <n v="0"/>
    <n v="3.8716974676324867"/>
    <n v="0"/>
    <n v="-7.4273278439056014"/>
    <m/>
    <n v="0"/>
    <n v="0"/>
    <n v="0"/>
    <n v="0"/>
    <n v="-1.173996503420824"/>
    <n v="-9.2550447249337697E-2"/>
    <n v="0"/>
    <n v="0"/>
    <m/>
    <m/>
    <m/>
    <n v="4119.7540231294706"/>
    <n v="0"/>
    <n v="0"/>
    <n v="-858.99380000000019"/>
    <n v="88.195150000000012"/>
    <n v="0"/>
    <n v="0"/>
    <n v="-1023.4167809454038"/>
    <n v="0"/>
    <n v="0"/>
    <n v="0"/>
    <n v="0"/>
    <n v="0"/>
    <n v="0"/>
    <n v="0"/>
    <n v="0"/>
    <n v="0"/>
    <n v="0"/>
    <n v="0"/>
    <n v="0"/>
    <n v="55.8593588398660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7"/>
    <s v="Sistema de Compensação"/>
    <s v="Verde"/>
    <s v="A4"/>
    <s v="Poder público"/>
    <s v="Não se aplica"/>
    <s v="Não se aplica"/>
    <s v="Não se aplica"/>
    <s v="Ponta"/>
    <s v="CATIVO"/>
    <x v="9"/>
    <n v="0"/>
    <n v="0"/>
    <n v="0.68400000000000005"/>
    <n v="0.68400000000000005"/>
    <n v="0.68400000000000005"/>
    <n v="0.68400000000000005"/>
    <m/>
    <n v="1358.36"/>
    <n v="173.25"/>
    <m/>
    <n v="1047.6212399999999"/>
    <n v="1047.6212399999999"/>
    <n v="918.55728000000011"/>
    <n v="0"/>
    <n v="36.624307618281307"/>
    <n v="0"/>
    <n v="0"/>
    <n v="12.956388421507514"/>
    <n v="12.448222358282255"/>
    <n v="689.81927829144627"/>
    <n v="116.5128818803541"/>
    <n v="1.9885477348902154"/>
    <n v="0"/>
    <n v="0"/>
    <n v="0"/>
    <n v="0"/>
    <n v="6.5041767096905811"/>
    <m/>
    <n v="0.54775665789723504"/>
    <n v="27.504202380278763"/>
    <n v="128.24733320611384"/>
    <n v="0"/>
    <n v="0"/>
    <n v="0"/>
    <n v="0"/>
    <n v="0"/>
    <n v="0"/>
    <n v="0"/>
    <n v="0"/>
    <n v="0"/>
    <n v="0"/>
    <m/>
    <n v="0"/>
    <n v="0"/>
    <n v="0"/>
    <n v="0"/>
    <n v="0"/>
    <n v="5.1154011027755022"/>
    <n v="0"/>
    <n v="0"/>
    <n v="0"/>
    <n v="0"/>
    <n v="0"/>
    <m/>
    <m/>
    <m/>
    <m/>
    <m/>
    <m/>
    <m/>
    <m/>
    <m/>
    <n v="121.62828298312961"/>
    <m/>
    <m/>
    <m/>
    <m/>
    <m/>
    <m/>
    <m/>
    <m/>
    <m/>
    <m/>
    <m/>
    <m/>
    <n v="913.18560000000002"/>
    <n v="-134.46563999999989"/>
    <m/>
    <m/>
    <m/>
    <m/>
    <n v="-143.83151999999998"/>
    <n v="14.767560000000003"/>
    <n v="30"/>
    <n v="42.296310396986712"/>
    <n v="2.7407349785401962"/>
    <n v="12.77957263267291"/>
    <n v="0"/>
    <n v="0"/>
    <n v="0"/>
    <n v="0"/>
    <n v="0"/>
    <n v="12.817544471811793"/>
    <n v="0"/>
    <n v="0"/>
    <n v="14.765892657077913"/>
    <n v="0"/>
    <n v="0"/>
    <n v="0"/>
    <n v="0.64828422713846301"/>
    <n v="0"/>
    <n v="-1.2436455924679137"/>
    <m/>
    <n v="0"/>
    <n v="0"/>
    <n v="0"/>
    <n v="0"/>
    <n v="-0.19657615871232537"/>
    <n v="-1.5496819074307666E-2"/>
    <n v="0"/>
    <n v="0"/>
    <m/>
    <m/>
    <m/>
    <n v="689.81927829144627"/>
    <n v="0"/>
    <n v="0"/>
    <n v="-143.83151999999995"/>
    <n v="14.767560000000003"/>
    <n v="0"/>
    <n v="0"/>
    <n v="-171.36280983271877"/>
    <n v="0"/>
    <n v="0"/>
    <n v="0"/>
    <n v="0"/>
    <n v="0"/>
    <n v="0"/>
    <n v="0"/>
    <n v="0"/>
    <n v="0"/>
    <n v="0"/>
    <n v="0"/>
    <n v="0"/>
    <n v="9.35319496853570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8"/>
    <s v="Regular"/>
    <s v="Verde"/>
    <s v="A4"/>
    <s v="Poder público"/>
    <s v="Não se aplica"/>
    <s v="Não se aplica"/>
    <s v="Não se aplica"/>
    <s v="Fora ponta"/>
    <s v="CATIVO"/>
    <x v="9"/>
    <n v="0"/>
    <n v="0"/>
    <n v="25.853000000000002"/>
    <n v="25.853000000000002"/>
    <n v="25.853000000000002"/>
    <n v="25.853000000000002"/>
    <m/>
    <n v="85.01"/>
    <n v="173.25"/>
    <m/>
    <n v="6676.7957800000004"/>
    <n v="6676.7957800000004"/>
    <n v="7204.4555100000007"/>
    <n v="0"/>
    <n v="1384.2810304903899"/>
    <n v="0"/>
    <n v="0"/>
    <n v="0"/>
    <n v="0"/>
    <n v="0"/>
    <n v="4403.812186042097"/>
    <n v="75.160708465082948"/>
    <n v="0"/>
    <n v="0"/>
    <n v="0"/>
    <n v="0"/>
    <n v="245.83695975969383"/>
    <m/>
    <n v="20.703439878095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.34570864043138"/>
    <n v="0"/>
    <n v="0"/>
    <n v="0"/>
    <n v="0"/>
    <n v="0"/>
    <m/>
    <m/>
    <m/>
    <m/>
    <m/>
    <m/>
    <m/>
    <m/>
    <m/>
    <n v="4597.1578946825284"/>
    <m/>
    <m/>
    <m/>
    <m/>
    <m/>
    <m/>
    <m/>
    <m/>
    <m/>
    <m/>
    <m/>
    <m/>
    <n v="7203.6195000000007"/>
    <n v="526.79371999999967"/>
    <m/>
    <m/>
    <m/>
    <m/>
    <n v="-30.506540000000179"/>
    <n v="558.16627000000017"/>
    <n v="30"/>
    <n v="527.58482864160214"/>
    <n v="0"/>
    <n v="0"/>
    <n v="0"/>
    <n v="0"/>
    <n v="0"/>
    <n v="0"/>
    <n v="0"/>
    <n v="0"/>
    <n v="0"/>
    <n v="0"/>
    <n v="558.1032498003442"/>
    <n v="0"/>
    <n v="0"/>
    <n v="0"/>
    <n v="24.503058661126744"/>
    <n v="0"/>
    <n v="-47.005803365603697"/>
    <m/>
    <n v="0"/>
    <n v="0"/>
    <n v="0"/>
    <n v="0"/>
    <n v="-7.4299465368270887"/>
    <n v="-0.58572991743870872"/>
    <n v="0"/>
    <n v="0"/>
    <m/>
    <m/>
    <m/>
    <n v="0"/>
    <n v="0"/>
    <n v="0"/>
    <n v="-30.506540000000314"/>
    <n v="558.16627000000062"/>
    <n v="0"/>
    <n v="0"/>
    <n v="0"/>
    <n v="0"/>
    <n v="0"/>
    <n v="0"/>
    <n v="0"/>
    <n v="0"/>
    <n v="0"/>
    <n v="0"/>
    <n v="0"/>
    <n v="0"/>
    <n v="0"/>
    <n v="0"/>
    <n v="0"/>
    <n v="353.520686435019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79"/>
    <s v="Sistema de Compensação"/>
    <s v="Verde"/>
    <s v="A4"/>
    <s v="Poder público"/>
    <s v="Não se aplica"/>
    <s v="Não se aplica"/>
    <s v="Não se aplica"/>
    <s v="Fora ponta"/>
    <s v="CATIVO"/>
    <x v="9"/>
    <n v="0"/>
    <n v="0"/>
    <n v="2.5819999999999999"/>
    <n v="2.5819999999999999"/>
    <n v="2.5819999999999999"/>
    <n v="2.5819999999999999"/>
    <m/>
    <n v="85.01"/>
    <n v="173.25"/>
    <m/>
    <n v="666.82731999999999"/>
    <n v="666.82731999999999"/>
    <n v="719.52593999999999"/>
    <n v="0"/>
    <n v="138.25140682807358"/>
    <n v="0"/>
    <n v="0"/>
    <n v="0"/>
    <n v="0"/>
    <n v="0"/>
    <n v="439.81909505127811"/>
    <n v="7.5064769758575078"/>
    <n v="0"/>
    <n v="0"/>
    <n v="0"/>
    <n v="0"/>
    <n v="24.552316176054205"/>
    <m/>
    <n v="2.0677013021793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309891297319218"/>
    <n v="0"/>
    <n v="0"/>
    <n v="0"/>
    <n v="0"/>
    <n v="0"/>
    <m/>
    <m/>
    <m/>
    <m/>
    <m/>
    <m/>
    <m/>
    <m/>
    <m/>
    <n v="459.12898634859732"/>
    <m/>
    <m/>
    <m/>
    <m/>
    <m/>
    <m/>
    <m/>
    <m/>
    <m/>
    <m/>
    <m/>
    <m/>
    <n v="718.96860000000004"/>
    <n v="52.111280000000079"/>
    <m/>
    <m/>
    <m/>
    <m/>
    <n v="-3.0467600000000172"/>
    <n v="55.745380000000004"/>
    <n v="30"/>
    <n v="52.691139424926178"/>
    <n v="0"/>
    <n v="0"/>
    <n v="0"/>
    <n v="0"/>
    <n v="0"/>
    <n v="0"/>
    <n v="0"/>
    <n v="0"/>
    <n v="0"/>
    <n v="0"/>
    <n v="55.739086024232734"/>
    <n v="0"/>
    <n v="0"/>
    <n v="0"/>
    <n v="2.4471781790519174"/>
    <n v="0"/>
    <n v="-4.6945802920353117"/>
    <m/>
    <n v="0"/>
    <n v="0"/>
    <n v="0"/>
    <n v="0"/>
    <n v="-0.74204625993453277"/>
    <n v="-5.8498226388687957E-2"/>
    <n v="0"/>
    <n v="0"/>
    <m/>
    <m/>
    <m/>
    <n v="0"/>
    <n v="0"/>
    <n v="0"/>
    <n v="-3.0467600000000346"/>
    <n v="55.745380000000011"/>
    <n v="0"/>
    <n v="0"/>
    <n v="0"/>
    <n v="0"/>
    <n v="0"/>
    <n v="0"/>
    <n v="0"/>
    <n v="0"/>
    <n v="0"/>
    <n v="0"/>
    <n v="0"/>
    <n v="0"/>
    <n v="0"/>
    <n v="0"/>
    <n v="0"/>
    <n v="35.3069435800572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80"/>
    <s v="Regular"/>
    <s v="Verde"/>
    <s v="A4"/>
    <s v="Poder público"/>
    <s v="Não se aplica"/>
    <s v="Não se aplica"/>
    <s v="Não se aplica"/>
    <s v="Não se aplica"/>
    <s v="CATIVO"/>
    <x v="9"/>
    <n v="298"/>
    <n v="298"/>
    <n v="0"/>
    <n v="0"/>
    <n v="0"/>
    <n v="0"/>
    <n v="27.19"/>
    <m/>
    <m/>
    <n v="8102.6200000000008"/>
    <m/>
    <n v="8102.6200000000008"/>
    <n v="6484.4800000000005"/>
    <n v="0"/>
    <n v="0"/>
    <n v="0"/>
    <n v="0"/>
    <n v="69.493782801414071"/>
    <n v="66.76238213238635"/>
    <n v="7131.7450124615307"/>
    <m/>
    <m/>
    <m/>
    <n v="0"/>
    <n v="0"/>
    <n v="0"/>
    <n v="0"/>
    <m/>
    <n v="0"/>
    <n v="147.47567966495828"/>
    <n v="687.81047521742403"/>
    <n v="0"/>
    <n v="0"/>
    <m/>
    <m/>
    <n v="0"/>
    <n v="0"/>
    <n v="0"/>
    <m/>
    <m/>
    <n v="0"/>
    <m/>
    <n v="0"/>
    <n v="0"/>
    <n v="0"/>
    <n v="0"/>
    <m/>
    <n v="0"/>
    <n v="0"/>
    <n v="16.2"/>
    <n v="173.91"/>
    <n v="7085.49"/>
    <n v="5"/>
    <m/>
    <m/>
    <m/>
    <m/>
    <m/>
    <m/>
    <m/>
    <m/>
    <m/>
    <n v="0"/>
    <m/>
    <m/>
    <m/>
    <m/>
    <m/>
    <m/>
    <m/>
    <m/>
    <m/>
    <m/>
    <m/>
    <m/>
    <n v="6484.4800000000005"/>
    <n v="-1618.170000000001"/>
    <m/>
    <m/>
    <m/>
    <m/>
    <n v="-1618.1399999999999"/>
    <n v="0"/>
    <n v="30"/>
    <n v="151.97761270370415"/>
    <n v="14.695636257809127"/>
    <n v="68.538843699988661"/>
    <n v="0"/>
    <n v="0"/>
    <m/>
    <m/>
    <m/>
    <n v="68.7431327459064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7131.7450124615307"/>
    <m/>
    <n v="0"/>
    <n v="0"/>
    <n v="-1618.1400000000003"/>
    <m/>
    <n v="0"/>
    <m/>
    <n v="-1771.646433791797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81"/>
    <s v="Sistema de Compensação"/>
    <s v="Verde"/>
    <s v="A4"/>
    <s v="Poder público"/>
    <s v="Não se aplica"/>
    <s v="Não se aplica"/>
    <s v="Não se aplica"/>
    <s v="Não se aplica"/>
    <s v="CATIVO"/>
    <x v="9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1.96"/>
    <n v="21.05"/>
    <n v="880.39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n v="30"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682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1568.0039999999999"/>
    <n v="1568.0039999999999"/>
    <n v="1568.0039999999999"/>
    <n v="1568.0039999999999"/>
    <m/>
    <n v="199.07"/>
    <n v="95.29"/>
    <m/>
    <n v="461557.65743999998"/>
    <n v="461557.65743999998"/>
    <n v="435701.27148"/>
    <n v="0"/>
    <n v="53076.701390540031"/>
    <n v="0"/>
    <n v="0"/>
    <n v="2207.3506544554202"/>
    <n v="2846.8411605220654"/>
    <n v="196965.39265326306"/>
    <n v="146901.99658180913"/>
    <n v="2507.2045926525448"/>
    <n v="0"/>
    <n v="0"/>
    <n v="0"/>
    <n v="0"/>
    <n v="8200.6086310320516"/>
    <m/>
    <n v="1041.6582877511796"/>
    <n v="4685.772273846057"/>
    <n v="21849.064835187331"/>
    <n v="0"/>
    <n v="0"/>
    <n v="0"/>
    <n v="0"/>
    <n v="0"/>
    <n v="0"/>
    <n v="0"/>
    <n v="0"/>
    <n v="0"/>
    <n v="0"/>
    <m/>
    <n v="0"/>
    <n v="0"/>
    <n v="0"/>
    <n v="0"/>
    <n v="0"/>
    <n v="7709.6961374530456"/>
    <n v="0"/>
    <n v="386.93"/>
    <n v="4149.3900000000003"/>
    <n v="138312.76"/>
    <n v="67"/>
    <m/>
    <m/>
    <m/>
    <m/>
    <m/>
    <m/>
    <m/>
    <m/>
    <m/>
    <n v="154611.69271926218"/>
    <m/>
    <m/>
    <m/>
    <m/>
    <m/>
    <m/>
    <m/>
    <m/>
    <m/>
    <m/>
    <m/>
    <m/>
    <n v="435700.16000000003"/>
    <n v="-25857.527439999976"/>
    <m/>
    <m/>
    <m/>
    <m/>
    <n v="-44468.593439999975"/>
    <n v="18612.207479999983"/>
    <n v="30"/>
    <n v="23090.033878172922"/>
    <n v="466.92719151937581"/>
    <n v="2177.2126097039218"/>
    <n v="0"/>
    <n v="0"/>
    <n v="0"/>
    <n v="0"/>
    <n v="0"/>
    <n v="2931.3031313983593"/>
    <n v="0"/>
    <n v="0"/>
    <n v="18617.161275479215"/>
    <n v="0"/>
    <n v="0"/>
    <n v="0"/>
    <n v="977.06402714526303"/>
    <n v="0"/>
    <n v="-1802.3168228886352"/>
    <m/>
    <n v="0"/>
    <n v="0"/>
    <n v="0"/>
    <n v="0"/>
    <n v="-247.84753178516985"/>
    <n v="-29.470002399424516"/>
    <n v="0"/>
    <n v="0"/>
    <m/>
    <m/>
    <m/>
    <n v="196965.39265326306"/>
    <n v="0"/>
    <n v="0"/>
    <n v="-44468.593439999968"/>
    <n v="18612.207479999983"/>
    <n v="0"/>
    <n v="0"/>
    <n v="-48929.544573567808"/>
    <n v="0"/>
    <n v="0"/>
    <n v="0"/>
    <n v="0"/>
    <n v="0"/>
    <n v="0"/>
    <n v="0"/>
    <n v="0"/>
    <n v="0"/>
    <n v="0"/>
    <n v="0"/>
    <n v="0"/>
    <n v="13554.84290833857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83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635.47699999999998"/>
    <n v="597.34838000000002"/>
    <n v="635.47699999999998"/>
    <n v="597.34838000000002"/>
    <m/>
    <n v="368.24"/>
    <n v="173.25"/>
    <m/>
    <n v="344104.44073000003"/>
    <n v="344104.44073000003"/>
    <n v="323387.89052999998"/>
    <n v="0"/>
    <n v="39110.548383986301"/>
    <n v="0"/>
    <n v="0"/>
    <n v="1626.5271260223687"/>
    <n v="1562.7278388491916"/>
    <n v="149678.41337847454"/>
    <n v="108247.45122614295"/>
    <n v="1847.480042287762"/>
    <n v="0"/>
    <n v="0"/>
    <n v="0"/>
    <n v="0"/>
    <n v="6042.7700335439195"/>
    <m/>
    <n v="767.56516127307816"/>
    <n v="3452.7979024947622"/>
    <n v="16099.887238541727"/>
    <n v="0"/>
    <n v="0"/>
    <n v="0"/>
    <n v="0"/>
    <n v="0"/>
    <n v="0"/>
    <n v="0"/>
    <n v="0"/>
    <n v="0"/>
    <n v="0"/>
    <m/>
    <n v="0"/>
    <n v="0"/>
    <n v="0"/>
    <n v="0"/>
    <n v="0"/>
    <n v="5681.0320895983896"/>
    <n v="0"/>
    <n v="273.69"/>
    <n v="2941.95"/>
    <n v="137277.85999999999"/>
    <n v="204"/>
    <m/>
    <m/>
    <m/>
    <m/>
    <n v="19403.273431799978"/>
    <m/>
    <m/>
    <m/>
    <m/>
    <n v="113928.48331574134"/>
    <m/>
    <m/>
    <m/>
    <m/>
    <m/>
    <m/>
    <m/>
    <m/>
    <m/>
    <m/>
    <m/>
    <m/>
    <n v="303985.44150000002"/>
    <n v="-19472.762786200037"/>
    <m/>
    <m/>
    <m/>
    <m/>
    <n v="-34436.498629999995"/>
    <n v="13719.948430000002"/>
    <n v="30"/>
    <n v="16463.425209105044"/>
    <n v="344.06393082618979"/>
    <n v="1604.319350735459"/>
    <n v="0"/>
    <n v="0"/>
    <n v="0"/>
    <n v="0"/>
    <n v="0"/>
    <n v="1609.0918843894958"/>
    <n v="0"/>
    <n v="0"/>
    <n v="13718.399368482307"/>
    <n v="0"/>
    <n v="0"/>
    <n v="0"/>
    <n v="719.96768651356797"/>
    <n v="0"/>
    <n v="-1328.0704613913258"/>
    <m/>
    <n v="0"/>
    <n v="0"/>
    <n v="0"/>
    <n v="0"/>
    <n v="-182.63103451759071"/>
    <n v="-21.715515933029337"/>
    <n v="0"/>
    <n v="0"/>
    <m/>
    <m/>
    <m/>
    <n v="149678.41337847454"/>
    <n v="0"/>
    <n v="0"/>
    <n v="-34436.498630000016"/>
    <n v="13719.948430000004"/>
    <n v="0"/>
    <n v="0"/>
    <n v="-37182.656813197842"/>
    <n v="0"/>
    <n v="0"/>
    <n v="0"/>
    <n v="0"/>
    <n v="0"/>
    <n v="0"/>
    <n v="0"/>
    <n v="0"/>
    <n v="0"/>
    <n v="0"/>
    <n v="0"/>
    <n v="0"/>
    <n v="9988.136517812983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84"/>
    <s v="Regular"/>
    <s v="Azul"/>
    <s v="A4"/>
    <s v="Serviço público"/>
    <s v="Água, esgoto e saneamento"/>
    <s v="Não se aplica"/>
    <s v="Não se aplica"/>
    <s v="Ponta"/>
    <s v="CATIVO"/>
    <x v="9"/>
    <n v="65"/>
    <n v="61.1"/>
    <n v="2.8290000000000002"/>
    <n v="2.6592600000000002"/>
    <n v="2.8290000000000002"/>
    <n v="2.6592600000000002"/>
    <n v="52.95"/>
    <n v="85.01"/>
    <n v="173.25"/>
    <n v="3441.75"/>
    <n v="730.61754000000008"/>
    <n v="4172.3675400000002"/>
    <n v="3664.60743"/>
    <n v="0"/>
    <n v="151.47685124578629"/>
    <n v="0"/>
    <n v="0"/>
    <n v="51.198306474712865"/>
    <n v="49.188863943031343"/>
    <n v="2725.6914092779475"/>
    <n v="481.89319128585049"/>
    <n v="8.2245636579011983"/>
    <n v="0"/>
    <n v="0"/>
    <n v="0"/>
    <n v="0"/>
    <n v="26.901046654553586"/>
    <m/>
    <n v="2.2655023175311082"/>
    <n v="108.68330737188015"/>
    <n v="506.76761947441048"/>
    <n v="0"/>
    <n v="0"/>
    <n v="0"/>
    <n v="0"/>
    <n v="0"/>
    <n v="0"/>
    <n v="0"/>
    <n v="0"/>
    <n v="0"/>
    <n v="0"/>
    <m/>
    <n v="0"/>
    <n v="0"/>
    <n v="0"/>
    <n v="0"/>
    <n v="0"/>
    <n v="21.157119473321487"/>
    <n v="0"/>
    <n v="0"/>
    <n v="0"/>
    <n v="0"/>
    <n v="0"/>
    <m/>
    <m/>
    <m/>
    <m/>
    <n v="219.87644579999994"/>
    <m/>
    <m/>
    <m/>
    <m/>
    <n v="503.05031075917196"/>
    <m/>
    <m/>
    <m/>
    <m/>
    <m/>
    <m/>
    <m/>
    <m/>
    <m/>
    <m/>
    <m/>
    <m/>
    <n v="3444.9372000000003"/>
    <n v="-477.11828760000117"/>
    <m/>
    <m/>
    <m/>
    <m/>
    <n v="-568.83822000000021"/>
    <n v="61.078110000000017"/>
    <n v="30"/>
    <n v="169.70829495373528"/>
    <n v="10.830059275274195"/>
    <n v="50.498310093914142"/>
    <n v="0"/>
    <n v="0"/>
    <n v="0"/>
    <n v="0"/>
    <n v="0"/>
    <n v="50.648231768467902"/>
    <n v="0"/>
    <n v="0"/>
    <n v="61.071213928177542"/>
    <n v="0"/>
    <n v="0"/>
    <n v="0"/>
    <n v="2.6812808166296946"/>
    <n v="0"/>
    <n v="-5.1436745337598495"/>
    <m/>
    <n v="0"/>
    <n v="0"/>
    <n v="0"/>
    <n v="0"/>
    <n v="-0.81303209502509688"/>
    <n v="-6.409429994329896E-2"/>
    <n v="0"/>
    <n v="0"/>
    <m/>
    <m/>
    <n v="2725.6914092779475"/>
    <n v="0"/>
    <n v="0"/>
    <n v="0"/>
    <n v="-568.83822000000009"/>
    <n v="61.078109999999981"/>
    <n v="0"/>
    <n v="0"/>
    <n v="-677.10798078540483"/>
    <n v="0"/>
    <n v="0"/>
    <n v="0"/>
    <n v="0"/>
    <n v="0"/>
    <n v="0"/>
    <n v="0"/>
    <n v="0"/>
    <n v="0"/>
    <n v="0"/>
    <n v="0"/>
    <n v="0"/>
    <n v="38.68448620758407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85"/>
    <s v="Regular"/>
    <s v="Azul"/>
    <s v="A4"/>
    <s v="Serviço público"/>
    <s v="Água, esgoto e saneamento"/>
    <s v="Não se aplica"/>
    <s v="Não se aplica"/>
    <s v="Fora ponta"/>
    <s v="CATIVO"/>
    <x v="9"/>
    <n v="65"/>
    <n v="61.1"/>
    <n v="21.382000000000001"/>
    <n v="20.099080000000001"/>
    <n v="21.382000000000001"/>
    <n v="20.099080000000001"/>
    <n v="27.19"/>
    <n v="85.01"/>
    <n v="173.25"/>
    <n v="1767.3500000000001"/>
    <n v="5522.1153200000008"/>
    <n v="7289.4653200000012"/>
    <n v="7372.9219400000011"/>
    <n v="0"/>
    <n v="1144.884423236975"/>
    <n v="0"/>
    <n v="0"/>
    <n v="15.158039872791662"/>
    <n v="14.56226455907756"/>
    <n v="1555.5819658053674"/>
    <n v="3642.2199420551628"/>
    <n v="62.162467350033019"/>
    <n v="0"/>
    <n v="0"/>
    <n v="0"/>
    <n v="0"/>
    <n v="203.32208538977193"/>
    <m/>
    <n v="17.123001256079942"/>
    <n v="32.167514020880162"/>
    <n v="150.02577479574686"/>
    <n v="0"/>
    <n v="0"/>
    <n v="0"/>
    <n v="0"/>
    <n v="0"/>
    <n v="0"/>
    <n v="0"/>
    <n v="0"/>
    <n v="0"/>
    <n v="0"/>
    <m/>
    <n v="0"/>
    <n v="0"/>
    <n v="0"/>
    <n v="0"/>
    <n v="0"/>
    <n v="159.90863505781547"/>
    <n v="0"/>
    <n v="0"/>
    <n v="0"/>
    <n v="0"/>
    <n v="0"/>
    <m/>
    <m/>
    <m/>
    <m/>
    <n v="442.3753164000002"/>
    <m/>
    <m/>
    <m/>
    <m/>
    <n v="3802.1285771129783"/>
    <m/>
    <m/>
    <m/>
    <m/>
    <m/>
    <m/>
    <m/>
    <m/>
    <m/>
    <m/>
    <m/>
    <m/>
    <n v="6930.8030000000008"/>
    <n v="78.675599199999851"/>
    <m/>
    <m/>
    <m/>
    <m/>
    <n v="-378.18076000000013"/>
    <n v="461.63738000000012"/>
    <n v="30"/>
    <n v="469.49415131190381"/>
    <n v="3.2054240159650789"/>
    <n v="14.94974778691028"/>
    <n v="0"/>
    <n v="0"/>
    <n v="0"/>
    <n v="0"/>
    <n v="0"/>
    <n v="14.994307478133946"/>
    <n v="0"/>
    <n v="0"/>
    <n v="461.58525847023384"/>
    <n v="0"/>
    <n v="0"/>
    <n v="0"/>
    <n v="20.265516585781626"/>
    <n v="0"/>
    <n v="-38.876652131796618"/>
    <m/>
    <n v="0"/>
    <n v="0"/>
    <n v="0"/>
    <n v="0"/>
    <n v="-6.1450167040744645"/>
    <n v="-0.48443418924977522"/>
    <n v="0"/>
    <n v="0"/>
    <m/>
    <m/>
    <n v="1555.5819658053674"/>
    <n v="0"/>
    <n v="0"/>
    <n v="0"/>
    <n v="-378.18076000000019"/>
    <n v="461.63738000000058"/>
    <n v="0"/>
    <n v="0"/>
    <n v="-386.43294696800945"/>
    <n v="0"/>
    <n v="0"/>
    <n v="0"/>
    <n v="0"/>
    <n v="0"/>
    <n v="0"/>
    <n v="0"/>
    <n v="0"/>
    <n v="0"/>
    <n v="0"/>
    <n v="0"/>
    <n v="0"/>
    <n v="292.3830625982901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86"/>
    <s v="Regular"/>
    <s v="Azul"/>
    <s v="A4"/>
    <s v="Serviço público"/>
    <s v="Água, esgoto e saneamento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5299999999999994"/>
    <n v="91.46"/>
    <n v="4043.2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87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10.053000000000001"/>
    <n v="10.053000000000001"/>
    <n v="10.053000000000001"/>
    <n v="10.053000000000001"/>
    <m/>
    <n v="368.24"/>
    <n v="173.25"/>
    <m/>
    <n v="5443.59897"/>
    <n v="5443.59897"/>
    <n v="5115.8711700000003"/>
    <n v="0"/>
    <n v="618.71372670327071"/>
    <n v="0"/>
    <n v="0"/>
    <n v="25.731029129146886"/>
    <n v="24.721749117514754"/>
    <n v="2367.8545245442474"/>
    <n v="1712.4327507941516"/>
    <n v="29.22641868253119"/>
    <n v="0"/>
    <n v="0"/>
    <n v="0"/>
    <n v="0"/>
    <n v="95.594281377952356"/>
    <m/>
    <n v="12.142583549488425"/>
    <n v="54.621925441487022"/>
    <n v="254.69398012683385"/>
    <n v="0"/>
    <n v="0"/>
    <n v="0"/>
    <n v="0"/>
    <n v="0"/>
    <n v="0"/>
    <n v="0"/>
    <n v="0"/>
    <n v="0"/>
    <n v="0"/>
    <m/>
    <n v="0"/>
    <n v="0"/>
    <n v="0"/>
    <n v="0"/>
    <n v="0"/>
    <n v="89.871727217086715"/>
    <n v="0"/>
    <n v="4.47"/>
    <n v="48.27"/>
    <n v="2145.04"/>
    <n v="5"/>
    <m/>
    <m/>
    <m/>
    <m/>
    <m/>
    <m/>
    <m/>
    <m/>
    <m/>
    <n v="1802.3044780112384"/>
    <m/>
    <m/>
    <m/>
    <m/>
    <m/>
    <m/>
    <m/>
    <m/>
    <m/>
    <m/>
    <m/>
    <m/>
    <n v="5114.3445000000011"/>
    <n v="-329.2844699999996"/>
    <m/>
    <m/>
    <m/>
    <m/>
    <n v="-544.77206999999999"/>
    <n v="217.04427000000004"/>
    <n v="30"/>
    <n v="260.44501001158687"/>
    <n v="5.4429581190124665"/>
    <n v="25.379710725869785"/>
    <n v="0"/>
    <n v="0"/>
    <n v="0"/>
    <n v="0"/>
    <n v="0"/>
    <n v="25.455210359726003"/>
    <n v="0"/>
    <n v="0"/>
    <n v="217.01976444678985"/>
    <n v="0"/>
    <n v="0"/>
    <n v="0"/>
    <n v="11.389609934774839"/>
    <n v="0"/>
    <n v="-21.009560296229552"/>
    <m/>
    <n v="0"/>
    <n v="0"/>
    <n v="0"/>
    <n v="0"/>
    <n v="-2.8891522273903547"/>
    <n v="-0.3435310509660372"/>
    <n v="0"/>
    <n v="0"/>
    <m/>
    <m/>
    <m/>
    <n v="2367.8545245442474"/>
    <n v="0"/>
    <n v="0"/>
    <n v="-544.77206999999999"/>
    <n v="217.0442700000001"/>
    <n v="0"/>
    <n v="0"/>
    <n v="-588.21522878574365"/>
    <n v="0"/>
    <n v="0"/>
    <n v="0"/>
    <n v="0"/>
    <n v="0"/>
    <n v="0"/>
    <n v="0"/>
    <n v="0"/>
    <n v="0"/>
    <n v="0"/>
    <n v="0"/>
    <n v="0"/>
    <n v="158.0084509959824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88"/>
    <s v="Refaturamento - Regular"/>
    <s v="Convencional"/>
    <s v="B3"/>
    <s v="Consumo próprio"/>
    <s v="Não se aplica"/>
    <s v="Não se aplica"/>
    <s v="Não se aplica"/>
    <s v="Não se aplica"/>
    <s v="CATIVO"/>
    <x v="9"/>
    <n v="0"/>
    <n v="0"/>
    <n v="-6.5659999999999998"/>
    <n v="-6.5659999999999998"/>
    <n v="-6.5659999999999998"/>
    <n v="-6.5659999999999998"/>
    <m/>
    <n v="368.24"/>
    <n v="173.25"/>
    <m/>
    <n v="-3555.4233400000003"/>
    <n v="-3555.4233400000003"/>
    <n v="-3341.3717399999996"/>
    <n v="0"/>
    <n v="-404.10567288706602"/>
    <n v="0"/>
    <n v="0"/>
    <n v="-16.805922337807463"/>
    <n v="-16.14672283951078"/>
    <n v="-1546.5366366415524"/>
    <n v="-1118.4555298631651"/>
    <n v="-19.088895361533847"/>
    <n v="0"/>
    <n v="0"/>
    <n v="0"/>
    <n v="0"/>
    <n v="-62.436292800918636"/>
    <m/>
    <n v="-7.9307871865056185"/>
    <n v="-35.675675166497932"/>
    <n v="-166.3504101773392"/>
    <n v="0"/>
    <n v="0"/>
    <n v="0"/>
    <n v="0"/>
    <n v="0"/>
    <n v="0"/>
    <n v="0"/>
    <n v="0"/>
    <n v="0"/>
    <n v="0"/>
    <m/>
    <n v="0"/>
    <n v="0"/>
    <n v="0"/>
    <n v="0"/>
    <n v="0"/>
    <n v="-58.698673123186246"/>
    <n v="0"/>
    <n v="-3.02"/>
    <n v="-32.32"/>
    <n v="-1436.36"/>
    <n v="0"/>
    <m/>
    <m/>
    <m/>
    <m/>
    <m/>
    <m/>
    <m/>
    <m/>
    <m/>
    <n v="-1177.1542029863513"/>
    <m/>
    <m/>
    <m/>
    <m/>
    <m/>
    <m/>
    <m/>
    <m/>
    <m/>
    <m/>
    <m/>
    <m/>
    <n v="-3343.4072999999999"/>
    <n v="211.98603999999978"/>
    <m/>
    <m/>
    <m/>
    <m/>
    <n v="355.81153999999998"/>
    <n v="-141.75994000000003"/>
    <n v="30"/>
    <n v="-170.10662844286071"/>
    <n v="-3.5550047756327388"/>
    <n v="-16.576462809714627"/>
    <n v="0"/>
    <n v="0"/>
    <n v="0"/>
    <n v="0"/>
    <n v="0"/>
    <n v="-16.625774517254641"/>
    <n v="0"/>
    <n v="0"/>
    <n v="-141.74393448300225"/>
    <n v="0"/>
    <n v="0"/>
    <n v="0"/>
    <n v="-7.4389912296559757"/>
    <n v="0"/>
    <n v="13.722149896055157"/>
    <m/>
    <n v="0"/>
    <n v="0"/>
    <n v="0"/>
    <n v="0"/>
    <n v="1.8870161668203522"/>
    <n v="0.22437330952382339"/>
    <n v="0"/>
    <n v="0"/>
    <m/>
    <m/>
    <m/>
    <n v="-1546.5366366415524"/>
    <n v="0"/>
    <n v="0"/>
    <n v="355.81154000000015"/>
    <n v="-141.75993999999992"/>
    <n v="0"/>
    <n v="0"/>
    <n v="384.18593377172897"/>
    <n v="0"/>
    <n v="0"/>
    <n v="0"/>
    <n v="0"/>
    <n v="0"/>
    <n v="0"/>
    <n v="0"/>
    <n v="0"/>
    <n v="0"/>
    <n v="0"/>
    <n v="0"/>
    <n v="0"/>
    <n v="-103.2013816014742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89"/>
    <s v="Sistema de Compensação"/>
    <s v="Convencional"/>
    <s v="B3"/>
    <s v="Consumo próprio"/>
    <s v="Não se aplica"/>
    <s v="Não se aplica"/>
    <s v="Não se aplica"/>
    <s v="Não se aplica"/>
    <s v="CATIVO"/>
    <x v="9"/>
    <n v="0"/>
    <n v="0"/>
    <n v="2.069"/>
    <n v="2.069"/>
    <n v="2.069"/>
    <n v="2.069"/>
    <m/>
    <n v="368.24"/>
    <n v="173.25"/>
    <m/>
    <n v="1120.3428100000001"/>
    <n v="1120.3428100000001"/>
    <n v="1052.8934100000001"/>
    <n v="0"/>
    <n v="127.33698403949735"/>
    <n v="0"/>
    <n v="0"/>
    <n v="5.2956828079384159"/>
    <n v="5.0879636848839178"/>
    <n v="487.32627188720255"/>
    <n v="352.43443364101256"/>
    <n v="6.0150661746898466"/>
    <n v="0"/>
    <n v="0"/>
    <n v="0"/>
    <n v="0"/>
    <n v="19.674183643786272"/>
    <m/>
    <n v="2.4990555420164675"/>
    <n v="11.241695388285748"/>
    <n v="52.418367142387268"/>
    <n v="0"/>
    <n v="0"/>
    <n v="0"/>
    <n v="0"/>
    <n v="0"/>
    <n v="0"/>
    <n v="0"/>
    <n v="0"/>
    <n v="0"/>
    <n v="0"/>
    <m/>
    <n v="0"/>
    <n v="0"/>
    <n v="0"/>
    <n v="0"/>
    <n v="0"/>
    <n v="18.496429285999444"/>
    <n v="0"/>
    <n v="0.87"/>
    <n v="9.32"/>
    <n v="504.81"/>
    <n v="1"/>
    <m/>
    <m/>
    <m/>
    <m/>
    <m/>
    <m/>
    <m/>
    <m/>
    <m/>
    <n v="370.93086292701202"/>
    <m/>
    <m/>
    <m/>
    <m/>
    <m/>
    <m/>
    <m/>
    <m/>
    <m/>
    <m/>
    <m/>
    <m/>
    <n v="1053.4023"/>
    <n v="-66.970510000000104"/>
    <m/>
    <m/>
    <m/>
    <m/>
    <n v="-112.11910999999999"/>
    <n v="44.669710000000009"/>
    <n v="30"/>
    <n v="53.601982066445203"/>
    <n v="1.1202109169637726"/>
    <n v="5.2233782444866819"/>
    <n v="0"/>
    <n v="0"/>
    <n v="0"/>
    <n v="0"/>
    <n v="0"/>
    <n v="5.2389167645750616"/>
    <n v="0"/>
    <n v="0"/>
    <n v="44.664666531424302"/>
    <n v="0"/>
    <n v="0"/>
    <n v="0"/>
    <n v="2.3440866363323494"/>
    <n v="0"/>
    <n v="-4.3239610318212272"/>
    <m/>
    <n v="0"/>
    <n v="0"/>
    <n v="0"/>
    <n v="0"/>
    <n v="-0.59461414090029052"/>
    <n v="-7.0701854615411452E-2"/>
    <n v="0"/>
    <n v="0"/>
    <m/>
    <m/>
    <m/>
    <n v="487.32627188720255"/>
    <n v="0"/>
    <n v="0"/>
    <n v="-112.11910999999998"/>
    <n v="44.669710000000009"/>
    <n v="0"/>
    <n v="0"/>
    <n v="-121.0601122408936"/>
    <n v="0"/>
    <n v="0"/>
    <n v="0"/>
    <n v="0"/>
    <n v="0"/>
    <n v="0"/>
    <n v="0"/>
    <n v="0"/>
    <n v="0"/>
    <n v="0"/>
    <n v="0"/>
    <n v="0"/>
    <n v="32.51959465937407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0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2"/>
    <n v="2.5"/>
    <n v="35.76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691"/>
    <s v="Regular"/>
    <s v="Convencional"/>
    <s v="B2"/>
    <s v="Rural"/>
    <s v="Agropecuária rural"/>
    <s v="IRRIG./AQUIC."/>
    <s v="Não se aplica"/>
    <s v="Não se aplica"/>
    <s v="CATIVO"/>
    <x v="9"/>
    <n v="0"/>
    <n v="0"/>
    <n v="0.45"/>
    <n v="0.45"/>
    <n v="0.45"/>
    <n v="0.45"/>
    <m/>
    <n v="368.24"/>
    <n v="173.25"/>
    <m/>
    <n v="243.6705"/>
    <n v="243.6705"/>
    <n v="229.00050000000002"/>
    <n v="0"/>
    <n v="27.69533243971668"/>
    <n v="0"/>
    <n v="0"/>
    <n v="1.151791814196369"/>
    <n v="1.1066136579012871"/>
    <n v="105.99169760717311"/>
    <n v="76.653211763390857"/>
    <n v="1.3082550887435627"/>
    <n v="0"/>
    <n v="0"/>
    <n v="0"/>
    <n v="0"/>
    <n v="4.2790636247964349"/>
    <m/>
    <n v="0.54353552146322393"/>
    <n v="2.4450279964855426"/>
    <n v="11.40080484005523"/>
    <n v="0"/>
    <n v="0"/>
    <n v="0"/>
    <n v="0"/>
    <n v="0"/>
    <n v="0"/>
    <n v="0"/>
    <n v="0"/>
    <n v="0"/>
    <n v="0"/>
    <m/>
    <n v="0"/>
    <n v="0"/>
    <n v="0"/>
    <n v="0"/>
    <n v="0"/>
    <n v="4.0229063212661913"/>
    <n v="0"/>
    <n v="0"/>
    <n v="0"/>
    <n v="0"/>
    <n v="0"/>
    <m/>
    <m/>
    <m/>
    <m/>
    <m/>
    <n v="27.477000000000004"/>
    <m/>
    <m/>
    <m/>
    <n v="80.676118084657048"/>
    <m/>
    <m/>
    <m/>
    <m/>
    <m/>
    <m/>
    <m/>
    <m/>
    <m/>
    <m/>
    <m/>
    <m/>
    <n v="201.52350000000001"/>
    <n v="-12.935999999999979"/>
    <m/>
    <m/>
    <m/>
    <m/>
    <n v="-24.3855"/>
    <n v="9.7155000000000022"/>
    <n v="30"/>
    <n v="11.658236795505246"/>
    <n v="0.24364181374272453"/>
    <n v="1.1360658337452918"/>
    <n v="0"/>
    <n v="0"/>
    <n v="0"/>
    <n v="0"/>
    <n v="0"/>
    <n v="1.139445405538317"/>
    <n v="0"/>
    <n v="0"/>
    <n v="9.7144030638670387"/>
    <n v="0"/>
    <n v="0"/>
    <n v="0"/>
    <n v="0.50983034622984924"/>
    <n v="0"/>
    <n v="-0.94044585032360928"/>
    <m/>
    <n v="0"/>
    <n v="0"/>
    <n v="0"/>
    <n v="0"/>
    <n v="-0.12932642020547735"/>
    <n v="-1.5377397088900402E-2"/>
    <n v="0"/>
    <n v="0"/>
    <m/>
    <m/>
    <m/>
    <n v="105.99169760717311"/>
    <n v="0"/>
    <n v="0"/>
    <n v="-24.385499999999979"/>
    <n v="9.7154999999999916"/>
    <n v="0"/>
    <n v="0"/>
    <n v="-26.33013557680141"/>
    <n v="0"/>
    <n v="0"/>
    <n v="0"/>
    <n v="0"/>
    <n v="0"/>
    <n v="0"/>
    <n v="0"/>
    <n v="0"/>
    <n v="0"/>
    <n v="0"/>
    <n v="0"/>
    <n v="0"/>
    <n v="7.07289395684791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2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0.28399999999999997"/>
    <n v="0.11360000000000001"/>
    <n v="0.28399999999999997"/>
    <n v="0.11360000000000001"/>
    <m/>
    <n v="368.24"/>
    <n v="173.25"/>
    <m/>
    <n v="153.78315999999998"/>
    <n v="153.78315999999998"/>
    <n v="144.52475999999999"/>
    <n v="0"/>
    <n v="17.478832028621191"/>
    <n v="0"/>
    <n v="0"/>
    <n v="0.72690861162615283"/>
    <n v="0.69839617520881225"/>
    <n v="66.892538045415904"/>
    <n v="48.376693646228887"/>
    <n v="0.82565432267371497"/>
    <n v="0"/>
    <n v="0"/>
    <n v="0"/>
    <n v="0"/>
    <n v="2.7005645987604163"/>
    <m/>
    <n v="0.3430313068790124"/>
    <n v="1.5430843355597643"/>
    <n v="7.1951746101681886"/>
    <n v="0"/>
    <n v="0"/>
    <n v="0"/>
    <n v="0"/>
    <n v="0"/>
    <n v="0"/>
    <n v="0"/>
    <n v="0"/>
    <n v="0"/>
    <n v="0"/>
    <m/>
    <n v="0"/>
    <n v="0"/>
    <n v="0"/>
    <n v="0"/>
    <n v="0"/>
    <n v="2.5389008783102183"/>
    <n v="0"/>
    <n v="0"/>
    <n v="0"/>
    <n v="0"/>
    <n v="0"/>
    <m/>
    <m/>
    <m/>
    <m/>
    <m/>
    <m/>
    <n v="93.651271999999992"/>
    <m/>
    <m/>
    <n v="50.915594524539102"/>
    <m/>
    <m/>
    <m/>
    <m/>
    <m/>
    <m/>
    <m/>
    <m/>
    <m/>
    <m/>
    <m/>
    <m/>
    <n v="49.261300000000006"/>
    <n v="-4.9002359999999925"/>
    <m/>
    <m/>
    <m/>
    <m/>
    <n v="-15.389959999999999"/>
    <n v="6.1315600000000003"/>
    <n v="30"/>
    <n v="7.3576427776077225"/>
    <n v="0.15376505578429733"/>
    <n v="0.71698377063036123"/>
    <n v="0"/>
    <n v="0"/>
    <n v="0"/>
    <n v="0"/>
    <n v="0"/>
    <n v="0.71911665593973784"/>
    <n v="0"/>
    <n v="0"/>
    <n v="6.1308677114183112"/>
    <n v="0"/>
    <n v="0"/>
    <n v="0"/>
    <n v="0.32175959628728235"/>
    <n v="0"/>
    <n v="-0.59352582553756861"/>
    <m/>
    <n v="0"/>
    <n v="0"/>
    <n v="0"/>
    <n v="0"/>
    <n v="-8.1619340751901248E-2"/>
    <n v="-9.7048461627727289E-3"/>
    <n v="0"/>
    <n v="0"/>
    <m/>
    <m/>
    <m/>
    <n v="66.892538045415904"/>
    <n v="0"/>
    <n v="0"/>
    <n v="-15.389960000000002"/>
    <n v="6.1315600000000003"/>
    <n v="0"/>
    <n v="0"/>
    <n v="-16.61724111958133"/>
    <n v="0"/>
    <n v="0"/>
    <n v="0"/>
    <n v="0"/>
    <n v="0"/>
    <n v="0"/>
    <n v="0"/>
    <n v="0"/>
    <n v="0"/>
    <n v="0"/>
    <n v="0"/>
    <n v="0"/>
    <n v="4.463781963877350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3"/>
    <s v="Regular"/>
    <s v="Convencional"/>
    <s v="B1"/>
    <s v="Residencial"/>
    <s v="Residencial"/>
    <s v="Não se aplica"/>
    <s v="Não se aplica"/>
    <s v="Não se aplica"/>
    <s v="CATIVO"/>
    <x v="10"/>
    <n v="0"/>
    <n v="0"/>
    <n v="7972.5720000000001"/>
    <n v="7972.5720000000001"/>
    <n v="7972.5720000000001"/>
    <n v="7972.5720000000001"/>
    <m/>
    <n v="368.24"/>
    <n v="173.25"/>
    <m/>
    <n v="4317068.0122800004"/>
    <n v="4317068.0122800004"/>
    <n v="4057162.1650799997"/>
    <n v="0"/>
    <n v="490673.40431017085"/>
    <n v="0"/>
    <n v="0"/>
    <n v="20406.095928202609"/>
    <n v="19605.682364003067"/>
    <n v="1877836.534612034"/>
    <n v="1358051.6662552902"/>
    <n v="23178.128643054315"/>
    <n v="0"/>
    <n v="0"/>
    <n v="0"/>
    <n v="0"/>
    <n v="75811.428536156804"/>
    <m/>
    <n v="9629.7246209402183"/>
    <n v="43318.137208881628"/>
    <n v="201986.08321175291"/>
    <n v="0"/>
    <n v="0"/>
    <n v="0"/>
    <n v="0"/>
    <n v="0"/>
    <n v="0"/>
    <n v="0"/>
    <n v="0"/>
    <n v="0"/>
    <n v="0"/>
    <m/>
    <n v="0"/>
    <n v="0"/>
    <n v="0"/>
    <n v="0"/>
    <n v="0"/>
    <n v="71273.133990110757"/>
    <n v="0"/>
    <n v="2698.67"/>
    <n v="37512.07"/>
    <n v="1371278.34"/>
    <n v="45520"/>
    <m/>
    <m/>
    <m/>
    <m/>
    <m/>
    <m/>
    <m/>
    <m/>
    <m/>
    <n v="1429324.800245401"/>
    <m/>
    <m/>
    <m/>
    <m/>
    <m/>
    <m/>
    <m/>
    <m/>
    <m/>
    <m/>
    <m/>
    <m/>
    <n v="4057161.1473000003"/>
    <n v="-259906.8949799994"/>
    <m/>
    <m/>
    <m/>
    <m/>
    <n v="-432033.67667999998"/>
    <n v="172127.82948000004"/>
    <n v="31"/>
    <n v="206546.96054492146"/>
    <n v="4316.5597828321406"/>
    <n v="20127.481458387454"/>
    <n v="0"/>
    <n v="0"/>
    <n v="0"/>
    <n v="0"/>
    <n v="0"/>
    <n v="20187.356746052068"/>
    <n v="0"/>
    <n v="0"/>
    <n v="172108.39525266807"/>
    <n v="0"/>
    <n v="0"/>
    <n v="0"/>
    <n v="9032.5758735608979"/>
    <n v="0"/>
    <n v="-16661.716119569319"/>
    <m/>
    <n v="0"/>
    <n v="0"/>
    <n v="0"/>
    <n v="0"/>
    <n v="-2291.2537702009286"/>
    <n v="-272.43867880855396"/>
    <n v="0"/>
    <n v="0"/>
    <m/>
    <m/>
    <m/>
    <n v="1877836.534612034"/>
    <n v="0"/>
    <n v="0"/>
    <n v="-432033.67668000003"/>
    <n v="172127.82948000007"/>
    <n v="0"/>
    <n v="0"/>
    <n v="-466486.44812402385"/>
    <n v="0"/>
    <n v="0"/>
    <n v="0"/>
    <n v="0"/>
    <n v="0"/>
    <n v="0"/>
    <n v="0"/>
    <n v="0"/>
    <n v="0"/>
    <n v="0"/>
    <n v="0"/>
    <n v="0"/>
    <n v="125309.236265188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4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1.611"/>
    <n v="-1.611"/>
    <n v="-1.611"/>
    <n v="-1.611"/>
    <m/>
    <n v="368.24"/>
    <n v="173.25"/>
    <m/>
    <n v="-872.34039000000007"/>
    <n v="-872.34039000000007"/>
    <n v="-819.82178999999996"/>
    <n v="0"/>
    <n v="-99.149290134185719"/>
    <n v="0"/>
    <n v="0"/>
    <n v="-4.1234146948230013"/>
    <n v="-3.9616768952866077"/>
    <n v="-379.45027743367973"/>
    <n v="-274.41849811293923"/>
    <n v="-4.6835532177019541"/>
    <n v="0"/>
    <n v="0"/>
    <n v="0"/>
    <n v="0"/>
    <n v="-15.319047776771235"/>
    <m/>
    <n v="-1.9458571668383418"/>
    <n v="-8.7532002274182421"/>
    <n v="-40.814881327397721"/>
    <n v="0"/>
    <n v="0"/>
    <n v="0"/>
    <n v="0"/>
    <n v="0"/>
    <n v="0"/>
    <n v="0"/>
    <n v="0"/>
    <n v="0"/>
    <n v="0"/>
    <m/>
    <n v="0"/>
    <n v="0"/>
    <n v="0"/>
    <n v="0"/>
    <n v="0"/>
    <n v="-14.402004630132964"/>
    <n v="0"/>
    <n v="-0.76"/>
    <n v="-6.41"/>
    <n v="-350.03"/>
    <n v="0"/>
    <m/>
    <m/>
    <m/>
    <m/>
    <m/>
    <m/>
    <m/>
    <m/>
    <m/>
    <n v="-288.82050274307221"/>
    <m/>
    <m/>
    <m/>
    <m/>
    <m/>
    <m/>
    <m/>
    <m/>
    <m/>
    <m/>
    <m/>
    <m/>
    <n v="-819.31290000000013"/>
    <n v="52.997489999999971"/>
    <m/>
    <m/>
    <m/>
    <m/>
    <n v="87.300089999999997"/>
    <n v="-34.781490000000005"/>
    <n v="31"/>
    <n v="-41.736487727908809"/>
    <n v="-0.87223769319895439"/>
    <n v="-4.0671156848081438"/>
    <n v="0"/>
    <n v="0"/>
    <n v="0"/>
    <n v="0"/>
    <n v="0"/>
    <n v="-4.0792145518271745"/>
    <n v="0"/>
    <n v="0"/>
    <n v="-34.77756296864402"/>
    <n v="0"/>
    <n v="0"/>
    <n v="0"/>
    <n v="-1.825192639502859"/>
    <n v="0"/>
    <n v="3.3667961441585277"/>
    <m/>
    <n v="0"/>
    <n v="0"/>
    <n v="0"/>
    <n v="0"/>
    <n v="0.46298858433560675"/>
    <n v="5.5051081578263661E-2"/>
    <n v="0"/>
    <n v="0"/>
    <m/>
    <m/>
    <m/>
    <n v="-379.45027743367973"/>
    <n v="0"/>
    <n v="0"/>
    <n v="87.300090000000012"/>
    <n v="-34.781490000000019"/>
    <n v="0"/>
    <n v="0"/>
    <n v="94.26188536494908"/>
    <n v="0"/>
    <n v="0"/>
    <n v="0"/>
    <n v="0"/>
    <n v="0"/>
    <n v="0"/>
    <n v="0"/>
    <n v="0"/>
    <n v="0"/>
    <n v="0"/>
    <n v="0"/>
    <n v="0"/>
    <n v="-25.32096036551553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5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196.256"/>
    <n v="196.256"/>
    <n v="196.256"/>
    <n v="196.256"/>
    <m/>
    <n v="368.24"/>
    <n v="173.25"/>
    <m/>
    <n v="106270.66144"/>
    <n v="106270.66144"/>
    <n v="99872.715840000004"/>
    <n v="0"/>
    <n v="12078.611473975638"/>
    <n v="0"/>
    <n v="0"/>
    <n v="502.32456508205019"/>
    <n v="482.62126676683334"/>
    <n v="46225.570234651925"/>
    <n v="33430.339395191186"/>
    <n v="570.56202376990359"/>
    <n v="0"/>
    <n v="0"/>
    <n v="0"/>
    <n v="0"/>
    <n v="1866.2042461067756"/>
    <m/>
    <n v="237.04912733396995"/>
    <n v="1066.3364766183702"/>
    <n v="4972.1696770886201"/>
    <n v="0"/>
    <n v="0"/>
    <n v="0"/>
    <n v="0"/>
    <n v="0"/>
    <n v="0"/>
    <n v="0"/>
    <n v="0"/>
    <n v="0"/>
    <n v="0"/>
    <m/>
    <n v="0"/>
    <n v="0"/>
    <n v="0"/>
    <n v="0"/>
    <n v="0"/>
    <n v="1754.4877844142613"/>
    <n v="0"/>
    <n v="64.33"/>
    <n v="913.77"/>
    <n v="81238.100000000006"/>
    <n v="1927"/>
    <m/>
    <m/>
    <m/>
    <m/>
    <m/>
    <m/>
    <m/>
    <m/>
    <m/>
    <n v="35184.827179605447"/>
    <m/>
    <m/>
    <m/>
    <m/>
    <m/>
    <m/>
    <m/>
    <m/>
    <m/>
    <m/>
    <m/>
    <m/>
    <n v="99874.751400000008"/>
    <n v="-6395.9400399999722"/>
    <m/>
    <m/>
    <m/>
    <m/>
    <n v="-10635.112639999999"/>
    <n v="4237.1670400000003"/>
    <n v="31"/>
    <n v="5084.4420456414955"/>
    <n v="106.25815066198265"/>
    <n v="495.46608059447954"/>
    <n v="0"/>
    <n v="0"/>
    <n v="0"/>
    <n v="0"/>
    <n v="0"/>
    <n v="496.93999446517324"/>
    <n v="0"/>
    <n v="0"/>
    <n v="4236.6886393384266"/>
    <n v="0"/>
    <n v="0"/>
    <n v="0"/>
    <n v="222.34947651041171"/>
    <n v="0"/>
    <n v="-410.15142400246805"/>
    <m/>
    <n v="0"/>
    <n v="0"/>
    <n v="0"/>
    <n v="0"/>
    <n v="-56.4024131641022"/>
    <n v="-6.7064587623983414"/>
    <n v="0"/>
    <n v="0"/>
    <m/>
    <m/>
    <m/>
    <n v="46225.570234651925"/>
    <n v="0"/>
    <n v="0"/>
    <n v="-10635.112639999992"/>
    <n v="4237.1670400000003"/>
    <n v="0"/>
    <n v="0"/>
    <n v="-11483.215750579417"/>
    <n v="0"/>
    <n v="0"/>
    <n v="0"/>
    <n v="0"/>
    <n v="0"/>
    <n v="0"/>
    <n v="0"/>
    <n v="0"/>
    <n v="0"/>
    <n v="0"/>
    <n v="0"/>
    <n v="0"/>
    <n v="3084.661947544765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6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59.277999999999999"/>
    <n v="59.277999999999999"/>
    <n v="59.277999999999999"/>
    <n v="59.277999999999999"/>
    <m/>
    <n v="281.47000000000003"/>
    <n v="173.25"/>
    <m/>
    <n v="26954.892160000003"/>
    <n v="26954.892160000003"/>
    <n v="25163.510999999999"/>
    <n v="0"/>
    <n v="0"/>
    <n v="0"/>
    <n v="0"/>
    <n v="151.72425591540525"/>
    <n v="145.77298758460554"/>
    <n v="13962.168557240017"/>
    <n v="10097.442415356183"/>
    <n v="172.33498922342423"/>
    <n v="0"/>
    <n v="0"/>
    <n v="0"/>
    <n v="0"/>
    <n v="0"/>
    <m/>
    <n v="71.599330313993306"/>
    <n v="322.08082127926662"/>
    <n v="1501.8153540195419"/>
    <n v="0"/>
    <n v="0"/>
    <n v="0"/>
    <n v="0"/>
    <n v="0"/>
    <n v="0"/>
    <n v="0"/>
    <n v="0"/>
    <n v="0"/>
    <n v="0"/>
    <m/>
    <n v="0"/>
    <n v="0"/>
    <n v="0"/>
    <n v="0"/>
    <n v="0"/>
    <n v="529.93297980448278"/>
    <n v="0"/>
    <n v="0"/>
    <n v="78.959999999999994"/>
    <n v="2781.95"/>
    <n v="114"/>
    <m/>
    <m/>
    <m/>
    <m/>
    <m/>
    <m/>
    <m/>
    <n v="16356.578539999999"/>
    <m/>
    <n v="10627.375395160667"/>
    <m/>
    <m/>
    <m/>
    <m/>
    <m/>
    <m/>
    <m/>
    <m/>
    <m/>
    <m/>
    <m/>
    <m/>
    <n v="8807.2295999999988"/>
    <n v="-627.4868800000022"/>
    <m/>
    <m/>
    <m/>
    <m/>
    <n v="-3071.1931800000016"/>
    <n v="1279.8120200000001"/>
    <n v="31"/>
    <n v="1676.6464920364087"/>
    <n v="32.094665411202755"/>
    <n v="149.65268998389638"/>
    <n v="0"/>
    <n v="0"/>
    <n v="0"/>
    <n v="0"/>
    <n v="0"/>
    <n v="150.09787722111193"/>
    <n v="0"/>
    <n v="0"/>
    <n v="1279.6675218220244"/>
    <n v="0"/>
    <n v="0"/>
    <n v="0"/>
    <n v="67.159385030695603"/>
    <n v="0"/>
    <n v="0"/>
    <m/>
    <n v="0"/>
    <n v="0"/>
    <n v="0"/>
    <n v="0"/>
    <n v="0"/>
    <n v="-2.0256474325240958"/>
    <n v="0"/>
    <n v="0"/>
    <m/>
    <m/>
    <m/>
    <n v="13962.168557240017"/>
    <n v="0"/>
    <n v="0"/>
    <n v="-3071.193180000002"/>
    <n v="1279.8120199999994"/>
    <n v="0"/>
    <n v="0"/>
    <n v="-3468.4395038258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7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35099999999999998"/>
    <n v="-3.7557"/>
    <n v="0.35099999999999998"/>
    <n v="-3.7557"/>
    <m/>
    <n v="281.47000000000003"/>
    <n v="173.25"/>
    <m/>
    <n v="159.60672"/>
    <n v="159.60672"/>
    <n v="148.99950000000001"/>
    <n v="0"/>
    <n v="0"/>
    <n v="0"/>
    <n v="0"/>
    <n v="0.89839761507316773"/>
    <n v="0.86315865316300389"/>
    <n v="82.673524133595023"/>
    <n v="59.789505175444859"/>
    <n v="1.0204389692199787"/>
    <n v="0"/>
    <n v="0"/>
    <n v="0"/>
    <n v="0"/>
    <n v="0"/>
    <m/>
    <n v="0.42395770674131467"/>
    <n v="1.9071218372587229"/>
    <n v="8.8926277752430796"/>
    <n v="0"/>
    <n v="0"/>
    <n v="0"/>
    <n v="0"/>
    <n v="0"/>
    <n v="0"/>
    <n v="0"/>
    <n v="0"/>
    <n v="0"/>
    <n v="0"/>
    <m/>
    <n v="0"/>
    <n v="0"/>
    <n v="0"/>
    <n v="0"/>
    <n v="0"/>
    <n v="3.137866930587629"/>
    <n v="0"/>
    <n v="0"/>
    <n v="0.46"/>
    <n v="22.46"/>
    <n v="0"/>
    <m/>
    <m/>
    <m/>
    <m/>
    <m/>
    <m/>
    <m/>
    <n v="706.98384900000008"/>
    <m/>
    <n v="62.927372106032486"/>
    <m/>
    <m/>
    <m/>
    <m/>
    <m/>
    <m/>
    <m/>
    <m/>
    <m/>
    <m/>
    <m/>
    <m/>
    <n v="-558.6232"/>
    <n v="39.104012000000012"/>
    <m/>
    <m/>
    <m/>
    <m/>
    <n v="-18.185310000000008"/>
    <n v="7.5780900000000004"/>
    <n v="31"/>
    <n v="9.9278470715067613"/>
    <n v="0.19004061471932543"/>
    <n v="0.88613135032132639"/>
    <n v="0"/>
    <n v="0"/>
    <n v="0"/>
    <n v="0"/>
    <n v="0"/>
    <n v="0.8887674163198872"/>
    <n v="0"/>
    <n v="0"/>
    <n v="7.5772343898162973"/>
    <n v="0"/>
    <n v="0"/>
    <n v="0"/>
    <n v="0.39766767005928205"/>
    <n v="0"/>
    <n v="0"/>
    <m/>
    <n v="0"/>
    <n v="0"/>
    <n v="0"/>
    <n v="0"/>
    <n v="0"/>
    <n v="-1.1994369729342369E-2"/>
    <n v="0"/>
    <n v="0"/>
    <m/>
    <m/>
    <m/>
    <n v="82.673524133595023"/>
    <n v="0"/>
    <n v="0"/>
    <n v="-18.185310000000001"/>
    <n v="7.5780900000000031"/>
    <n v="0"/>
    <n v="0"/>
    <n v="-20.53750574990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8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19.53700000000001"/>
    <n v="119.53700000000001"/>
    <n v="119.53700000000001"/>
    <n v="119.53700000000001"/>
    <m/>
    <n v="281.47000000000003"/>
    <n v="173.25"/>
    <m/>
    <n v="54355.864640000007"/>
    <n v="54355.864640000007"/>
    <n v="50743.4565"/>
    <n v="0"/>
    <n v="0"/>
    <n v="0"/>
    <n v="0"/>
    <n v="305.95941798575859"/>
    <n v="293.95839294343591"/>
    <n v="28155.399015263672"/>
    <n v="20361.988832356561"/>
    <n v="347.52197454030943"/>
    <n v="0"/>
    <n v="0"/>
    <n v="0"/>
    <n v="0"/>
    <n v="0"/>
    <m/>
    <n v="144.38356806477645"/>
    <n v="649.49180359087177"/>
    <n v="3028.4844625904047"/>
    <n v="0"/>
    <n v="0"/>
    <n v="0"/>
    <n v="0"/>
    <n v="0"/>
    <n v="0"/>
    <n v="0"/>
    <n v="0"/>
    <n v="0"/>
    <n v="0"/>
    <m/>
    <n v="0"/>
    <n v="0"/>
    <n v="0"/>
    <n v="0"/>
    <n v="0"/>
    <n v="1068.6358953893262"/>
    <n v="0"/>
    <n v="17.11"/>
    <n v="273.82"/>
    <n v="10204.35"/>
    <n v="405"/>
    <m/>
    <m/>
    <m/>
    <m/>
    <m/>
    <m/>
    <m/>
    <n v="20298.577969999998"/>
    <m/>
    <n v="21430.624727745886"/>
    <m/>
    <m/>
    <m/>
    <m/>
    <m/>
    <m/>
    <m/>
    <m/>
    <m/>
    <m/>
    <m/>
    <m/>
    <n v="30445.642599999999"/>
    <n v="-2167.6671099999985"/>
    <m/>
    <m/>
    <m/>
    <m/>
    <n v="-6193.2119700000039"/>
    <n v="2580.8038300000007"/>
    <n v="31"/>
    <n v="3381.0400438367687"/>
    <n v="64.720469976364598"/>
    <n v="301.78200348535711"/>
    <n v="0"/>
    <n v="0"/>
    <n v="0"/>
    <n v="0"/>
    <n v="0"/>
    <n v="302.67974542629736"/>
    <n v="0"/>
    <n v="0"/>
    <n v="2580.5124423232774"/>
    <n v="0"/>
    <n v="0"/>
    <n v="0"/>
    <n v="135.43020021617212"/>
    <n v="0"/>
    <n v="0"/>
    <m/>
    <n v="0"/>
    <n v="0"/>
    <n v="0"/>
    <n v="0"/>
    <n v="0"/>
    <n v="-4.0848175907019879"/>
    <n v="0"/>
    <n v="0"/>
    <m/>
    <m/>
    <m/>
    <n v="28155.399015263672"/>
    <n v="0"/>
    <n v="0"/>
    <n v="-6193.2119700000039"/>
    <n v="2580.8038300000007"/>
    <n v="0"/>
    <n v="0"/>
    <n v="-6994.2787032091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699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438"/>
    <n v="-2.7155999999999998"/>
    <n v="0.438"/>
    <n v="-2.7155999999999998"/>
    <m/>
    <n v="281.47000000000003"/>
    <n v="173.25"/>
    <m/>
    <n v="199.16736000000003"/>
    <n v="199.16736000000003"/>
    <n v="185.93100000000001"/>
    <n v="0"/>
    <n v="0"/>
    <n v="0"/>
    <n v="0"/>
    <n v="1.121077365817799"/>
    <n v="1.0771039603572528"/>
    <n v="103.1652523376485"/>
    <n v="74.609126116367094"/>
    <n v="1.2733682863770677"/>
    <n v="0"/>
    <n v="0"/>
    <n v="0"/>
    <n v="0"/>
    <n v="0"/>
    <m/>
    <n v="0.52904124089087134"/>
    <n v="2.3798272499125948"/>
    <n v="11.096783377653757"/>
    <n v="0"/>
    <n v="0"/>
    <n v="0"/>
    <n v="0"/>
    <n v="0"/>
    <n v="0"/>
    <n v="0"/>
    <n v="0"/>
    <n v="0"/>
    <n v="0"/>
    <m/>
    <n v="0"/>
    <n v="0"/>
    <n v="0"/>
    <n v="0"/>
    <n v="0"/>
    <n v="3.9156288193657596"/>
    <n v="0"/>
    <n v="0.06"/>
    <n v="1.01"/>
    <n v="72.44"/>
    <n v="1"/>
    <m/>
    <m/>
    <m/>
    <m/>
    <m/>
    <m/>
    <m/>
    <n v="877.56716400000005"/>
    <m/>
    <n v="78.524754935732858"/>
    <m/>
    <m/>
    <m/>
    <m/>
    <m/>
    <m/>
    <m/>
    <m/>
    <m/>
    <m/>
    <m/>
    <m/>
    <n v="-692.7568"/>
    <n v="48.110347999999931"/>
    <m/>
    <m/>
    <m/>
    <m/>
    <n v="-22.692780000000013"/>
    <n v="9.4564200000000014"/>
    <n v="31"/>
    <n v="12.388595490940077"/>
    <n v="0.2371446987095851"/>
    <n v="1.1057707448454153"/>
    <n v="0"/>
    <n v="0"/>
    <n v="0"/>
    <n v="0"/>
    <n v="0"/>
    <n v="1.109060194723962"/>
    <n v="0"/>
    <n v="0"/>
    <n v="9.4553523154972652"/>
    <n v="0"/>
    <n v="0"/>
    <n v="0"/>
    <n v="0.49623487033038627"/>
    <n v="0"/>
    <n v="0"/>
    <m/>
    <n v="0"/>
    <n v="0"/>
    <n v="0"/>
    <n v="0"/>
    <n v="0"/>
    <n v="-1.4967333166529873E-2"/>
    <n v="0"/>
    <n v="0"/>
    <m/>
    <m/>
    <m/>
    <n v="103.1652523376485"/>
    <n v="0"/>
    <n v="0"/>
    <n v="-22.692780000000013"/>
    <n v="9.4564200000000085"/>
    <n v="0"/>
    <n v="0"/>
    <n v="-25.627998628086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0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10.217"/>
    <n v="110.217"/>
    <n v="110.217"/>
    <n v="110.217"/>
    <m/>
    <n v="281.47000000000003"/>
    <n v="173.25"/>
    <m/>
    <n v="50117.874240000005"/>
    <n v="50117.874240000005"/>
    <n v="46787.116500000004"/>
    <n v="0"/>
    <n v="0"/>
    <n v="0"/>
    <n v="0"/>
    <n v="282.10452974506933"/>
    <n v="271.03919451756923"/>
    <n v="25960.193189266218"/>
    <n v="18774.415646501442"/>
    <n v="320.42655803566498"/>
    <n v="0"/>
    <n v="0"/>
    <n v="0"/>
    <n v="0"/>
    <n v="0"/>
    <m/>
    <n v="133.12634348691589"/>
    <n v="598.85255708588227"/>
    <n v="2792.3611267919273"/>
    <n v="0"/>
    <n v="0"/>
    <n v="0"/>
    <n v="0"/>
    <n v="0"/>
    <n v="0"/>
    <n v="0"/>
    <n v="0"/>
    <n v="0"/>
    <n v="0"/>
    <m/>
    <n v="0"/>
    <n v="0"/>
    <n v="0"/>
    <n v="0"/>
    <n v="0"/>
    <n v="985.3170355799906"/>
    <n v="0"/>
    <n v="29.28"/>
    <n v="386.76"/>
    <n v="14168.84"/>
    <n v="1010"/>
    <m/>
    <m/>
    <m/>
    <m/>
    <m/>
    <m/>
    <m/>
    <n v="4679.8138200000012"/>
    <m/>
    <n v="19759.732682081434"/>
    <m/>
    <m/>
    <m/>
    <m/>
    <m/>
    <m/>
    <m/>
    <m/>
    <m/>
    <m/>
    <m/>
    <m/>
    <n v="42108.448799999998"/>
    <n v="-2996.786279999993"/>
    <m/>
    <m/>
    <m/>
    <m/>
    <n v="-5710.3427700000029"/>
    <n v="2379.5850300000002"/>
    <n v="31"/>
    <n v="3117.4288338469014"/>
    <n v="59.674377300626361"/>
    <n v="278.25281777312148"/>
    <n v="0"/>
    <n v="0"/>
    <n v="0"/>
    <n v="0"/>
    <n v="0"/>
    <n v="279.08056502714822"/>
    <n v="0"/>
    <n v="0"/>
    <n v="2379.3163610894117"/>
    <n v="0"/>
    <n v="0"/>
    <n v="0"/>
    <n v="124.87104726758946"/>
    <n v="0"/>
    <n v="0"/>
    <m/>
    <n v="0"/>
    <n v="0"/>
    <n v="0"/>
    <n v="0"/>
    <n v="0"/>
    <n v="-3.766334610994079"/>
    <n v="0"/>
    <n v="0"/>
    <m/>
    <m/>
    <m/>
    <n v="25960.193189266218"/>
    <n v="0"/>
    <n v="0"/>
    <n v="-5710.3427700000029"/>
    <n v="2379.585030000002"/>
    <n v="0"/>
    <n v="0"/>
    <n v="-6448.952339707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1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.218"/>
    <n v="-0.15260000000000001"/>
    <n v="0.218"/>
    <n v="-0.15260000000000001"/>
    <m/>
    <n v="281.47000000000003"/>
    <n v="173.25"/>
    <m/>
    <n v="99.128960000000006"/>
    <n v="99.128960000000006"/>
    <n v="92.540999999999997"/>
    <n v="0"/>
    <n v="0"/>
    <n v="0"/>
    <n v="0"/>
    <n v="0.55797914554401873"/>
    <n v="0.5360928387166235"/>
    <n v="51.347089063030523"/>
    <n v="37.134222587598231"/>
    <n v="0.63377690965799249"/>
    <n v="0"/>
    <n v="0"/>
    <n v="0"/>
    <n v="0"/>
    <n v="0"/>
    <m/>
    <n v="0.26331276373107293"/>
    <n v="1.1844802294085517"/>
    <n v="5.5230565669600891"/>
    <n v="0"/>
    <n v="0"/>
    <n v="0"/>
    <n v="0"/>
    <n v="0"/>
    <n v="0"/>
    <n v="0"/>
    <n v="0"/>
    <n v="0"/>
    <n v="0"/>
    <m/>
    <n v="0"/>
    <n v="0"/>
    <n v="0"/>
    <n v="0"/>
    <n v="0"/>
    <n v="1.9488746178578438"/>
    <n v="0"/>
    <n v="7.0000000000000007E-2"/>
    <n v="0.76"/>
    <n v="135.87"/>
    <n v="7"/>
    <m/>
    <m/>
    <m/>
    <m/>
    <m/>
    <m/>
    <m/>
    <n v="150.840304"/>
    <m/>
    <n v="39.083097205456077"/>
    <m/>
    <m/>
    <m/>
    <m/>
    <m/>
    <m/>
    <m/>
    <m/>
    <m/>
    <m/>
    <m/>
    <m/>
    <n v="-57.305999999999997"/>
    <n v="5.1140240000000077"/>
    <m/>
    <m/>
    <m/>
    <m/>
    <n v="-11.294580000000007"/>
    <n v="4.7066200000000009"/>
    <n v="31"/>
    <n v="6.1660132808788575"/>
    <n v="0.11803092310203089"/>
    <n v="0.55036078168105185"/>
    <n v="0"/>
    <n v="0"/>
    <n v="0"/>
    <n v="0"/>
    <n v="0"/>
    <n v="0.55199799646078462"/>
    <n v="0"/>
    <n v="0"/>
    <n v="4.706088595384486"/>
    <n v="0"/>
    <n v="0"/>
    <n v="0"/>
    <n v="0.24698447884023778"/>
    <n v="0"/>
    <n v="0"/>
    <m/>
    <n v="0"/>
    <n v="0"/>
    <n v="0"/>
    <n v="0"/>
    <n v="0"/>
    <n v="-7.4494945897339848E-3"/>
    <n v="0"/>
    <n v="0"/>
    <m/>
    <m/>
    <m/>
    <n v="51.347089063030523"/>
    <n v="0"/>
    <n v="0"/>
    <n v="-11.294580000000003"/>
    <n v="4.7066200000000009"/>
    <n v="0"/>
    <n v="0"/>
    <n v="-12.755487901650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2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35.729999999999997"/>
    <n v="35.729999999999997"/>
    <n v="35.729999999999997"/>
    <n v="35.729999999999997"/>
    <m/>
    <n v="281.47000000000003"/>
    <n v="173.25"/>
    <m/>
    <n v="16247.1456"/>
    <n v="16247.1456"/>
    <n v="15167.384999999998"/>
    <n v="0"/>
    <n v="0"/>
    <n v="0"/>
    <n v="0"/>
    <n v="91.452270047191689"/>
    <n v="87.865124437362184"/>
    <n v="8415.7407900095441"/>
    <n v="6086.2650140132328"/>
    <n v="103.87545404623886"/>
    <n v="0"/>
    <n v="0"/>
    <n v="0"/>
    <n v="0"/>
    <n v="0"/>
    <m/>
    <n v="43.156720404179978"/>
    <n v="194.13522292095206"/>
    <n v="905.22390430038524"/>
    <n v="0"/>
    <n v="0"/>
    <n v="0"/>
    <n v="0"/>
    <n v="0"/>
    <n v="0"/>
    <n v="0"/>
    <n v="0"/>
    <n v="0"/>
    <n v="0"/>
    <m/>
    <n v="0"/>
    <n v="0"/>
    <n v="0"/>
    <n v="0"/>
    <n v="0"/>
    <n v="319.41876190853554"/>
    <n v="0"/>
    <n v="12.06"/>
    <n v="137.25"/>
    <n v="5103.33"/>
    <n v="446"/>
    <m/>
    <m/>
    <m/>
    <m/>
    <m/>
    <m/>
    <m/>
    <m/>
    <m/>
    <n v="6405.6837759217688"/>
    <m/>
    <m/>
    <m/>
    <m/>
    <m/>
    <m/>
    <m/>
    <m/>
    <m/>
    <m/>
    <m/>
    <m/>
    <n v="15167.384999999998"/>
    <n v="-1079.7906000000021"/>
    <m/>
    <m/>
    <m/>
    <m/>
    <n v="-1851.1713000000009"/>
    <n v="771.41070000000002"/>
    <n v="31"/>
    <n v="1010.6039198431245"/>
    <n v="19.345160011172311"/>
    <n v="90.203627199376001"/>
    <n v="0"/>
    <n v="0"/>
    <n v="0"/>
    <n v="0"/>
    <n v="0"/>
    <n v="90.471965199742371"/>
    <n v="0"/>
    <n v="0"/>
    <n v="771.32360327104379"/>
    <n v="0"/>
    <n v="0"/>
    <n v="0"/>
    <n v="40.480529490650042"/>
    <n v="0"/>
    <n v="0"/>
    <m/>
    <n v="0"/>
    <n v="0"/>
    <n v="0"/>
    <n v="0"/>
    <n v="0"/>
    <n v="-1.2209653288586964"/>
    <n v="0"/>
    <n v="0"/>
    <m/>
    <m/>
    <m/>
    <n v="8415.7407900095441"/>
    <n v="0"/>
    <n v="0"/>
    <n v="-1851.1713"/>
    <n v="771.41069999999945"/>
    <n v="0"/>
    <n v="0"/>
    <n v="-2090.612764798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3"/>
    <s v="Sistema de Compensaçã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3.29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04"/>
    <s v="Regular"/>
    <s v="Branca"/>
    <s v="B1"/>
    <s v="Residencial"/>
    <s v="Residencial"/>
    <s v="Não se aplica"/>
    <s v="Não se aplica"/>
    <s v="Ponta"/>
    <s v="CATIVO"/>
    <x v="10"/>
    <n v="0"/>
    <n v="0"/>
    <n v="0.377"/>
    <n v="0.377"/>
    <n v="0.377"/>
    <n v="0.377"/>
    <m/>
    <n v="775.22"/>
    <n v="173.25"/>
    <m/>
    <n v="357.57319000000001"/>
    <n v="357.57319000000001"/>
    <n v="315.3605"/>
    <n v="0"/>
    <n v="23.202534066162642"/>
    <n v="0"/>
    <n v="0"/>
    <n v="2.4121929778142461"/>
    <n v="2.3175873921060224"/>
    <n v="221.99368161094517"/>
    <n v="64.218357410663003"/>
    <n v="1.0960270410140514"/>
    <n v="0"/>
    <n v="0"/>
    <n v="0"/>
    <n v="0"/>
    <n v="3.5849044145516795"/>
    <m/>
    <n v="0.45536198131474542"/>
    <n v="5.120685081290457"/>
    <n v="23.876821540895097"/>
    <n v="0"/>
    <n v="0"/>
    <n v="0"/>
    <n v="0"/>
    <n v="0"/>
    <n v="0"/>
    <n v="0"/>
    <n v="0"/>
    <n v="0"/>
    <n v="0"/>
    <m/>
    <n v="0"/>
    <n v="0"/>
    <n v="0"/>
    <n v="0"/>
    <n v="0"/>
    <n v="3.3703015180385645"/>
    <n v="0"/>
    <n v="0"/>
    <n v="0"/>
    <n v="0"/>
    <n v="0"/>
    <m/>
    <m/>
    <m/>
    <m/>
    <m/>
    <m/>
    <m/>
    <m/>
    <m/>
    <n v="67.588658928701562"/>
    <m/>
    <m/>
    <m/>
    <m/>
    <m/>
    <m/>
    <m/>
    <m/>
    <m/>
    <m/>
    <m/>
    <m/>
    <n v="317.87"/>
    <n v="-39.733189999999979"/>
    <m/>
    <m/>
    <m/>
    <m/>
    <n v="-50.352120000000021"/>
    <n v="8.1394300000000008"/>
    <n v="31"/>
    <n v="12.932407934402903"/>
    <n v="0.51026532318001561"/>
    <n v="2.3792742312140902"/>
    <n v="0"/>
    <n v="0"/>
    <n v="0"/>
    <n v="0"/>
    <n v="0"/>
    <n v="2.386347111309822"/>
    <n v="0"/>
    <n v="0"/>
    <n v="8.1385110112841659"/>
    <n v="0"/>
    <n v="0"/>
    <n v="0"/>
    <n v="0.42712453450811827"/>
    <n v="0"/>
    <n v="-0.78788463460444902"/>
    <m/>
    <n v="0"/>
    <n v="0"/>
    <n v="0"/>
    <n v="0"/>
    <n v="-0.10834680092769933"/>
    <n v="-1.2882841561145553E-2"/>
    <n v="0"/>
    <n v="0"/>
    <m/>
    <m/>
    <m/>
    <n v="221.99368161094517"/>
    <n v="0"/>
    <n v="0"/>
    <n v="-50.352120000000042"/>
    <n v="8.1394299999999902"/>
    <n v="0"/>
    <n v="0"/>
    <n v="-55.146996094662512"/>
    <n v="0"/>
    <n v="0"/>
    <n v="0"/>
    <n v="0"/>
    <n v="0"/>
    <n v="0"/>
    <n v="0"/>
    <n v="0"/>
    <n v="0"/>
    <n v="0"/>
    <n v="0"/>
    <n v="0"/>
    <n v="5.92551338162591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5"/>
    <s v="Regular"/>
    <s v="Branca"/>
    <s v="B1"/>
    <s v="Residencial"/>
    <s v="Residencial"/>
    <s v="Não se aplica"/>
    <s v="Não se aplica"/>
    <s v="Fora ponta"/>
    <s v="CATIVO"/>
    <x v="10"/>
    <n v="0"/>
    <n v="0"/>
    <n v="3.0619999999999998"/>
    <n v="3.0619999999999998"/>
    <n v="3.0619999999999998"/>
    <n v="3.0619999999999998"/>
    <m/>
    <n v="232.58"/>
    <n v="173.25"/>
    <m/>
    <n v="1242.65146"/>
    <n v="1242.65146"/>
    <n v="1223.8507799999998"/>
    <n v="0"/>
    <n v="188.45135095647214"/>
    <n v="0"/>
    <n v="0"/>
    <n v="3.9186517056325352"/>
    <n v="3.7649455783263788"/>
    <n v="360.60730897018226"/>
    <n v="521.58252093222836"/>
    <n v="8.9019490705173077"/>
    <n v="0"/>
    <n v="0"/>
    <n v="0"/>
    <n v="0"/>
    <n v="29.116650709170404"/>
    <m/>
    <n v="3.6984572593786482"/>
    <n v="8.3188653252325633"/>
    <n v="38.78807157805457"/>
    <n v="0"/>
    <n v="0"/>
    <n v="0"/>
    <n v="0"/>
    <n v="0"/>
    <n v="0"/>
    <n v="0"/>
    <n v="0"/>
    <n v="0"/>
    <n v="0"/>
    <m/>
    <n v="0"/>
    <n v="0"/>
    <n v="0"/>
    <n v="0"/>
    <n v="0"/>
    <n v="27.37364256826017"/>
    <n v="0"/>
    <n v="0"/>
    <n v="0"/>
    <n v="0"/>
    <n v="0"/>
    <m/>
    <m/>
    <m/>
    <m/>
    <m/>
    <m/>
    <m/>
    <m/>
    <m/>
    <n v="548.95616350048851"/>
    <m/>
    <m/>
    <m/>
    <m/>
    <m/>
    <m/>
    <m/>
    <m/>
    <m/>
    <m/>
    <m/>
    <m/>
    <n v="1223.0514000000001"/>
    <n v="-19.630059999999958"/>
    <m/>
    <m/>
    <m/>
    <m/>
    <n v="-84.909260000000046"/>
    <n v="66.108580000000003"/>
    <n v="31"/>
    <n v="70.7571396525924"/>
    <n v="0.82895714856208436"/>
    <n v="3.8651484254756454"/>
    <n v="0"/>
    <n v="0"/>
    <n v="0"/>
    <n v="0"/>
    <n v="0"/>
    <n v="3.8766464797314741"/>
    <n v="0"/>
    <n v="0"/>
    <n v="66.101115959024241"/>
    <n v="0"/>
    <n v="0"/>
    <n v="0"/>
    <n v="3.4691122670128856"/>
    <n v="0"/>
    <n v="-6.3992115415353226"/>
    <m/>
    <n v="0"/>
    <n v="0"/>
    <n v="0"/>
    <n v="0"/>
    <n v="-0.87999444148704598"/>
    <n v="-0.1046346441915853"/>
    <n v="0"/>
    <n v="0"/>
    <m/>
    <m/>
    <m/>
    <n v="360.60730897018226"/>
    <n v="0"/>
    <n v="0"/>
    <n v="-84.909260000000017"/>
    <n v="66.108579999999961"/>
    <n v="0"/>
    <n v="0"/>
    <n v="-89.580972373517341"/>
    <n v="0"/>
    <n v="0"/>
    <n v="0"/>
    <n v="0"/>
    <n v="0"/>
    <n v="0"/>
    <n v="0"/>
    <n v="0"/>
    <n v="0"/>
    <n v="0"/>
    <n v="0"/>
    <n v="0"/>
    <n v="48.12711399081847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6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1200000000000001"/>
    <n v="15.42"/>
    <n v="570.23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07"/>
    <s v="Regular"/>
    <s v="Branca"/>
    <s v="B1"/>
    <s v="Residencial"/>
    <s v="Residencial"/>
    <s v="Não se aplica"/>
    <s v="Não se aplica"/>
    <s v="Intermediário"/>
    <s v="CATIVO"/>
    <x v="10"/>
    <n v="0"/>
    <n v="0"/>
    <n v="0.247"/>
    <n v="0.247"/>
    <n v="0.247"/>
    <n v="0.247"/>
    <m/>
    <n v="503.9"/>
    <n v="173.25"/>
    <m/>
    <n v="167.25604999999999"/>
    <n v="167.25604999999999"/>
    <n v="152.66822999999999"/>
    <n v="0"/>
    <n v="15.201660250244489"/>
    <n v="0"/>
    <n v="0"/>
    <n v="0.94819656668377117"/>
    <n v="0.91101311797069306"/>
    <n v="87.266444497052291"/>
    <n v="42.074096234572309"/>
    <n v="0.71808668204368875"/>
    <n v="0"/>
    <n v="0"/>
    <n v="0"/>
    <n v="0"/>
    <n v="2.3487304784993763"/>
    <m/>
    <n v="0.2983406084475918"/>
    <n v="2.0128829046902195"/>
    <n v="9.3856597015584278"/>
    <n v="0"/>
    <n v="0"/>
    <n v="0"/>
    <n v="0"/>
    <n v="0"/>
    <n v="0"/>
    <n v="0"/>
    <n v="0"/>
    <n v="0"/>
    <n v="0"/>
    <m/>
    <n v="0"/>
    <n v="0"/>
    <n v="0"/>
    <n v="0"/>
    <n v="0"/>
    <n v="2.2081285807838871"/>
    <n v="0"/>
    <n v="0"/>
    <n v="0"/>
    <n v="0"/>
    <n v="0"/>
    <m/>
    <m/>
    <m/>
    <m/>
    <m/>
    <m/>
    <m/>
    <m/>
    <m/>
    <n v="44.282224815356194"/>
    <m/>
    <m/>
    <m/>
    <m/>
    <m/>
    <m/>
    <m/>
    <m/>
    <m/>
    <m/>
    <m/>
    <m/>
    <n v="154.52250000000001"/>
    <n v="-12.763549999999981"/>
    <m/>
    <m/>
    <m/>
    <m/>
    <n v="-19.920549999999995"/>
    <n v="5.3327300000000006"/>
    <n v="31"/>
    <n v="7.0902235869684489"/>
    <n v="0.20057947903065942"/>
    <n v="0.9352609279511821"/>
    <n v="0"/>
    <n v="0"/>
    <n v="0"/>
    <n v="0"/>
    <n v="0"/>
    <n v="0.93804165911482085"/>
    <n v="0"/>
    <n v="0"/>
    <n v="5.3321279039448015"/>
    <n v="0"/>
    <n v="0"/>
    <n v="0"/>
    <n v="0.2798402122639394"/>
    <n v="0"/>
    <n v="-0.5162002778442929"/>
    <m/>
    <n v="0"/>
    <n v="0"/>
    <n v="0"/>
    <n v="0"/>
    <n v="-7.0985835090561888E-2"/>
    <n v="-8.4404824021298008E-3"/>
    <n v="0"/>
    <n v="0"/>
    <m/>
    <m/>
    <m/>
    <n v="87.266444497052291"/>
    <n v="0"/>
    <n v="0"/>
    <n v="-19.920549999999992"/>
    <n v="5.3327300000000051"/>
    <n v="0"/>
    <n v="0"/>
    <n v="-21.678465075903119"/>
    <n v="0"/>
    <n v="0"/>
    <n v="0"/>
    <n v="0"/>
    <n v="0"/>
    <n v="0"/>
    <n v="0"/>
    <n v="0"/>
    <n v="0"/>
    <n v="0"/>
    <n v="0"/>
    <n v="0"/>
    <n v="3.88223290520318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8"/>
    <s v="Regular"/>
    <s v="Convencional"/>
    <s v="B3"/>
    <s v="Industrial"/>
    <s v="Não se aplica"/>
    <s v="Não se aplica"/>
    <s v="Não se aplica"/>
    <s v="Não se aplica"/>
    <s v="CATIVO"/>
    <x v="10"/>
    <n v="0"/>
    <n v="0"/>
    <n v="445.99200000000002"/>
    <n v="445.99200000000002"/>
    <n v="445.99200000000002"/>
    <n v="445.99200000000002"/>
    <m/>
    <n v="368.24"/>
    <n v="173.25"/>
    <m/>
    <n v="241500.20808000001"/>
    <n v="241500.20808000001"/>
    <n v="226960.86888000002"/>
    <n v="0"/>
    <n v="27448.659345453605"/>
    <n v="0"/>
    <n v="0"/>
    <n v="1141.5331884379268"/>
    <n v="1096.7574189215798"/>
    <n v="105047.66488715188"/>
    <n v="75970.487157284922"/>
    <n v="1296.6028967531533"/>
    <n v="0"/>
    <n v="0"/>
    <n v="0"/>
    <n v="0"/>
    <n v="4240.9514314449143"/>
    <m/>
    <n v="538.69443175205822"/>
    <n v="2423.2509471301778"/>
    <n v="11299.261671613138"/>
    <n v="0"/>
    <n v="0"/>
    <n v="0"/>
    <n v="0"/>
    <n v="0"/>
    <n v="0"/>
    <n v="0"/>
    <n v="0"/>
    <n v="0"/>
    <n v="0"/>
    <m/>
    <n v="0"/>
    <n v="0"/>
    <n v="0"/>
    <n v="0"/>
    <n v="0"/>
    <n v="3987.0756356314473"/>
    <n v="0"/>
    <n v="163.32"/>
    <n v="2117.7399999999998"/>
    <n v="48640.480000000003"/>
    <n v="286"/>
    <m/>
    <m/>
    <m/>
    <m/>
    <m/>
    <m/>
    <m/>
    <m/>
    <m/>
    <n v="79957.562792916375"/>
    <m/>
    <m/>
    <m/>
    <m/>
    <m/>
    <m/>
    <m/>
    <m/>
    <m/>
    <m/>
    <m/>
    <m/>
    <n v="226959.85110000003"/>
    <n v="-14540.38698000001"/>
    <m/>
    <m/>
    <m/>
    <m/>
    <n v="-24168.306479999999"/>
    <n v="9628.9672800000026"/>
    <n v="31"/>
    <n v="11554.400766446604"/>
    <n v="241.47177732165619"/>
    <n v="1125.9472740527326"/>
    <n v="0"/>
    <n v="0"/>
    <n v="0"/>
    <n v="0"/>
    <n v="0"/>
    <n v="1129.2967451263225"/>
    <n v="0"/>
    <n v="0"/>
    <n v="9627.8801139115385"/>
    <n v="0"/>
    <n v="0"/>
    <n v="0"/>
    <n v="505.28945727942801"/>
    <n v="0"/>
    <n v="-932.06961261672768"/>
    <m/>
    <n v="0"/>
    <n v="0"/>
    <n v="0"/>
    <n v="0"/>
    <n v="-128.17455288951351"/>
    <n v="-15.240435738828751"/>
    <n v="0"/>
    <n v="0"/>
    <m/>
    <m/>
    <m/>
    <n v="105047.66488715188"/>
    <n v="0"/>
    <n v="0"/>
    <n v="-24168.306479999999"/>
    <n v="9628.9672799999971"/>
    <n v="0"/>
    <n v="0"/>
    <n v="-26095.621835930695"/>
    <n v="0"/>
    <n v="0"/>
    <n v="0"/>
    <n v="0"/>
    <n v="0"/>
    <n v="0"/>
    <n v="0"/>
    <n v="0"/>
    <n v="0"/>
    <n v="0"/>
    <n v="0"/>
    <n v="0"/>
    <n v="7009.89804800558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09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75.132999999999996"/>
    <n v="75.132999999999996"/>
    <n v="75.132999999999996"/>
    <n v="75.132999999999996"/>
    <m/>
    <n v="368.24"/>
    <n v="173.25"/>
    <m/>
    <n v="40683.768169999996"/>
    <n v="40683.768169999996"/>
    <n v="38234.432369999995"/>
    <n v="0"/>
    <n v="4624.0742493182961"/>
    <n v="0"/>
    <n v="0"/>
    <n v="192.30572083559065"/>
    <n v="184.76267546466087"/>
    <n v="17696.609369599413"/>
    <n v="12798.19057648632"/>
    <n v="218.42917685015573"/>
    <n v="0"/>
    <n v="0"/>
    <n v="0"/>
    <n v="0"/>
    <n v="714.44197182629"/>
    <m/>
    <n v="90.749898520214231"/>
    <n v="408.22730768877386"/>
    <n v="1903.503711217488"/>
    <n v="0"/>
    <n v="0"/>
    <n v="0"/>
    <n v="0"/>
    <n v="0"/>
    <n v="0"/>
    <n v="0"/>
    <n v="0"/>
    <n v="0"/>
    <n v="0"/>
    <m/>
    <n v="0"/>
    <n v="0"/>
    <n v="0"/>
    <n v="0"/>
    <n v="0"/>
    <n v="671.67337919042825"/>
    <n v="0"/>
    <n v="28.54"/>
    <n v="371.49"/>
    <n v="14055.87"/>
    <n v="66"/>
    <m/>
    <m/>
    <m/>
    <m/>
    <m/>
    <m/>
    <m/>
    <m/>
    <m/>
    <n v="13469.863955676748"/>
    <m/>
    <m/>
    <m/>
    <m/>
    <m/>
    <m/>
    <m/>
    <m/>
    <m/>
    <m/>
    <m/>
    <m/>
    <n v="38232.905700000003"/>
    <n v="-2450.8924699999989"/>
    <m/>
    <m/>
    <m/>
    <m/>
    <n v="-4071.4572699999994"/>
    <n v="1622.1214700000003"/>
    <n v="31"/>
    <n v="1946.4851225704333"/>
    <n v="40.678978648738052"/>
    <n v="189.68007619285504"/>
    <n v="0"/>
    <n v="0"/>
    <n v="0"/>
    <n v="0"/>
    <n v="0"/>
    <n v="190.24433700957863"/>
    <n v="0"/>
    <n v="0"/>
    <n v="1621.9383231056072"/>
    <n v="0"/>
    <n v="0"/>
    <n v="0"/>
    <n v="85.122407562860531"/>
    <n v="0"/>
    <n v="-157.01892904969736"/>
    <m/>
    <n v="0"/>
    <n v="0"/>
    <n v="0"/>
    <n v="0"/>
    <n v="-21.592626509551337"/>
    <n v="-2.5674443899563499"/>
    <n v="0"/>
    <n v="0"/>
    <m/>
    <m/>
    <m/>
    <n v="17696.609369599413"/>
    <n v="0"/>
    <n v="0"/>
    <n v="-4071.4572700000026"/>
    <n v="1622.12147"/>
    <n v="0"/>
    <n v="0"/>
    <n v="-4396.1379473151555"/>
    <n v="0"/>
    <n v="0"/>
    <n v="0"/>
    <n v="0"/>
    <n v="0"/>
    <n v="0"/>
    <n v="0"/>
    <n v="0"/>
    <n v="0"/>
    <n v="0"/>
    <n v="0"/>
    <n v="0"/>
    <n v="1180.906092577454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10"/>
    <s v="Regular"/>
    <s v="Azul"/>
    <s v="A4"/>
    <s v="Industrial"/>
    <s v="Não se aplica"/>
    <s v="Não se aplica"/>
    <s v="Não se aplica"/>
    <s v="Ponta"/>
    <s v="CATIVO"/>
    <x v="10"/>
    <n v="10425"/>
    <n v="10425"/>
    <n v="497.40100000000001"/>
    <n v="497.40100000000001"/>
    <n v="497.40100000000001"/>
    <n v="497.40100000000001"/>
    <n v="52.95"/>
    <n v="85.01"/>
    <n v="173.25"/>
    <n v="552003.75"/>
    <n v="128458.78226000001"/>
    <n v="680462.53226000001"/>
    <n v="599916.98667000001"/>
    <n v="0"/>
    <n v="26632.993031638511"/>
    <n v="0"/>
    <n v="0"/>
    <n v="8211.4206922904868"/>
    <n v="7889.1370247092582"/>
    <n v="437158.96833419387"/>
    <n v="84727.520409605277"/>
    <n v="1446.0608653247484"/>
    <n v="0"/>
    <n v="0"/>
    <n v="0"/>
    <n v="0"/>
    <n v="4729.801168971936"/>
    <m/>
    <n v="398.32559853032546"/>
    <n v="17431.130451566929"/>
    <n v="81277.729738780443"/>
    <n v="0"/>
    <n v="0"/>
    <n v="0"/>
    <n v="0"/>
    <n v="0"/>
    <n v="0"/>
    <n v="0"/>
    <n v="0"/>
    <n v="0"/>
    <n v="0"/>
    <m/>
    <n v="0"/>
    <n v="0"/>
    <n v="0"/>
    <n v="0"/>
    <n v="0"/>
    <n v="3719.8912630433297"/>
    <n v="0"/>
    <n v="0"/>
    <n v="0"/>
    <n v="0"/>
    <n v="0"/>
    <m/>
    <m/>
    <m/>
    <m/>
    <m/>
    <m/>
    <m/>
    <m/>
    <m/>
    <n v="88447.41167264861"/>
    <m/>
    <m/>
    <m/>
    <m/>
    <m/>
    <m/>
    <m/>
    <m/>
    <m/>
    <m/>
    <m/>
    <m/>
    <n v="599916.70799999998"/>
    <n v="-80545.854260000051"/>
    <m/>
    <m/>
    <m/>
    <m/>
    <n v="-91284.433180000036"/>
    <n v="10738.887590000002"/>
    <n v="31"/>
    <n v="28109.837444461911"/>
    <n v="1736.9748914574411"/>
    <n v="8099.1520419854642"/>
    <n v="0"/>
    <n v="0"/>
    <n v="0"/>
    <n v="0"/>
    <n v="0"/>
    <n v="8123.197172096583"/>
    <n v="0"/>
    <n v="0"/>
    <n v="10737.675107490068"/>
    <n v="0"/>
    <n v="0"/>
    <n v="0"/>
    <n v="471.42868839605035"/>
    <n v="0"/>
    <n v="-904.37216570048622"/>
    <m/>
    <n v="0"/>
    <n v="0"/>
    <n v="0"/>
    <n v="0"/>
    <n v="-142.94909052583171"/>
    <n v="-11.269200737397284"/>
    <n v="0"/>
    <n v="0"/>
    <m/>
    <m/>
    <n v="437158.96833419387"/>
    <n v="0"/>
    <n v="0"/>
    <n v="0"/>
    <n v="-91284.433179999993"/>
    <n v="10738.887590000013"/>
    <n v="0"/>
    <n v="0"/>
    <n v="-108597.70307212067"/>
    <n v="0"/>
    <n v="0"/>
    <n v="0"/>
    <n v="0"/>
    <n v="0"/>
    <n v="0"/>
    <n v="0"/>
    <n v="0"/>
    <n v="0"/>
    <n v="0"/>
    <n v="0"/>
    <n v="0"/>
    <n v="6801.591418924895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11"/>
    <s v="Regular"/>
    <s v="Azul"/>
    <s v="A4"/>
    <s v="Industrial"/>
    <s v="Não se aplica"/>
    <s v="Não se aplica"/>
    <s v="Não se aplica"/>
    <s v="Fora ponta"/>
    <s v="CATIVO"/>
    <x v="10"/>
    <n v="11040"/>
    <n v="11040"/>
    <n v="4266.558"/>
    <n v="4266.558"/>
    <n v="4266.558"/>
    <n v="4266.558"/>
    <n v="27.19"/>
    <n v="85.01"/>
    <n v="173.25"/>
    <n v="300177.60000000003"/>
    <n v="1101881.26908"/>
    <n v="1402058.8690800001"/>
    <n v="1429192.1178600001"/>
    <n v="0"/>
    <n v="228449.90155444306"/>
    <n v="0"/>
    <n v="0"/>
    <n v="2574.5347722403067"/>
    <n v="2473.3446266494811"/>
    <n v="264209.61388448084"/>
    <n v="726767.49749953183"/>
    <n v="12403.880477599016"/>
    <n v="0"/>
    <n v="0"/>
    <n v="0"/>
    <n v="0"/>
    <n v="40570.829201964945"/>
    <m/>
    <n v="3416.7186415273559"/>
    <n v="5463.5285352387227"/>
    <n v="25481.300826846851"/>
    <n v="0"/>
    <n v="0"/>
    <n v="0"/>
    <n v="0"/>
    <n v="0"/>
    <n v="0"/>
    <n v="0"/>
    <n v="0"/>
    <n v="0"/>
    <n v="0"/>
    <m/>
    <n v="0"/>
    <n v="0"/>
    <n v="0"/>
    <n v="0"/>
    <n v="0"/>
    <n v="31908.122073473158"/>
    <n v="0"/>
    <n v="0"/>
    <n v="0"/>
    <n v="0"/>
    <n v="0"/>
    <m/>
    <m/>
    <m/>
    <m/>
    <m/>
    <m/>
    <m/>
    <m/>
    <m/>
    <n v="758675.61957300501"/>
    <m/>
    <m/>
    <m/>
    <m/>
    <m/>
    <m/>
    <m/>
    <m/>
    <m/>
    <m/>
    <m/>
    <m/>
    <n v="1429192.6752000002"/>
    <n v="27133.776120000053"/>
    <m/>
    <m/>
    <m/>
    <m/>
    <n v="-64981.73844000003"/>
    <n v="92114.98722000001"/>
    <n v="31"/>
    <n v="92698.399258321384"/>
    <n v="544.42894055776105"/>
    <n v="2539.157162576761"/>
    <n v="0"/>
    <n v="0"/>
    <n v="0"/>
    <n v="0"/>
    <n v="0"/>
    <n v="2546.7254547476732"/>
    <n v="0"/>
    <n v="0"/>
    <n v="92104.586905258824"/>
    <n v="0"/>
    <n v="0"/>
    <n v="0"/>
    <n v="4043.7752274436098"/>
    <n v="0"/>
    <n v="-7757.4357481121551"/>
    <m/>
    <n v="0"/>
    <n v="0"/>
    <n v="0"/>
    <n v="0"/>
    <n v="-1226.1748283089764"/>
    <n v="-96.663855842164139"/>
    <n v="0"/>
    <n v="0"/>
    <m/>
    <m/>
    <n v="264209.61388448084"/>
    <n v="0"/>
    <n v="0"/>
    <n v="0"/>
    <n v="-64981.738439999986"/>
    <n v="92114.98722000001"/>
    <n v="0"/>
    <n v="0"/>
    <n v="-65634.149761951121"/>
    <n v="0"/>
    <n v="0"/>
    <n v="0"/>
    <n v="0"/>
    <n v="0"/>
    <n v="0"/>
    <n v="0"/>
    <n v="0"/>
    <n v="0"/>
    <n v="0"/>
    <n v="0"/>
    <n v="0"/>
    <n v="58342.03043649964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12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36.47"/>
    <n v="18469.34"/>
    <n v="402698.96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13"/>
    <s v="Regular"/>
    <s v="Verde"/>
    <s v="A4"/>
    <s v="Industrial"/>
    <s v="Não se aplica"/>
    <s v="Não se aplica"/>
    <s v="Não se aplica"/>
    <s v="Ponta"/>
    <s v="CATIVO"/>
    <x v="10"/>
    <n v="0"/>
    <n v="0"/>
    <n v="178.47399999999999"/>
    <n v="178.47399999999999"/>
    <n v="178.47399999999999"/>
    <n v="178.47399999999999"/>
    <m/>
    <n v="1358.36"/>
    <n v="173.25"/>
    <m/>
    <n v="273352.56313999998"/>
    <n v="273352.56313999998"/>
    <n v="239676.30407999997"/>
    <n v="0"/>
    <n v="9556.2670729022484"/>
    <n v="0"/>
    <n v="0"/>
    <n v="3380.6702735966837"/>
    <n v="3248.0760777369401"/>
    <n v="179992.40624822743"/>
    <n v="30401.345147243152"/>
    <n v="518.86559712981909"/>
    <n v="0"/>
    <n v="0"/>
    <n v="0"/>
    <n v="0"/>
    <n v="1697.1146697153752"/>
    <m/>
    <n v="142.92444701981159"/>
    <n v="7176.5862801430867"/>
    <n v="33463.179161736778"/>
    <n v="0"/>
    <n v="0"/>
    <n v="0"/>
    <n v="0"/>
    <n v="0"/>
    <n v="0"/>
    <n v="0"/>
    <n v="0"/>
    <n v="0"/>
    <n v="0"/>
    <m/>
    <n v="0"/>
    <n v="0"/>
    <n v="0"/>
    <n v="0"/>
    <n v="0"/>
    <n v="1334.7457549952558"/>
    <n v="0"/>
    <n v="0"/>
    <n v="0"/>
    <n v="0"/>
    <n v="0"/>
    <m/>
    <m/>
    <m/>
    <m/>
    <m/>
    <m/>
    <m/>
    <m/>
    <m/>
    <n v="31736.090902238408"/>
    <m/>
    <m/>
    <m/>
    <m/>
    <m/>
    <m/>
    <m/>
    <m/>
    <m/>
    <m/>
    <m/>
    <m/>
    <n v="239670.93239999999"/>
    <n v="-33681.660740000021"/>
    <m/>
    <m/>
    <m/>
    <m/>
    <n v="-37529.512719999992"/>
    <n v="3853.2536600000003"/>
    <n v="31"/>
    <n v="11036.245178058205"/>
    <n v="715.1314832748285"/>
    <n v="3334.5342778416161"/>
    <n v="0"/>
    <n v="0"/>
    <n v="0"/>
    <n v="0"/>
    <n v="0"/>
    <n v="3344.4421521376275"/>
    <n v="0"/>
    <n v="0"/>
    <n v="3852.8186053791251"/>
    <n v="0"/>
    <n v="0"/>
    <n v="0"/>
    <n v="169.15479408524857"/>
    <n v="0"/>
    <n v="-324.50058986859403"/>
    <m/>
    <n v="0"/>
    <n v="0"/>
    <n v="0"/>
    <n v="0"/>
    <n v="-51.292007821671632"/>
    <n v="-4.0435369699824548"/>
    <n v="0"/>
    <n v="0"/>
    <m/>
    <m/>
    <m/>
    <n v="179992.40624822743"/>
    <n v="0"/>
    <n v="0"/>
    <n v="-37529.512719999999"/>
    <n v="3853.2536600000021"/>
    <n v="0"/>
    <n v="0"/>
    <n v="-44713.166845152999"/>
    <n v="0"/>
    <n v="0"/>
    <n v="0"/>
    <n v="0"/>
    <n v="0"/>
    <n v="0"/>
    <n v="0"/>
    <n v="0"/>
    <n v="0"/>
    <n v="0"/>
    <n v="0"/>
    <n v="0"/>
    <n v="2440.500173705323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14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2.3149999999999999"/>
    <n v="2.3149999999999999"/>
    <n v="2.3149999999999999"/>
    <n v="2.3149999999999999"/>
    <m/>
    <n v="1358.36"/>
    <n v="173.25"/>
    <m/>
    <n v="3545.6771499999995"/>
    <n v="3545.6771499999995"/>
    <n v="3108.8597999999997"/>
    <n v="0"/>
    <n v="123.95507622269184"/>
    <n v="0"/>
    <n v="0"/>
    <n v="43.850934496768843"/>
    <n v="42.131044969917276"/>
    <n v="2334.6953643928332"/>
    <n v="394.33818940499958"/>
    <n v="6.7302456232029941"/>
    <n v="0"/>
    <n v="0"/>
    <n v="0"/>
    <n v="0"/>
    <n v="22.013405092008323"/>
    <m/>
    <n v="1.8538840102808467"/>
    <n v="93.088053377697847"/>
    <n v="434.05347422829459"/>
    <n v="0"/>
    <n v="0"/>
    <n v="0"/>
    <n v="0"/>
    <n v="0"/>
    <n v="0"/>
    <n v="0"/>
    <n v="0"/>
    <n v="0"/>
    <n v="0"/>
    <m/>
    <n v="0"/>
    <n v="0"/>
    <n v="0"/>
    <n v="0"/>
    <n v="0"/>
    <n v="17.313089989656852"/>
    <n v="0"/>
    <n v="0"/>
    <n v="0"/>
    <n v="0"/>
    <n v="0"/>
    <m/>
    <m/>
    <m/>
    <m/>
    <m/>
    <m/>
    <m/>
    <m/>
    <m/>
    <n v="411.65127939465646"/>
    <m/>
    <m/>
    <m/>
    <m/>
    <m/>
    <m/>
    <m/>
    <m/>
    <m/>
    <m/>
    <m/>
    <m/>
    <n v="3115.5743999999995"/>
    <n v="-430.13275000000067"/>
    <m/>
    <m/>
    <m/>
    <m/>
    <n v="-486.79819999999995"/>
    <n v="49.980850000000004"/>
    <n v="31"/>
    <n v="143.15198621202398"/>
    <n v="9.2760255487142587"/>
    <n v="43.252500942452912"/>
    <n v="0"/>
    <n v="0"/>
    <n v="0"/>
    <n v="0"/>
    <n v="0"/>
    <n v="43.381016743047219"/>
    <n v="0"/>
    <n v="0"/>
    <n v="49.975206873004936"/>
    <n v="0"/>
    <n v="0"/>
    <n v="0"/>
    <n v="2.1941198623180433"/>
    <n v="0"/>
    <n v="-4.2091221440982736"/>
    <m/>
    <n v="0"/>
    <n v="0"/>
    <n v="0"/>
    <n v="0"/>
    <n v="-0.66531258394595127"/>
    <n v="-5.2449029469330943E-2"/>
    <n v="0"/>
    <n v="0"/>
    <m/>
    <m/>
    <m/>
    <n v="2334.6953643928332"/>
    <n v="0"/>
    <n v="0"/>
    <n v="-486.79819999999972"/>
    <n v="49.980849999999975"/>
    <n v="0"/>
    <n v="0"/>
    <n v="-579.97793093968403"/>
    <n v="0"/>
    <n v="0"/>
    <n v="0"/>
    <n v="0"/>
    <n v="0"/>
    <n v="0"/>
    <n v="0"/>
    <n v="0"/>
    <n v="0"/>
    <n v="0"/>
    <n v="0"/>
    <n v="0"/>
    <n v="31.6559157195323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15"/>
    <s v="Regular"/>
    <s v="Verde"/>
    <s v="A4"/>
    <s v="Industrial"/>
    <s v="Não se aplica"/>
    <s v="Não se aplica"/>
    <s v="Não se aplica"/>
    <s v="Fora ponta"/>
    <s v="CATIVO"/>
    <x v="10"/>
    <n v="0"/>
    <n v="0"/>
    <n v="3141.1669999999999"/>
    <n v="3141.1669999999999"/>
    <n v="3141.1669999999999"/>
    <n v="3141.1669999999999"/>
    <m/>
    <n v="85.01"/>
    <n v="173.25"/>
    <m/>
    <n v="811237.78942000004"/>
    <n v="811237.78942000004"/>
    <n v="875349.00789000001"/>
    <n v="0"/>
    <n v="168191.6176730904"/>
    <n v="0"/>
    <n v="0"/>
    <n v="0"/>
    <n v="0"/>
    <n v="0"/>
    <n v="535067.86496705585"/>
    <n v="9132.1060274296669"/>
    <n v="0"/>
    <n v="0"/>
    <n v="0"/>
    <n v="0"/>
    <n v="29869.452109135425"/>
    <m/>
    <n v="2515.4899675688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91.70926286844"/>
    <n v="0"/>
    <n v="0"/>
    <n v="0"/>
    <n v="0"/>
    <n v="0"/>
    <m/>
    <m/>
    <m/>
    <m/>
    <m/>
    <m/>
    <m/>
    <m/>
    <m/>
    <n v="558559.57422992424"/>
    <m/>
    <m/>
    <m/>
    <m/>
    <m/>
    <m/>
    <m/>
    <m/>
    <m/>
    <m/>
    <m/>
    <m/>
    <n v="875349.84390000009"/>
    <n v="64112.024480000022"/>
    <m/>
    <m/>
    <m/>
    <m/>
    <n v="-3706.5770600000214"/>
    <n v="67817.795530000003"/>
    <n v="31"/>
    <n v="64102.117875281489"/>
    <n v="0"/>
    <n v="0"/>
    <n v="0"/>
    <n v="0"/>
    <n v="0"/>
    <n v="0"/>
    <n v="0"/>
    <n v="0"/>
    <n v="0"/>
    <n v="0"/>
    <n v="67810.138508706819"/>
    <n v="0"/>
    <n v="0"/>
    <n v="0"/>
    <n v="2977.1476913857405"/>
    <n v="0"/>
    <n v="-5711.255109291902"/>
    <m/>
    <n v="0"/>
    <n v="0"/>
    <n v="0"/>
    <n v="0"/>
    <n v="-902.74640750572507"/>
    <n v="-71.166808013429545"/>
    <n v="0"/>
    <n v="0"/>
    <m/>
    <m/>
    <m/>
    <n v="0"/>
    <n v="0"/>
    <n v="0"/>
    <n v="-3706.5770600000396"/>
    <n v="67817.795530000003"/>
    <n v="0"/>
    <n v="0"/>
    <n v="0"/>
    <n v="0"/>
    <n v="0"/>
    <n v="0"/>
    <n v="0"/>
    <n v="0"/>
    <n v="0"/>
    <n v="0"/>
    <n v="0"/>
    <n v="0"/>
    <n v="0"/>
    <n v="0"/>
    <n v="0"/>
    <n v="42953.1394440502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16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50.933999999999997"/>
    <n v="50.933999999999997"/>
    <n v="50.933999999999997"/>
    <n v="50.933999999999997"/>
    <m/>
    <n v="85.01"/>
    <n v="173.25"/>
    <m/>
    <n v="13154.214839999999"/>
    <n v="13154.214839999999"/>
    <n v="14193.77778"/>
    <n v="0"/>
    <n v="2727.2258541367542"/>
    <n v="0"/>
    <n v="0"/>
    <n v="0"/>
    <n v="0"/>
    <n v="0"/>
    <n v="8676.1215287923314"/>
    <n v="148.07703264458803"/>
    <n v="0"/>
    <n v="0"/>
    <n v="0"/>
    <n v="0"/>
    <n v="484.33294814529239"/>
    <m/>
    <n v="40.788651481487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0.91789439878272"/>
    <n v="0"/>
    <n v="0"/>
    <n v="0"/>
    <n v="0"/>
    <n v="0"/>
    <m/>
    <m/>
    <m/>
    <m/>
    <m/>
    <m/>
    <m/>
    <m/>
    <m/>
    <n v="9057.0394231911141"/>
    <m/>
    <m/>
    <m/>
    <m/>
    <m/>
    <m/>
    <m/>
    <m/>
    <m/>
    <m/>
    <m/>
    <m/>
    <n v="14192.6631"/>
    <n v="1038.4182600000004"/>
    <m/>
    <m/>
    <m/>
    <m/>
    <n v="-60.102120000000347"/>
    <n v="1099.66506"/>
    <n v="31"/>
    <n v="1039.4153739230023"/>
    <n v="0"/>
    <n v="0"/>
    <n v="0"/>
    <n v="0"/>
    <n v="0"/>
    <n v="0"/>
    <n v="0"/>
    <n v="0"/>
    <n v="0"/>
    <n v="0"/>
    <n v="1099.5409014555644"/>
    <n v="0"/>
    <n v="0"/>
    <n v="0"/>
    <n v="48.274428106828225"/>
    <n v="0"/>
    <n v="-92.607959951404609"/>
    <m/>
    <n v="0"/>
    <n v="0"/>
    <n v="0"/>
    <n v="0"/>
    <n v="-14.638026414990577"/>
    <n v="-1.153969272998232"/>
    <n v="0"/>
    <n v="0"/>
    <m/>
    <m/>
    <m/>
    <n v="0"/>
    <n v="0"/>
    <n v="0"/>
    <n v="-60.102120000000468"/>
    <n v="1099.6650600000012"/>
    <n v="0"/>
    <n v="0"/>
    <n v="0"/>
    <n v="0"/>
    <n v="0"/>
    <n v="0"/>
    <n v="0"/>
    <n v="0"/>
    <n v="0"/>
    <n v="0"/>
    <n v="0"/>
    <n v="0"/>
    <n v="0"/>
    <n v="0"/>
    <n v="0"/>
    <n v="696.484842876312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17"/>
    <s v="Regular"/>
    <s v="Verde"/>
    <s v="A4"/>
    <s v="Industrial"/>
    <s v="Não se aplica"/>
    <s v="Não se aplica"/>
    <s v="Não se aplica"/>
    <s v="Não se aplica"/>
    <s v="CATIVO"/>
    <x v="10"/>
    <n v="17905"/>
    <n v="17905"/>
    <n v="0"/>
    <n v="0"/>
    <n v="0"/>
    <n v="0"/>
    <n v="27.19"/>
    <m/>
    <m/>
    <n v="486836.95"/>
    <m/>
    <n v="486836.95"/>
    <n v="389612.80000000005"/>
    <n v="0"/>
    <n v="0"/>
    <n v="0"/>
    <n v="0"/>
    <n v="4175.456983420534"/>
    <n v="4011.3437989274421"/>
    <n v="428503.00150377082"/>
    <m/>
    <m/>
    <m/>
    <n v="0"/>
    <n v="0"/>
    <n v="0"/>
    <n v="0"/>
    <m/>
    <n v="0"/>
    <n v="8860.9129006747571"/>
    <n v="41326.330734120733"/>
    <n v="0"/>
    <n v="0"/>
    <m/>
    <m/>
    <n v="0"/>
    <n v="0"/>
    <n v="0"/>
    <m/>
    <m/>
    <n v="0"/>
    <m/>
    <n v="0"/>
    <n v="0"/>
    <n v="0"/>
    <n v="0"/>
    <m/>
    <n v="0"/>
    <n v="0"/>
    <n v="1092.81"/>
    <n v="14057.25"/>
    <n v="316778.64"/>
    <n v="99"/>
    <m/>
    <m/>
    <m/>
    <m/>
    <m/>
    <m/>
    <m/>
    <m/>
    <m/>
    <n v="0"/>
    <m/>
    <m/>
    <m/>
    <m/>
    <m/>
    <m/>
    <m/>
    <m/>
    <m/>
    <m/>
    <m/>
    <m/>
    <n v="389612.80000000005"/>
    <n v="-97224.18"/>
    <m/>
    <m/>
    <m/>
    <m/>
    <n v="-97224.15"/>
    <n v="0"/>
    <n v="31"/>
    <n v="9131.4065619457251"/>
    <n v="882.97103085930394"/>
    <n v="4118.080524994286"/>
    <n v="0"/>
    <n v="0"/>
    <m/>
    <m/>
    <m/>
    <n v="4130.3550060921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8503.00150377082"/>
    <m/>
    <n v="0"/>
    <n v="0"/>
    <n v="-97224.149999999965"/>
    <m/>
    <n v="0"/>
    <m/>
    <n v="-106447.4140840339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18"/>
    <s v="Sistema de Compensação"/>
    <s v="Verde"/>
    <s v="A4"/>
    <s v="Industrial"/>
    <s v="Não se aplica"/>
    <s v="Não se aplica"/>
    <s v="Não se aplica"/>
    <s v="Não se aplica"/>
    <s v="CATIVO"/>
    <x v="10"/>
    <n v="691"/>
    <n v="691"/>
    <n v="0"/>
    <n v="0"/>
    <n v="0"/>
    <n v="0"/>
    <n v="27.19"/>
    <m/>
    <m/>
    <n v="18788.29"/>
    <m/>
    <n v="18788.29"/>
    <n v="15036.160000000002"/>
    <n v="0"/>
    <n v="0"/>
    <n v="0"/>
    <n v="0"/>
    <n v="161.14162387844672"/>
    <n v="154.808074004963"/>
    <n v="16537.032898023215"/>
    <m/>
    <m/>
    <m/>
    <n v="0"/>
    <n v="0"/>
    <n v="0"/>
    <n v="0"/>
    <m/>
    <n v="0"/>
    <n v="341.96541828351064"/>
    <n v="1594.8893905209397"/>
    <n v="0"/>
    <n v="0"/>
    <m/>
    <m/>
    <n v="0"/>
    <n v="0"/>
    <n v="0"/>
    <m/>
    <m/>
    <n v="0"/>
    <m/>
    <n v="0"/>
    <n v="0"/>
    <n v="0"/>
    <n v="0"/>
    <m/>
    <n v="0"/>
    <n v="0"/>
    <n v="24.4"/>
    <n v="314.18"/>
    <n v="7739.31"/>
    <n v="6"/>
    <m/>
    <m/>
    <m/>
    <m/>
    <m/>
    <m/>
    <m/>
    <m/>
    <m/>
    <n v="0"/>
    <m/>
    <m/>
    <m/>
    <m/>
    <m/>
    <m/>
    <m/>
    <m/>
    <m/>
    <m/>
    <m/>
    <m/>
    <n v="15036.160000000002"/>
    <n v="-3752.1599999999944"/>
    <m/>
    <m/>
    <m/>
    <m/>
    <n v="-3752.1299999999997"/>
    <n v="0"/>
    <n v="31"/>
    <n v="352.40446435657577"/>
    <n v="34.07612300049027"/>
    <n v="158.92731878084624"/>
    <n v="0"/>
    <n v="0"/>
    <m/>
    <m/>
    <m/>
    <n v="159.40102257523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537.032898023215"/>
    <m/>
    <n v="0"/>
    <n v="0"/>
    <n v="-3752.1299999999992"/>
    <m/>
    <n v="0"/>
    <m/>
    <n v="-4108.079482382994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19"/>
    <s v="Regular"/>
    <s v="Branca"/>
    <s v="B3"/>
    <s v="Industrial"/>
    <s v="Não se aplica"/>
    <s v="Não se aplica"/>
    <s v="Não se aplica"/>
    <s v="Ponta"/>
    <s v="CATIVO"/>
    <x v="10"/>
    <n v="0"/>
    <n v="0"/>
    <n v="1.4999999999999999E-2"/>
    <n v="1.4999999999999999E-2"/>
    <n v="1.4999999999999999E-2"/>
    <n v="1.4999999999999999E-2"/>
    <m/>
    <n v="1553.42"/>
    <n v="173.25"/>
    <m/>
    <n v="25.90005"/>
    <n v="25.90005"/>
    <n v="24.573599999999999"/>
    <n v="0"/>
    <n v="0.92317774799055596"/>
    <n v="0"/>
    <n v="0"/>
    <n v="1.626738690759105"/>
    <n v="0.11249430156210675"/>
    <n v="10.775818551637485"/>
    <n v="2.5551070587796949"/>
    <n v="4.3608502958118751E-2"/>
    <n v="0"/>
    <n v="0"/>
    <n v="0"/>
    <n v="0"/>
    <n v="0.14263545415988113"/>
    <m/>
    <n v="1.8117850715440798E-2"/>
    <n v="4.7333094708037047"/>
    <n v="4.5990914172267896"/>
    <n v="0"/>
    <n v="0"/>
    <n v="0"/>
    <n v="0"/>
    <n v="0"/>
    <n v="0"/>
    <n v="0"/>
    <n v="0"/>
    <n v="0"/>
    <n v="0"/>
    <m/>
    <n v="0"/>
    <n v="0"/>
    <n v="0"/>
    <n v="0"/>
    <n v="0"/>
    <n v="0.13409687737553971"/>
    <n v="0"/>
    <n v="0"/>
    <n v="0"/>
    <n v="0"/>
    <n v="0"/>
    <m/>
    <m/>
    <m/>
    <m/>
    <m/>
    <m/>
    <m/>
    <m/>
    <m/>
    <n v="2.6892039361552347"/>
    <m/>
    <m/>
    <m/>
    <m/>
    <m/>
    <m/>
    <m/>
    <m/>
    <m/>
    <m/>
    <m/>
    <m/>
    <n v="32.764800000000001"/>
    <n v="6.8347499999999961"/>
    <m/>
    <m/>
    <m/>
    <m/>
    <n v="-1.6502999999999997"/>
    <n v="0.32385000000000003"/>
    <n v="31"/>
    <n v="1.3504217828495388"/>
    <n v="0.47166417158817087"/>
    <n v="0.45828962943262486"/>
    <n v="0"/>
    <n v="0"/>
    <n v="0"/>
    <n v="0"/>
    <n v="0"/>
    <n v="0.11583185707944522"/>
    <n v="0"/>
    <n v="0"/>
    <n v="0.32381343546223507"/>
    <n v="0"/>
    <n v="0"/>
    <n v="0"/>
    <n v="1.6994344874328299E-2"/>
    <n v="0"/>
    <n v="-3.1348195010787006E-2"/>
    <m/>
    <n v="0"/>
    <n v="0"/>
    <n v="0"/>
    <n v="0"/>
    <n v="-4.3108806735158711E-3"/>
    <n v="-5.1257990296334904E-4"/>
    <n v="0"/>
    <n v="0"/>
    <m/>
    <m/>
    <m/>
    <n v="10.775818551637485"/>
    <n v="0"/>
    <n v="0"/>
    <n v="-1.6503000000000014"/>
    <n v="0.32385000000000019"/>
    <n v="0"/>
    <n v="0"/>
    <n v="-2.6768961137614955"/>
    <n v="0"/>
    <n v="0"/>
    <n v="0"/>
    <n v="0"/>
    <n v="0"/>
    <n v="0"/>
    <n v="0"/>
    <n v="0"/>
    <n v="0"/>
    <n v="0"/>
    <n v="0"/>
    <n v="0"/>
    <n v="0.2357631318949305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0"/>
    <s v="Regular"/>
    <s v="Branca"/>
    <s v="B3"/>
    <s v="Industrial"/>
    <s v="Não se aplica"/>
    <s v="Não se aplica"/>
    <s v="Não se aplica"/>
    <s v="Fora ponta"/>
    <s v="CATIVO"/>
    <x v="10"/>
    <n v="0"/>
    <n v="0"/>
    <n v="1.85"/>
    <n v="1.85"/>
    <n v="1.85"/>
    <n v="1.85"/>
    <m/>
    <n v="388.22"/>
    <n v="173.25"/>
    <m/>
    <n v="1038.7195000000002"/>
    <n v="1038.7195000000002"/>
    <n v="1036.0554999999999"/>
    <n v="0"/>
    <n v="113.85858891883524"/>
    <n v="0"/>
    <n v="0"/>
    <n v="40.126221038724594"/>
    <n v="2.7748620348576716"/>
    <n v="265.80372350269664"/>
    <n v="315.12987058282908"/>
    <n v="5.3783820315013129"/>
    <n v="0"/>
    <n v="0"/>
    <n v="0"/>
    <n v="0"/>
    <n v="17.591706013052008"/>
    <m/>
    <n v="2.234534921571032"/>
    <n v="116.75496694649139"/>
    <n v="113.44425495826083"/>
    <n v="0"/>
    <n v="0"/>
    <n v="0"/>
    <n v="0"/>
    <n v="0"/>
    <n v="0"/>
    <n v="0"/>
    <n v="0"/>
    <n v="0"/>
    <n v="0"/>
    <m/>
    <n v="0"/>
    <n v="0"/>
    <n v="0"/>
    <n v="0"/>
    <n v="0"/>
    <n v="16.538614876316565"/>
    <n v="0"/>
    <n v="0"/>
    <n v="0"/>
    <n v="0"/>
    <n v="0"/>
    <m/>
    <m/>
    <m/>
    <m/>
    <m/>
    <m/>
    <m/>
    <m/>
    <m/>
    <n v="331.66848545914564"/>
    <m/>
    <m/>
    <m/>
    <m/>
    <m/>
    <m/>
    <m/>
    <m/>
    <m/>
    <m/>
    <m/>
    <m/>
    <n v="1036.0554999999999"/>
    <n v="-2.6940000000001874"/>
    <m/>
    <m/>
    <m/>
    <m/>
    <n v="-42.605500000000056"/>
    <n v="39.941500000000005"/>
    <n v="31"/>
    <n v="63.367837625574111"/>
    <n v="11.634382899174668"/>
    <n v="11.304477526004561"/>
    <n v="0"/>
    <n v="0"/>
    <n v="0"/>
    <n v="0"/>
    <n v="0"/>
    <n v="2.8571884813148594"/>
    <n v="0"/>
    <n v="0"/>
    <n v="39.936990373675599"/>
    <n v="0"/>
    <n v="0"/>
    <n v="0"/>
    <n v="2.0959692011671578"/>
    <n v="0"/>
    <n v="-3.8662773846637322"/>
    <m/>
    <n v="0"/>
    <n v="0"/>
    <n v="0"/>
    <n v="0"/>
    <n v="-0.53167528306695999"/>
    <n v="-6.3218188032146294E-2"/>
    <n v="0"/>
    <n v="0"/>
    <m/>
    <m/>
    <m/>
    <n v="265.80372350269664"/>
    <n v="0"/>
    <n v="0"/>
    <n v="-42.60550000000012"/>
    <n v="39.941500000000019"/>
    <n v="0"/>
    <n v="0"/>
    <n v="-66.030153631305893"/>
    <n v="0"/>
    <n v="0"/>
    <n v="0"/>
    <n v="0"/>
    <n v="0"/>
    <n v="0"/>
    <n v="0"/>
    <n v="0"/>
    <n v="0"/>
    <n v="0"/>
    <n v="0"/>
    <n v="0"/>
    <n v="29.0774529337080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1"/>
    <s v="Regular"/>
    <s v="Branca"/>
    <s v="B3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82"/>
    <n v="10.6"/>
    <n v="241.1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22"/>
    <s v="Regular"/>
    <s v="Branca"/>
    <s v="B3"/>
    <s v="Industrial"/>
    <s v="Não se aplica"/>
    <s v="Não se aplica"/>
    <s v="Não se aplica"/>
    <s v="Intermediário"/>
    <s v="CATIVO"/>
    <x v="10"/>
    <n v="0"/>
    <n v="0"/>
    <n v="9.6000000000000002E-2"/>
    <n v="9.6000000000000002E-2"/>
    <n v="9.6000000000000002E-2"/>
    <n v="9.6000000000000002E-2"/>
    <m/>
    <n v="970.82"/>
    <n v="173.25"/>
    <m/>
    <n v="109.83072000000001"/>
    <n v="109.83072000000001"/>
    <n v="105.51648"/>
    <n v="0"/>
    <n v="5.9083375871395587"/>
    <n v="0"/>
    <n v="0"/>
    <n v="6.2466765725149731"/>
    <n v="0.43197852218324739"/>
    <n v="41.379153576656158"/>
    <n v="16.352685176190047"/>
    <n v="0.27909441893196002"/>
    <n v="0"/>
    <n v="0"/>
    <n v="0"/>
    <n v="0"/>
    <n v="0.91286690662323933"/>
    <m/>
    <n v="0.11595424457882111"/>
    <n v="18.175908367886208"/>
    <n v="17.660511042150912"/>
    <n v="0"/>
    <n v="0"/>
    <n v="0"/>
    <n v="0"/>
    <n v="0"/>
    <n v="0"/>
    <n v="0"/>
    <n v="0"/>
    <n v="0"/>
    <n v="0"/>
    <m/>
    <n v="0"/>
    <n v="0"/>
    <n v="0"/>
    <n v="0"/>
    <n v="0"/>
    <n v="0.85822001520345415"/>
    <n v="0"/>
    <n v="0"/>
    <n v="0"/>
    <n v="0"/>
    <n v="0"/>
    <m/>
    <m/>
    <m/>
    <m/>
    <m/>
    <m/>
    <m/>
    <m/>
    <m/>
    <n v="17.210905191393501"/>
    <m/>
    <m/>
    <m/>
    <m/>
    <m/>
    <m/>
    <m/>
    <m/>
    <m/>
    <m/>
    <m/>
    <m/>
    <n v="109.91300000000001"/>
    <n v="5.2279999999981897E-2"/>
    <m/>
    <m/>
    <m/>
    <m/>
    <n v="-6.3868800000000086"/>
    <n v="2.0726400000000003"/>
    <n v="31"/>
    <n v="5.9654885416767343"/>
    <n v="1.8111904188985939"/>
    <n v="1.7598321770211847"/>
    <n v="0"/>
    <n v="0"/>
    <n v="0"/>
    <n v="0"/>
    <n v="0"/>
    <n v="0.44479474736145019"/>
    <n v="0"/>
    <n v="0"/>
    <n v="2.0724059869583051"/>
    <n v="0"/>
    <n v="0"/>
    <n v="0"/>
    <n v="0.10876380719570111"/>
    <n v="0"/>
    <n v="-0.20062844806903701"/>
    <m/>
    <n v="0"/>
    <n v="0"/>
    <n v="0"/>
    <n v="0"/>
    <n v="-2.7589636310501708E-2"/>
    <n v="-3.2805113789654422E-3"/>
    <n v="0"/>
    <n v="0"/>
    <m/>
    <m/>
    <m/>
    <n v="41.379153576656158"/>
    <n v="0"/>
    <n v="0"/>
    <n v="-6.386880000000005"/>
    <n v="2.0726399999999998"/>
    <n v="0"/>
    <n v="0"/>
    <n v="-10.279283645070141"/>
    <n v="0"/>
    <n v="0"/>
    <n v="0"/>
    <n v="0"/>
    <n v="0"/>
    <n v="0"/>
    <n v="0"/>
    <n v="0"/>
    <n v="0"/>
    <n v="0"/>
    <n v="0"/>
    <n v="0"/>
    <n v="1.508884044127555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3"/>
    <s v="Regular"/>
    <s v="Convencional"/>
    <s v="B3"/>
    <s v="Comercial"/>
    <s v="Não se aplica"/>
    <s v="Não se aplica"/>
    <s v="Não se aplica"/>
    <s v="Não se aplica"/>
    <s v="CATIVO"/>
    <x v="10"/>
    <n v="0"/>
    <n v="0"/>
    <n v="2405.6149999999998"/>
    <n v="2405.6149999999998"/>
    <n v="2405.6149999999998"/>
    <n v="2405.6149999999998"/>
    <m/>
    <n v="368.24"/>
    <n v="173.25"/>
    <m/>
    <n v="1302616.4663499999"/>
    <n v="1302616.4663499999"/>
    <n v="1224193.4173499998"/>
    <n v="0"/>
    <n v="148054.01588215341"/>
    <n v="0"/>
    <n v="0"/>
    <n v="6157.2614780177728"/>
    <n v="5915.7475881160099"/>
    <n v="566611.59475395491"/>
    <n v="409773.59114708769"/>
    <n v="6993.6845895729894"/>
    <n v="0"/>
    <n v="0"/>
    <n v="0"/>
    <n v="0"/>
    <n v="22875.065870588165"/>
    <m/>
    <n v="2905.6382299216743"/>
    <n v="13070.657830590149"/>
    <n v="60946.549189576581"/>
    <n v="0"/>
    <n v="0"/>
    <n v="0"/>
    <n v="0"/>
    <n v="0"/>
    <n v="0"/>
    <n v="0"/>
    <n v="0"/>
    <n v="0"/>
    <n v="0"/>
    <m/>
    <n v="0"/>
    <n v="0"/>
    <n v="0"/>
    <n v="0"/>
    <n v="0"/>
    <n v="21505.697311183929"/>
    <n v="0"/>
    <n v="860.44"/>
    <n v="11327.41"/>
    <n v="419609.37"/>
    <n v="4327"/>
    <m/>
    <m/>
    <m/>
    <m/>
    <m/>
    <m/>
    <m/>
    <m/>
    <m/>
    <n v="431279.28845827159"/>
    <m/>
    <m/>
    <m/>
    <m/>
    <m/>
    <m/>
    <m/>
    <m/>
    <m/>
    <m/>
    <m/>
    <m/>
    <n v="1224195.9617999999"/>
    <n v="-78420.534549999982"/>
    <m/>
    <m/>
    <m/>
    <m/>
    <n v="-130360.27684999998"/>
    <n v="51937.227850000003"/>
    <n v="31"/>
    <n v="62322.731797376182"/>
    <n v="1302.4631150371224"/>
    <n v="6073.193356989279"/>
    <n v="0"/>
    <n v="0"/>
    <n v="0"/>
    <n v="0"/>
    <n v="0"/>
    <n v="6091.2599094312409"/>
    <n v="0"/>
    <n v="0"/>
    <n v="51931.363836632285"/>
    <n v="0"/>
    <n v="0"/>
    <n v="0"/>
    <n v="2725.4567296571513"/>
    <n v="0"/>
    <n v="-5027.4458760583075"/>
    <m/>
    <n v="0"/>
    <n v="0"/>
    <n v="0"/>
    <n v="0"/>
    <n v="-691.3546140946637"/>
    <n v="-82.204660217812034"/>
    <n v="0"/>
    <n v="0"/>
    <m/>
    <m/>
    <m/>
    <n v="566611.59475395491"/>
    <n v="0"/>
    <n v="0"/>
    <n v="-130360.27685000002"/>
    <n v="51937.227850000025"/>
    <n v="0"/>
    <n v="0"/>
    <n v="-140755.93132352695"/>
    <n v="0"/>
    <n v="0"/>
    <n v="0"/>
    <n v="0"/>
    <n v="0"/>
    <n v="0"/>
    <n v="0"/>
    <n v="0"/>
    <n v="0"/>
    <n v="0"/>
    <n v="0"/>
    <n v="0"/>
    <n v="37810.3551022282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4"/>
    <s v="Refaturamento - Regular"/>
    <s v="Convencional"/>
    <s v="B3"/>
    <s v="Comercial"/>
    <s v="Não se aplica"/>
    <s v="Não se aplica"/>
    <s v="Não se aplica"/>
    <s v="Não se aplica"/>
    <s v="CATIVO"/>
    <x v="10"/>
    <n v="0"/>
    <n v="0"/>
    <n v="-3.6579999999999999"/>
    <n v="-3.6579999999999999"/>
    <n v="-3.6579999999999999"/>
    <n v="-3.6579999999999999"/>
    <m/>
    <n v="368.24"/>
    <n v="173.25"/>
    <m/>
    <n v="-1980.7704199999998"/>
    <n v="-1980.7704199999998"/>
    <n v="-1861.51962"/>
    <n v="0"/>
    <n v="-225.13228014329692"/>
    <n v="0"/>
    <n v="0"/>
    <n v="-9.3627876807340389"/>
    <n v="-8.9955394680064629"/>
    <n v="-861.59473299342051"/>
    <n v="-623.10544140107493"/>
    <n v="-10.634660254719893"/>
    <n v="0"/>
    <n v="0"/>
    <n v="0"/>
    <n v="0"/>
    <n v="-34.784032754456348"/>
    <m/>
    <n v="-4.4183398611388291"/>
    <n v="-19.875360913653587"/>
    <n v="-92.675875788715629"/>
    <n v="0"/>
    <n v="0"/>
    <n v="0"/>
    <n v="0"/>
    <n v="0"/>
    <n v="0"/>
    <n v="0"/>
    <n v="0"/>
    <n v="0"/>
    <n v="0"/>
    <m/>
    <n v="0"/>
    <n v="0"/>
    <n v="0"/>
    <n v="0"/>
    <n v="0"/>
    <n v="-32.701758495981615"/>
    <n v="0"/>
    <n v="-1.67"/>
    <n v="-14.51"/>
    <n v="-799.06"/>
    <n v="0"/>
    <m/>
    <m/>
    <m/>
    <m/>
    <m/>
    <m/>
    <m/>
    <m/>
    <m/>
    <n v="-655.80719989705653"/>
    <m/>
    <m/>
    <m/>
    <m/>
    <m/>
    <m/>
    <m/>
    <m/>
    <m/>
    <m/>
    <m/>
    <m/>
    <n v="-1862.5374000000002"/>
    <n v="118.2030199999997"/>
    <m/>
    <m/>
    <m/>
    <m/>
    <n v="198.22701999999998"/>
    <n v="-78.976220000000012"/>
    <n v="31"/>
    <n v="-94.768511551018264"/>
    <n v="-1.9805372326019679"/>
    <n v="-9.2349529329783735"/>
    <n v="0"/>
    <n v="0"/>
    <n v="0"/>
    <n v="0"/>
    <n v="0"/>
    <n v="-9.2624250965759174"/>
    <n v="0"/>
    <n v="0"/>
    <n v="-78.967303128056983"/>
    <n v="0"/>
    <n v="0"/>
    <n v="0"/>
    <n v="-4.1443542366861976"/>
    <n v="0"/>
    <n v="7.6447798232972843"/>
    <m/>
    <n v="0"/>
    <n v="0"/>
    <n v="0"/>
    <n v="0"/>
    <n v="1.0512801002480714"/>
    <n v="0.12500115233599551"/>
    <n v="0"/>
    <n v="0"/>
    <m/>
    <m/>
    <m/>
    <n v="-861.59473299342051"/>
    <n v="0"/>
    <n v="0"/>
    <n v="198.22701999999981"/>
    <n v="-78.976220000000012"/>
    <n v="0"/>
    <n v="0"/>
    <n v="214.03474653319904"/>
    <n v="0"/>
    <n v="0"/>
    <n v="0"/>
    <n v="0"/>
    <n v="0"/>
    <n v="0"/>
    <n v="0"/>
    <n v="0"/>
    <n v="0"/>
    <n v="0"/>
    <n v="0"/>
    <n v="0"/>
    <n v="-57.4947690981103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5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214.02699999999999"/>
    <n v="214.02699999999999"/>
    <n v="214.02699999999999"/>
    <n v="214.02699999999999"/>
    <m/>
    <n v="368.24"/>
    <n v="173.25"/>
    <m/>
    <n v="115893.48022999999"/>
    <n v="115893.48022999999"/>
    <n v="108916.20002999999"/>
    <n v="0"/>
    <n v="13172.330924611648"/>
    <n v="0"/>
    <n v="0"/>
    <n v="547.81010359334721"/>
    <n v="526.32266968808608"/>
    <n v="50411.300141712083"/>
    <n v="36457.459897962784"/>
    <n v="622.22647084115215"/>
    <n v="0"/>
    <n v="0"/>
    <n v="0"/>
    <n v="0"/>
    <n v="2035.1892231651254"/>
    <m/>
    <n v="258.51394900490982"/>
    <n v="1162.893348897358"/>
    <n v="5422.4001277833349"/>
    <n v="0"/>
    <n v="0"/>
    <n v="0"/>
    <n v="0"/>
    <n v="0"/>
    <n v="0"/>
    <n v="0"/>
    <n v="0"/>
    <n v="0"/>
    <n v="0"/>
    <m/>
    <n v="0"/>
    <n v="0"/>
    <n v="0"/>
    <n v="0"/>
    <n v="0"/>
    <n v="1913.3568249369757"/>
    <n v="0"/>
    <n v="76.89"/>
    <n v="1012.77"/>
    <n v="67383.69"/>
    <n v="357"/>
    <m/>
    <m/>
    <m/>
    <m/>
    <m/>
    <m/>
    <m/>
    <m/>
    <m/>
    <n v="38370.816722899763"/>
    <m/>
    <m/>
    <m/>
    <m/>
    <m/>
    <m/>
    <m/>
    <m/>
    <m/>
    <m/>
    <m/>
    <m/>
    <n v="108917.7267"/>
    <n v="-6975.7835299999715"/>
    <m/>
    <m/>
    <m/>
    <m/>
    <n v="-11598.123129999998"/>
    <n v="4620.8429300000007"/>
    <n v="31"/>
    <n v="5544.8387702924374"/>
    <n v="115.87983659980932"/>
    <n v="540.33058266445187"/>
    <n v="0"/>
    <n v="0"/>
    <n v="0"/>
    <n v="0"/>
    <n v="0"/>
    <n v="541.93795958033206"/>
    <n v="0"/>
    <n v="0"/>
    <n v="4620.3212101117169"/>
    <n v="0"/>
    <n v="0"/>
    <n v="0"/>
    <n v="242.48324336119072"/>
    <n v="0"/>
    <n v="-447.29067557158123"/>
    <m/>
    <n v="0"/>
    <n v="0"/>
    <n v="0"/>
    <n v="0"/>
    <n v="-61.509657194039164"/>
    <n v="-7.3137292594357746"/>
    <n v="0"/>
    <n v="0"/>
    <m/>
    <m/>
    <m/>
    <n v="50411.300141712083"/>
    <n v="0"/>
    <n v="0"/>
    <n v="-11598.123130000007"/>
    <n v="4620.8429300000062"/>
    <n v="0"/>
    <n v="0"/>
    <n v="-12523.022060213501"/>
    <n v="0"/>
    <n v="0"/>
    <n v="0"/>
    <n v="0"/>
    <n v="0"/>
    <n v="0"/>
    <n v="0"/>
    <n v="0"/>
    <n v="0"/>
    <n v="0"/>
    <n v="0"/>
    <n v="0"/>
    <n v="3363.978388671752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6"/>
    <s v="Regular"/>
    <s v="Verde"/>
    <s v="A4"/>
    <s v="Comercial"/>
    <s v="Não se aplica"/>
    <s v="Não se aplica"/>
    <s v="Não se aplica"/>
    <s v="Ponta"/>
    <s v="CATIVO"/>
    <x v="10"/>
    <n v="0"/>
    <n v="0"/>
    <n v="78.275999999999996"/>
    <n v="78.275999999999996"/>
    <n v="78.275999999999996"/>
    <n v="78.275999999999996"/>
    <m/>
    <n v="1358.36"/>
    <n v="173.25"/>
    <m/>
    <n v="119888.30435999998"/>
    <n v="119888.30435999998"/>
    <n v="105118.40591999999"/>
    <n v="0"/>
    <n v="4191.2343612991044"/>
    <n v="0"/>
    <n v="0"/>
    <n v="1482.7109065525176"/>
    <n v="1424.5570954925463"/>
    <n v="78941.950040264972"/>
    <n v="13333.570675535961"/>
    <n v="227.5666118366469"/>
    <n v="0"/>
    <n v="0"/>
    <n v="0"/>
    <n v="0"/>
    <n v="744.32885398792371"/>
    <m/>
    <n v="62.684503148485334"/>
    <n v="3147.5423180097955"/>
    <n v="14676.444815850535"/>
    <n v="0"/>
    <n v="0"/>
    <n v="0"/>
    <n v="0"/>
    <n v="0"/>
    <n v="0"/>
    <n v="0"/>
    <n v="0"/>
    <n v="0"/>
    <n v="0"/>
    <m/>
    <n v="0"/>
    <n v="0"/>
    <n v="0"/>
    <n v="0"/>
    <n v="0"/>
    <n v="585.39932269130873"/>
    <n v="0"/>
    <n v="0"/>
    <n v="0"/>
    <n v="0"/>
    <n v="0"/>
    <m/>
    <m/>
    <m/>
    <m/>
    <m/>
    <m/>
    <m/>
    <m/>
    <m/>
    <n v="13918.969998227269"/>
    <m/>
    <m/>
    <m/>
    <m/>
    <m/>
    <m/>
    <m/>
    <m/>
    <m/>
    <m/>
    <m/>
    <m/>
    <n v="105123.7776"/>
    <n v="-14764.556759999963"/>
    <m/>
    <m/>
    <m/>
    <m/>
    <n v="-16459.877279999997"/>
    <n v="1689.9788400000002"/>
    <n v="31"/>
    <n v="4840.3303985884922"/>
    <n v="313.64586429855626"/>
    <n v="1462.4763558407958"/>
    <n v="0"/>
    <n v="0"/>
    <n v="0"/>
    <n v="0"/>
    <n v="0"/>
    <n v="1466.8217998180405"/>
    <n v="0"/>
    <n v="0"/>
    <n v="1689.7880316161263"/>
    <n v="0"/>
    <n v="0"/>
    <n v="0"/>
    <n v="74.188737081126192"/>
    <n v="0"/>
    <n v="-142.32105613452995"/>
    <m/>
    <n v="0"/>
    <n v="0"/>
    <n v="0"/>
    <n v="0"/>
    <n v="-22.495899706675232"/>
    <n v="-1.773434224942271"/>
    <n v="0"/>
    <n v="0"/>
    <m/>
    <m/>
    <m/>
    <n v="78941.950040264972"/>
    <n v="0"/>
    <n v="0"/>
    <n v="-16459.877280000001"/>
    <n v="1689.9788399999998"/>
    <n v="0"/>
    <n v="0"/>
    <n v="-19610.519448049548"/>
    <n v="0"/>
    <n v="0"/>
    <n v="0"/>
    <n v="0"/>
    <n v="0"/>
    <n v="0"/>
    <n v="0"/>
    <n v="0"/>
    <n v="0"/>
    <n v="0"/>
    <n v="0"/>
    <n v="0"/>
    <n v="1070.366504908042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7"/>
    <s v="Sistema de Compensação"/>
    <s v="Verde"/>
    <s v="A4"/>
    <s v="Comercial"/>
    <s v="Não se aplica"/>
    <s v="Não se aplica"/>
    <s v="Não se aplica"/>
    <s v="Ponta"/>
    <s v="CATIVO"/>
    <x v="10"/>
    <n v="0"/>
    <n v="0"/>
    <n v="4.093"/>
    <n v="4.093"/>
    <n v="4.093"/>
    <n v="4.093"/>
    <m/>
    <n v="1358.36"/>
    <n v="173.25"/>
    <m/>
    <n v="6268.8797299999997"/>
    <n v="6268.8797299999997"/>
    <n v="5496.5715599999994"/>
    <n v="0"/>
    <n v="219.15685830646987"/>
    <n v="0"/>
    <n v="0"/>
    <n v="77.529967557354169"/>
    <n v="74.489143439253311"/>
    <n v="4127.822084863873"/>
    <n v="697.20354610568609"/>
    <n v="11.899306840505337"/>
    <n v="0"/>
    <n v="0"/>
    <n v="0"/>
    <n v="0"/>
    <n v="38.920460925092904"/>
    <m/>
    <n v="3.2777309952827238"/>
    <n v="164.58289523754527"/>
    <n v="767.42154212371918"/>
    <n v="0"/>
    <n v="0"/>
    <n v="0"/>
    <n v="0"/>
    <n v="0"/>
    <n v="0"/>
    <n v="0"/>
    <n v="0"/>
    <n v="0"/>
    <n v="0"/>
    <m/>
    <n v="0"/>
    <n v="0"/>
    <n v="0"/>
    <n v="0"/>
    <n v="0"/>
    <n v="30.610141394239953"/>
    <n v="0"/>
    <n v="0"/>
    <n v="0"/>
    <n v="0"/>
    <n v="0"/>
    <m/>
    <m/>
    <m/>
    <m/>
    <m/>
    <m/>
    <m/>
    <m/>
    <m/>
    <n v="727.813687499926"/>
    <m/>
    <m/>
    <m/>
    <m/>
    <m/>
    <m/>
    <m/>
    <m/>
    <m/>
    <m/>
    <m/>
    <m/>
    <n v="5492.5427999999993"/>
    <n v="-776.36693000000105"/>
    <m/>
    <m/>
    <m/>
    <m/>
    <n v="-860.67603999999983"/>
    <n v="88.367870000000011"/>
    <n v="31"/>
    <n v="253.09765855974638"/>
    <n v="16.400333723925485"/>
    <n v="76.471916353114239"/>
    <n v="0"/>
    <n v="0"/>
    <n v="0"/>
    <n v="0"/>
    <n v="0"/>
    <n v="76.699136729715875"/>
    <n v="0"/>
    <n v="0"/>
    <n v="88.357892756461865"/>
    <n v="0"/>
    <n v="0"/>
    <n v="0"/>
    <n v="3.8792797392949296"/>
    <n v="0"/>
    <n v="-7.4418734063906129"/>
    <m/>
    <n v="0"/>
    <n v="0"/>
    <n v="0"/>
    <n v="0"/>
    <n v="-1.1762956397800366"/>
    <n v="-9.2731696595236279E-2"/>
    <n v="0"/>
    <n v="0"/>
    <m/>
    <m/>
    <m/>
    <n v="4127.822084863873"/>
    <n v="0"/>
    <n v="0"/>
    <n v="-860.67604000000028"/>
    <n v="88.367870000000039"/>
    <n v="0"/>
    <n v="0"/>
    <n v="-1025.4210243352595"/>
    <n v="0"/>
    <n v="0"/>
    <n v="0"/>
    <n v="0"/>
    <n v="0"/>
    <n v="0"/>
    <n v="0"/>
    <n v="0"/>
    <n v="0"/>
    <n v="0"/>
    <n v="0"/>
    <n v="0"/>
    <n v="55.96875293306526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8"/>
    <s v="Regular"/>
    <s v="Verde"/>
    <s v="A4"/>
    <s v="Comercial"/>
    <s v="Não se aplica"/>
    <s v="Não se aplica"/>
    <s v="Não se aplica"/>
    <s v="Fora ponta"/>
    <s v="CATIVO"/>
    <x v="10"/>
    <n v="0"/>
    <n v="0"/>
    <n v="882.49599999999998"/>
    <n v="882.49599999999998"/>
    <n v="882.49599999999998"/>
    <n v="882.49599999999998"/>
    <m/>
    <n v="85.01"/>
    <n v="173.25"/>
    <m/>
    <n v="227913.41696"/>
    <n v="227913.41696"/>
    <n v="245925.16032"/>
    <n v="0"/>
    <n v="47252.638853659031"/>
    <n v="0"/>
    <n v="0"/>
    <n v="0"/>
    <n v="0"/>
    <n v="0"/>
    <n v="150324.78392965638"/>
    <n v="2565.621961768531"/>
    <n v="0"/>
    <n v="0"/>
    <n v="0"/>
    <n v="0"/>
    <n v="8391.6811836185643"/>
    <m/>
    <n v="706.71499936795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99.8845198756862"/>
    <n v="0"/>
    <n v="0"/>
    <n v="0"/>
    <n v="0"/>
    <n v="0"/>
    <m/>
    <m/>
    <m/>
    <m/>
    <m/>
    <m/>
    <m/>
    <m/>
    <m/>
    <n v="156924.66844953207"/>
    <m/>
    <m/>
    <m/>
    <m/>
    <m/>
    <m/>
    <m/>
    <m/>
    <m/>
    <m/>
    <m/>
    <m/>
    <n v="245926.27500000002"/>
    <n v="18012.828040000022"/>
    <m/>
    <m/>
    <m/>
    <m/>
    <n v="-1041.3452800000059"/>
    <n v="19053.088640000002"/>
    <n v="31"/>
    <n v="18009.186590991303"/>
    <n v="0"/>
    <n v="0"/>
    <n v="0"/>
    <n v="0"/>
    <n v="0"/>
    <n v="0"/>
    <n v="0"/>
    <n v="0"/>
    <n v="0"/>
    <n v="0"/>
    <n v="19050.937436112028"/>
    <n v="0"/>
    <n v="0"/>
    <n v="0"/>
    <n v="836.41555162687837"/>
    <n v="0"/>
    <n v="-1604.5500888458482"/>
    <m/>
    <n v="0"/>
    <n v="0"/>
    <n v="0"/>
    <n v="0"/>
    <n v="-253.62233005700455"/>
    <n v="-19.993977844737287"/>
    <n v="0"/>
    <n v="0"/>
    <m/>
    <m/>
    <m/>
    <n v="0"/>
    <n v="0"/>
    <n v="0"/>
    <n v="-1041.3452800000086"/>
    <n v="19053.088640000002"/>
    <n v="0"/>
    <n v="0"/>
    <n v="0"/>
    <n v="0"/>
    <n v="0"/>
    <n v="0"/>
    <n v="0"/>
    <n v="0"/>
    <n v="0"/>
    <n v="0"/>
    <n v="0"/>
    <n v="0"/>
    <n v="0"/>
    <n v="0"/>
    <n v="0"/>
    <n v="12067.48120899544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29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55.106999999999999"/>
    <n v="55.106999999999999"/>
    <n v="55.106999999999999"/>
    <n v="55.106999999999999"/>
    <m/>
    <n v="85.01"/>
    <n v="173.25"/>
    <m/>
    <n v="14231.933819999998"/>
    <n v="14231.933819999998"/>
    <n v="15356.66769"/>
    <n v="0"/>
    <n v="2950.6662571939005"/>
    <n v="0"/>
    <n v="0"/>
    <n v="0"/>
    <n v="0"/>
    <n v="0"/>
    <n v="9386.9523125448432"/>
    <n v="160.20891816753667"/>
    <n v="0"/>
    <n v="0"/>
    <n v="0"/>
    <n v="0"/>
    <n v="524.01413149257132"/>
    <m/>
    <n v="44.1304475829575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2.12632831966312"/>
    <n v="0"/>
    <n v="0"/>
    <n v="0"/>
    <n v="0"/>
    <n v="0"/>
    <m/>
    <m/>
    <m/>
    <m/>
    <m/>
    <m/>
    <m/>
    <m/>
    <m/>
    <n v="9799.0786408645072"/>
    <m/>
    <m/>
    <m/>
    <m/>
    <m/>
    <m/>
    <m/>
    <m/>
    <m/>
    <m/>
    <m/>
    <m/>
    <n v="15357.503700000001"/>
    <n v="1125.5398800000021"/>
    <m/>
    <m/>
    <m/>
    <m/>
    <n v="-65.026260000000377"/>
    <n v="1189.7601300000001"/>
    <n v="31"/>
    <n v="1124.5742138998448"/>
    <n v="0"/>
    <n v="0"/>
    <n v="0"/>
    <n v="0"/>
    <n v="0"/>
    <n v="0"/>
    <n v="0"/>
    <n v="0"/>
    <n v="0"/>
    <n v="0"/>
    <n v="1189.6257992011597"/>
    <n v="0"/>
    <n v="0"/>
    <n v="0"/>
    <n v="52.229530562747527"/>
    <n v="0"/>
    <n v="-100.19528898264525"/>
    <m/>
    <n v="0"/>
    <n v="0"/>
    <n v="0"/>
    <n v="0"/>
    <n v="-15.837313418362669"/>
    <n v="-1.248513463052447"/>
    <n v="0"/>
    <n v="0"/>
    <m/>
    <m/>
    <m/>
    <n v="0"/>
    <n v="0"/>
    <n v="0"/>
    <n v="-65.026259999999638"/>
    <n v="1189.7601300000006"/>
    <n v="0"/>
    <n v="0"/>
    <n v="0"/>
    <n v="0"/>
    <n v="0"/>
    <n v="0"/>
    <n v="0"/>
    <n v="0"/>
    <n v="0"/>
    <n v="0"/>
    <n v="0"/>
    <n v="0"/>
    <n v="0"/>
    <n v="0"/>
    <n v="0"/>
    <n v="753.5475367413699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30"/>
    <s v="Regular"/>
    <s v="Verde"/>
    <s v="A4"/>
    <s v="Comercial"/>
    <s v="Não se aplica"/>
    <s v="Não se aplica"/>
    <s v="Não se aplica"/>
    <s v="Não se aplica"/>
    <s v="CATIVO"/>
    <x v="10"/>
    <n v="4346"/>
    <n v="4346"/>
    <n v="0"/>
    <n v="0"/>
    <n v="0"/>
    <n v="0"/>
    <n v="27.19"/>
    <m/>
    <m/>
    <n v="118167.74"/>
    <m/>
    <n v="118167.74"/>
    <n v="94568.960000000006"/>
    <n v="0"/>
    <n v="0"/>
    <n v="0"/>
    <n v="0"/>
    <n v="1013.4898659561932"/>
    <n v="973.65541190386273"/>
    <n v="104008.60343677118"/>
    <m/>
    <m/>
    <m/>
    <n v="0"/>
    <n v="0"/>
    <n v="0"/>
    <n v="0"/>
    <m/>
    <n v="0"/>
    <n v="2150.7694759191563"/>
    <n v="10030.954111727935"/>
    <n v="0"/>
    <n v="0"/>
    <m/>
    <m/>
    <n v="0"/>
    <n v="0"/>
    <n v="0"/>
    <m/>
    <m/>
    <n v="0"/>
    <m/>
    <n v="0"/>
    <n v="0"/>
    <n v="0"/>
    <n v="0"/>
    <m/>
    <n v="0"/>
    <n v="0"/>
    <n v="317"/>
    <n v="4078.7"/>
    <n v="140599.99"/>
    <n v="43"/>
    <m/>
    <m/>
    <m/>
    <m/>
    <m/>
    <m/>
    <m/>
    <m/>
    <m/>
    <n v="0"/>
    <m/>
    <m/>
    <m/>
    <m/>
    <m/>
    <m/>
    <m/>
    <m/>
    <m/>
    <m/>
    <m/>
    <m/>
    <n v="94568.960000000006"/>
    <n v="-23598.809999999983"/>
    <m/>
    <m/>
    <m/>
    <m/>
    <n v="-23598.78"/>
    <n v="0"/>
    <n v="31"/>
    <n v="2216.4251839271801"/>
    <n v="214.31958112898837"/>
    <n v="999.56313664480331"/>
    <n v="0"/>
    <n v="0"/>
    <m/>
    <m/>
    <m/>
    <n v="1002.54246615338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4008.60343677118"/>
    <m/>
    <n v="0"/>
    <n v="0"/>
    <n v="-23598.78"/>
    <m/>
    <n v="0"/>
    <m/>
    <n v="-25837.50134650722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31"/>
    <s v="Sistema de Compensação"/>
    <s v="Verde"/>
    <s v="A4"/>
    <s v="Comercial"/>
    <s v="Não se aplica"/>
    <s v="Não se aplica"/>
    <s v="Não se aplica"/>
    <s v="Não se aplica"/>
    <s v="CATIVO"/>
    <x v="10"/>
    <n v="497"/>
    <n v="497"/>
    <n v="0"/>
    <n v="0"/>
    <n v="0"/>
    <n v="0"/>
    <n v="27.19"/>
    <m/>
    <m/>
    <n v="13513.43"/>
    <m/>
    <n v="13513.43"/>
    <n v="10814.720000000001"/>
    <n v="0"/>
    <n v="0"/>
    <n v="0"/>
    <n v="0"/>
    <n v="115.90070487349931"/>
    <n v="111.34531516710074"/>
    <n v="11894.21903085027"/>
    <m/>
    <m/>
    <m/>
    <n v="0"/>
    <n v="0"/>
    <n v="0"/>
    <n v="0"/>
    <m/>
    <n v="0"/>
    <n v="245.9577610519606"/>
    <n v="1147.1201549767106"/>
    <n v="0"/>
    <n v="0"/>
    <m/>
    <m/>
    <n v="0"/>
    <n v="0"/>
    <n v="0"/>
    <m/>
    <m/>
    <n v="0"/>
    <m/>
    <n v="0"/>
    <n v="0"/>
    <n v="0"/>
    <n v="0"/>
    <m/>
    <n v="0"/>
    <n v="0"/>
    <n v="22.51"/>
    <n v="289.74"/>
    <n v="10469.280000000001"/>
    <n v="5"/>
    <m/>
    <m/>
    <m/>
    <m/>
    <m/>
    <m/>
    <m/>
    <m/>
    <m/>
    <n v="0"/>
    <m/>
    <m/>
    <m/>
    <m/>
    <m/>
    <m/>
    <m/>
    <m/>
    <m/>
    <m/>
    <m/>
    <m/>
    <n v="10814.720000000001"/>
    <n v="-2698.74"/>
    <m/>
    <m/>
    <m/>
    <m/>
    <n v="-2698.71"/>
    <n v="0"/>
    <n v="31"/>
    <n v="253.46601850248635"/>
    <n v="24.50916516822528"/>
    <n v="114.30807153991395"/>
    <n v="0"/>
    <n v="0"/>
    <m/>
    <m/>
    <m/>
    <n v="114.648781794347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94.21903085027"/>
    <m/>
    <n v="0"/>
    <n v="0"/>
    <n v="-2698.7099999999991"/>
    <m/>
    <n v="0"/>
    <m/>
    <n v="-2954.725763740010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32"/>
    <s v="Regular"/>
    <s v="Branca"/>
    <s v="B3"/>
    <s v="Comercial"/>
    <s v="Não se aplica"/>
    <s v="Não se aplica"/>
    <s v="Não se aplica"/>
    <s v="Ponta"/>
    <s v="CATIVO"/>
    <x v="10"/>
    <n v="0"/>
    <n v="0"/>
    <n v="0.621"/>
    <n v="0.621"/>
    <n v="0.621"/>
    <n v="0.621"/>
    <m/>
    <n v="1553.42"/>
    <n v="173.25"/>
    <m/>
    <n v="1072.26207"/>
    <n v="1072.26207"/>
    <n v="1017.34704"/>
    <n v="0"/>
    <n v="38.219558766809016"/>
    <n v="0"/>
    <n v="0"/>
    <n v="67.346981797426949"/>
    <n v="4.6572640846712199"/>
    <n v="446.11888803779186"/>
    <n v="105.78143223347938"/>
    <n v="1.8053920224661164"/>
    <n v="0"/>
    <n v="0"/>
    <n v="0"/>
    <n v="0"/>
    <n v="5.9051078022190797"/>
    <m/>
    <n v="0.75007901961924905"/>
    <n v="195.95901209127339"/>
    <n v="190.40238467318909"/>
    <n v="0"/>
    <n v="0"/>
    <n v="0"/>
    <n v="0"/>
    <n v="0"/>
    <n v="0"/>
    <n v="0"/>
    <n v="0"/>
    <n v="0"/>
    <n v="0"/>
    <m/>
    <n v="0"/>
    <n v="0"/>
    <n v="0"/>
    <n v="0"/>
    <n v="0"/>
    <n v="5.551610723347344"/>
    <n v="0"/>
    <n v="0"/>
    <n v="0"/>
    <n v="0"/>
    <n v="0"/>
    <m/>
    <m/>
    <m/>
    <m/>
    <m/>
    <m/>
    <m/>
    <m/>
    <m/>
    <n v="111.33304295682672"/>
    <m/>
    <m/>
    <m/>
    <m/>
    <m/>
    <m/>
    <m/>
    <m/>
    <m/>
    <m/>
    <m/>
    <m/>
    <n v="1015.7088"/>
    <n v="-56.58326999999997"/>
    <m/>
    <m/>
    <m/>
    <m/>
    <n v="-68.322419999999994"/>
    <n v="13.407390000000001"/>
    <n v="31"/>
    <n v="55.907461809970755"/>
    <n v="19.526896703750253"/>
    <n v="18.973190658510703"/>
    <n v="0"/>
    <n v="0"/>
    <n v="0"/>
    <n v="0"/>
    <n v="0"/>
    <n v="4.7954388830890329"/>
    <n v="0"/>
    <n v="0"/>
    <n v="13.40587622813652"/>
    <n v="0"/>
    <n v="0"/>
    <n v="0"/>
    <n v="0.7035658777971916"/>
    <n v="0"/>
    <n v="-1.2978152734465809"/>
    <m/>
    <n v="0"/>
    <n v="0"/>
    <n v="0"/>
    <n v="0"/>
    <n v="-0.17847045988355781"/>
    <n v="-2.1220807982682666E-2"/>
    <n v="0"/>
    <n v="0"/>
    <m/>
    <m/>
    <m/>
    <n v="446.11888803779186"/>
    <n v="0"/>
    <n v="0"/>
    <n v="-68.322420000000079"/>
    <n v="13.407389999999992"/>
    <n v="0"/>
    <n v="0"/>
    <n v="-110.8234991097259"/>
    <n v="0"/>
    <n v="0"/>
    <n v="0"/>
    <n v="0"/>
    <n v="0"/>
    <n v="0"/>
    <n v="0"/>
    <n v="0"/>
    <n v="0"/>
    <n v="0"/>
    <n v="0"/>
    <n v="0"/>
    <n v="9.760593660450123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33"/>
    <s v="Regular"/>
    <s v="Branca"/>
    <s v="B3"/>
    <s v="Comercial"/>
    <s v="Não se aplica"/>
    <s v="Não se aplica"/>
    <s v="Não se aplica"/>
    <s v="Fora ponta"/>
    <s v="CATIVO"/>
    <x v="10"/>
    <n v="0"/>
    <n v="0"/>
    <n v="8.7420000000000009"/>
    <n v="8.7420000000000009"/>
    <n v="8.7420000000000009"/>
    <n v="8.7420000000000009"/>
    <m/>
    <n v="388.22"/>
    <n v="173.25"/>
    <m/>
    <n v="4908.3707400000012"/>
    <n v="4908.3707400000012"/>
    <n v="4895.7822600000009"/>
    <n v="0"/>
    <n v="538.02799152889611"/>
    <n v="0"/>
    <n v="0"/>
    <n v="189.61266179488132"/>
    <n v="13.112348058770685"/>
    <n v="1256.0303518165265"/>
    <n v="1489.1163938568063"/>
    <n v="25.415035523991612"/>
    <n v="0"/>
    <n v="0"/>
    <n v="0"/>
    <n v="0"/>
    <n v="83.127942684378738"/>
    <m/>
    <n v="10.559083396958899"/>
    <n v="551.71455191687994"/>
    <n v="536.07009559195467"/>
    <n v="0"/>
    <n v="0"/>
    <n v="0"/>
    <n v="0"/>
    <n v="0"/>
    <n v="0"/>
    <n v="0"/>
    <n v="0"/>
    <n v="0"/>
    <n v="0"/>
    <m/>
    <n v="0"/>
    <n v="0"/>
    <n v="0"/>
    <n v="0"/>
    <n v="0"/>
    <n v="78.151660134464549"/>
    <n v="0"/>
    <n v="0"/>
    <n v="0"/>
    <n v="0"/>
    <n v="0"/>
    <m/>
    <m/>
    <m/>
    <m/>
    <m/>
    <m/>
    <m/>
    <m/>
    <m/>
    <n v="1567.2680539912708"/>
    <m/>
    <m/>
    <m/>
    <m/>
    <m/>
    <m/>
    <m/>
    <m/>
    <m/>
    <m/>
    <m/>
    <m/>
    <n v="4894.6622000000007"/>
    <n v="-13.738540000001194"/>
    <m/>
    <m/>
    <m/>
    <m/>
    <n v="-201.32826000000028"/>
    <n v="188.73978000000005"/>
    <n v="31"/>
    <n v="299.4387224447396"/>
    <n v="54.977175840316136"/>
    <n v="53.41823920666593"/>
    <n v="0"/>
    <n v="0"/>
    <n v="0"/>
    <n v="0"/>
    <n v="0"/>
    <n v="13.501373893867296"/>
    <n v="0"/>
    <n v="0"/>
    <n v="188.71847018739049"/>
    <n v="0"/>
    <n v="0"/>
    <n v="0"/>
    <n v="9.9043041927585307"/>
    <n v="0"/>
    <n v="-18.269728052286723"/>
    <m/>
    <n v="0"/>
    <n v="0"/>
    <n v="0"/>
    <n v="0"/>
    <n v="-2.5123812565250603"/>
    <n v="-0.29873156744704055"/>
    <n v="0"/>
    <n v="0"/>
    <m/>
    <m/>
    <m/>
    <n v="1256.0303518165265"/>
    <n v="0"/>
    <n v="0"/>
    <n v="-201.32826000000023"/>
    <n v="188.73977999999988"/>
    <n v="0"/>
    <n v="0"/>
    <n v="-312.01924488912209"/>
    <n v="0"/>
    <n v="0"/>
    <n v="0"/>
    <n v="0"/>
    <n v="0"/>
    <n v="0"/>
    <n v="0"/>
    <n v="0"/>
    <n v="0"/>
    <n v="0"/>
    <n v="0"/>
    <n v="0"/>
    <n v="137.402753268365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34"/>
    <s v="Regular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66"/>
    <n v="60.15"/>
    <n v="2228.12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35"/>
    <s v="Regular"/>
    <s v="Branca"/>
    <s v="B3"/>
    <s v="Comercial"/>
    <s v="Não se aplica"/>
    <s v="Não se aplica"/>
    <s v="Não se aplica"/>
    <s v="Intermediário"/>
    <s v="CATIVO"/>
    <x v="10"/>
    <n v="0"/>
    <n v="0"/>
    <n v="0.47599999999999998"/>
    <n v="0.47599999999999998"/>
    <n v="0.47599999999999998"/>
    <n v="0.47599999999999998"/>
    <m/>
    <n v="970.82"/>
    <n v="173.25"/>
    <m/>
    <n v="544.57731999999999"/>
    <n v="544.57731999999999"/>
    <n v="523.18588"/>
    <n v="0"/>
    <n v="29.295507202900307"/>
    <n v="0"/>
    <n v="0"/>
    <n v="30.973104672053406"/>
    <n v="2.1418935058252679"/>
    <n v="205.17163648425344"/>
    <n v="81.082063998608987"/>
    <n v="1.3838431605376351"/>
    <n v="0"/>
    <n v="0"/>
    <n v="0"/>
    <n v="0"/>
    <n v="4.526298412006895"/>
    <m/>
    <n v="0.57493979603665468"/>
    <n v="90.122212324102449"/>
    <n v="87.566700583998269"/>
    <n v="0"/>
    <n v="0"/>
    <n v="0"/>
    <n v="0"/>
    <n v="0"/>
    <n v="0"/>
    <n v="0"/>
    <n v="0"/>
    <n v="0"/>
    <n v="0"/>
    <m/>
    <n v="0"/>
    <n v="0"/>
    <n v="0"/>
    <n v="0"/>
    <n v="0"/>
    <n v="4.2553409087171268"/>
    <n v="0"/>
    <n v="0"/>
    <n v="0"/>
    <n v="0"/>
    <n v="0"/>
    <m/>
    <m/>
    <m/>
    <m/>
    <m/>
    <m/>
    <m/>
    <m/>
    <m/>
    <n v="85.337404907326118"/>
    <m/>
    <m/>
    <m/>
    <m/>
    <m/>
    <m/>
    <m/>
    <m/>
    <m/>
    <m/>
    <m/>
    <m/>
    <n v="527.58240000000001"/>
    <n v="-17.024919999999952"/>
    <m/>
    <m/>
    <m/>
    <m/>
    <n v="-31.668280000000038"/>
    <n v="10.276840000000002"/>
    <n v="31"/>
    <n v="29.578880685813715"/>
    <n v="8.9804858270388479"/>
    <n v="8.7258345443966903"/>
    <n v="0"/>
    <n v="0"/>
    <n v="0"/>
    <n v="0"/>
    <n v="0"/>
    <n v="2.2054406223338572"/>
    <n v="0"/>
    <n v="0"/>
    <n v="10.275679685334921"/>
    <n v="0"/>
    <n v="0"/>
    <n v="0"/>
    <n v="0.53928721067868413"/>
    <n v="0"/>
    <n v="-0.99478272167564086"/>
    <m/>
    <n v="0"/>
    <n v="0"/>
    <n v="0"/>
    <n v="0"/>
    <n v="-0.13679861337290422"/>
    <n v="-1.6265868920703697E-2"/>
    <n v="0"/>
    <n v="0"/>
    <m/>
    <m/>
    <m/>
    <n v="205.17163648425344"/>
    <n v="0"/>
    <n v="0"/>
    <n v="-31.668280000000038"/>
    <n v="10.276839999999993"/>
    <n v="0"/>
    <n v="0"/>
    <n v="-50.968114740139441"/>
    <n v="0"/>
    <n v="0"/>
    <n v="0"/>
    <n v="0"/>
    <n v="0"/>
    <n v="0"/>
    <n v="0"/>
    <n v="0"/>
    <n v="0"/>
    <n v="0"/>
    <n v="0"/>
    <n v="0"/>
    <n v="7.48155005213246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36"/>
    <s v="Regular"/>
    <s v="Convencional"/>
    <s v="B2"/>
    <s v="Rural"/>
    <s v="Não se aplica"/>
    <s v="Não se aplica"/>
    <s v="Não se aplica"/>
    <s v="Não se aplica"/>
    <s v="CATIVO"/>
    <x v="10"/>
    <n v="0"/>
    <n v="0"/>
    <n v="5390.5320000000002"/>
    <n v="5390.5320000000002"/>
    <n v="5390.5320000000002"/>
    <n v="5390.5320000000002"/>
    <m/>
    <n v="368.24"/>
    <n v="173.25"/>
    <m/>
    <n v="2918919.1726799998"/>
    <n v="2918919.1726799998"/>
    <n v="2743187.8294800003"/>
    <n v="0"/>
    <n v="331761.27948206855"/>
    <n v="0"/>
    <n v="0"/>
    <n v="13797.268070585736"/>
    <n v="13256.080743453202"/>
    <n v="1269670.3059684224"/>
    <n v="918225.75758518849"/>
    <n v="15671.535377855587"/>
    <n v="0"/>
    <n v="0"/>
    <n v="0"/>
    <n v="0"/>
    <n v="51258.731998891497"/>
    <m/>
    <n v="6510.9902701871015"/>
    <n v="29288.892568780455"/>
    <n v="136569.78514682801"/>
    <n v="0"/>
    <n v="0"/>
    <n v="0"/>
    <n v="0"/>
    <n v="0"/>
    <n v="0"/>
    <n v="0"/>
    <n v="0"/>
    <n v="0"/>
    <n v="0"/>
    <m/>
    <n v="0"/>
    <n v="0"/>
    <n v="0"/>
    <n v="0"/>
    <n v="0"/>
    <n v="48190.233906194859"/>
    <n v="0"/>
    <n v="1726.74"/>
    <n v="23206.74"/>
    <n v="144303.32"/>
    <n v="15576"/>
    <m/>
    <m/>
    <m/>
    <m/>
    <m/>
    <n v="329145.88392000005"/>
    <m/>
    <m/>
    <m/>
    <n v="966415.99149138341"/>
    <m/>
    <m/>
    <m/>
    <m/>
    <m/>
    <m/>
    <m/>
    <m/>
    <m/>
    <m/>
    <m/>
    <m/>
    <n v="2414041.0499"/>
    <n v="-154601.38341999985"/>
    <m/>
    <m/>
    <m/>
    <m/>
    <n v="-292112.92907999997"/>
    <n v="116381.58588000003"/>
    <n v="31"/>
    <n v="139653.55224388535"/>
    <n v="2918.5755411515456"/>
    <n v="13608.887179801473"/>
    <n v="0"/>
    <n v="0"/>
    <n v="0"/>
    <n v="0"/>
    <n v="0"/>
    <n v="13649.370935127279"/>
    <n v="0"/>
    <n v="0"/>
    <n v="116368.44572594075"/>
    <n v="0"/>
    <n v="0"/>
    <n v="0"/>
    <n v="6107.2373242735121"/>
    <n v="0"/>
    <n v="-11265.563223192526"/>
    <m/>
    <n v="0"/>
    <n v="0"/>
    <n v="0"/>
    <n v="0"/>
    <n v="-1549.1960145845951"/>
    <n v="-184.20522463205543"/>
    <n v="0"/>
    <n v="0"/>
    <m/>
    <m/>
    <m/>
    <n v="1269670.3059684224"/>
    <n v="0"/>
    <n v="0"/>
    <n v="-292112.92907999991"/>
    <n v="116381.58588000014"/>
    <n v="0"/>
    <n v="0"/>
    <n v="-315407.64086908114"/>
    <n v="0"/>
    <n v="0"/>
    <n v="0"/>
    <n v="0"/>
    <n v="0"/>
    <n v="0"/>
    <n v="0"/>
    <n v="0"/>
    <n v="0"/>
    <n v="0"/>
    <n v="0"/>
    <n v="0"/>
    <n v="84725.91379332290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37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3.3980000000000001"/>
    <n v="3.3980000000000001"/>
    <n v="3.3980000000000001"/>
    <n v="3.3980000000000001"/>
    <m/>
    <n v="368.24"/>
    <n v="173.25"/>
    <m/>
    <n v="1839.9830200000001"/>
    <n v="1839.9830200000001"/>
    <n v="1729.20822"/>
    <n v="0"/>
    <n v="209.13053251146061"/>
    <n v="0"/>
    <n v="0"/>
    <n v="8.6973079658650274"/>
    <n v="8.3561626878857194"/>
    <n v="800.35508548705388"/>
    <n v="578.81691904889362"/>
    <n v="9.8787795367791684"/>
    <n v="0"/>
    <n v="0"/>
    <n v="0"/>
    <n v="0"/>
    <n v="32.311684882351742"/>
    <m/>
    <n v="4.1042971154045222"/>
    <n v="18.462678071239718"/>
    <n v="86.088744103350379"/>
    <n v="0"/>
    <n v="0"/>
    <n v="0"/>
    <n v="0"/>
    <n v="0"/>
    <n v="0"/>
    <n v="0"/>
    <n v="0"/>
    <n v="0"/>
    <n v="0"/>
    <m/>
    <n v="0"/>
    <n v="0"/>
    <n v="0"/>
    <n v="0"/>
    <n v="0"/>
    <n v="30.377412621472264"/>
    <n v="0"/>
    <n v="1.43"/>
    <n v="12.07"/>
    <n v="-9.42"/>
    <n v="0"/>
    <m/>
    <m/>
    <m/>
    <m/>
    <m/>
    <n v="207.48188000000002"/>
    <m/>
    <m/>
    <m/>
    <n v="609.19433167036584"/>
    <m/>
    <m/>
    <m/>
    <m/>
    <m/>
    <m/>
    <m/>
    <m/>
    <m/>
    <m/>
    <m/>
    <m/>
    <n v="1522.6220000000001"/>
    <n v="-96.588979999999992"/>
    <m/>
    <m/>
    <m/>
    <m/>
    <n v="-184.13762"/>
    <n v="73.362820000000013"/>
    <n v="31"/>
    <n v="88.032641402504396"/>
    <n v="1.8397664068839532"/>
    <n v="8.5785593401477769"/>
    <n v="0"/>
    <n v="0"/>
    <n v="0"/>
    <n v="0"/>
    <n v="0"/>
    <n v="8.6040788622648936"/>
    <n v="0"/>
    <n v="0"/>
    <n v="73.354536913378297"/>
    <n v="0"/>
    <n v="0"/>
    <n v="0"/>
    <n v="3.8497855921978363"/>
    <n v="0"/>
    <n v="-7.101411109776933"/>
    <m/>
    <n v="0"/>
    <n v="0"/>
    <n v="0"/>
    <n v="0"/>
    <n v="-0.97655816857379918"/>
    <n v="-0.11611643401796412"/>
    <n v="0"/>
    <n v="0"/>
    <m/>
    <m/>
    <m/>
    <n v="800.35508548705388"/>
    <n v="0"/>
    <n v="0"/>
    <n v="-184.13761999999997"/>
    <n v="73.362819999999942"/>
    <n v="0"/>
    <n v="0"/>
    <n v="-198.82177931104718"/>
    <n v="0"/>
    <n v="0"/>
    <n v="0"/>
    <n v="0"/>
    <n v="0"/>
    <n v="0"/>
    <n v="0"/>
    <n v="0"/>
    <n v="0"/>
    <n v="0"/>
    <n v="0"/>
    <n v="0"/>
    <n v="53.40820814526492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38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306.68799999999999"/>
    <n v="306.68799999999999"/>
    <n v="306.68799999999999"/>
    <n v="306.68799999999999"/>
    <m/>
    <n v="368.24"/>
    <n v="173.25"/>
    <m/>
    <n v="166068.48512"/>
    <n v="166068.48512"/>
    <n v="156070.45632"/>
    <n v="0"/>
    <n v="18875.169145048509"/>
    <n v="0"/>
    <n v="0"/>
    <n v="784.9793953605689"/>
    <n v="754.18917669873315"/>
    <n v="72236.403901663783"/>
    <n v="52241.378242868472"/>
    <n v="891.61363701463495"/>
    <n v="0"/>
    <n v="0"/>
    <n v="0"/>
    <n v="0"/>
    <n v="2916.305477692375"/>
    <m/>
    <n v="370.43516001447381"/>
    <n v="1666.3572137470178"/>
    <n v="7769.9778550819074"/>
    <n v="0"/>
    <n v="0"/>
    <n v="0"/>
    <n v="0"/>
    <n v="0"/>
    <n v="0"/>
    <n v="0"/>
    <n v="0"/>
    <n v="0"/>
    <n v="0"/>
    <m/>
    <n v="0"/>
    <n v="0"/>
    <n v="0"/>
    <n v="0"/>
    <n v="0"/>
    <n v="2741.7268752366349"/>
    <n v="0"/>
    <n v="103.09"/>
    <n v="1351"/>
    <n v="6581.58"/>
    <n v="465"/>
    <m/>
    <m/>
    <m/>
    <m/>
    <m/>
    <n v="18726.369279999999"/>
    <m/>
    <m/>
    <m/>
    <n v="54983.105118105108"/>
    <m/>
    <m/>
    <m/>
    <m/>
    <m/>
    <m/>
    <m/>
    <m/>
    <m/>
    <m/>
    <m/>
    <m/>
    <n v="137344.98269999999"/>
    <n v="-8794.946179999999"/>
    <m/>
    <m/>
    <m/>
    <m/>
    <n v="-16619.422719999999"/>
    <n v="6621.3939200000004"/>
    <n v="31"/>
    <n v="7945.425169644237"/>
    <n v="166.04893460695257"/>
    <n v="774.26168537705689"/>
    <n v="0"/>
    <n v="0"/>
    <n v="0"/>
    <n v="0"/>
    <n v="0"/>
    <n v="776.56496118607868"/>
    <n v="0"/>
    <n v="0"/>
    <n v="6620.6463263361293"/>
    <n v="0"/>
    <n v="0"/>
    <n v="0"/>
    <n v="347.4641093878663"/>
    <n v="0"/>
    <n v="-640.94101543121724"/>
    <m/>
    <n v="0"/>
    <n v="0"/>
    <n v="0"/>
    <n v="0"/>
    <n v="-88.139691466616114"/>
    <n v="-10.48014035200157"/>
    <n v="0"/>
    <n v="0"/>
    <m/>
    <m/>
    <m/>
    <n v="72236.403901663783"/>
    <n v="0"/>
    <n v="0"/>
    <n v="-16619.422720000002"/>
    <n v="6621.3939200000023"/>
    <n v="0"/>
    <n v="0"/>
    <n v="-17944.748043951266"/>
    <n v="0"/>
    <n v="0"/>
    <n v="0"/>
    <n v="0"/>
    <n v="0"/>
    <n v="0"/>
    <n v="0"/>
    <n v="0"/>
    <n v="0"/>
    <n v="0"/>
    <n v="0"/>
    <n v="0"/>
    <n v="4820.381559639496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39"/>
    <s v="Regular"/>
    <s v="Verde"/>
    <s v="A4"/>
    <s v="Rural"/>
    <s v="Não se aplica"/>
    <s v="Não se aplica"/>
    <s v="Não se aplica"/>
    <s v="Ponta"/>
    <s v="CATIVO"/>
    <x v="10"/>
    <n v="0"/>
    <n v="0"/>
    <n v="5.6360000000000001"/>
    <n v="5.4105600000000003"/>
    <n v="5.6360000000000001"/>
    <n v="5.4105600000000003"/>
    <m/>
    <n v="1358.36"/>
    <n v="173.25"/>
    <m/>
    <n v="8632.1539599999996"/>
    <n v="8632.1539599999996"/>
    <n v="7568.6971199999998"/>
    <n v="0"/>
    <n v="301.77572768513659"/>
    <n v="0"/>
    <n v="0"/>
    <n v="106.75760985908822"/>
    <n v="102.57044036736664"/>
    <n v="5683.9494918868286"/>
    <n v="960.03889221882412"/>
    <n v="16.385168178130488"/>
    <n v="0"/>
    <n v="0"/>
    <n v="0"/>
    <n v="0"/>
    <n v="53.592894643006012"/>
    <m/>
    <n v="4.5133867308608435"/>
    <n v="226.62819388194606"/>
    <n v="1056.7280262421893"/>
    <n v="0"/>
    <n v="0"/>
    <n v="0"/>
    <n v="0"/>
    <n v="0"/>
    <n v="0"/>
    <n v="0"/>
    <n v="0"/>
    <n v="0"/>
    <n v="0"/>
    <m/>
    <n v="0"/>
    <n v="0"/>
    <n v="0"/>
    <n v="0"/>
    <n v="0"/>
    <n v="42.149708501816853"/>
    <n v="0"/>
    <n v="0"/>
    <n v="0"/>
    <n v="0"/>
    <n v="0"/>
    <m/>
    <m/>
    <m/>
    <m/>
    <m/>
    <n v="302.74788479999978"/>
    <m/>
    <m/>
    <m/>
    <n v="1002.1886007206409"/>
    <m/>
    <m/>
    <m/>
    <m/>
    <m/>
    <m/>
    <m/>
    <m/>
    <m/>
    <m/>
    <m/>
    <m/>
    <n v="7265.1971999999996"/>
    <n v="-1021.7006016000005"/>
    <m/>
    <m/>
    <m/>
    <m/>
    <n v="-1185.1380799999999"/>
    <n v="121.68124000000002"/>
    <n v="31"/>
    <n v="348.51170379739324"/>
    <n v="22.583015115573886"/>
    <n v="105.30068911950957"/>
    <n v="0"/>
    <n v="0"/>
    <n v="0"/>
    <n v="0"/>
    <n v="0"/>
    <n v="105.61356819171237"/>
    <n v="0"/>
    <n v="0"/>
    <n v="121.66750148434369"/>
    <n v="0"/>
    <n v="0"/>
    <n v="0"/>
    <n v="5.3417103861876924"/>
    <n v="0"/>
    <n v="-10.247348770685903"/>
    <m/>
    <n v="0"/>
    <n v="0"/>
    <n v="0"/>
    <n v="0"/>
    <n v="-1.6197415650623697"/>
    <n v="-0.1276901641853776"/>
    <n v="0"/>
    <n v="0"/>
    <m/>
    <m/>
    <m/>
    <n v="5683.9494918868286"/>
    <n v="0"/>
    <n v="0"/>
    <n v="-1185.1380799999997"/>
    <n v="121.68124"/>
    <n v="0"/>
    <n v="0"/>
    <n v="-1411.9894681538053"/>
    <n v="0"/>
    <n v="0"/>
    <n v="0"/>
    <n v="0"/>
    <n v="0"/>
    <n v="0"/>
    <n v="0"/>
    <n v="0"/>
    <n v="0"/>
    <n v="0"/>
    <n v="0"/>
    <n v="0"/>
    <n v="77.06813865887022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0"/>
    <s v="Sistema de Compensação"/>
    <s v="Verde"/>
    <s v="A4"/>
    <s v="Rural"/>
    <s v="Não se aplica"/>
    <s v="Não se aplica"/>
    <s v="Não se aplica"/>
    <s v="Ponta"/>
    <s v="CATIVO"/>
    <x v="10"/>
    <n v="0"/>
    <n v="0"/>
    <n v="0.107"/>
    <n v="0.10271999999999999"/>
    <n v="0.107"/>
    <n v="0.10271999999999999"/>
    <m/>
    <n v="1358.36"/>
    <n v="173.25"/>
    <m/>
    <n v="163.88226999999998"/>
    <n v="163.88226999999998"/>
    <n v="143.69243999999998"/>
    <n v="0"/>
    <n v="5.7292411040293851"/>
    <n v="0"/>
    <n v="0"/>
    <n v="2.0268034519024911"/>
    <n v="1.9473096379184227"/>
    <n v="107.91032569763851"/>
    <n v="18.226430352628491"/>
    <n v="0.31107398776791378"/>
    <n v="0"/>
    <n v="0"/>
    <n v="0"/>
    <n v="0"/>
    <n v="1.0174662396738188"/>
    <m/>
    <n v="8.5687079524859863E-2"/>
    <n v="4.3025579746927303"/>
    <n v="20.0620828261026"/>
    <n v="0"/>
    <n v="0"/>
    <n v="0"/>
    <n v="0"/>
    <n v="0"/>
    <n v="0"/>
    <n v="0"/>
    <n v="0"/>
    <n v="0"/>
    <n v="0"/>
    <m/>
    <n v="0"/>
    <n v="0"/>
    <n v="0"/>
    <n v="0"/>
    <n v="0"/>
    <n v="0.80021625438154775"/>
    <n v="0"/>
    <n v="0"/>
    <n v="0"/>
    <n v="0"/>
    <n v="0"/>
    <m/>
    <m/>
    <m/>
    <m/>
    <m/>
    <n v="5.7476976000000075"/>
    <m/>
    <m/>
    <m/>
    <n v="19.02664660701004"/>
    <m/>
    <m/>
    <m/>
    <m/>
    <m/>
    <m/>
    <m/>
    <m/>
    <m/>
    <m/>
    <m/>
    <m/>
    <n v="134.292"/>
    <n v="-23.064979199999954"/>
    <m/>
    <m/>
    <m/>
    <m/>
    <n v="-22.499959999999998"/>
    <n v="2.3101300000000005"/>
    <n v="31"/>
    <n v="6.6165280884175175"/>
    <n v="0.4287407057073116"/>
    <n v="1.9991436720701792"/>
    <n v="0"/>
    <n v="0"/>
    <n v="0"/>
    <n v="0"/>
    <n v="0"/>
    <n v="2.0050837112337159"/>
    <n v="0"/>
    <n v="0"/>
    <n v="2.3098691729639427"/>
    <n v="0"/>
    <n v="0"/>
    <n v="0"/>
    <n v="0.10141288348511057"/>
    <n v="0"/>
    <n v="-0.19454689823693894"/>
    <m/>
    <n v="0"/>
    <n v="0"/>
    <n v="0"/>
    <n v="0"/>
    <n v="-3.0750948804413314E-2"/>
    <n v="-2.4242100013902451E-3"/>
    <n v="0"/>
    <n v="0"/>
    <m/>
    <m/>
    <m/>
    <n v="107.91032569763851"/>
    <n v="0"/>
    <n v="0"/>
    <n v="-22.499960000000002"/>
    <n v="2.3101300000000009"/>
    <n v="0"/>
    <n v="0"/>
    <n v="-26.806755339328802"/>
    <n v="0"/>
    <n v="0"/>
    <n v="0"/>
    <n v="0"/>
    <n v="0"/>
    <n v="0"/>
    <n v="0"/>
    <n v="0"/>
    <n v="0"/>
    <n v="0"/>
    <n v="0"/>
    <n v="0"/>
    <n v="1.46314599653994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1"/>
    <s v="Regular"/>
    <s v="Verde"/>
    <s v="A4"/>
    <s v="Rural"/>
    <s v="Não se aplica"/>
    <s v="Não se aplica"/>
    <s v="Não se aplica"/>
    <s v="Fora ponta"/>
    <s v="CATIVO"/>
    <x v="10"/>
    <n v="0"/>
    <n v="0"/>
    <n v="68.063000000000002"/>
    <n v="65.340479999999999"/>
    <n v="68.063000000000002"/>
    <n v="65.340479999999999"/>
    <m/>
    <n v="85.01"/>
    <n v="173.25"/>
    <m/>
    <n v="17577.950380000002"/>
    <n v="17577.950380000002"/>
    <n v="18967.11621"/>
    <n v="0"/>
    <n v="3644.3863295659075"/>
    <n v="0"/>
    <n v="0"/>
    <n v="0"/>
    <n v="0"/>
    <n v="0"/>
    <n v="11593.88344944816"/>
    <n v="197.87503578922912"/>
    <n v="0"/>
    <n v="0"/>
    <n v="0"/>
    <n v="0"/>
    <n v="647.21312776559944"/>
    <m/>
    <n v="54.505791529911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9.01980300907746"/>
    <n v="0"/>
    <n v="0"/>
    <n v="0"/>
    <n v="0"/>
    <n v="0"/>
    <m/>
    <m/>
    <m/>
    <m/>
    <m/>
    <n v="758.68464840000081"/>
    <m/>
    <m/>
    <m/>
    <n v="12102.903252457238"/>
    <m/>
    <m/>
    <m/>
    <m/>
    <m/>
    <m/>
    <m/>
    <m/>
    <m/>
    <m/>
    <m/>
    <m/>
    <n v="18208.2978"/>
    <n v="1333.4354352000009"/>
    <m/>
    <m/>
    <m/>
    <m/>
    <n v="-80.31434000000047"/>
    <n v="1469.4801700000003"/>
    <n v="31"/>
    <n v="1388.9686377531907"/>
    <n v="0"/>
    <n v="0"/>
    <n v="0"/>
    <n v="0"/>
    <n v="0"/>
    <n v="0"/>
    <n v="0"/>
    <n v="0"/>
    <n v="0"/>
    <n v="0"/>
    <n v="1469.3142571910721"/>
    <n v="0"/>
    <n v="0"/>
    <n v="0"/>
    <n v="64.50901952006609"/>
    <n v="0"/>
    <n v="-123.75182742711058"/>
    <m/>
    <n v="0"/>
    <n v="0"/>
    <n v="0"/>
    <n v="0"/>
    <n v="-19.560764752100908"/>
    <n v="-1.5420467787348002"/>
    <n v="0"/>
    <n v="0"/>
    <m/>
    <m/>
    <m/>
    <n v="0"/>
    <n v="0"/>
    <n v="0"/>
    <n v="-80.314339999999902"/>
    <n v="1469.4801700000007"/>
    <n v="0"/>
    <n v="0"/>
    <n v="0"/>
    <n v="0"/>
    <n v="0"/>
    <n v="0"/>
    <n v="0"/>
    <n v="0"/>
    <n v="0"/>
    <n v="0"/>
    <n v="0"/>
    <n v="0"/>
    <n v="0"/>
    <n v="0"/>
    <n v="0"/>
    <n v="930.7112706775521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2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31.882999999999999"/>
    <n v="30.607679999999998"/>
    <n v="31.882999999999999"/>
    <n v="30.607679999999998"/>
    <m/>
    <n v="85.01"/>
    <n v="173.25"/>
    <m/>
    <n v="8234.1035799999991"/>
    <n v="8234.1035799999991"/>
    <n v="8884.8356100000001"/>
    <n v="0"/>
    <n v="1707.1532160726065"/>
    <n v="0"/>
    <n v="0"/>
    <n v="0"/>
    <n v="0"/>
    <n v="0"/>
    <n v="5430.9652236715347"/>
    <n v="92.69132665424668"/>
    <n v="0"/>
    <n v="0"/>
    <n v="0"/>
    <n v="0"/>
    <n v="303.17641233196605"/>
    <m/>
    <n v="25.532347256926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44200783595221"/>
    <n v="0"/>
    <n v="0"/>
    <n v="0"/>
    <n v="0"/>
    <n v="0"/>
    <m/>
    <m/>
    <m/>
    <m/>
    <m/>
    <n v="355.39342440000019"/>
    <m/>
    <m/>
    <m/>
    <n v="5669.4072315074873"/>
    <m/>
    <m/>
    <m/>
    <m/>
    <m/>
    <m/>
    <m/>
    <m/>
    <m/>
    <m/>
    <m/>
    <m/>
    <n v="8530.0887000000002"/>
    <n v="625.31926319999911"/>
    <m/>
    <m/>
    <m/>
    <m/>
    <n v="-37.621940000000215"/>
    <n v="688.35397000000012"/>
    <n v="31"/>
    <n v="650.63965851468674"/>
    <n v="0"/>
    <n v="0"/>
    <n v="0"/>
    <n v="0"/>
    <n v="0"/>
    <n v="0"/>
    <n v="0"/>
    <n v="0"/>
    <n v="0"/>
    <n v="0"/>
    <n v="688.27625085616182"/>
    <n v="0"/>
    <n v="0"/>
    <n v="0"/>
    <n v="30.218195926689532"/>
    <n v="0"/>
    <n v="-57.969521088676174"/>
    <m/>
    <n v="0"/>
    <n v="0"/>
    <n v="0"/>
    <n v="0"/>
    <n v="-9.1629205675804997"/>
    <n v="-0.72234661190957894"/>
    <n v="0"/>
    <n v="0"/>
    <m/>
    <m/>
    <m/>
    <n v="0"/>
    <n v="0"/>
    <n v="0"/>
    <n v="-37.621939999999995"/>
    <n v="688.35397000000012"/>
    <n v="0"/>
    <n v="0"/>
    <n v="0"/>
    <n v="0"/>
    <n v="0"/>
    <n v="0"/>
    <n v="0"/>
    <n v="0"/>
    <n v="0"/>
    <n v="0"/>
    <n v="0"/>
    <n v="0"/>
    <n v="0"/>
    <n v="0"/>
    <n v="0"/>
    <n v="435.97648418395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3"/>
    <s v="Regular"/>
    <s v="Verde"/>
    <s v="A4"/>
    <s v="Rural"/>
    <s v="Não se aplica"/>
    <s v="Não se aplica"/>
    <s v="Não se aplica"/>
    <s v="Não se aplica"/>
    <s v="CATIVO"/>
    <x v="10"/>
    <n v="649"/>
    <n v="623.04"/>
    <n v="0"/>
    <n v="0"/>
    <n v="0"/>
    <n v="0"/>
    <n v="27.19"/>
    <m/>
    <m/>
    <n v="17646.310000000001"/>
    <m/>
    <n v="17646.310000000001"/>
    <n v="14122.240000000002"/>
    <n v="0"/>
    <n v="0"/>
    <n v="0"/>
    <n v="0"/>
    <n v="151.34719811448903"/>
    <n v="145.39861075140519"/>
    <n v="15531.887627810514"/>
    <m/>
    <m/>
    <m/>
    <n v="0"/>
    <n v="0"/>
    <n v="0"/>
    <n v="0"/>
    <m/>
    <n v="0"/>
    <n v="321.18025537771115"/>
    <n v="1497.9496591144571"/>
    <n v="0"/>
    <n v="0"/>
    <m/>
    <m/>
    <n v="0"/>
    <n v="0"/>
    <n v="0"/>
    <m/>
    <m/>
    <n v="0"/>
    <m/>
    <n v="0"/>
    <n v="0"/>
    <n v="0"/>
    <n v="0"/>
    <m/>
    <n v="0"/>
    <n v="0"/>
    <n v="27.57"/>
    <n v="354.72"/>
    <n v="19.72"/>
    <n v="4"/>
    <m/>
    <m/>
    <m/>
    <m/>
    <m/>
    <n v="564.88960000000088"/>
    <m/>
    <m/>
    <m/>
    <n v="0"/>
    <m/>
    <m/>
    <m/>
    <m/>
    <m/>
    <m/>
    <m/>
    <m/>
    <m/>
    <m/>
    <m/>
    <m/>
    <n v="13557.350399999999"/>
    <n v="-3383.1371999999974"/>
    <m/>
    <m/>
    <m/>
    <m/>
    <n v="-3524.0699999999997"/>
    <n v="0"/>
    <n v="31"/>
    <n v="330.98480082115429"/>
    <n v="32.004925944020556"/>
    <n v="149.26748174930435"/>
    <n v="0"/>
    <n v="0"/>
    <m/>
    <m/>
    <m/>
    <n v="149.71239312782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31.887627810514"/>
    <m/>
    <n v="0"/>
    <n v="0"/>
    <n v="-3524.0699999999997"/>
    <m/>
    <n v="0"/>
    <m/>
    <n v="-3858.384347419048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44"/>
    <s v="Sistema de Compensação"/>
    <s v="Verde"/>
    <s v="A4"/>
    <s v="Rural"/>
    <s v="Não se aplica"/>
    <s v="Não se aplica"/>
    <s v="Não se aplica"/>
    <s v="Não se aplica"/>
    <s v="CATIVO"/>
    <x v="10"/>
    <n v="150"/>
    <n v="144"/>
    <n v="0"/>
    <n v="0"/>
    <n v="0"/>
    <n v="0"/>
    <n v="27.19"/>
    <m/>
    <m/>
    <n v="4078.5"/>
    <m/>
    <n v="4078.5"/>
    <n v="3264.0000000000005"/>
    <n v="0"/>
    <n v="0"/>
    <n v="0"/>
    <n v="0"/>
    <n v="34.980092014134605"/>
    <n v="33.6052259055636"/>
    <n v="3589.8045364739251"/>
    <m/>
    <m/>
    <m/>
    <n v="0"/>
    <n v="0"/>
    <n v="0"/>
    <n v="0"/>
    <m/>
    <n v="0"/>
    <n v="74.232724663569599"/>
    <n v="346.2133264517235"/>
    <n v="0"/>
    <n v="0"/>
    <m/>
    <m/>
    <n v="0"/>
    <n v="0"/>
    <n v="0"/>
    <m/>
    <m/>
    <n v="0"/>
    <m/>
    <n v="0"/>
    <n v="0"/>
    <n v="0"/>
    <n v="0"/>
    <m/>
    <n v="0"/>
    <n v="0"/>
    <n v="8.41"/>
    <n v="108.24"/>
    <n v="3.83"/>
    <n v="1"/>
    <m/>
    <m/>
    <m/>
    <m/>
    <m/>
    <n v="130.56"/>
    <m/>
    <m/>
    <m/>
    <n v="0"/>
    <m/>
    <m/>
    <m/>
    <m/>
    <m/>
    <m/>
    <m/>
    <m/>
    <m/>
    <m/>
    <m/>
    <m/>
    <n v="3133.44"/>
    <n v="-781.95000000000073"/>
    <m/>
    <m/>
    <m/>
    <m/>
    <n v="-814.5"/>
    <n v="0"/>
    <n v="31"/>
    <n v="76.498798340790756"/>
    <n v="7.3971323445347963"/>
    <n v="34.499417969793001"/>
    <n v="0"/>
    <n v="0"/>
    <m/>
    <m/>
    <m/>
    <n v="34.6022480264629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89.8045364739251"/>
    <m/>
    <n v="0"/>
    <n v="0"/>
    <n v="-814.49999999999955"/>
    <m/>
    <n v="0"/>
    <m/>
    <n v="-891.7683391569453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45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463.75"/>
    <n v="463.75"/>
    <n v="463.75"/>
    <n v="463.75"/>
    <m/>
    <n v="368.24"/>
    <n v="173.25"/>
    <m/>
    <n v="251115.98750000002"/>
    <n v="251115.98750000002"/>
    <n v="235997.73749999999"/>
    <n v="0"/>
    <n v="28541.578708708024"/>
    <n v="0"/>
    <n v="0"/>
    <n v="1186.9854529634802"/>
    <n v="1140.4268530038264"/>
    <n v="109230.33281183674"/>
    <n v="78995.393233938899"/>
    <n v="1348.2295497885048"/>
    <n v="0"/>
    <n v="0"/>
    <n v="0"/>
    <n v="0"/>
    <n v="4409.812791109659"/>
    <m/>
    <n v="560.1435512857114"/>
    <n v="2519.7371852670449"/>
    <n v="11749.162765723584"/>
    <n v="0"/>
    <n v="0"/>
    <n v="0"/>
    <n v="0"/>
    <n v="0"/>
    <n v="0"/>
    <n v="0"/>
    <n v="0"/>
    <n v="0"/>
    <n v="0"/>
    <m/>
    <n v="0"/>
    <n v="0"/>
    <n v="0"/>
    <n v="0"/>
    <n v="0"/>
    <n v="4145.8284588604356"/>
    <n v="0"/>
    <n v="168.08"/>
    <n v="2197.0500000000002"/>
    <n v="73588.3"/>
    <n v="588"/>
    <m/>
    <m/>
    <m/>
    <m/>
    <m/>
    <m/>
    <m/>
    <m/>
    <m/>
    <n v="83141.221692799329"/>
    <m/>
    <m/>
    <m/>
    <m/>
    <m/>
    <m/>
    <m/>
    <m/>
    <m/>
    <m/>
    <m/>
    <m/>
    <n v="235997.73749999999"/>
    <n v="-15118.280000000057"/>
    <m/>
    <m/>
    <m/>
    <m/>
    <n v="-25130.612499999999"/>
    <n v="10012.362500000001"/>
    <n v="31"/>
    <n v="12014.460697590112"/>
    <n v="251.08642471819712"/>
    <n v="1170.7789564430641"/>
    <n v="0"/>
    <n v="0"/>
    <n v="0"/>
    <n v="0"/>
    <n v="0"/>
    <n v="1174.2617929297655"/>
    <n v="0"/>
    <n v="0"/>
    <n v="10011.232046374105"/>
    <n v="0"/>
    <n v="0"/>
    <n v="0"/>
    <n v="525.40849569798411"/>
    <n v="0"/>
    <n v="-969.18169575016873"/>
    <m/>
    <n v="0"/>
    <n v="0"/>
    <n v="0"/>
    <n v="0"/>
    <n v="-133.27806082286679"/>
    <n v="-15.847261999950206"/>
    <n v="0"/>
    <n v="0"/>
    <m/>
    <m/>
    <m/>
    <n v="109230.33281183674"/>
    <n v="0"/>
    <n v="0"/>
    <n v="-25130.612500000017"/>
    <n v="10012.362500000003"/>
    <n v="0"/>
    <n v="0"/>
    <n v="-27134.667497203685"/>
    <n v="0"/>
    <n v="0"/>
    <n v="0"/>
    <n v="0"/>
    <n v="0"/>
    <n v="0"/>
    <n v="0"/>
    <n v="0"/>
    <n v="0"/>
    <n v="0"/>
    <n v="0"/>
    <n v="0"/>
    <n v="7289.010161084935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6"/>
    <s v="Sistema de Compensação"/>
    <s v="Convencional"/>
    <s v="B3"/>
    <s v="Poder público"/>
    <s v="Não se aplica"/>
    <s v="Não se aplica"/>
    <s v="Não se aplica"/>
    <s v="Não se aplica"/>
    <s v="CATIVO"/>
    <x v="10"/>
    <n v="0"/>
    <n v="0"/>
    <n v="1.4430000000000001"/>
    <n v="1.4430000000000001"/>
    <n v="1.4430000000000001"/>
    <n v="1.4430000000000001"/>
    <m/>
    <n v="368.24"/>
    <n v="173.25"/>
    <m/>
    <n v="781.37006999999994"/>
    <n v="781.37006999999994"/>
    <n v="734.32827000000009"/>
    <n v="0"/>
    <n v="88.809699356691496"/>
    <n v="0"/>
    <n v="0"/>
    <n v="3.6934124175230232"/>
    <n v="3.5485411296701272"/>
    <n v="339.8800436603351"/>
    <n v="245.80129905460666"/>
    <n v="4.1951379845710246"/>
    <n v="0"/>
    <n v="0"/>
    <n v="0"/>
    <n v="0"/>
    <n v="13.721530690180566"/>
    <m/>
    <n v="1.742937238825405"/>
    <n v="7.8403897753969725"/>
    <n v="36.558580853777109"/>
    <n v="0"/>
    <n v="0"/>
    <n v="0"/>
    <n v="0"/>
    <n v="0"/>
    <n v="0"/>
    <n v="0"/>
    <n v="0"/>
    <n v="0"/>
    <n v="0"/>
    <m/>
    <n v="0"/>
    <n v="0"/>
    <n v="0"/>
    <n v="0"/>
    <n v="0"/>
    <n v="12.900119603526921"/>
    <n v="0"/>
    <n v="0.51"/>
    <n v="6.67"/>
    <n v="326.5"/>
    <n v="2"/>
    <m/>
    <m/>
    <m/>
    <m/>
    <m/>
    <m/>
    <m/>
    <m/>
    <m/>
    <n v="258.7014186581336"/>
    <m/>
    <m/>
    <m/>
    <m/>
    <m/>
    <m/>
    <m/>
    <m/>
    <m/>
    <m/>
    <m/>
    <m/>
    <n v="732.80160000000001"/>
    <n v="-48.598469999999907"/>
    <m/>
    <m/>
    <m/>
    <m/>
    <n v="-78.196169999999995"/>
    <n v="31.154370000000007"/>
    <n v="31"/>
    <n v="37.384079324253378"/>
    <n v="0.7812780827350041"/>
    <n v="3.6429844402098936"/>
    <n v="0"/>
    <n v="0"/>
    <n v="0"/>
    <n v="0"/>
    <n v="0"/>
    <n v="3.6538216004262036"/>
    <n v="0"/>
    <n v="0"/>
    <n v="31.150852491466992"/>
    <n v="0"/>
    <n v="0"/>
    <n v="0"/>
    <n v="1.6348559769103819"/>
    <n v="0"/>
    <n v="-3.0156963600377225"/>
    <m/>
    <n v="0"/>
    <n v="0"/>
    <n v="0"/>
    <n v="0"/>
    <n v="-0.41470672079222837"/>
    <n v="-4.9310186665074252E-2"/>
    <n v="0"/>
    <n v="0"/>
    <m/>
    <m/>
    <m/>
    <n v="339.8800436603351"/>
    <n v="0"/>
    <n v="0"/>
    <n v="-78.196169999999938"/>
    <n v="31.154370000000029"/>
    <n v="0"/>
    <n v="0"/>
    <n v="-84.4319680829432"/>
    <n v="0"/>
    <n v="0"/>
    <n v="0"/>
    <n v="0"/>
    <n v="0"/>
    <n v="0"/>
    <n v="0"/>
    <n v="0"/>
    <n v="0"/>
    <n v="0"/>
    <n v="0"/>
    <n v="0"/>
    <n v="22.6804132882923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7"/>
    <s v="Regular"/>
    <s v="Verde"/>
    <s v="A4"/>
    <s v="Poder público"/>
    <s v="Não se aplica"/>
    <s v="Não se aplica"/>
    <s v="Não se aplica"/>
    <s v="Ponta"/>
    <s v="CATIVO"/>
    <x v="10"/>
    <n v="0"/>
    <n v="0"/>
    <n v="3.0920000000000001"/>
    <n v="3.0920000000000001"/>
    <n v="3.0920000000000001"/>
    <n v="3.0920000000000001"/>
    <m/>
    <n v="1358.36"/>
    <n v="173.25"/>
    <m/>
    <n v="4735.73812"/>
    <n v="4735.73812"/>
    <n v="4152.3086400000002"/>
    <n v="0"/>
    <n v="165.55900461363422"/>
    <n v="0"/>
    <n v="0"/>
    <n v="58.568937133481334"/>
    <n v="56.271788789194055"/>
    <n v="3118.305860346713"/>
    <n v="526.69273504978776"/>
    <n v="8.9891660764335466"/>
    <n v="0"/>
    <n v="0"/>
    <n v="0"/>
    <n v="0"/>
    <n v="29.401921617490167"/>
    <m/>
    <n v="2.4761163541202498"/>
    <n v="124.33186222196188"/>
    <n v="579.73794484401162"/>
    <n v="0"/>
    <n v="0"/>
    <n v="0"/>
    <n v="0"/>
    <n v="0"/>
    <n v="0"/>
    <n v="0"/>
    <n v="0"/>
    <n v="0"/>
    <n v="0"/>
    <m/>
    <n v="0"/>
    <n v="0"/>
    <n v="0"/>
    <n v="0"/>
    <n v="0"/>
    <n v="23.124006154651831"/>
    <n v="0"/>
    <n v="0"/>
    <n v="0"/>
    <n v="0"/>
    <n v="0"/>
    <m/>
    <m/>
    <m/>
    <m/>
    <m/>
    <m/>
    <m/>
    <m/>
    <m/>
    <n v="549.81674120443961"/>
    <m/>
    <m/>
    <m/>
    <m/>
    <m/>
    <m/>
    <m/>
    <m/>
    <m/>
    <m/>
    <m/>
    <m/>
    <n v="4149.6227999999992"/>
    <n v="-586.14532000000145"/>
    <m/>
    <m/>
    <m/>
    <m/>
    <n v="-650.18575999999996"/>
    <n v="66.756280000000018"/>
    <n v="31"/>
    <n v="191.19911074193419"/>
    <n v="12.389404318196327"/>
    <n v="57.769647047112016"/>
    <n v="0"/>
    <n v="0"/>
    <n v="0"/>
    <n v="0"/>
    <n v="0"/>
    <n v="57.94129752462289"/>
    <n v="0"/>
    <n v="0"/>
    <n v="66.748742829948696"/>
    <n v="0"/>
    <n v="0"/>
    <n v="0"/>
    <n v="2.9305479975323507"/>
    <n v="0"/>
    <n v="-5.6218599004543819"/>
    <m/>
    <n v="0"/>
    <n v="0"/>
    <n v="0"/>
    <n v="0"/>
    <n v="-0.88861620283407561"/>
    <n v="-7.0052872189707127E-2"/>
    <n v="0"/>
    <n v="0"/>
    <m/>
    <m/>
    <m/>
    <n v="3118.305860346713"/>
    <n v="0"/>
    <n v="0"/>
    <n v="-650.18575999999985"/>
    <n v="66.756280000000061"/>
    <n v="0"/>
    <n v="0"/>
    <n v="-774.64007017948279"/>
    <n v="0"/>
    <n v="0"/>
    <n v="0"/>
    <n v="0"/>
    <n v="0"/>
    <n v="0"/>
    <n v="0"/>
    <n v="0"/>
    <n v="0"/>
    <n v="0"/>
    <n v="0"/>
    <n v="0"/>
    <n v="42.28081702150935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8"/>
    <s v="Sistema de Compensação"/>
    <s v="Verde"/>
    <s v="A4"/>
    <s v="Poder público"/>
    <s v="Não se aplica"/>
    <s v="Não se aplica"/>
    <s v="Não se aplica"/>
    <s v="Ponta"/>
    <s v="CATIVO"/>
    <x v="10"/>
    <n v="0"/>
    <n v="0"/>
    <n v="0.88600000000000001"/>
    <n v="0.88600000000000001"/>
    <n v="0.88600000000000001"/>
    <n v="0.88600000000000001"/>
    <m/>
    <n v="1358.36"/>
    <n v="173.25"/>
    <m/>
    <n v="1357.0064600000001"/>
    <n v="1357.0064600000001"/>
    <n v="1189.8271199999999"/>
    <n v="0"/>
    <n v="47.440258113738651"/>
    <n v="0"/>
    <n v="0"/>
    <n v="16.782690265286046"/>
    <n v="16.124451768184326"/>
    <n v="893.53783708511889"/>
    <n v="150.92165693858732"/>
    <n v="2.5758089080595479"/>
    <n v="0"/>
    <n v="0"/>
    <n v="0"/>
    <n v="0"/>
    <n v="8.4250008257103133"/>
    <m/>
    <n v="0.70952105101893315"/>
    <n v="35.626788463343544"/>
    <n v="166.12154564417668"/>
    <n v="0"/>
    <n v="0"/>
    <n v="0"/>
    <n v="0"/>
    <n v="0"/>
    <n v="0"/>
    <n v="0"/>
    <n v="0"/>
    <n v="0"/>
    <n v="0"/>
    <m/>
    <n v="0"/>
    <n v="0"/>
    <n v="0"/>
    <n v="0"/>
    <n v="0"/>
    <n v="6.6260897325425363"/>
    <n v="0"/>
    <n v="0"/>
    <n v="0"/>
    <n v="0"/>
    <n v="0"/>
    <m/>
    <m/>
    <m/>
    <m/>
    <m/>
    <m/>
    <m/>
    <m/>
    <m/>
    <n v="157.54774667112986"/>
    <m/>
    <m/>
    <m/>
    <m/>
    <m/>
    <m/>
    <m/>
    <m/>
    <m/>
    <m/>
    <m/>
    <m/>
    <n v="1195.1988000000001"/>
    <n v="-161.83765999999991"/>
    <m/>
    <m/>
    <m/>
    <m/>
    <n v="-186.30807999999999"/>
    <n v="19.128740000000004"/>
    <n v="31"/>
    <n v="54.787326040541302"/>
    <n v="3.5501333201558651"/>
    <n v="16.553656948169873"/>
    <n v="0"/>
    <n v="0"/>
    <n v="0"/>
    <n v="0"/>
    <n v="0"/>
    <n v="16.602842693019365"/>
    <n v="0"/>
    <n v="0"/>
    <n v="19.126580254635996"/>
    <n v="0"/>
    <n v="0"/>
    <n v="0"/>
    <n v="0.83973658661502704"/>
    <n v="0"/>
    <n v="-1.6109210452142833"/>
    <m/>
    <n v="0"/>
    <n v="0"/>
    <n v="0"/>
    <n v="0"/>
    <n v="-0.25462935178233792"/>
    <n v="-2.0073365058240755E-2"/>
    <n v="0"/>
    <n v="0"/>
    <m/>
    <m/>
    <m/>
    <n v="893.53783708511889"/>
    <n v="0"/>
    <n v="0"/>
    <n v="-186.30808000000002"/>
    <n v="19.128739999999993"/>
    <n v="0"/>
    <n v="0"/>
    <n v="-221.96995542659181"/>
    <n v="0"/>
    <n v="0"/>
    <n v="0"/>
    <n v="0"/>
    <n v="0"/>
    <n v="0"/>
    <n v="0"/>
    <n v="0"/>
    <n v="0"/>
    <n v="0"/>
    <n v="0"/>
    <n v="0"/>
    <n v="12.11539582181671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49"/>
    <s v="Regular"/>
    <s v="Verde"/>
    <s v="A4"/>
    <s v="Poder público"/>
    <s v="Não se aplica"/>
    <s v="Não se aplica"/>
    <s v="Não se aplica"/>
    <s v="Fora ponta"/>
    <s v="CATIVO"/>
    <x v="10"/>
    <n v="0"/>
    <n v="0"/>
    <n v="22.754000000000001"/>
    <n v="22.754000000000001"/>
    <n v="22.754000000000001"/>
    <n v="22.754000000000001"/>
    <m/>
    <n v="85.01"/>
    <n v="173.25"/>
    <m/>
    <n v="5876.4480400000002"/>
    <n v="5876.4480400000002"/>
    <n v="6340.85718"/>
    <n v="0"/>
    <n v="1218.3472157110714"/>
    <n v="0"/>
    <n v="0"/>
    <n v="0"/>
    <n v="0"/>
    <n v="0"/>
    <n v="3875.9270676982123"/>
    <n v="66.151191753935606"/>
    <n v="0"/>
    <n v="0"/>
    <n v="0"/>
    <n v="0"/>
    <n v="216.36847493026238"/>
    <m/>
    <n v="18.221717827183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.1693518896985"/>
    <n v="0"/>
    <n v="0"/>
    <n v="0"/>
    <n v="0"/>
    <n v="0"/>
    <m/>
    <m/>
    <m/>
    <m/>
    <m/>
    <m/>
    <m/>
    <m/>
    <m/>
    <n v="4046.096419587911"/>
    <m/>
    <m/>
    <m/>
    <m/>
    <m/>
    <m/>
    <m/>
    <m/>
    <m/>
    <m/>
    <m/>
    <m/>
    <n v="6339.7424999999994"/>
    <n v="463.26445999999851"/>
    <m/>
    <m/>
    <m/>
    <m/>
    <n v="-26.849720000000158"/>
    <n v="491.25886000000008"/>
    <n v="31"/>
    <n v="464.34321707001072"/>
    <n v="0"/>
    <n v="0"/>
    <n v="0"/>
    <n v="0"/>
    <n v="0"/>
    <n v="0"/>
    <n v="0"/>
    <n v="0"/>
    <n v="0"/>
    <n v="0"/>
    <n v="491.20339403384605"/>
    <n v="0"/>
    <n v="0"/>
    <n v="0"/>
    <n v="21.56587617588977"/>
    <n v="0"/>
    <n v="-41.371216097974866"/>
    <m/>
    <n v="0"/>
    <n v="0"/>
    <n v="0"/>
    <n v="0"/>
    <n v="-6.5393185896786861"/>
    <n v="-0.5155184520713405"/>
    <n v="0"/>
    <n v="0"/>
    <m/>
    <m/>
    <m/>
    <n v="0"/>
    <n v="0"/>
    <n v="0"/>
    <n v="-26.849720000000161"/>
    <n v="491.25885999999991"/>
    <n v="0"/>
    <n v="0"/>
    <n v="0"/>
    <n v="0"/>
    <n v="0"/>
    <n v="0"/>
    <n v="0"/>
    <n v="0"/>
    <n v="0"/>
    <n v="0"/>
    <n v="0"/>
    <n v="0"/>
    <n v="0"/>
    <n v="0"/>
    <n v="0"/>
    <n v="311.1441495819611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50"/>
    <s v="Sistema de Compensação"/>
    <s v="Verde"/>
    <s v="A4"/>
    <s v="Poder público"/>
    <s v="Não se aplica"/>
    <s v="Não se aplica"/>
    <s v="Não se aplica"/>
    <s v="Fora ponta"/>
    <s v="CATIVO"/>
    <x v="10"/>
    <n v="0"/>
    <n v="0"/>
    <n v="3.6230000000000002"/>
    <n v="3.6230000000000002"/>
    <n v="3.6230000000000002"/>
    <n v="3.6230000000000002"/>
    <m/>
    <n v="85.01"/>
    <n v="173.25"/>
    <m/>
    <n v="935.67597999999998"/>
    <n v="935.67597999999998"/>
    <n v="1009.6214100000001"/>
    <n v="0"/>
    <n v="193.99103289624733"/>
    <n v="0"/>
    <n v="0"/>
    <n v="0"/>
    <n v="0"/>
    <n v="0"/>
    <n v="617.14352493058902"/>
    <n v="10.532907081150951"/>
    <n v="0"/>
    <n v="0"/>
    <n v="0"/>
    <n v="0"/>
    <n v="34.451216694749959"/>
    <m/>
    <n v="2.9013484964352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095172800227552"/>
    <n v="0"/>
    <n v="0"/>
    <n v="0"/>
    <n v="0"/>
    <n v="0"/>
    <m/>
    <m/>
    <m/>
    <m/>
    <m/>
    <m/>
    <m/>
    <m/>
    <m/>
    <n v="644.23869773081663"/>
    <m/>
    <m/>
    <m/>
    <m/>
    <m/>
    <m/>
    <m/>
    <m/>
    <m/>
    <m/>
    <m/>
    <m/>
    <n v="1008.7854000000001"/>
    <n v="73.079420000000141"/>
    <m/>
    <m/>
    <m/>
    <m/>
    <n v="-4.2751400000000253"/>
    <n v="78.220570000000023"/>
    <n v="31"/>
    <n v="73.934933437841551"/>
    <n v="0"/>
    <n v="0"/>
    <n v="0"/>
    <n v="0"/>
    <n v="0"/>
    <n v="0"/>
    <n v="0"/>
    <n v="0"/>
    <n v="0"/>
    <n v="0"/>
    <n v="78.211738445311767"/>
    <n v="0"/>
    <n v="0"/>
    <n v="0"/>
    <n v="3.4338212791266827"/>
    <n v="0"/>
    <n v="-6.5873216103965717"/>
    <m/>
    <n v="0"/>
    <n v="0"/>
    <n v="0"/>
    <n v="0"/>
    <n v="-1.0412213786765392"/>
    <n v="-8.2083297523708687E-2"/>
    <n v="0"/>
    <n v="0"/>
    <m/>
    <m/>
    <m/>
    <n v="0"/>
    <n v="0"/>
    <n v="0"/>
    <n v="-4.2751400000000217"/>
    <n v="78.220570000000066"/>
    <n v="0"/>
    <n v="0"/>
    <n v="0"/>
    <n v="0"/>
    <n v="0"/>
    <n v="0"/>
    <n v="0"/>
    <n v="0"/>
    <n v="0"/>
    <n v="0"/>
    <n v="0"/>
    <n v="0"/>
    <n v="0"/>
    <n v="0"/>
    <n v="0"/>
    <n v="49.54184995760944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51"/>
    <s v="Regular"/>
    <s v="Verde"/>
    <s v="A4"/>
    <s v="Poder público"/>
    <s v="Não se aplica"/>
    <s v="Não se aplica"/>
    <s v="Não se aplica"/>
    <s v="Não se aplica"/>
    <s v="CATIVO"/>
    <x v="10"/>
    <n v="278"/>
    <n v="278"/>
    <n v="0"/>
    <n v="0"/>
    <n v="0"/>
    <n v="0"/>
    <n v="27.19"/>
    <m/>
    <m/>
    <n v="7558.8200000000006"/>
    <m/>
    <n v="7558.8200000000006"/>
    <n v="6049.2800000000007"/>
    <n v="0"/>
    <n v="0"/>
    <n v="0"/>
    <n v="0"/>
    <n v="64.829770532862796"/>
    <n v="62.281685344977873"/>
    <n v="6653.1044075983409"/>
    <m/>
    <m/>
    <m/>
    <n v="0"/>
    <n v="0"/>
    <n v="0"/>
    <n v="0"/>
    <m/>
    <n v="0"/>
    <n v="137.577983043149"/>
    <n v="641.64869835719423"/>
    <n v="0"/>
    <n v="0"/>
    <m/>
    <m/>
    <n v="0"/>
    <n v="0"/>
    <n v="0"/>
    <m/>
    <m/>
    <n v="0"/>
    <m/>
    <n v="0"/>
    <n v="0"/>
    <n v="0"/>
    <n v="0"/>
    <m/>
    <n v="0"/>
    <n v="0"/>
    <n v="12.19"/>
    <n v="157.06"/>
    <n v="4945.53"/>
    <n v="5"/>
    <m/>
    <m/>
    <m/>
    <m/>
    <m/>
    <m/>
    <m/>
    <m/>
    <m/>
    <n v="0"/>
    <m/>
    <m/>
    <m/>
    <m/>
    <m/>
    <m/>
    <m/>
    <m/>
    <m/>
    <m/>
    <m/>
    <m/>
    <n v="6049.2800000000007"/>
    <n v="-1509.5700000000006"/>
    <m/>
    <m/>
    <m/>
    <m/>
    <n v="-1509.54"/>
    <n v="0"/>
    <n v="31"/>
    <n v="141.77777292493215"/>
    <n v="13.709351945204475"/>
    <n v="63.938921304016276"/>
    <n v="0"/>
    <n v="0"/>
    <m/>
    <m/>
    <m/>
    <n v="64.129499675711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53.1044075983409"/>
    <m/>
    <n v="0"/>
    <n v="0"/>
    <n v="-1509.54"/>
    <m/>
    <n v="0"/>
    <m/>
    <n v="-1652.743988570871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52"/>
    <s v="Sistema de Compensação"/>
    <s v="Verde"/>
    <s v="A4"/>
    <s v="Poder público"/>
    <s v="Não se aplica"/>
    <s v="Não se aplica"/>
    <s v="Não se aplica"/>
    <s v="Não se aplica"/>
    <s v="CATIVO"/>
    <x v="10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2.2000000000000002"/>
    <n v="28.34"/>
    <n v="919.46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n v="31"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53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1608.354"/>
    <n v="1608.354"/>
    <n v="1608.354"/>
    <n v="1608.354"/>
    <m/>
    <n v="199.07"/>
    <n v="95.29"/>
    <m/>
    <n v="473435.08343999996"/>
    <n v="473435.08343999996"/>
    <n v="446913.32597999997"/>
    <n v="0"/>
    <n v="54442.542868692064"/>
    <n v="0"/>
    <n v="0"/>
    <n v="2264.1531874255379"/>
    <n v="2920.0999282465518"/>
    <n v="202033.97257624741"/>
    <n v="150682.2774752737"/>
    <n v="2571.7233727790822"/>
    <n v="0"/>
    <n v="0"/>
    <n v="0"/>
    <n v="0"/>
    <n v="8411.6377854615966"/>
    <m/>
    <n v="1068.4636478846744"/>
    <n v="4806.3529045394025"/>
    <n v="22411.314527216058"/>
    <n v="0"/>
    <n v="0"/>
    <n v="0"/>
    <n v="0"/>
    <n v="0"/>
    <n v="0"/>
    <n v="0"/>
    <n v="0"/>
    <n v="0"/>
    <n v="0"/>
    <m/>
    <n v="0"/>
    <n v="0"/>
    <n v="0"/>
    <n v="0"/>
    <n v="0"/>
    <n v="7908.0924675301567"/>
    <n v="0"/>
    <n v="315.66000000000003"/>
    <n v="4062.95"/>
    <n v="112859.37"/>
    <n v="69"/>
    <m/>
    <m/>
    <m/>
    <m/>
    <m/>
    <m/>
    <m/>
    <m/>
    <m/>
    <n v="158590.36994280387"/>
    <m/>
    <m/>
    <m/>
    <m/>
    <m/>
    <m/>
    <m/>
    <m/>
    <m/>
    <m/>
    <m/>
    <m/>
    <n v="446912.2145"/>
    <n v="-26522.898939999985"/>
    <m/>
    <m/>
    <m/>
    <m/>
    <n v="-45612.919439999976"/>
    <n v="19091.161979999986"/>
    <n v="31"/>
    <n v="23684.217864300706"/>
    <n v="478.94279363378791"/>
    <n v="2233.2395897381284"/>
    <n v="0"/>
    <n v="0"/>
    <n v="0"/>
    <n v="0"/>
    <n v="0"/>
    <n v="3006.7353888109192"/>
    <n v="0"/>
    <n v="0"/>
    <n v="19096.2432532456"/>
    <n v="0"/>
    <n v="0"/>
    <n v="0"/>
    <n v="1002.2071603868308"/>
    <n v="0"/>
    <n v="-1848.6964774070875"/>
    <m/>
    <n v="0"/>
    <n v="0"/>
    <n v="0"/>
    <n v="0"/>
    <n v="-254.22547974163626"/>
    <n v="-30.228364365858852"/>
    <n v="0"/>
    <n v="0"/>
    <m/>
    <m/>
    <m/>
    <n v="202033.97257624741"/>
    <n v="0"/>
    <n v="0"/>
    <n v="-45612.919439999969"/>
    <n v="19091.161979999975"/>
    <n v="0"/>
    <n v="0"/>
    <n v="-50188.665802559204"/>
    <n v="0"/>
    <n v="0"/>
    <n v="0"/>
    <n v="0"/>
    <n v="0"/>
    <n v="0"/>
    <n v="0"/>
    <n v="0"/>
    <n v="0"/>
    <n v="0"/>
    <n v="0"/>
    <n v="0"/>
    <n v="13903.65446197712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54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640.52200000000005"/>
    <n v="602.09068000000002"/>
    <n v="640.52200000000005"/>
    <n v="602.09068000000002"/>
    <m/>
    <n v="368.24"/>
    <n v="173.25"/>
    <m/>
    <n v="346836.25778000004"/>
    <n v="346836.25778000004"/>
    <n v="325955.24058000004"/>
    <n v="0"/>
    <n v="39421.04383322713"/>
    <n v="0"/>
    <n v="0"/>
    <n v="1639.4399920281926"/>
    <n v="1575.1342075249961"/>
    <n v="150866.69807720385"/>
    <n v="109106.81890024587"/>
    <n v="1862.1470354493429"/>
    <n v="0"/>
    <n v="0"/>
    <n v="0"/>
    <n v="0"/>
    <n v="6090.7430912930267"/>
    <m/>
    <n v="773.65879839703814"/>
    <n v="3480.2093830331391"/>
    <n v="16227.702928359682"/>
    <n v="0"/>
    <n v="0"/>
    <n v="0"/>
    <n v="0"/>
    <n v="0"/>
    <n v="0"/>
    <n v="0"/>
    <n v="0"/>
    <n v="0"/>
    <n v="0"/>
    <m/>
    <n v="0"/>
    <n v="0"/>
    <n v="0"/>
    <n v="0"/>
    <n v="0"/>
    <n v="5726.133339355697"/>
    <n v="0"/>
    <n v="224.36"/>
    <n v="2897.34"/>
    <n v="113891.7"/>
    <n v="202"/>
    <m/>
    <m/>
    <m/>
    <m/>
    <n v="19557.314434800013"/>
    <m/>
    <m/>
    <m/>
    <m/>
    <n v="114832.95223960157"/>
    <m/>
    <m/>
    <m/>
    <m/>
    <m/>
    <m/>
    <m/>
    <m/>
    <m/>
    <m/>
    <m/>
    <m/>
    <n v="306397.58010000002"/>
    <n v="-19628.532213200058"/>
    <m/>
    <m/>
    <m/>
    <m/>
    <n v="-34709.887179999998"/>
    <n v="13828.869980000003"/>
    <n v="31"/>
    <n v="16594.126997179119"/>
    <n v="346.79542627137243"/>
    <n v="1617.0559110271133"/>
    <n v="0"/>
    <n v="0"/>
    <n v="0"/>
    <n v="0"/>
    <n v="0"/>
    <n v="1621.866333436031"/>
    <n v="0"/>
    <n v="0"/>
    <n v="13827.30862060943"/>
    <n v="0"/>
    <n v="0"/>
    <n v="0"/>
    <n v="725.68345117296758"/>
    <n v="0"/>
    <n v="-1338.6139043132862"/>
    <m/>
    <n v="0"/>
    <n v="0"/>
    <n v="0"/>
    <n v="0"/>
    <n v="-184.08092738411688"/>
    <n v="-21.887913640392753"/>
    <n v="0"/>
    <n v="0"/>
    <m/>
    <m/>
    <m/>
    <n v="150866.69807720385"/>
    <n v="0"/>
    <n v="0"/>
    <n v="-34709.88718000002"/>
    <n v="13828.869980000003"/>
    <n v="0"/>
    <n v="0"/>
    <n v="-37477.846888719985"/>
    <n v="0"/>
    <n v="0"/>
    <n v="0"/>
    <n v="0"/>
    <n v="0"/>
    <n v="0"/>
    <n v="0"/>
    <n v="0"/>
    <n v="0"/>
    <n v="0"/>
    <n v="0"/>
    <n v="0"/>
    <n v="10067.4315178403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55"/>
    <s v="Regular"/>
    <s v="Azul"/>
    <s v="A4"/>
    <s v="Serviço público"/>
    <s v="Água, esgoto e saneamento"/>
    <s v="Não se aplica"/>
    <s v="Não se aplica"/>
    <s v="Ponta"/>
    <s v="CATIVO"/>
    <x v="10"/>
    <n v="65"/>
    <n v="61.1"/>
    <n v="3.3969999999999998"/>
    <n v="3.1931799999999999"/>
    <n v="3.3969999999999998"/>
    <n v="3.1931799999999999"/>
    <n v="52.95"/>
    <n v="85.01"/>
    <n v="173.25"/>
    <n v="3441.75"/>
    <n v="877.30921999999987"/>
    <n v="4319.0592200000001"/>
    <n v="3822.8919900000001"/>
    <n v="0"/>
    <n v="181.89001897558711"/>
    <n v="0"/>
    <n v="0"/>
    <n v="51.198306474712865"/>
    <n v="49.188863943031343"/>
    <n v="2725.6914092779475"/>
    <n v="578.64657857830821"/>
    <n v="9.8758723032486255"/>
    <n v="0"/>
    <n v="0"/>
    <n v="0"/>
    <n v="0"/>
    <n v="32.302175852074413"/>
    <m/>
    <n v="2.7203645714574667"/>
    <n v="108.68330737188015"/>
    <n v="506.76761947441048"/>
    <n v="0"/>
    <n v="0"/>
    <n v="0"/>
    <n v="0"/>
    <n v="0"/>
    <n v="0"/>
    <n v="0"/>
    <n v="0"/>
    <n v="0"/>
    <n v="0"/>
    <m/>
    <n v="0"/>
    <n v="0"/>
    <n v="0"/>
    <n v="0"/>
    <n v="0"/>
    <n v="25.404996412468389"/>
    <n v="0"/>
    <n v="0"/>
    <n v="0"/>
    <n v="0"/>
    <n v="0"/>
    <m/>
    <m/>
    <m/>
    <m/>
    <n v="229.37351939999991"/>
    <m/>
    <m/>
    <m/>
    <m/>
    <n v="604.05157499077654"/>
    <m/>
    <m/>
    <m/>
    <m/>
    <m/>
    <m/>
    <m/>
    <m/>
    <m/>
    <m/>
    <m/>
    <m/>
    <n v="3592.6323000000002"/>
    <n v="-467.31336680000095"/>
    <m/>
    <m/>
    <m/>
    <m/>
    <n v="-569.50846000000024"/>
    <n v="73.34123000000001"/>
    <n v="31"/>
    <n v="181.29952934310677"/>
    <n v="10.830059275274195"/>
    <n v="50.498310093914142"/>
    <n v="0"/>
    <n v="0"/>
    <n v="0"/>
    <n v="0"/>
    <n v="0"/>
    <n v="50.648231768467902"/>
    <n v="0"/>
    <n v="0"/>
    <n v="73.332949351014122"/>
    <n v="0"/>
    <n v="0"/>
    <n v="0"/>
    <n v="3.2196221046628075"/>
    <n v="0"/>
    <n v="-6.1764094701951819"/>
    <m/>
    <n v="0"/>
    <n v="0"/>
    <n v="0"/>
    <n v="0"/>
    <n v="-0.97627077652889582"/>
    <n v="-7.6963003502080518E-2"/>
    <n v="0"/>
    <n v="0"/>
    <m/>
    <m/>
    <n v="2725.6914092779475"/>
    <n v="0"/>
    <n v="0"/>
    <n v="0"/>
    <n v="-569.50846000000001"/>
    <n v="73.34123000000011"/>
    <n v="0"/>
    <n v="0"/>
    <n v="-677.10798078540483"/>
    <n v="0"/>
    <n v="0"/>
    <n v="0"/>
    <n v="0"/>
    <n v="0"/>
    <n v="0"/>
    <n v="0"/>
    <n v="0"/>
    <n v="0"/>
    <n v="0"/>
    <n v="0"/>
    <n v="0"/>
    <n v="46.451466824730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56"/>
    <s v="Regular"/>
    <s v="Azul"/>
    <s v="A4"/>
    <s v="Serviço público"/>
    <s v="Água, esgoto e saneamento"/>
    <s v="Não se aplica"/>
    <s v="Não se aplica"/>
    <s v="Fora ponta"/>
    <s v="CATIVO"/>
    <x v="10"/>
    <n v="65"/>
    <n v="61.1"/>
    <n v="22.908999999999999"/>
    <n v="21.534459999999999"/>
    <n v="22.908999999999999"/>
    <n v="21.534459999999999"/>
    <n v="27.19"/>
    <n v="85.01"/>
    <n v="173.25"/>
    <n v="1767.3500000000001"/>
    <n v="5916.4783399999997"/>
    <n v="7683.82834"/>
    <n v="7798.4510299999993"/>
    <n v="0"/>
    <n v="1226.6465836655063"/>
    <n v="0"/>
    <n v="0"/>
    <n v="15.158039872791662"/>
    <n v="14.56226455907756"/>
    <n v="1555.5819658053674"/>
    <n v="3902.3298406389354"/>
    <n v="66.601812951169492"/>
    <n v="0"/>
    <n v="0"/>
    <n v="0"/>
    <n v="0"/>
    <n v="217.84237462324779"/>
    <m/>
    <n v="18.345843970420699"/>
    <n v="32.167514020880162"/>
    <n v="150.02577479574686"/>
    <n v="0"/>
    <n v="0"/>
    <n v="0"/>
    <n v="0"/>
    <n v="0"/>
    <n v="0"/>
    <n v="0"/>
    <n v="0"/>
    <n v="0"/>
    <n v="0"/>
    <m/>
    <n v="0"/>
    <n v="0"/>
    <n v="0"/>
    <n v="0"/>
    <n v="0"/>
    <n v="171.32854366006427"/>
    <n v="0"/>
    <n v="0"/>
    <n v="0"/>
    <n v="0"/>
    <n v="0"/>
    <m/>
    <m/>
    <m/>
    <m/>
    <n v="467.90706179999989"/>
    <m/>
    <m/>
    <m/>
    <m/>
    <n v="4073.6583842989994"/>
    <m/>
    <m/>
    <m/>
    <m/>
    <m/>
    <m/>
    <m/>
    <m/>
    <m/>
    <m/>
    <m/>
    <m/>
    <n v="7329.3011000000006"/>
    <n v="106.47246040000027"/>
    <m/>
    <m/>
    <m/>
    <m/>
    <n v="-379.98262000000017"/>
    <n v="494.60531000000003"/>
    <n v="31"/>
    <n v="500.65579728473949"/>
    <n v="3.2054240159650789"/>
    <n v="14.94974778691028"/>
    <n v="0"/>
    <n v="0"/>
    <n v="0"/>
    <n v="0"/>
    <n v="0"/>
    <n v="14.994307478133946"/>
    <n v="0"/>
    <n v="0"/>
    <n v="494.54946620028886"/>
    <n v="0"/>
    <n v="0"/>
    <n v="0"/>
    <n v="21.712782689349496"/>
    <n v="0"/>
    <n v="-41.653036371121971"/>
    <m/>
    <n v="0"/>
    <n v="0"/>
    <n v="0"/>
    <n v="0"/>
    <n v="-6.5838643566383723"/>
    <n v="-0.51903015814812292"/>
    <n v="0"/>
    <n v="0"/>
    <m/>
    <m/>
    <n v="1555.5819658053674"/>
    <n v="0"/>
    <n v="0"/>
    <n v="0"/>
    <n v="-379.98262000000022"/>
    <n v="494.60530999999946"/>
    <n v="0"/>
    <n v="0"/>
    <n v="-386.43294696800945"/>
    <n v="0"/>
    <n v="0"/>
    <n v="0"/>
    <n v="0"/>
    <n v="0"/>
    <n v="0"/>
    <n v="0"/>
    <n v="0"/>
    <n v="0"/>
    <n v="0"/>
    <n v="0"/>
    <n v="0"/>
    <n v="313.2636601376965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57"/>
    <s v="Regular"/>
    <s v="Azul"/>
    <s v="A4"/>
    <s v="Serviço público"/>
    <s v="Água, esgoto e saneamento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.71"/>
    <n v="99.29"/>
    <n v="3845.0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58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8.3019999999999996"/>
    <n v="8.3019999999999996"/>
    <n v="8.3019999999999996"/>
    <n v="8.3019999999999996"/>
    <m/>
    <n v="368.24"/>
    <n v="173.25"/>
    <m/>
    <n v="4495.4499799999994"/>
    <n v="4495.4499799999994"/>
    <n v="4224.8047800000004"/>
    <n v="0"/>
    <n v="510.94811092117305"/>
    <n v="0"/>
    <n v="0"/>
    <n v="21.249279203240565"/>
    <n v="20.415792417547745"/>
    <n v="1955.4290522994468"/>
    <n v="1414.1665867992685"/>
    <n v="24.135852770553459"/>
    <n v="0"/>
    <n v="0"/>
    <n v="0"/>
    <n v="0"/>
    <n v="78.943969362355546"/>
    <m/>
    <n v="10.027626442639301"/>
    <n v="45.108049837384378"/>
    <n v="210.33218173808558"/>
    <n v="0"/>
    <n v="0"/>
    <n v="0"/>
    <n v="0"/>
    <n v="0"/>
    <n v="0"/>
    <n v="0"/>
    <n v="0"/>
    <n v="0"/>
    <n v="0"/>
    <m/>
    <n v="0"/>
    <n v="0"/>
    <n v="0"/>
    <n v="0"/>
    <n v="0"/>
    <n v="74.2181517314487"/>
    <n v="0"/>
    <n v="3.08"/>
    <n v="39.950000000000003"/>
    <n v="1479.33"/>
    <n v="5"/>
    <m/>
    <m/>
    <m/>
    <m/>
    <m/>
    <m/>
    <m/>
    <m/>
    <m/>
    <n v="1488.3847385307172"/>
    <m/>
    <m/>
    <m/>
    <m/>
    <m/>
    <m/>
    <m/>
    <m/>
    <m/>
    <m/>
    <m/>
    <m/>
    <n v="4223.7870000000003"/>
    <n v="-271.69297999999981"/>
    <m/>
    <m/>
    <m/>
    <m/>
    <n v="-449.88537999999994"/>
    <n v="179.24018000000001"/>
    <n v="31"/>
    <n v="215.08151528063127"/>
    <n v="4.4949207504268927"/>
    <n v="20.959152337229796"/>
    <n v="0"/>
    <n v="0"/>
    <n v="0"/>
    <n v="0"/>
    <n v="0"/>
    <n v="21.021501681731348"/>
    <n v="0"/>
    <n v="0"/>
    <n v="179.21994274716485"/>
    <n v="0"/>
    <n v="0"/>
    <n v="0"/>
    <n v="9.4058034097782439"/>
    <n v="0"/>
    <n v="-17.350180998636972"/>
    <m/>
    <n v="0"/>
    <n v="0"/>
    <n v="0"/>
    <n v="0"/>
    <n v="-2.3859287567685925"/>
    <n v="-0.28369589029344944"/>
    <n v="0"/>
    <n v="0"/>
    <m/>
    <m/>
    <m/>
    <n v="1955.4290522994468"/>
    <n v="0"/>
    <n v="0"/>
    <n v="-449.88537999999971"/>
    <n v="179.24018000000001"/>
    <n v="0"/>
    <n v="0"/>
    <n v="-485.76174568578949"/>
    <n v="0"/>
    <n v="0"/>
    <n v="0"/>
    <n v="0"/>
    <n v="0"/>
    <n v="0"/>
    <n v="0"/>
    <n v="0"/>
    <n v="0"/>
    <n v="0"/>
    <n v="0"/>
    <n v="0"/>
    <n v="130.4870347327808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59"/>
    <s v="Sistema de Compensação"/>
    <s v="Convencional"/>
    <s v="B3"/>
    <s v="Consumo próprio"/>
    <s v="Não se aplica"/>
    <s v="Não se aplica"/>
    <s v="Não se aplica"/>
    <s v="Não se aplica"/>
    <s v="CATIVO"/>
    <x v="10"/>
    <n v="0"/>
    <n v="0"/>
    <n v="2.4769999999999999"/>
    <n v="2.4769999999999999"/>
    <n v="2.4769999999999999"/>
    <n v="2.4769999999999999"/>
    <m/>
    <n v="368.24"/>
    <n v="173.25"/>
    <m/>
    <n v="1341.27073"/>
    <n v="1341.27073"/>
    <n v="1260.52053"/>
    <n v="0"/>
    <n v="152.44741878484047"/>
    <n v="0"/>
    <n v="0"/>
    <n v="6.339974052809791"/>
    <n v="6.0912934013810842"/>
    <n v="583.42541105103953"/>
    <n v="421.93334563982029"/>
    <n v="7.201217455150676"/>
    <n v="0"/>
    <n v="0"/>
    <n v="0"/>
    <n v="0"/>
    <n v="23.55386799693504"/>
    <m/>
    <n v="2.9918610814764572"/>
    <n v="13.458520771765974"/>
    <n v="62.755096864037341"/>
    <n v="0"/>
    <n v="0"/>
    <n v="0"/>
    <n v="0"/>
    <n v="0"/>
    <n v="0"/>
    <n v="0"/>
    <n v="0"/>
    <n v="0"/>
    <n v="0"/>
    <m/>
    <n v="0"/>
    <n v="0"/>
    <n v="0"/>
    <n v="0"/>
    <n v="0"/>
    <n v="22.143864350614123"/>
    <n v="0"/>
    <n v="0.89"/>
    <n v="11.45"/>
    <n v="482.8"/>
    <n v="1"/>
    <m/>
    <m/>
    <m/>
    <m/>
    <m/>
    <m/>
    <m/>
    <m/>
    <m/>
    <n v="444.07720999043443"/>
    <m/>
    <m/>
    <m/>
    <m/>
    <m/>
    <m/>
    <m/>
    <m/>
    <m/>
    <m/>
    <m/>
    <m/>
    <n v="1262.0472"/>
    <n v="-79.253529999999955"/>
    <m/>
    <m/>
    <m/>
    <m/>
    <n v="-134.22862999999998"/>
    <n v="53.478430000000003"/>
    <n v="31"/>
    <n v="64.172116761036477"/>
    <n v="1.3411128280905089"/>
    <n v="6.2534112670824129"/>
    <n v="0"/>
    <n v="0"/>
    <n v="0"/>
    <n v="0"/>
    <n v="0"/>
    <n v="6.2720139322631363"/>
    <n v="0"/>
    <n v="0"/>
    <n v="53.472391975997027"/>
    <n v="0"/>
    <n v="0"/>
    <n v="0"/>
    <n v="2.8063328169140789"/>
    <n v="0"/>
    <n v="-5.1766319361146316"/>
    <m/>
    <n v="0"/>
    <n v="0"/>
    <n v="0"/>
    <n v="0"/>
    <n v="-0.7118700952199255"/>
    <n v="-8.464402797601478E-2"/>
    <n v="0"/>
    <n v="0"/>
    <m/>
    <m/>
    <m/>
    <n v="583.42541105103953"/>
    <n v="0"/>
    <n v="0"/>
    <n v="-134.22862999999995"/>
    <n v="53.478430000000003"/>
    <n v="0"/>
    <n v="0"/>
    <n v="-144.93276849719359"/>
    <n v="0"/>
    <n v="0"/>
    <n v="0"/>
    <n v="0"/>
    <n v="0"/>
    <n v="0"/>
    <n v="0"/>
    <n v="0"/>
    <n v="0"/>
    <n v="0"/>
    <n v="0"/>
    <n v="0"/>
    <n v="38.9323518469161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0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7"/>
    <n v="2.44"/>
    <n v="29.81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61"/>
    <s v="Regular"/>
    <s v="Convencional"/>
    <s v="B2"/>
    <s v="Rural"/>
    <s v="Agropecuária rural"/>
    <s v="IRRIG./AQUIC."/>
    <s v="Não se aplica"/>
    <s v="Não se aplica"/>
    <s v="CATIVO"/>
    <x v="10"/>
    <n v="0"/>
    <n v="0"/>
    <n v="0.45300000000000001"/>
    <n v="0.45300000000000001"/>
    <n v="0.45300000000000001"/>
    <n v="0.45300000000000001"/>
    <m/>
    <n v="368.24"/>
    <n v="173.25"/>
    <m/>
    <n v="245.29497000000003"/>
    <n v="245.29497000000003"/>
    <n v="230.52717000000001"/>
    <n v="0"/>
    <n v="27.879967989314792"/>
    <n v="0"/>
    <n v="0"/>
    <n v="1.1594704262910114"/>
    <n v="1.1139910822872958"/>
    <n v="106.69830892455427"/>
    <n v="77.164233175146791"/>
    <n v="1.3169767893351865"/>
    <n v="0"/>
    <n v="0"/>
    <n v="0"/>
    <n v="0"/>
    <n v="4.307590715628411"/>
    <m/>
    <n v="0.54715909160631215"/>
    <n v="2.4613281831287792"/>
    <n v="11.476810205655598"/>
    <n v="0"/>
    <n v="0"/>
    <n v="0"/>
    <n v="0"/>
    <n v="0"/>
    <n v="0"/>
    <n v="0"/>
    <n v="0"/>
    <n v="0"/>
    <n v="0"/>
    <m/>
    <n v="0"/>
    <n v="0"/>
    <n v="0"/>
    <n v="0"/>
    <n v="0"/>
    <n v="4.0497256967412989"/>
    <n v="0"/>
    <n v="0"/>
    <n v="0"/>
    <n v="0"/>
    <n v="0"/>
    <m/>
    <m/>
    <m/>
    <m/>
    <m/>
    <n v="27.660180000000004"/>
    <m/>
    <m/>
    <m/>
    <n v="81.213958871888096"/>
    <m/>
    <m/>
    <m/>
    <m/>
    <m/>
    <m/>
    <m/>
    <m/>
    <m/>
    <m/>
    <m/>
    <m/>
    <n v="201.52350000000001"/>
    <n v="-14.365529999999978"/>
    <m/>
    <m/>
    <m/>
    <m/>
    <n v="-24.548069999999999"/>
    <n v="9.7802700000000016"/>
    <n v="31"/>
    <n v="11.735958374141916"/>
    <n v="0.2452660925010095"/>
    <n v="1.1436396059702592"/>
    <n v="0"/>
    <n v="0"/>
    <n v="0"/>
    <n v="0"/>
    <n v="0"/>
    <n v="1.1470417082419055"/>
    <n v="0"/>
    <n v="0"/>
    <n v="9.7791657509594927"/>
    <n v="0"/>
    <n v="0"/>
    <n v="0"/>
    <n v="0.51322921520471532"/>
    <n v="0"/>
    <n v="-0.94671548932576854"/>
    <m/>
    <n v="0"/>
    <n v="0"/>
    <n v="0"/>
    <n v="0"/>
    <n v="-0.13018859634018032"/>
    <n v="-1.5479913069493145E-2"/>
    <n v="0"/>
    <n v="0"/>
    <m/>
    <m/>
    <m/>
    <n v="106.69830892455427"/>
    <n v="0"/>
    <n v="0"/>
    <n v="-24.548069999999996"/>
    <n v="9.7802700000000016"/>
    <n v="0"/>
    <n v="0"/>
    <n v="-26.505669813980091"/>
    <n v="0"/>
    <n v="0"/>
    <n v="0"/>
    <n v="0"/>
    <n v="0"/>
    <n v="0"/>
    <n v="0"/>
    <n v="0"/>
    <n v="0"/>
    <n v="0"/>
    <n v="0"/>
    <n v="0"/>
    <n v="7.120046583226901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2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0.30199999999999999"/>
    <n v="0.1208"/>
    <n v="0.30199999999999999"/>
    <n v="0.1208"/>
    <m/>
    <n v="368.24"/>
    <n v="173.25"/>
    <m/>
    <n v="163.52997999999999"/>
    <n v="163.52997999999999"/>
    <n v="153.68477999999999"/>
    <n v="0"/>
    <n v="18.586645326209862"/>
    <n v="0"/>
    <n v="0"/>
    <n v="0.77298028419400755"/>
    <n v="0.74266072152486373"/>
    <n v="71.132205949702836"/>
    <n v="51.442822116764525"/>
    <n v="0.87798452622345757"/>
    <n v="0"/>
    <n v="0"/>
    <n v="0"/>
    <n v="0"/>
    <n v="2.8717271437522736"/>
    <m/>
    <n v="0.36477272773754138"/>
    <n v="1.6408854554191861"/>
    <n v="7.6512068037703989"/>
    <n v="0"/>
    <n v="0"/>
    <n v="0"/>
    <n v="0"/>
    <n v="0"/>
    <n v="0"/>
    <n v="0"/>
    <n v="0"/>
    <n v="0"/>
    <n v="0"/>
    <m/>
    <n v="0"/>
    <n v="0"/>
    <n v="0"/>
    <n v="0"/>
    <n v="0"/>
    <n v="2.6998171311608661"/>
    <n v="0"/>
    <n v="0"/>
    <n v="0"/>
    <n v="0"/>
    <n v="0"/>
    <m/>
    <m/>
    <m/>
    <m/>
    <m/>
    <m/>
    <n v="99.586916000000002"/>
    <m/>
    <m/>
    <n v="54.142639247925388"/>
    <m/>
    <m/>
    <m/>
    <m/>
    <m/>
    <m/>
    <m/>
    <m/>
    <m/>
    <m/>
    <m/>
    <m/>
    <n v="53.739599999999996"/>
    <n v="-3.8528080000000031"/>
    <m/>
    <m/>
    <m/>
    <m/>
    <n v="-16.365379999999998"/>
    <n v="6.5201800000000008"/>
    <n v="31"/>
    <n v="7.8239722494279818"/>
    <n v="0.16351072833400648"/>
    <n v="0.76242640398017247"/>
    <n v="0"/>
    <n v="0"/>
    <n v="0"/>
    <n v="0"/>
    <n v="0"/>
    <n v="0.76469447216127051"/>
    <n v="0"/>
    <n v="0"/>
    <n v="6.5194438339729928"/>
    <n v="0"/>
    <n v="0"/>
    <n v="0"/>
    <n v="0.34215281013647658"/>
    <n v="0"/>
    <n v="-0.63114365955051355"/>
    <m/>
    <n v="0"/>
    <n v="0"/>
    <n v="0"/>
    <n v="0"/>
    <n v="-8.6792397560119916E-2"/>
    <n v="-1.0319942046328745E-2"/>
    <n v="0"/>
    <n v="0"/>
    <m/>
    <m/>
    <m/>
    <n v="71.132205949702836"/>
    <n v="0"/>
    <n v="0"/>
    <n v="-16.365379999999988"/>
    <n v="6.5201799999999963"/>
    <n v="0"/>
    <n v="0"/>
    <n v="-17.670446542653387"/>
    <n v="0"/>
    <n v="0"/>
    <n v="0"/>
    <n v="0"/>
    <n v="0"/>
    <n v="0"/>
    <n v="0"/>
    <n v="0"/>
    <n v="0"/>
    <n v="0"/>
    <n v="0"/>
    <n v="0"/>
    <n v="4.7466977221512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3"/>
    <s v="Regular"/>
    <s v="Convencional"/>
    <s v="B1"/>
    <s v="Residencial"/>
    <s v="Residencial"/>
    <s v="Não se aplica"/>
    <s v="Não se aplica"/>
    <s v="Não se aplica"/>
    <s v="CATIVO"/>
    <x v="11"/>
    <n v="0"/>
    <n v="0"/>
    <n v="9455.9879999999994"/>
    <n v="9455.9879999999994"/>
    <n v="9455.9879999999994"/>
    <n v="9455.9879999999994"/>
    <m/>
    <n v="368.24"/>
    <n v="173.25"/>
    <m/>
    <n v="5120322.9421199998"/>
    <n v="5120322.9421199998"/>
    <n v="4812057.7333199997"/>
    <n v="0"/>
    <n v="581970.51379104808"/>
    <n v="0"/>
    <n v="0"/>
    <n v="24202.954607864653"/>
    <n v="23253.612155001501"/>
    <n v="2227236.0459401277"/>
    <n v="1610737.4457690725"/>
    <n v="27490.765377995693"/>
    <n v="0"/>
    <n v="0"/>
    <n v="0"/>
    <n v="0"/>
    <n v="89917.276194025748"/>
    <m/>
    <n v="11421.478596733306"/>
    <n v="51378.123098736287"/>
    <n v="239568.60835089814"/>
    <n v="0"/>
    <n v="0"/>
    <n v="0"/>
    <n v="0"/>
    <n v="0"/>
    <n v="0"/>
    <n v="0"/>
    <n v="0"/>
    <n v="0"/>
    <n v="0"/>
    <m/>
    <n v="0"/>
    <n v="0"/>
    <n v="0"/>
    <n v="0"/>
    <n v="0"/>
    <n v="84534.56422003833"/>
    <n v="0"/>
    <n v="4643.79"/>
    <n v="53564.84"/>
    <n v="1605915.98"/>
    <n v="45852"/>
    <m/>
    <m/>
    <m/>
    <m/>
    <m/>
    <m/>
    <m/>
    <m/>
    <m/>
    <n v="1695272.0099891108"/>
    <m/>
    <m/>
    <m/>
    <m/>
    <m/>
    <m/>
    <m/>
    <m/>
    <m/>
    <m/>
    <m/>
    <m/>
    <n v="4812058.7511"/>
    <n v="-308264.22101999912"/>
    <m/>
    <m/>
    <m/>
    <m/>
    <n v="-512419.98971999995"/>
    <n v="204154.78092000002"/>
    <n v="30"/>
    <n v="244978.10497656884"/>
    <n v="5119.7201489987565"/>
    <n v="23872.499758012127"/>
    <n v="0"/>
    <n v="0"/>
    <n v="0"/>
    <n v="0"/>
    <n v="0"/>
    <n v="23943.515736501016"/>
    <n v="0"/>
    <n v="0"/>
    <n v="204131.73066464462"/>
    <n v="0"/>
    <n v="0"/>
    <n v="0"/>
    <n v="10713.221413300664"/>
    <n v="0"/>
    <n v="-19761.877056244179"/>
    <m/>
    <n v="0"/>
    <n v="0"/>
    <n v="0"/>
    <n v="0"/>
    <n v="-2717.5757278798847"/>
    <n v="-323.12996076417221"/>
    <n v="0"/>
    <n v="0"/>
    <m/>
    <m/>
    <m/>
    <n v="2227236.0459401277"/>
    <n v="0"/>
    <n v="0"/>
    <n v="-512419.98971999995"/>
    <n v="204154.78092000005"/>
    <n v="0"/>
    <n v="0"/>
    <n v="-553283.21345023811"/>
    <n v="0"/>
    <n v="0"/>
    <n v="0"/>
    <n v="0"/>
    <n v="0"/>
    <n v="0"/>
    <n v="0"/>
    <n v="0"/>
    <n v="0"/>
    <n v="0"/>
    <n v="0"/>
    <n v="0"/>
    <n v="148624.8897360586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4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2.68"/>
    <n v="-2.68"/>
    <n v="-2.68"/>
    <n v="-2.68"/>
    <m/>
    <n v="368.24"/>
    <n v="173.25"/>
    <m/>
    <n v="-1451.1932000000002"/>
    <n v="-1451.1932000000002"/>
    <n v="-1363.8252000000002"/>
    <n v="0"/>
    <n v="-164.94109097431269"/>
    <n v="0"/>
    <n v="0"/>
    <n v="-6.8595601378805977"/>
    <n v="-6.5904991181676662"/>
    <n v="-631.23944352716433"/>
    <n v="-456.51246116863888"/>
    <n v="-7.7913858618505509"/>
    <n v="0"/>
    <n v="0"/>
    <n v="0"/>
    <n v="0"/>
    <n v="-25.484201143232099"/>
    <m/>
    <n v="-3.2370559944920894"/>
    <n v="-14.561500067958342"/>
    <n v="-67.898126602995603"/>
    <n v="0"/>
    <n v="0"/>
    <n v="0"/>
    <n v="0"/>
    <n v="0"/>
    <n v="0"/>
    <n v="0"/>
    <n v="0"/>
    <n v="0"/>
    <n v="0"/>
    <m/>
    <n v="0"/>
    <n v="0"/>
    <n v="0"/>
    <n v="0"/>
    <n v="0"/>
    <n v="-23.958642091096429"/>
    <n v="0"/>
    <n v="-1.26"/>
    <n v="-15.35"/>
    <n v="-509.57"/>
    <n v="0"/>
    <m/>
    <m/>
    <m/>
    <m/>
    <m/>
    <m/>
    <m/>
    <m/>
    <m/>
    <n v="-480.47110325973529"/>
    <m/>
    <m/>
    <m/>
    <m/>
    <m/>
    <m/>
    <m/>
    <m/>
    <m/>
    <m/>
    <m/>
    <m/>
    <n v="-1363.8252000000002"/>
    <n v="87.337999999999965"/>
    <m/>
    <m/>
    <m/>
    <m/>
    <n v="145.22919999999999"/>
    <n v="-57.861200000000011"/>
    <n v="30"/>
    <n v="-69.431276915453395"/>
    <n v="-1.451022357401115"/>
    <n v="-6.7659031876386138"/>
    <n v="0"/>
    <n v="0"/>
    <n v="0"/>
    <n v="0"/>
    <n v="0"/>
    <n v="-6.7860304152059774"/>
    <n v="0"/>
    <n v="0"/>
    <n v="-57.854667135919271"/>
    <n v="0"/>
    <n v="0"/>
    <n v="0"/>
    <n v="-3.0363229508799883"/>
    <n v="0"/>
    <n v="5.6008775085939533"/>
    <m/>
    <n v="0"/>
    <n v="0"/>
    <n v="0"/>
    <n v="0"/>
    <n v="0.77021068033483786"/>
    <n v="9.1580942662784715E-2"/>
    <n v="0"/>
    <n v="0"/>
    <m/>
    <m/>
    <m/>
    <n v="-631.23944352716433"/>
    <n v="0"/>
    <n v="0"/>
    <n v="145.22919999999999"/>
    <n v="-57.861199999999997"/>
    <n v="0"/>
    <n v="0"/>
    <n v="156.81058521295063"/>
    <n v="0"/>
    <n v="0"/>
    <n v="0"/>
    <n v="0"/>
    <n v="0"/>
    <n v="0"/>
    <n v="0"/>
    <n v="0"/>
    <n v="0"/>
    <n v="0"/>
    <n v="0"/>
    <n v="0"/>
    <n v="-42.12301289856092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5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302.39400000000001"/>
    <n v="302.39400000000001"/>
    <n v="302.39400000000001"/>
    <n v="302.39400000000001"/>
    <m/>
    <n v="368.24"/>
    <n v="173.25"/>
    <m/>
    <n v="163743.32706000001"/>
    <n v="163743.32706000001"/>
    <n v="153885.28266000003"/>
    <n v="0"/>
    <n v="18610.894128390413"/>
    <n v="0"/>
    <n v="0"/>
    <n v="773.98874191577067"/>
    <n v="743.62962326089291"/>
    <n v="71225.007569385562"/>
    <n v="51509.936262175142"/>
    <n v="879.12997623449087"/>
    <n v="0"/>
    <n v="0"/>
    <n v="0"/>
    <n v="0"/>
    <n v="2875.4737016815402"/>
    <m/>
    <n v="365.24862328300031"/>
    <n v="1643.026213264998"/>
    <n v="7661.1888417859136"/>
    <n v="0"/>
    <n v="0"/>
    <n v="0"/>
    <n v="0"/>
    <n v="0"/>
    <n v="0"/>
    <n v="0"/>
    <n v="0"/>
    <n v="0"/>
    <n v="0"/>
    <m/>
    <n v="0"/>
    <n v="0"/>
    <n v="0"/>
    <n v="0"/>
    <n v="0"/>
    <n v="2703.3394091399305"/>
    <n v="0"/>
    <n v="146.46"/>
    <n v="1710.47"/>
    <n v="109342.96"/>
    <n v="2049"/>
    <m/>
    <m/>
    <m/>
    <m/>
    <m/>
    <m/>
    <m/>
    <m/>
    <m/>
    <n v="54213.275671315074"/>
    <m/>
    <m/>
    <m/>
    <m/>
    <m/>
    <m/>
    <m/>
    <m/>
    <m/>
    <m/>
    <m/>
    <m/>
    <n v="153883.24709999998"/>
    <n v="-9860.1099600000307"/>
    <m/>
    <m/>
    <m/>
    <m/>
    <n v="-16386.73086"/>
    <n v="6528.6864600000008"/>
    <n v="30"/>
    <n v="7834.1796834222623"/>
    <n v="163.72405027759442"/>
    <n v="763.42109273238566"/>
    <n v="0"/>
    <n v="0"/>
    <n v="0"/>
    <n v="0"/>
    <n v="0"/>
    <n v="765.69211991634188"/>
    <n v="0"/>
    <n v="0"/>
    <n v="6527.9493335444713"/>
    <n v="0"/>
    <n v="0"/>
    <n v="0"/>
    <n v="342.5991949285085"/>
    <n v="0"/>
    <n v="-631.96707213946138"/>
    <m/>
    <n v="0"/>
    <n v="0"/>
    <n v="0"/>
    <n v="0"/>
    <n v="-86.905630025811206"/>
    <n v="-10.333405811779926"/>
    <n v="0"/>
    <n v="0"/>
    <m/>
    <m/>
    <m/>
    <n v="71225.007569385562"/>
    <n v="0"/>
    <n v="0"/>
    <n v="-16386.730859999996"/>
    <n v="6528.6864599999972"/>
    <n v="0"/>
    <n v="0"/>
    <n v="-17693.50003913619"/>
    <n v="0"/>
    <n v="0"/>
    <n v="0"/>
    <n v="0"/>
    <n v="0"/>
    <n v="0"/>
    <n v="0"/>
    <n v="0"/>
    <n v="0"/>
    <n v="0"/>
    <n v="0"/>
    <n v="0"/>
    <n v="4752.890433749041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6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49.387999999999998"/>
    <n v="49.387999999999998"/>
    <n v="49.387999999999998"/>
    <n v="49.387999999999998"/>
    <m/>
    <n v="281.47000000000003"/>
    <n v="173.25"/>
    <m/>
    <n v="22457.711360000001"/>
    <n v="22457.711360000001"/>
    <n v="20965.205999999998"/>
    <n v="0"/>
    <n v="0"/>
    <n v="0"/>
    <n v="0"/>
    <n v="126.41043137673392"/>
    <n v="121.45207852539725"/>
    <n v="11632.706580940145"/>
    <n v="8412.7751612674383"/>
    <n v="143.58244960637126"/>
    <n v="0"/>
    <n v="0"/>
    <n v="0"/>
    <n v="0"/>
    <n v="0"/>
    <m/>
    <n v="59.653627408946008"/>
    <n v="268.34453931206212"/>
    <n v="1251.2509987569949"/>
    <n v="0"/>
    <n v="0"/>
    <n v="0"/>
    <n v="0"/>
    <n v="0"/>
    <n v="0"/>
    <n v="0"/>
    <n v="0"/>
    <n v="0"/>
    <n v="0"/>
    <m/>
    <n v="0"/>
    <n v="0"/>
    <n v="0"/>
    <n v="0"/>
    <n v="0"/>
    <n v="441.518438654877"/>
    <n v="0"/>
    <n v="0.02"/>
    <n v="82.18"/>
    <n v="2355.79"/>
    <n v="86"/>
    <m/>
    <m/>
    <m/>
    <m/>
    <m/>
    <m/>
    <m/>
    <n v="13627.63084"/>
    <m/>
    <n v="8854.2935999223155"/>
    <m/>
    <m/>
    <m/>
    <m/>
    <m/>
    <m/>
    <m/>
    <m/>
    <m/>
    <m/>
    <m/>
    <m/>
    <n v="7337.8722999999991"/>
    <n v="-522.75178000000142"/>
    <m/>
    <m/>
    <m/>
    <m/>
    <n v="-2558.7922800000015"/>
    <n v="1066.2869200000002"/>
    <n v="30"/>
    <n v="1396.9131372295615"/>
    <n v="26.739959771390431"/>
    <n v="124.68448754891642"/>
    <n v="0"/>
    <n v="0"/>
    <n v="0"/>
    <n v="0"/>
    <n v="0"/>
    <n v="125.05539930828088"/>
    <n v="0"/>
    <n v="0"/>
    <n v="1066.1665300405912"/>
    <n v="0"/>
    <n v="0"/>
    <n v="0"/>
    <n v="55.954446976888391"/>
    <n v="0"/>
    <n v="0"/>
    <m/>
    <n v="0"/>
    <n v="0"/>
    <n v="0"/>
    <n v="0"/>
    <n v="0"/>
    <n v="-1.6876864165035954"/>
    <n v="0"/>
    <n v="0"/>
    <m/>
    <m/>
    <m/>
    <n v="11632.706580940145"/>
    <n v="0"/>
    <n v="0"/>
    <n v="-2558.7922800000015"/>
    <n v="1066.2869200000005"/>
    <n v="0"/>
    <n v="0"/>
    <n v="-2889.7616352601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7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01.41500000000001"/>
    <n v="101.41500000000001"/>
    <n v="101.41500000000001"/>
    <n v="101.41500000000001"/>
    <m/>
    <n v="281.47000000000003"/>
    <n v="173.25"/>
    <m/>
    <n v="46115.428800000009"/>
    <n v="46115.428800000009"/>
    <n v="43050.667500000003"/>
    <n v="0"/>
    <n v="0"/>
    <n v="0"/>
    <n v="0"/>
    <n v="259.57548185938839"/>
    <n v="249.39383136902009"/>
    <n v="23886.995584069915"/>
    <n v="17275.07882440952"/>
    <n v="294.83708849984089"/>
    <n v="0"/>
    <n v="0"/>
    <n v="0"/>
    <n v="0"/>
    <n v="0"/>
    <m/>
    <n v="122.49478868709525"/>
    <n v="551.02780947462509"/>
    <n v="2569.3613841204474"/>
    <n v="0"/>
    <n v="0"/>
    <n v="0"/>
    <n v="0"/>
    <n v="0"/>
    <n v="0"/>
    <n v="0"/>
    <n v="0"/>
    <n v="0"/>
    <n v="0"/>
    <m/>
    <n v="0"/>
    <n v="0"/>
    <n v="0"/>
    <n v="0"/>
    <n v="0"/>
    <n v="906.62898793602403"/>
    <n v="0"/>
    <n v="26.71"/>
    <n v="291.06"/>
    <n v="8678.26"/>
    <n v="289"/>
    <m/>
    <m/>
    <m/>
    <m/>
    <m/>
    <m/>
    <m/>
    <n v="17221.281150000003"/>
    <m/>
    <n v="18181.707812345543"/>
    <m/>
    <m/>
    <m/>
    <m/>
    <m/>
    <m/>
    <m/>
    <m/>
    <m/>
    <m/>
    <m/>
    <m/>
    <n v="25830.659800000001"/>
    <n v="-1838.4246499999972"/>
    <m/>
    <m/>
    <m/>
    <m/>
    <n v="-5254.3111500000032"/>
    <n v="2189.5498500000003"/>
    <n v="30"/>
    <n v="2868.4689765152762"/>
    <n v="54.908743423818692"/>
    <n v="256.03137006506358"/>
    <n v="0"/>
    <n v="0"/>
    <n v="0"/>
    <n v="0"/>
    <n v="0"/>
    <n v="256.79301289481873"/>
    <n v="0"/>
    <n v="0"/>
    <n v="2189.30263716017"/>
    <n v="0"/>
    <n v="0"/>
    <n v="0"/>
    <n v="114.89876569533362"/>
    <n v="0"/>
    <n v="0"/>
    <m/>
    <n v="0"/>
    <n v="0"/>
    <n v="0"/>
    <n v="0"/>
    <n v="0"/>
    <n v="-3.465552723935204"/>
    <n v="0"/>
    <n v="0"/>
    <m/>
    <m/>
    <m/>
    <n v="23886.995584069915"/>
    <n v="0"/>
    <n v="0"/>
    <n v="-5254.311150000005"/>
    <n v="2189.5498500000031"/>
    <n v="0"/>
    <n v="0"/>
    <n v="-5933.9348878251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8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04.858"/>
    <n v="104.858"/>
    <n v="104.858"/>
    <n v="104.858"/>
    <m/>
    <n v="281.47000000000003"/>
    <n v="173.25"/>
    <m/>
    <n v="47681.029760000005"/>
    <n v="47681.029760000005"/>
    <n v="44512.221000000005"/>
    <n v="0"/>
    <n v="0"/>
    <n v="0"/>
    <n v="0"/>
    <n v="268.38796900667302"/>
    <n v="257.86065542269591"/>
    <n v="24697.949839317684"/>
    <n v="17861.561064634752"/>
    <n v="304.84669354549442"/>
    <n v="0"/>
    <n v="0"/>
    <n v="0"/>
    <n v="0"/>
    <n v="0"/>
    <m/>
    <n v="126.65343935464608"/>
    <n v="569.73499034551332"/>
    <n v="2656.590208707803"/>
    <n v="0"/>
    <n v="0"/>
    <n v="0"/>
    <n v="0"/>
    <n v="0"/>
    <n v="0"/>
    <n v="0"/>
    <n v="0"/>
    <n v="0"/>
    <n v="0"/>
    <m/>
    <n v="0"/>
    <n v="0"/>
    <n v="0"/>
    <n v="0"/>
    <n v="0"/>
    <n v="937.40869118962291"/>
    <n v="0"/>
    <n v="38.15"/>
    <n v="441.45"/>
    <n v="13506.92"/>
    <n v="756"/>
    <m/>
    <m/>
    <m/>
    <m/>
    <m/>
    <m/>
    <m/>
    <n v="4452.2706800000014"/>
    <m/>
    <n v="18798.969755824375"/>
    <m/>
    <m/>
    <m/>
    <m/>
    <m/>
    <m/>
    <m/>
    <m/>
    <m/>
    <m/>
    <m/>
    <m/>
    <n v="40060.714399999997"/>
    <n v="-2851.4035199999998"/>
    <m/>
    <m/>
    <m/>
    <m/>
    <n v="-5432.6929800000034"/>
    <n v="2263.8842200000004"/>
    <n v="30"/>
    <n v="2965.8523881027249"/>
    <n v="56.772874012076954"/>
    <n v="264.72353598858626"/>
    <n v="0"/>
    <n v="0"/>
    <n v="0"/>
    <n v="0"/>
    <n v="0"/>
    <n v="265.51103629763747"/>
    <n v="0"/>
    <n v="0"/>
    <n v="2263.6286143799334"/>
    <n v="0"/>
    <n v="0"/>
    <n v="0"/>
    <n v="118.79953432215439"/>
    <n v="0"/>
    <n v="0"/>
    <m/>
    <n v="0"/>
    <n v="0"/>
    <n v="0"/>
    <n v="0"/>
    <n v="0"/>
    <n v="-3.5832068976620519"/>
    <n v="0"/>
    <n v="0"/>
    <m/>
    <m/>
    <m/>
    <n v="24697.949839317684"/>
    <n v="0"/>
    <n v="0"/>
    <n v="-5432.6929800000034"/>
    <n v="2263.8842200000036"/>
    <n v="0"/>
    <n v="0"/>
    <n v="-6135.3896806938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69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55.104999999999997"/>
    <n v="55.104999999999997"/>
    <n v="55.104999999999997"/>
    <n v="55.104999999999997"/>
    <m/>
    <n v="281.47000000000003"/>
    <n v="173.25"/>
    <m/>
    <n v="25057.345600000001"/>
    <n v="25057.345600000001"/>
    <n v="23392.072499999998"/>
    <n v="0"/>
    <n v="0"/>
    <n v="0"/>
    <n v="0"/>
    <n v="141.04330649175756"/>
    <n v="135.51099026366759"/>
    <n v="12979.27221476283"/>
    <n v="9386.6116316036714"/>
    <n v="160.20310370047559"/>
    <n v="0"/>
    <n v="0"/>
    <n v="0"/>
    <n v="0"/>
    <n v="0"/>
    <m/>
    <n v="66.558944244957672"/>
    <n v="299.40726165852402"/>
    <n v="1396.0918904694299"/>
    <n v="0"/>
    <n v="0"/>
    <n v="0"/>
    <n v="0"/>
    <n v="0"/>
    <n v="0"/>
    <n v="0"/>
    <n v="0"/>
    <n v="0"/>
    <n v="0"/>
    <m/>
    <n v="0"/>
    <n v="0"/>
    <n v="0"/>
    <n v="0"/>
    <n v="0"/>
    <n v="492.62722851860769"/>
    <n v="0"/>
    <n v="24.47"/>
    <n v="260.7"/>
    <n v="7891.53"/>
    <n v="513"/>
    <m/>
    <m/>
    <m/>
    <m/>
    <m/>
    <m/>
    <m/>
    <m/>
    <m/>
    <n v="9879.2388601222792"/>
    <m/>
    <m/>
    <m/>
    <m/>
    <m/>
    <m/>
    <m/>
    <m/>
    <m/>
    <m/>
    <m/>
    <m/>
    <n v="23394.195"/>
    <n v="-1663.1805999999997"/>
    <m/>
    <m/>
    <m/>
    <m/>
    <n v="-2854.9900500000017"/>
    <n v="1189.7169500000002"/>
    <n v="30"/>
    <n v="1558.6154212973815"/>
    <n v="29.835293658428498"/>
    <n v="139.11757281896485"/>
    <n v="0"/>
    <n v="0"/>
    <n v="0"/>
    <n v="0"/>
    <n v="0"/>
    <n v="139.53142016041991"/>
    <n v="0"/>
    <n v="0"/>
    <n v="1189.5826240764309"/>
    <n v="0"/>
    <n v="0"/>
    <n v="0"/>
    <n v="62.431558286657378"/>
    <n v="0"/>
    <n v="0"/>
    <m/>
    <n v="0"/>
    <n v="0"/>
    <n v="0"/>
    <n v="0"/>
    <n v="0"/>
    <n v="-1.8830477035196793"/>
    <n v="0"/>
    <n v="0"/>
    <m/>
    <m/>
    <m/>
    <n v="12979.27221476283"/>
    <n v="0"/>
    <n v="0"/>
    <n v="-2854.9900500000022"/>
    <n v="1189.71695"/>
    <n v="0"/>
    <n v="0"/>
    <n v="-3224.2713799103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0"/>
    <s v="Regular"/>
    <s v="Branca"/>
    <s v="B1"/>
    <s v="Residencial"/>
    <s v="Residencial"/>
    <s v="Não se aplica"/>
    <s v="Não se aplica"/>
    <s v="Ponta"/>
    <s v="CATIVO"/>
    <x v="11"/>
    <n v="0"/>
    <n v="0"/>
    <n v="0.51600000000000001"/>
    <n v="0.51600000000000001"/>
    <n v="0.51600000000000001"/>
    <n v="0.51600000000000001"/>
    <m/>
    <n v="775.22"/>
    <n v="173.25"/>
    <m/>
    <n v="489.41052000000002"/>
    <n v="489.41052000000002"/>
    <n v="431.63400000000001"/>
    <n v="0"/>
    <n v="31.757314530875128"/>
    <n v="0"/>
    <n v="0"/>
    <n v="3.3015691685733453"/>
    <n v="3.1720824783201795"/>
    <n v="303.84281090516635"/>
    <n v="87.895682822021513"/>
    <n v="1.5001325017592853"/>
    <n v="0"/>
    <n v="0"/>
    <n v="0"/>
    <n v="0"/>
    <n v="4.9066596230999115"/>
    <m/>
    <n v="0.62325406461116351"/>
    <n v="7.0086830290341533"/>
    <n v="32.680211976397537"/>
    <n v="0"/>
    <n v="0"/>
    <n v="0"/>
    <n v="0"/>
    <n v="0"/>
    <n v="0"/>
    <n v="0"/>
    <n v="0"/>
    <n v="0"/>
    <n v="0"/>
    <m/>
    <n v="0"/>
    <n v="0"/>
    <n v="0"/>
    <n v="0"/>
    <n v="0"/>
    <n v="4.6129325817185665"/>
    <n v="0"/>
    <n v="0"/>
    <n v="0"/>
    <n v="0"/>
    <n v="0"/>
    <m/>
    <m/>
    <m/>
    <m/>
    <m/>
    <m/>
    <m/>
    <m/>
    <m/>
    <n v="92.50861540374008"/>
    <m/>
    <m/>
    <m/>
    <m/>
    <m/>
    <m/>
    <m/>
    <m/>
    <m/>
    <m/>
    <m/>
    <m/>
    <n v="434.98"/>
    <n v="-54.460519999999974"/>
    <m/>
    <m/>
    <m/>
    <m/>
    <n v="-68.916960000000032"/>
    <n v="11.140440000000002"/>
    <n v="30"/>
    <n v="17.70059017016419"/>
    <n v="0.6984002831853795"/>
    <n v="3.2565132713699469"/>
    <n v="0"/>
    <n v="0"/>
    <n v="0"/>
    <n v="0"/>
    <n v="0"/>
    <n v="3.2661939242330718"/>
    <n v="0"/>
    <n v="0"/>
    <n v="11.139182179900885"/>
    <n v="0"/>
    <n v="0"/>
    <n v="0"/>
    <n v="0.58460546367689314"/>
    <n v="0"/>
    <n v="-1.0783779083710741"/>
    <m/>
    <n v="0"/>
    <n v="0"/>
    <n v="0"/>
    <n v="0"/>
    <n v="-0.14829429516894699"/>
    <n v="-1.7632748661939202E-2"/>
    <n v="0"/>
    <n v="0"/>
    <m/>
    <m/>
    <m/>
    <n v="303.84281090516635"/>
    <n v="0"/>
    <n v="0"/>
    <n v="-68.916960000000017"/>
    <n v="11.140439999999998"/>
    <n v="0"/>
    <n v="0"/>
    <n v="-75.479708182614985"/>
    <n v="0"/>
    <n v="0"/>
    <n v="0"/>
    <n v="0"/>
    <n v="0"/>
    <n v="0"/>
    <n v="0"/>
    <n v="0"/>
    <n v="0"/>
    <n v="0"/>
    <n v="0"/>
    <n v="0"/>
    <n v="8.110251737185610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1"/>
    <s v="Regular"/>
    <s v="Branca"/>
    <s v="B1"/>
    <s v="Residencial"/>
    <s v="Residencial"/>
    <s v="Não se aplica"/>
    <s v="Não se aplica"/>
    <s v="Fora ponta"/>
    <s v="CATIVO"/>
    <x v="11"/>
    <n v="0"/>
    <n v="0"/>
    <n v="4.16"/>
    <n v="4.16"/>
    <n v="4.16"/>
    <n v="4.16"/>
    <m/>
    <n v="232.58"/>
    <n v="173.25"/>
    <m/>
    <n v="1688.2528000000002"/>
    <n v="1688.2528000000002"/>
    <n v="1662.7103999999999"/>
    <n v="0"/>
    <n v="256.02796210938089"/>
    <n v="0"/>
    <n v="0"/>
    <n v="5.323837718952106"/>
    <n v="5.1150142409659498"/>
    <n v="489.9171800509335"/>
    <n v="708.6163576349021"/>
    <n v="12.094091487051601"/>
    <n v="0"/>
    <n v="0"/>
    <n v="0"/>
    <n v="0"/>
    <n v="39.557565953673709"/>
    <m/>
    <n v="5.0246839317489149"/>
    <n v="11.301920232843718"/>
    <n v="52.697053482921952"/>
    <n v="0"/>
    <n v="0"/>
    <n v="0"/>
    <n v="0"/>
    <n v="0"/>
    <n v="0"/>
    <n v="0"/>
    <n v="0"/>
    <n v="0"/>
    <n v="0"/>
    <m/>
    <n v="0"/>
    <n v="0"/>
    <n v="0"/>
    <n v="0"/>
    <n v="0"/>
    <n v="37.189533992149677"/>
    <n v="0"/>
    <n v="0"/>
    <n v="0"/>
    <n v="0"/>
    <n v="0"/>
    <m/>
    <m/>
    <m/>
    <m/>
    <m/>
    <m/>
    <m/>
    <m/>
    <m/>
    <n v="745.80589162705178"/>
    <m/>
    <m/>
    <m/>
    <m/>
    <m/>
    <m/>
    <m/>
    <m/>
    <m/>
    <m/>
    <m/>
    <m/>
    <n v="1662.7103999999999"/>
    <n v="-25.572400000000243"/>
    <m/>
    <m/>
    <m/>
    <m/>
    <n v="-115.35680000000008"/>
    <n v="89.81440000000002"/>
    <n v="30"/>
    <n v="96.129882741601477"/>
    <n v="1.1262121939968228"/>
    <n v="5.2511487426449008"/>
    <n v="0"/>
    <n v="0"/>
    <n v="0"/>
    <n v="0"/>
    <n v="0"/>
    <n v="5.2667698744882205"/>
    <n v="0"/>
    <n v="0"/>
    <n v="89.804259434859773"/>
    <n v="0"/>
    <n v="0"/>
    <n v="0"/>
    <n v="4.7130983118137166"/>
    <n v="0"/>
    <n v="-8.6938994163249674"/>
    <m/>
    <n v="0"/>
    <n v="0"/>
    <n v="0"/>
    <n v="0"/>
    <n v="-1.1955509067884122"/>
    <n v="-0.14215549308850228"/>
    <n v="0"/>
    <n v="0"/>
    <m/>
    <m/>
    <m/>
    <n v="489.9171800509335"/>
    <n v="0"/>
    <n v="0"/>
    <n v="-115.35680000000002"/>
    <n v="89.814399999999978"/>
    <n v="0"/>
    <n v="0"/>
    <n v="-121.70373777721494"/>
    <n v="0"/>
    <n v="0"/>
    <n v="0"/>
    <n v="0"/>
    <n v="0"/>
    <n v="0"/>
    <n v="0"/>
    <n v="0"/>
    <n v="0"/>
    <n v="0"/>
    <n v="0"/>
    <n v="0"/>
    <n v="65.38497524552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2"/>
    <s v="Regular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2799999999999998"/>
    <n v="25.53"/>
    <n v="773.99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73"/>
    <s v="Regular"/>
    <s v="Branca"/>
    <s v="B1"/>
    <s v="Residencial"/>
    <s v="Residencial"/>
    <s v="Não se aplica"/>
    <s v="Não se aplica"/>
    <s v="Intermediário"/>
    <s v="CATIVO"/>
    <x v="11"/>
    <n v="0"/>
    <n v="0"/>
    <n v="0.32400000000000001"/>
    <n v="0.32400000000000001"/>
    <n v="0.32400000000000001"/>
    <n v="0.32400000000000001"/>
    <m/>
    <n v="503.9"/>
    <n v="173.25"/>
    <m/>
    <n v="219.39660000000001"/>
    <n v="219.39660000000001"/>
    <n v="200.26116000000002"/>
    <n v="0"/>
    <n v="19.940639356596009"/>
    <n v="0"/>
    <n v="0"/>
    <n v="1.2437882089293193"/>
    <n v="1.195013158795565"/>
    <n v="114.4709636317609"/>
    <n v="55.190312469641412"/>
    <n v="0.9419436638953651"/>
    <n v="0"/>
    <n v="0"/>
    <n v="0"/>
    <n v="0"/>
    <n v="3.0809258098534329"/>
    <m/>
    <n v="0.39134557545352128"/>
    <n v="2.6403808142495189"/>
    <n v="12.311553616619152"/>
    <n v="0"/>
    <n v="0"/>
    <n v="0"/>
    <n v="0"/>
    <n v="0"/>
    <n v="0"/>
    <n v="0"/>
    <n v="0"/>
    <n v="0"/>
    <n v="0"/>
    <m/>
    <n v="0"/>
    <n v="0"/>
    <n v="0"/>
    <n v="0"/>
    <n v="0"/>
    <n v="2.8964925513116579"/>
    <n v="0"/>
    <n v="0"/>
    <n v="0"/>
    <n v="0"/>
    <n v="0"/>
    <m/>
    <m/>
    <m/>
    <m/>
    <m/>
    <m/>
    <m/>
    <m/>
    <m/>
    <n v="58.086805020953072"/>
    <m/>
    <m/>
    <m/>
    <m/>
    <m/>
    <m/>
    <m/>
    <m/>
    <m/>
    <m/>
    <m/>
    <m/>
    <n v="197.78880000000001"/>
    <n v="-21.63779999999997"/>
    <m/>
    <m/>
    <m/>
    <m/>
    <n v="-26.130599999999994"/>
    <n v="6.9951600000000012"/>
    <n v="30"/>
    <n v="9.3005362031488374"/>
    <n v="0.26310830447746403"/>
    <n v="1.2268200026566127"/>
    <n v="0"/>
    <n v="0"/>
    <n v="0"/>
    <n v="0"/>
    <n v="0"/>
    <n v="1.2304676014299676"/>
    <n v="0"/>
    <n v="0"/>
    <n v="6.9943702059842749"/>
    <n v="0"/>
    <n v="0"/>
    <n v="0"/>
    <n v="0.36707784928549136"/>
    <n v="0"/>
    <n v="-0.67712101223299825"/>
    <m/>
    <n v="0"/>
    <n v="0"/>
    <n v="0"/>
    <n v="0"/>
    <n v="-9.3115022547943127E-2"/>
    <n v="-1.1071725904008345E-2"/>
    <n v="0"/>
    <n v="0"/>
    <m/>
    <m/>
    <m/>
    <n v="114.4709636317609"/>
    <n v="0"/>
    <n v="0"/>
    <n v="-26.130599999999987"/>
    <n v="6.9951599999999985"/>
    <n v="0"/>
    <n v="0"/>
    <n v="-28.436529087419459"/>
    <n v="0"/>
    <n v="0"/>
    <n v="0"/>
    <n v="0"/>
    <n v="0"/>
    <n v="0"/>
    <n v="0"/>
    <n v="0"/>
    <n v="0"/>
    <n v="0"/>
    <n v="0"/>
    <n v="0"/>
    <n v="5.092483648930499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4"/>
    <s v="Regular"/>
    <s v="Convencional"/>
    <s v="B3"/>
    <s v="Industrial"/>
    <s v="Não se aplica"/>
    <s v="Não se aplica"/>
    <s v="Não se aplica"/>
    <s v="Não se aplica"/>
    <s v="CATIVO"/>
    <x v="11"/>
    <n v="0"/>
    <n v="0"/>
    <n v="458.35700000000003"/>
    <n v="458.35700000000003"/>
    <n v="458.35700000000003"/>
    <n v="458.35700000000003"/>
    <m/>
    <n v="368.24"/>
    <n v="173.25"/>
    <m/>
    <n v="248195.73193000001"/>
    <n v="248195.73193000001"/>
    <n v="233253.29373000003"/>
    <n v="0"/>
    <n v="28209.665535713819"/>
    <n v="0"/>
    <n v="0"/>
    <n v="1173.181867954678"/>
    <n v="1127.1647030992451"/>
    <n v="107960.08120029121"/>
    <n v="78076.747076072308"/>
    <n v="1332.5508393582959"/>
    <n v="0"/>
    <n v="0"/>
    <n v="0"/>
    <n v="0"/>
    <n v="4358.5305908240434"/>
    <m/>
    <n v="553.62958002515325"/>
    <n v="2490.4348830780527"/>
    <n v="11612.530453495991"/>
    <n v="0"/>
    <n v="0"/>
    <n v="0"/>
    <n v="0"/>
    <n v="0"/>
    <n v="0"/>
    <n v="0"/>
    <n v="0"/>
    <n v="0"/>
    <n v="0"/>
    <m/>
    <n v="0"/>
    <n v="0"/>
    <n v="0"/>
    <n v="0"/>
    <n v="0"/>
    <n v="4097.6161615480169"/>
    <n v="0"/>
    <n v="234.69"/>
    <n v="2596.9499999999998"/>
    <n v="48855.68"/>
    <n v="277"/>
    <m/>
    <m/>
    <m/>
    <m/>
    <m/>
    <m/>
    <m/>
    <m/>
    <m/>
    <n v="82174.363237620331"/>
    <m/>
    <m/>
    <m/>
    <m/>
    <m/>
    <m/>
    <m/>
    <m/>
    <m/>
    <m/>
    <m/>
    <m/>
    <n v="233254.82040000003"/>
    <n v="-14940.941530000011"/>
    <m/>
    <m/>
    <m/>
    <m/>
    <n v="-24838.365829999999"/>
    <n v="9895.927630000002"/>
    <n v="30"/>
    <n v="11874.743206394196"/>
    <n v="248.16651293705354"/>
    <n v="1157.1638385733113"/>
    <n v="0"/>
    <n v="0"/>
    <n v="0"/>
    <n v="0"/>
    <n v="0"/>
    <n v="1160.606172769614"/>
    <n v="0"/>
    <n v="0"/>
    <n v="9894.8103225442464"/>
    <n v="0"/>
    <n v="0"/>
    <n v="0"/>
    <n v="519.29846223749973"/>
    <n v="0"/>
    <n v="-957.91097470395471"/>
    <m/>
    <n v="0"/>
    <n v="0"/>
    <n v="0"/>
    <n v="0"/>
    <n v="-131.72815552471548"/>
    <n v="-15.662972438838096"/>
    <n v="0"/>
    <n v="0"/>
    <m/>
    <m/>
    <m/>
    <n v="107960.08120029121"/>
    <n v="0"/>
    <n v="0"/>
    <n v="-24838.365829999995"/>
    <n v="9895.9276300000056"/>
    <n v="0"/>
    <n v="0"/>
    <n v="-26819.115450168814"/>
    <n v="0"/>
    <n v="0"/>
    <n v="0"/>
    <n v="0"/>
    <n v="0"/>
    <n v="0"/>
    <n v="0"/>
    <n v="0"/>
    <n v="0"/>
    <n v="0"/>
    <n v="0"/>
    <n v="0"/>
    <n v="7204.245456397644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5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105.74"/>
    <n v="105.74"/>
    <n v="105.74"/>
    <n v="105.74"/>
    <m/>
    <n v="368.24"/>
    <n v="173.25"/>
    <m/>
    <n v="57257.152600000001"/>
    <n v="57257.152600000001"/>
    <n v="53810.028599999998"/>
    <n v="0"/>
    <n v="6507.7876715014254"/>
    <n v="0"/>
    <n v="0"/>
    <n v="270.64548096249791"/>
    <n v="260.02961819218245"/>
    <n v="24905.693566627742"/>
    <n v="18011.801359690995"/>
    <n v="307.41087351943179"/>
    <n v="0"/>
    <n v="0"/>
    <n v="0"/>
    <n v="0"/>
    <n v="1005.4848615243887"/>
    <m/>
    <n v="127.718768976714"/>
    <n v="574.52724521862501"/>
    <n v="2678.9357861943113"/>
    <n v="0"/>
    <n v="0"/>
    <n v="0"/>
    <n v="0"/>
    <n v="0"/>
    <n v="0"/>
    <n v="0"/>
    <n v="0"/>
    <n v="0"/>
    <n v="0"/>
    <m/>
    <n v="0"/>
    <n v="0"/>
    <n v="0"/>
    <n v="0"/>
    <n v="0"/>
    <n v="945.29358757930459"/>
    <n v="0"/>
    <n v="55.75"/>
    <n v="615.87"/>
    <n v="16463.169999999998"/>
    <n v="68"/>
    <m/>
    <m/>
    <m/>
    <m/>
    <m/>
    <m/>
    <m/>
    <m/>
    <m/>
    <n v="18957.0949472703"/>
    <m/>
    <m/>
    <m/>
    <m/>
    <m/>
    <m/>
    <m/>
    <m/>
    <m/>
    <m/>
    <m/>
    <m/>
    <n v="53810.028599999998"/>
    <n v="-3447.1540000000095"/>
    <m/>
    <m/>
    <m/>
    <m/>
    <n v="-5730.0505999999996"/>
    <n v="2282.9266000000002"/>
    <n v="30"/>
    <n v="2739.4265750149461"/>
    <n v="57.25041196701261"/>
    <n v="266.9502250227265"/>
    <n v="0"/>
    <n v="0"/>
    <n v="0"/>
    <n v="0"/>
    <n v="0"/>
    <n v="267.74434929249247"/>
    <n v="0"/>
    <n v="0"/>
    <n v="2282.6688443851162"/>
    <n v="0"/>
    <n v="0"/>
    <n v="0"/>
    <n v="119.79880180076498"/>
    <n v="0"/>
    <n v="-220.98387602937419"/>
    <m/>
    <n v="0"/>
    <n v="0"/>
    <n v="0"/>
    <n v="0"/>
    <n v="-30.388834827837968"/>
    <n v="-3.6133465959563154"/>
    <n v="0"/>
    <n v="0"/>
    <m/>
    <m/>
    <m/>
    <n v="24905.693566627742"/>
    <n v="0"/>
    <n v="0"/>
    <n v="-5730.0506000000023"/>
    <n v="2282.9266000000025"/>
    <n v="0"/>
    <n v="0"/>
    <n v="-6186.9967464244037"/>
    <n v="0"/>
    <n v="0"/>
    <n v="0"/>
    <n v="0"/>
    <n v="0"/>
    <n v="0"/>
    <n v="0"/>
    <n v="0"/>
    <n v="0"/>
    <n v="0"/>
    <n v="0"/>
    <n v="0"/>
    <n v="1661.97290443799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6"/>
    <s v="Regular"/>
    <s v="Azul"/>
    <s v="A4"/>
    <s v="Industrial"/>
    <s v="Não se aplica"/>
    <s v="Não se aplica"/>
    <s v="Não se aplica"/>
    <s v="Ponta"/>
    <s v="CATIVO"/>
    <x v="11"/>
    <n v="9959"/>
    <n v="9959"/>
    <n v="485.048"/>
    <n v="485.048"/>
    <n v="485.048"/>
    <n v="485.048"/>
    <n v="52.95"/>
    <n v="85.01"/>
    <n v="173.25"/>
    <n v="527329.05000000005"/>
    <n v="125268.49648"/>
    <n v="652597.54648000002"/>
    <n v="575854.07615999994"/>
    <n v="0"/>
    <n v="25971.560177824722"/>
    <n v="0"/>
    <n v="0"/>
    <n v="7844.3682181794684"/>
    <n v="7536.4907078253718"/>
    <n v="417617.85761537042"/>
    <n v="82623.3045764649"/>
    <n v="1410.1478095219722"/>
    <n v="0"/>
    <n v="0"/>
    <n v="0"/>
    <n v="0"/>
    <n v="4612.3361179561352"/>
    <m/>
    <n v="388.43314532125447"/>
    <n v="16651.954740254681"/>
    <n v="77644.595728394677"/>
    <n v="0"/>
    <n v="0"/>
    <n v="0"/>
    <n v="0"/>
    <n v="0"/>
    <n v="0"/>
    <n v="0"/>
    <n v="0"/>
    <n v="0"/>
    <n v="0"/>
    <m/>
    <n v="0"/>
    <n v="0"/>
    <n v="0"/>
    <n v="0"/>
    <n v="0"/>
    <n v="3627.5074182734675"/>
    <n v="0"/>
    <n v="0"/>
    <n v="0"/>
    <n v="0"/>
    <n v="0"/>
    <m/>
    <m/>
    <m/>
    <m/>
    <m/>
    <m/>
    <m/>
    <m/>
    <m/>
    <n v="86250.811994738368"/>
    <m/>
    <m/>
    <m/>
    <m/>
    <m/>
    <m/>
    <m/>
    <m/>
    <m/>
    <m/>
    <m/>
    <m/>
    <n v="575854.6335"/>
    <n v="-76742.942980000051"/>
    <m/>
    <m/>
    <m/>
    <m/>
    <n v="-87215.65664000003"/>
    <n v="10472.186320000003"/>
    <n v="30"/>
    <n v="27054.962409285887"/>
    <n v="1659.3316972685534"/>
    <n v="7737.118003466021"/>
    <n v="0"/>
    <n v="0"/>
    <n v="0"/>
    <n v="0"/>
    <n v="0"/>
    <n v="7760.0883104949526"/>
    <n v="0"/>
    <n v="0"/>
    <n v="10471.003949605743"/>
    <n v="0"/>
    <n v="0"/>
    <n v="0"/>
    <n v="459.72071316528854"/>
    <n v="0"/>
    <n v="-881.91199902832523"/>
    <m/>
    <n v="0"/>
    <n v="0"/>
    <n v="0"/>
    <n v="0"/>
    <n v="-139.39893659516929"/>
    <n v="-10.989329091162006"/>
    <n v="0"/>
    <n v="0"/>
    <m/>
    <m/>
    <n v="417617.85761537042"/>
    <n v="0"/>
    <n v="0"/>
    <n v="0"/>
    <n v="-87215.656640000059"/>
    <n v="10472.186319999993"/>
    <n v="0"/>
    <n v="0"/>
    <n v="-103743.35970218224"/>
    <n v="0"/>
    <n v="0"/>
    <n v="0"/>
    <n v="0"/>
    <n v="0"/>
    <n v="0"/>
    <n v="0"/>
    <n v="0"/>
    <n v="0"/>
    <n v="0"/>
    <n v="0"/>
    <n v="0"/>
    <n v="6632.673264763605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7"/>
    <s v="Regular"/>
    <s v="Azul"/>
    <s v="A4"/>
    <s v="Industrial"/>
    <s v="Não se aplica"/>
    <s v="Não se aplica"/>
    <s v="Não se aplica"/>
    <s v="Fora ponta"/>
    <s v="CATIVO"/>
    <x v="11"/>
    <n v="11018"/>
    <n v="11018"/>
    <n v="4222.0879999999997"/>
    <n v="4222.0879999999997"/>
    <n v="4222.0879999999997"/>
    <n v="4222.0879999999997"/>
    <n v="27.19"/>
    <n v="85.01"/>
    <n v="173.25"/>
    <n v="299579.42000000004"/>
    <n v="1090396.4468799999"/>
    <n v="1389975.8668800001"/>
    <n v="1416320.9429600001"/>
    <n v="0"/>
    <n v="226068.78611616092"/>
    <n v="0"/>
    <n v="0"/>
    <n v="2569.4043587449005"/>
    <n v="2468.4158601833319"/>
    <n v="263683.10921913135"/>
    <n v="719192.45677260298"/>
    <n v="12274.595802495845"/>
    <n v="0"/>
    <n v="0"/>
    <n v="0"/>
    <n v="0"/>
    <n v="40147.96262553228"/>
    <m/>
    <n v="3381.1064506257621"/>
    <n v="5452.641068954732"/>
    <n v="25430.522872300597"/>
    <n v="0"/>
    <n v="0"/>
    <n v="0"/>
    <n v="0"/>
    <n v="0"/>
    <n v="0"/>
    <n v="0"/>
    <n v="0"/>
    <n v="0"/>
    <n v="0"/>
    <m/>
    <n v="0"/>
    <n v="0"/>
    <n v="0"/>
    <n v="0"/>
    <n v="0"/>
    <n v="31575.546215226917"/>
    <n v="0"/>
    <n v="0"/>
    <n v="0"/>
    <n v="0"/>
    <n v="0"/>
    <m/>
    <m/>
    <m/>
    <m/>
    <m/>
    <m/>
    <m/>
    <m/>
    <m/>
    <n v="750768.00298782985"/>
    <m/>
    <m/>
    <m/>
    <m/>
    <m/>
    <m/>
    <m/>
    <m/>
    <m/>
    <m/>
    <m/>
    <m/>
    <n v="1416321.5003"/>
    <n v="26345.603419999825"/>
    <m/>
    <m/>
    <m/>
    <m/>
    <n v="-64809.80384000003"/>
    <n v="91154.879920000007"/>
    <n v="30"/>
    <n v="91779.67557312944"/>
    <n v="543.34402781389599"/>
    <n v="2534.0972479411939"/>
    <n v="0"/>
    <n v="0"/>
    <n v="0"/>
    <n v="0"/>
    <n v="0"/>
    <n v="2541.6504583704586"/>
    <n v="0"/>
    <n v="0"/>
    <n v="91144.588006925071"/>
    <n v="0"/>
    <n v="0"/>
    <n v="0"/>
    <n v="4001.6272748400297"/>
    <n v="0"/>
    <n v="-7676.5806026486389"/>
    <m/>
    <n v="0"/>
    <n v="0"/>
    <n v="0"/>
    <n v="0"/>
    <n v="-1213.3945040722247"/>
    <n v="-95.656336040651695"/>
    <n v="0"/>
    <n v="0"/>
    <m/>
    <m/>
    <n v="263683.10921913135"/>
    <n v="0"/>
    <n v="0"/>
    <n v="0"/>
    <n v="-64809.803840000066"/>
    <n v="91154.879920000094"/>
    <n v="0"/>
    <n v="0"/>
    <n v="-65503.357072208135"/>
    <n v="0"/>
    <n v="0"/>
    <n v="0"/>
    <n v="0"/>
    <n v="0"/>
    <n v="0"/>
    <n v="0"/>
    <n v="0"/>
    <n v="0"/>
    <n v="0"/>
    <n v="0"/>
    <n v="0"/>
    <n v="57733.9360209283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78"/>
    <s v="Regular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19.44"/>
    <n v="22213.99"/>
    <n v="399896.44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79"/>
    <s v="Regular"/>
    <s v="Verde"/>
    <s v="A4"/>
    <s v="Industrial"/>
    <s v="Não se aplica"/>
    <s v="Não se aplica"/>
    <s v="Não se aplica"/>
    <s v="Ponta"/>
    <s v="CATIVO"/>
    <x v="11"/>
    <n v="0"/>
    <n v="0"/>
    <n v="178.29499999999999"/>
    <n v="178.29499999999999"/>
    <n v="178.29499999999999"/>
    <n v="178.29499999999999"/>
    <m/>
    <n v="1358.36"/>
    <n v="173.25"/>
    <m/>
    <n v="273078.40494999994"/>
    <n v="273078.40494999994"/>
    <n v="239435.92139999999"/>
    <n v="0"/>
    <n v="9546.6826415226096"/>
    <n v="0"/>
    <n v="0"/>
    <n v="3377.2796397846228"/>
    <n v="3244.818428903413"/>
    <n v="179811.88336692017"/>
    <n v="30370.854203008381"/>
    <n v="518.34520232785212"/>
    <n v="0"/>
    <n v="0"/>
    <n v="0"/>
    <n v="0"/>
    <n v="1695.4125532957339"/>
    <m/>
    <n v="142.78110134471859"/>
    <n v="7169.3885429704696"/>
    <n v="33429.617359625823"/>
    <n v="0"/>
    <n v="0"/>
    <n v="0"/>
    <n v="0"/>
    <n v="0"/>
    <n v="0"/>
    <n v="0"/>
    <n v="0"/>
    <n v="0"/>
    <n v="0"/>
    <m/>
    <n v="0"/>
    <n v="0"/>
    <n v="0"/>
    <n v="0"/>
    <n v="0"/>
    <n v="1333.4070754668978"/>
    <n v="0"/>
    <n v="0"/>
    <n v="0"/>
    <n v="0"/>
    <n v="0"/>
    <m/>
    <m/>
    <m/>
    <m/>
    <m/>
    <m/>
    <m/>
    <m/>
    <m/>
    <n v="31704.261278475278"/>
    <m/>
    <m/>
    <m/>
    <m/>
    <m/>
    <m/>
    <m/>
    <m/>
    <m/>
    <m/>
    <m/>
    <m/>
    <n v="239442.636"/>
    <n v="-33635.798949999968"/>
    <m/>
    <m/>
    <m/>
    <m/>
    <n v="-37491.872599999995"/>
    <n v="3849.3890500000002"/>
    <n v="30"/>
    <n v="11025.176406770086"/>
    <n v="714.41424415032816"/>
    <n v="3331.189915997682"/>
    <n v="0"/>
    <n v="0"/>
    <n v="0"/>
    <n v="0"/>
    <n v="0"/>
    <n v="3341.0878532188349"/>
    <n v="0"/>
    <n v="0"/>
    <n v="3848.9544317159416"/>
    <n v="0"/>
    <n v="0"/>
    <n v="0"/>
    <n v="168.98514075680146"/>
    <n v="0"/>
    <n v="-324.17513290799252"/>
    <m/>
    <n v="0"/>
    <n v="0"/>
    <n v="0"/>
    <n v="0"/>
    <n v="-51.240564645634549"/>
    <n v="-4.0394815158679762"/>
    <n v="0"/>
    <n v="0"/>
    <m/>
    <m/>
    <m/>
    <n v="179811.88336692017"/>
    <n v="0"/>
    <n v="0"/>
    <n v="-37491.872599999973"/>
    <n v="3849.389049999998"/>
    <n v="0"/>
    <n v="0"/>
    <n v="-44668.321899304952"/>
    <n v="0"/>
    <n v="0"/>
    <n v="0"/>
    <n v="0"/>
    <n v="0"/>
    <n v="0"/>
    <n v="0"/>
    <n v="0"/>
    <n v="0"/>
    <n v="0"/>
    <n v="0"/>
    <n v="0"/>
    <n v="2438.052480869990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80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2.3929999999999998"/>
    <n v="2.3929999999999998"/>
    <n v="2.3929999999999998"/>
    <n v="2.3929999999999998"/>
    <m/>
    <n v="1358.36"/>
    <n v="173.25"/>
    <m/>
    <n v="3665.1427299999996"/>
    <n v="3665.1427299999996"/>
    <n v="3213.6075599999995"/>
    <n v="0"/>
    <n v="128.13153235460112"/>
    <n v="0"/>
    <n v="0"/>
    <n v="45.328417386940757"/>
    <n v="43.550579098493323"/>
    <n v="2413.3589663032612"/>
    <n v="407.62474611065397"/>
    <n v="6.9570098385852113"/>
    <n v="0"/>
    <n v="0"/>
    <n v="0"/>
    <n v="0"/>
    <n v="22.755109453639704"/>
    <m/>
    <n v="1.9163474888129874"/>
    <n v="96.224497508782264"/>
    <n v="448.67817012021982"/>
    <n v="0"/>
    <n v="0"/>
    <n v="0"/>
    <n v="0"/>
    <n v="0"/>
    <n v="0"/>
    <n v="0"/>
    <n v="0"/>
    <n v="0"/>
    <n v="0"/>
    <m/>
    <n v="0"/>
    <n v="0"/>
    <n v="0"/>
    <n v="0"/>
    <n v="0"/>
    <n v="17.896425203131251"/>
    <n v="0"/>
    <n v="0"/>
    <n v="0"/>
    <n v="0"/>
    <n v="0"/>
    <m/>
    <m/>
    <m/>
    <m/>
    <m/>
    <m/>
    <m/>
    <m/>
    <m/>
    <n v="425.5211713137852"/>
    <m/>
    <m/>
    <m/>
    <m/>
    <m/>
    <m/>
    <m/>
    <m/>
    <m/>
    <m/>
    <m/>
    <m/>
    <n v="3209.5788000000002"/>
    <n v="-455.59393"/>
    <m/>
    <m/>
    <m/>
    <m/>
    <n v="-503.20003999999989"/>
    <n v="51.664870000000001"/>
    <n v="30"/>
    <n v="147.9752496783467"/>
    <n v="9.5885655024074481"/>
    <n v="44.709820628634873"/>
    <n v="0"/>
    <n v="0"/>
    <n v="0"/>
    <n v="0"/>
    <n v="0"/>
    <n v="44.84266655123627"/>
    <n v="0"/>
    <n v="0"/>
    <n v="51.659036737408542"/>
    <n v="0"/>
    <n v="0"/>
    <n v="0"/>
    <n v="2.2680470110268161"/>
    <n v="0"/>
    <n v="-4.3509413783270787"/>
    <m/>
    <n v="0"/>
    <n v="0"/>
    <n v="0"/>
    <n v="0"/>
    <n v="-0.68772916344823543"/>
    <n v="-5.4216210591839786E-2"/>
    <n v="0"/>
    <n v="0"/>
    <m/>
    <m/>
    <m/>
    <n v="2413.3589663032612"/>
    <n v="0"/>
    <n v="0"/>
    <n v="-503.20004000000017"/>
    <n v="51.664870000000008"/>
    <n v="0"/>
    <n v="0"/>
    <n v="-599.51930399078356"/>
    <n v="0"/>
    <n v="0"/>
    <n v="0"/>
    <n v="0"/>
    <n v="0"/>
    <n v="0"/>
    <n v="0"/>
    <n v="0"/>
    <n v="0"/>
    <n v="0"/>
    <n v="0"/>
    <n v="0"/>
    <n v="32.72250812822505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81"/>
    <s v="Regular"/>
    <s v="Verde"/>
    <s v="A4"/>
    <s v="Industrial"/>
    <s v="Não se aplica"/>
    <s v="Não se aplica"/>
    <s v="Não se aplica"/>
    <s v="Fora ponta"/>
    <s v="CATIVO"/>
    <x v="11"/>
    <n v="0"/>
    <n v="0"/>
    <n v="3125.5830000000001"/>
    <n v="3125.5830000000001"/>
    <n v="3125.5830000000001"/>
    <n v="3125.5830000000001"/>
    <m/>
    <n v="85.01"/>
    <n v="173.25"/>
    <m/>
    <n v="807213.06557999994"/>
    <n v="807213.06557999994"/>
    <n v="871006.21461000002"/>
    <n v="0"/>
    <n v="167357.18315565868"/>
    <n v="0"/>
    <n v="0"/>
    <n v="0"/>
    <n v="0"/>
    <n v="0"/>
    <n v="532413.27907345432"/>
    <n v="9086.7997000897121"/>
    <n v="0"/>
    <n v="0"/>
    <n v="0"/>
    <n v="0"/>
    <n v="29721.263381293586"/>
    <m/>
    <n v="2503.01008488364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75.161878678893"/>
    <n v="0"/>
    <n v="0"/>
    <n v="0"/>
    <n v="0"/>
    <n v="0"/>
    <m/>
    <m/>
    <m/>
    <m/>
    <m/>
    <m/>
    <m/>
    <m/>
    <m/>
    <n v="555788.44095213327"/>
    <m/>
    <m/>
    <m/>
    <m/>
    <m/>
    <m/>
    <m/>
    <m/>
    <m/>
    <m/>
    <m/>
    <m/>
    <n v="871005.37859999994"/>
    <n v="63792.283019999973"/>
    <m/>
    <m/>
    <m/>
    <m/>
    <n v="-3688.1879400000216"/>
    <n v="67481.336970000018"/>
    <n v="30"/>
    <n v="63784.093585274532"/>
    <n v="0"/>
    <n v="0"/>
    <n v="0"/>
    <n v="0"/>
    <n v="0"/>
    <n v="0"/>
    <n v="0"/>
    <n v="0"/>
    <n v="0"/>
    <n v="0"/>
    <n v="67473.717936823959"/>
    <n v="0"/>
    <n v="0"/>
    <n v="0"/>
    <n v="2962.3774261873077"/>
    <n v="0"/>
    <n v="-5682.9203535710985"/>
    <m/>
    <n v="0"/>
    <n v="0"/>
    <n v="0"/>
    <n v="0"/>
    <n v="-898.26768987798641"/>
    <n v="-70.813734287619809"/>
    <n v="0"/>
    <n v="0"/>
    <m/>
    <m/>
    <m/>
    <n v="0"/>
    <n v="0"/>
    <n v="0"/>
    <n v="-3688.1879400000325"/>
    <n v="67481.336970000062"/>
    <n v="0"/>
    <n v="0"/>
    <n v="0"/>
    <n v="0"/>
    <n v="0"/>
    <n v="0"/>
    <n v="0"/>
    <n v="0"/>
    <n v="0"/>
    <n v="0"/>
    <n v="0"/>
    <n v="0"/>
    <n v="0"/>
    <n v="0"/>
    <n v="0"/>
    <n v="42740.03975049814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82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48.686999999999998"/>
    <n v="48.686999999999998"/>
    <n v="48.686999999999998"/>
    <n v="48.686999999999998"/>
    <m/>
    <n v="85.01"/>
    <n v="173.25"/>
    <m/>
    <n v="12573.904620000001"/>
    <n v="12573.904620000001"/>
    <n v="13567.60629"/>
    <n v="0"/>
    <n v="2606.9117909521374"/>
    <n v="0"/>
    <n v="0"/>
    <n v="0"/>
    <n v="0"/>
    <n v="0"/>
    <n v="8293.3664913871344"/>
    <n v="141.54447890146184"/>
    <n v="0"/>
    <n v="0"/>
    <n v="0"/>
    <n v="0"/>
    <n v="462.96615711214218"/>
    <m/>
    <n v="38.989222811465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11335305677022"/>
    <n v="0"/>
    <n v="0"/>
    <n v="0"/>
    <n v="0"/>
    <n v="0"/>
    <m/>
    <m/>
    <m/>
    <m/>
    <m/>
    <m/>
    <m/>
    <m/>
    <m/>
    <n v="8657.4798444439039"/>
    <m/>
    <m/>
    <m/>
    <m/>
    <m/>
    <m/>
    <m/>
    <m/>
    <m/>
    <m/>
    <m/>
    <m/>
    <n v="13568.442299999999"/>
    <n v="994.50767999999698"/>
    <m/>
    <m/>
    <m/>
    <m/>
    <n v="-57.450660000000326"/>
    <n v="1051.1523300000001"/>
    <n v="30"/>
    <n v="993.56061393546588"/>
    <n v="0"/>
    <n v="0"/>
    <n v="0"/>
    <n v="0"/>
    <n v="0"/>
    <n v="0"/>
    <n v="0"/>
    <n v="0"/>
    <n v="0"/>
    <n v="0"/>
    <n v="1051.0336488233206"/>
    <n v="0"/>
    <n v="0"/>
    <n v="0"/>
    <n v="46.144757553640886"/>
    <n v="0"/>
    <n v="-88.522475088429019"/>
    <m/>
    <n v="0"/>
    <n v="0"/>
    <n v="0"/>
    <n v="0"/>
    <n v="-13.992256490097873"/>
    <n v="-1.1030608629690377"/>
    <n v="0"/>
    <n v="0"/>
    <m/>
    <m/>
    <m/>
    <n v="0"/>
    <n v="0"/>
    <n v="0"/>
    <n v="-57.450660000000425"/>
    <n v="1051.152329999999"/>
    <n v="0"/>
    <n v="0"/>
    <n v="0"/>
    <n v="0"/>
    <n v="0"/>
    <n v="0"/>
    <n v="0"/>
    <n v="0"/>
    <n v="0"/>
    <n v="0"/>
    <n v="0"/>
    <n v="0"/>
    <n v="0"/>
    <n v="0"/>
    <n v="0"/>
    <n v="665.7587769489733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83"/>
    <s v="Regular"/>
    <s v="Verde"/>
    <s v="A4"/>
    <s v="Industrial"/>
    <s v="Não se aplica"/>
    <s v="Não se aplica"/>
    <s v="Não se aplica"/>
    <s v="Não se aplica"/>
    <s v="CATIVO"/>
    <x v="11"/>
    <n v="18157"/>
    <n v="18157"/>
    <n v="0"/>
    <n v="0"/>
    <n v="0"/>
    <n v="0"/>
    <n v="27.19"/>
    <m/>
    <m/>
    <n v="493688.83"/>
    <m/>
    <n v="493688.83"/>
    <n v="395096.32000000001"/>
    <n v="0"/>
    <n v="0"/>
    <n v="0"/>
    <n v="0"/>
    <n v="4234.2235380042794"/>
    <n v="4067.8005784487887"/>
    <n v="434533.87312504702"/>
    <m/>
    <m/>
    <m/>
    <n v="0"/>
    <n v="0"/>
    <n v="0"/>
    <n v="0"/>
    <m/>
    <n v="0"/>
    <n v="8985.6238781095544"/>
    <n v="41907.969122559625"/>
    <n v="0"/>
    <n v="0"/>
    <m/>
    <m/>
    <n v="0"/>
    <n v="0"/>
    <n v="0"/>
    <m/>
    <m/>
    <n v="0"/>
    <m/>
    <n v="0"/>
    <n v="0"/>
    <n v="0"/>
    <n v="0"/>
    <m/>
    <n v="0"/>
    <n v="0"/>
    <n v="1566.82"/>
    <n v="17241.39"/>
    <n v="319855.15999999997"/>
    <n v="100"/>
    <m/>
    <m/>
    <m/>
    <m/>
    <m/>
    <m/>
    <m/>
    <m/>
    <m/>
    <n v="0"/>
    <m/>
    <m/>
    <m/>
    <m/>
    <m/>
    <m/>
    <m/>
    <m/>
    <m/>
    <m/>
    <m/>
    <m/>
    <n v="395096.32000000001"/>
    <n v="-98592.540000000037"/>
    <m/>
    <m/>
    <m/>
    <m/>
    <n v="-98592.51"/>
    <n v="0"/>
    <n v="30"/>
    <n v="9259.9245431582458"/>
    <n v="895.3982131981229"/>
    <n v="4176.0395471835363"/>
    <n v="0"/>
    <n v="0"/>
    <m/>
    <m/>
    <m/>
    <n v="4188.48678277658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4533.87312504702"/>
    <m/>
    <n v="0"/>
    <n v="0"/>
    <n v="-98592.510000000009"/>
    <m/>
    <n v="0"/>
    <m/>
    <n v="-107945.5848938176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84"/>
    <s v="Sistema de Compensação"/>
    <s v="Verde"/>
    <s v="A4"/>
    <s v="Industrial"/>
    <s v="Não se aplica"/>
    <s v="Não se aplica"/>
    <s v="Não se aplica"/>
    <s v="Não se aplica"/>
    <s v="CATIVO"/>
    <x v="11"/>
    <n v="689"/>
    <n v="689"/>
    <n v="0"/>
    <n v="0"/>
    <n v="0"/>
    <n v="0"/>
    <n v="27.19"/>
    <m/>
    <m/>
    <n v="18733.91"/>
    <m/>
    <n v="18733.91"/>
    <n v="14992.640000000001"/>
    <n v="0"/>
    <n v="0"/>
    <n v="0"/>
    <n v="0"/>
    <n v="160.67522265159161"/>
    <n v="154.36000432622214"/>
    <n v="16489.168837536894"/>
    <m/>
    <m/>
    <m/>
    <n v="0"/>
    <n v="0"/>
    <n v="0"/>
    <n v="0"/>
    <m/>
    <n v="0"/>
    <n v="340.9756486213297"/>
    <n v="1590.2732128349166"/>
    <n v="0"/>
    <n v="0"/>
    <m/>
    <m/>
    <n v="0"/>
    <n v="0"/>
    <n v="0"/>
    <m/>
    <m/>
    <n v="0"/>
    <m/>
    <n v="0"/>
    <n v="0"/>
    <n v="0"/>
    <n v="0"/>
    <m/>
    <n v="0"/>
    <n v="0"/>
    <n v="33.979999999999997"/>
    <n v="374.24"/>
    <n v="7497.87"/>
    <n v="6"/>
    <m/>
    <m/>
    <m/>
    <m/>
    <m/>
    <m/>
    <m/>
    <m/>
    <m/>
    <n v="0"/>
    <m/>
    <m/>
    <m/>
    <m/>
    <m/>
    <m/>
    <m/>
    <m/>
    <m/>
    <m/>
    <m/>
    <m/>
    <n v="14992.640000000001"/>
    <n v="-3741.2999999999938"/>
    <m/>
    <m/>
    <m/>
    <m/>
    <n v="-3741.27"/>
    <n v="0"/>
    <n v="30"/>
    <n v="351.38448037869875"/>
    <n v="33.977494569229805"/>
    <n v="158.46732654124912"/>
    <n v="0"/>
    <n v="0"/>
    <m/>
    <m/>
    <m/>
    <n v="158.93965926821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489.168837536894"/>
    <m/>
    <n v="0"/>
    <n v="0"/>
    <n v="-3741.2699999999986"/>
    <m/>
    <n v="0"/>
    <m/>
    <n v="-4096.189237860900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85"/>
    <s v="Regular"/>
    <s v="Branca"/>
    <s v="B3"/>
    <s v="Industrial"/>
    <s v="Não se aplica"/>
    <s v="Não se aplica"/>
    <s v="Não se aplica"/>
    <s v="Ponta"/>
    <s v="CATIVO"/>
    <x v="11"/>
    <n v="0"/>
    <n v="0"/>
    <n v="2.4E-2"/>
    <n v="2.4E-2"/>
    <n v="2.4E-2"/>
    <n v="2.4E-2"/>
    <m/>
    <n v="1553.42"/>
    <n v="173.25"/>
    <m/>
    <n v="41.440080000000002"/>
    <n v="41.440080000000002"/>
    <n v="39.317760000000007"/>
    <n v="0"/>
    <n v="1.4770843967848897"/>
    <n v="0"/>
    <n v="0"/>
    <n v="2.602781905214568"/>
    <n v="0.17999088249937081"/>
    <n v="17.241309682619978"/>
    <n v="4.0881712940475117"/>
    <n v="6.9773604732990005E-2"/>
    <n v="0"/>
    <n v="0"/>
    <n v="0"/>
    <n v="0"/>
    <n v="0.22821672665580983"/>
    <m/>
    <n v="2.8988561144705279E-2"/>
    <n v="7.5732951532859278"/>
    <n v="7.3585462675628639"/>
    <n v="0"/>
    <n v="0"/>
    <n v="0"/>
    <n v="0"/>
    <n v="0"/>
    <n v="0"/>
    <n v="0"/>
    <n v="0"/>
    <n v="0"/>
    <n v="0"/>
    <m/>
    <n v="0"/>
    <n v="0"/>
    <n v="0"/>
    <n v="0"/>
    <n v="0"/>
    <n v="0.21455500380086354"/>
    <n v="0"/>
    <n v="0"/>
    <n v="0"/>
    <n v="0"/>
    <n v="0"/>
    <m/>
    <m/>
    <m/>
    <m/>
    <m/>
    <m/>
    <m/>
    <m/>
    <m/>
    <n v="4.3027262978483751"/>
    <m/>
    <m/>
    <m/>
    <m/>
    <m/>
    <m/>
    <m/>
    <m/>
    <m/>
    <m/>
    <m/>
    <m/>
    <n v="32.764800000000001"/>
    <n v="-8.7052799999999948"/>
    <m/>
    <m/>
    <m/>
    <m/>
    <n v="-2.6404799999999997"/>
    <n v="0.51816000000000006"/>
    <n v="30"/>
    <n v="2.1606748525592572"/>
    <n v="0.75466267454107339"/>
    <n v="0.73326340709219995"/>
    <n v="0"/>
    <n v="0"/>
    <n v="0"/>
    <n v="0"/>
    <n v="0"/>
    <n v="0.18533097132711238"/>
    <n v="0"/>
    <n v="0"/>
    <n v="0.51810149673957628"/>
    <n v="0"/>
    <n v="0"/>
    <n v="0"/>
    <n v="2.7190951798925278E-2"/>
    <n v="0"/>
    <n v="-5.0157112017259253E-2"/>
    <m/>
    <n v="0"/>
    <n v="0"/>
    <n v="0"/>
    <n v="0"/>
    <n v="-6.8974090776254271E-3"/>
    <n v="-8.2012784474136055E-4"/>
    <n v="0"/>
    <n v="0"/>
    <m/>
    <m/>
    <m/>
    <n v="17.241309682619978"/>
    <n v="0"/>
    <n v="0"/>
    <n v="-2.6404799999999966"/>
    <n v="0.51815999999999995"/>
    <n v="0"/>
    <n v="0"/>
    <n v="-4.2830337820183928"/>
    <n v="0"/>
    <n v="0"/>
    <n v="0"/>
    <n v="0"/>
    <n v="0"/>
    <n v="0"/>
    <n v="0"/>
    <n v="0"/>
    <n v="0"/>
    <n v="0"/>
    <n v="0"/>
    <n v="0"/>
    <n v="0.377221011031888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86"/>
    <s v="Regular"/>
    <s v="Branca"/>
    <s v="B3"/>
    <s v="Industrial"/>
    <s v="Não se aplica"/>
    <s v="Não se aplica"/>
    <s v="Não se aplica"/>
    <s v="Fora ponta"/>
    <s v="CATIVO"/>
    <x v="11"/>
    <n v="0"/>
    <n v="0"/>
    <n v="2.161"/>
    <n v="2.161"/>
    <n v="2.161"/>
    <n v="2.161"/>
    <m/>
    <n v="388.22"/>
    <n v="173.25"/>
    <m/>
    <n v="1213.3366700000001"/>
    <n v="1213.3366700000001"/>
    <n v="1210.2248300000001"/>
    <n v="0"/>
    <n v="132.99914089383944"/>
    <n v="0"/>
    <n v="0"/>
    <n v="46.871764143072348"/>
    <n v="3.2413388417986098"/>
    <n v="310.48748458882562"/>
    <n v="368.1057569348614"/>
    <n v="6.2825316594996421"/>
    <n v="0"/>
    <n v="0"/>
    <n v="0"/>
    <n v="0"/>
    <n v="20.549014429300211"/>
    <m/>
    <n v="2.6101783597378376"/>
    <n v="136.38242355209076"/>
    <n v="132.5151540350279"/>
    <n v="0"/>
    <n v="0"/>
    <n v="0"/>
    <n v="0"/>
    <n v="0"/>
    <n v="0"/>
    <n v="0"/>
    <n v="0"/>
    <n v="0"/>
    <n v="0"/>
    <m/>
    <n v="0"/>
    <n v="0"/>
    <n v="0"/>
    <n v="0"/>
    <n v="0"/>
    <n v="19.318890133902755"/>
    <n v="0"/>
    <n v="0"/>
    <n v="0"/>
    <n v="0"/>
    <n v="0"/>
    <m/>
    <m/>
    <m/>
    <m/>
    <m/>
    <m/>
    <m/>
    <m/>
    <m/>
    <n v="387.42464706876416"/>
    <m/>
    <m/>
    <m/>
    <m/>
    <m/>
    <m/>
    <m/>
    <m/>
    <m/>
    <m/>
    <m/>
    <m/>
    <n v="1209.6648"/>
    <n v="-3.701870000000099"/>
    <m/>
    <m/>
    <m/>
    <m/>
    <n v="-49.767830000000068"/>
    <n v="46.65599000000001"/>
    <n v="30"/>
    <n v="74.020484923711138"/>
    <n v="13.590216997360244"/>
    <n v="13.204851856051818"/>
    <n v="0"/>
    <n v="0"/>
    <n v="0"/>
    <n v="0"/>
    <n v="0"/>
    <n v="3.337505031416979"/>
    <n v="0"/>
    <n v="0"/>
    <n v="46.650722268925961"/>
    <n v="0"/>
    <n v="0"/>
    <n v="0"/>
    <n v="2.4483186182282282"/>
    <n v="0"/>
    <n v="-4.5162299612207164"/>
    <m/>
    <n v="0"/>
    <n v="0"/>
    <n v="0"/>
    <n v="0"/>
    <n v="-0.62105420903118969"/>
    <n v="-7.3845678020253214E-2"/>
    <n v="0"/>
    <n v="0"/>
    <m/>
    <m/>
    <m/>
    <n v="310.48748458882562"/>
    <n v="0"/>
    <n v="0"/>
    <n v="-49.767830000000004"/>
    <n v="46.655989999999974"/>
    <n v="0"/>
    <n v="0"/>
    <n v="-77.130357836352431"/>
    <n v="0"/>
    <n v="0"/>
    <n v="0"/>
    <n v="0"/>
    <n v="0"/>
    <n v="0"/>
    <n v="0"/>
    <n v="0"/>
    <n v="0"/>
    <n v="0"/>
    <n v="0"/>
    <n v="0"/>
    <n v="33.96560853499632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87"/>
    <s v="Regular"/>
    <s v="Branca"/>
    <s v="B3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41"/>
    <n v="15.6"/>
    <n v="290.4700000000000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788"/>
    <s v="Regular"/>
    <s v="Branca"/>
    <s v="B3"/>
    <s v="Industrial"/>
    <s v="Não se aplica"/>
    <s v="Não se aplica"/>
    <s v="Não se aplica"/>
    <s v="Intermediário"/>
    <s v="CATIVO"/>
    <x v="11"/>
    <n v="0"/>
    <n v="0"/>
    <n v="0.13800000000000001"/>
    <n v="0.13800000000000001"/>
    <n v="0.13800000000000001"/>
    <n v="0.13800000000000001"/>
    <m/>
    <n v="970.82"/>
    <n v="173.25"/>
    <m/>
    <n v="157.88166000000001"/>
    <n v="157.88166000000001"/>
    <n v="151.67994000000002"/>
    <n v="0"/>
    <n v="8.4932352815131154"/>
    <n v="0"/>
    <n v="0"/>
    <n v="8.9795975729902739"/>
    <n v="0.62096912563841811"/>
    <n v="59.482533266443234"/>
    <n v="23.506984940773197"/>
    <n v="0.40119822721469256"/>
    <n v="0"/>
    <n v="0"/>
    <n v="0"/>
    <n v="0"/>
    <n v="1.3122461782709067"/>
    <m/>
    <n v="0.16668422658205537"/>
    <n v="26.127868278836427"/>
    <n v="25.386984623091937"/>
    <n v="0"/>
    <n v="0"/>
    <n v="0"/>
    <n v="0"/>
    <n v="0"/>
    <n v="0"/>
    <n v="0"/>
    <n v="0"/>
    <n v="0"/>
    <n v="0"/>
    <m/>
    <n v="0"/>
    <n v="0"/>
    <n v="0"/>
    <n v="0"/>
    <n v="0"/>
    <n v="1.2336912718549653"/>
    <n v="0"/>
    <n v="0"/>
    <n v="0"/>
    <n v="0"/>
    <n v="0"/>
    <m/>
    <m/>
    <m/>
    <m/>
    <m/>
    <m/>
    <m/>
    <m/>
    <m/>
    <n v="24.740676212628163"/>
    <m/>
    <m/>
    <m/>
    <m/>
    <m/>
    <m/>
    <m/>
    <m/>
    <m/>
    <m/>
    <m/>
    <m/>
    <n v="153.87819999999999"/>
    <n v="-4.0334599999999909"/>
    <m/>
    <m/>
    <m/>
    <m/>
    <n v="-9.1811400000000134"/>
    <n v="2.9794200000000006"/>
    <n v="30"/>
    <n v="8.575389778660309"/>
    <n v="2.6035862271667263"/>
    <n v="2.5297587544679523"/>
    <n v="0"/>
    <n v="0"/>
    <n v="0"/>
    <n v="0"/>
    <n v="0"/>
    <n v="0.63939244933208472"/>
    <n v="0"/>
    <n v="0"/>
    <n v="2.9790836062525585"/>
    <n v="0"/>
    <n v="0"/>
    <n v="0"/>
    <n v="0.1563479728438204"/>
    <n v="0"/>
    <n v="-0.28840339409924098"/>
    <m/>
    <n v="0"/>
    <n v="0"/>
    <n v="0"/>
    <n v="0"/>
    <n v="-3.9660102196346303E-2"/>
    <n v="-4.7157351072628084E-3"/>
    <n v="0"/>
    <n v="0"/>
    <m/>
    <m/>
    <m/>
    <n v="59.482533266443234"/>
    <n v="0"/>
    <n v="0"/>
    <n v="-9.1811399999999992"/>
    <n v="2.9794199999999975"/>
    <n v="0"/>
    <n v="0"/>
    <n v="-14.776470239788331"/>
    <n v="0"/>
    <n v="0"/>
    <n v="0"/>
    <n v="0"/>
    <n v="0"/>
    <n v="0"/>
    <n v="0"/>
    <n v="0"/>
    <n v="0"/>
    <n v="0"/>
    <n v="0"/>
    <n v="0"/>
    <n v="2.169020813433360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89"/>
    <s v="Regular"/>
    <s v="Convencional"/>
    <s v="B3"/>
    <s v="Comercial"/>
    <s v="Não se aplica"/>
    <s v="Não se aplica"/>
    <s v="Não se aplica"/>
    <s v="Não se aplica"/>
    <s v="CATIVO"/>
    <x v="11"/>
    <n v="0"/>
    <n v="0"/>
    <n v="2556.2660000000001"/>
    <n v="2556.2660000000001"/>
    <n v="2556.2660000000001"/>
    <n v="2556.2660000000001"/>
    <m/>
    <n v="368.24"/>
    <n v="173.25"/>
    <m/>
    <n v="1384192.4763400001"/>
    <n v="1384192.4763400001"/>
    <n v="1300858.20474"/>
    <n v="0"/>
    <n v="157325.85927632177"/>
    <n v="0"/>
    <n v="0"/>
    <n v="6542.8583415744342"/>
    <n v="6286.2197085082034"/>
    <n v="602095.49527888442"/>
    <n v="435435.55338123575"/>
    <n v="7431.6622281825594"/>
    <n v="0"/>
    <n v="0"/>
    <n v="0"/>
    <n v="0"/>
    <n v="24307.610790897517"/>
    <m/>
    <n v="3087.6030517971326"/>
    <n v="13889.204303253582"/>
    <n v="64763.310633930276"/>
    <n v="0"/>
    <n v="0"/>
    <n v="0"/>
    <n v="0"/>
    <n v="0"/>
    <n v="0"/>
    <n v="0"/>
    <n v="0"/>
    <n v="0"/>
    <n v="0"/>
    <m/>
    <n v="0"/>
    <n v="0"/>
    <n v="0"/>
    <n v="0"/>
    <n v="0"/>
    <n v="22852.485889417425"/>
    <n v="0"/>
    <n v="1296.56"/>
    <n v="14479.64"/>
    <n v="438854.40000000002"/>
    <n v="4344"/>
    <m/>
    <m/>
    <m/>
    <m/>
    <m/>
    <m/>
    <m/>
    <m/>
    <m/>
    <n v="458288.03927065316"/>
    <m/>
    <m/>
    <m/>
    <m/>
    <m/>
    <m/>
    <m/>
    <m/>
    <m/>
    <m/>
    <m/>
    <m/>
    <n v="1300860.2403000002"/>
    <n v="-83332.2660399999"/>
    <m/>
    <m/>
    <m/>
    <m/>
    <n v="-138524.05454000001"/>
    <n v="55189.782940000012"/>
    <n v="30"/>
    <n v="66225.67631177546"/>
    <n v="1384.0295214419093"/>
    <n v="6453.5254768105369"/>
    <n v="0"/>
    <n v="0"/>
    <n v="0"/>
    <n v="0"/>
    <n v="0"/>
    <n v="6472.7234422973588"/>
    <n v="0"/>
    <n v="0"/>
    <n v="55183.551694353693"/>
    <n v="0"/>
    <n v="0"/>
    <n v="0"/>
    <n v="2896.1377329679817"/>
    <n v="0"/>
    <n v="-5342.2883378296392"/>
    <m/>
    <n v="0"/>
    <n v="0"/>
    <n v="0"/>
    <n v="0"/>
    <n v="-734.65051305105226"/>
    <n v="-87.352705215233982"/>
    <n v="0"/>
    <n v="0"/>
    <m/>
    <m/>
    <m/>
    <n v="602095.49527888442"/>
    <n v="0"/>
    <n v="0"/>
    <n v="-138524.05454000004"/>
    <n v="55189.782940000005"/>
    <n v="0"/>
    <n v="0"/>
    <n v="-149570.73411192856"/>
    <n v="0"/>
    <n v="0"/>
    <n v="0"/>
    <n v="0"/>
    <n v="0"/>
    <n v="0"/>
    <n v="0"/>
    <n v="0"/>
    <n v="0"/>
    <n v="0"/>
    <n v="0"/>
    <n v="0"/>
    <n v="40178.21854110176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0"/>
    <s v="Refaturamento - Regular"/>
    <s v="Convencional"/>
    <s v="B3"/>
    <s v="Comercial"/>
    <s v="Não se aplica"/>
    <s v="Não se aplica"/>
    <s v="Não se aplica"/>
    <s v="Não se aplica"/>
    <s v="CATIVO"/>
    <x v="11"/>
    <n v="0"/>
    <n v="0"/>
    <n v="-0.1"/>
    <n v="-0.1"/>
    <n v="-0.1"/>
    <n v="-0.1"/>
    <m/>
    <n v="368.24"/>
    <n v="173.25"/>
    <m/>
    <n v="-54.149000000000001"/>
    <n v="-54.149000000000001"/>
    <n v="-50.889000000000003"/>
    <n v="0"/>
    <n v="-6.1545183199370399"/>
    <n v="0"/>
    <n v="0"/>
    <n v="-0.25595373648808201"/>
    <n v="-0.24591414620028604"/>
    <n v="-23.553710579371803"/>
    <n v="-17.0340470585313"/>
    <n v="-0.29072335305412506"/>
    <n v="0"/>
    <n v="0"/>
    <n v="0"/>
    <n v="0"/>
    <n v="-0.95090302773254098"/>
    <m/>
    <n v="-0.120785671436272"/>
    <n v="-0.54333955477456497"/>
    <n v="-2.5335121866789403"/>
    <n v="0"/>
    <n v="0"/>
    <n v="0"/>
    <n v="0"/>
    <n v="0"/>
    <n v="0"/>
    <n v="0"/>
    <n v="0"/>
    <n v="0"/>
    <n v="0"/>
    <m/>
    <n v="0"/>
    <n v="0"/>
    <n v="0"/>
    <n v="0"/>
    <n v="0"/>
    <n v="-0.89397918250359809"/>
    <n v="0"/>
    <n v="-0.1"/>
    <n v="-1.1000000000000001"/>
    <n v="-21.83"/>
    <n v="0"/>
    <m/>
    <m/>
    <m/>
    <m/>
    <m/>
    <m/>
    <m/>
    <m/>
    <m/>
    <n v="-17.9280262410349"/>
    <m/>
    <m/>
    <m/>
    <m/>
    <m/>
    <m/>
    <m/>
    <m/>
    <m/>
    <m/>
    <m/>
    <m/>
    <n v="-50.889000000000003"/>
    <n v="3.230000000000004"/>
    <m/>
    <m/>
    <m/>
    <m/>
    <n v="5.4190000000000005"/>
    <n v="-2.1590000000000003"/>
    <n v="30"/>
    <n v="-2.5907192878900496"/>
    <n v="-5.4142625276161094E-2"/>
    <n v="-0.25245907416561986"/>
    <n v="0"/>
    <n v="0"/>
    <n v="0"/>
    <n v="0"/>
    <n v="0"/>
    <n v="-0.25321009011962603"/>
    <n v="0"/>
    <n v="0"/>
    <n v="-2.1587562364148987"/>
    <n v="0"/>
    <n v="0"/>
    <n v="0"/>
    <n v="-0.1132956324955221"/>
    <n v="0"/>
    <n v="0.20898796673857944"/>
    <m/>
    <n v="0"/>
    <n v="0"/>
    <n v="0"/>
    <n v="0"/>
    <n v="2.8739204490105918E-2"/>
    <n v="3.4171993530889982E-3"/>
    <n v="0"/>
    <n v="0"/>
    <m/>
    <m/>
    <m/>
    <n v="-23.553710579371803"/>
    <n v="0"/>
    <n v="0"/>
    <n v="5.419000000000004"/>
    <n v="-2.1590000000000025"/>
    <n v="0"/>
    <n v="0"/>
    <n v="5.8511412392892019"/>
    <n v="0"/>
    <n v="0"/>
    <n v="0"/>
    <n v="0"/>
    <n v="0"/>
    <n v="0"/>
    <n v="0"/>
    <n v="0"/>
    <n v="0"/>
    <n v="0"/>
    <n v="0"/>
    <n v="0"/>
    <n v="-1.571754212632870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1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286.74099999999999"/>
    <n v="286.74099999999999"/>
    <n v="286.74099999999999"/>
    <n v="286.74099999999999"/>
    <m/>
    <n v="368.24"/>
    <n v="173.25"/>
    <m/>
    <n v="155267.38409000001"/>
    <n v="155267.38409000001"/>
    <n v="145919.62748999998"/>
    <n v="0"/>
    <n v="17647.527375770667"/>
    <n v="0"/>
    <n v="0"/>
    <n v="733.9243035432911"/>
    <n v="705.13668195616208"/>
    <n v="67538.145252396498"/>
    <n v="48843.596876103235"/>
    <n v="833.62304978092857"/>
    <n v="0"/>
    <n v="0"/>
    <n v="0"/>
    <n v="0"/>
    <n v="2726.6288507505651"/>
    <m/>
    <n v="346.34204213308067"/>
    <n v="1557.9772727561353"/>
    <n v="7264.6181792050593"/>
    <n v="0"/>
    <n v="0"/>
    <n v="0"/>
    <n v="0"/>
    <n v="0"/>
    <n v="0"/>
    <n v="0"/>
    <n v="0"/>
    <n v="0"/>
    <n v="0"/>
    <m/>
    <n v="0"/>
    <n v="0"/>
    <n v="0"/>
    <n v="0"/>
    <n v="0"/>
    <n v="2563.4048477026417"/>
    <n v="0"/>
    <n v="147.36000000000001"/>
    <n v="1634.79"/>
    <n v="77118.22"/>
    <n v="360"/>
    <m/>
    <m/>
    <m/>
    <m/>
    <m/>
    <m/>
    <m/>
    <m/>
    <m/>
    <n v="51407.001723805879"/>
    <m/>
    <m/>
    <m/>
    <m/>
    <m/>
    <m/>
    <m/>
    <m/>
    <m/>
    <m/>
    <m/>
    <m/>
    <n v="145919.11859999999"/>
    <n v="-9348.2954899999895"/>
    <m/>
    <m/>
    <m/>
    <m/>
    <n v="-15538.494789999999"/>
    <n v="6190.7381900000009"/>
    <n v="30"/>
    <n v="7428.6543932888162"/>
    <n v="155.24910514311682"/>
    <n v="723.90367385324043"/>
    <n v="0"/>
    <n v="0"/>
    <n v="0"/>
    <n v="0"/>
    <n v="0"/>
    <n v="726.05714450991684"/>
    <n v="0"/>
    <n v="0"/>
    <n v="6190.039219858445"/>
    <n v="0"/>
    <n v="0"/>
    <n v="0"/>
    <n v="324.86502957398488"/>
    <n v="0"/>
    <n v="-599.25418570587135"/>
    <m/>
    <n v="0"/>
    <n v="0"/>
    <n v="0"/>
    <n v="0"/>
    <n v="-82.407082346974676"/>
    <n v="-9.7985115970409424"/>
    <n v="0"/>
    <n v="0"/>
    <m/>
    <m/>
    <m/>
    <n v="67538.145252396498"/>
    <n v="0"/>
    <n v="0"/>
    <n v="-15538.494789999997"/>
    <n v="6190.7381900000037"/>
    <n v="0"/>
    <n v="0"/>
    <n v="-16777.620900950256"/>
    <n v="0"/>
    <n v="0"/>
    <n v="0"/>
    <n v="0"/>
    <n v="0"/>
    <n v="0"/>
    <n v="0"/>
    <n v="0"/>
    <n v="0"/>
    <n v="0"/>
    <n v="0"/>
    <n v="0"/>
    <n v="4506.863746845617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2"/>
    <s v="Regular"/>
    <s v="Verde"/>
    <s v="A4"/>
    <s v="Comercial"/>
    <s v="Não se aplica"/>
    <s v="Não se aplica"/>
    <s v="Não se aplica"/>
    <s v="Ponta"/>
    <s v="CATIVO"/>
    <x v="11"/>
    <n v="0"/>
    <n v="0"/>
    <n v="75.194999999999993"/>
    <n v="75.194999999999993"/>
    <n v="75.194999999999993"/>
    <n v="75.194999999999993"/>
    <m/>
    <n v="1358.36"/>
    <n v="173.25"/>
    <m/>
    <n v="115169.41394999999"/>
    <n v="115169.41394999999"/>
    <n v="100980.86939999998"/>
    <n v="0"/>
    <n v="4026.2643440886877"/>
    <n v="0"/>
    <n v="0"/>
    <n v="1424.3503323907271"/>
    <n v="1368.4854974137925"/>
    <n v="75834.737764803067"/>
    <n v="12808.75168566261"/>
    <n v="218.60942532904929"/>
    <n v="0"/>
    <n v="0"/>
    <n v="0"/>
    <n v="0"/>
    <n v="715.03153170348412"/>
    <m/>
    <n v="60.217195746465769"/>
    <n v="3023.6527748319609"/>
    <n v="14098.769328119486"/>
    <n v="0"/>
    <n v="0"/>
    <n v="0"/>
    <n v="0"/>
    <n v="0"/>
    <n v="0"/>
    <n v="0"/>
    <n v="0"/>
    <n v="0"/>
    <n v="0"/>
    <m/>
    <n v="0"/>
    <n v="0"/>
    <n v="0"/>
    <n v="0"/>
    <n v="0"/>
    <n v="562.35758175906994"/>
    <n v="0"/>
    <n v="0"/>
    <n v="0"/>
    <n v="0"/>
    <n v="0"/>
    <m/>
    <m/>
    <m/>
    <m/>
    <m/>
    <m/>
    <m/>
    <m/>
    <m/>
    <n v="13371.10926742168"/>
    <m/>
    <m/>
    <m/>
    <m/>
    <m/>
    <m/>
    <m/>
    <m/>
    <m/>
    <m/>
    <m/>
    <m/>
    <n v="100987.584"/>
    <n v="-14181.859949999969"/>
    <m/>
    <m/>
    <m/>
    <m/>
    <n v="-15812.004599999997"/>
    <n v="1623.4600500000001"/>
    <n v="30"/>
    <n v="4649.8114916687409"/>
    <n v="301.30053612767551"/>
    <n v="1404.9122282366061"/>
    <n v="0"/>
    <n v="0"/>
    <n v="0"/>
    <n v="0"/>
    <n v="0"/>
    <n v="1409.0866323945725"/>
    <n v="0"/>
    <n v="0"/>
    <n v="1623.2767519721838"/>
    <n v="0"/>
    <n v="0"/>
    <n v="0"/>
    <n v="71.2686147071297"/>
    <n v="0"/>
    <n v="-136.7191963824921"/>
    <m/>
    <n v="0"/>
    <n v="0"/>
    <n v="0"/>
    <n v="0"/>
    <n v="-21.610444816335189"/>
    <n v="-1.703630570603174"/>
    <n v="0"/>
    <n v="0"/>
    <m/>
    <m/>
    <m/>
    <n v="75834.737764803067"/>
    <n v="0"/>
    <n v="0"/>
    <n v="-15812.0046"/>
    <n v="1623.4600499999997"/>
    <n v="0"/>
    <n v="0"/>
    <n v="-18838.635212531124"/>
    <n v="0"/>
    <n v="0"/>
    <n v="0"/>
    <n v="0"/>
    <n v="0"/>
    <n v="0"/>
    <n v="0"/>
    <n v="0"/>
    <n v="0"/>
    <n v="0"/>
    <n v="0"/>
    <n v="0"/>
    <n v="1028.236104764681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3"/>
    <s v="Sistema de Compensação"/>
    <s v="Verde"/>
    <s v="A4"/>
    <s v="Comercial"/>
    <s v="Não se aplica"/>
    <s v="Não se aplica"/>
    <s v="Não se aplica"/>
    <s v="Ponta"/>
    <s v="CATIVO"/>
    <x v="11"/>
    <n v="0"/>
    <n v="0"/>
    <n v="4.0730000000000004"/>
    <n v="4.0730000000000004"/>
    <n v="4.0730000000000004"/>
    <n v="4.0730000000000004"/>
    <m/>
    <n v="1358.36"/>
    <n v="173.25"/>
    <m/>
    <n v="6238.2475300000006"/>
    <n v="6238.2475300000006"/>
    <n v="5469.7131600000002"/>
    <n v="0"/>
    <n v="218.08597211880084"/>
    <n v="0"/>
    <n v="0"/>
    <n v="77.151125790643434"/>
    <n v="74.125160329362032"/>
    <n v="4107.6519305278662"/>
    <n v="693.79673669397994"/>
    <n v="11.841162169894513"/>
    <n v="0"/>
    <n v="0"/>
    <n v="0"/>
    <n v="0"/>
    <n v="38.730280319546395"/>
    <m/>
    <n v="3.2617147187360214"/>
    <n v="163.7786787936775"/>
    <n v="763.67162010014863"/>
    <n v="0"/>
    <n v="0"/>
    <n v="0"/>
    <n v="0"/>
    <n v="0"/>
    <n v="0"/>
    <n v="0"/>
    <n v="0"/>
    <n v="0"/>
    <n v="0"/>
    <m/>
    <n v="0"/>
    <n v="0"/>
    <n v="0"/>
    <n v="0"/>
    <n v="0"/>
    <n v="30.460568262579855"/>
    <n v="0"/>
    <n v="0"/>
    <n v="0"/>
    <n v="0"/>
    <n v="0"/>
    <m/>
    <m/>
    <m/>
    <m/>
    <m/>
    <m/>
    <m/>
    <m/>
    <m/>
    <n v="724.25730495655978"/>
    <m/>
    <m/>
    <m/>
    <m/>
    <m/>
    <m/>
    <m/>
    <m/>
    <m/>
    <m/>
    <m/>
    <m/>
    <n v="5465.6844000000001"/>
    <n v="-772.59313000000111"/>
    <m/>
    <m/>
    <m/>
    <m/>
    <n v="-856.47043999999994"/>
    <n v="87.936070000000029"/>
    <n v="30"/>
    <n v="251.86092433761223"/>
    <n v="16.320195274260556"/>
    <n v="76.098244638708707"/>
    <n v="0"/>
    <n v="0"/>
    <n v="0"/>
    <n v="0"/>
    <n v="0"/>
    <n v="76.324354727616125"/>
    <n v="0"/>
    <n v="0"/>
    <n v="87.926141509178819"/>
    <n v="0"/>
    <n v="0"/>
    <n v="0"/>
    <n v="3.8603240601388293"/>
    <n v="0"/>
    <n v="-7.4055095001780842"/>
    <m/>
    <n v="0"/>
    <n v="0"/>
    <n v="0"/>
    <n v="0"/>
    <n v="-1.1705477988820121"/>
    <n v="-9.227857323049049E-2"/>
    <n v="0"/>
    <n v="0"/>
    <m/>
    <m/>
    <m/>
    <n v="4107.6519305278662"/>
    <n v="0"/>
    <n v="0"/>
    <n v="-856.47044000000005"/>
    <n v="87.936069999999972"/>
    <n v="0"/>
    <n v="0"/>
    <n v="-1020.4104158606187"/>
    <n v="0"/>
    <n v="0"/>
    <n v="0"/>
    <n v="0"/>
    <n v="0"/>
    <n v="0"/>
    <n v="0"/>
    <n v="0"/>
    <n v="0"/>
    <n v="0"/>
    <n v="0"/>
    <n v="0"/>
    <n v="55.69526770006714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4"/>
    <s v="Regular"/>
    <s v="Verde"/>
    <s v="A4"/>
    <s v="Comercial"/>
    <s v="Não se aplica"/>
    <s v="Não se aplica"/>
    <s v="Não se aplica"/>
    <s v="Fora ponta"/>
    <s v="CATIVO"/>
    <x v="11"/>
    <n v="0"/>
    <n v="0"/>
    <n v="857.83699999999999"/>
    <n v="857.83699999999999"/>
    <n v="857.83699999999999"/>
    <n v="857.83699999999999"/>
    <m/>
    <n v="85.01"/>
    <n v="173.25"/>
    <m/>
    <n v="221544.98362000001"/>
    <n v="221544.98362000001"/>
    <n v="239053.43679000001"/>
    <n v="0"/>
    <n v="45932.289728572483"/>
    <n v="0"/>
    <n v="0"/>
    <n v="0"/>
    <n v="0"/>
    <n v="0"/>
    <n v="146124.35826549315"/>
    <n v="2493.9324901389145"/>
    <n v="0"/>
    <n v="0"/>
    <n v="0"/>
    <n v="0"/>
    <n v="8157.1980060099977"/>
    <m/>
    <n v="686.96773119969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15.4683271953627"/>
    <n v="0"/>
    <n v="0"/>
    <n v="0"/>
    <n v="0"/>
    <n v="0"/>
    <m/>
    <m/>
    <m/>
    <m/>
    <m/>
    <m/>
    <m/>
    <m/>
    <m/>
    <n v="152539.82659268851"/>
    <m/>
    <m/>
    <m/>
    <m/>
    <m/>
    <m/>
    <m/>
    <m/>
    <m/>
    <m/>
    <m/>
    <m/>
    <n v="239054.27280000004"/>
    <n v="17509.259180000052"/>
    <m/>
    <m/>
    <m/>
    <m/>
    <n v="-1012.2476600000058"/>
    <n v="18520.700830000002"/>
    <n v="30"/>
    <n v="17505.967843090766"/>
    <n v="0"/>
    <n v="0"/>
    <n v="0"/>
    <n v="0"/>
    <n v="0"/>
    <n v="0"/>
    <n v="0"/>
    <n v="0"/>
    <n v="0"/>
    <n v="0"/>
    <n v="18518.609735774487"/>
    <n v="0"/>
    <n v="0"/>
    <n v="0"/>
    <n v="813.04414701137102"/>
    <n v="0"/>
    <n v="-1559.7152106811336"/>
    <m/>
    <n v="0"/>
    <n v="0"/>
    <n v="0"/>
    <n v="0"/>
    <n v="-246.53552962179037"/>
    <n v="-19.435299392173874"/>
    <n v="0"/>
    <n v="0"/>
    <m/>
    <m/>
    <m/>
    <n v="0"/>
    <n v="0"/>
    <n v="0"/>
    <n v="-1012.2476600000082"/>
    <n v="18520.700830000016"/>
    <n v="0"/>
    <n v="0"/>
    <n v="0"/>
    <n v="0"/>
    <n v="0"/>
    <n v="0"/>
    <n v="0"/>
    <n v="0"/>
    <n v="0"/>
    <n v="0"/>
    <n v="0"/>
    <n v="0"/>
    <n v="0"/>
    <n v="0"/>
    <n v="0"/>
    <n v="11730.2875909704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5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66.385999999999996"/>
    <n v="66.385999999999996"/>
    <n v="66.385999999999996"/>
    <n v="66.385999999999996"/>
    <m/>
    <n v="85.01"/>
    <n v="173.25"/>
    <m/>
    <n v="17144.84836"/>
    <n v="17144.84836"/>
    <n v="18499.786619999999"/>
    <n v="0"/>
    <n v="3554.5925227298576"/>
    <n v="0"/>
    <n v="0"/>
    <n v="0"/>
    <n v="0"/>
    <n v="0"/>
    <n v="11308.222480276589"/>
    <n v="192.99960515851143"/>
    <n v="0"/>
    <n v="0"/>
    <n v="0"/>
    <n v="0"/>
    <n v="631.26648399052465"/>
    <m/>
    <n v="53.1628267414705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6.47809591937784"/>
    <n v="0"/>
    <n v="0"/>
    <n v="0"/>
    <n v="0"/>
    <n v="0"/>
    <m/>
    <m/>
    <m/>
    <m/>
    <m/>
    <m/>
    <m/>
    <m/>
    <m/>
    <n v="11804.700576195966"/>
    <m/>
    <m/>
    <m/>
    <m/>
    <m/>
    <m/>
    <m/>
    <m/>
    <m/>
    <m/>
    <m/>
    <m/>
    <n v="18500.901300000001"/>
    <n v="1356.0229400000026"/>
    <m/>
    <m/>
    <m/>
    <m/>
    <n v="-78.335480000000445"/>
    <n v="1433.2737400000001"/>
    <n v="30"/>
    <n v="1354.7459263606252"/>
    <n v="0"/>
    <n v="0"/>
    <n v="0"/>
    <n v="0"/>
    <n v="0"/>
    <n v="0"/>
    <n v="0"/>
    <n v="0"/>
    <n v="0"/>
    <n v="0"/>
    <n v="1433.111915106394"/>
    <n v="0"/>
    <n v="0"/>
    <n v="0"/>
    <n v="62.919585822827514"/>
    <n v="0"/>
    <n v="-120.70271389119125"/>
    <m/>
    <n v="0"/>
    <n v="0"/>
    <n v="0"/>
    <n v="0"/>
    <n v="-19.078808292801796"/>
    <n v="-1.5040523846008682"/>
    <n v="0"/>
    <n v="0"/>
    <m/>
    <m/>
    <m/>
    <n v="0"/>
    <n v="0"/>
    <n v="0"/>
    <n v="-78.335480000000643"/>
    <n v="1433.2737399999987"/>
    <n v="0"/>
    <n v="0"/>
    <n v="0"/>
    <n v="0"/>
    <n v="0"/>
    <n v="0"/>
    <n v="0"/>
    <n v="0"/>
    <n v="0"/>
    <n v="0"/>
    <n v="0"/>
    <n v="0"/>
    <n v="0"/>
    <n v="0"/>
    <n v="0"/>
    <n v="907.7795338906596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6"/>
    <s v="Regular"/>
    <s v="Verde"/>
    <s v="A4"/>
    <s v="Comercial"/>
    <s v="Não se aplica"/>
    <s v="Não se aplica"/>
    <s v="Não se aplica"/>
    <s v="Não se aplica"/>
    <s v="CATIVO"/>
    <x v="11"/>
    <n v="4362"/>
    <n v="4362"/>
    <n v="0"/>
    <n v="0"/>
    <n v="0"/>
    <n v="0"/>
    <n v="27.19"/>
    <m/>
    <m/>
    <n v="118602.78"/>
    <m/>
    <n v="118602.78"/>
    <n v="94917.12000000001"/>
    <n v="0"/>
    <n v="0"/>
    <n v="0"/>
    <n v="0"/>
    <n v="1017.2210757710342"/>
    <n v="977.23996933378953"/>
    <n v="104391.51592066174"/>
    <m/>
    <m/>
    <m/>
    <n v="0"/>
    <n v="0"/>
    <n v="0"/>
    <n v="0"/>
    <m/>
    <n v="0"/>
    <n v="2158.6876332166039"/>
    <n v="10067.88353321612"/>
    <n v="0"/>
    <n v="0"/>
    <m/>
    <m/>
    <n v="0"/>
    <n v="0"/>
    <n v="0"/>
    <m/>
    <m/>
    <n v="0"/>
    <m/>
    <n v="0"/>
    <n v="0"/>
    <n v="0"/>
    <n v="0"/>
    <m/>
    <n v="0"/>
    <n v="0"/>
    <n v="443.6"/>
    <n v="4881.83"/>
    <n v="136883.26"/>
    <n v="43"/>
    <m/>
    <m/>
    <m/>
    <m/>
    <m/>
    <m/>
    <m/>
    <m/>
    <m/>
    <n v="0"/>
    <m/>
    <m/>
    <m/>
    <m/>
    <m/>
    <m/>
    <m/>
    <m/>
    <m/>
    <m/>
    <m/>
    <m/>
    <n v="94917.12000000001"/>
    <n v="-23685.689999999973"/>
    <m/>
    <m/>
    <m/>
    <m/>
    <n v="-23685.66"/>
    <n v="0"/>
    <n v="30"/>
    <n v="2224.5850557501963"/>
    <n v="215.1086085790721"/>
    <n v="1003.2430745615802"/>
    <n v="0"/>
    <n v="0"/>
    <m/>
    <m/>
    <m/>
    <n v="1006.23337260954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4391.51592066174"/>
    <m/>
    <n v="0"/>
    <n v="0"/>
    <n v="-23685.659999999989"/>
    <m/>
    <n v="0"/>
    <m/>
    <n v="-25932.62330268396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97"/>
    <s v="Sistema de Compensação"/>
    <s v="Verde"/>
    <s v="A4"/>
    <s v="Comercial"/>
    <s v="Não se aplica"/>
    <s v="Não se aplica"/>
    <s v="Não se aplica"/>
    <s v="Não se aplica"/>
    <s v="CATIVO"/>
    <x v="11"/>
    <n v="532"/>
    <n v="532"/>
    <n v="0"/>
    <n v="0"/>
    <n v="0"/>
    <n v="0"/>
    <n v="27.19"/>
    <m/>
    <m/>
    <n v="14465.08"/>
    <m/>
    <n v="14465.08"/>
    <n v="11576.320000000002"/>
    <n v="0"/>
    <n v="0"/>
    <n v="0"/>
    <n v="0"/>
    <n v="124.06272634346405"/>
    <n v="119.18653454506557"/>
    <n v="12731.840089360854"/>
    <m/>
    <m/>
    <m/>
    <n v="0"/>
    <n v="0"/>
    <n v="0"/>
    <n v="0"/>
    <m/>
    <n v="0"/>
    <n v="263.27873014012687"/>
    <n v="1227.9032644821127"/>
    <n v="0"/>
    <n v="0"/>
    <m/>
    <m/>
    <n v="0"/>
    <n v="0"/>
    <n v="0"/>
    <m/>
    <m/>
    <n v="0"/>
    <m/>
    <n v="0"/>
    <n v="0"/>
    <n v="0"/>
    <n v="0"/>
    <m/>
    <n v="0"/>
    <n v="0"/>
    <n v="36.090000000000003"/>
    <n v="397.2"/>
    <n v="11732.77"/>
    <n v="5"/>
    <m/>
    <m/>
    <m/>
    <m/>
    <m/>
    <m/>
    <m/>
    <m/>
    <m/>
    <n v="0"/>
    <m/>
    <m/>
    <m/>
    <m/>
    <m/>
    <m/>
    <m/>
    <m/>
    <m/>
    <m/>
    <m/>
    <m/>
    <n v="11576.320000000002"/>
    <n v="-2888.7899999999991"/>
    <m/>
    <m/>
    <m/>
    <m/>
    <n v="-2888.7599999999998"/>
    <n v="0"/>
    <n v="30"/>
    <n v="271.31573811533781"/>
    <n v="26.235162715283366"/>
    <n v="122.35793573286583"/>
    <n v="0"/>
    <n v="0"/>
    <m/>
    <m/>
    <m/>
    <n v="122.722639667188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731.840089360854"/>
    <m/>
    <n v="0"/>
    <n v="0"/>
    <n v="-2888.7599999999984"/>
    <m/>
    <n v="0"/>
    <m/>
    <n v="-3162.805042876632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798"/>
    <s v="Regular"/>
    <s v="Branca"/>
    <s v="B3"/>
    <s v="Comercial"/>
    <s v="Não se aplica"/>
    <s v="Não se aplica"/>
    <s v="Não se aplica"/>
    <s v="Ponta"/>
    <s v="CATIVO"/>
    <x v="11"/>
    <n v="0"/>
    <n v="0"/>
    <n v="0.622"/>
    <n v="0.622"/>
    <n v="0.622"/>
    <n v="0.622"/>
    <m/>
    <n v="1553.42"/>
    <n v="173.25"/>
    <m/>
    <n v="1073.98874"/>
    <n v="1073.98874"/>
    <n v="1018.98528"/>
    <n v="0"/>
    <n v="38.281103950008387"/>
    <n v="0"/>
    <n v="0"/>
    <n v="67.45543104347756"/>
    <n v="4.6647637047753596"/>
    <n v="446.8372759412344"/>
    <n v="105.95177270406468"/>
    <n v="1.8082992559966575"/>
    <n v="0"/>
    <n v="0"/>
    <n v="0"/>
    <n v="0"/>
    <n v="5.9146168324964048"/>
    <m/>
    <n v="0.7512868763336118"/>
    <n v="196.27456605599363"/>
    <n v="190.70899076767088"/>
    <n v="0"/>
    <n v="0"/>
    <n v="0"/>
    <n v="0"/>
    <n v="0"/>
    <n v="0"/>
    <n v="0"/>
    <n v="0"/>
    <n v="0"/>
    <n v="0"/>
    <m/>
    <n v="0"/>
    <n v="0"/>
    <n v="0"/>
    <n v="0"/>
    <n v="0"/>
    <n v="5.5605505151723795"/>
    <n v="0"/>
    <n v="0"/>
    <n v="0"/>
    <n v="0"/>
    <n v="0"/>
    <m/>
    <m/>
    <m/>
    <m/>
    <m/>
    <m/>
    <m/>
    <m/>
    <m/>
    <n v="111.51232321923706"/>
    <m/>
    <m/>
    <m/>
    <m/>
    <m/>
    <m/>
    <m/>
    <m/>
    <m/>
    <m/>
    <m/>
    <m/>
    <n v="1015.7088"/>
    <n v="-58.309939999999983"/>
    <m/>
    <m/>
    <m/>
    <m/>
    <n v="-68.432439999999986"/>
    <n v="13.428980000000003"/>
    <n v="30"/>
    <n v="55.997489928827463"/>
    <n v="19.558340981856134"/>
    <n v="19.003743300472848"/>
    <n v="0"/>
    <n v="0"/>
    <n v="0"/>
    <n v="0"/>
    <n v="0"/>
    <n v="4.8031610068943289"/>
    <n v="0"/>
    <n v="0"/>
    <n v="13.427463790500681"/>
    <n v="0"/>
    <n v="0"/>
    <n v="0"/>
    <n v="0.70469883412214696"/>
    <n v="0"/>
    <n v="-1.2999051531139685"/>
    <m/>
    <n v="0"/>
    <n v="0"/>
    <n v="0"/>
    <n v="0"/>
    <n v="-0.1787578519284585"/>
    <n v="-2.1254979976213617E-2"/>
    <n v="0"/>
    <n v="0"/>
    <m/>
    <m/>
    <m/>
    <n v="446.8372759412344"/>
    <n v="0"/>
    <n v="0"/>
    <n v="-68.432440000000042"/>
    <n v="13.42898000000001"/>
    <n v="0"/>
    <n v="0"/>
    <n v="-111.00195885064335"/>
    <n v="0"/>
    <n v="0"/>
    <n v="0"/>
    <n v="0"/>
    <n v="0"/>
    <n v="0"/>
    <n v="0"/>
    <n v="0"/>
    <n v="0"/>
    <n v="0"/>
    <n v="0"/>
    <n v="0"/>
    <n v="9.776311202576451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799"/>
    <s v="Regular"/>
    <s v="Branca"/>
    <s v="B3"/>
    <s v="Comercial"/>
    <s v="Não se aplica"/>
    <s v="Não se aplica"/>
    <s v="Não se aplica"/>
    <s v="Fora ponta"/>
    <s v="CATIVO"/>
    <x v="11"/>
    <n v="0"/>
    <n v="0"/>
    <n v="8.8620000000000001"/>
    <n v="8.8620000000000001"/>
    <n v="8.8620000000000001"/>
    <n v="8.8620000000000001"/>
    <m/>
    <n v="388.22"/>
    <n v="173.25"/>
    <m/>
    <n v="4975.7471400000004"/>
    <n v="4975.7471400000004"/>
    <n v="4962.9858599999998"/>
    <n v="0"/>
    <n v="545.41341351282051"/>
    <n v="0"/>
    <n v="0"/>
    <n v="192.21544370009588"/>
    <n v="13.292339109680372"/>
    <n v="1273.2716744221068"/>
    <n v="1509.5572503270439"/>
    <n v="25.763903547656561"/>
    <n v="0"/>
    <n v="0"/>
    <n v="0"/>
    <n v="0"/>
    <n v="84.26902631765779"/>
    <m/>
    <n v="10.704026202682424"/>
    <n v="559.28784707016575"/>
    <n v="543.42864185951748"/>
    <n v="0"/>
    <n v="0"/>
    <n v="0"/>
    <n v="0"/>
    <n v="0"/>
    <n v="0"/>
    <n v="0"/>
    <n v="0"/>
    <n v="0"/>
    <n v="0"/>
    <m/>
    <n v="0"/>
    <n v="0"/>
    <n v="0"/>
    <n v="0"/>
    <n v="0"/>
    <n v="79.22443515346886"/>
    <n v="0"/>
    <n v="0"/>
    <n v="0"/>
    <n v="0"/>
    <n v="0"/>
    <m/>
    <m/>
    <m/>
    <m/>
    <m/>
    <m/>
    <m/>
    <m/>
    <m/>
    <n v="1588.7816854805128"/>
    <m/>
    <m/>
    <m/>
    <m/>
    <m/>
    <m/>
    <m/>
    <m/>
    <m/>
    <m/>
    <m/>
    <m/>
    <n v="4961.8657999999996"/>
    <n v="-13.911340000001474"/>
    <m/>
    <m/>
    <m/>
    <m/>
    <n v="-204.09186000000025"/>
    <n v="191.33058000000003"/>
    <n v="30"/>
    <n v="303.54906866910142"/>
    <n v="55.731838514857259"/>
    <n v="54.151502613758112"/>
    <n v="0"/>
    <n v="0"/>
    <n v="0"/>
    <n v="0"/>
    <n v="0"/>
    <n v="13.686705038601231"/>
    <n v="0"/>
    <n v="0"/>
    <n v="191.30897767108831"/>
    <n v="0"/>
    <n v="0"/>
    <n v="0"/>
    <n v="10.04025895175316"/>
    <n v="0"/>
    <n v="-18.520513612372952"/>
    <m/>
    <n v="0"/>
    <n v="0"/>
    <n v="0"/>
    <n v="0"/>
    <n v="-2.546868301913193"/>
    <n v="-0.30283220667074673"/>
    <n v="0"/>
    <n v="0"/>
    <m/>
    <m/>
    <m/>
    <n v="1273.2716744221068"/>
    <n v="0"/>
    <n v="0"/>
    <n v="-204.09186000000045"/>
    <n v="191.33058000000005"/>
    <n v="0"/>
    <n v="0"/>
    <n v="-316.30228188142314"/>
    <n v="0"/>
    <n v="0"/>
    <n v="0"/>
    <n v="0"/>
    <n v="0"/>
    <n v="0"/>
    <n v="0"/>
    <n v="0"/>
    <n v="0"/>
    <n v="0"/>
    <n v="0"/>
    <n v="0"/>
    <n v="139.2888583235249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0"/>
    <s v="Regular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53"/>
    <n v="72.25"/>
    <n v="2189.44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801"/>
    <s v="Regular"/>
    <s v="Branca"/>
    <s v="B3"/>
    <s v="Comercial"/>
    <s v="Não se aplica"/>
    <s v="Não se aplica"/>
    <s v="Não se aplica"/>
    <s v="Intermediário"/>
    <s v="CATIVO"/>
    <x v="11"/>
    <n v="0"/>
    <n v="0"/>
    <n v="0.46200000000000002"/>
    <n v="0.46200000000000002"/>
    <n v="0.46200000000000002"/>
    <n v="0.46200000000000002"/>
    <m/>
    <n v="970.82"/>
    <n v="173.25"/>
    <m/>
    <n v="528.56034000000011"/>
    <n v="528.56034000000011"/>
    <n v="507.79805999999996"/>
    <n v="0"/>
    <n v="28.433874638109124"/>
    <n v="0"/>
    <n v="0"/>
    <n v="30.062131005228306"/>
    <n v="2.0788966380068783"/>
    <n v="199.13717658765776"/>
    <n v="78.697297410414606"/>
    <n v="1.3431418911100577"/>
    <n v="0"/>
    <n v="0"/>
    <n v="0"/>
    <n v="0"/>
    <n v="4.3931719881243394"/>
    <m/>
    <n v="0.55802980203557662"/>
    <n v="87.471559020452389"/>
    <n v="84.991209390351273"/>
    <n v="0"/>
    <n v="0"/>
    <n v="0"/>
    <n v="0"/>
    <n v="0"/>
    <n v="0"/>
    <n v="0"/>
    <n v="0"/>
    <n v="0"/>
    <n v="0"/>
    <m/>
    <n v="0"/>
    <n v="0"/>
    <n v="0"/>
    <n v="0"/>
    <n v="0"/>
    <n v="4.1301838231666235"/>
    <n v="0"/>
    <n v="0"/>
    <n v="0"/>
    <n v="0"/>
    <n v="0"/>
    <m/>
    <m/>
    <m/>
    <m/>
    <m/>
    <m/>
    <m/>
    <m/>
    <m/>
    <n v="82.827481233581224"/>
    <m/>
    <m/>
    <m/>
    <m/>
    <m/>
    <m/>
    <m/>
    <m/>
    <m/>
    <m/>
    <m/>
    <m/>
    <n v="505.59980000000002"/>
    <n v="-22.990540000000067"/>
    <m/>
    <m/>
    <m/>
    <m/>
    <n v="-30.736860000000043"/>
    <n v="9.9745800000000013"/>
    <n v="30"/>
    <n v="28.708913606819181"/>
    <n v="8.7163538909494633"/>
    <n v="8.4691923519144439"/>
    <n v="0"/>
    <n v="0"/>
    <n v="0"/>
    <n v="0"/>
    <n v="0"/>
    <n v="2.140574721676979"/>
    <n v="0"/>
    <n v="0"/>
    <n v="9.9734538122368406"/>
    <n v="0"/>
    <n v="0"/>
    <n v="0"/>
    <n v="0.52342582212931177"/>
    <n v="0"/>
    <n v="-0.96552440633223924"/>
    <m/>
    <n v="0"/>
    <n v="0"/>
    <n v="0"/>
    <n v="0"/>
    <n v="-0.13277512474428921"/>
    <n v="-1.5787461011271153E-2"/>
    <n v="0"/>
    <n v="0"/>
    <m/>
    <m/>
    <m/>
    <n v="199.13717658765776"/>
    <n v="0"/>
    <n v="0"/>
    <n v="-30.736860000000092"/>
    <n v="9.9745800000000031"/>
    <n v="0"/>
    <n v="0"/>
    <n v="-49.469052541900055"/>
    <n v="0"/>
    <n v="0"/>
    <n v="0"/>
    <n v="0"/>
    <n v="0"/>
    <n v="0"/>
    <n v="0"/>
    <n v="0"/>
    <n v="0"/>
    <n v="0"/>
    <n v="0"/>
    <n v="0"/>
    <n v="7.261504462363859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2"/>
    <s v="Regular"/>
    <s v="Convencional"/>
    <s v="B2"/>
    <s v="Rural"/>
    <s v="Não se aplica"/>
    <s v="Não se aplica"/>
    <s v="Não se aplica"/>
    <s v="Não se aplica"/>
    <s v="CATIVO"/>
    <x v="11"/>
    <n v="0"/>
    <n v="0"/>
    <n v="5593.058"/>
    <n v="5593.058"/>
    <n v="5593.058"/>
    <n v="5593.058"/>
    <m/>
    <n v="368.24"/>
    <n v="173.25"/>
    <m/>
    <n v="3028584.9764200002"/>
    <n v="3028584.9764200002"/>
    <n v="2846251.2856200002"/>
    <n v="0"/>
    <n v="344225.77925470419"/>
    <n v="0"/>
    <n v="0"/>
    <n v="14315.64093494559"/>
    <n v="13754.120827186793"/>
    <n v="1317372.6938564009"/>
    <n v="952724.13173094951"/>
    <n v="16260.325755861984"/>
    <n v="0"/>
    <n v="0"/>
    <n v="0"/>
    <n v="0"/>
    <n v="53184.557864837101"/>
    <m/>
    <n v="6755.6126591201255"/>
    <n v="30389.296435483189"/>
    <n v="141700.8060380214"/>
    <n v="0"/>
    <n v="0"/>
    <n v="0"/>
    <n v="0"/>
    <n v="0"/>
    <n v="0"/>
    <n v="0"/>
    <n v="0"/>
    <n v="0"/>
    <n v="0"/>
    <m/>
    <n v="0"/>
    <n v="0"/>
    <n v="0"/>
    <n v="0"/>
    <n v="0"/>
    <n v="50000.774185352093"/>
    <n v="0"/>
    <n v="2459.91"/>
    <n v="27886.05"/>
    <n v="130579.44"/>
    <n v="15518"/>
    <m/>
    <m/>
    <m/>
    <m/>
    <m/>
    <n v="341512.12148000003"/>
    <m/>
    <m/>
    <m/>
    <n v="1002724.9059163016"/>
    <m/>
    <m/>
    <m/>
    <m/>
    <m/>
    <m/>
    <m/>
    <m/>
    <m/>
    <m/>
    <m/>
    <m/>
    <n v="2504740.0598000004"/>
    <n v="-160408.03777999943"/>
    <m/>
    <m/>
    <m/>
    <m/>
    <n v="-303087.81302"/>
    <n v="120754.12222000002"/>
    <n v="30"/>
    <n v="144900.4323888775"/>
    <n v="3028.2284344183463"/>
    <n v="14120.182444346137"/>
    <n v="0"/>
    <n v="0"/>
    <n v="0"/>
    <n v="0"/>
    <n v="0"/>
    <n v="14162.187202242954"/>
    <n v="0"/>
    <n v="0"/>
    <n v="120740.48838130245"/>
    <n v="0"/>
    <n v="0"/>
    <n v="0"/>
    <n v="6336.6904369413896"/>
    <n v="0"/>
    <n v="-11688.81819270947"/>
    <m/>
    <n v="0"/>
    <n v="0"/>
    <n v="0"/>
    <n v="0"/>
    <n v="-1607.4003758702311"/>
    <n v="-191.12594179389271"/>
    <n v="0"/>
    <n v="0"/>
    <m/>
    <m/>
    <m/>
    <n v="1317372.6938564009"/>
    <n v="0"/>
    <n v="0"/>
    <n v="-303087.81302"/>
    <n v="120754.12222000002"/>
    <n v="0"/>
    <n v="0"/>
    <n v="-327257.72317536396"/>
    <n v="0"/>
    <n v="0"/>
    <n v="0"/>
    <n v="0"/>
    <n v="0"/>
    <n v="0"/>
    <n v="0"/>
    <n v="0"/>
    <n v="0"/>
    <n v="0"/>
    <n v="0"/>
    <n v="0"/>
    <n v="87909.12472999974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3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2.1389999999999998"/>
    <n v="-2.1389999999999998"/>
    <n v="-2.1389999999999998"/>
    <n v="-2.1389999999999998"/>
    <m/>
    <n v="368.24"/>
    <n v="173.25"/>
    <m/>
    <n v="-1158.2471099999998"/>
    <n v="-1158.2471099999998"/>
    <n v="-1088.5157099999999"/>
    <n v="0"/>
    <n v="-131.64514686345328"/>
    <n v="0"/>
    <n v="0"/>
    <n v="-5.4748504234800732"/>
    <n v="-5.2601035872241173"/>
    <n v="-503.81386929276277"/>
    <n v="-364.35826658198448"/>
    <n v="-6.2185725218277339"/>
    <n v="0"/>
    <n v="0"/>
    <n v="0"/>
    <n v="0"/>
    <n v="-20.339815763199049"/>
    <m/>
    <n v="-2.5836055120218577"/>
    <n v="-11.622033076627943"/>
    <n v="-54.191825673062525"/>
    <n v="0"/>
    <n v="0"/>
    <n v="0"/>
    <n v="0"/>
    <n v="0"/>
    <n v="0"/>
    <n v="0"/>
    <n v="0"/>
    <n v="0"/>
    <n v="0"/>
    <m/>
    <n v="0"/>
    <n v="0"/>
    <n v="0"/>
    <n v="0"/>
    <n v="0"/>
    <n v="-19.122214713751962"/>
    <n v="0"/>
    <n v="-0.86"/>
    <n v="-9.99"/>
    <n v="-49.37"/>
    <n v="0"/>
    <m/>
    <m/>
    <m/>
    <m/>
    <m/>
    <n v="-130.60733999999999"/>
    <m/>
    <m/>
    <m/>
    <n v="-383.48048129573647"/>
    <m/>
    <m/>
    <m/>
    <m/>
    <m/>
    <m/>
    <m/>
    <m/>
    <m/>
    <m/>
    <m/>
    <m/>
    <n v="-958.35620000000017"/>
    <n v="60.868689999999788"/>
    <m/>
    <m/>
    <m/>
    <m/>
    <n v="115.91240999999998"/>
    <n v="-46.181010000000001"/>
    <n v="30"/>
    <n v="-55.415485567968062"/>
    <n v="-1.1581107546570841"/>
    <n v="-5.4000995964026117"/>
    <n v="0"/>
    <n v="0"/>
    <n v="0"/>
    <n v="0"/>
    <n v="0"/>
    <n v="-5.4161638276587993"/>
    <n v="0"/>
    <n v="0"/>
    <n v="-46.175795896914678"/>
    <n v="0"/>
    <n v="0"/>
    <n v="0"/>
    <n v="-2.4233935790792138"/>
    <n v="0"/>
    <n v="4.4702526085382317"/>
    <m/>
    <n v="0"/>
    <n v="0"/>
    <n v="0"/>
    <n v="0"/>
    <n v="0.61473158404336559"/>
    <n v="7.3093894162573836E-2"/>
    <n v="0"/>
    <n v="0"/>
    <m/>
    <m/>
    <m/>
    <n v="-503.81386929276277"/>
    <n v="0"/>
    <n v="0"/>
    <n v="115.91241000000002"/>
    <n v="-46.181010000000015"/>
    <n v="0"/>
    <n v="0"/>
    <n v="125.15591110839603"/>
    <n v="0"/>
    <n v="0"/>
    <n v="0"/>
    <n v="0"/>
    <n v="0"/>
    <n v="0"/>
    <n v="0"/>
    <n v="0"/>
    <n v="0"/>
    <n v="0"/>
    <n v="0"/>
    <n v="0"/>
    <n v="-33.61982260821708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4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443.76600000000002"/>
    <n v="443.76600000000002"/>
    <n v="443.76600000000002"/>
    <n v="443.76600000000002"/>
    <m/>
    <n v="368.24"/>
    <n v="173.25"/>
    <m/>
    <n v="240294.85134000002"/>
    <n v="240294.85134000002"/>
    <n v="225828.07974000002"/>
    <n v="0"/>
    <n v="27311.659767651807"/>
    <n v="0"/>
    <n v="0"/>
    <n v="1135.835658263702"/>
    <n v="1091.2833700271613"/>
    <n v="104523.35928965507"/>
    <n v="75591.309269762016"/>
    <n v="1290.1313949141686"/>
    <n v="0"/>
    <n v="0"/>
    <n v="0"/>
    <n v="0"/>
    <n v="4219.7843300475879"/>
    <m/>
    <n v="536.00574270588675"/>
    <n v="2411.1562086408962"/>
    <n v="11242.865690337665"/>
    <n v="0"/>
    <n v="0"/>
    <n v="0"/>
    <n v="0"/>
    <n v="0"/>
    <n v="0"/>
    <n v="0"/>
    <n v="0"/>
    <n v="0"/>
    <n v="0"/>
    <m/>
    <n v="0"/>
    <n v="0"/>
    <n v="0"/>
    <n v="0"/>
    <n v="0"/>
    <n v="3967.1756590289169"/>
    <n v="0"/>
    <n v="202.11"/>
    <n v="2249.86"/>
    <n v="7155.21"/>
    <n v="508"/>
    <m/>
    <m/>
    <m/>
    <m/>
    <m/>
    <n v="27096.35196"/>
    <m/>
    <m/>
    <m/>
    <n v="79558.484928790931"/>
    <m/>
    <m/>
    <m/>
    <m/>
    <m/>
    <m/>
    <m/>
    <m/>
    <m/>
    <m/>
    <m/>
    <m/>
    <n v="198733.51909999998"/>
    <n v="-12725.447560000059"/>
    <m/>
    <m/>
    <m/>
    <m/>
    <n v="-24047.679540000001"/>
    <n v="9580.9079400000028"/>
    <n v="30"/>
    <n v="11496.731355098134"/>
    <n v="240.26656248300878"/>
    <n v="1120.327535061806"/>
    <n v="0"/>
    <n v="0"/>
    <n v="0"/>
    <n v="0"/>
    <n v="0"/>
    <n v="1123.6602885202597"/>
    <n v="0"/>
    <n v="0"/>
    <n v="9579.8262000889372"/>
    <n v="0"/>
    <n v="0"/>
    <n v="0"/>
    <n v="502.76749650007878"/>
    <n v="0"/>
    <n v="-927.41754047713039"/>
    <m/>
    <n v="0"/>
    <n v="0"/>
    <n v="0"/>
    <n v="0"/>
    <n v="-127.53481819756325"/>
    <n v="-15.164368881228825"/>
    <n v="0"/>
    <n v="0"/>
    <m/>
    <m/>
    <m/>
    <n v="104523.35928965507"/>
    <n v="0"/>
    <n v="0"/>
    <n v="-24047.679540000012"/>
    <n v="9580.9079400000046"/>
    <n v="0"/>
    <n v="0"/>
    <n v="-25965.375431944121"/>
    <n v="0"/>
    <n v="0"/>
    <n v="0"/>
    <n v="0"/>
    <n v="0"/>
    <n v="0"/>
    <n v="0"/>
    <n v="0"/>
    <n v="0"/>
    <n v="0"/>
    <n v="0"/>
    <n v="0"/>
    <n v="6974.9107992323825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5"/>
    <s v="Regular"/>
    <s v="Verde"/>
    <s v="A4"/>
    <s v="Rural"/>
    <s v="Não se aplica"/>
    <s v="Não se aplica"/>
    <s v="Não se aplica"/>
    <s v="Ponta"/>
    <s v="CATIVO"/>
    <x v="11"/>
    <n v="0"/>
    <n v="0"/>
    <n v="6.1639999999999997"/>
    <n v="5.91744"/>
    <n v="6.1639999999999997"/>
    <n v="5.91744"/>
    <m/>
    <n v="1358.36"/>
    <n v="173.25"/>
    <m/>
    <n v="9440.8440399999999"/>
    <n v="9440.8440399999999"/>
    <n v="8277.7588799999994"/>
    <n v="0"/>
    <n v="330.04712303959934"/>
    <n v="0"/>
    <n v="0"/>
    <n v="116.75903250025191"/>
    <n v="112.1795944684968"/>
    <n v="6216.4415663574182"/>
    <n v="1049.9786606878693"/>
    <n v="17.920187482256267"/>
    <n v="0"/>
    <n v="0"/>
    <n v="0"/>
    <n v="0"/>
    <n v="58.613662629433826"/>
    <m/>
    <n v="4.9362164316937962"/>
    <n v="247.85950800005597"/>
    <n v="1155.7259676644526"/>
    <n v="0"/>
    <n v="0"/>
    <n v="0"/>
    <n v="0"/>
    <n v="0"/>
    <n v="0"/>
    <n v="0"/>
    <n v="0"/>
    <n v="0"/>
    <n v="0"/>
    <m/>
    <n v="0"/>
    <n v="0"/>
    <n v="0"/>
    <n v="0"/>
    <n v="0"/>
    <n v="46.098439177643556"/>
    <n v="0"/>
    <n v="0"/>
    <n v="0"/>
    <n v="0"/>
    <n v="0"/>
    <m/>
    <m/>
    <m/>
    <m/>
    <m/>
    <n v="331.11035519999956"/>
    <m/>
    <m/>
    <m/>
    <n v="1096.0770998655128"/>
    <m/>
    <m/>
    <m/>
    <m/>
    <m/>
    <m/>
    <m/>
    <m/>
    <m/>
    <m/>
    <m/>
    <m/>
    <n v="7950.0863999999992"/>
    <n v="-1113.1538784000013"/>
    <m/>
    <m/>
    <m/>
    <m/>
    <n v="-1296.1659199999997"/>
    <n v="133.08076000000003"/>
    <n v="30"/>
    <n v="381.16148726173469"/>
    <n v="24.698670186727696"/>
    <n v="115.16562237981839"/>
    <n v="0"/>
    <n v="0"/>
    <n v="0"/>
    <n v="0"/>
    <n v="0"/>
    <n v="115.507813047146"/>
    <n v="0"/>
    <n v="0"/>
    <n v="133.06573441261435"/>
    <n v="0"/>
    <n v="0"/>
    <n v="0"/>
    <n v="5.8421403159086083"/>
    <n v="0"/>
    <n v="-11.207355894696207"/>
    <m/>
    <n v="0"/>
    <n v="0"/>
    <n v="0"/>
    <n v="0"/>
    <n v="-1.7714845647701338"/>
    <n v="-0.13965262101466802"/>
    <n v="0"/>
    <n v="0"/>
    <m/>
    <m/>
    <m/>
    <n v="6216.4415663574182"/>
    <n v="0"/>
    <n v="0"/>
    <n v="-1296.1659200000004"/>
    <n v="133.08076000000005"/>
    <n v="0"/>
    <n v="0"/>
    <n v="-1544.2695318843244"/>
    <n v="0"/>
    <n v="0"/>
    <n v="0"/>
    <n v="0"/>
    <n v="0"/>
    <n v="0"/>
    <n v="0"/>
    <n v="0"/>
    <n v="0"/>
    <n v="0"/>
    <n v="0"/>
    <n v="0"/>
    <n v="84.28814881002058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6"/>
    <s v="Regular"/>
    <s v="Verde"/>
    <s v="A4"/>
    <s v="Rural"/>
    <s v="Não se aplica"/>
    <s v="Não se aplica"/>
    <s v="Não se aplica"/>
    <s v="Fora ponta"/>
    <s v="CATIVO"/>
    <x v="11"/>
    <n v="0"/>
    <n v="0"/>
    <n v="79.713999999999999"/>
    <n v="76.525440000000003"/>
    <n v="79.713999999999999"/>
    <n v="76.525440000000003"/>
    <m/>
    <n v="85.01"/>
    <n v="173.25"/>
    <m/>
    <n v="20586.93764"/>
    <n v="20586.93764"/>
    <n v="22213.900379999999"/>
    <n v="0"/>
    <n v="4268.2310781925089"/>
    <n v="0"/>
    <n v="0"/>
    <n v="0"/>
    <n v="0"/>
    <n v="0"/>
    <n v="13578.52027223764"/>
    <n v="231.74721365356521"/>
    <n v="0"/>
    <n v="0"/>
    <n v="0"/>
    <n v="0"/>
    <n v="758.00283952671771"/>
    <m/>
    <n v="63.836073432193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6.15363085767012"/>
    <n v="0"/>
    <n v="0"/>
    <n v="0"/>
    <n v="0"/>
    <n v="0"/>
    <m/>
    <m/>
    <m/>
    <m/>
    <m/>
    <n v="888.55601519999868"/>
    <m/>
    <m/>
    <m/>
    <n v="14174.67390309531"/>
    <m/>
    <m/>
    <m/>
    <m/>
    <m/>
    <m/>
    <m/>
    <m/>
    <m/>
    <m/>
    <m/>
    <m/>
    <n v="21326.615099999999"/>
    <n v="1563.1249656"/>
    <m/>
    <m/>
    <m/>
    <m/>
    <n v="-94.062520000000546"/>
    <n v="1721.0252600000003"/>
    <n v="30"/>
    <n v="1626.7317924549025"/>
    <n v="0"/>
    <n v="0"/>
    <n v="0"/>
    <n v="0"/>
    <n v="0"/>
    <n v="0"/>
    <n v="0"/>
    <n v="0"/>
    <n v="0"/>
    <n v="0"/>
    <n v="1720.8309462957732"/>
    <n v="0"/>
    <n v="0"/>
    <n v="0"/>
    <n v="75.551650412449476"/>
    <n v="0"/>
    <n v="-144.93562099120936"/>
    <m/>
    <n v="0"/>
    <n v="0"/>
    <n v="0"/>
    <n v="0"/>
    <n v="-22.909169467243032"/>
    <n v="-1.8060137948674964"/>
    <n v="0"/>
    <n v="0"/>
    <m/>
    <m/>
    <m/>
    <n v="0"/>
    <n v="0"/>
    <n v="0"/>
    <n v="-94.062520000000404"/>
    <n v="1721.0252600000003"/>
    <n v="0"/>
    <n v="0"/>
    <n v="0"/>
    <n v="0"/>
    <n v="0"/>
    <n v="0"/>
    <n v="0"/>
    <n v="0"/>
    <n v="0"/>
    <n v="0"/>
    <n v="0"/>
    <n v="0"/>
    <n v="0"/>
    <n v="0"/>
    <n v="0"/>
    <n v="1090.0300931606068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7"/>
    <s v="Sistema de Compensação"/>
    <s v="Verde"/>
    <s v="A4"/>
    <s v="Rural"/>
    <s v="Não se aplica"/>
    <s v="Não se aplica"/>
    <s v="Não se aplica"/>
    <s v="Fora ponta"/>
    <s v="CATIVO"/>
    <x v="11"/>
    <n v="0"/>
    <n v="0"/>
    <n v="26.773"/>
    <n v="25.702079999999999"/>
    <n v="26.773"/>
    <n v="25.702079999999999"/>
    <m/>
    <n v="85.01"/>
    <n v="173.25"/>
    <m/>
    <n v="6914.3949799999991"/>
    <n v="6914.3949799999991"/>
    <n v="7460.8319099999999"/>
    <n v="0"/>
    <n v="1433.5417951231657"/>
    <n v="0"/>
    <n v="0"/>
    <n v="0"/>
    <n v="0"/>
    <n v="0"/>
    <n v="4560.5254189805846"/>
    <n v="77.835363313180892"/>
    <n v="0"/>
    <n v="0"/>
    <n v="0"/>
    <n v="0"/>
    <n v="254.58526761483319"/>
    <m/>
    <n v="21.440188599243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.22607269679608"/>
    <n v="0"/>
    <n v="0"/>
    <n v="0"/>
    <n v="0"/>
    <n v="0"/>
    <m/>
    <m/>
    <m/>
    <m/>
    <m/>
    <n v="298.4332764000003"/>
    <m/>
    <m/>
    <m/>
    <n v="4760.7514916773807"/>
    <m/>
    <m/>
    <m/>
    <m/>
    <m/>
    <m/>
    <m/>
    <m/>
    <m/>
    <m/>
    <m/>
    <m/>
    <n v="7161.8189999999995"/>
    <n v="523.96981919999871"/>
    <m/>
    <m/>
    <m/>
    <m/>
    <n v="-31.592140000000182"/>
    <n v="578.02907000000005"/>
    <n v="30"/>
    <n v="546.35936321593545"/>
    <n v="0"/>
    <n v="0"/>
    <n v="0"/>
    <n v="0"/>
    <n v="0"/>
    <n v="0"/>
    <n v="0"/>
    <n v="0"/>
    <n v="0"/>
    <n v="0"/>
    <n v="577.96380717536158"/>
    <n v="0"/>
    <n v="0"/>
    <n v="0"/>
    <n v="25.375019902307116"/>
    <n v="0"/>
    <n v="-48.678543051379165"/>
    <m/>
    <n v="0"/>
    <n v="0"/>
    <n v="0"/>
    <n v="0"/>
    <n v="-7.6943472181360448"/>
    <n v="-0.60657359221702123"/>
    <n v="0"/>
    <n v="0"/>
    <m/>
    <m/>
    <m/>
    <n v="0"/>
    <n v="0"/>
    <n v="0"/>
    <n v="-31.5921400000002"/>
    <n v="578.0290700000005"/>
    <n v="0"/>
    <n v="0"/>
    <n v="0"/>
    <n v="0"/>
    <n v="0"/>
    <n v="0"/>
    <n v="0"/>
    <n v="0"/>
    <n v="0"/>
    <n v="0"/>
    <n v="0"/>
    <n v="0"/>
    <n v="0"/>
    <n v="0"/>
    <n v="0"/>
    <n v="366.1010071529333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08"/>
    <s v="Regular"/>
    <s v="Verde"/>
    <s v="A4"/>
    <s v="Rural"/>
    <s v="Não se aplica"/>
    <s v="Não se aplica"/>
    <s v="Não se aplica"/>
    <s v="Não se aplica"/>
    <s v="CATIVO"/>
    <x v="11"/>
    <n v="360"/>
    <n v="345.6"/>
    <n v="0"/>
    <n v="0"/>
    <n v="0"/>
    <n v="0"/>
    <n v="27.19"/>
    <m/>
    <m/>
    <n v="9788.4"/>
    <m/>
    <n v="9788.4"/>
    <n v="7833.6"/>
    <n v="0"/>
    <n v="0"/>
    <n v="0"/>
    <n v="0"/>
    <n v="83.95222083392305"/>
    <n v="80.652542173352643"/>
    <n v="8615.5308875374194"/>
    <m/>
    <m/>
    <m/>
    <n v="0"/>
    <n v="0"/>
    <n v="0"/>
    <n v="0"/>
    <m/>
    <n v="0"/>
    <n v="178.15853919256705"/>
    <n v="830.91198348413639"/>
    <n v="0"/>
    <n v="0"/>
    <m/>
    <m/>
    <n v="0"/>
    <n v="0"/>
    <n v="0"/>
    <m/>
    <m/>
    <n v="0"/>
    <m/>
    <n v="0"/>
    <n v="0"/>
    <n v="0"/>
    <n v="0"/>
    <m/>
    <n v="0"/>
    <n v="0"/>
    <n v="37.21"/>
    <n v="409.63"/>
    <n v="19.61"/>
    <n v="4"/>
    <m/>
    <m/>
    <m/>
    <m/>
    <m/>
    <n v="313.34399999999954"/>
    <m/>
    <m/>
    <m/>
    <n v="0"/>
    <m/>
    <m/>
    <m/>
    <m/>
    <m/>
    <m/>
    <m/>
    <m/>
    <m/>
    <m/>
    <m/>
    <m/>
    <n v="7520.2560000000012"/>
    <n v="-1876.6380000000008"/>
    <m/>
    <m/>
    <m/>
    <m/>
    <n v="-1954.8"/>
    <n v="0"/>
    <n v="30"/>
    <n v="183.59711601789763"/>
    <n v="17.753117626883494"/>
    <n v="82.798603127503156"/>
    <n v="0"/>
    <n v="0"/>
    <m/>
    <m/>
    <m/>
    <n v="83.045395263511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15.5308875374194"/>
    <m/>
    <n v="0"/>
    <n v="0"/>
    <n v="-1954.7999999999993"/>
    <m/>
    <n v="0"/>
    <m/>
    <n v="-2140.244013976667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09"/>
    <s v="Sistema de Compensação"/>
    <s v="Verde"/>
    <s v="A4"/>
    <s v="Rural"/>
    <s v="Não se aplica"/>
    <s v="Não se aplica"/>
    <s v="Não se aplica"/>
    <s v="Não se aplica"/>
    <s v="CATIVO"/>
    <x v="11"/>
    <n v="113"/>
    <n v="108.47999999999999"/>
    <n v="0"/>
    <n v="0"/>
    <n v="0"/>
    <n v="0"/>
    <n v="27.19"/>
    <m/>
    <m/>
    <n v="3072.4700000000003"/>
    <m/>
    <n v="3072.4700000000003"/>
    <n v="2458.88"/>
    <n v="0"/>
    <n v="0"/>
    <n v="0"/>
    <n v="0"/>
    <n v="26.351669317314734"/>
    <n v="25.315936848857913"/>
    <n v="2704.3194174770233"/>
    <m/>
    <m/>
    <m/>
    <n v="0"/>
    <n v="0"/>
    <n v="0"/>
    <n v="0"/>
    <m/>
    <n v="0"/>
    <n v="55.921985913222429"/>
    <n v="260.81403926029839"/>
    <n v="0"/>
    <n v="0"/>
    <m/>
    <m/>
    <n v="0"/>
    <n v="0"/>
    <n v="0"/>
    <m/>
    <m/>
    <n v="0"/>
    <m/>
    <n v="0"/>
    <n v="0"/>
    <n v="0"/>
    <n v="0"/>
    <m/>
    <n v="0"/>
    <n v="0"/>
    <n v="9.68"/>
    <n v="106.57"/>
    <n v="3.84"/>
    <n v="1"/>
    <m/>
    <m/>
    <m/>
    <m/>
    <m/>
    <n v="98.355200000000224"/>
    <m/>
    <m/>
    <m/>
    <n v="0"/>
    <m/>
    <m/>
    <m/>
    <m/>
    <m/>
    <m/>
    <m/>
    <m/>
    <m/>
    <m/>
    <m/>
    <m/>
    <n v="2360.5248000000001"/>
    <n v="-589.07640000000038"/>
    <m/>
    <m/>
    <m/>
    <m/>
    <n v="-613.58999999999992"/>
    <n v="0"/>
    <n v="30"/>
    <n v="57.629094750062336"/>
    <n v="5.5725063662162171"/>
    <n v="25.989561537244015"/>
    <n v="0"/>
    <n v="0"/>
    <m/>
    <m/>
    <m/>
    <n v="26.0670268466020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04.3194174770233"/>
    <m/>
    <n v="0"/>
    <n v="0"/>
    <n v="-613.59000000000015"/>
    <m/>
    <n v="0"/>
    <m/>
    <n v="-671.79881549823199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10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557.29600000000005"/>
    <n v="557.29600000000005"/>
    <n v="557.29600000000005"/>
    <n v="557.29600000000005"/>
    <m/>
    <n v="368.24"/>
    <n v="173.25"/>
    <m/>
    <n v="301770.21104000002"/>
    <n v="301770.21104000002"/>
    <n v="283602.36144000001"/>
    <n v="0"/>
    <n v="34298.884416276327"/>
    <n v="0"/>
    <n v="0"/>
    <n v="1426.4199352986216"/>
    <n v="1370.469700208346"/>
    <n v="131263.88691041589"/>
    <n v="94930.0628953126"/>
    <n v="1620.1896176365167"/>
    <n v="0"/>
    <n v="0"/>
    <n v="0"/>
    <n v="0"/>
    <n v="5299.3445374323419"/>
    <m/>
    <n v="673.13371548748637"/>
    <n v="3028.0096051764599"/>
    <n v="14119.162075874267"/>
    <n v="0"/>
    <n v="0"/>
    <n v="0"/>
    <n v="0"/>
    <n v="0"/>
    <n v="0"/>
    <n v="0"/>
    <n v="0"/>
    <n v="0"/>
    <n v="0"/>
    <m/>
    <n v="0"/>
    <n v="0"/>
    <n v="0"/>
    <n v="0"/>
    <n v="0"/>
    <n v="4982.1102249252526"/>
    <n v="0"/>
    <n v="284.36"/>
    <n v="3157.13"/>
    <n v="86107.31"/>
    <n v="584"/>
    <m/>
    <m/>
    <m/>
    <m/>
    <m/>
    <m/>
    <m/>
    <m/>
    <m/>
    <n v="99912.173120237858"/>
    <m/>
    <m/>
    <m/>
    <m/>
    <m/>
    <m/>
    <m/>
    <m/>
    <m/>
    <m/>
    <m/>
    <m/>
    <n v="283604.397"/>
    <n v="-18165.844040000055"/>
    <m/>
    <m/>
    <m/>
    <m/>
    <n v="-30199.87024"/>
    <n v="12032.020640000002"/>
    <n v="30"/>
    <n v="14437.974962639739"/>
    <n v="301.73468495903444"/>
    <n v="1406.9443219620352"/>
    <n v="0"/>
    <n v="0"/>
    <n v="0"/>
    <n v="0"/>
    <n v="0"/>
    <n v="1411.1297038330711"/>
    <n v="0"/>
    <n v="0"/>
    <n v="12030.662155290775"/>
    <n v="0"/>
    <n v="0"/>
    <n v="0"/>
    <n v="631.3920280722441"/>
    <n v="0"/>
    <n v="-1164.6815791154368"/>
    <m/>
    <n v="0"/>
    <n v="0"/>
    <n v="0"/>
    <n v="0"/>
    <n v="-160.16243705518082"/>
    <n v="-19.043915306790836"/>
    <n v="0"/>
    <n v="0"/>
    <m/>
    <m/>
    <m/>
    <n v="131263.88691041589"/>
    <n v="0"/>
    <n v="0"/>
    <n v="-30199.870239999989"/>
    <n v="12032.020640000002"/>
    <n v="0"/>
    <n v="0"/>
    <n v="-32608.176080909165"/>
    <n v="0"/>
    <n v="0"/>
    <n v="0"/>
    <n v="0"/>
    <n v="0"/>
    <n v="0"/>
    <n v="0"/>
    <n v="0"/>
    <n v="0"/>
    <n v="0"/>
    <n v="0"/>
    <n v="0"/>
    <n v="8759.323356834480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11"/>
    <s v="Sistema de Compensação"/>
    <s v="Convencional"/>
    <s v="B3"/>
    <s v="Poder público"/>
    <s v="Não se aplica"/>
    <s v="Não se aplica"/>
    <s v="Não se aplica"/>
    <s v="Não se aplica"/>
    <s v="CATIVO"/>
    <x v="11"/>
    <n v="0"/>
    <n v="0"/>
    <n v="1.869"/>
    <n v="1.869"/>
    <n v="1.869"/>
    <n v="1.869"/>
    <m/>
    <n v="368.24"/>
    <n v="173.25"/>
    <m/>
    <n v="1012.04481"/>
    <n v="1012.04481"/>
    <n v="951.11541000000011"/>
    <n v="0"/>
    <n v="115.02794739962327"/>
    <n v="0"/>
    <n v="0"/>
    <n v="4.783775334962252"/>
    <n v="4.5961353924833457"/>
    <n v="440.21885072845896"/>
    <n v="318.36633952394999"/>
    <n v="5.4336194685815968"/>
    <n v="0"/>
    <n v="0"/>
    <n v="0"/>
    <n v="0"/>
    <n v="17.772377588321191"/>
    <m/>
    <n v="2.2574841991439234"/>
    <n v="10.155016278736619"/>
    <n v="47.351342769029387"/>
    <n v="0"/>
    <n v="0"/>
    <n v="0"/>
    <n v="0"/>
    <n v="0"/>
    <n v="0"/>
    <n v="0"/>
    <n v="0"/>
    <n v="0"/>
    <n v="0"/>
    <m/>
    <n v="0"/>
    <n v="0"/>
    <n v="0"/>
    <n v="0"/>
    <n v="0"/>
    <n v="16.708470920992248"/>
    <n v="0"/>
    <n v="0.96"/>
    <n v="10.58"/>
    <n v="389.85"/>
    <n v="2"/>
    <m/>
    <m/>
    <m/>
    <m/>
    <m/>
    <m/>
    <m/>
    <m/>
    <m/>
    <n v="335.07481044494222"/>
    <m/>
    <m/>
    <m/>
    <m/>
    <m/>
    <m/>
    <m/>
    <m/>
    <m/>
    <m/>
    <m/>
    <m/>
    <n v="951.62430000000006"/>
    <n v="-60.450509999999895"/>
    <m/>
    <m/>
    <m/>
    <m/>
    <n v="-101.28111"/>
    <n v="40.351710000000004"/>
    <n v="30"/>
    <n v="48.420543490665068"/>
    <n v="1.0119256664114502"/>
    <n v="4.7184600961554395"/>
    <n v="0"/>
    <n v="0"/>
    <n v="0"/>
    <n v="0"/>
    <n v="0"/>
    <n v="4.7324965843358093"/>
    <n v="0"/>
    <n v="0"/>
    <n v="40.347154058594469"/>
    <n v="0"/>
    <n v="0"/>
    <n v="0"/>
    <n v="2.1174953713413061"/>
    <n v="0"/>
    <n v="-3.9059850983440612"/>
    <m/>
    <n v="0"/>
    <n v="0"/>
    <n v="0"/>
    <n v="0"/>
    <n v="-0.53713573192008113"/>
    <n v="-6.3867455909233151E-2"/>
    <n v="0"/>
    <n v="0"/>
    <m/>
    <m/>
    <m/>
    <n v="440.21885072845896"/>
    <n v="0"/>
    <n v="0"/>
    <n v="-101.2811099999999"/>
    <n v="40.351709999999969"/>
    <n v="0"/>
    <n v="0"/>
    <n v="-109.35782976231519"/>
    <n v="0"/>
    <n v="0"/>
    <n v="0"/>
    <n v="0"/>
    <n v="0"/>
    <n v="0"/>
    <n v="0"/>
    <n v="0"/>
    <n v="0"/>
    <n v="0"/>
    <n v="0"/>
    <n v="0"/>
    <n v="29.37608623410834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12"/>
    <s v="Regular"/>
    <s v="Verde"/>
    <s v="A4"/>
    <s v="Poder público"/>
    <s v="Não se aplica"/>
    <s v="Não se aplica"/>
    <s v="Não se aplica"/>
    <s v="Ponta"/>
    <s v="CATIVO"/>
    <x v="11"/>
    <n v="0"/>
    <n v="0"/>
    <n v="2.48"/>
    <n v="2.48"/>
    <n v="2.48"/>
    <n v="2.48"/>
    <m/>
    <n v="1358.36"/>
    <n v="173.25"/>
    <m/>
    <n v="3798.3927999999996"/>
    <n v="3798.3927999999996"/>
    <n v="3330.4415999999997"/>
    <n v="0"/>
    <n v="132.78988727096146"/>
    <n v="0"/>
    <n v="0"/>
    <n v="46.976379072132502"/>
    <n v="45.133905626520452"/>
    <n v="2501.0991376648926"/>
    <n v="422.44436705157625"/>
    <n v="7.2099391557423003"/>
    <n v="0"/>
    <n v="0"/>
    <n v="0"/>
    <n v="0"/>
    <n v="23.582395087767015"/>
    <m/>
    <n v="1.9860182917911446"/>
    <n v="99.722839039607209"/>
    <n v="464.99033092275187"/>
    <n v="0"/>
    <n v="0"/>
    <n v="0"/>
    <n v="0"/>
    <n v="0"/>
    <n v="0"/>
    <n v="0"/>
    <n v="0"/>
    <n v="0"/>
    <n v="0"/>
    <m/>
    <n v="0"/>
    <n v="0"/>
    <n v="0"/>
    <n v="0"/>
    <n v="0"/>
    <n v="18.547068325852695"/>
    <n v="0"/>
    <n v="0"/>
    <n v="0"/>
    <n v="0"/>
    <n v="0"/>
    <m/>
    <m/>
    <m/>
    <m/>
    <m/>
    <m/>
    <m/>
    <m/>
    <m/>
    <n v="440.99143537742896"/>
    <m/>
    <m/>
    <m/>
    <m/>
    <m/>
    <m/>
    <m/>
    <m/>
    <m/>
    <m/>
    <m/>
    <m/>
    <n v="3330.4415999999997"/>
    <n v="-467.98120000000063"/>
    <m/>
    <m/>
    <m/>
    <m/>
    <n v="-521.49439999999993"/>
    <n v="53.543200000000006"/>
    <n v="30"/>
    <n v="153.35504354463001"/>
    <n v="9.9371677584498315"/>
    <n v="46.335292586299431"/>
    <n v="0"/>
    <n v="0"/>
    <n v="0"/>
    <n v="0"/>
    <n v="0"/>
    <n v="46.47296826037023"/>
    <n v="0"/>
    <n v="0"/>
    <n v="53.537154663089495"/>
    <n v="0"/>
    <n v="0"/>
    <n v="0"/>
    <n v="2.3505042153558335"/>
    <n v="0"/>
    <n v="-4.5091243703514863"/>
    <m/>
    <n v="0"/>
    <n v="0"/>
    <n v="0"/>
    <n v="0"/>
    <n v="-0.71273227135462491"/>
    <n v="-5.6187297228484256E-2"/>
    <n v="0"/>
    <n v="0"/>
    <m/>
    <m/>
    <m/>
    <n v="2501.0991376648926"/>
    <n v="0"/>
    <n v="0"/>
    <n v="-521.49440000000004"/>
    <n v="53.543199999999956"/>
    <n v="0"/>
    <n v="0"/>
    <n v="-621.31545085547145"/>
    <n v="0"/>
    <n v="0"/>
    <n v="0"/>
    <n v="0"/>
    <n v="0"/>
    <n v="0"/>
    <n v="0"/>
    <n v="0"/>
    <n v="0"/>
    <n v="0"/>
    <n v="0"/>
    <n v="0"/>
    <n v="33.912168891766882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13"/>
    <s v="Sistema de Compensação"/>
    <s v="Verde"/>
    <s v="A4"/>
    <s v="Poder público"/>
    <s v="Não se aplica"/>
    <s v="Não se aplica"/>
    <s v="Não se aplica"/>
    <s v="Ponta"/>
    <s v="CATIVO"/>
    <x v="11"/>
    <n v="0"/>
    <n v="0"/>
    <n v="0.91200000000000003"/>
    <n v="0.91200000000000003"/>
    <n v="0.91200000000000003"/>
    <n v="0.91200000000000003"/>
    <m/>
    <n v="1358.36"/>
    <n v="173.25"/>
    <m/>
    <n v="1396.8283200000001"/>
    <n v="1396.8283200000001"/>
    <n v="1224.7430400000001"/>
    <n v="0"/>
    <n v="48.832410157708409"/>
    <n v="0"/>
    <n v="0"/>
    <n v="17.275184562010018"/>
    <n v="16.597629811043006"/>
    <n v="919.75903772192828"/>
    <n v="155.35050917380545"/>
    <n v="2.6513969798536201"/>
    <n v="0"/>
    <n v="0"/>
    <n v="0"/>
    <n v="0"/>
    <n v="8.6722356129207743"/>
    <m/>
    <n v="0.73034221052964676"/>
    <n v="36.672269840371683"/>
    <n v="170.99644427481843"/>
    <n v="0"/>
    <n v="0"/>
    <n v="0"/>
    <n v="0"/>
    <n v="0"/>
    <n v="0"/>
    <n v="0"/>
    <n v="0"/>
    <n v="0"/>
    <n v="0"/>
    <m/>
    <n v="0"/>
    <n v="0"/>
    <n v="0"/>
    <n v="0"/>
    <n v="0"/>
    <n v="6.820534803700669"/>
    <n v="0"/>
    <n v="0"/>
    <n v="0"/>
    <n v="0"/>
    <n v="0"/>
    <m/>
    <m/>
    <m/>
    <m/>
    <m/>
    <m/>
    <m/>
    <m/>
    <m/>
    <n v="162.17104397750612"/>
    <m/>
    <m/>
    <m/>
    <m/>
    <m/>
    <m/>
    <m/>
    <m/>
    <m/>
    <m/>
    <m/>
    <m/>
    <n v="1222.0572"/>
    <n v="-174.80112000000008"/>
    <m/>
    <m/>
    <m/>
    <m/>
    <n v="-191.77535999999998"/>
    <n v="19.690080000000005"/>
    <n v="30"/>
    <n v="56.395080529315635"/>
    <n v="3.6543133047202616"/>
    <n v="17.039430176897213"/>
    <n v="0"/>
    <n v="0"/>
    <n v="0"/>
    <n v="0"/>
    <n v="0"/>
    <n v="17.090059295749057"/>
    <n v="0"/>
    <n v="0"/>
    <n v="19.687856876103893"/>
    <n v="0"/>
    <n v="0"/>
    <n v="0"/>
    <n v="0.86437896951795157"/>
    <n v="0"/>
    <n v="-1.6581941232905493"/>
    <m/>
    <n v="0"/>
    <n v="0"/>
    <n v="0"/>
    <n v="0"/>
    <n v="-0.26210154494976656"/>
    <n v="-2.066242543241037E-2"/>
    <n v="0"/>
    <n v="0"/>
    <m/>
    <m/>
    <m/>
    <n v="919.75903772192828"/>
    <n v="0"/>
    <n v="0"/>
    <n v="-191.77535999999986"/>
    <n v="19.690079999999995"/>
    <n v="0"/>
    <n v="0"/>
    <n v="-228.48374644362491"/>
    <n v="0"/>
    <n v="0"/>
    <n v="0"/>
    <n v="0"/>
    <n v="0"/>
    <n v="0"/>
    <n v="0"/>
    <n v="0"/>
    <n v="0"/>
    <n v="0"/>
    <n v="0"/>
    <n v="0"/>
    <n v="12.4709266247142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14"/>
    <s v="Regular"/>
    <s v="Verde"/>
    <s v="A4"/>
    <s v="Poder público"/>
    <s v="Não se aplica"/>
    <s v="Não se aplica"/>
    <s v="Não se aplica"/>
    <s v="Fora ponta"/>
    <s v="CATIVO"/>
    <x v="11"/>
    <n v="0"/>
    <n v="0"/>
    <n v="23.907"/>
    <n v="23.907"/>
    <n v="23.907"/>
    <n v="23.907"/>
    <m/>
    <n v="85.01"/>
    <n v="173.25"/>
    <m/>
    <n v="6174.2218199999998"/>
    <n v="6174.2218199999998"/>
    <n v="6662.1636900000003"/>
    <n v="0"/>
    <n v="1280.0838044301918"/>
    <n v="0"/>
    <n v="0"/>
    <n v="0"/>
    <n v="0"/>
    <n v="0"/>
    <n v="4072.3296302830777"/>
    <n v="69.503232014649669"/>
    <n v="0"/>
    <n v="0"/>
    <n v="0"/>
    <n v="0"/>
    <n v="227.33238684001859"/>
    <m/>
    <n v="19.145056170101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79224292990341"/>
    <n v="0"/>
    <n v="0"/>
    <n v="0"/>
    <n v="0"/>
    <n v="0"/>
    <m/>
    <m/>
    <m/>
    <m/>
    <m/>
    <m/>
    <m/>
    <m/>
    <m/>
    <n v="4251.121873212981"/>
    <m/>
    <m/>
    <m/>
    <m/>
    <m/>
    <m/>
    <m/>
    <m/>
    <m/>
    <m/>
    <m/>
    <m/>
    <n v="6662.9996999999994"/>
    <n v="488.74787999999899"/>
    <m/>
    <m/>
    <m/>
    <m/>
    <n v="-28.210260000000162"/>
    <n v="516.15213000000006"/>
    <n v="30"/>
    <n v="487.87260659632375"/>
    <n v="0"/>
    <n v="0"/>
    <n v="0"/>
    <n v="0"/>
    <n v="0"/>
    <n v="0"/>
    <n v="0"/>
    <n v="0"/>
    <n v="0"/>
    <n v="0"/>
    <n v="516.09385343971007"/>
    <n v="0"/>
    <n v="0"/>
    <n v="0"/>
    <n v="22.658671079238644"/>
    <n v="0"/>
    <n v="-43.467595291126372"/>
    <m/>
    <n v="0"/>
    <n v="0"/>
    <n v="0"/>
    <n v="0"/>
    <n v="-6.8706816174496339"/>
    <n v="-0.54164101404894183"/>
    <n v="0"/>
    <n v="0"/>
    <m/>
    <m/>
    <m/>
    <n v="0"/>
    <n v="0"/>
    <n v="0"/>
    <n v="-28.210260000000062"/>
    <n v="516.1521300000004"/>
    <n v="0"/>
    <n v="0"/>
    <n v="0"/>
    <n v="0"/>
    <n v="0"/>
    <n v="0"/>
    <n v="0"/>
    <n v="0"/>
    <n v="0"/>
    <n v="0"/>
    <n v="0"/>
    <n v="0"/>
    <n v="0"/>
    <n v="0"/>
    <n v="0"/>
    <n v="326.91057326430274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15"/>
    <s v="Sistema de Compensação"/>
    <s v="Verde"/>
    <s v="A4"/>
    <s v="Poder público"/>
    <s v="Não se aplica"/>
    <s v="Não se aplica"/>
    <s v="Não se aplica"/>
    <s v="Fora ponta"/>
    <s v="CATIVO"/>
    <x v="11"/>
    <n v="0"/>
    <n v="0"/>
    <n v="4.4279999999999999"/>
    <n v="4.4279999999999999"/>
    <n v="4.4279999999999999"/>
    <n v="4.4279999999999999"/>
    <m/>
    <n v="85.01"/>
    <n v="173.25"/>
    <m/>
    <n v="1143.57528"/>
    <n v="1143.57528"/>
    <n v="1233.9507599999999"/>
    <n v="0"/>
    <n v="237.09420194992634"/>
    <n v="0"/>
    <n v="0"/>
    <n v="0"/>
    <n v="0"/>
    <n v="0"/>
    <n v="754.26760375176593"/>
    <n v="12.873230073236655"/>
    <n v="0"/>
    <n v="0"/>
    <n v="0"/>
    <n v="0"/>
    <n v="42.105986067996916"/>
    <m/>
    <n v="3.5460036274399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115491349546673"/>
    <n v="0"/>
    <n v="0"/>
    <n v="0"/>
    <n v="0"/>
    <n v="0"/>
    <m/>
    <m/>
    <m/>
    <m/>
    <m/>
    <m/>
    <m/>
    <m/>
    <m/>
    <n v="787.38309510131262"/>
    <m/>
    <m/>
    <m/>
    <m/>
    <m/>
    <m/>
    <m/>
    <m/>
    <m/>
    <m/>
    <m/>
    <m/>
    <n v="1234.5081"/>
    <n v="90.90282000000002"/>
    <m/>
    <m/>
    <m/>
    <m/>
    <n v="-5.2250400000000301"/>
    <n v="95.600520000000017"/>
    <n v="30"/>
    <n v="90.362651190384668"/>
    <n v="0"/>
    <n v="0"/>
    <n v="0"/>
    <n v="0"/>
    <n v="0"/>
    <n v="0"/>
    <n v="0"/>
    <n v="0"/>
    <n v="0"/>
    <n v="0"/>
    <n v="95.589726148451746"/>
    <n v="0"/>
    <n v="0"/>
    <n v="0"/>
    <n v="4.1967873651595227"/>
    <n v="0"/>
    <n v="-8.0509688354501634"/>
    <m/>
    <n v="0"/>
    <n v="0"/>
    <n v="0"/>
    <n v="0"/>
    <n v="-1.2725719748218935"/>
    <n v="-0.10032151295472902"/>
    <n v="0"/>
    <n v="0"/>
    <m/>
    <m/>
    <m/>
    <n v="0"/>
    <n v="0"/>
    <n v="0"/>
    <n v="-5.2250400000000354"/>
    <n v="95.600520000000074"/>
    <n v="0"/>
    <n v="0"/>
    <n v="0"/>
    <n v="0"/>
    <n v="0"/>
    <n v="0"/>
    <n v="0"/>
    <n v="0"/>
    <n v="0"/>
    <n v="0"/>
    <n v="0"/>
    <n v="0"/>
    <n v="0"/>
    <n v="0"/>
    <n v="0"/>
    <n v="60.54963058578376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16"/>
    <s v="Regular"/>
    <s v="Verde"/>
    <s v="A4"/>
    <s v="Poder público"/>
    <s v="Não se aplica"/>
    <s v="Não se aplica"/>
    <s v="Não se aplica"/>
    <s v="Não se aplica"/>
    <s v="CATIVO"/>
    <x v="11"/>
    <n v="266"/>
    <n v="266"/>
    <n v="0"/>
    <n v="0"/>
    <n v="0"/>
    <n v="0"/>
    <n v="27.19"/>
    <m/>
    <m/>
    <n v="7232.54"/>
    <m/>
    <n v="7232.54"/>
    <n v="5788.1600000000008"/>
    <n v="0"/>
    <n v="0"/>
    <n v="0"/>
    <n v="0"/>
    <n v="62.031363171732025"/>
    <n v="59.593267272532785"/>
    <n v="6365.9200446804271"/>
    <m/>
    <m/>
    <m/>
    <n v="0"/>
    <n v="0"/>
    <n v="0"/>
    <n v="0"/>
    <m/>
    <n v="0"/>
    <n v="131.63936507006343"/>
    <n v="613.95163224105636"/>
    <n v="0"/>
    <n v="0"/>
    <m/>
    <m/>
    <n v="0"/>
    <n v="0"/>
    <n v="0"/>
    <m/>
    <m/>
    <n v="0"/>
    <m/>
    <n v="0"/>
    <n v="0"/>
    <n v="0"/>
    <n v="0"/>
    <m/>
    <n v="0"/>
    <n v="0"/>
    <n v="16.22"/>
    <n v="178.6"/>
    <n v="4509.1899999999996"/>
    <n v="5"/>
    <m/>
    <m/>
    <m/>
    <m/>
    <m/>
    <m/>
    <m/>
    <m/>
    <m/>
    <n v="0"/>
    <m/>
    <m/>
    <m/>
    <m/>
    <m/>
    <m/>
    <m/>
    <m/>
    <m/>
    <m/>
    <m/>
    <m/>
    <n v="5788.1600000000008"/>
    <n v="-1444.4099999999999"/>
    <m/>
    <m/>
    <m/>
    <m/>
    <n v="-1444.3799999999999"/>
    <n v="0"/>
    <n v="30"/>
    <n v="135.6578690576689"/>
    <n v="13.117581357641683"/>
    <n v="61.178967866432913"/>
    <n v="0"/>
    <n v="0"/>
    <m/>
    <m/>
    <m/>
    <n v="61.3613198335943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6365.9200446804271"/>
    <m/>
    <n v="0"/>
    <n v="0"/>
    <n v="-1444.3799999999992"/>
    <m/>
    <n v="0"/>
    <m/>
    <n v="-1581.402521438316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17"/>
    <s v="Sistema de Compensação"/>
    <s v="Verde"/>
    <s v="A4"/>
    <s v="Poder público"/>
    <s v="Não se aplica"/>
    <s v="Não se aplica"/>
    <s v="Não se aplica"/>
    <s v="Não se aplica"/>
    <s v="CATIVO"/>
    <x v="11"/>
    <n v="40"/>
    <n v="40"/>
    <n v="0"/>
    <n v="0"/>
    <n v="0"/>
    <n v="0"/>
    <n v="27.19"/>
    <m/>
    <m/>
    <n v="1087.6000000000001"/>
    <m/>
    <n v="1087.6000000000001"/>
    <n v="870.40000000000009"/>
    <n v="0"/>
    <n v="0"/>
    <n v="0"/>
    <n v="0"/>
    <n v="9.3280245371025607"/>
    <n v="8.9613935748169595"/>
    <n v="957.28120972637998"/>
    <m/>
    <m/>
    <m/>
    <n v="0"/>
    <n v="0"/>
    <n v="0"/>
    <n v="0"/>
    <m/>
    <n v="0"/>
    <n v="19.795393243618559"/>
    <n v="92.3235537204596"/>
    <n v="0"/>
    <n v="0"/>
    <m/>
    <m/>
    <n v="0"/>
    <n v="0"/>
    <n v="0"/>
    <m/>
    <m/>
    <n v="0"/>
    <m/>
    <n v="0"/>
    <n v="0"/>
    <n v="0"/>
    <n v="0"/>
    <m/>
    <n v="0"/>
    <n v="0"/>
    <n v="3.41"/>
    <n v="37.56"/>
    <n v="1039.03"/>
    <n v="1"/>
    <m/>
    <m/>
    <m/>
    <m/>
    <m/>
    <m/>
    <m/>
    <m/>
    <m/>
    <n v="0"/>
    <m/>
    <m/>
    <m/>
    <m/>
    <m/>
    <m/>
    <m/>
    <m/>
    <m/>
    <m/>
    <m/>
    <m/>
    <n v="870.40000000000009"/>
    <n v="-217.23000000000002"/>
    <m/>
    <m/>
    <m/>
    <m/>
    <n v="-217.2"/>
    <n v="0"/>
    <n v="30"/>
    <n v="20.399679557544232"/>
    <n v="1.9725686252092807"/>
    <n v="9.1998447919447983"/>
    <n v="0"/>
    <n v="0"/>
    <m/>
    <m/>
    <m/>
    <n v="9.2272661403901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7.28120972637998"/>
    <m/>
    <n v="0"/>
    <n v="0"/>
    <n v="-217.20000000000005"/>
    <m/>
    <n v="0"/>
    <m/>
    <n v="-237.80489044185208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18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1559.317"/>
    <n v="1559.317"/>
    <n v="1559.317"/>
    <n v="1559.317"/>
    <m/>
    <n v="199.07"/>
    <n v="95.29"/>
    <m/>
    <n v="459000.55212000001"/>
    <n v="459000.55212000001"/>
    <n v="433287.41479000001"/>
    <n v="0"/>
    <n v="52782.647736990926"/>
    <n v="0"/>
    <n v="0"/>
    <n v="2195.1215688566244"/>
    <n v="2831.0691923628929"/>
    <n v="195874.17198929863"/>
    <n v="146088.1353644231"/>
    <n v="2493.3142669286485"/>
    <n v="0"/>
    <n v="0"/>
    <n v="0"/>
    <n v="0"/>
    <n v="8155.1759107215321"/>
    <m/>
    <n v="1035.8873295484618"/>
    <n v="4659.8123249282608"/>
    <n v="21728.017423176094"/>
    <n v="0"/>
    <n v="0"/>
    <n v="0"/>
    <n v="0"/>
    <n v="0"/>
    <n v="0"/>
    <n v="0"/>
    <n v="0"/>
    <n v="0"/>
    <n v="0"/>
    <m/>
    <n v="0"/>
    <n v="0"/>
    <n v="0"/>
    <n v="0"/>
    <n v="0"/>
    <n v="7666.9831530817974"/>
    <n v="0"/>
    <n v="438.2"/>
    <n v="4824.05"/>
    <n v="109637.04"/>
    <n v="69"/>
    <m/>
    <m/>
    <m/>
    <m/>
    <m/>
    <m/>
    <m/>
    <m/>
    <m/>
    <n v="153755.11851750489"/>
    <m/>
    <m/>
    <m/>
    <m/>
    <m/>
    <m/>
    <m/>
    <m/>
    <m/>
    <m/>
    <m/>
    <m/>
    <n v="433288.24839999998"/>
    <n v="-25712.333720000053"/>
    <m/>
    <m/>
    <m/>
    <m/>
    <n v="-44222.230119999978"/>
    <n v="18509.092789999984"/>
    <n v="30"/>
    <n v="22962.111293600639"/>
    <n v="464.34033809761877"/>
    <n v="2165.1504938288999"/>
    <n v="0"/>
    <n v="0"/>
    <n v="0"/>
    <n v="0"/>
    <n v="0"/>
    <n v="2915.0632300317448"/>
    <n v="0"/>
    <n v="0"/>
    <n v="18514.019140637683"/>
    <n v="0"/>
    <n v="0"/>
    <n v="0"/>
    <n v="971.65093176807568"/>
    <n v="0"/>
    <n v="-1792.3316913198141"/>
    <m/>
    <n v="0"/>
    <n v="0"/>
    <n v="0"/>
    <n v="0"/>
    <n v="-246.47441570343835"/>
    <n v="-29.306733740132927"/>
    <n v="0"/>
    <n v="0"/>
    <m/>
    <m/>
    <m/>
    <n v="195874.17198929863"/>
    <n v="0"/>
    <n v="0"/>
    <n v="-44222.230119999964"/>
    <n v="18509.092789999995"/>
    <n v="0"/>
    <n v="0"/>
    <n v="-48658.466850736382"/>
    <n v="0"/>
    <n v="0"/>
    <n v="0"/>
    <n v="0"/>
    <n v="0"/>
    <n v="0"/>
    <n v="0"/>
    <n v="0"/>
    <n v="0"/>
    <n v="0"/>
    <n v="0"/>
    <n v="0"/>
    <n v="13479.7468496902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19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653.49699999999996"/>
    <n v="614.28718000000003"/>
    <n v="653.49699999999996"/>
    <n v="614.28718000000003"/>
    <m/>
    <n v="368.24"/>
    <n v="173.25"/>
    <m/>
    <n v="353862.09052999999"/>
    <n v="353862.09052999999"/>
    <n v="332558.08833"/>
    <n v="0"/>
    <n v="40219.592585238956"/>
    <n v="0"/>
    <n v="0"/>
    <n v="1672.649989337521"/>
    <n v="1607.0415679944831"/>
    <n v="153922.79202487733"/>
    <n v="111316.98650609028"/>
    <n v="1899.8683905081152"/>
    <n v="0"/>
    <n v="0"/>
    <n v="0"/>
    <n v="0"/>
    <n v="6214.1227591413226"/>
    <m/>
    <n v="789.33073926589429"/>
    <n v="3550.7076902651388"/>
    <n v="16556.42613458127"/>
    <n v="0"/>
    <n v="0"/>
    <n v="0"/>
    <n v="0"/>
    <n v="0"/>
    <n v="0"/>
    <n v="0"/>
    <n v="0"/>
    <n v="0"/>
    <n v="0"/>
    <m/>
    <n v="0"/>
    <n v="0"/>
    <n v="0"/>
    <n v="0"/>
    <n v="0"/>
    <n v="5842.1271382855375"/>
    <n v="0"/>
    <n v="315.31"/>
    <n v="3480.59"/>
    <n v="112197.66"/>
    <n v="203"/>
    <m/>
    <m/>
    <m/>
    <m/>
    <n v="19953.485299799962"/>
    <m/>
    <m/>
    <m/>
    <m/>
    <n v="117159.11364437582"/>
    <m/>
    <m/>
    <m/>
    <m/>
    <m/>
    <m/>
    <m/>
    <m/>
    <m/>
    <m/>
    <m/>
    <m/>
    <n v="312606.03810000001"/>
    <n v="-20024.356998200063"/>
    <m/>
    <m/>
    <m/>
    <m/>
    <n v="-35413.002429999993"/>
    <n v="14109.000230000001"/>
    <n v="30"/>
    <n v="16930.27282478282"/>
    <n v="353.82043190095374"/>
    <n v="1649.8124759001039"/>
    <n v="0"/>
    <n v="0"/>
    <n v="0"/>
    <n v="0"/>
    <n v="0"/>
    <n v="1654.7203426290521"/>
    <n v="0"/>
    <n v="0"/>
    <n v="14107.407242284273"/>
    <n v="0"/>
    <n v="0"/>
    <n v="0"/>
    <n v="740.38355948926164"/>
    <n v="0"/>
    <n v="-1365.7300929976191"/>
    <m/>
    <n v="0"/>
    <n v="0"/>
    <n v="0"/>
    <n v="0"/>
    <n v="-187.80983916670721"/>
    <n v="-22.331295256455974"/>
    <n v="0"/>
    <n v="0"/>
    <m/>
    <m/>
    <m/>
    <n v="153922.79202487733"/>
    <n v="0"/>
    <n v="0"/>
    <n v="-35413.002429999993"/>
    <n v="14109.000230000005"/>
    <n v="0"/>
    <n v="0"/>
    <n v="-38237.032464517761"/>
    <n v="0"/>
    <n v="0"/>
    <n v="0"/>
    <n v="0"/>
    <n v="0"/>
    <n v="0"/>
    <n v="0"/>
    <n v="0"/>
    <n v="0"/>
    <n v="0"/>
    <n v="0"/>
    <n v="0"/>
    <n v="10271.36662692942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20"/>
    <s v="Regular"/>
    <s v="Azul"/>
    <s v="A4"/>
    <s v="Serviço público"/>
    <s v="Água, esgoto e saneamento"/>
    <s v="Não se aplica"/>
    <s v="Não se aplica"/>
    <s v="Ponta"/>
    <s v="CATIVO"/>
    <x v="11"/>
    <n v="65"/>
    <n v="61.1"/>
    <n v="3.21"/>
    <n v="3.0173999999999999"/>
    <n v="3.21"/>
    <n v="3.0173999999999999"/>
    <n v="52.95"/>
    <n v="85.01"/>
    <n v="173.25"/>
    <n v="3441.75"/>
    <n v="829.01460000000009"/>
    <n v="4270.7645999999995"/>
    <n v="3770.7806999999998"/>
    <n v="0"/>
    <n v="171.87723312088156"/>
    <n v="0"/>
    <n v="0"/>
    <n v="51.198306474712865"/>
    <n v="49.188863943031343"/>
    <n v="2725.6914092779475"/>
    <n v="546.79291057885473"/>
    <n v="9.332219633037413"/>
    <n v="0"/>
    <n v="0"/>
    <n v="0"/>
    <n v="0"/>
    <n v="30.523987190214566"/>
    <m/>
    <n v="2.5706123857457959"/>
    <n v="108.68330737188015"/>
    <n v="506.76761947441048"/>
    <n v="0"/>
    <n v="0"/>
    <n v="0"/>
    <n v="0"/>
    <n v="0"/>
    <n v="0"/>
    <n v="0"/>
    <n v="0"/>
    <n v="0"/>
    <n v="0"/>
    <m/>
    <n v="0"/>
    <n v="0"/>
    <n v="0"/>
    <n v="0"/>
    <n v="0"/>
    <n v="24.006487631446433"/>
    <n v="0"/>
    <n v="0"/>
    <n v="0"/>
    <n v="0"/>
    <n v="0"/>
    <m/>
    <m/>
    <m/>
    <m/>
    <n v="226.24684199999996"/>
    <m/>
    <m/>
    <m/>
    <m/>
    <n v="570.79939821030121"/>
    <m/>
    <m/>
    <m/>
    <m/>
    <m/>
    <m/>
    <m/>
    <m/>
    <m/>
    <m/>
    <m/>
    <m/>
    <n v="3545.2584000000002"/>
    <n v="-469.29032400000096"/>
    <m/>
    <m/>
    <m/>
    <m/>
    <n v="-569.28780000000029"/>
    <n v="69.303900000000013"/>
    <n v="30"/>
    <n v="177.48340111984544"/>
    <n v="10.830059275274195"/>
    <n v="50.498310093914142"/>
    <n v="0"/>
    <n v="0"/>
    <n v="0"/>
    <n v="0"/>
    <n v="0"/>
    <n v="50.648231768467902"/>
    <n v="0"/>
    <n v="0"/>
    <n v="69.29607518891828"/>
    <n v="0"/>
    <n v="0"/>
    <n v="0"/>
    <n v="3.0423865045533169"/>
    <n v="0"/>
    <n v="-5.8364069471081734"/>
    <m/>
    <n v="0"/>
    <n v="0"/>
    <n v="0"/>
    <n v="0"/>
    <n v="-0.92252846413240164"/>
    <n v="-7.2726300041707326E-2"/>
    <n v="0"/>
    <n v="0"/>
    <m/>
    <m/>
    <n v="2725.6914092779475"/>
    <n v="0"/>
    <n v="0"/>
    <n v="0"/>
    <n v="-569.28780000000006"/>
    <n v="69.303899999999999"/>
    <n v="0"/>
    <n v="0"/>
    <n v="-677.10798078540483"/>
    <n v="0"/>
    <n v="0"/>
    <n v="0"/>
    <n v="0"/>
    <n v="0"/>
    <n v="0"/>
    <n v="0"/>
    <n v="0"/>
    <n v="0"/>
    <n v="0"/>
    <n v="0"/>
    <n v="0"/>
    <n v="43.894379896198259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21"/>
    <s v="Regular"/>
    <s v="Azul"/>
    <s v="A4"/>
    <s v="Serviço público"/>
    <s v="Água, esgoto e saneamento"/>
    <s v="Não se aplica"/>
    <s v="Não se aplica"/>
    <s v="Fora ponta"/>
    <s v="CATIVO"/>
    <x v="11"/>
    <n v="65"/>
    <n v="61.1"/>
    <n v="21.279"/>
    <n v="20.00226"/>
    <n v="21.279"/>
    <n v="20.00226"/>
    <n v="27.19"/>
    <n v="85.01"/>
    <n v="173.25"/>
    <n v="1767.3500000000001"/>
    <n v="5495.5145400000001"/>
    <n v="7262.8645400000005"/>
    <n v="7344.21893"/>
    <n v="0"/>
    <n v="1139.3693593704793"/>
    <n v="0"/>
    <n v="0"/>
    <n v="15.158039872791662"/>
    <n v="14.56226455907756"/>
    <n v="1555.5819658053674"/>
    <n v="3624.6748735848755"/>
    <n v="61.863022296387264"/>
    <n v="0"/>
    <n v="0"/>
    <n v="0"/>
    <n v="0"/>
    <n v="202.34265527120741"/>
    <m/>
    <n v="17.040517431864423"/>
    <n v="32.167514020880162"/>
    <n v="150.02577479574686"/>
    <n v="0"/>
    <n v="0"/>
    <n v="0"/>
    <n v="0"/>
    <n v="0"/>
    <n v="0"/>
    <n v="0"/>
    <n v="0"/>
    <n v="0"/>
    <n v="0"/>
    <m/>
    <n v="0"/>
    <n v="0"/>
    <n v="0"/>
    <n v="0"/>
    <n v="0"/>
    <n v="159.13833342976594"/>
    <n v="0"/>
    <n v="0"/>
    <n v="0"/>
    <n v="0"/>
    <n v="0"/>
    <m/>
    <m/>
    <m/>
    <m/>
    <n v="440.65313579999997"/>
    <m/>
    <m/>
    <m/>
    <m/>
    <n v="3783.8132070146416"/>
    <m/>
    <m/>
    <m/>
    <m/>
    <m/>
    <m/>
    <m/>
    <m/>
    <m/>
    <m/>
    <m/>
    <m/>
    <n v="6902.9359999999997"/>
    <n v="75.813332399999126"/>
    <m/>
    <m/>
    <m/>
    <m/>
    <n v="-378.05922000000015"/>
    <n v="459.41361000000006"/>
    <n v="30"/>
    <n v="467.39221972369069"/>
    <n v="3.2054240159650789"/>
    <n v="14.94974778691028"/>
    <n v="0"/>
    <n v="0"/>
    <n v="0"/>
    <n v="0"/>
    <n v="0"/>
    <n v="14.994307478133946"/>
    <n v="0"/>
    <n v="0"/>
    <n v="459.36173954672631"/>
    <n v="0"/>
    <n v="0"/>
    <n v="0"/>
    <n v="20.167894838127722"/>
    <n v="0"/>
    <n v="-38.68937801480206"/>
    <m/>
    <n v="0"/>
    <n v="0"/>
    <n v="0"/>
    <n v="0"/>
    <n v="-6.1154153234496675"/>
    <n v="-0.48210060392133869"/>
    <n v="0"/>
    <n v="0"/>
    <m/>
    <m/>
    <n v="1555.5819658053674"/>
    <n v="0"/>
    <n v="0"/>
    <n v="0"/>
    <n v="-378.0592200000001"/>
    <n v="459.41361000000006"/>
    <n v="0"/>
    <n v="0"/>
    <n v="-386.43294696800945"/>
    <n v="0"/>
    <n v="0"/>
    <n v="0"/>
    <n v="0"/>
    <n v="0"/>
    <n v="0"/>
    <n v="0"/>
    <n v="0"/>
    <n v="0"/>
    <n v="0"/>
    <n v="0"/>
    <n v="0"/>
    <n v="290.97461364834976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22"/>
    <s v="Regular"/>
    <s v="Azul"/>
    <s v="A4"/>
    <s v="Serviço público"/>
    <s v="Água, esgoto e saneamento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.57"/>
    <n v="116.32"/>
    <n v="3683.1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823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7.931"/>
    <n v="7.931"/>
    <n v="7.931"/>
    <n v="7.931"/>
    <m/>
    <n v="368.24"/>
    <n v="173.25"/>
    <m/>
    <n v="4294.5571900000004"/>
    <n v="4294.5571900000004"/>
    <n v="4036.00659"/>
    <n v="0"/>
    <n v="488.11484795420665"/>
    <n v="0"/>
    <n v="0"/>
    <n v="20.299690840869783"/>
    <n v="19.503450935144684"/>
    <n v="1868.0447860499776"/>
    <n v="1350.9702722121174"/>
    <n v="23.057269130722656"/>
    <n v="0"/>
    <n v="0"/>
    <n v="0"/>
    <n v="0"/>
    <n v="75.41611912946783"/>
    <m/>
    <n v="9.5795116016107311"/>
    <n v="43.09226008917075"/>
    <n v="200.93285152550675"/>
    <n v="0"/>
    <n v="0"/>
    <n v="0"/>
    <n v="0"/>
    <n v="0"/>
    <n v="0"/>
    <n v="0"/>
    <n v="0"/>
    <n v="0"/>
    <n v="0"/>
    <m/>
    <n v="0"/>
    <n v="0"/>
    <n v="0"/>
    <n v="0"/>
    <n v="0"/>
    <n v="70.901488964360368"/>
    <n v="0"/>
    <n v="4.0599999999999996"/>
    <n v="44.93"/>
    <n v="1361.64"/>
    <n v="5"/>
    <m/>
    <m/>
    <m/>
    <m/>
    <m/>
    <m/>
    <m/>
    <m/>
    <m/>
    <n v="1421.8717611764778"/>
    <m/>
    <m/>
    <m/>
    <m/>
    <m/>
    <m/>
    <m/>
    <m/>
    <m/>
    <m/>
    <m/>
    <m/>
    <n v="4035.4976999999999"/>
    <n v="-259.08949000000121"/>
    <m/>
    <m/>
    <m/>
    <m/>
    <n v="-429.78089"/>
    <n v="171.23029000000002"/>
    <n v="30"/>
    <n v="205.46994672256051"/>
    <n v="4.2940516106523319"/>
    <n v="20.022529172075309"/>
    <n v="0"/>
    <n v="0"/>
    <n v="0"/>
    <n v="0"/>
    <n v="0"/>
    <n v="20.082092247387536"/>
    <n v="0"/>
    <n v="0"/>
    <n v="171.21095711006569"/>
    <n v="0"/>
    <n v="0"/>
    <n v="0"/>
    <n v="8.9854766132198449"/>
    <n v="0"/>
    <n v="-16.574835642036817"/>
    <m/>
    <n v="0"/>
    <n v="0"/>
    <n v="0"/>
    <n v="0"/>
    <n v="-2.2793063081103071"/>
    <n v="-0.27101808069348721"/>
    <n v="0"/>
    <n v="0"/>
    <m/>
    <m/>
    <m/>
    <n v="1868.0447860499776"/>
    <n v="0"/>
    <n v="0"/>
    <n v="-429.78089"/>
    <n v="171.23028999999997"/>
    <n v="0"/>
    <n v="0"/>
    <n v="-464.05401168802678"/>
    <n v="0"/>
    <n v="0"/>
    <n v="0"/>
    <n v="0"/>
    <n v="0"/>
    <n v="0"/>
    <n v="0"/>
    <n v="0"/>
    <n v="0"/>
    <n v="0"/>
    <n v="0"/>
    <n v="0"/>
    <n v="124.65582660391293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24"/>
    <s v="Sistema de Compensação"/>
    <s v="Convencional"/>
    <s v="B3"/>
    <s v="Consumo próprio"/>
    <s v="Não se aplica"/>
    <s v="Não se aplica"/>
    <s v="Não se aplica"/>
    <s v="Não se aplica"/>
    <s v="CATIVO"/>
    <x v="11"/>
    <n v="0"/>
    <n v="0"/>
    <n v="2.7410000000000001"/>
    <n v="2.7410000000000001"/>
    <n v="2.7410000000000001"/>
    <n v="2.7410000000000001"/>
    <m/>
    <n v="368.24"/>
    <n v="173.25"/>
    <m/>
    <n v="1484.2240900000002"/>
    <n v="1484.2240900000002"/>
    <n v="1394.8674900000001"/>
    <n v="0"/>
    <n v="168.69534714947426"/>
    <n v="0"/>
    <n v="0"/>
    <n v="7.0156919171383274"/>
    <n v="6.7405067473498397"/>
    <n v="645.60720698058105"/>
    <n v="466.90322987434297"/>
    <n v="7.9687271072135673"/>
    <n v="0"/>
    <n v="0"/>
    <n v="0"/>
    <n v="0"/>
    <n v="26.06425199014895"/>
    <m/>
    <n v="3.3107352540682156"/>
    <n v="14.892937196370827"/>
    <n v="69.443569036869746"/>
    <n v="0"/>
    <n v="0"/>
    <n v="0"/>
    <n v="0"/>
    <n v="0"/>
    <n v="0"/>
    <n v="0"/>
    <n v="0"/>
    <n v="0"/>
    <n v="0"/>
    <m/>
    <n v="0"/>
    <n v="0"/>
    <n v="0"/>
    <n v="0"/>
    <n v="0"/>
    <n v="24.503969392423624"/>
    <n v="0"/>
    <n v="1.41"/>
    <n v="15.53"/>
    <n v="528.38"/>
    <n v="1"/>
    <m/>
    <m/>
    <m/>
    <m/>
    <m/>
    <m/>
    <m/>
    <m/>
    <m/>
    <n v="491.40719926676661"/>
    <m/>
    <m/>
    <m/>
    <m/>
    <m/>
    <m/>
    <m/>
    <m/>
    <m/>
    <m/>
    <m/>
    <m/>
    <n v="1394.3586"/>
    <n v="-89.895490000000109"/>
    <m/>
    <m/>
    <m/>
    <m/>
    <n v="-148.53478999999999"/>
    <n v="59.178190000000015"/>
    <n v="30"/>
    <n v="71.01161568106636"/>
    <n v="1.484049358819572"/>
    <n v="6.919903222879654"/>
    <n v="0"/>
    <n v="0"/>
    <n v="0"/>
    <n v="0"/>
    <n v="0"/>
    <n v="6.9404885701789487"/>
    <n v="0"/>
    <n v="0"/>
    <n v="59.171508440132357"/>
    <n v="0"/>
    <n v="0"/>
    <n v="0"/>
    <n v="3.105433286702258"/>
    <n v="0"/>
    <n v="-5.7283601683044765"/>
    <m/>
    <n v="0"/>
    <n v="0"/>
    <n v="0"/>
    <n v="0"/>
    <n v="-0.78774159507380404"/>
    <n v="-9.3665434268169534E-2"/>
    <n v="0"/>
    <n v="0"/>
    <m/>
    <m/>
    <m/>
    <n v="645.60720698058105"/>
    <n v="0"/>
    <n v="0"/>
    <n v="-148.53479000000004"/>
    <n v="59.178190000000029"/>
    <n v="0"/>
    <n v="0"/>
    <n v="-160.37978136891701"/>
    <n v="0"/>
    <n v="0"/>
    <n v="0"/>
    <n v="0"/>
    <n v="0"/>
    <n v="0"/>
    <n v="0"/>
    <n v="0"/>
    <n v="0"/>
    <n v="0"/>
    <n v="0"/>
    <n v="0"/>
    <n v="43.08178296826697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25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5"/>
    <n v="3.02"/>
    <n v="28.08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n v="0"/>
    <m/>
    <m/>
    <m/>
    <m/>
    <n v="0"/>
    <n v="0"/>
    <n v="0"/>
    <n v="0"/>
  </r>
  <r>
    <n v="826"/>
    <s v="Regular"/>
    <s v="Convencional"/>
    <s v="B2"/>
    <s v="Rural"/>
    <s v="Agropecuária rural"/>
    <s v="IRRIG./AQUIC."/>
    <s v="Não se aplica"/>
    <s v="Não se aplica"/>
    <s v="CATIVO"/>
    <x v="11"/>
    <n v="0"/>
    <n v="0"/>
    <n v="0.48399999999999999"/>
    <n v="0.48399999999999999"/>
    <n v="0.48399999999999999"/>
    <n v="0.48399999999999999"/>
    <m/>
    <n v="368.24"/>
    <n v="173.25"/>
    <m/>
    <n v="262.08116000000001"/>
    <n v="262.08116000000001"/>
    <n v="246.30276000000001"/>
    <n v="0"/>
    <n v="29.787868668495271"/>
    <n v="0"/>
    <n v="0"/>
    <n v="1.2388160846023168"/>
    <n v="1.1902244676093843"/>
    <n v="113.99995920415951"/>
    <n v="82.444787763291487"/>
    <n v="1.407101028781965"/>
    <n v="0"/>
    <n v="0"/>
    <n v="0"/>
    <n v="0"/>
    <n v="4.6023706542254983"/>
    <m/>
    <n v="0.5846026497515564"/>
    <n v="2.6297634451088943"/>
    <n v="12.262198983526069"/>
    <n v="0"/>
    <n v="0"/>
    <n v="0"/>
    <n v="0"/>
    <n v="0"/>
    <n v="0"/>
    <n v="0"/>
    <n v="0"/>
    <n v="0"/>
    <n v="0"/>
    <m/>
    <n v="0"/>
    <n v="0"/>
    <n v="0"/>
    <n v="0"/>
    <n v="0"/>
    <n v="4.326859243317414"/>
    <n v="0"/>
    <n v="0"/>
    <n v="0"/>
    <n v="0"/>
    <n v="0"/>
    <m/>
    <m/>
    <m/>
    <m/>
    <m/>
    <n v="29.553040000000003"/>
    <m/>
    <m/>
    <m/>
    <n v="86.771647006608902"/>
    <m/>
    <m/>
    <m/>
    <m/>
    <m/>
    <m/>
    <m/>
    <m/>
    <m/>
    <m/>
    <m/>
    <m/>
    <n v="214.95839999999998"/>
    <n v="-15.702439999999996"/>
    <m/>
    <m/>
    <m/>
    <m/>
    <n v="-26.227959999999999"/>
    <n v="10.449560000000002"/>
    <n v="30"/>
    <n v="12.539081353387843"/>
    <n v="0.26205030633661952"/>
    <n v="1.2219019189616009"/>
    <n v="0"/>
    <n v="0"/>
    <n v="0"/>
    <n v="0"/>
    <n v="0"/>
    <n v="1.22553683617899"/>
    <n v="0"/>
    <n v="0"/>
    <n v="10.448380184248109"/>
    <n v="0"/>
    <n v="0"/>
    <n v="0"/>
    <n v="0.548350861278327"/>
    <n v="0"/>
    <n v="-1.0115017590147275"/>
    <m/>
    <n v="0"/>
    <n v="0"/>
    <n v="0"/>
    <n v="0"/>
    <n v="-0.13909774973211242"/>
    <n v="-1.6539244868950753E-2"/>
    <n v="0"/>
    <n v="0"/>
    <m/>
    <m/>
    <m/>
    <n v="113.99995920415951"/>
    <n v="0"/>
    <n v="0"/>
    <n v="-26.227959999999996"/>
    <n v="10.449560000000005"/>
    <n v="0"/>
    <n v="0"/>
    <n v="-28.319523598159734"/>
    <n v="0"/>
    <n v="0"/>
    <n v="0"/>
    <n v="0"/>
    <n v="0"/>
    <n v="0"/>
    <n v="0"/>
    <n v="0"/>
    <n v="0"/>
    <n v="0"/>
    <n v="0"/>
    <n v="0"/>
    <n v="7.607290389143091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27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0.30099999999999999"/>
    <n v="0.12039999999999999"/>
    <n v="0.30099999999999999"/>
    <n v="0.12039999999999999"/>
    <m/>
    <n v="368.24"/>
    <n v="173.25"/>
    <m/>
    <n v="162.98848999999998"/>
    <n v="162.98848999999998"/>
    <n v="153.17588999999998"/>
    <n v="0"/>
    <n v="18.525100143010491"/>
    <n v="0"/>
    <n v="0"/>
    <n v="0.77042074682912676"/>
    <n v="0.74020158006286085"/>
    <n v="70.896668843909126"/>
    <n v="51.272481646179209"/>
    <n v="0.87507729269291634"/>
    <n v="0"/>
    <n v="0"/>
    <n v="0"/>
    <n v="0"/>
    <n v="2.8622181134749485"/>
    <m/>
    <n v="0.36356487102317869"/>
    <n v="1.6354520598714406"/>
    <n v="7.6258716819036092"/>
    <n v="0"/>
    <n v="0"/>
    <n v="0"/>
    <n v="0"/>
    <n v="0"/>
    <n v="0"/>
    <n v="0"/>
    <n v="0"/>
    <n v="0"/>
    <n v="0"/>
    <m/>
    <n v="0"/>
    <n v="0"/>
    <n v="0"/>
    <n v="0"/>
    <n v="0"/>
    <n v="2.6908773393358301"/>
    <n v="0"/>
    <n v="0"/>
    <n v="0"/>
    <n v="0"/>
    <n v="0"/>
    <m/>
    <m/>
    <m/>
    <m/>
    <m/>
    <m/>
    <n v="99.25715799999999"/>
    <m/>
    <m/>
    <n v="53.963358985515036"/>
    <m/>
    <m/>
    <m/>
    <m/>
    <m/>
    <m/>
    <m/>
    <m/>
    <m/>
    <m/>
    <m/>
    <m/>
    <n v="53.739599999999996"/>
    <n v="-3.6622039999999956"/>
    <m/>
    <m/>
    <m/>
    <m/>
    <n v="-16.31119"/>
    <n v="6.498590000000001"/>
    <n v="30"/>
    <n v="7.7980650565490777"/>
    <n v="0.1629693020812446"/>
    <n v="0.7599018132385158"/>
    <n v="0"/>
    <n v="0"/>
    <n v="0"/>
    <n v="0"/>
    <n v="0"/>
    <n v="0.76216237126007436"/>
    <n v="0"/>
    <n v="0"/>
    <n v="6.4978562716088462"/>
    <n v="0"/>
    <n v="0"/>
    <n v="0"/>
    <n v="0.34101985381152122"/>
    <n v="0"/>
    <n v="-0.62905377988312594"/>
    <m/>
    <n v="0"/>
    <n v="0"/>
    <n v="0"/>
    <n v="0"/>
    <n v="-8.6505005515219224E-2"/>
    <n v="-1.0285770052797905E-2"/>
    <n v="0"/>
    <n v="0"/>
    <m/>
    <m/>
    <m/>
    <n v="70.896668843909126"/>
    <n v="0"/>
    <n v="0"/>
    <n v="-16.311189999999996"/>
    <n v="6.4985900000000001"/>
    <n v="0"/>
    <n v="0"/>
    <n v="-17.611935130260505"/>
    <n v="0"/>
    <n v="0"/>
    <n v="0"/>
    <n v="0"/>
    <n v="0"/>
    <n v="0"/>
    <n v="0"/>
    <n v="0"/>
    <n v="0"/>
    <n v="0"/>
    <n v="0"/>
    <n v="0"/>
    <n v="4.7309801800249387"/>
    <n v="0"/>
    <n v="0"/>
    <n v="0"/>
    <n v="0"/>
    <n v="0"/>
    <n v="240"/>
    <n v="0"/>
    <n v="0"/>
    <n v="0"/>
    <m/>
    <n v="0"/>
    <m/>
    <m/>
    <m/>
    <m/>
    <n v="0"/>
    <n v="0"/>
    <n v="0"/>
    <n v="0"/>
  </r>
  <r>
    <n v="828"/>
    <s v="Regular"/>
    <s v="Azul"/>
    <s v="A4"/>
    <s v="Industrial"/>
    <s v="Não se aplica"/>
    <s v="Fonte incentivada"/>
    <s v="Não se aplica"/>
    <s v="Ponta"/>
    <s v="LIVRE"/>
    <x v="0"/>
    <n v="2800"/>
    <n v="1400"/>
    <n v="0"/>
    <n v="0"/>
    <n v="0"/>
    <n v="0"/>
    <n v="52.95"/>
    <m/>
    <m/>
    <n v="148260"/>
    <m/>
    <n v="148260"/>
    <n v="123900"/>
    <n v="0"/>
    <n v="0"/>
    <n v="0"/>
    <n v="0"/>
    <n v="2205.4655096799388"/>
    <n v="2118.9049083151963"/>
    <n v="117414.3991688962"/>
    <m/>
    <m/>
    <m/>
    <n v="0"/>
    <n v="0"/>
    <n v="0"/>
    <n v="0"/>
    <m/>
    <n v="0"/>
    <n v="4681.7424714040681"/>
    <n v="21829.98976197460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61950"/>
    <m/>
    <m/>
    <m/>
    <m/>
    <m/>
    <m/>
    <m/>
    <n v="0"/>
    <m/>
    <m/>
    <m/>
    <m/>
    <m/>
    <m/>
    <m/>
    <m/>
    <m/>
    <m/>
    <m/>
    <m/>
    <n v="61950"/>
    <n v="-12180.029999999984"/>
    <m/>
    <m/>
    <m/>
    <m/>
    <n v="-24360.000000000007"/>
    <n v="0"/>
    <n v="31"/>
    <n v="4823.6074336221172"/>
    <n v="466.52563031950376"/>
    <n v="2175.3118194301496"/>
    <n v="0"/>
    <n v="0"/>
    <m/>
    <m/>
    <m/>
    <n v="2181.76998387246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7414.3991688962"/>
    <m/>
    <n v="0"/>
    <n v="0"/>
    <n v="-24360"/>
    <m/>
    <n v="0"/>
    <m/>
    <n v="-29167.72840306359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29"/>
    <s v="Regular"/>
    <s v="Azul"/>
    <s v="A4"/>
    <s v="Industrial"/>
    <s v="Não se aplica"/>
    <s v="Fonte incentivada"/>
    <s v="Não se aplica"/>
    <s v="Fora ponta"/>
    <s v="LIVRE"/>
    <x v="0"/>
    <n v="3200"/>
    <n v="1600"/>
    <n v="0"/>
    <n v="0"/>
    <n v="0"/>
    <n v="0"/>
    <n v="27.19"/>
    <m/>
    <m/>
    <n v="87008"/>
    <m/>
    <n v="87008"/>
    <n v="69632"/>
    <n v="0"/>
    <n v="0"/>
    <n v="0"/>
    <n v="0"/>
    <n v="746.2419629682048"/>
    <n v="716.91148598535688"/>
    <n v="76582.496778110391"/>
    <m/>
    <m/>
    <m/>
    <n v="0"/>
    <n v="0"/>
    <n v="0"/>
    <n v="0"/>
    <m/>
    <n v="0"/>
    <n v="1583.6314594894848"/>
    <n v="7385.884297636768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34816"/>
    <m/>
    <m/>
    <m/>
    <m/>
    <m/>
    <m/>
    <m/>
    <n v="0"/>
    <m/>
    <m/>
    <m/>
    <m/>
    <m/>
    <m/>
    <m/>
    <m/>
    <m/>
    <m/>
    <m/>
    <m/>
    <n v="34816"/>
    <n v="-8688.0300000000061"/>
    <m/>
    <m/>
    <m/>
    <m/>
    <n v="-17376"/>
    <n v="0"/>
    <n v="31"/>
    <n v="1631.9743646035349"/>
    <n v="157.8054900167424"/>
    <n v="735.9875833555825"/>
    <n v="0"/>
    <n v="0"/>
    <m/>
    <m/>
    <m/>
    <n v="738.181291231209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76582.496778110391"/>
    <m/>
    <n v="0"/>
    <n v="0"/>
    <n v="-17376"/>
    <m/>
    <n v="0"/>
    <m/>
    <n v="-19024.39123534815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30"/>
    <s v="Regular"/>
    <s v="Azul"/>
    <s v="A4"/>
    <s v="Industrial"/>
    <s v="Não se aplica"/>
    <s v="Fonte incentivada"/>
    <s v="Não se aplica"/>
    <s v="Não se aplica"/>
    <s v="LIVRE"/>
    <x v="0"/>
    <n v="0"/>
    <n v="0"/>
    <n v="1272.365"/>
    <n v="1272.365"/>
    <n v="0"/>
    <n v="0"/>
    <m/>
    <n v="85.01"/>
    <m/>
    <m/>
    <n v="108163.74865000001"/>
    <n v="108163.74865000001"/>
    <n v="106662.35795000001"/>
    <n v="0"/>
    <n v="68127.905208676166"/>
    <n v="0"/>
    <n v="0"/>
    <n v="0"/>
    <n v="0"/>
    <n v="0"/>
    <m/>
    <m/>
    <m/>
    <n v="0"/>
    <n v="0"/>
    <n v="0"/>
    <n v="12098.957308809146"/>
    <m/>
    <n v="1018.9274854172741"/>
    <n v="0"/>
    <n v="0"/>
    <n v="0"/>
    <n v="0"/>
    <m/>
    <m/>
    <n v="0"/>
    <n v="0"/>
    <n v="0"/>
    <m/>
    <m/>
    <n v="0"/>
    <m/>
    <n v="0"/>
    <n v="0"/>
    <n v="0"/>
    <n v="0"/>
    <m/>
    <n v="9515.5808832353086"/>
    <n v="0"/>
    <n v="1323.29"/>
    <n v="0"/>
    <n v="40166.46"/>
    <n v="1"/>
    <m/>
    <m/>
    <m/>
    <m/>
    <m/>
    <m/>
    <m/>
    <m/>
    <m/>
    <n v="9515.5808832353086"/>
    <m/>
    <m/>
    <m/>
    <m/>
    <m/>
    <m/>
    <m/>
    <m/>
    <m/>
    <m/>
    <m/>
    <m/>
    <n v="106662.77709999999"/>
    <n v="-1501.0015500000009"/>
    <m/>
    <m/>
    <m/>
    <m/>
    <n v="-1501.3907000000088"/>
    <n v="0"/>
    <n v="31"/>
    <n v="-1501.9754356416524"/>
    <n v="0"/>
    <n v="0"/>
    <n v="0"/>
    <n v="0"/>
    <m/>
    <m/>
    <m/>
    <n v="0"/>
    <n v="0"/>
    <n v="0"/>
    <m/>
    <m/>
    <n v="0"/>
    <n v="0"/>
    <n v="1205.9271354722678"/>
    <n v="0"/>
    <n v="-2313.4080764041573"/>
    <m/>
    <n v="0"/>
    <n v="0"/>
    <m/>
    <n v="0"/>
    <n v="-365.66757921053613"/>
    <n v="-28.826915499241977"/>
    <n v="0"/>
    <n v="0"/>
    <m/>
    <m/>
    <m/>
    <n v="0"/>
    <n v="0"/>
    <n v="0"/>
    <n v="-1501.3907000000036"/>
    <m/>
    <n v="0"/>
    <m/>
    <n v="0"/>
    <m/>
    <n v="0"/>
    <n v="0"/>
    <m/>
    <n v="0"/>
    <n v="0"/>
    <n v="0"/>
    <n v="0"/>
    <n v="0"/>
    <m/>
    <m/>
    <n v="0"/>
    <n v="17398.65192418265"/>
    <m/>
    <n v="0"/>
    <m/>
    <n v="0"/>
    <m/>
    <n v="240"/>
    <m/>
    <m/>
    <m/>
    <m/>
    <n v="0"/>
    <m/>
    <m/>
    <m/>
    <m/>
    <n v="0"/>
    <n v="0"/>
    <n v="0"/>
    <n v="0"/>
  </r>
  <r>
    <n v="831"/>
    <s v="Regular"/>
    <s v="Verde"/>
    <s v="A4"/>
    <s v="Industrial"/>
    <s v="Não se aplica"/>
    <s v="Fonte incentivada"/>
    <s v="Não se aplica"/>
    <s v="Ponta"/>
    <s v="LIVRE"/>
    <x v="0"/>
    <n v="0"/>
    <n v="0"/>
    <n v="21.241"/>
    <n v="10.17974309011"/>
    <n v="0"/>
    <n v="0"/>
    <m/>
    <n v="1358.36"/>
    <m/>
    <m/>
    <n v="28852.924759999998"/>
    <n v="28852.924759999998"/>
    <n v="24386.367279999999"/>
    <n v="0"/>
    <n v="1137.3346756139083"/>
    <n v="0"/>
    <n v="0"/>
    <n v="402.34889833514779"/>
    <n v="386.56826186004878"/>
    <n v="21421.712412556444"/>
    <m/>
    <m/>
    <m/>
    <n v="0"/>
    <n v="0"/>
    <n v="0"/>
    <n v="201.98131212066903"/>
    <m/>
    <n v="17.010086506425687"/>
    <n v="854.11807420979699"/>
    <n v="3982.6046851331344"/>
    <n v="0"/>
    <n v="0"/>
    <m/>
    <m/>
    <n v="0"/>
    <n v="0"/>
    <n v="0"/>
    <m/>
    <m/>
    <n v="0"/>
    <m/>
    <n v="0"/>
    <n v="0"/>
    <n v="0"/>
    <n v="0"/>
    <m/>
    <n v="158.85414447961173"/>
    <n v="0"/>
    <n v="0"/>
    <n v="0"/>
    <n v="0"/>
    <n v="0"/>
    <m/>
    <n v="12699.207833106509"/>
    <m/>
    <m/>
    <m/>
    <m/>
    <m/>
    <m/>
    <m/>
    <n v="158.85414447961173"/>
    <m/>
    <m/>
    <m/>
    <m/>
    <m/>
    <m/>
    <m/>
    <m/>
    <m/>
    <m/>
    <m/>
    <m/>
    <n v="11687.454399999999"/>
    <n v="-2140.3314238818202"/>
    <m/>
    <m/>
    <m/>
    <m/>
    <n v="-4466.5574799999995"/>
    <n v="0"/>
    <n v="31"/>
    <n v="854.93216844064591"/>
    <n v="85.11104046662615"/>
    <n v="396.85804428451002"/>
    <n v="0"/>
    <n v="0"/>
    <m/>
    <m/>
    <m/>
    <n v="398.03722533005009"/>
    <n v="0"/>
    <n v="0"/>
    <m/>
    <m/>
    <n v="0"/>
    <n v="0"/>
    <n v="20.131879047731161"/>
    <n v="0"/>
    <n v="-38.620286592998582"/>
    <m/>
    <n v="0"/>
    <n v="0"/>
    <m/>
    <n v="0"/>
    <n v="-6.1044944257434111"/>
    <n v="-0.4812396695283212"/>
    <n v="0"/>
    <n v="0"/>
    <m/>
    <m/>
    <m/>
    <n v="21421.712412556444"/>
    <n v="0"/>
    <n v="0"/>
    <n v="-4466.5574799999995"/>
    <m/>
    <n v="0"/>
    <m/>
    <n v="-5321.5167304923652"/>
    <m/>
    <n v="0"/>
    <n v="0"/>
    <m/>
    <n v="0"/>
    <n v="0"/>
    <n v="0"/>
    <n v="0"/>
    <n v="0"/>
    <m/>
    <m/>
    <n v="0"/>
    <n v="290.45499170565336"/>
    <m/>
    <n v="0"/>
    <m/>
    <n v="0"/>
    <m/>
    <n v="240"/>
    <m/>
    <m/>
    <m/>
    <m/>
    <n v="0"/>
    <m/>
    <m/>
    <m/>
    <m/>
    <n v="0"/>
    <n v="0"/>
    <n v="0"/>
    <n v="0"/>
  </r>
  <r>
    <n v="832"/>
    <s v="Regular"/>
    <s v="Verde"/>
    <s v="A4"/>
    <s v="Industrial"/>
    <s v="Não se aplica"/>
    <s v="Fonte incentivada"/>
    <s v="Não se aplica"/>
    <s v="Fora ponta"/>
    <s v="LIVRE"/>
    <x v="0"/>
    <n v="0"/>
    <n v="0"/>
    <n v="230.38300000000001"/>
    <n v="230.38300000000001"/>
    <n v="0"/>
    <n v="0"/>
    <m/>
    <n v="85.01"/>
    <m/>
    <m/>
    <n v="19584.858830000001"/>
    <n v="19584.858830000001"/>
    <n v="19313.006890000001"/>
    <n v="0"/>
    <n v="12335.698628687869"/>
    <n v="0"/>
    <n v="0"/>
    <n v="0"/>
    <n v="0"/>
    <n v="0"/>
    <m/>
    <m/>
    <m/>
    <n v="0"/>
    <n v="0"/>
    <n v="0"/>
    <n v="2190.7189223810601"/>
    <m/>
    <n v="184.49389198295131"/>
    <n v="0"/>
    <n v="0"/>
    <n v="0"/>
    <n v="0"/>
    <m/>
    <m/>
    <n v="0"/>
    <n v="0"/>
    <n v="0"/>
    <m/>
    <m/>
    <n v="0"/>
    <m/>
    <n v="0"/>
    <n v="0"/>
    <n v="0"/>
    <n v="0"/>
    <m/>
    <n v="1722.9553395624687"/>
    <n v="0"/>
    <n v="0"/>
    <n v="0"/>
    <n v="0"/>
    <n v="0"/>
    <m/>
    <m/>
    <m/>
    <m/>
    <m/>
    <m/>
    <m/>
    <m/>
    <m/>
    <n v="1722.9553395624687"/>
    <m/>
    <m/>
    <m/>
    <m/>
    <m/>
    <m/>
    <m/>
    <m/>
    <m/>
    <m/>
    <m/>
    <m/>
    <n v="19312.755399999998"/>
    <n v="-272.13342999999804"/>
    <m/>
    <m/>
    <m/>
    <m/>
    <n v="-271.8519400000016"/>
    <n v="0"/>
    <n v="31"/>
    <n v="-271.95781618437468"/>
    <n v="0"/>
    <n v="0"/>
    <n v="0"/>
    <n v="0"/>
    <m/>
    <m/>
    <m/>
    <n v="0"/>
    <n v="0"/>
    <n v="0"/>
    <m/>
    <m/>
    <n v="0"/>
    <n v="0"/>
    <n v="218.3533115509365"/>
    <n v="0"/>
    <n v="-418.88129024785849"/>
    <m/>
    <n v="0"/>
    <n v="0"/>
    <m/>
    <n v="0"/>
    <n v="-66.2102414804408"/>
    <n v="-5.2195960070120293"/>
    <n v="0"/>
    <n v="0"/>
    <m/>
    <m/>
    <m/>
    <n v="0"/>
    <n v="0"/>
    <n v="0"/>
    <n v="-271.85194000000047"/>
    <m/>
    <n v="0"/>
    <m/>
    <n v="0"/>
    <m/>
    <n v="0"/>
    <n v="0"/>
    <m/>
    <n v="0"/>
    <n v="0"/>
    <n v="0"/>
    <n v="0"/>
    <n v="0"/>
    <m/>
    <m/>
    <n v="0"/>
    <n v="3150.3174216902944"/>
    <m/>
    <n v="0"/>
    <m/>
    <n v="0"/>
    <m/>
    <n v="240"/>
    <m/>
    <m/>
    <m/>
    <m/>
    <n v="0"/>
    <m/>
    <m/>
    <m/>
    <m/>
    <n v="0"/>
    <n v="0"/>
    <n v="0"/>
    <n v="0"/>
  </r>
  <r>
    <n v="833"/>
    <s v="Regular"/>
    <s v="Verde"/>
    <s v="A4"/>
    <s v="Industrial"/>
    <s v="Não se aplica"/>
    <s v="Fonte incentivada"/>
    <s v="Não se aplica"/>
    <s v="Não se aplica"/>
    <s v="LIVRE"/>
    <x v="0"/>
    <n v="1470"/>
    <n v="772.49928839999995"/>
    <n v="0"/>
    <n v="0"/>
    <n v="0"/>
    <n v="0"/>
    <n v="27.19"/>
    <m/>
    <m/>
    <n v="39969.300000000003"/>
    <m/>
    <n v="39969.300000000003"/>
    <n v="31987.200000000001"/>
    <n v="0"/>
    <n v="0"/>
    <n v="0"/>
    <n v="0"/>
    <n v="342.80490173851911"/>
    <n v="329.33121387452331"/>
    <n v="35180.084457444464"/>
    <m/>
    <m/>
    <m/>
    <n v="0"/>
    <n v="0"/>
    <n v="0"/>
    <n v="0"/>
    <m/>
    <n v="0"/>
    <n v="727.48070170298206"/>
    <n v="3392.8905992268906"/>
    <n v="0"/>
    <n v="0"/>
    <m/>
    <m/>
    <n v="0"/>
    <n v="0"/>
    <n v="0"/>
    <m/>
    <m/>
    <n v="0"/>
    <m/>
    <n v="0"/>
    <n v="0"/>
    <n v="0"/>
    <n v="0"/>
    <m/>
    <n v="0"/>
    <n v="0"/>
    <n v="309.74"/>
    <n v="0"/>
    <n v="11578.21"/>
    <n v="3"/>
    <m/>
    <n v="15177.615484416003"/>
    <m/>
    <m/>
    <m/>
    <m/>
    <m/>
    <m/>
    <m/>
    <n v="0"/>
    <m/>
    <m/>
    <m/>
    <m/>
    <m/>
    <m/>
    <m/>
    <m/>
    <m/>
    <m/>
    <m/>
    <m/>
    <n v="16809.600000000002"/>
    <n v="-4194.6856515959917"/>
    <m/>
    <m/>
    <m/>
    <m/>
    <n v="-7982.0999999999995"/>
    <n v="0"/>
    <n v="31"/>
    <n v="749.68822373974854"/>
    <n v="72.491896976441012"/>
    <n v="338.09429610397092"/>
    <n v="0"/>
    <n v="0"/>
    <m/>
    <m/>
    <m/>
    <n v="339.10203065933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180.084457444464"/>
    <m/>
    <n v="0"/>
    <n v="0"/>
    <n v="-7982.1000000000022"/>
    <m/>
    <n v="0"/>
    <m/>
    <n v="-8739.329723738061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34"/>
    <s v="Regular"/>
    <s v="Geração"/>
    <s v="A3"/>
    <s v="Não se aplica"/>
    <s v="Não se aplica"/>
    <s v="Não se aplica"/>
    <s v="RASTRO DE AUTO"/>
    <s v="Não se aplica"/>
    <s v="GERAÇÃO"/>
    <x v="0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97.09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1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35"/>
    <s v="Regular"/>
    <s v="Azul"/>
    <s v="A4"/>
    <s v="Industrial"/>
    <s v="Não se aplica"/>
    <s v="Fonte incentivada"/>
    <s v="Não se aplica"/>
    <s v="Ponta"/>
    <s v="LIVRE"/>
    <x v="1"/>
    <n v="2800"/>
    <n v="1400"/>
    <n v="0"/>
    <n v="0"/>
    <n v="0"/>
    <n v="0"/>
    <n v="52.95"/>
    <m/>
    <m/>
    <n v="148260"/>
    <m/>
    <n v="148260"/>
    <n v="123900"/>
    <n v="0"/>
    <n v="0"/>
    <n v="0"/>
    <n v="0"/>
    <n v="2205.4655096799388"/>
    <n v="2118.9049083151963"/>
    <n v="117414.3991688962"/>
    <m/>
    <m/>
    <m/>
    <n v="0"/>
    <n v="0"/>
    <n v="0"/>
    <n v="0"/>
    <m/>
    <n v="0"/>
    <n v="4681.7424714040681"/>
    <n v="21829.98976197460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61950"/>
    <m/>
    <m/>
    <m/>
    <m/>
    <m/>
    <m/>
    <m/>
    <n v="0"/>
    <m/>
    <m/>
    <m/>
    <m/>
    <m/>
    <m/>
    <m/>
    <m/>
    <m/>
    <m/>
    <m/>
    <m/>
    <n v="61950"/>
    <n v="-12180.029999999984"/>
    <m/>
    <m/>
    <m/>
    <m/>
    <n v="-24360.000000000007"/>
    <n v="0"/>
    <n v="31"/>
    <n v="4823.6074336221172"/>
    <n v="466.52563031950376"/>
    <n v="2175.3118194301496"/>
    <n v="0"/>
    <n v="0"/>
    <m/>
    <m/>
    <m/>
    <n v="2181.76998387246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7414.3991688962"/>
    <m/>
    <n v="0"/>
    <n v="0"/>
    <n v="-24360"/>
    <m/>
    <n v="0"/>
    <m/>
    <n v="-29167.72840306359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36"/>
    <s v="Regular"/>
    <s v="Azul"/>
    <s v="A4"/>
    <s v="Industrial"/>
    <s v="Não se aplica"/>
    <s v="Fonte incentivada"/>
    <s v="Não se aplica"/>
    <s v="Fora ponta"/>
    <s v="LIVRE"/>
    <x v="1"/>
    <n v="3200"/>
    <n v="1600"/>
    <n v="0"/>
    <n v="0"/>
    <n v="0"/>
    <n v="0"/>
    <n v="27.19"/>
    <m/>
    <m/>
    <n v="87008"/>
    <m/>
    <n v="87008"/>
    <n v="69632"/>
    <n v="0"/>
    <n v="0"/>
    <n v="0"/>
    <n v="0"/>
    <n v="746.2419629682048"/>
    <n v="716.91148598535688"/>
    <n v="76582.496778110391"/>
    <m/>
    <m/>
    <m/>
    <n v="0"/>
    <n v="0"/>
    <n v="0"/>
    <n v="0"/>
    <m/>
    <n v="0"/>
    <n v="1583.6314594894848"/>
    <n v="7385.884297636768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34816"/>
    <m/>
    <m/>
    <m/>
    <m/>
    <m/>
    <m/>
    <m/>
    <n v="0"/>
    <m/>
    <m/>
    <m/>
    <m/>
    <m/>
    <m/>
    <m/>
    <m/>
    <m/>
    <m/>
    <m/>
    <m/>
    <n v="34816"/>
    <n v="-8688.0300000000061"/>
    <m/>
    <m/>
    <m/>
    <m/>
    <n v="-17376"/>
    <n v="0"/>
    <n v="31"/>
    <n v="1631.9743646035349"/>
    <n v="157.8054900167424"/>
    <n v="735.9875833555825"/>
    <n v="0"/>
    <n v="0"/>
    <m/>
    <m/>
    <m/>
    <n v="738.181291231209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76582.496778110391"/>
    <m/>
    <n v="0"/>
    <n v="0"/>
    <n v="-17376"/>
    <m/>
    <n v="0"/>
    <m/>
    <n v="-19024.39123534815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37"/>
    <s v="Regular"/>
    <s v="Azul"/>
    <s v="A4"/>
    <s v="Industrial"/>
    <s v="Não se aplica"/>
    <s v="Fonte incentivada"/>
    <s v="Não se aplica"/>
    <s v="Não se aplica"/>
    <s v="LIVRE"/>
    <x v="1"/>
    <n v="0"/>
    <n v="0"/>
    <n v="1299.9939999999999"/>
    <n v="1299.9939999999999"/>
    <n v="0"/>
    <n v="0"/>
    <m/>
    <n v="85.01"/>
    <m/>
    <m/>
    <n v="110512.48994"/>
    <n v="110512.48994"/>
    <n v="108978.49702"/>
    <n v="0"/>
    <n v="69607.280932631562"/>
    <n v="0"/>
    <n v="0"/>
    <n v="0"/>
    <n v="0"/>
    <n v="0"/>
    <m/>
    <m/>
    <m/>
    <n v="0"/>
    <n v="0"/>
    <n v="0"/>
    <n v="12361.682306341369"/>
    <m/>
    <n v="1041.0531706527165"/>
    <n v="0"/>
    <n v="0"/>
    <n v="0"/>
    <n v="0"/>
    <m/>
    <m/>
    <n v="0"/>
    <n v="0"/>
    <n v="0"/>
    <m/>
    <m/>
    <n v="0"/>
    <m/>
    <n v="0"/>
    <n v="0"/>
    <n v="0"/>
    <n v="0"/>
    <m/>
    <n v="9722.2086859671563"/>
    <n v="0"/>
    <n v="1387.77"/>
    <n v="0"/>
    <n v="42152.36"/>
    <n v="1"/>
    <m/>
    <m/>
    <m/>
    <m/>
    <m/>
    <m/>
    <m/>
    <m/>
    <m/>
    <n v="9722.2086859671563"/>
    <m/>
    <m/>
    <m/>
    <m/>
    <m/>
    <m/>
    <m/>
    <m/>
    <m/>
    <m/>
    <m/>
    <m/>
    <n v="108978.1617"/>
    <n v="-1534.3582399999868"/>
    <m/>
    <m/>
    <m/>
    <m/>
    <n v="-1533.9929200000088"/>
    <n v="0"/>
    <n v="31"/>
    <n v="-1534.590352989544"/>
    <n v="0"/>
    <n v="0"/>
    <n v="0"/>
    <n v="0"/>
    <m/>
    <m/>
    <m/>
    <n v="0"/>
    <n v="0"/>
    <n v="0"/>
    <m/>
    <m/>
    <n v="0"/>
    <n v="0"/>
    <n v="1232.1134584424562"/>
    <n v="0"/>
    <n v="-2363.6429946414282"/>
    <m/>
    <n v="0"/>
    <n v="0"/>
    <m/>
    <n v="0"/>
    <n v="-373.60793401910814"/>
    <n v="-29.452882771470172"/>
    <n v="0"/>
    <n v="0"/>
    <m/>
    <m/>
    <m/>
    <n v="0"/>
    <n v="0"/>
    <n v="0"/>
    <n v="-1533.9929200000042"/>
    <m/>
    <n v="0"/>
    <m/>
    <n v="0"/>
    <m/>
    <n v="0"/>
    <n v="0"/>
    <m/>
    <n v="0"/>
    <n v="0"/>
    <n v="0"/>
    <n v="0"/>
    <n v="0"/>
    <m/>
    <m/>
    <n v="0"/>
    <n v="17776.4580993079"/>
    <m/>
    <n v="0"/>
    <m/>
    <n v="0"/>
    <m/>
    <n v="240"/>
    <m/>
    <m/>
    <m/>
    <m/>
    <n v="0"/>
    <m/>
    <m/>
    <m/>
    <m/>
    <n v="0"/>
    <n v="0"/>
    <n v="0"/>
    <n v="0"/>
  </r>
  <r>
    <n v="838"/>
    <s v="Regular"/>
    <s v="Verde"/>
    <s v="A4"/>
    <s v="Industrial"/>
    <s v="Não se aplica"/>
    <s v="Fonte incentivada"/>
    <s v="Não se aplica"/>
    <s v="Ponta"/>
    <s v="LIVRE"/>
    <x v="1"/>
    <n v="0"/>
    <n v="0"/>
    <n v="24.241"/>
    <n v="11.61749222011"/>
    <n v="0"/>
    <n v="0"/>
    <m/>
    <n v="1358.36"/>
    <m/>
    <m/>
    <n v="32928.004759999996"/>
    <n v="32928.004759999996"/>
    <n v="27830.607279999997"/>
    <n v="0"/>
    <n v="1297.9676037642648"/>
    <n v="0"/>
    <n v="0"/>
    <n v="459.17516334175968"/>
    <n v="441.1657283437429"/>
    <n v="24447.235562957525"/>
    <m/>
    <m/>
    <m/>
    <n v="0"/>
    <n v="0"/>
    <n v="0"/>
    <n v="230.50840295264527"/>
    <m/>
    <n v="19.412527988431101"/>
    <n v="974.75054078996698"/>
    <n v="4545.0929886687209"/>
    <n v="0"/>
    <n v="0"/>
    <m/>
    <m/>
    <n v="0"/>
    <n v="0"/>
    <n v="0"/>
    <m/>
    <m/>
    <n v="0"/>
    <m/>
    <n v="0"/>
    <n v="0"/>
    <n v="0"/>
    <n v="0"/>
    <m/>
    <n v="181.29011422862712"/>
    <n v="0"/>
    <n v="0"/>
    <n v="0"/>
    <n v="0"/>
    <n v="0"/>
    <m/>
    <n v="14492.79681193611"/>
    <m/>
    <m/>
    <m/>
    <m/>
    <m/>
    <m/>
    <m/>
    <n v="181.29011422862712"/>
    <m/>
    <m/>
    <m/>
    <m/>
    <m/>
    <m/>
    <m/>
    <m/>
    <m/>
    <m/>
    <m/>
    <m/>
    <n v="13340.689599999998"/>
    <n v="-2440.0771321086213"/>
    <m/>
    <m/>
    <m/>
    <m/>
    <n v="-5097.3974799999996"/>
    <n v="0"/>
    <n v="31"/>
    <n v="975.6796146683173"/>
    <n v="97.131807916363982"/>
    <n v="452.9088014453564"/>
    <n v="0"/>
    <n v="0"/>
    <m/>
    <m/>
    <m/>
    <n v="454.25452564501404"/>
    <n v="0"/>
    <n v="0"/>
    <m/>
    <m/>
    <n v="0"/>
    <n v="0"/>
    <n v="22.975230921145425"/>
    <n v="0"/>
    <n v="-44.074872524875218"/>
    <m/>
    <n v="0"/>
    <n v="0"/>
    <m/>
    <n v="0"/>
    <n v="-6.9666705604466017"/>
    <n v="-0.54920817424019219"/>
    <n v="0"/>
    <n v="0"/>
    <m/>
    <m/>
    <m/>
    <n v="24447.235562957525"/>
    <n v="0"/>
    <n v="0"/>
    <n v="-5097.3974799999996"/>
    <m/>
    <n v="0"/>
    <m/>
    <n v="-6073.1080016885026"/>
    <m/>
    <n v="0"/>
    <n v="0"/>
    <m/>
    <n v="0"/>
    <n v="0"/>
    <n v="0"/>
    <n v="0"/>
    <n v="0"/>
    <m/>
    <m/>
    <n v="0"/>
    <n v="331.47777665537137"/>
    <m/>
    <n v="0"/>
    <m/>
    <n v="0"/>
    <m/>
    <n v="240"/>
    <m/>
    <m/>
    <m/>
    <m/>
    <n v="0"/>
    <m/>
    <m/>
    <m/>
    <m/>
    <n v="0"/>
    <n v="0"/>
    <n v="0"/>
    <n v="0"/>
  </r>
  <r>
    <n v="839"/>
    <s v="Regular"/>
    <s v="Verde"/>
    <s v="A4"/>
    <s v="Industrial"/>
    <s v="Não se aplica"/>
    <s v="Fonte incentivada"/>
    <s v="Não se aplica"/>
    <s v="Fora ponta"/>
    <s v="LIVRE"/>
    <x v="1"/>
    <n v="0"/>
    <n v="0"/>
    <n v="245.51300000000001"/>
    <n v="245.51300000000001"/>
    <n v="0"/>
    <n v="0"/>
    <m/>
    <n v="85.01"/>
    <m/>
    <m/>
    <n v="20871.060130000002"/>
    <n v="20871.060130000002"/>
    <n v="20581.354790000001"/>
    <n v="0"/>
    <n v="13145.824029659501"/>
    <n v="0"/>
    <n v="0"/>
    <n v="0"/>
    <n v="0"/>
    <n v="0"/>
    <m/>
    <m/>
    <m/>
    <n v="0"/>
    <n v="0"/>
    <n v="0"/>
    <n v="2334.5905504769935"/>
    <m/>
    <n v="196.61020519053199"/>
    <n v="0"/>
    <n v="0"/>
    <n v="0"/>
    <n v="0"/>
    <m/>
    <m/>
    <n v="0"/>
    <n v="0"/>
    <n v="0"/>
    <m/>
    <m/>
    <n v="0"/>
    <m/>
    <n v="0"/>
    <n v="0"/>
    <n v="0"/>
    <n v="0"/>
    <m/>
    <n v="1836.107413663336"/>
    <n v="0"/>
    <n v="0"/>
    <n v="0"/>
    <n v="0"/>
    <n v="0"/>
    <m/>
    <m/>
    <m/>
    <m/>
    <m/>
    <m/>
    <m/>
    <m/>
    <m/>
    <n v="1836.107413663336"/>
    <m/>
    <m/>
    <m/>
    <m/>
    <m/>
    <m/>
    <m/>
    <m/>
    <m/>
    <m/>
    <m/>
    <m/>
    <n v="20581.103299999999"/>
    <n v="-289.98682999999801"/>
    <m/>
    <m/>
    <m/>
    <m/>
    <n v="-289.70534000000168"/>
    <n v="0"/>
    <n v="31"/>
    <n v="-289.81816941733632"/>
    <n v="0"/>
    <n v="0"/>
    <n v="0"/>
    <n v="0"/>
    <m/>
    <m/>
    <m/>
    <n v="0"/>
    <n v="0"/>
    <n v="0"/>
    <m/>
    <m/>
    <n v="0"/>
    <n v="0"/>
    <n v="232.69328283252253"/>
    <n v="0"/>
    <n v="-446.39058529762406"/>
    <m/>
    <n v="0"/>
    <n v="0"/>
    <m/>
    <n v="0"/>
    <n v="-70.558483119793891"/>
    <n v="-5.5623838324422934"/>
    <n v="0"/>
    <n v="0"/>
    <m/>
    <m/>
    <m/>
    <n v="0"/>
    <n v="0"/>
    <n v="0"/>
    <n v="-289.70534000000043"/>
    <m/>
    <n v="0"/>
    <m/>
    <n v="0"/>
    <m/>
    <n v="0"/>
    <n v="0"/>
    <m/>
    <n v="0"/>
    <n v="0"/>
    <n v="0"/>
    <n v="0"/>
    <n v="0"/>
    <m/>
    <m/>
    <n v="0"/>
    <n v="3357.209000453372"/>
    <m/>
    <n v="0"/>
    <m/>
    <n v="0"/>
    <m/>
    <n v="240"/>
    <m/>
    <m/>
    <m/>
    <m/>
    <n v="0"/>
    <m/>
    <m/>
    <m/>
    <m/>
    <n v="0"/>
    <n v="0"/>
    <n v="0"/>
    <n v="0"/>
  </r>
  <r>
    <n v="840"/>
    <s v="Regular"/>
    <s v="Verde"/>
    <s v="A4"/>
    <s v="Industrial"/>
    <s v="Não se aplica"/>
    <s v="Fonte incentivada"/>
    <s v="Não se aplica"/>
    <s v="Não se aplica"/>
    <s v="LIVRE"/>
    <x v="1"/>
    <n v="1470"/>
    <n v="772.49928839999995"/>
    <n v="0"/>
    <n v="0"/>
    <n v="0"/>
    <n v="0"/>
    <n v="27.19"/>
    <m/>
    <m/>
    <n v="39969.300000000003"/>
    <m/>
    <n v="39969.300000000003"/>
    <n v="31987.200000000001"/>
    <n v="0"/>
    <n v="0"/>
    <n v="0"/>
    <n v="0"/>
    <n v="342.80490173851911"/>
    <n v="329.33121387452331"/>
    <n v="35180.084457444464"/>
    <m/>
    <m/>
    <m/>
    <n v="0"/>
    <n v="0"/>
    <n v="0"/>
    <n v="0"/>
    <m/>
    <n v="0"/>
    <n v="727.48070170298206"/>
    <n v="3392.8905992268906"/>
    <n v="0"/>
    <n v="0"/>
    <m/>
    <m/>
    <n v="0"/>
    <n v="0"/>
    <n v="0"/>
    <m/>
    <m/>
    <n v="0"/>
    <m/>
    <n v="0"/>
    <n v="0"/>
    <n v="0"/>
    <n v="0"/>
    <m/>
    <n v="0"/>
    <n v="0"/>
    <n v="340.58"/>
    <n v="0"/>
    <n v="12994.09"/>
    <n v="3"/>
    <m/>
    <n v="15177.615484416003"/>
    <m/>
    <m/>
    <m/>
    <m/>
    <m/>
    <m/>
    <m/>
    <n v="0"/>
    <m/>
    <m/>
    <m/>
    <m/>
    <m/>
    <m/>
    <m/>
    <m/>
    <m/>
    <m/>
    <m/>
    <m/>
    <n v="16809.600000000002"/>
    <n v="-4194.6856515959917"/>
    <m/>
    <m/>
    <m/>
    <m/>
    <n v="-7982.0999999999995"/>
    <n v="0"/>
    <n v="31"/>
    <n v="749.68822373974854"/>
    <n v="72.491896976441012"/>
    <n v="338.09429610397092"/>
    <n v="0"/>
    <n v="0"/>
    <m/>
    <m/>
    <m/>
    <n v="339.10203065933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180.084457444464"/>
    <m/>
    <n v="0"/>
    <n v="0"/>
    <n v="-7982.1000000000022"/>
    <m/>
    <n v="0"/>
    <m/>
    <n v="-8739.329723738061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41"/>
    <s v="Regular"/>
    <s v="Geração"/>
    <s v="A3"/>
    <s v="Não se aplica"/>
    <s v="Não se aplica"/>
    <s v="Não se aplica"/>
    <s v="RASTRO DE AUTO"/>
    <s v="Não se aplica"/>
    <s v="GERAÇÃO"/>
    <x v="1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135.18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1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42"/>
    <s v="Regular"/>
    <s v="Azul"/>
    <s v="A4"/>
    <s v="Industrial"/>
    <s v="Não se aplica"/>
    <s v="Fonte incentivada"/>
    <s v="Não se aplica"/>
    <s v="Ponta"/>
    <s v="LIVRE"/>
    <x v="2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30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43"/>
    <s v="Regular"/>
    <s v="Azul"/>
    <s v="A4"/>
    <s v="Industrial"/>
    <s v="Não se aplica"/>
    <s v="Fonte incentivada"/>
    <s v="Não se aplica"/>
    <s v="Fora ponta"/>
    <s v="LIVRE"/>
    <x v="2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30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44"/>
    <s v="Regular"/>
    <s v="Azul"/>
    <s v="A4"/>
    <s v="Industrial"/>
    <s v="Não se aplica"/>
    <s v="Fonte incentivada"/>
    <s v="Não se aplica"/>
    <s v="Não se aplica"/>
    <s v="LIVRE"/>
    <x v="2"/>
    <n v="0"/>
    <n v="0"/>
    <n v="3658.8209999999999"/>
    <n v="3658.8209999999999"/>
    <n v="0"/>
    <n v="0"/>
    <m/>
    <n v="85.01"/>
    <m/>
    <m/>
    <n v="311036.37320999999"/>
    <n v="311036.37320999999"/>
    <n v="306718.96442999999"/>
    <n v="0"/>
    <n v="195909.04360267197"/>
    <n v="0"/>
    <n v="0"/>
    <n v="0"/>
    <n v="0"/>
    <n v="0"/>
    <m/>
    <m/>
    <m/>
    <n v="0"/>
    <n v="0"/>
    <n v="0"/>
    <n v="34791.839668314031"/>
    <m/>
    <n v="2930.0344485441806"/>
    <n v="0"/>
    <n v="0"/>
    <n v="0"/>
    <n v="0"/>
    <m/>
    <m/>
    <n v="0"/>
    <n v="0"/>
    <n v="0"/>
    <m/>
    <m/>
    <n v="0"/>
    <m/>
    <n v="0"/>
    <n v="0"/>
    <n v="0"/>
    <n v="0"/>
    <m/>
    <n v="27363.065757687375"/>
    <n v="0"/>
    <n v="5644.58"/>
    <n v="0"/>
    <n v="167314.6"/>
    <n v="2"/>
    <m/>
    <m/>
    <m/>
    <m/>
    <m/>
    <m/>
    <m/>
    <m/>
    <m/>
    <n v="27363.065757687375"/>
    <m/>
    <m/>
    <m/>
    <m/>
    <m/>
    <m/>
    <m/>
    <m/>
    <m/>
    <m/>
    <m/>
    <m/>
    <n v="306718.88060000003"/>
    <n v="-4317.5226099999854"/>
    <m/>
    <m/>
    <m/>
    <m/>
    <n v="-4317.4087800000252"/>
    <n v="0"/>
    <n v="30"/>
    <n v="-4319.0902495823684"/>
    <n v="0"/>
    <n v="0"/>
    <n v="0"/>
    <n v="0"/>
    <m/>
    <m/>
    <m/>
    <n v="0"/>
    <n v="0"/>
    <n v="0"/>
    <m/>
    <m/>
    <n v="0"/>
    <n v="0"/>
    <n v="3467.7718482792079"/>
    <n v="0"/>
    <n v="-6652.4511846184905"/>
    <m/>
    <n v="0"/>
    <n v="0"/>
    <m/>
    <n v="0"/>
    <n v="-1051.5160491169372"/>
    <n v="-82.894864126137236"/>
    <n v="0"/>
    <n v="0"/>
    <m/>
    <m/>
    <m/>
    <n v="0"/>
    <n v="0"/>
    <n v="0"/>
    <n v="-4317.4087799999979"/>
    <m/>
    <n v="0"/>
    <m/>
    <n v="0"/>
    <m/>
    <n v="0"/>
    <n v="0"/>
    <m/>
    <n v="0"/>
    <n v="0"/>
    <n v="0"/>
    <n v="0"/>
    <n v="0"/>
    <m/>
    <m/>
    <n v="0"/>
    <n v="50031.675684170725"/>
    <m/>
    <n v="0"/>
    <m/>
    <n v="0"/>
    <m/>
    <n v="240"/>
    <m/>
    <m/>
    <m/>
    <m/>
    <n v="0"/>
    <m/>
    <m/>
    <m/>
    <m/>
    <n v="0"/>
    <n v="0"/>
    <n v="0"/>
    <n v="0"/>
  </r>
  <r>
    <n v="845"/>
    <s v="Regular"/>
    <s v="Verde"/>
    <s v="A4"/>
    <s v="Industrial"/>
    <s v="Não se aplica"/>
    <s v="Fonte incentivada"/>
    <s v="Não se aplica"/>
    <s v="Ponta"/>
    <s v="LIVRE"/>
    <x v="2"/>
    <n v="0"/>
    <n v="0"/>
    <n v="23.768000000000001"/>
    <n v="11.390807107280001"/>
    <n v="0"/>
    <n v="0"/>
    <m/>
    <n v="1358.36"/>
    <m/>
    <m/>
    <n v="32285.500479999999"/>
    <n v="32285.500479999999"/>
    <n v="27287.565439999998"/>
    <n v="0"/>
    <n v="1272.6411454258919"/>
    <n v="0"/>
    <n v="0"/>
    <n v="450.21555555905053"/>
    <n v="432.55752779481378"/>
    <n v="23970.211412910958"/>
    <m/>
    <m/>
    <m/>
    <n v="0"/>
    <n v="0"/>
    <n v="0"/>
    <n v="226.01063163147035"/>
    <m/>
    <n v="19.033743048101584"/>
    <n v="955.73082189249362"/>
    <n v="4456.4073328112772"/>
    <n v="0"/>
    <n v="0"/>
    <m/>
    <m/>
    <n v="0"/>
    <n v="0"/>
    <n v="0"/>
    <m/>
    <m/>
    <n v="0"/>
    <m/>
    <n v="0"/>
    <n v="0"/>
    <n v="0"/>
    <n v="0"/>
    <m/>
    <n v="177.75270966486568"/>
    <n v="0"/>
    <n v="0"/>
    <n v="0"/>
    <n v="0"/>
    <n v="0"/>
    <m/>
    <n v="14210.007616273977"/>
    <m/>
    <m/>
    <m/>
    <m/>
    <m/>
    <m/>
    <m/>
    <n v="177.75270966486568"/>
    <m/>
    <m/>
    <m/>
    <m/>
    <m/>
    <m/>
    <m/>
    <m/>
    <m/>
    <m/>
    <m/>
    <m/>
    <n v="13076.6312"/>
    <n v="-2396.2155422448614"/>
    <m/>
    <m/>
    <m/>
    <m/>
    <n v="-4997.9350399999994"/>
    <n v="0"/>
    <n v="30"/>
    <n v="956.64176731308726"/>
    <n v="95.236533581788535"/>
    <n v="444.07146539966288"/>
    <n v="0"/>
    <n v="0"/>
    <m/>
    <m/>
    <m/>
    <n v="445.39093129535473"/>
    <n v="0"/>
    <n v="0"/>
    <m/>
    <m/>
    <n v="0"/>
    <n v="0"/>
    <n v="22.526929109103804"/>
    <n v="0"/>
    <n v="-43.214866142949177"/>
    <m/>
    <n v="0"/>
    <n v="0"/>
    <m/>
    <n v="0"/>
    <n v="-6.8307341232083729"/>
    <n v="-0.53849180666395569"/>
    <n v="0"/>
    <n v="0"/>
    <m/>
    <m/>
    <m/>
    <n v="23970.211412910958"/>
    <n v="0"/>
    <n v="0"/>
    <n v="-4997.9350400000003"/>
    <m/>
    <n v="0"/>
    <m/>
    <n v="-5954.6071112632453"/>
    <m/>
    <n v="0"/>
    <n v="0"/>
    <m/>
    <n v="0"/>
    <n v="0"/>
    <n v="0"/>
    <n v="0"/>
    <n v="0"/>
    <m/>
    <m/>
    <n v="0"/>
    <n v="325.00985089496584"/>
    <m/>
    <n v="0"/>
    <m/>
    <n v="0"/>
    <m/>
    <n v="240"/>
    <m/>
    <m/>
    <m/>
    <m/>
    <n v="0"/>
    <m/>
    <m/>
    <m/>
    <m/>
    <n v="0"/>
    <n v="0"/>
    <n v="0"/>
    <n v="0"/>
  </r>
  <r>
    <n v="846"/>
    <s v="Regular"/>
    <s v="Verde"/>
    <s v="A4"/>
    <s v="Industrial"/>
    <s v="Não se aplica"/>
    <s v="Fonte incentivada"/>
    <s v="Não se aplica"/>
    <s v="Fora ponta"/>
    <s v="LIVRE"/>
    <x v="2"/>
    <n v="0"/>
    <n v="0"/>
    <n v="288.67700000000002"/>
    <n v="288.67700000000002"/>
    <n v="0"/>
    <n v="0"/>
    <m/>
    <n v="85.01"/>
    <m/>
    <m/>
    <n v="24540.431770000003"/>
    <n v="24540.431770000003"/>
    <n v="24199.79291"/>
    <n v="0"/>
    <n v="15457.010599886833"/>
    <n v="0"/>
    <n v="0"/>
    <n v="0"/>
    <n v="0"/>
    <n v="0"/>
    <m/>
    <m/>
    <m/>
    <n v="0"/>
    <n v="0"/>
    <n v="0"/>
    <n v="2745.0383333674677"/>
    <m/>
    <n v="231.17653323362592"/>
    <n v="0"/>
    <n v="0"/>
    <n v="0"/>
    <n v="0"/>
    <m/>
    <m/>
    <n v="0"/>
    <n v="0"/>
    <n v="0"/>
    <m/>
    <m/>
    <n v="0"/>
    <m/>
    <n v="0"/>
    <n v="0"/>
    <n v="0"/>
    <n v="0"/>
    <m/>
    <n v="2158.9161464121689"/>
    <n v="0"/>
    <n v="0"/>
    <n v="0"/>
    <n v="0"/>
    <n v="0"/>
    <m/>
    <m/>
    <m/>
    <m/>
    <m/>
    <m/>
    <m/>
    <m/>
    <m/>
    <n v="2158.9161464121689"/>
    <m/>
    <m/>
    <m/>
    <m/>
    <m/>
    <m/>
    <m/>
    <m/>
    <m/>
    <m/>
    <m/>
    <m/>
    <n v="24200.044399999999"/>
    <n v="-340.41736999999921"/>
    <m/>
    <m/>
    <m/>
    <m/>
    <n v="-340.63886000000201"/>
    <n v="0"/>
    <n v="30"/>
    <n v="-340.77152612240388"/>
    <n v="0"/>
    <n v="0"/>
    <n v="0"/>
    <n v="0"/>
    <m/>
    <m/>
    <m/>
    <n v="0"/>
    <n v="0"/>
    <n v="0"/>
    <m/>
    <m/>
    <n v="0"/>
    <n v="0"/>
    <n v="273.60342958720821"/>
    <n v="0"/>
    <n v="-524.87116768546912"/>
    <m/>
    <n v="0"/>
    <n v="0"/>
    <m/>
    <n v="0"/>
    <n v="-82.963473345903367"/>
    <n v="-6.5403146782367401"/>
    <n v="0"/>
    <n v="0"/>
    <m/>
    <m/>
    <m/>
    <n v="0"/>
    <n v="0"/>
    <n v="0"/>
    <n v="-340.63886000000275"/>
    <m/>
    <n v="0"/>
    <m/>
    <n v="0"/>
    <m/>
    <n v="0"/>
    <n v="0"/>
    <m/>
    <n v="0"/>
    <n v="0"/>
    <n v="0"/>
    <n v="0"/>
    <n v="0"/>
    <m/>
    <m/>
    <n v="0"/>
    <n v="3947.4448303099148"/>
    <m/>
    <n v="0"/>
    <m/>
    <n v="0"/>
    <m/>
    <n v="240"/>
    <m/>
    <m/>
    <m/>
    <m/>
    <n v="0"/>
    <m/>
    <m/>
    <m/>
    <m/>
    <n v="0"/>
    <n v="0"/>
    <n v="0"/>
    <n v="0"/>
  </r>
  <r>
    <n v="847"/>
    <s v="Regular"/>
    <s v="Verde"/>
    <s v="A4"/>
    <s v="Industrial"/>
    <s v="Não se aplica"/>
    <s v="Fonte incentivada"/>
    <s v="Não se aplica"/>
    <s v="Não se aplica"/>
    <s v="LIVRE"/>
    <x v="2"/>
    <n v="1470"/>
    <n v="772.49928839999995"/>
    <n v="0"/>
    <n v="0"/>
    <n v="0"/>
    <n v="0"/>
    <n v="27.19"/>
    <m/>
    <m/>
    <n v="39969.300000000003"/>
    <m/>
    <n v="39969.300000000003"/>
    <n v="31987.200000000001"/>
    <n v="0"/>
    <n v="0"/>
    <n v="0"/>
    <n v="0"/>
    <n v="342.80490173851911"/>
    <n v="329.33121387452331"/>
    <n v="35180.084457444464"/>
    <m/>
    <m/>
    <m/>
    <n v="0"/>
    <n v="0"/>
    <n v="0"/>
    <n v="0"/>
    <m/>
    <n v="0"/>
    <n v="727.48070170298206"/>
    <n v="3392.8905992268906"/>
    <n v="0"/>
    <n v="0"/>
    <m/>
    <m/>
    <n v="0"/>
    <n v="0"/>
    <n v="0"/>
    <m/>
    <m/>
    <n v="0"/>
    <m/>
    <n v="0"/>
    <n v="0"/>
    <n v="0"/>
    <n v="0"/>
    <m/>
    <n v="0"/>
    <n v="0"/>
    <n v="563.58000000000004"/>
    <n v="0"/>
    <n v="20761.29"/>
    <n v="3"/>
    <m/>
    <n v="15177.615484416003"/>
    <m/>
    <m/>
    <m/>
    <m/>
    <m/>
    <m/>
    <m/>
    <n v="0"/>
    <m/>
    <m/>
    <m/>
    <m/>
    <m/>
    <m/>
    <m/>
    <m/>
    <m/>
    <m/>
    <m/>
    <m/>
    <n v="16809.600000000002"/>
    <n v="-4194.6856515959917"/>
    <m/>
    <m/>
    <m/>
    <m/>
    <n v="-7982.0999999999995"/>
    <n v="0"/>
    <n v="30"/>
    <n v="749.68822373974854"/>
    <n v="72.491896976441012"/>
    <n v="338.09429610397092"/>
    <n v="0"/>
    <n v="0"/>
    <m/>
    <m/>
    <m/>
    <n v="339.10203065933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180.084457444464"/>
    <m/>
    <n v="0"/>
    <n v="0"/>
    <n v="-7982.1000000000022"/>
    <m/>
    <n v="0"/>
    <m/>
    <n v="-8739.329723738061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48"/>
    <s v="Regular"/>
    <s v="Geração"/>
    <s v="A3"/>
    <s v="Não se aplica"/>
    <s v="Não se aplica"/>
    <s v="Não se aplica"/>
    <s v="RASTRO DE AUTO"/>
    <s v="Não se aplica"/>
    <s v="GERAÇÃO"/>
    <x v="2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270.37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0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49"/>
    <s v="Regular"/>
    <s v="Azul"/>
    <s v="A4"/>
    <s v="Industrial"/>
    <s v="Não se aplica"/>
    <s v="Fonte incentivada"/>
    <s v="Não se aplica"/>
    <s v="Ponta"/>
    <s v="LIVRE"/>
    <x v="3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31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50"/>
    <s v="Regular"/>
    <s v="Azul"/>
    <s v="A4"/>
    <s v="Industrial"/>
    <s v="Não se aplica"/>
    <s v="Fonte incentivada"/>
    <s v="Não se aplica"/>
    <s v="Fora ponta"/>
    <s v="LIVRE"/>
    <x v="3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31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51"/>
    <s v="Regular"/>
    <s v="Azul"/>
    <s v="A4"/>
    <s v="Industrial"/>
    <s v="Não se aplica"/>
    <s v="Fonte incentivada"/>
    <s v="Não se aplica"/>
    <s v="Não se aplica"/>
    <s v="LIVRE"/>
    <x v="3"/>
    <n v="0"/>
    <n v="0"/>
    <n v="3672.5540000000001"/>
    <n v="3672.5540000000001"/>
    <n v="0"/>
    <n v="0"/>
    <m/>
    <n v="85.01"/>
    <m/>
    <m/>
    <n v="312203.81554000004"/>
    <n v="312203.81554000004"/>
    <n v="307870.20182000002"/>
    <n v="0"/>
    <n v="196644.36760343492"/>
    <n v="0"/>
    <n v="0"/>
    <n v="0"/>
    <n v="0"/>
    <n v="0"/>
    <m/>
    <m/>
    <m/>
    <n v="0"/>
    <n v="0"/>
    <n v="0"/>
    <n v="34922.427181112544"/>
    <m/>
    <n v="2941.032024834974"/>
    <n v="0"/>
    <n v="0"/>
    <n v="0"/>
    <n v="0"/>
    <m/>
    <m/>
    <n v="0"/>
    <n v="0"/>
    <n v="0"/>
    <m/>
    <m/>
    <n v="0"/>
    <m/>
    <n v="0"/>
    <n v="0"/>
    <n v="0"/>
    <n v="0"/>
    <m/>
    <n v="27465.770148541786"/>
    <n v="0"/>
    <n v="5117.59"/>
    <n v="0"/>
    <n v="169197.79"/>
    <n v="2"/>
    <m/>
    <m/>
    <m/>
    <m/>
    <m/>
    <m/>
    <m/>
    <m/>
    <m/>
    <n v="27465.770148541786"/>
    <m/>
    <m/>
    <m/>
    <m/>
    <m/>
    <m/>
    <m/>
    <m/>
    <m/>
    <m/>
    <m/>
    <m/>
    <n v="307869.8665"/>
    <n v="-4333.9790400000638"/>
    <m/>
    <m/>
    <m/>
    <m/>
    <n v="-4333.6137200000248"/>
    <n v="0"/>
    <n v="31"/>
    <n v="-4335.3015008016373"/>
    <n v="0"/>
    <n v="0"/>
    <n v="0"/>
    <n v="0"/>
    <m/>
    <m/>
    <m/>
    <n v="0"/>
    <n v="0"/>
    <n v="0"/>
    <m/>
    <m/>
    <n v="0"/>
    <n v="0"/>
    <n v="3480.7877653717405"/>
    <n v="0"/>
    <n v="-6677.4204608192958"/>
    <m/>
    <n v="0"/>
    <n v="0"/>
    <m/>
    <n v="0"/>
    <n v="-1055.4628040695679"/>
    <n v="-83.206001284539525"/>
    <n v="0"/>
    <n v="0"/>
    <m/>
    <m/>
    <m/>
    <n v="0"/>
    <n v="0"/>
    <n v="0"/>
    <n v="-4333.613720000023"/>
    <m/>
    <n v="0"/>
    <m/>
    <n v="0"/>
    <m/>
    <n v="0"/>
    <n v="0"/>
    <m/>
    <n v="0"/>
    <n v="0"/>
    <n v="0"/>
    <n v="0"/>
    <n v="0"/>
    <m/>
    <m/>
    <n v="0"/>
    <n v="50219.464319408886"/>
    <m/>
    <n v="0"/>
    <m/>
    <n v="0"/>
    <m/>
    <n v="240"/>
    <m/>
    <m/>
    <m/>
    <m/>
    <n v="0"/>
    <m/>
    <m/>
    <m/>
    <m/>
    <n v="0"/>
    <n v="0"/>
    <n v="0"/>
    <n v="0"/>
  </r>
  <r>
    <n v="852"/>
    <s v="Regular"/>
    <s v="Verde"/>
    <s v="A4"/>
    <s v="Industrial"/>
    <s v="Não se aplica"/>
    <s v="Fonte incentivada"/>
    <s v="Não se aplica"/>
    <s v="Ponta"/>
    <s v="LIVRE"/>
    <x v="3"/>
    <n v="0"/>
    <n v="0"/>
    <n v="23.265000000000001"/>
    <n v="11.14974450315"/>
    <n v="0"/>
    <n v="0"/>
    <m/>
    <n v="1358.36"/>
    <m/>
    <m/>
    <n v="31602.2454"/>
    <n v="31602.2454"/>
    <n v="26710.081200000001"/>
    <n v="0"/>
    <n v="1245.7083578060156"/>
    <n v="0"/>
    <n v="0"/>
    <n v="440.68768512627526"/>
    <n v="423.40335258104773"/>
    <n v="23462.932031360375"/>
    <m/>
    <m/>
    <m/>
    <n v="0"/>
    <n v="0"/>
    <n v="0"/>
    <n v="221.22758940197568"/>
    <m/>
    <n v="18.630933692952009"/>
    <n v="935.50477832921842"/>
    <n v="4362.0967939184766"/>
    <n v="0"/>
    <n v="0"/>
    <m/>
    <m/>
    <n v="0"/>
    <n v="0"/>
    <n v="0"/>
    <m/>
    <m/>
    <n v="0"/>
    <m/>
    <n v="0"/>
    <n v="0"/>
    <n v="0"/>
    <n v="0"/>
    <m/>
    <n v="173.99094540361412"/>
    <n v="0"/>
    <n v="0"/>
    <n v="0"/>
    <n v="0"/>
    <n v="0"/>
    <m/>
    <n v="13909.282530823548"/>
    <m/>
    <m/>
    <m/>
    <m/>
    <m/>
    <m/>
    <m/>
    <n v="173.99094540361412"/>
    <m/>
    <m/>
    <m/>
    <m/>
    <m/>
    <m/>
    <m/>
    <m/>
    <m/>
    <m/>
    <m/>
    <m/>
    <n v="12801.091999999999"/>
    <n v="-2344.3049432988355"/>
    <m/>
    <m/>
    <m/>
    <m/>
    <n v="-4892.1641999999993"/>
    <n v="0"/>
    <n v="31"/>
    <n v="936.39644549558307"/>
    <n v="93.221051572715851"/>
    <n v="434.67362178236181"/>
    <n v="0"/>
    <n v="0"/>
    <m/>
    <m/>
    <m/>
    <n v="435.96516394254576"/>
    <n v="0"/>
    <n v="0"/>
    <m/>
    <m/>
    <n v="0"/>
    <n v="0"/>
    <n v="22.05019377832798"/>
    <n v="0"/>
    <n v="-42.30031390170484"/>
    <m/>
    <n v="0"/>
    <n v="0"/>
    <m/>
    <n v="0"/>
    <n v="-6.6861759246231713"/>
    <n v="-0.52709575404059805"/>
    <n v="0"/>
    <n v="0"/>
    <m/>
    <m/>
    <m/>
    <n v="23462.932031360375"/>
    <n v="0"/>
    <n v="0"/>
    <n v="-4892.1641999999993"/>
    <m/>
    <n v="0"/>
    <m/>
    <n v="-5828.5903081260258"/>
    <m/>
    <n v="0"/>
    <n v="0"/>
    <m/>
    <n v="0"/>
    <n v="0"/>
    <n v="0"/>
    <n v="0"/>
    <n v="0"/>
    <m/>
    <m/>
    <n v="0"/>
    <n v="318.13169728506313"/>
    <m/>
    <n v="0"/>
    <m/>
    <n v="0"/>
    <m/>
    <n v="240"/>
    <m/>
    <m/>
    <m/>
    <m/>
    <n v="0"/>
    <m/>
    <m/>
    <m/>
    <m/>
    <n v="0"/>
    <n v="0"/>
    <n v="0"/>
    <n v="0"/>
  </r>
  <r>
    <n v="853"/>
    <s v="Regular"/>
    <s v="Verde"/>
    <s v="A4"/>
    <s v="Industrial"/>
    <s v="Não se aplica"/>
    <s v="Fonte incentivada"/>
    <s v="Não se aplica"/>
    <s v="Fora ponta"/>
    <s v="LIVRE"/>
    <x v="3"/>
    <n v="0"/>
    <n v="0"/>
    <n v="297.49200000000002"/>
    <n v="297.49200000000002"/>
    <n v="0"/>
    <n v="0"/>
    <m/>
    <n v="85.01"/>
    <m/>
    <m/>
    <n v="25289.794920000004"/>
    <n v="25289.794920000004"/>
    <n v="24938.754360000003"/>
    <n v="0"/>
    <n v="15929.003687101964"/>
    <n v="0"/>
    <n v="0"/>
    <n v="0"/>
    <n v="0"/>
    <n v="0"/>
    <m/>
    <m/>
    <m/>
    <n v="0"/>
    <n v="0"/>
    <n v="0"/>
    <n v="2828.860435262091"/>
    <m/>
    <n v="238.23570712158516"/>
    <n v="0"/>
    <n v="0"/>
    <n v="0"/>
    <n v="0"/>
    <m/>
    <m/>
    <n v="0"/>
    <n v="0"/>
    <n v="0"/>
    <m/>
    <m/>
    <n v="0"/>
    <m/>
    <n v="0"/>
    <n v="0"/>
    <n v="0"/>
    <n v="0"/>
    <m/>
    <n v="2224.8405041913593"/>
    <n v="0"/>
    <n v="0"/>
    <n v="0"/>
    <n v="0"/>
    <n v="0"/>
    <m/>
    <m/>
    <m/>
    <m/>
    <m/>
    <m/>
    <m/>
    <m/>
    <m/>
    <n v="2224.8405041913593"/>
    <m/>
    <m/>
    <m/>
    <m/>
    <m/>
    <m/>
    <m/>
    <m/>
    <m/>
    <m/>
    <m/>
    <m/>
    <n v="24938.5867"/>
    <n v="-351.23821999999927"/>
    <m/>
    <m/>
    <m/>
    <m/>
    <n v="-351.04056000000207"/>
    <n v="0"/>
    <n v="31"/>
    <n v="-351.17727719632603"/>
    <n v="0"/>
    <n v="0"/>
    <n v="0"/>
    <n v="0"/>
    <m/>
    <m/>
    <m/>
    <n v="0"/>
    <n v="0"/>
    <n v="0"/>
    <m/>
    <m/>
    <n v="0"/>
    <n v="0"/>
    <n v="281.95814517525696"/>
    <n v="0"/>
    <n v="-540.89855934863226"/>
    <m/>
    <n v="0"/>
    <n v="0"/>
    <m/>
    <n v="0"/>
    <n v="-85.49683422170574"/>
    <n v="-6.7400288012484566"/>
    <n v="0"/>
    <n v="0"/>
    <m/>
    <m/>
    <m/>
    <n v="0"/>
    <n v="0"/>
    <n v="0"/>
    <n v="-351.04056000000128"/>
    <m/>
    <n v="0"/>
    <m/>
    <n v="0"/>
    <m/>
    <n v="0"/>
    <n v="0"/>
    <m/>
    <n v="0"/>
    <n v="0"/>
    <n v="0"/>
    <n v="0"/>
    <n v="0"/>
    <m/>
    <m/>
    <n v="0"/>
    <n v="4067.9834467538362"/>
    <m/>
    <n v="0"/>
    <m/>
    <n v="0"/>
    <m/>
    <n v="240"/>
    <m/>
    <m/>
    <m/>
    <m/>
    <n v="0"/>
    <m/>
    <m/>
    <m/>
    <m/>
    <n v="0"/>
    <n v="0"/>
    <n v="0"/>
    <n v="0"/>
  </r>
  <r>
    <n v="854"/>
    <s v="Regular"/>
    <s v="Verde"/>
    <s v="A4"/>
    <s v="Industrial"/>
    <s v="Não se aplica"/>
    <s v="Fonte incentivada"/>
    <s v="Não se aplica"/>
    <s v="Não se aplica"/>
    <s v="LIVRE"/>
    <x v="3"/>
    <n v="1470"/>
    <n v="772.49928839999995"/>
    <n v="0"/>
    <n v="0"/>
    <n v="0"/>
    <n v="0"/>
    <n v="27.19"/>
    <m/>
    <m/>
    <n v="39969.300000000003"/>
    <m/>
    <n v="39969.300000000003"/>
    <n v="31987.200000000001"/>
    <n v="0"/>
    <n v="0"/>
    <n v="0"/>
    <n v="0"/>
    <n v="342.80490173851911"/>
    <n v="329.33121387452331"/>
    <n v="35180.084457444464"/>
    <m/>
    <m/>
    <m/>
    <n v="0"/>
    <n v="0"/>
    <n v="0"/>
    <n v="0"/>
    <m/>
    <n v="0"/>
    <n v="727.48070170298206"/>
    <n v="3392.8905992268906"/>
    <n v="0"/>
    <n v="0"/>
    <m/>
    <m/>
    <n v="0"/>
    <n v="0"/>
    <n v="0"/>
    <m/>
    <m/>
    <n v="0"/>
    <m/>
    <n v="0"/>
    <n v="0"/>
    <n v="0"/>
    <n v="0"/>
    <m/>
    <n v="0"/>
    <n v="0"/>
    <n v="511.12"/>
    <n v="0"/>
    <n v="21364.03"/>
    <n v="3"/>
    <m/>
    <n v="15177.615484416003"/>
    <m/>
    <m/>
    <m/>
    <m/>
    <m/>
    <m/>
    <m/>
    <n v="0"/>
    <m/>
    <m/>
    <m/>
    <m/>
    <m/>
    <m/>
    <m/>
    <m/>
    <m/>
    <m/>
    <m/>
    <m/>
    <n v="16809.600000000002"/>
    <n v="-4194.6856515959917"/>
    <m/>
    <m/>
    <m/>
    <m/>
    <n v="-7982.0999999999995"/>
    <n v="0"/>
    <n v="31"/>
    <n v="749.68822373974854"/>
    <n v="72.491896976441012"/>
    <n v="338.09429610397092"/>
    <n v="0"/>
    <n v="0"/>
    <m/>
    <m/>
    <m/>
    <n v="339.10203065933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180.084457444464"/>
    <m/>
    <n v="0"/>
    <n v="0"/>
    <n v="-7982.1000000000022"/>
    <m/>
    <n v="0"/>
    <m/>
    <n v="-8739.329723738061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55"/>
    <s v="Regular"/>
    <s v="Geração"/>
    <s v="A3"/>
    <s v="Não se aplica"/>
    <s v="Não se aplica"/>
    <s v="Não se aplica"/>
    <s v="RASTRO DE AUTO"/>
    <s v="Não se aplica"/>
    <s v="GERAÇÃO"/>
    <x v="3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244.79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1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56"/>
    <s v="Regular"/>
    <s v="Azul"/>
    <s v="A4"/>
    <s v="Industrial"/>
    <s v="Não se aplica"/>
    <s v="Fonte incentivada"/>
    <s v="Não se aplica"/>
    <s v="Ponta"/>
    <s v="LIVRE"/>
    <x v="4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30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57"/>
    <s v="Regular"/>
    <s v="Azul"/>
    <s v="A4"/>
    <s v="Industrial"/>
    <s v="Não se aplica"/>
    <s v="Fonte incentivada"/>
    <s v="Não se aplica"/>
    <s v="Fora ponta"/>
    <s v="LIVRE"/>
    <x v="4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30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58"/>
    <s v="Regular"/>
    <s v="Azul"/>
    <s v="A4"/>
    <s v="Industrial"/>
    <s v="Não se aplica"/>
    <s v="Fonte incentivada"/>
    <s v="Não se aplica"/>
    <s v="Não se aplica"/>
    <s v="LIVRE"/>
    <x v="4"/>
    <n v="0"/>
    <n v="0"/>
    <n v="3591.7150000000001"/>
    <n v="3591.7150000000001"/>
    <n v="0"/>
    <n v="0"/>
    <m/>
    <n v="85.01"/>
    <m/>
    <m/>
    <n v="305331.69215000002"/>
    <n v="305331.69215000002"/>
    <n v="301093.46844999999"/>
    <n v="0"/>
    <n v="192315.89917718605"/>
    <n v="0"/>
    <n v="0"/>
    <n v="0"/>
    <n v="0"/>
    <n v="0"/>
    <m/>
    <m/>
    <m/>
    <n v="0"/>
    <n v="0"/>
    <n v="0"/>
    <n v="34153.726682523833"/>
    <m/>
    <n v="2876.2950358470289"/>
    <n v="0"/>
    <n v="0"/>
    <n v="0"/>
    <n v="0"/>
    <m/>
    <m/>
    <n v="0"/>
    <n v="0"/>
    <n v="0"/>
    <m/>
    <m/>
    <n v="0"/>
    <m/>
    <n v="0"/>
    <n v="0"/>
    <n v="0"/>
    <n v="0"/>
    <m/>
    <n v="26861.203029028235"/>
    <n v="0"/>
    <n v="5606.83"/>
    <n v="0"/>
    <n v="169248.31"/>
    <n v="2"/>
    <m/>
    <m/>
    <m/>
    <m/>
    <m/>
    <m/>
    <m/>
    <m/>
    <m/>
    <n v="26861.203029028235"/>
    <m/>
    <m/>
    <m/>
    <m/>
    <m/>
    <m/>
    <m/>
    <m/>
    <m/>
    <m/>
    <m/>
    <m/>
    <n v="301093.88759999996"/>
    <n v="-4237.8345500000869"/>
    <m/>
    <m/>
    <m/>
    <m/>
    <n v="-4238.223700000025"/>
    <n v="0"/>
    <n v="30"/>
    <n v="-4239.8743299490889"/>
    <n v="0"/>
    <n v="0"/>
    <n v="0"/>
    <n v="0"/>
    <m/>
    <m/>
    <m/>
    <n v="0"/>
    <n v="0"/>
    <n v="0"/>
    <m/>
    <m/>
    <n v="0"/>
    <n v="0"/>
    <n v="3404.1698580067641"/>
    <n v="0"/>
    <n v="-6530.4393701036461"/>
    <m/>
    <n v="0"/>
    <n v="0"/>
    <m/>
    <n v="0"/>
    <n v="-1032.2303185518031"/>
    <n v="-81.374499300405205"/>
    <n v="0"/>
    <n v="0"/>
    <m/>
    <m/>
    <m/>
    <n v="0"/>
    <n v="0"/>
    <n v="0"/>
    <n v="-4238.2237000000314"/>
    <m/>
    <n v="0"/>
    <m/>
    <n v="0"/>
    <m/>
    <n v="0"/>
    <n v="0"/>
    <m/>
    <n v="0"/>
    <n v="0"/>
    <n v="0"/>
    <n v="0"/>
    <n v="0"/>
    <m/>
    <m/>
    <n v="0"/>
    <n v="49114.050681892135"/>
    <m/>
    <n v="0"/>
    <m/>
    <n v="0"/>
    <m/>
    <n v="240"/>
    <m/>
    <m/>
    <m/>
    <m/>
    <n v="0"/>
    <m/>
    <m/>
    <m/>
    <m/>
    <n v="0"/>
    <n v="0"/>
    <n v="0"/>
    <n v="0"/>
  </r>
  <r>
    <n v="859"/>
    <s v="Regular"/>
    <s v="Verde"/>
    <s v="A4"/>
    <s v="Industrial"/>
    <s v="Não se aplica"/>
    <s v="Fonte incentivada"/>
    <s v="Não se aplica"/>
    <s v="Ponta"/>
    <s v="LIVRE"/>
    <x v="4"/>
    <n v="0"/>
    <n v="0"/>
    <n v="39.247"/>
    <n v="18.445720293259999"/>
    <n v="0"/>
    <n v="0"/>
    <m/>
    <n v="1358.36"/>
    <m/>
    <m/>
    <n v="53311.554919999995"/>
    <n v="53311.554919999995"/>
    <n v="45058.695759999995"/>
    <n v="0"/>
    <n v="2101.4535103723488"/>
    <n v="0"/>
    <n v="0"/>
    <n v="743.42014090483235"/>
    <n v="714.26225569518078"/>
    <n v="39580.902361263725"/>
    <m/>
    <m/>
    <m/>
    <n v="0"/>
    <n v="0"/>
    <n v="0"/>
    <n v="373.20091129419035"/>
    <m/>
    <n v="31.429540281422199"/>
    <n v="1578.1541386239774"/>
    <n v="7358.6594829537271"/>
    <n v="0"/>
    <n v="0"/>
    <m/>
    <m/>
    <n v="0"/>
    <n v="0"/>
    <n v="0"/>
    <m/>
    <m/>
    <n v="0"/>
    <m/>
    <n v="0"/>
    <n v="0"/>
    <n v="0"/>
    <n v="0"/>
    <m/>
    <n v="293.51483491320192"/>
    <n v="0"/>
    <n v="0"/>
    <n v="0"/>
    <n v="0"/>
    <n v="0"/>
    <m/>
    <n v="23881.533205714059"/>
    <m/>
    <m/>
    <m/>
    <m/>
    <m/>
    <m/>
    <m/>
    <n v="293.51483491320192"/>
    <m/>
    <m/>
    <m/>
    <m/>
    <m/>
    <m/>
    <m/>
    <m/>
    <m/>
    <m/>
    <m/>
    <m/>
    <n v="21182.075999999997"/>
    <n v="-3873.8826175526483"/>
    <m/>
    <m/>
    <m/>
    <m/>
    <n v="-8252.8591599999982"/>
    <n v="0"/>
    <n v="30"/>
    <n v="1579.6583406991249"/>
    <n v="157.259686699952"/>
    <n v="733.27468876390867"/>
    <n v="0"/>
    <n v="0"/>
    <m/>
    <m/>
    <m/>
    <n v="735.45346182046387"/>
    <n v="0"/>
    <n v="0"/>
    <m/>
    <m/>
    <n v="0"/>
    <n v="0"/>
    <n v="37.197676991963874"/>
    <n v="0"/>
    <n v="-71.358711356123422"/>
    <m/>
    <n v="0"/>
    <n v="0"/>
    <m/>
    <n v="0"/>
    <n v="-11.279275586231847"/>
    <n v="-0.88918663480900051"/>
    <n v="0"/>
    <n v="0"/>
    <m/>
    <m/>
    <m/>
    <n v="39580.902361263725"/>
    <n v="0"/>
    <n v="0"/>
    <n v="-8252.85916"/>
    <m/>
    <n v="0"/>
    <m/>
    <n v="-9832.5675402115667"/>
    <m/>
    <n v="0"/>
    <n v="0"/>
    <m/>
    <n v="0"/>
    <n v="0"/>
    <n v="0"/>
    <n v="0"/>
    <n v="0"/>
    <m/>
    <m/>
    <n v="0"/>
    <n v="536.67374697386083"/>
    <m/>
    <n v="0"/>
    <m/>
    <n v="0"/>
    <m/>
    <n v="240"/>
    <m/>
    <m/>
    <m/>
    <m/>
    <n v="0"/>
    <m/>
    <m/>
    <m/>
    <m/>
    <n v="0"/>
    <n v="0"/>
    <n v="0"/>
    <n v="0"/>
  </r>
  <r>
    <n v="860"/>
    <s v="Regular"/>
    <s v="Verde"/>
    <s v="A4"/>
    <s v="Industrial"/>
    <s v="Não se aplica"/>
    <s v="Fonte incentivada"/>
    <s v="Não se aplica"/>
    <s v="Fora ponta"/>
    <s v="LIVRE"/>
    <x v="4"/>
    <n v="0"/>
    <n v="0"/>
    <n v="475.56"/>
    <n v="475.56"/>
    <n v="0"/>
    <n v="0"/>
    <m/>
    <n v="85.01"/>
    <m/>
    <m/>
    <n v="40427.355600000003"/>
    <n v="40427.355600000003"/>
    <n v="39866.194799999997"/>
    <n v="0"/>
    <n v="25463.531770394529"/>
    <n v="0"/>
    <n v="0"/>
    <n v="0"/>
    <n v="0"/>
    <n v="0"/>
    <m/>
    <m/>
    <m/>
    <n v="0"/>
    <n v="0"/>
    <n v="0"/>
    <n v="4522.1144386848719"/>
    <m/>
    <n v="380.83502372749871"/>
    <n v="0"/>
    <n v="0"/>
    <n v="0"/>
    <n v="0"/>
    <m/>
    <m/>
    <n v="0"/>
    <n v="0"/>
    <n v="0"/>
    <m/>
    <m/>
    <n v="0"/>
    <m/>
    <n v="0"/>
    <n v="0"/>
    <n v="0"/>
    <n v="0"/>
    <m/>
    <n v="3556.5499246139148"/>
    <n v="0"/>
    <n v="0"/>
    <n v="0"/>
    <n v="0"/>
    <n v="0"/>
    <m/>
    <m/>
    <m/>
    <m/>
    <m/>
    <m/>
    <m/>
    <m/>
    <m/>
    <n v="3556.5499246139148"/>
    <m/>
    <m/>
    <m/>
    <m/>
    <m/>
    <m/>
    <m/>
    <m/>
    <m/>
    <m/>
    <m/>
    <m/>
    <n v="39866.194799999997"/>
    <n v="-561.19080000001122"/>
    <m/>
    <m/>
    <m/>
    <m/>
    <n v="-561.16080000000329"/>
    <n v="0"/>
    <n v="30"/>
    <n v="-561.37935118755559"/>
    <n v="0"/>
    <n v="0"/>
    <n v="0"/>
    <n v="0"/>
    <m/>
    <m/>
    <m/>
    <n v="0"/>
    <n v="0"/>
    <n v="0"/>
    <m/>
    <m/>
    <n v="0"/>
    <n v="0"/>
    <n v="450.72813897363676"/>
    <n v="0"/>
    <n v="-864.66096192111218"/>
    <m/>
    <n v="0"/>
    <n v="0"/>
    <m/>
    <n v="0"/>
    <n v="-136.67216087314773"/>
    <n v="-10.774367366926583"/>
    <n v="0"/>
    <n v="0"/>
    <m/>
    <m/>
    <m/>
    <n v="0"/>
    <n v="0"/>
    <n v="0"/>
    <n v="-561.16080000000511"/>
    <m/>
    <n v="0"/>
    <m/>
    <n v="0"/>
    <m/>
    <n v="0"/>
    <n v="0"/>
    <m/>
    <n v="0"/>
    <n v="0"/>
    <n v="0"/>
    <n v="0"/>
    <n v="0"/>
    <m/>
    <m/>
    <n v="0"/>
    <n v="6502.9318702292976"/>
    <m/>
    <n v="0"/>
    <m/>
    <n v="0"/>
    <m/>
    <n v="240"/>
    <m/>
    <m/>
    <m/>
    <m/>
    <n v="0"/>
    <m/>
    <m/>
    <m/>
    <m/>
    <n v="0"/>
    <n v="0"/>
    <n v="0"/>
    <n v="0"/>
  </r>
  <r>
    <n v="861"/>
    <s v="Regular"/>
    <s v="Verde"/>
    <s v="A4"/>
    <s v="Industrial"/>
    <s v="Não se aplica"/>
    <s v="Fonte incentivada"/>
    <s v="Não se aplica"/>
    <s v="Não se aplica"/>
    <s v="LIVRE"/>
    <x v="4"/>
    <n v="2421"/>
    <n v="1331.24342877"/>
    <n v="0"/>
    <n v="0"/>
    <n v="0"/>
    <n v="0"/>
    <n v="27.19"/>
    <m/>
    <m/>
    <n v="65826.990000000005"/>
    <m/>
    <n v="65826.990000000005"/>
    <n v="52680.960000000006"/>
    <n v="0"/>
    <n v="0"/>
    <n v="0"/>
    <n v="0"/>
    <n v="564.5786851081325"/>
    <n v="542.38834611579648"/>
    <n v="57939.44521868915"/>
    <m/>
    <m/>
    <m/>
    <n v="0"/>
    <n v="0"/>
    <n v="0"/>
    <n v="0"/>
    <m/>
    <n v="0"/>
    <n v="1198.1161760700134"/>
    <n v="5587.8830889308174"/>
    <n v="0"/>
    <n v="0"/>
    <m/>
    <m/>
    <n v="0"/>
    <n v="0"/>
    <n v="0"/>
    <m/>
    <m/>
    <n v="0"/>
    <m/>
    <n v="0"/>
    <n v="0"/>
    <n v="0"/>
    <n v="0"/>
    <m/>
    <n v="0"/>
    <n v="0"/>
    <n v="929.16"/>
    <n v="0"/>
    <n v="28016.95"/>
    <n v="4"/>
    <m/>
    <n v="23713.102989964802"/>
    <m/>
    <m/>
    <m/>
    <m/>
    <m/>
    <m/>
    <m/>
    <n v="0"/>
    <m/>
    <m/>
    <m/>
    <m/>
    <m/>
    <m/>
    <m/>
    <m/>
    <m/>
    <m/>
    <m/>
    <m/>
    <n v="28967.782400000004"/>
    <n v="-7228.7564282563035"/>
    <m/>
    <m/>
    <m/>
    <m/>
    <n v="-13146.029999999999"/>
    <n v="0"/>
    <n v="30"/>
    <n v="1234.6906052203612"/>
    <n v="119.38971604079165"/>
    <n v="556.82060603245827"/>
    <n v="0"/>
    <n v="0"/>
    <m/>
    <m/>
    <m/>
    <n v="558.480283147112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939.44521868915"/>
    <m/>
    <n v="0"/>
    <n v="0"/>
    <n v="-13146.029999999999"/>
    <m/>
    <n v="0"/>
    <m/>
    <n v="-14393.14099399309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62"/>
    <s v="Regular"/>
    <s v="Geração"/>
    <s v="A3"/>
    <s v="Não se aplica"/>
    <s v="Não se aplica"/>
    <s v="Não se aplica"/>
    <s v="RASTRO DE AUTO"/>
    <s v="Não se aplica"/>
    <s v="GERAÇÃO"/>
    <x v="4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270.37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0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63"/>
    <s v="Regular"/>
    <s v="Azul"/>
    <s v="A4"/>
    <s v="Industrial"/>
    <s v="Não se aplica"/>
    <s v="Fonte incentivada"/>
    <s v="Não se aplica"/>
    <s v="Ponta"/>
    <s v="LIVRE"/>
    <x v="5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m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64"/>
    <s v="Regular"/>
    <s v="Azul"/>
    <s v="A4"/>
    <s v="Industrial"/>
    <s v="Não se aplica"/>
    <s v="Fonte incentivada"/>
    <s v="Não se aplica"/>
    <s v="Fora ponta"/>
    <s v="LIVRE"/>
    <x v="5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m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65"/>
    <s v="Regular"/>
    <s v="Azul"/>
    <s v="A4"/>
    <s v="Industrial"/>
    <s v="Não se aplica"/>
    <s v="Fonte incentivada"/>
    <s v="Não se aplica"/>
    <s v="Não se aplica"/>
    <s v="LIVRE"/>
    <x v="5"/>
    <n v="0"/>
    <n v="0"/>
    <n v="3510.5970000000002"/>
    <n v="3510.5970000000002"/>
    <n v="0"/>
    <n v="0"/>
    <m/>
    <n v="85.01"/>
    <m/>
    <m/>
    <n v="298435.85097000003"/>
    <n v="298435.85097000003"/>
    <n v="294293.34651"/>
    <n v="0"/>
    <n v="187972.49188861917"/>
    <n v="0"/>
    <n v="0"/>
    <n v="0"/>
    <n v="0"/>
    <n v="0"/>
    <m/>
    <m/>
    <m/>
    <n v="0"/>
    <n v="0"/>
    <n v="0"/>
    <n v="33382.373164487755"/>
    <m/>
    <n v="2811.3346198012568"/>
    <n v="0"/>
    <n v="0"/>
    <n v="0"/>
    <n v="0"/>
    <m/>
    <m/>
    <n v="0"/>
    <n v="0"/>
    <n v="0"/>
    <m/>
    <m/>
    <n v="0"/>
    <m/>
    <n v="0"/>
    <n v="0"/>
    <n v="0"/>
    <n v="0"/>
    <m/>
    <n v="26254.549364328024"/>
    <n v="0"/>
    <n v="5566.14"/>
    <n v="0"/>
    <n v="167353.12"/>
    <n v="2"/>
    <m/>
    <m/>
    <m/>
    <m/>
    <m/>
    <m/>
    <m/>
    <m/>
    <m/>
    <n v="26254.549364328024"/>
    <m/>
    <m/>
    <m/>
    <m/>
    <m/>
    <m/>
    <m/>
    <m/>
    <m/>
    <m/>
    <m/>
    <m/>
    <n v="294293.598"/>
    <n v="-4142.2829700000584"/>
    <m/>
    <m/>
    <m/>
    <m/>
    <n v="-4142.5044600000238"/>
    <n v="0"/>
    <m/>
    <n v="-4144.1178108776221"/>
    <n v="0"/>
    <n v="0"/>
    <n v="0"/>
    <n v="0"/>
    <m/>
    <m/>
    <m/>
    <n v="0"/>
    <n v="0"/>
    <n v="0"/>
    <m/>
    <m/>
    <n v="0"/>
    <n v="0"/>
    <n v="3327.2875189175575"/>
    <n v="0"/>
    <n v="-6382.9510028963268"/>
    <m/>
    <n v="0"/>
    <n v="0"/>
    <m/>
    <n v="0"/>
    <n v="-1008.9176506535259"/>
    <n v="-79.536676245332274"/>
    <n v="0"/>
    <n v="0"/>
    <m/>
    <m/>
    <m/>
    <n v="0"/>
    <n v="0"/>
    <n v="0"/>
    <n v="-4142.5044600000256"/>
    <m/>
    <n v="0"/>
    <m/>
    <n v="0"/>
    <m/>
    <n v="0"/>
    <n v="0"/>
    <m/>
    <n v="0"/>
    <n v="0"/>
    <n v="0"/>
    <n v="0"/>
    <n v="0"/>
    <m/>
    <m/>
    <n v="0"/>
    <n v="48004.821925375058"/>
    <m/>
    <n v="0"/>
    <m/>
    <n v="0"/>
    <m/>
    <n v="240"/>
    <m/>
    <m/>
    <m/>
    <m/>
    <n v="0"/>
    <m/>
    <m/>
    <m/>
    <m/>
    <n v="0"/>
    <n v="0"/>
    <n v="0"/>
    <n v="0"/>
  </r>
  <r>
    <n v="866"/>
    <s v="Regular"/>
    <s v="Verde"/>
    <s v="A4"/>
    <s v="Industrial"/>
    <s v="Não se aplica"/>
    <s v="Fonte incentivada"/>
    <s v="Não se aplica"/>
    <s v="Ponta"/>
    <s v="LIVRE"/>
    <x v="5"/>
    <n v="0"/>
    <n v="0"/>
    <n v="34.651000000000003"/>
    <n v="16.322921826399998"/>
    <n v="0"/>
    <n v="0"/>
    <m/>
    <n v="1358.36"/>
    <m/>
    <m/>
    <n v="47068.532360000005"/>
    <n v="47068.532360000005"/>
    <n v="39782.120080000001"/>
    <n v="0"/>
    <n v="1855.3638644460025"/>
    <n v="0"/>
    <n v="0"/>
    <n v="656.36230291470304"/>
    <n v="630.61893704216152"/>
    <n v="34945.800894849279"/>
    <m/>
    <m/>
    <m/>
    <n v="0"/>
    <n v="0"/>
    <n v="0"/>
    <n v="329.49740813960278"/>
    <m/>
    <n v="27.748999930989903"/>
    <n v="1393.3451998231571"/>
    <n v="6496.9274019372087"/>
    <n v="0"/>
    <n v="0"/>
    <m/>
    <m/>
    <n v="0"/>
    <n v="0"/>
    <n v="0"/>
    <m/>
    <m/>
    <n v="0"/>
    <m/>
    <n v="0"/>
    <n v="0"/>
    <n v="0"/>
    <n v="0"/>
    <m/>
    <n v="259.14292925771042"/>
    <n v="0"/>
    <n v="0"/>
    <n v="0"/>
    <n v="0"/>
    <n v="0"/>
    <m/>
    <n v="21042.099989546692"/>
    <m/>
    <m/>
    <m/>
    <m/>
    <m/>
    <m/>
    <m/>
    <n v="259.14292925771042"/>
    <m/>
    <m/>
    <m/>
    <m/>
    <m/>
    <m/>
    <m/>
    <m/>
    <m/>
    <m/>
    <m/>
    <m/>
    <n v="18736.6656"/>
    <n v="-3435.7684921086948"/>
    <m/>
    <m/>
    <m/>
    <m/>
    <n v="-7286.4122799999996"/>
    <n v="0"/>
    <m/>
    <n v="1394.6732530783338"/>
    <n v="138.84387096695377"/>
    <n v="647.40492879349222"/>
    <n v="0"/>
    <n v="0"/>
    <m/>
    <m/>
    <m/>
    <n v="649.32855773793915"/>
    <n v="0"/>
    <n v="0"/>
    <m/>
    <m/>
    <n v="0"/>
    <n v="0"/>
    <n v="32.841661921893149"/>
    <n v="0"/>
    <n v="-63.002285708487989"/>
    <m/>
    <n v="0"/>
    <n v="0"/>
    <m/>
    <n v="0"/>
    <n v="-9.9584217478665664"/>
    <n v="-0.78505888559040571"/>
    <n v="0"/>
    <n v="0"/>
    <m/>
    <m/>
    <m/>
    <n v="34945.800894849279"/>
    <n v="0"/>
    <n v="0"/>
    <n v="-7286.4122800000041"/>
    <m/>
    <n v="0"/>
    <m/>
    <n v="-8681.1297127390935"/>
    <m/>
    <n v="0"/>
    <n v="0"/>
    <m/>
    <n v="0"/>
    <n v="0"/>
    <n v="0"/>
    <n v="0"/>
    <n v="0"/>
    <m/>
    <m/>
    <n v="0"/>
    <n v="473.82684043089284"/>
    <m/>
    <n v="0"/>
    <m/>
    <n v="0"/>
    <m/>
    <n v="240"/>
    <m/>
    <m/>
    <m/>
    <m/>
    <n v="0"/>
    <m/>
    <m/>
    <m/>
    <m/>
    <n v="0"/>
    <n v="0"/>
    <n v="0"/>
    <n v="0"/>
  </r>
  <r>
    <n v="867"/>
    <s v="Regular"/>
    <s v="Verde"/>
    <s v="A4"/>
    <s v="Industrial"/>
    <s v="Não se aplica"/>
    <s v="Fonte incentivada"/>
    <s v="Não se aplica"/>
    <s v="Fora ponta"/>
    <s v="LIVRE"/>
    <x v="5"/>
    <n v="0"/>
    <n v="0"/>
    <n v="344.28899999999999"/>
    <n v="344.28899999999999"/>
    <n v="0"/>
    <n v="0"/>
    <m/>
    <n v="85.01"/>
    <m/>
    <m/>
    <n v="29268.007890000001"/>
    <n v="29268.007890000001"/>
    <n v="28861.746869999999"/>
    <n v="0"/>
    <n v="18434.716733319376"/>
    <n v="0"/>
    <n v="0"/>
    <n v="0"/>
    <n v="0"/>
    <n v="0"/>
    <m/>
    <m/>
    <m/>
    <n v="0"/>
    <n v="0"/>
    <n v="0"/>
    <n v="3273.8545251500877"/>
    <m/>
    <n v="275.71139179938763"/>
    <n v="0"/>
    <n v="0"/>
    <n v="0"/>
    <n v="0"/>
    <m/>
    <m/>
    <n v="0"/>
    <n v="0"/>
    <n v="0"/>
    <m/>
    <m/>
    <n v="0"/>
    <m/>
    <n v="0"/>
    <n v="0"/>
    <n v="0"/>
    <n v="0"/>
    <m/>
    <n v="2574.8191963062495"/>
    <n v="0"/>
    <n v="0"/>
    <n v="0"/>
    <n v="0"/>
    <n v="0"/>
    <m/>
    <m/>
    <m/>
    <m/>
    <m/>
    <m/>
    <m/>
    <m/>
    <m/>
    <n v="2574.8191963062495"/>
    <m/>
    <m/>
    <m/>
    <m/>
    <m/>
    <m/>
    <m/>
    <m/>
    <m/>
    <m/>
    <m/>
    <m/>
    <n v="28861.830700000002"/>
    <n v="-406.20718999999372"/>
    <m/>
    <m/>
    <m/>
    <m/>
    <n v="-406.26102000000236"/>
    <n v="0"/>
    <m/>
    <n v="-406.41924350452246"/>
    <n v="0"/>
    <n v="0"/>
    <n v="0"/>
    <n v="0"/>
    <m/>
    <m/>
    <m/>
    <n v="0"/>
    <n v="0"/>
    <n v="0"/>
    <m/>
    <m/>
    <n v="0"/>
    <n v="0"/>
    <n v="326.31159104864673"/>
    <n v="0"/>
    <n v="-625.98464529998091"/>
    <m/>
    <n v="0"/>
    <n v="0"/>
    <m/>
    <n v="0"/>
    <n v="-98.94591974694049"/>
    <n v="-7.8002695062489806"/>
    <n v="0"/>
    <n v="0"/>
    <m/>
    <m/>
    <m/>
    <n v="0"/>
    <n v="0"/>
    <n v="0"/>
    <n v="-406.26102000000174"/>
    <m/>
    <n v="0"/>
    <m/>
    <n v="0"/>
    <m/>
    <n v="0"/>
    <n v="0"/>
    <m/>
    <n v="0"/>
    <n v="0"/>
    <n v="0"/>
    <n v="0"/>
    <n v="0"/>
    <m/>
    <m/>
    <n v="0"/>
    <n v="4707.8978691844868"/>
    <m/>
    <n v="0"/>
    <m/>
    <n v="0"/>
    <m/>
    <n v="240"/>
    <m/>
    <m/>
    <m/>
    <m/>
    <n v="0"/>
    <m/>
    <m/>
    <m/>
    <m/>
    <n v="0"/>
    <n v="0"/>
    <n v="0"/>
    <n v="0"/>
  </r>
  <r>
    <n v="868"/>
    <s v="Regular"/>
    <s v="Verde"/>
    <s v="A4"/>
    <s v="Industrial"/>
    <s v="Não se aplica"/>
    <s v="Fonte incentivada"/>
    <s v="Não se aplica"/>
    <s v="Não se aplica"/>
    <s v="LIVRE"/>
    <x v="5"/>
    <n v="2424"/>
    <n v="1251.49864368"/>
    <n v="0"/>
    <n v="0"/>
    <n v="0"/>
    <n v="0"/>
    <n v="27.19"/>
    <m/>
    <m/>
    <n v="65908.56"/>
    <m/>
    <n v="65908.56"/>
    <n v="52746.240000000005"/>
    <n v="0"/>
    <n v="0"/>
    <n v="0"/>
    <n v="0"/>
    <n v="565.27828694841514"/>
    <n v="543.06045063390775"/>
    <n v="58011.241309418627"/>
    <m/>
    <m/>
    <m/>
    <n v="0"/>
    <n v="0"/>
    <n v="0"/>
    <n v="0"/>
    <m/>
    <n v="0"/>
    <n v="1199.6008305632847"/>
    <n v="5594.8073554598523"/>
    <n v="0"/>
    <n v="0"/>
    <m/>
    <m/>
    <n v="0"/>
    <n v="0"/>
    <n v="0"/>
    <m/>
    <m/>
    <n v="0"/>
    <m/>
    <n v="0"/>
    <n v="0"/>
    <n v="0"/>
    <n v="0"/>
    <m/>
    <n v="0"/>
    <n v="0"/>
    <n v="818.86"/>
    <n v="0"/>
    <n v="30972.95"/>
    <n v="4"/>
    <m/>
    <n v="25513.629513523203"/>
    <m/>
    <m/>
    <m/>
    <m/>
    <m/>
    <m/>
    <m/>
    <n v="0"/>
    <m/>
    <m/>
    <m/>
    <m/>
    <m/>
    <m/>
    <m/>
    <m/>
    <m/>
    <m/>
    <m/>
    <m/>
    <n v="27232.640000000003"/>
    <n v="-6795.6381216592017"/>
    <m/>
    <m/>
    <m/>
    <m/>
    <n v="-13162.32"/>
    <n v="0"/>
    <m/>
    <n v="1236.2205811871772"/>
    <n v="119.53765868768232"/>
    <n v="557.51059439185428"/>
    <n v="0"/>
    <n v="0"/>
    <m/>
    <m/>
    <m/>
    <n v="559.17232810764131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011.241309418627"/>
    <m/>
    <n v="0"/>
    <n v="0"/>
    <n v="-13162.319999999992"/>
    <m/>
    <n v="0"/>
    <m/>
    <n v="-14410.97636077623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69"/>
    <s v="Regular"/>
    <s v="Geração"/>
    <s v="A3"/>
    <s v="Não se aplica"/>
    <s v="Não se aplica"/>
    <s v="Não se aplica"/>
    <s v="RASTRO DE AUTO"/>
    <s v="Não se aplica"/>
    <s v="GERAÇÃO"/>
    <x v="5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270.37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m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70"/>
    <s v="Regular"/>
    <s v="Azul"/>
    <s v="A4"/>
    <s v="Industrial"/>
    <s v="Não se aplica"/>
    <s v="Fonte incentivada"/>
    <s v="Não se aplica"/>
    <s v="Ponta"/>
    <s v="LIVRE"/>
    <x v="6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31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71"/>
    <s v="Regular"/>
    <s v="Azul"/>
    <s v="A4"/>
    <s v="Industrial"/>
    <s v="Não se aplica"/>
    <s v="Fonte incentivada"/>
    <s v="Não se aplica"/>
    <s v="Fora ponta"/>
    <s v="LIVRE"/>
    <x v="6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31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72"/>
    <s v="Regular"/>
    <s v="Azul"/>
    <s v="A4"/>
    <s v="Industrial"/>
    <s v="Não se aplica"/>
    <s v="Fonte incentivada"/>
    <s v="Não se aplica"/>
    <s v="Não se aplica"/>
    <s v="LIVRE"/>
    <x v="6"/>
    <n v="0"/>
    <n v="0"/>
    <n v="3520.4"/>
    <n v="3520.4"/>
    <n v="0"/>
    <n v="0"/>
    <m/>
    <n v="85.01"/>
    <m/>
    <m/>
    <n v="299269.20400000003"/>
    <n v="299269.20400000003"/>
    <n v="295115.13199999998"/>
    <n v="0"/>
    <n v="188497.38675350512"/>
    <n v="0"/>
    <n v="0"/>
    <n v="0"/>
    <n v="0"/>
    <n v="0"/>
    <m/>
    <m/>
    <m/>
    <n v="0"/>
    <n v="0"/>
    <n v="0"/>
    <n v="33475.590188296374"/>
    <m/>
    <n v="2819.1849977506231"/>
    <n v="0"/>
    <n v="0"/>
    <n v="0"/>
    <n v="0"/>
    <m/>
    <m/>
    <n v="0"/>
    <n v="0"/>
    <n v="0"/>
    <m/>
    <m/>
    <n v="0"/>
    <m/>
    <n v="0"/>
    <n v="0"/>
    <n v="0"/>
    <n v="0"/>
    <m/>
    <n v="26327.862634811223"/>
    <n v="0"/>
    <n v="5569.62"/>
    <n v="0"/>
    <n v="157884.98000000001"/>
    <n v="2"/>
    <m/>
    <m/>
    <m/>
    <m/>
    <m/>
    <m/>
    <m/>
    <m/>
    <m/>
    <n v="26327.862634811223"/>
    <m/>
    <m/>
    <m/>
    <m/>
    <m/>
    <m/>
    <m/>
    <m/>
    <m/>
    <m/>
    <m/>
    <m/>
    <n v="295115.13199999998"/>
    <n v="-4154.1020000000717"/>
    <m/>
    <m/>
    <m/>
    <m/>
    <n v="-4154.0720000000238"/>
    <n v="0"/>
    <n v="31"/>
    <n v="-4155.6898560026893"/>
    <n v="0"/>
    <n v="0"/>
    <n v="0"/>
    <n v="0"/>
    <m/>
    <m/>
    <m/>
    <n v="0"/>
    <n v="0"/>
    <n v="0"/>
    <m/>
    <m/>
    <n v="0"/>
    <n v="0"/>
    <n v="3336.5786450559171"/>
    <n v="0"/>
    <n v="-6400.7747715263686"/>
    <m/>
    <n v="0"/>
    <n v="0"/>
    <m/>
    <n v="0"/>
    <n v="-1011.7349548696911"/>
    <n v="-79.758774662562701"/>
    <n v="0"/>
    <n v="0"/>
    <m/>
    <m/>
    <m/>
    <n v="0"/>
    <n v="0"/>
    <n v="0"/>
    <n v="-4154.0720000000438"/>
    <m/>
    <n v="0"/>
    <m/>
    <n v="0"/>
    <m/>
    <n v="0"/>
    <n v="0"/>
    <m/>
    <n v="0"/>
    <n v="0"/>
    <n v="0"/>
    <n v="0"/>
    <n v="0"/>
    <m/>
    <m/>
    <n v="0"/>
    <n v="48138.870712329088"/>
    <m/>
    <n v="0"/>
    <m/>
    <n v="0"/>
    <m/>
    <n v="240"/>
    <m/>
    <m/>
    <m/>
    <m/>
    <n v="0"/>
    <m/>
    <m/>
    <m/>
    <m/>
    <n v="0"/>
    <n v="0"/>
    <n v="0"/>
    <n v="0"/>
  </r>
  <r>
    <n v="873"/>
    <s v="Regular"/>
    <s v="Verde"/>
    <s v="A4"/>
    <s v="Industrial"/>
    <s v="Não se aplica"/>
    <s v="Fonte incentivada"/>
    <s v="Não se aplica"/>
    <s v="Ponta"/>
    <s v="LIVRE"/>
    <x v="6"/>
    <n v="0"/>
    <n v="0"/>
    <n v="42.618000000000002"/>
    <n v="20.061930835919998"/>
    <n v="0"/>
    <n v="0"/>
    <m/>
    <n v="1358.36"/>
    <m/>
    <m/>
    <n v="57890.586479999998"/>
    <n v="57890.586479999998"/>
    <n v="48928.873439999996"/>
    <n v="0"/>
    <n v="2281.9513773039662"/>
    <n v="0"/>
    <n v="0"/>
    <n v="807.27392068392862"/>
    <n v="775.61160886735843"/>
    <n v="42980.581874597745"/>
    <m/>
    <m/>
    <m/>
    <n v="0"/>
    <n v="0"/>
    <n v="0"/>
    <n v="405.25585235905436"/>
    <m/>
    <n v="34.129083693368955"/>
    <n v="1713.7048202378951"/>
    <n v="7990.7088400265484"/>
    <n v="0"/>
    <n v="0"/>
    <m/>
    <m/>
    <n v="0"/>
    <n v="0"/>
    <n v="0"/>
    <m/>
    <m/>
    <n v="0"/>
    <m/>
    <n v="0"/>
    <n v="0"/>
    <n v="0"/>
    <n v="0"/>
    <m/>
    <n v="318.72538625451222"/>
    <n v="0"/>
    <n v="0"/>
    <n v="0"/>
    <n v="0"/>
    <n v="0"/>
    <m/>
    <n v="25896.171885896969"/>
    <m/>
    <m/>
    <m/>
    <m/>
    <m/>
    <m/>
    <m/>
    <n v="318.72538625451222"/>
    <m/>
    <m/>
    <m/>
    <m/>
    <m/>
    <m/>
    <m/>
    <m/>
    <m/>
    <m/>
    <m/>
    <m/>
    <n v="23030.484799999998"/>
    <n v="-4220.8695702802834"/>
    <m/>
    <m/>
    <m/>
    <m/>
    <n v="-8961.7130399999987"/>
    <n v="0"/>
    <n v="31"/>
    <n v="1715.3382211102835"/>
    <n v="170.76702239097381"/>
    <n v="796.25705622698024"/>
    <n v="0"/>
    <n v="0"/>
    <m/>
    <m/>
    <m/>
    <n v="798.62296827437854"/>
    <n v="0"/>
    <n v="0"/>
    <m/>
    <m/>
    <n v="0"/>
    <n v="0"/>
    <n v="40.392656713723738"/>
    <n v="0"/>
    <n v="-77.487847748242075"/>
    <m/>
    <n v="0"/>
    <n v="0"/>
    <m/>
    <n v="0"/>
    <n v="-12.248074169593394"/>
    <n v="-0.96556057793691252"/>
    <n v="0"/>
    <n v="0"/>
    <m/>
    <m/>
    <m/>
    <n v="42980.581874597745"/>
    <n v="0"/>
    <n v="0"/>
    <n v="-8961.7130400000024"/>
    <m/>
    <n v="0"/>
    <m/>
    <n v="-10677.105598612292"/>
    <m/>
    <n v="0"/>
    <n v="0"/>
    <m/>
    <n v="0"/>
    <n v="0"/>
    <n v="0"/>
    <n v="0"/>
    <n v="0"/>
    <m/>
    <m/>
    <n v="0"/>
    <n v="582.76968299569398"/>
    <m/>
    <n v="0"/>
    <m/>
    <n v="0"/>
    <m/>
    <n v="240"/>
    <m/>
    <m/>
    <m/>
    <m/>
    <n v="0"/>
    <m/>
    <m/>
    <m/>
    <m/>
    <n v="0"/>
    <n v="0"/>
    <n v="0"/>
    <n v="0"/>
  </r>
  <r>
    <n v="874"/>
    <s v="Regular"/>
    <s v="Verde"/>
    <s v="A4"/>
    <s v="Industrial"/>
    <s v="Não se aplica"/>
    <s v="Fonte incentivada"/>
    <s v="Não se aplica"/>
    <s v="Fora ponta"/>
    <s v="LIVRE"/>
    <x v="6"/>
    <n v="0"/>
    <n v="0"/>
    <n v="504.87700000000001"/>
    <n v="504.87700000000001"/>
    <n v="0"/>
    <n v="0"/>
    <m/>
    <n v="85.01"/>
    <m/>
    <m/>
    <n v="42919.593770000007"/>
    <n v="42919.593770000007"/>
    <n v="42323.838909999999"/>
    <n v="0"/>
    <n v="27033.290288589196"/>
    <n v="0"/>
    <n v="0"/>
    <n v="0"/>
    <n v="0"/>
    <n v="0"/>
    <m/>
    <m/>
    <m/>
    <n v="0"/>
    <n v="0"/>
    <n v="0"/>
    <n v="4800.8906793252208"/>
    <m/>
    <n v="404.31248270348294"/>
    <n v="0"/>
    <n v="0"/>
    <n v="0"/>
    <n v="0"/>
    <m/>
    <m/>
    <n v="0"/>
    <n v="0"/>
    <n v="0"/>
    <m/>
    <m/>
    <n v="0"/>
    <m/>
    <n v="0"/>
    <n v="0"/>
    <n v="0"/>
    <n v="0"/>
    <m/>
    <n v="3775.8016996578758"/>
    <n v="0"/>
    <n v="0"/>
    <n v="0"/>
    <n v="0"/>
    <n v="0"/>
    <m/>
    <m/>
    <m/>
    <m/>
    <m/>
    <m/>
    <m/>
    <m/>
    <m/>
    <n v="3775.8016996578758"/>
    <m/>
    <m/>
    <m/>
    <m/>
    <m/>
    <m/>
    <m/>
    <m/>
    <m/>
    <m/>
    <m/>
    <m/>
    <n v="42324.090400000001"/>
    <n v="-595.53337000001193"/>
    <m/>
    <m/>
    <m/>
    <m/>
    <n v="-595.75486000000342"/>
    <n v="0"/>
    <n v="31"/>
    <n v="-595.98688428277092"/>
    <n v="0"/>
    <n v="0"/>
    <n v="0"/>
    <n v="0"/>
    <m/>
    <m/>
    <m/>
    <n v="0"/>
    <n v="0"/>
    <n v="0"/>
    <m/>
    <m/>
    <n v="0"/>
    <n v="0"/>
    <n v="478.5143212645994"/>
    <n v="0"/>
    <n v="-917.96499384272101"/>
    <m/>
    <n v="0"/>
    <n v="0"/>
    <m/>
    <n v="0"/>
    <n v="-145.09763345351166"/>
    <n v="-11.438578251139234"/>
    <n v="0"/>
    <n v="0"/>
    <m/>
    <m/>
    <m/>
    <n v="0"/>
    <n v="0"/>
    <n v="0"/>
    <n v="-595.75486000000819"/>
    <m/>
    <n v="0"/>
    <m/>
    <n v="0"/>
    <m/>
    <n v="0"/>
    <n v="0"/>
    <m/>
    <n v="0"/>
    <n v="0"/>
    <n v="0"/>
    <n v="0"/>
    <n v="0"/>
    <m/>
    <m/>
    <n v="0"/>
    <n v="6903.8201990195921"/>
    <m/>
    <n v="0"/>
    <m/>
    <n v="0"/>
    <m/>
    <n v="240"/>
    <m/>
    <m/>
    <m/>
    <m/>
    <n v="0"/>
    <m/>
    <m/>
    <m/>
    <m/>
    <n v="0"/>
    <n v="0"/>
    <n v="0"/>
    <n v="0"/>
  </r>
  <r>
    <n v="875"/>
    <s v="Regular"/>
    <s v="Verde"/>
    <s v="A4"/>
    <s v="Industrial"/>
    <s v="Não se aplica"/>
    <s v="Fonte incentivada"/>
    <s v="Não se aplica"/>
    <s v="Não se aplica"/>
    <s v="LIVRE"/>
    <x v="6"/>
    <n v="2431"/>
    <n v="1258.4995523099999"/>
    <n v="0"/>
    <n v="0"/>
    <n v="0"/>
    <n v="0"/>
    <n v="27.19"/>
    <m/>
    <m/>
    <n v="66098.89"/>
    <m/>
    <n v="66098.89"/>
    <n v="52898.560000000005"/>
    <n v="0"/>
    <n v="0"/>
    <n v="0"/>
    <n v="0"/>
    <n v="566.91069124240812"/>
    <n v="544.62869450950075"/>
    <n v="58178.765521120738"/>
    <m/>
    <m/>
    <m/>
    <n v="0"/>
    <n v="0"/>
    <n v="0"/>
    <n v="0"/>
    <m/>
    <n v="0"/>
    <n v="1203.065024380918"/>
    <n v="5610.9639773609324"/>
    <n v="0"/>
    <n v="0"/>
    <m/>
    <m/>
    <n v="0"/>
    <n v="0"/>
    <n v="0"/>
    <m/>
    <m/>
    <n v="0"/>
    <m/>
    <n v="0"/>
    <n v="0"/>
    <n v="0"/>
    <n v="0"/>
    <m/>
    <n v="0"/>
    <n v="0"/>
    <n v="974.77"/>
    <n v="0"/>
    <n v="32923.160000000003"/>
    <n v="4"/>
    <m/>
    <n v="25513.609741734403"/>
    <m/>
    <m/>
    <m/>
    <m/>
    <m/>
    <m/>
    <m/>
    <n v="0"/>
    <m/>
    <m/>
    <m/>
    <m/>
    <m/>
    <m/>
    <m/>
    <m/>
    <m/>
    <m/>
    <m/>
    <m/>
    <n v="27384.960000000003"/>
    <n v="-6833.6728273088993"/>
    <m/>
    <m/>
    <m/>
    <m/>
    <n v="-13200.33"/>
    <n v="0"/>
    <n v="31"/>
    <n v="1239.7905251097482"/>
    <n v="119.88285819709381"/>
    <n v="559.12056723044498"/>
    <n v="0"/>
    <n v="0"/>
    <m/>
    <m/>
    <m/>
    <n v="560.78709968220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178.765521120738"/>
    <m/>
    <n v="0"/>
    <n v="0"/>
    <n v="-13200.329999999994"/>
    <m/>
    <n v="0"/>
    <m/>
    <n v="-14452.59221660355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76"/>
    <s v="Regular"/>
    <s v="Geração"/>
    <s v="A3"/>
    <s v="Não se aplica"/>
    <s v="Não se aplica"/>
    <s v="Não se aplica"/>
    <s v="RASTRO DE AUTO"/>
    <s v="Não se aplica"/>
    <s v="GERAÇÃO"/>
    <x v="6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270.37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1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77"/>
    <s v="Regular"/>
    <s v="Azul"/>
    <s v="A4"/>
    <s v="Industrial"/>
    <s v="Não se aplica"/>
    <s v="Fonte incentivada"/>
    <s v="Não se aplica"/>
    <s v="Ponta"/>
    <s v="LIVRE"/>
    <x v="7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29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78"/>
    <s v="Regular"/>
    <s v="Azul"/>
    <s v="A4"/>
    <s v="Industrial"/>
    <s v="Não se aplica"/>
    <s v="Fonte incentivada"/>
    <s v="Não se aplica"/>
    <s v="Fora ponta"/>
    <s v="LIVRE"/>
    <x v="7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29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79"/>
    <s v="Regular"/>
    <s v="Azul"/>
    <s v="A4"/>
    <s v="Industrial"/>
    <s v="Não se aplica"/>
    <s v="Fonte incentivada"/>
    <s v="Não se aplica"/>
    <s v="Não se aplica"/>
    <s v="LIVRE"/>
    <x v="7"/>
    <n v="0"/>
    <n v="0"/>
    <n v="3099.5349999999999"/>
    <n v="3099.5349999999999"/>
    <n v="0"/>
    <n v="0"/>
    <m/>
    <n v="85.01"/>
    <m/>
    <m/>
    <n v="263491.47035000002"/>
    <n v="263491.47035000002"/>
    <n v="259834.01904999997"/>
    <n v="0"/>
    <n v="165962.46098483852"/>
    <n v="0"/>
    <n v="0"/>
    <n v="0"/>
    <n v="0"/>
    <n v="0"/>
    <m/>
    <m/>
    <m/>
    <n v="0"/>
    <n v="0"/>
    <n v="0"/>
    <n v="29473.572160629814"/>
    <m/>
    <n v="2482.15048630922"/>
    <n v="0"/>
    <n v="0"/>
    <n v="0"/>
    <n v="0"/>
    <m/>
    <m/>
    <n v="0"/>
    <n v="0"/>
    <n v="0"/>
    <m/>
    <m/>
    <n v="0"/>
    <m/>
    <n v="0"/>
    <n v="0"/>
    <n v="0"/>
    <n v="0"/>
    <m/>
    <n v="23180.357832004771"/>
    <n v="0"/>
    <n v="5329.62"/>
    <n v="0"/>
    <n v="148031.20000000001"/>
    <n v="2"/>
    <m/>
    <m/>
    <m/>
    <m/>
    <m/>
    <m/>
    <m/>
    <m/>
    <m/>
    <n v="23180.357832004771"/>
    <m/>
    <m/>
    <m/>
    <m/>
    <m/>
    <m/>
    <m/>
    <m/>
    <m/>
    <m/>
    <m/>
    <m/>
    <n v="259834.4382"/>
    <n v="-3657.0621500000416"/>
    <m/>
    <m/>
    <m/>
    <m/>
    <n v="-3657.4513000000211"/>
    <n v="0"/>
    <n v="29"/>
    <n v="-3658.8757407753437"/>
    <n v="0"/>
    <n v="0"/>
    <n v="0"/>
    <n v="0"/>
    <m/>
    <m/>
    <m/>
    <n v="0"/>
    <n v="0"/>
    <n v="0"/>
    <m/>
    <m/>
    <n v="0"/>
    <n v="0"/>
    <n v="2937.689549654413"/>
    <n v="0"/>
    <n v="-5635.5600021199498"/>
    <m/>
    <n v="0"/>
    <n v="0"/>
    <m/>
    <n v="0"/>
    <n v="-890.781701892407"/>
    <n v="-70.223586417374918"/>
    <n v="0"/>
    <n v="0"/>
    <m/>
    <m/>
    <m/>
    <n v="0"/>
    <n v="0"/>
    <n v="0"/>
    <n v="-3657.4513000000443"/>
    <m/>
    <n v="0"/>
    <m/>
    <n v="0"/>
    <m/>
    <n v="0"/>
    <n v="0"/>
    <m/>
    <n v="0"/>
    <n v="0"/>
    <n v="0"/>
    <n v="0"/>
    <n v="0"/>
    <m/>
    <m/>
    <n v="0"/>
    <n v="42383.852583041393"/>
    <m/>
    <n v="0"/>
    <m/>
    <n v="0"/>
    <m/>
    <n v="240"/>
    <m/>
    <m/>
    <m/>
    <m/>
    <n v="0"/>
    <m/>
    <m/>
    <m/>
    <m/>
    <n v="0"/>
    <n v="0"/>
    <n v="0"/>
    <n v="0"/>
  </r>
  <r>
    <n v="880"/>
    <s v="Regular"/>
    <s v="Verde"/>
    <s v="A4"/>
    <s v="Industrial"/>
    <s v="Não se aplica"/>
    <s v="Fonte incentivada"/>
    <s v="Não se aplica"/>
    <s v="Ponta"/>
    <s v="LIVRE"/>
    <x v="7"/>
    <n v="0"/>
    <n v="0"/>
    <n v="47.283999999999999"/>
    <n v="22.179641112239999"/>
    <n v="0"/>
    <n v="0"/>
    <m/>
    <n v="1358.36"/>
    <m/>
    <m/>
    <n v="64228.694239999997"/>
    <n v="64228.694239999997"/>
    <n v="54285.814719999995"/>
    <n v="0"/>
    <n v="2531.7891248871538"/>
    <n v="0"/>
    <n v="0"/>
    <n v="895.6577048575457"/>
    <n v="860.52886840499718"/>
    <n v="47686.27888118822"/>
    <m/>
    <m/>
    <m/>
    <n v="0"/>
    <n v="0"/>
    <n v="0"/>
    <n v="449.62498763305467"/>
    <m/>
    <n v="37.865681011714706"/>
    <n v="1901.3285165922528"/>
    <n v="8865.5656481255646"/>
    <n v="0"/>
    <n v="0"/>
    <m/>
    <m/>
    <n v="0"/>
    <n v="0"/>
    <n v="0"/>
    <m/>
    <m/>
    <n v="0"/>
    <m/>
    <n v="0"/>
    <n v="0"/>
    <n v="0"/>
    <n v="0"/>
    <m/>
    <n v="353.62079787081404"/>
    <n v="0"/>
    <n v="0"/>
    <n v="0"/>
    <n v="0"/>
    <n v="0"/>
    <m/>
    <n v="28821.812351859498"/>
    <m/>
    <m/>
    <m/>
    <m/>
    <m/>
    <m/>
    <m/>
    <n v="353.62079787081404"/>
    <m/>
    <m/>
    <m/>
    <m/>
    <m/>
    <m/>
    <m/>
    <m/>
    <m/>
    <m/>
    <m/>
    <m/>
    <n v="25464.414399999998"/>
    <n v="-4663.5529012223196"/>
    <m/>
    <m/>
    <m/>
    <m/>
    <n v="-9942.8795199999986"/>
    <n v="0"/>
    <n v="29"/>
    <n v="1903.1407491430546"/>
    <n v="189.46332269779919"/>
    <n v="883.43466719781463"/>
    <n v="0"/>
    <n v="0"/>
    <m/>
    <m/>
    <m/>
    <n v="886.05960936425254"/>
    <n v="0"/>
    <n v="0"/>
    <m/>
    <m/>
    <n v="0"/>
    <n v="0"/>
    <n v="44.815016660840797"/>
    <n v="0"/>
    <n v="-85.971547067621032"/>
    <m/>
    <n v="0"/>
    <n v="0"/>
    <m/>
    <n v="0"/>
    <n v="-13.589045451101697"/>
    <n v="-1.0712742589321138"/>
    <n v="0"/>
    <n v="0"/>
    <m/>
    <m/>
    <m/>
    <n v="47686.27888118822"/>
    <n v="0"/>
    <n v="0"/>
    <n v="-9942.8795200000022"/>
    <m/>
    <n v="0"/>
    <m/>
    <n v="-11846.080555746012"/>
    <m/>
    <n v="0"/>
    <n v="0"/>
    <m/>
    <n v="0"/>
    <n v="0"/>
    <n v="0"/>
    <n v="0"/>
    <n v="0"/>
    <m/>
    <m/>
    <n v="0"/>
    <n v="646.57378785415528"/>
    <m/>
    <n v="0"/>
    <m/>
    <n v="0"/>
    <m/>
    <n v="240"/>
    <m/>
    <m/>
    <m/>
    <m/>
    <n v="0"/>
    <m/>
    <m/>
    <m/>
    <m/>
    <n v="0"/>
    <n v="0"/>
    <n v="0"/>
    <n v="0"/>
  </r>
  <r>
    <n v="881"/>
    <s v="Regular"/>
    <s v="Verde"/>
    <s v="A4"/>
    <s v="Industrial"/>
    <s v="Não se aplica"/>
    <s v="Fonte incentivada"/>
    <s v="Não se aplica"/>
    <s v="Fora ponta"/>
    <s v="LIVRE"/>
    <x v="7"/>
    <n v="0"/>
    <n v="0"/>
    <n v="602.68200000000002"/>
    <n v="602.68200000000002"/>
    <n v="0"/>
    <n v="0"/>
    <m/>
    <n v="85.01"/>
    <m/>
    <m/>
    <n v="51233.996820000008"/>
    <n v="51233.996820000008"/>
    <n v="50522.832060000001"/>
    <n v="0"/>
    <n v="32270.19146783774"/>
    <n v="0"/>
    <n v="0"/>
    <n v="0"/>
    <n v="0"/>
    <n v="0"/>
    <m/>
    <m/>
    <m/>
    <n v="0"/>
    <n v="0"/>
    <n v="0"/>
    <n v="5730.9213855990329"/>
    <m/>
    <n v="482.63607908599624"/>
    <n v="0"/>
    <n v="0"/>
    <n v="0"/>
    <n v="0"/>
    <m/>
    <m/>
    <n v="0"/>
    <n v="0"/>
    <n v="0"/>
    <m/>
    <m/>
    <n v="0"/>
    <m/>
    <n v="0"/>
    <n v="0"/>
    <n v="0"/>
    <n v="0"/>
    <m/>
    <n v="4507.2517067586914"/>
    <n v="0"/>
    <n v="0"/>
    <n v="0"/>
    <n v="0"/>
    <n v="0"/>
    <m/>
    <m/>
    <m/>
    <m/>
    <m/>
    <m/>
    <m/>
    <m/>
    <m/>
    <n v="4507.2517067586914"/>
    <m/>
    <m/>
    <m/>
    <m/>
    <m/>
    <m/>
    <m/>
    <m/>
    <m/>
    <m/>
    <m/>
    <m/>
    <n v="50522.664399999994"/>
    <n v="-711.36242000001948"/>
    <m/>
    <m/>
    <m/>
    <m/>
    <n v="-711.16476000000409"/>
    <n v="0"/>
    <n v="29"/>
    <n v="-711.44173213141039"/>
    <n v="0"/>
    <n v="0"/>
    <n v="0"/>
    <n v="0"/>
    <m/>
    <m/>
    <m/>
    <n v="0"/>
    <n v="0"/>
    <n v="0"/>
    <m/>
    <m/>
    <n v="0"/>
    <n v="0"/>
    <n v="571.21233125769504"/>
    <n v="0"/>
    <n v="-1095.7935861984588"/>
    <m/>
    <n v="0"/>
    <n v="0"/>
    <m/>
    <n v="0"/>
    <n v="-173.20601240506039"/>
    <n v="-13.654464785587606"/>
    <n v="0"/>
    <n v="0"/>
    <m/>
    <m/>
    <m/>
    <n v="0"/>
    <n v="0"/>
    <n v="0"/>
    <n v="-711.16476000000694"/>
    <m/>
    <n v="0"/>
    <m/>
    <n v="0"/>
    <m/>
    <n v="0"/>
    <n v="0"/>
    <m/>
    <n v="0"/>
    <n v="0"/>
    <n v="0"/>
    <n v="0"/>
    <n v="0"/>
    <m/>
    <m/>
    <n v="0"/>
    <n v="8241.2313596886488"/>
    <m/>
    <n v="0"/>
    <m/>
    <n v="0"/>
    <m/>
    <n v="240"/>
    <m/>
    <m/>
    <m/>
    <m/>
    <n v="0"/>
    <m/>
    <m/>
    <m/>
    <m/>
    <n v="0"/>
    <n v="0"/>
    <n v="0"/>
    <n v="0"/>
  </r>
  <r>
    <n v="882"/>
    <s v="Regular"/>
    <s v="Verde"/>
    <s v="A4"/>
    <s v="Industrial"/>
    <s v="Não se aplica"/>
    <s v="Fonte incentivada"/>
    <s v="Não se aplica"/>
    <s v="Não se aplica"/>
    <s v="LIVRE"/>
    <x v="7"/>
    <n v="2931"/>
    <n v="1505.9995321500001"/>
    <n v="0"/>
    <n v="0"/>
    <n v="0"/>
    <n v="0"/>
    <n v="27.19"/>
    <m/>
    <m/>
    <n v="79693.89"/>
    <m/>
    <n v="79693.89"/>
    <n v="63778.560000000005"/>
    <n v="0"/>
    <n v="0"/>
    <n v="0"/>
    <n v="0"/>
    <n v="683.51099795619007"/>
    <n v="656.64611419471282"/>
    <n v="70144.780642700498"/>
    <m/>
    <m/>
    <m/>
    <n v="0"/>
    <n v="0"/>
    <n v="0"/>
    <n v="0"/>
    <m/>
    <n v="0"/>
    <n v="1450.50743992615"/>
    <n v="6765.0083988666775"/>
    <n v="0"/>
    <n v="0"/>
    <m/>
    <m/>
    <n v="0"/>
    <n v="0"/>
    <n v="0"/>
    <m/>
    <m/>
    <n v="0"/>
    <m/>
    <n v="0"/>
    <n v="0"/>
    <n v="0"/>
    <n v="0"/>
    <m/>
    <n v="0"/>
    <n v="0"/>
    <n v="1137.46"/>
    <n v="0"/>
    <n v="37351.480000000003"/>
    <n v="5"/>
    <m/>
    <n v="31008.010180416"/>
    <m/>
    <m/>
    <m/>
    <m/>
    <m/>
    <m/>
    <m/>
    <n v="0"/>
    <m/>
    <m/>
    <m/>
    <m/>
    <m/>
    <m/>
    <m/>
    <m/>
    <m/>
    <m/>
    <m/>
    <m/>
    <n v="32770.560000000005"/>
    <n v="-8177.5972791585009"/>
    <m/>
    <m/>
    <m/>
    <m/>
    <n v="-15915.33"/>
    <n v="0"/>
    <n v="29"/>
    <n v="1494.7865195790509"/>
    <n v="144.53996601220979"/>
    <n v="674.11862712975471"/>
    <n v="0"/>
    <n v="0"/>
    <m/>
    <m/>
    <m/>
    <n v="676.12792643708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144.780642700498"/>
    <m/>
    <n v="0"/>
    <n v="0"/>
    <n v="-15915.329999999994"/>
    <m/>
    <n v="0"/>
    <m/>
    <n v="-17425.15334712671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83"/>
    <s v="Regular"/>
    <s v="Geração"/>
    <s v="A3"/>
    <s v="Não se aplica"/>
    <s v="Não se aplica"/>
    <s v="Não se aplica"/>
    <s v="RASTRO DE AUTO"/>
    <s v="Não se aplica"/>
    <s v="GERAÇÃO"/>
    <x v="7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270.37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29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84"/>
    <s v="Regular"/>
    <s v="Azul"/>
    <s v="A4"/>
    <s v="Industrial"/>
    <s v="Não se aplica"/>
    <s v="Fonte incentivada"/>
    <s v="Não se aplica"/>
    <s v="Ponta"/>
    <s v="LIVRE"/>
    <x v="8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31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85"/>
    <s v="Regular"/>
    <s v="Azul"/>
    <s v="A4"/>
    <s v="Industrial"/>
    <s v="Não se aplica"/>
    <s v="Fonte incentivada"/>
    <s v="Não se aplica"/>
    <s v="Fora ponta"/>
    <s v="LIVRE"/>
    <x v="8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31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86"/>
    <s v="Regular"/>
    <s v="Azul"/>
    <s v="A4"/>
    <s v="Industrial"/>
    <s v="Não se aplica"/>
    <s v="Fonte incentivada"/>
    <s v="Não se aplica"/>
    <s v="Não se aplica"/>
    <s v="LIVRE"/>
    <x v="8"/>
    <n v="0"/>
    <n v="0"/>
    <n v="3383.4169999999999"/>
    <n v="3383.4169999999999"/>
    <n v="0"/>
    <n v="0"/>
    <m/>
    <n v="85.01"/>
    <m/>
    <m/>
    <n v="287624.27916999999"/>
    <n v="287624.27916999999"/>
    <n v="283631.84710999997"/>
    <n v="0"/>
    <n v="181162.7266212317"/>
    <n v="0"/>
    <n v="0"/>
    <n v="0"/>
    <n v="0"/>
    <n v="0"/>
    <m/>
    <m/>
    <m/>
    <n v="0"/>
    <n v="0"/>
    <n v="0"/>
    <n v="32173.014693817506"/>
    <m/>
    <n v="2709.4871172407738"/>
    <n v="0"/>
    <n v="0"/>
    <n v="0"/>
    <n v="0"/>
    <m/>
    <m/>
    <n v="0"/>
    <n v="0"/>
    <n v="0"/>
    <m/>
    <m/>
    <n v="0"/>
    <m/>
    <n v="0"/>
    <n v="0"/>
    <n v="0"/>
    <n v="0"/>
    <m/>
    <n v="25303.413820101432"/>
    <n v="0"/>
    <n v="6730.08"/>
    <n v="0"/>
    <n v="151006.29999999999"/>
    <n v="2"/>
    <m/>
    <m/>
    <m/>
    <m/>
    <m/>
    <m/>
    <m/>
    <m/>
    <m/>
    <n v="25303.413820101432"/>
    <m/>
    <m/>
    <m/>
    <m/>
    <m/>
    <m/>
    <m/>
    <m/>
    <m/>
    <m/>
    <m/>
    <m/>
    <n v="283632.09860000003"/>
    <n v="-3992.2105699999956"/>
    <m/>
    <m/>
    <m/>
    <m/>
    <n v="-3992.4320600000228"/>
    <n v="0"/>
    <n v="31"/>
    <n v="-3993.9869632789632"/>
    <n v="0"/>
    <n v="0"/>
    <n v="0"/>
    <n v="0"/>
    <m/>
    <m/>
    <m/>
    <n v="0"/>
    <n v="0"/>
    <n v="0"/>
    <m/>
    <m/>
    <n v="0"/>
    <n v="0"/>
    <n v="3206.7483551639452"/>
    <n v="0"/>
    <n v="-6151.7129232909647"/>
    <m/>
    <n v="0"/>
    <n v="0"/>
    <m/>
    <n v="0"/>
    <n v="-972.36713038300877"/>
    <n v="-76.655264768913639"/>
    <n v="0"/>
    <n v="0"/>
    <m/>
    <m/>
    <m/>
    <n v="0"/>
    <n v="0"/>
    <n v="0"/>
    <n v="-3992.432060000021"/>
    <m/>
    <n v="0"/>
    <m/>
    <n v="0"/>
    <m/>
    <n v="0"/>
    <n v="0"/>
    <m/>
    <n v="0"/>
    <n v="0"/>
    <n v="0"/>
    <n v="0"/>
    <n v="0"/>
    <m/>
    <m/>
    <n v="0"/>
    <n v="46265.72932874001"/>
    <m/>
    <n v="0"/>
    <m/>
    <n v="0"/>
    <m/>
    <n v="240"/>
    <m/>
    <m/>
    <m/>
    <m/>
    <n v="0"/>
    <m/>
    <m/>
    <m/>
    <m/>
    <n v="0"/>
    <n v="0"/>
    <n v="0"/>
    <n v="0"/>
  </r>
  <r>
    <n v="887"/>
    <s v="Regular"/>
    <s v="Verde"/>
    <s v="A4"/>
    <s v="Industrial"/>
    <s v="Não se aplica"/>
    <s v="Fonte incentivada"/>
    <s v="Não se aplica"/>
    <s v="Ponta"/>
    <s v="LIVRE"/>
    <x v="8"/>
    <n v="0"/>
    <n v="0"/>
    <n v="47.040999999999997"/>
    <n v="22.089724464500001"/>
    <n v="0"/>
    <n v="0"/>
    <m/>
    <n v="1358.36"/>
    <m/>
    <m/>
    <n v="63898.612759999989"/>
    <n v="63898.612759999989"/>
    <n v="54006.831279999991"/>
    <n v="0"/>
    <n v="2518.7778577069748"/>
    <n v="0"/>
    <n v="0"/>
    <n v="891.05477739201001"/>
    <n v="856.10647361981796"/>
    <n v="47441.211506005733"/>
    <m/>
    <m/>
    <m/>
    <n v="0"/>
    <n v="0"/>
    <n v="0"/>
    <n v="447.31429327566457"/>
    <m/>
    <n v="37.671083251672272"/>
    <n v="1891.5572867992589"/>
    <n v="8820.0040955391814"/>
    <n v="0"/>
    <n v="0"/>
    <m/>
    <m/>
    <n v="0"/>
    <n v="0"/>
    <n v="0"/>
    <m/>
    <m/>
    <n v="0"/>
    <m/>
    <n v="0"/>
    <n v="0"/>
    <n v="0"/>
    <n v="0"/>
    <m/>
    <n v="351.8034843211438"/>
    <n v="0"/>
    <n v="0"/>
    <n v="0"/>
    <n v="0"/>
    <n v="0"/>
    <m/>
    <n v="28646.060416796834"/>
    <m/>
    <m/>
    <m/>
    <m/>
    <m/>
    <m/>
    <m/>
    <n v="351.8034843211438"/>
    <m/>
    <m/>
    <m/>
    <m/>
    <m/>
    <m/>
    <m/>
    <m/>
    <m/>
    <m/>
    <m/>
    <m/>
    <n v="25361.087199999998"/>
    <n v="-4644.7409235982159"/>
    <m/>
    <m/>
    <m/>
    <m/>
    <n v="-9891.7814799999978"/>
    <n v="0"/>
    <n v="31"/>
    <n v="1893.3602059986115"/>
    <n v="188.48964053437044"/>
    <n v="878.89455586778604"/>
    <n v="0"/>
    <n v="0"/>
    <m/>
    <m/>
    <m/>
    <n v="881.50600803874045"/>
    <n v="0"/>
    <n v="0"/>
    <m/>
    <m/>
    <n v="0"/>
    <n v="0"/>
    <n v="44.584705159094256"/>
    <n v="0"/>
    <n v="-85.529725607138971"/>
    <m/>
    <n v="0"/>
    <n v="0"/>
    <m/>
    <n v="0"/>
    <n v="-13.519209184190743"/>
    <n v="-1.0657688100504572"/>
    <n v="0"/>
    <n v="0"/>
    <m/>
    <m/>
    <m/>
    <n v="47441.211506005733"/>
    <n v="0"/>
    <n v="0"/>
    <n v="-9891.7814799999978"/>
    <m/>
    <n v="0"/>
    <m/>
    <n v="-11785.201662779131"/>
    <m/>
    <n v="0"/>
    <n v="0"/>
    <m/>
    <n v="0"/>
    <n v="0"/>
    <n v="0"/>
    <n v="0"/>
    <n v="0"/>
    <m/>
    <m/>
    <n v="0"/>
    <n v="643.25094227322813"/>
    <m/>
    <n v="0"/>
    <m/>
    <n v="0"/>
    <m/>
    <n v="240"/>
    <m/>
    <m/>
    <m/>
    <m/>
    <n v="0"/>
    <m/>
    <m/>
    <m/>
    <m/>
    <n v="0"/>
    <n v="0"/>
    <n v="0"/>
    <n v="0"/>
  </r>
  <r>
    <n v="888"/>
    <s v="Regular"/>
    <s v="Verde"/>
    <s v="A4"/>
    <s v="Industrial"/>
    <s v="Não se aplica"/>
    <s v="Fonte incentivada"/>
    <s v="Não se aplica"/>
    <s v="Fora ponta"/>
    <s v="LIVRE"/>
    <x v="8"/>
    <n v="0"/>
    <n v="0"/>
    <n v="643.06799999999998"/>
    <n v="643.06799999999998"/>
    <n v="0"/>
    <n v="0"/>
    <m/>
    <n v="85.01"/>
    <m/>
    <m/>
    <n v="54667.210680000004"/>
    <n v="54667.210680000004"/>
    <n v="53908.390439999996"/>
    <n v="0"/>
    <n v="34432.631946597838"/>
    <n v="0"/>
    <n v="0"/>
    <n v="0"/>
    <n v="0"/>
    <n v="0"/>
    <m/>
    <m/>
    <m/>
    <n v="0"/>
    <n v="0"/>
    <n v="0"/>
    <n v="6114.9530823790965"/>
    <m/>
    <n v="514.97774631675316"/>
    <n v="0"/>
    <n v="0"/>
    <n v="0"/>
    <n v="0"/>
    <m/>
    <m/>
    <n v="0"/>
    <n v="0"/>
    <n v="0"/>
    <m/>
    <m/>
    <n v="0"/>
    <m/>
    <n v="0"/>
    <n v="0"/>
    <n v="0"/>
    <n v="0"/>
    <m/>
    <n v="4809.284731519936"/>
    <n v="0"/>
    <n v="0"/>
    <n v="0"/>
    <n v="0"/>
    <n v="0"/>
    <m/>
    <m/>
    <m/>
    <m/>
    <m/>
    <m/>
    <m/>
    <m/>
    <m/>
    <n v="4809.284731519936"/>
    <m/>
    <m/>
    <m/>
    <m/>
    <m/>
    <m/>
    <m/>
    <m/>
    <m/>
    <m/>
    <m/>
    <m/>
    <n v="53908.558100000002"/>
    <n v="-758.68258000000787"/>
    <m/>
    <m/>
    <m/>
    <m/>
    <n v="-758.82024000000433"/>
    <n v="0"/>
    <n v="31"/>
    <n v="-759.11577216225851"/>
    <n v="0"/>
    <n v="0"/>
    <n v="0"/>
    <n v="0"/>
    <m/>
    <m/>
    <m/>
    <n v="0"/>
    <n v="0"/>
    <n v="0"/>
    <m/>
    <m/>
    <n v="0"/>
    <n v="0"/>
    <n v="609.48953417759822"/>
    <n v="0"/>
    <n v="-1169.223222013381"/>
    <m/>
    <n v="0"/>
    <n v="0"/>
    <m/>
    <n v="0"/>
    <n v="-184.81262753043484"/>
    <n v="-14.569456796018926"/>
    <n v="0"/>
    <n v="0"/>
    <m/>
    <m/>
    <m/>
    <n v="0"/>
    <n v="0"/>
    <n v="0"/>
    <n v="-758.8202400000082"/>
    <m/>
    <n v="0"/>
    <m/>
    <n v="0"/>
    <m/>
    <n v="0"/>
    <n v="0"/>
    <m/>
    <n v="0"/>
    <n v="0"/>
    <n v="0"/>
    <n v="0"/>
    <n v="0"/>
    <m/>
    <m/>
    <n v="0"/>
    <n v="8793.4800906817509"/>
    <m/>
    <n v="0"/>
    <m/>
    <n v="0"/>
    <m/>
    <n v="240"/>
    <m/>
    <m/>
    <m/>
    <m/>
    <n v="0"/>
    <m/>
    <m/>
    <m/>
    <m/>
    <n v="0"/>
    <n v="0"/>
    <n v="0"/>
    <n v="0"/>
  </r>
  <r>
    <n v="889"/>
    <s v="Regular"/>
    <s v="Verde"/>
    <s v="A4"/>
    <s v="Industrial"/>
    <s v="Não se aplica"/>
    <s v="Fonte incentivada"/>
    <s v="Não se aplica"/>
    <s v="Não se aplica"/>
    <s v="LIVRE"/>
    <x v="8"/>
    <n v="2928"/>
    <n v="1502.99955456"/>
    <n v="0"/>
    <n v="0"/>
    <n v="0"/>
    <n v="0"/>
    <n v="27.19"/>
    <m/>
    <m/>
    <n v="79612.320000000007"/>
    <m/>
    <n v="79612.320000000007"/>
    <n v="63713.280000000006"/>
    <n v="0"/>
    <n v="0"/>
    <n v="0"/>
    <n v="0"/>
    <n v="682.81139611590743"/>
    <n v="655.97400967660155"/>
    <n v="70072.984551971007"/>
    <m/>
    <m/>
    <m/>
    <n v="0"/>
    <n v="0"/>
    <n v="0"/>
    <n v="0"/>
    <m/>
    <n v="0"/>
    <n v="1449.0227854328787"/>
    <n v="6758.0841323376426"/>
    <n v="0"/>
    <n v="0"/>
    <m/>
    <m/>
    <n v="0"/>
    <n v="0"/>
    <n v="0"/>
    <m/>
    <m/>
    <n v="0"/>
    <m/>
    <n v="0"/>
    <n v="0"/>
    <n v="0"/>
    <n v="0"/>
    <m/>
    <n v="0"/>
    <n v="0"/>
    <n v="1418.99"/>
    <n v="0"/>
    <n v="37473.620000000003"/>
    <n v="5"/>
    <m/>
    <n v="31008.009692774402"/>
    <m/>
    <m/>
    <m/>
    <m/>
    <m/>
    <m/>
    <m/>
    <n v="0"/>
    <m/>
    <m/>
    <m/>
    <m/>
    <m/>
    <m/>
    <m/>
    <m/>
    <m/>
    <m/>
    <m/>
    <m/>
    <n v="32705.280000000002"/>
    <n v="-8161.3078884864044"/>
    <m/>
    <m/>
    <m/>
    <m/>
    <n v="-15899.039999999999"/>
    <n v="0"/>
    <n v="31"/>
    <n v="1493.256543612235"/>
    <n v="144.39202336531912"/>
    <n v="673.4286387703587"/>
    <n v="0"/>
    <n v="0"/>
    <m/>
    <m/>
    <m/>
    <n v="675.435881476556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072.984551971007"/>
    <m/>
    <n v="0"/>
    <n v="0"/>
    <n v="-15899.04"/>
    <m/>
    <n v="0"/>
    <m/>
    <n v="-17407.317980343563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90"/>
    <s v="Regular"/>
    <s v="Geração"/>
    <s v="A3"/>
    <s v="Não se aplica"/>
    <s v="Não se aplica"/>
    <s v="Não se aplica"/>
    <s v="RASTRO DE AUTO"/>
    <s v="Não se aplica"/>
    <s v="GERAÇÃO"/>
    <x v="8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331.4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1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91"/>
    <s v="Regular"/>
    <s v="Azul"/>
    <s v="A4"/>
    <s v="Industrial"/>
    <s v="Não se aplica"/>
    <s v="Fonte incentivada"/>
    <s v="Não se aplica"/>
    <s v="Ponta"/>
    <s v="LIVRE"/>
    <x v="9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30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92"/>
    <s v="Regular"/>
    <s v="Azul"/>
    <s v="A4"/>
    <s v="Industrial"/>
    <s v="Não se aplica"/>
    <s v="Fonte incentivada"/>
    <s v="Não se aplica"/>
    <s v="Fora ponta"/>
    <s v="LIVRE"/>
    <x v="9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30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93"/>
    <s v="Regular"/>
    <s v="Azul"/>
    <s v="A4"/>
    <s v="Industrial"/>
    <s v="Não se aplica"/>
    <s v="Fonte incentivada"/>
    <s v="Não se aplica"/>
    <s v="Não se aplica"/>
    <s v="LIVRE"/>
    <x v="9"/>
    <n v="0"/>
    <n v="0"/>
    <n v="3181.4549999999999"/>
    <n v="3181.4549999999999"/>
    <n v="0"/>
    <n v="0"/>
    <m/>
    <n v="85.01"/>
    <m/>
    <m/>
    <n v="270455.48955"/>
    <n v="270455.48955"/>
    <n v="266701.37264999998"/>
    <n v="0"/>
    <n v="170348.81080953093"/>
    <n v="0"/>
    <n v="0"/>
    <n v="0"/>
    <n v="0"/>
    <n v="0"/>
    <m/>
    <m/>
    <m/>
    <n v="0"/>
    <n v="0"/>
    <n v="0"/>
    <n v="30252.55192094831"/>
    <m/>
    <n v="2547.7531550445146"/>
    <n v="0"/>
    <n v="0"/>
    <n v="0"/>
    <n v="0"/>
    <m/>
    <m/>
    <n v="0"/>
    <n v="0"/>
    <n v="0"/>
    <m/>
    <m/>
    <n v="0"/>
    <m/>
    <n v="0"/>
    <n v="0"/>
    <n v="0"/>
    <n v="0"/>
    <m/>
    <n v="23793.009379284551"/>
    <n v="0"/>
    <n v="6587.91"/>
    <n v="0"/>
    <n v="147357.07999999999"/>
    <n v="2"/>
    <m/>
    <m/>
    <m/>
    <m/>
    <m/>
    <m/>
    <m/>
    <m/>
    <m/>
    <n v="23793.009379284551"/>
    <m/>
    <m/>
    <m/>
    <m/>
    <m/>
    <m/>
    <m/>
    <m/>
    <m/>
    <m/>
    <m/>
    <m/>
    <n v="266701.79180000001"/>
    <n v="-3753.72775000002"/>
    <m/>
    <m/>
    <m/>
    <m/>
    <n v="-3754.1169000000218"/>
    <n v="0"/>
    <n v="30"/>
    <n v="-3755.5789884186233"/>
    <n v="0"/>
    <n v="0"/>
    <n v="0"/>
    <n v="0"/>
    <m/>
    <m/>
    <m/>
    <n v="0"/>
    <n v="0"/>
    <n v="0"/>
    <m/>
    <m/>
    <n v="0"/>
    <n v="0"/>
    <n v="3015.332011477778"/>
    <n v="0"/>
    <n v="-5784.5065619663801"/>
    <m/>
    <n v="0"/>
    <n v="0"/>
    <m/>
    <n v="0"/>
    <n v="-914.32485821069713"/>
    <n v="-72.079579719374124"/>
    <n v="0"/>
    <n v="0"/>
    <m/>
    <m/>
    <m/>
    <n v="0"/>
    <n v="0"/>
    <n v="0"/>
    <n v="-3754.1169000000227"/>
    <m/>
    <n v="0"/>
    <m/>
    <n v="0"/>
    <m/>
    <n v="0"/>
    <n v="0"/>
    <m/>
    <n v="0"/>
    <n v="0"/>
    <n v="0"/>
    <n v="0"/>
    <n v="0"/>
    <m/>
    <m/>
    <n v="0"/>
    <n v="43504.048097401697"/>
    <m/>
    <n v="0"/>
    <m/>
    <n v="0"/>
    <m/>
    <n v="240"/>
    <m/>
    <m/>
    <m/>
    <m/>
    <n v="0"/>
    <m/>
    <m/>
    <m/>
    <m/>
    <n v="0"/>
    <n v="0"/>
    <n v="0"/>
    <n v="0"/>
  </r>
  <r>
    <n v="894"/>
    <s v="Regular"/>
    <s v="Verde"/>
    <s v="A4"/>
    <s v="Industrial"/>
    <s v="Não se aplica"/>
    <s v="Fonte incentivada"/>
    <s v="Não se aplica"/>
    <s v="Ponta"/>
    <s v="LIVRE"/>
    <x v="9"/>
    <n v="0"/>
    <n v="0"/>
    <n v="39.43"/>
    <n v="18.5013430228"/>
    <n v="0"/>
    <n v="0"/>
    <m/>
    <n v="1358.36"/>
    <m/>
    <m/>
    <n v="53560.134799999993"/>
    <n v="53560.134799999993"/>
    <n v="45268.794399999999"/>
    <n v="0"/>
    <n v="2111.2521189895201"/>
    <n v="0"/>
    <n v="0"/>
    <n v="746.88654307023569"/>
    <n v="717.59270115068614"/>
    <n v="39765.459273438195"/>
    <m/>
    <m/>
    <m/>
    <n v="0"/>
    <n v="0"/>
    <n v="0"/>
    <n v="374.94106383494091"/>
    <m/>
    <n v="31.576089211824527"/>
    <n v="1585.5127190853677"/>
    <n v="7392.9712694693981"/>
    <n v="0"/>
    <n v="0"/>
    <m/>
    <m/>
    <n v="0"/>
    <n v="0"/>
    <n v="0"/>
    <m/>
    <m/>
    <n v="0"/>
    <m/>
    <n v="0"/>
    <n v="0"/>
    <n v="0"/>
    <n v="0"/>
    <m/>
    <n v="294.88342906789188"/>
    <n v="0"/>
    <n v="0"/>
    <n v="0"/>
    <n v="0"/>
    <n v="0"/>
    <m/>
    <n v="24027.772502383774"/>
    <m/>
    <m/>
    <m/>
    <m/>
    <m/>
    <m/>
    <m/>
    <n v="294.88342906789188"/>
    <m/>
    <m/>
    <m/>
    <m/>
    <m/>
    <m/>
    <m/>
    <m/>
    <m/>
    <m/>
    <m/>
    <m/>
    <n v="21239.48"/>
    <n v="-3892.0343084506021"/>
    <m/>
    <m/>
    <m/>
    <m/>
    <n v="-8291.3403999999991"/>
    <n v="0"/>
    <n v="30"/>
    <n v="1587.0239349190124"/>
    <n v="157.99295351438582"/>
    <n v="736.69378495072033"/>
    <n v="0"/>
    <n v="0"/>
    <m/>
    <m/>
    <m/>
    <n v="738.88271713967663"/>
    <n v="0"/>
    <n v="0"/>
    <m/>
    <m/>
    <n v="0"/>
    <n v="0"/>
    <n v="37.371121456242122"/>
    <n v="0"/>
    <n v="-71.691441097967299"/>
    <m/>
    <n v="0"/>
    <n v="0"/>
    <m/>
    <n v="0"/>
    <n v="-11.331868330448742"/>
    <n v="-0.89333271359642197"/>
    <n v="0"/>
    <n v="0"/>
    <m/>
    <m/>
    <m/>
    <n v="39765.459273438195"/>
    <n v="0"/>
    <n v="0"/>
    <n v="-8291.3403999999937"/>
    <m/>
    <n v="0"/>
    <m/>
    <n v="-9878.4146077545338"/>
    <m/>
    <n v="0"/>
    <n v="0"/>
    <m/>
    <n v="0"/>
    <n v="0"/>
    <n v="0"/>
    <n v="0"/>
    <n v="0"/>
    <m/>
    <m/>
    <n v="0"/>
    <n v="539.17613685579363"/>
    <m/>
    <n v="0"/>
    <m/>
    <n v="0"/>
    <m/>
    <n v="240"/>
    <m/>
    <m/>
    <m/>
    <m/>
    <n v="0"/>
    <m/>
    <m/>
    <m/>
    <m/>
    <n v="0"/>
    <n v="0"/>
    <n v="0"/>
    <n v="0"/>
  </r>
  <r>
    <n v="895"/>
    <s v="Regular"/>
    <s v="Verde"/>
    <s v="A4"/>
    <s v="Industrial"/>
    <s v="Não se aplica"/>
    <s v="Fonte incentivada"/>
    <s v="Não se aplica"/>
    <s v="Fora ponta"/>
    <s v="LIVRE"/>
    <x v="9"/>
    <n v="0"/>
    <n v="0"/>
    <n v="548.78399999999999"/>
    <n v="548.78399999999999"/>
    <n v="0"/>
    <n v="0"/>
    <m/>
    <n v="85.01"/>
    <m/>
    <m/>
    <n v="46652.127840000001"/>
    <n v="46652.127840000001"/>
    <n v="46004.562720000002"/>
    <n v="0"/>
    <n v="29384.260280688432"/>
    <n v="0"/>
    <n v="0"/>
    <n v="0"/>
    <n v="0"/>
    <n v="0"/>
    <m/>
    <m/>
    <m/>
    <n v="0"/>
    <n v="0"/>
    <n v="0"/>
    <n v="5218.4036717117478"/>
    <m/>
    <n v="439.47381542028688"/>
    <n v="0"/>
    <n v="0"/>
    <n v="0"/>
    <n v="0"/>
    <m/>
    <m/>
    <n v="0"/>
    <n v="0"/>
    <n v="0"/>
    <m/>
    <m/>
    <n v="0"/>
    <m/>
    <n v="0"/>
    <n v="0"/>
    <n v="0"/>
    <n v="0"/>
    <m/>
    <n v="4104.1670742478818"/>
    <n v="0"/>
    <n v="0"/>
    <n v="0"/>
    <n v="0"/>
    <n v="0"/>
    <m/>
    <m/>
    <m/>
    <m/>
    <m/>
    <m/>
    <m/>
    <m/>
    <m/>
    <n v="4104.1670742478818"/>
    <m/>
    <m/>
    <m/>
    <m/>
    <m/>
    <m/>
    <m/>
    <m/>
    <m/>
    <m/>
    <m/>
    <m/>
    <n v="46004.227399999996"/>
    <n v="-647.930440000011"/>
    <m/>
    <m/>
    <m/>
    <m/>
    <n v="-647.56512000000373"/>
    <n v="0"/>
    <n v="30"/>
    <n v="-647.81732244533487"/>
    <n v="0"/>
    <n v="0"/>
    <n v="0"/>
    <n v="0"/>
    <m/>
    <m/>
    <m/>
    <n v="0"/>
    <n v="0"/>
    <n v="0"/>
    <m/>
    <m/>
    <n v="0"/>
    <n v="0"/>
    <n v="520.12867149993326"/>
    <n v="0"/>
    <n v="-997.79649534635973"/>
    <m/>
    <n v="0"/>
    <n v="0"/>
    <m/>
    <n v="0"/>
    <n v="-157.716155968983"/>
    <n v="-12.433342629934032"/>
    <n v="0"/>
    <n v="0"/>
    <m/>
    <m/>
    <m/>
    <n v="0"/>
    <n v="0"/>
    <n v="0"/>
    <n v="-647.5651199999993"/>
    <m/>
    <n v="0"/>
    <m/>
    <n v="0"/>
    <m/>
    <n v="0"/>
    <n v="0"/>
    <m/>
    <n v="0"/>
    <n v="0"/>
    <n v="0"/>
    <n v="0"/>
    <n v="0"/>
    <m/>
    <m/>
    <n v="0"/>
    <n v="7504.2160052820145"/>
    <m/>
    <n v="0"/>
    <m/>
    <n v="0"/>
    <m/>
    <n v="240"/>
    <m/>
    <m/>
    <m/>
    <m/>
    <n v="0"/>
    <m/>
    <m/>
    <m/>
    <m/>
    <n v="0"/>
    <n v="0"/>
    <n v="0"/>
    <n v="0"/>
  </r>
  <r>
    <n v="896"/>
    <s v="Regular"/>
    <s v="Verde"/>
    <s v="A4"/>
    <s v="Industrial"/>
    <s v="Não se aplica"/>
    <s v="Fonte incentivada"/>
    <s v="Não se aplica"/>
    <s v="Não se aplica"/>
    <s v="LIVRE"/>
    <x v="9"/>
    <n v="2949"/>
    <n v="1513.49955183"/>
    <n v="0"/>
    <n v="0"/>
    <n v="0"/>
    <n v="0"/>
    <n v="27.19"/>
    <m/>
    <m/>
    <n v="80183.31"/>
    <m/>
    <n v="80183.31"/>
    <n v="64170.240000000005"/>
    <n v="0"/>
    <n v="0"/>
    <n v="0"/>
    <n v="0"/>
    <n v="687.70860899788624"/>
    <n v="660.67874130338043"/>
    <n v="70575.557187077357"/>
    <m/>
    <m/>
    <m/>
    <n v="0"/>
    <n v="0"/>
    <n v="0"/>
    <n v="0"/>
    <m/>
    <n v="0"/>
    <n v="1459.4153668857782"/>
    <n v="6806.5539980408839"/>
    <n v="0"/>
    <n v="0"/>
    <m/>
    <m/>
    <n v="0"/>
    <n v="0"/>
    <n v="0"/>
    <m/>
    <m/>
    <n v="0"/>
    <m/>
    <n v="0"/>
    <n v="0"/>
    <n v="0"/>
    <n v="0"/>
    <m/>
    <n v="0"/>
    <n v="0"/>
    <n v="1285.81"/>
    <n v="0"/>
    <n v="33411.32"/>
    <n v="5"/>
    <m/>
    <n v="31236.489752179205"/>
    <m/>
    <m/>
    <m/>
    <m/>
    <m/>
    <m/>
    <m/>
    <n v="0"/>
    <m/>
    <m/>
    <m/>
    <m/>
    <m/>
    <m/>
    <m/>
    <m/>
    <m/>
    <m/>
    <m/>
    <m/>
    <n v="32933.760000000002"/>
    <n v="-8218.3228142577063"/>
    <m/>
    <m/>
    <m/>
    <m/>
    <n v="-16013.07"/>
    <n v="0"/>
    <n v="30"/>
    <n v="1503.9663753799468"/>
    <n v="145.42762189355426"/>
    <n v="678.25855728612987"/>
    <n v="0"/>
    <n v="0"/>
    <m/>
    <m/>
    <m/>
    <n v="680.280196200261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575.557187077357"/>
    <m/>
    <n v="0"/>
    <n v="0"/>
    <n v="-16013.069999999992"/>
    <m/>
    <n v="0"/>
    <m/>
    <n v="-17532.1655478255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97"/>
    <s v="Regular"/>
    <s v="Geração"/>
    <s v="A3"/>
    <s v="Não se aplica"/>
    <s v="Não se aplica"/>
    <s v="Não se aplica"/>
    <s v="RASTRO DE AUTO"/>
    <s v="Não se aplica"/>
    <s v="GERAÇÃO"/>
    <x v="9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331.4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0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98"/>
    <s v="Regular"/>
    <s v="Azul"/>
    <s v="A4"/>
    <s v="Industrial"/>
    <s v="Não se aplica"/>
    <s v="Fonte incentivada"/>
    <s v="Não se aplica"/>
    <s v="Ponta"/>
    <s v="LIVRE"/>
    <x v="10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31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899"/>
    <s v="Regular"/>
    <s v="Azul"/>
    <s v="A4"/>
    <s v="Industrial"/>
    <s v="Não se aplica"/>
    <s v="Fonte incentivada"/>
    <s v="Não se aplica"/>
    <s v="Fora ponta"/>
    <s v="LIVRE"/>
    <x v="10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31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900"/>
    <s v="Regular"/>
    <s v="Azul"/>
    <s v="A4"/>
    <s v="Industrial"/>
    <s v="Não se aplica"/>
    <s v="Fonte incentivada"/>
    <s v="Não se aplica"/>
    <s v="Não se aplica"/>
    <s v="LIVRE"/>
    <x v="10"/>
    <n v="0"/>
    <n v="0"/>
    <n v="3143.7820000000002"/>
    <n v="3143.7820000000002"/>
    <n v="0"/>
    <n v="0"/>
    <m/>
    <n v="85.01"/>
    <m/>
    <m/>
    <n v="267252.90782000002"/>
    <n v="267252.90782000002"/>
    <n v="263543.24505999999"/>
    <n v="0"/>
    <n v="168331.63604212814"/>
    <n v="0"/>
    <n v="0"/>
    <n v="0"/>
    <n v="0"/>
    <n v="0"/>
    <m/>
    <m/>
    <m/>
    <n v="0"/>
    <n v="0"/>
    <n v="0"/>
    <n v="29894.318223310634"/>
    <m/>
    <n v="2517.5840957273181"/>
    <n v="0"/>
    <n v="0"/>
    <n v="0"/>
    <n v="0"/>
    <m/>
    <m/>
    <n v="0"/>
    <n v="0"/>
    <n v="0"/>
    <m/>
    <m/>
    <n v="0"/>
    <m/>
    <n v="0"/>
    <n v="0"/>
    <n v="0"/>
    <n v="0"/>
    <m/>
    <n v="23511.265949833003"/>
    <n v="0"/>
    <n v="7774.24"/>
    <n v="0"/>
    <n v="141865.92000000001"/>
    <n v="2"/>
    <m/>
    <m/>
    <m/>
    <m/>
    <m/>
    <m/>
    <m/>
    <m/>
    <m/>
    <n v="23511.265949833003"/>
    <m/>
    <m/>
    <m/>
    <m/>
    <m/>
    <m/>
    <m/>
    <m/>
    <m/>
    <m/>
    <m/>
    <m/>
    <n v="263543.07740000001"/>
    <n v="-3709.8604200000409"/>
    <m/>
    <m/>
    <m/>
    <m/>
    <n v="-3709.6627600000215"/>
    <n v="0"/>
    <n v="31"/>
    <n v="-3711.1075351903564"/>
    <n v="0"/>
    <n v="0"/>
    <n v="0"/>
    <n v="0"/>
    <m/>
    <m/>
    <m/>
    <n v="0"/>
    <n v="0"/>
    <n v="0"/>
    <m/>
    <m/>
    <n v="0"/>
    <n v="0"/>
    <n v="2979.6261464353993"/>
    <n v="0"/>
    <n v="-5716.0096900291974"/>
    <m/>
    <n v="0"/>
    <n v="0"/>
    <m/>
    <n v="0"/>
    <n v="-903.497937703145"/>
    <n v="-71.22605389337059"/>
    <n v="0"/>
    <n v="0"/>
    <m/>
    <m/>
    <m/>
    <n v="0"/>
    <n v="0"/>
    <n v="0"/>
    <n v="-3709.6627600000356"/>
    <m/>
    <n v="0"/>
    <m/>
    <n v="0"/>
    <m/>
    <n v="0"/>
    <n v="0"/>
    <m/>
    <n v="0"/>
    <n v="0"/>
    <n v="0"/>
    <n v="0"/>
    <n v="0"/>
    <m/>
    <m/>
    <n v="0"/>
    <n v="42988.897638264789"/>
    <m/>
    <n v="0"/>
    <m/>
    <n v="0"/>
    <m/>
    <n v="240"/>
    <m/>
    <m/>
    <m/>
    <m/>
    <n v="0"/>
    <m/>
    <m/>
    <m/>
    <m/>
    <n v="0"/>
    <n v="0"/>
    <n v="0"/>
    <n v="0"/>
  </r>
  <r>
    <n v="901"/>
    <s v="Regular"/>
    <s v="Verde"/>
    <s v="A4"/>
    <s v="Industrial"/>
    <s v="Não se aplica"/>
    <s v="Fonte incentivada"/>
    <s v="Não se aplica"/>
    <s v="Ponta"/>
    <s v="LIVRE"/>
    <x v="10"/>
    <n v="0"/>
    <n v="0"/>
    <n v="43.113"/>
    <n v="20.23760650485"/>
    <n v="0"/>
    <n v="0"/>
    <m/>
    <n v="1358.36"/>
    <m/>
    <m/>
    <n v="58562.974679999992"/>
    <n v="58562.974679999992"/>
    <n v="49497.173039999994"/>
    <n v="0"/>
    <n v="2308.4558104487746"/>
    <n v="0"/>
    <n v="0"/>
    <n v="816.65025441001956"/>
    <n v="784.62019083716791"/>
    <n v="43479.79319441392"/>
    <m/>
    <m/>
    <m/>
    <n v="0"/>
    <n v="0"/>
    <n v="0"/>
    <n v="409.96282234633037"/>
    <m/>
    <n v="34.525486537899845"/>
    <n v="1733.6091772236232"/>
    <n v="8083.5194101099205"/>
    <n v="0"/>
    <n v="0"/>
    <m/>
    <m/>
    <n v="0"/>
    <n v="0"/>
    <n v="0"/>
    <m/>
    <m/>
    <n v="0"/>
    <m/>
    <n v="0"/>
    <n v="0"/>
    <n v="0"/>
    <n v="0"/>
    <m/>
    <n v="322.42732126309971"/>
    <n v="0"/>
    <n v="0"/>
    <n v="0"/>
    <n v="0"/>
    <n v="0"/>
    <m/>
    <n v="26262.781763911811"/>
    <m/>
    <m/>
    <m/>
    <m/>
    <m/>
    <m/>
    <m/>
    <n v="322.42732126309971"/>
    <m/>
    <m/>
    <m/>
    <m/>
    <m/>
    <m/>
    <m/>
    <m/>
    <m/>
    <m/>
    <m/>
    <m/>
    <n v="23237.139199999998"/>
    <n v="-4252.8459719280399"/>
    <m/>
    <m/>
    <m/>
    <m/>
    <n v="-9065.8016399999979"/>
    <n v="0"/>
    <n v="31"/>
    <n v="1735.2615497378483"/>
    <n v="172.75044902018044"/>
    <n v="805.50543115851906"/>
    <n v="0"/>
    <n v="0"/>
    <m/>
    <m/>
    <m/>
    <n v="807.89882282634744"/>
    <n v="0"/>
    <n v="0"/>
    <m/>
    <m/>
    <n v="0"/>
    <n v="0"/>
    <n v="40.861809772837091"/>
    <n v="0"/>
    <n v="-78.387854427001457"/>
    <m/>
    <n v="0"/>
    <n v="0"/>
    <m/>
    <n v="0"/>
    <n v="-12.390333231819341"/>
    <n v="-0.97677538121436669"/>
    <n v="0"/>
    <n v="0"/>
    <m/>
    <m/>
    <m/>
    <n v="43479.79319441392"/>
    <n v="0"/>
    <n v="0"/>
    <n v="-9065.8016399999979"/>
    <m/>
    <n v="0"/>
    <m/>
    <n v="-10801.118158359655"/>
    <m/>
    <n v="0"/>
    <n v="0"/>
    <m/>
    <n v="0"/>
    <n v="0"/>
    <n v="0"/>
    <n v="0"/>
    <n v="0"/>
    <m/>
    <m/>
    <n v="0"/>
    <n v="589.53844251239741"/>
    <m/>
    <n v="0"/>
    <m/>
    <n v="0"/>
    <m/>
    <n v="240"/>
    <m/>
    <m/>
    <m/>
    <m/>
    <n v="0"/>
    <m/>
    <m/>
    <m/>
    <m/>
    <n v="0"/>
    <n v="0"/>
    <n v="0"/>
    <n v="0"/>
  </r>
  <r>
    <n v="902"/>
    <s v="Regular"/>
    <s v="Verde"/>
    <s v="A4"/>
    <s v="Industrial"/>
    <s v="Não se aplica"/>
    <s v="Fonte incentivada"/>
    <s v="Não se aplica"/>
    <s v="Fora ponta"/>
    <s v="LIVRE"/>
    <x v="10"/>
    <n v="0"/>
    <n v="0"/>
    <n v="589.10299999999995"/>
    <n v="589.10299999999995"/>
    <n v="0"/>
    <n v="0"/>
    <m/>
    <n v="85.01"/>
    <m/>
    <m/>
    <n v="50079.646029999996"/>
    <n v="50079.646029999996"/>
    <n v="49384.504489999992"/>
    <n v="0"/>
    <n v="31543.113290719841"/>
    <n v="0"/>
    <n v="0"/>
    <n v="0"/>
    <n v="0"/>
    <n v="0"/>
    <m/>
    <m/>
    <m/>
    <n v="0"/>
    <n v="0"/>
    <n v="0"/>
    <n v="5601.7982634632308"/>
    <m/>
    <n v="471.76182812461235"/>
    <n v="0"/>
    <n v="0"/>
    <n v="0"/>
    <n v="0"/>
    <m/>
    <m/>
    <n v="0"/>
    <n v="0"/>
    <n v="0"/>
    <m/>
    <m/>
    <n v="0"/>
    <m/>
    <n v="0"/>
    <n v="0"/>
    <n v="0"/>
    <n v="0"/>
    <m/>
    <n v="4405.6990290180647"/>
    <n v="0"/>
    <n v="0"/>
    <n v="0"/>
    <n v="0"/>
    <n v="0"/>
    <m/>
    <m/>
    <m/>
    <m/>
    <m/>
    <m/>
    <m/>
    <m/>
    <m/>
    <n v="4405.6990290180647"/>
    <m/>
    <m/>
    <m/>
    <m/>
    <m/>
    <m/>
    <m/>
    <m/>
    <m/>
    <m/>
    <m/>
    <m/>
    <n v="49384.253000000004"/>
    <n v="-695.42302999999811"/>
    <m/>
    <m/>
    <m/>
    <m/>
    <n v="-695.14154000000394"/>
    <n v="0"/>
    <n v="31"/>
    <n v="-695.41227168525074"/>
    <n v="0"/>
    <n v="0"/>
    <n v="0"/>
    <n v="0"/>
    <m/>
    <m/>
    <m/>
    <n v="0"/>
    <n v="0"/>
    <n v="0"/>
    <m/>
    <m/>
    <n v="0"/>
    <n v="0"/>
    <n v="558.34237289466364"/>
    <n v="0"/>
    <n v="-1071.1043120754766"/>
    <m/>
    <n v="0"/>
    <n v="0"/>
    <m/>
    <n v="0"/>
    <n v="-169.30351582734875"/>
    <n v="-13.346816677093443"/>
    <n v="0"/>
    <n v="0"/>
    <m/>
    <m/>
    <m/>
    <n v="0"/>
    <n v="0"/>
    <n v="0"/>
    <n v="-695.14154000000417"/>
    <m/>
    <n v="0"/>
    <m/>
    <n v="0"/>
    <m/>
    <n v="0"/>
    <n v="0"/>
    <m/>
    <n v="0"/>
    <n v="0"/>
    <n v="0"/>
    <n v="0"/>
    <n v="0"/>
    <m/>
    <m/>
    <n v="0"/>
    <n v="8055.5485607445744"/>
    <m/>
    <n v="0"/>
    <m/>
    <n v="0"/>
    <m/>
    <n v="240"/>
    <m/>
    <m/>
    <m/>
    <m/>
    <n v="0"/>
    <m/>
    <m/>
    <m/>
    <m/>
    <n v="0"/>
    <n v="0"/>
    <n v="0"/>
    <n v="0"/>
  </r>
  <r>
    <n v="903"/>
    <s v="Regular"/>
    <s v="Verde"/>
    <s v="A4"/>
    <s v="Industrial"/>
    <s v="Não se aplica"/>
    <s v="Fonte incentivada"/>
    <s v="Não se aplica"/>
    <s v="Não se aplica"/>
    <s v="LIVRE"/>
    <x v="10"/>
    <n v="2940"/>
    <n v="1509.0000113999999"/>
    <n v="0"/>
    <n v="0"/>
    <n v="0"/>
    <n v="0"/>
    <n v="27.19"/>
    <m/>
    <m/>
    <n v="79938.600000000006"/>
    <m/>
    <n v="79938.600000000006"/>
    <n v="63974.400000000001"/>
    <n v="0"/>
    <n v="0"/>
    <n v="0"/>
    <n v="0"/>
    <n v="685.60980347703821"/>
    <n v="658.66242774904663"/>
    <n v="70360.168914888927"/>
    <m/>
    <m/>
    <m/>
    <n v="0"/>
    <n v="0"/>
    <n v="0"/>
    <n v="0"/>
    <m/>
    <n v="0"/>
    <n v="1454.9614034059641"/>
    <n v="6785.7811984537811"/>
    <n v="0"/>
    <n v="0"/>
    <m/>
    <m/>
    <n v="0"/>
    <n v="0"/>
    <n v="0"/>
    <m/>
    <m/>
    <n v="0"/>
    <m/>
    <n v="0"/>
    <n v="0"/>
    <n v="0"/>
    <n v="0"/>
    <m/>
    <n v="0"/>
    <n v="0"/>
    <n v="1595.31"/>
    <n v="0"/>
    <n v="34349.68"/>
    <n v="5"/>
    <m/>
    <n v="31138.559751936002"/>
    <m/>
    <m/>
    <m/>
    <m/>
    <m/>
    <m/>
    <m/>
    <n v="0"/>
    <m/>
    <m/>
    <m/>
    <m/>
    <m/>
    <m/>
    <m/>
    <m/>
    <m/>
    <m/>
    <m/>
    <m/>
    <n v="32835.840000000004"/>
    <n v="-8193.900309966004"/>
    <m/>
    <m/>
    <m/>
    <m/>
    <n v="-15964.199999999999"/>
    <n v="0"/>
    <n v="31"/>
    <n v="1499.3764474794971"/>
    <n v="144.98379395288202"/>
    <n v="676.18859220794184"/>
    <n v="0"/>
    <n v="0"/>
    <m/>
    <m/>
    <m/>
    <n v="678.204061318673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360.168914888927"/>
    <m/>
    <n v="0"/>
    <n v="0"/>
    <n v="-15964.200000000004"/>
    <m/>
    <n v="0"/>
    <m/>
    <n v="-17478.659447476122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904"/>
    <s v="Regular"/>
    <s v="Geração"/>
    <s v="A3"/>
    <s v="Não se aplica"/>
    <s v="Não se aplica"/>
    <s v="Não se aplica"/>
    <s v="RASTRO DE AUTO"/>
    <s v="Não se aplica"/>
    <s v="GERAÇÃO"/>
    <x v="10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392.62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1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905"/>
    <s v="Regular"/>
    <s v="Azul"/>
    <s v="A4"/>
    <s v="Industrial"/>
    <s v="Não se aplica"/>
    <s v="Fonte incentivada"/>
    <s v="Não se aplica"/>
    <s v="Ponta"/>
    <s v="LIVRE"/>
    <x v="11"/>
    <n v="7800"/>
    <n v="3900"/>
    <n v="0"/>
    <n v="0"/>
    <n v="0"/>
    <n v="0"/>
    <n v="52.95"/>
    <m/>
    <m/>
    <n v="413010"/>
    <m/>
    <n v="413010"/>
    <n v="345150"/>
    <n v="0"/>
    <n v="0"/>
    <n v="0"/>
    <n v="0"/>
    <n v="6143.7967769655443"/>
    <n v="5902.6636731637609"/>
    <n v="327082.9691133537"/>
    <m/>
    <m/>
    <m/>
    <n v="0"/>
    <n v="0"/>
    <n v="0"/>
    <n v="0"/>
    <m/>
    <n v="0"/>
    <n v="13041.996884625618"/>
    <n v="60812.1143369292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75"/>
    <m/>
    <m/>
    <m/>
    <m/>
    <m/>
    <m/>
    <m/>
    <n v="0"/>
    <m/>
    <m/>
    <m/>
    <m/>
    <m/>
    <m/>
    <m/>
    <m/>
    <m/>
    <m/>
    <m/>
    <m/>
    <n v="172575"/>
    <n v="-33930.030000000028"/>
    <m/>
    <m/>
    <m/>
    <m/>
    <n v="-67860.000000000029"/>
    <n v="0"/>
    <n v="30"/>
    <n v="13437.192136518745"/>
    <n v="1299.6071130329037"/>
    <n v="6059.7972112697025"/>
    <n v="0"/>
    <n v="0"/>
    <m/>
    <m/>
    <m/>
    <n v="6077.7878122161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082.9691133537"/>
    <m/>
    <n v="0"/>
    <n v="0"/>
    <n v="-67860"/>
    <m/>
    <n v="0"/>
    <m/>
    <n v="-81252.95769424858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906"/>
    <s v="Regular"/>
    <s v="Azul"/>
    <s v="A4"/>
    <s v="Industrial"/>
    <s v="Não se aplica"/>
    <s v="Fonte incentivada"/>
    <s v="Não se aplica"/>
    <s v="Fora ponta"/>
    <s v="LIVRE"/>
    <x v="11"/>
    <n v="8500"/>
    <n v="4250"/>
    <n v="0"/>
    <n v="0"/>
    <n v="0"/>
    <n v="0"/>
    <n v="27.19"/>
    <m/>
    <m/>
    <n v="231115"/>
    <m/>
    <n v="231115"/>
    <n v="184960"/>
    <n v="0"/>
    <n v="0"/>
    <n v="0"/>
    <n v="0"/>
    <n v="1982.205214134294"/>
    <n v="1904.296134648604"/>
    <n v="203422.25706685573"/>
    <m/>
    <m/>
    <m/>
    <n v="0"/>
    <n v="0"/>
    <n v="0"/>
    <n v="0"/>
    <m/>
    <n v="0"/>
    <n v="4206.5210642689435"/>
    <n v="19618.75516559766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92480"/>
    <m/>
    <m/>
    <m/>
    <m/>
    <m/>
    <m/>
    <m/>
    <n v="0"/>
    <m/>
    <m/>
    <m/>
    <m/>
    <m/>
    <m/>
    <m/>
    <m/>
    <m/>
    <m/>
    <m/>
    <m/>
    <n v="92480"/>
    <n v="-23077.529999999984"/>
    <m/>
    <m/>
    <m/>
    <m/>
    <n v="-46155"/>
    <n v="0"/>
    <n v="30"/>
    <n v="4334.9319059781446"/>
    <n v="419.17083285697208"/>
    <n v="1954.9670182882692"/>
    <n v="0"/>
    <n v="0"/>
    <m/>
    <m/>
    <m/>
    <n v="1960.79405483290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422.25706685573"/>
    <m/>
    <n v="0"/>
    <n v="0"/>
    <n v="-46155"/>
    <m/>
    <n v="0"/>
    <m/>
    <n v="-50533.539218893537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907"/>
    <s v="Regular"/>
    <s v="Azul"/>
    <s v="A4"/>
    <s v="Industrial"/>
    <s v="Não se aplica"/>
    <s v="Fonte incentivada"/>
    <s v="Não se aplica"/>
    <s v="Não se aplica"/>
    <s v="LIVRE"/>
    <x v="11"/>
    <n v="0"/>
    <n v="0"/>
    <n v="3442.6689999999999"/>
    <n v="3442.6689999999999"/>
    <n v="0"/>
    <n v="0"/>
    <m/>
    <n v="85.01"/>
    <m/>
    <m/>
    <n v="292661.29168999998"/>
    <n v="292661.29168999998"/>
    <n v="288598.94227"/>
    <n v="0"/>
    <n v="184335.33404081999"/>
    <n v="0"/>
    <n v="0"/>
    <n v="0"/>
    <n v="0"/>
    <n v="0"/>
    <m/>
    <m/>
    <m/>
    <n v="0"/>
    <n v="0"/>
    <n v="0"/>
    <n v="32736.443755809589"/>
    <m/>
    <n v="2756.9369381380352"/>
    <n v="0"/>
    <n v="0"/>
    <n v="0"/>
    <n v="0"/>
    <m/>
    <m/>
    <n v="0"/>
    <n v="0"/>
    <n v="0"/>
    <m/>
    <m/>
    <n v="0"/>
    <m/>
    <n v="0"/>
    <n v="0"/>
    <n v="0"/>
    <n v="0"/>
    <m/>
    <n v="25746.53917995765"/>
    <n v="0"/>
    <n v="9943.84"/>
    <n v="0"/>
    <n v="156006.66"/>
    <n v="2"/>
    <m/>
    <m/>
    <m/>
    <m/>
    <m/>
    <m/>
    <m/>
    <m/>
    <m/>
    <n v="25746.53917995765"/>
    <m/>
    <m/>
    <m/>
    <m/>
    <m/>
    <m/>
    <m/>
    <m/>
    <m/>
    <m/>
    <m/>
    <m/>
    <n v="288599.02610000002"/>
    <n v="-4062.2955899999943"/>
    <m/>
    <m/>
    <m/>
    <m/>
    <n v="-4062.3494200000232"/>
    <n v="0"/>
    <n v="30"/>
    <n v="-4063.9315534811467"/>
    <n v="0"/>
    <n v="0"/>
    <n v="0"/>
    <n v="0"/>
    <m/>
    <m/>
    <m/>
    <n v="0"/>
    <n v="0"/>
    <n v="0"/>
    <m/>
    <m/>
    <n v="0"/>
    <n v="0"/>
    <n v="3262.9064502317924"/>
    <n v="0"/>
    <n v="-6259.4446318361151"/>
    <m/>
    <n v="0"/>
    <n v="0"/>
    <m/>
    <n v="0"/>
    <n v="-989.39568382748257"/>
    <n v="-77.997688049309545"/>
    <n v="0"/>
    <n v="0"/>
    <m/>
    <m/>
    <m/>
    <n v="0"/>
    <n v="0"/>
    <n v="0"/>
    <n v="-4062.3494199999841"/>
    <m/>
    <n v="0"/>
    <m/>
    <n v="0"/>
    <m/>
    <n v="0"/>
    <n v="0"/>
    <m/>
    <n v="0"/>
    <n v="0"/>
    <n v="0"/>
    <n v="0"/>
    <n v="0"/>
    <m/>
    <m/>
    <n v="0"/>
    <n v="47075.956680020237"/>
    <m/>
    <n v="0"/>
    <m/>
    <n v="0"/>
    <m/>
    <n v="240"/>
    <m/>
    <m/>
    <m/>
    <m/>
    <n v="0"/>
    <m/>
    <m/>
    <m/>
    <m/>
    <n v="0"/>
    <n v="0"/>
    <n v="0"/>
    <n v="0"/>
  </r>
  <r>
    <n v="908"/>
    <s v="Regular"/>
    <s v="Verde"/>
    <s v="A4"/>
    <s v="Industrial"/>
    <s v="Não se aplica"/>
    <s v="Fonte incentivada"/>
    <s v="Não se aplica"/>
    <s v="Ponta"/>
    <s v="LIVRE"/>
    <x v="11"/>
    <n v="0"/>
    <n v="0"/>
    <n v="38.335999999999999"/>
    <n v="18.02766539456"/>
    <n v="0"/>
    <n v="0"/>
    <m/>
    <n v="1358.36"/>
    <m/>
    <m/>
    <n v="52074.088959999994"/>
    <n v="52074.088959999994"/>
    <n v="44012.794879999994"/>
    <n v="0"/>
    <n v="2052.6746445240237"/>
    <n v="0"/>
    <n v="0"/>
    <n v="726.16389843115792"/>
    <n v="697.68282503963235"/>
    <n v="38662.151831258598"/>
    <m/>
    <m/>
    <m/>
    <n v="0"/>
    <n v="0"/>
    <n v="0"/>
    <n v="364.53818471154688"/>
    <m/>
    <n v="30.699998884719886"/>
    <n v="1541.522079605799"/>
    <n v="7187.8505347800874"/>
    <n v="0"/>
    <n v="0"/>
    <m/>
    <m/>
    <n v="0"/>
    <n v="0"/>
    <n v="0"/>
    <m/>
    <m/>
    <n v="0"/>
    <m/>
    <n v="0"/>
    <n v="0"/>
    <n v="0"/>
    <n v="0"/>
    <m/>
    <n v="286.70177876608426"/>
    <n v="0"/>
    <n v="0"/>
    <n v="0"/>
    <n v="0"/>
    <n v="0"/>
    <m/>
    <n v="23315.592793813554"/>
    <m/>
    <m/>
    <m/>
    <m/>
    <m/>
    <m/>
    <m/>
    <n v="286.70177876608426"/>
    <m/>
    <m/>
    <m/>
    <m/>
    <m/>
    <m/>
    <m/>
    <m/>
    <m/>
    <m/>
    <m/>
    <m/>
    <n v="20699.882399999999"/>
    <n v="-3788.2071653545172"/>
    <m/>
    <m/>
    <m/>
    <m/>
    <n v="-8061.2940799999988"/>
    <n v="0"/>
    <n v="30"/>
    <n v="1542.9913661946539"/>
    <n v="153.60938031771479"/>
    <n v="716.25394217273151"/>
    <n v="0"/>
    <n v="0"/>
    <m/>
    <m/>
    <m/>
    <n v="718.38214162481984"/>
    <n v="0"/>
    <n v="0"/>
    <m/>
    <m/>
    <n v="0"/>
    <n v="0"/>
    <n v="36.334245806403715"/>
    <n v="0"/>
    <n v="-69.702335428143442"/>
    <m/>
    <n v="0"/>
    <n v="0"/>
    <m/>
    <n v="0"/>
    <n v="-11.017461433327014"/>
    <n v="-0.86854686554482541"/>
    <n v="0"/>
    <n v="0"/>
    <m/>
    <m/>
    <m/>
    <n v="38662.151831258598"/>
    <n v="0"/>
    <n v="0"/>
    <n v="-8061.2940799999997"/>
    <m/>
    <n v="0"/>
    <m/>
    <n v="-9604.3343241916737"/>
    <m/>
    <n v="0"/>
    <n v="0"/>
    <m/>
    <n v="0"/>
    <n v="0"/>
    <n v="0"/>
    <n v="0"/>
    <n v="0"/>
    <m/>
    <m/>
    <n v="0"/>
    <n v="524.21649461079642"/>
    <m/>
    <n v="0"/>
    <m/>
    <n v="0"/>
    <m/>
    <n v="240"/>
    <m/>
    <m/>
    <m/>
    <m/>
    <n v="0"/>
    <m/>
    <m/>
    <m/>
    <m/>
    <n v="0"/>
    <n v="0"/>
    <n v="0"/>
    <n v="0"/>
  </r>
  <r>
    <n v="909"/>
    <s v="Regular"/>
    <s v="Verde"/>
    <s v="A4"/>
    <s v="Industrial"/>
    <s v="Não se aplica"/>
    <s v="Fonte incentivada"/>
    <s v="Não se aplica"/>
    <s v="Fora ponta"/>
    <s v="LIVRE"/>
    <x v="11"/>
    <n v="0"/>
    <n v="0"/>
    <n v="546.11199999999997"/>
    <n v="546.11199999999997"/>
    <n v="0"/>
    <n v="0"/>
    <m/>
    <n v="85.01"/>
    <m/>
    <m/>
    <n v="46424.981119999997"/>
    <n v="46424.981119999997"/>
    <n v="45780.568959999997"/>
    <n v="0"/>
    <n v="29241.189886015847"/>
    <n v="0"/>
    <n v="0"/>
    <n v="0"/>
    <n v="0"/>
    <n v="0"/>
    <m/>
    <m/>
    <m/>
    <n v="0"/>
    <n v="0"/>
    <n v="0"/>
    <n v="5192.9955428107342"/>
    <m/>
    <n v="437.33404087364738"/>
    <n v="0"/>
    <n v="0"/>
    <n v="0"/>
    <n v="0"/>
    <m/>
    <m/>
    <n v="0"/>
    <n v="0"/>
    <n v="0"/>
    <m/>
    <m/>
    <n v="0"/>
    <m/>
    <n v="0"/>
    <n v="0"/>
    <n v="0"/>
    <n v="0"/>
    <m/>
    <n v="4084.1841038580915"/>
    <n v="0"/>
    <n v="0"/>
    <n v="0"/>
    <n v="0"/>
    <n v="0"/>
    <m/>
    <m/>
    <m/>
    <m/>
    <m/>
    <m/>
    <m/>
    <m/>
    <m/>
    <n v="4084.1841038580915"/>
    <m/>
    <m/>
    <m/>
    <m/>
    <m/>
    <m/>
    <m/>
    <m/>
    <m/>
    <m/>
    <m/>
    <m/>
    <n v="45780.401299999998"/>
    <n v="-644.60982000000513"/>
    <m/>
    <m/>
    <m/>
    <m/>
    <n v="-644.41216000000372"/>
    <n v="0"/>
    <n v="30"/>
    <n v="-644.66313448509027"/>
    <n v="0"/>
    <n v="0"/>
    <n v="0"/>
    <n v="0"/>
    <m/>
    <m/>
    <m/>
    <n v="0"/>
    <n v="0"/>
    <n v="0"/>
    <m/>
    <m/>
    <n v="0"/>
    <n v="0"/>
    <n v="517.59619276467947"/>
    <n v="0"/>
    <n v="-992.93827747636897"/>
    <m/>
    <n v="0"/>
    <n v="0"/>
    <m/>
    <n v="0"/>
    <n v="-156.94824442500794"/>
    <n v="-12.372805348404029"/>
    <n v="0"/>
    <n v="0"/>
    <m/>
    <m/>
    <m/>
    <n v="0"/>
    <n v="0"/>
    <n v="0"/>
    <n v="-644.41215999999986"/>
    <m/>
    <n v="0"/>
    <m/>
    <n v="0"/>
    <m/>
    <n v="0"/>
    <n v="0"/>
    <m/>
    <n v="0"/>
    <n v="0"/>
    <n v="0"/>
    <n v="0"/>
    <n v="0"/>
    <m/>
    <m/>
    <n v="0"/>
    <n v="7467.678378153465"/>
    <m/>
    <n v="0"/>
    <m/>
    <n v="0"/>
    <m/>
    <n v="240"/>
    <m/>
    <m/>
    <m/>
    <m/>
    <n v="0"/>
    <m/>
    <m/>
    <m/>
    <m/>
    <n v="0"/>
    <n v="0"/>
    <n v="0"/>
    <n v="0"/>
  </r>
  <r>
    <n v="910"/>
    <s v="Regular"/>
    <s v="Verde"/>
    <s v="A4"/>
    <s v="Industrial"/>
    <s v="Não se aplica"/>
    <s v="Fonte incentivada"/>
    <s v="Não se aplica"/>
    <s v="Não se aplica"/>
    <s v="LIVRE"/>
    <x v="11"/>
    <n v="2973"/>
    <n v="1525.4999923800001"/>
    <n v="0"/>
    <n v="0"/>
    <n v="0"/>
    <n v="0"/>
    <n v="27.19"/>
    <m/>
    <m/>
    <n v="80835.87000000001"/>
    <m/>
    <n v="80835.87000000001"/>
    <n v="64692.480000000003"/>
    <n v="0"/>
    <n v="0"/>
    <n v="0"/>
    <n v="0"/>
    <n v="693.30542372014781"/>
    <n v="666.05557744827058"/>
    <n v="71149.925912913197"/>
    <m/>
    <m/>
    <m/>
    <n v="0"/>
    <n v="0"/>
    <n v="0"/>
    <n v="0"/>
    <m/>
    <n v="0"/>
    <n v="1471.2926028319494"/>
    <n v="6861.9481302731601"/>
    <n v="0"/>
    <n v="0"/>
    <m/>
    <m/>
    <n v="0"/>
    <n v="0"/>
    <n v="0"/>
    <m/>
    <m/>
    <n v="0"/>
    <m/>
    <n v="0"/>
    <n v="0"/>
    <n v="0"/>
    <n v="0"/>
    <m/>
    <n v="0"/>
    <n v="0"/>
    <n v="1876.78"/>
    <n v="0"/>
    <n v="32824.31"/>
    <n v="5"/>
    <m/>
    <n v="31497.6001658112"/>
    <m/>
    <m/>
    <m/>
    <m/>
    <m/>
    <m/>
    <m/>
    <n v="0"/>
    <m/>
    <m/>
    <m/>
    <m/>
    <m/>
    <m/>
    <m/>
    <m/>
    <m/>
    <m/>
    <m/>
    <m/>
    <n v="33194.880000000005"/>
    <n v="-8283.4947928122056"/>
    <m/>
    <m/>
    <m/>
    <m/>
    <n v="-16143.39"/>
    <n v="0"/>
    <n v="30"/>
    <n v="1516.2061831144711"/>
    <n v="146.61116306867984"/>
    <n v="683.77846416129614"/>
    <n v="0"/>
    <n v="0"/>
    <m/>
    <m/>
    <m/>
    <n v="685.816555884495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71149.925912913197"/>
    <m/>
    <n v="0"/>
    <n v="0"/>
    <n v="-16143.390000000007"/>
    <m/>
    <n v="0"/>
    <m/>
    <n v="-17674.84848209066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  <r>
    <n v="911"/>
    <s v="Regular"/>
    <s v="Geração"/>
    <s v="A3"/>
    <s v="Não se aplica"/>
    <s v="Não se aplica"/>
    <s v="Não se aplica"/>
    <s v="RASTRO DE AUTO"/>
    <s v="Não se aplica"/>
    <s v="GERAÇÃO"/>
    <x v="11"/>
    <n v="7020"/>
    <n v="3510"/>
    <n v="0"/>
    <n v="0"/>
    <n v="0"/>
    <n v="0"/>
    <n v="6.87"/>
    <m/>
    <m/>
    <n v="48227.4"/>
    <m/>
    <n v="48227.4"/>
    <n v="40084.199999999997"/>
    <n v="0"/>
    <n v="0"/>
    <n v="0"/>
    <n v="0"/>
    <n v="0"/>
    <n v="2031.0321998913851"/>
    <n v="42729.46700626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436.1874076712338"/>
    <n v="0"/>
    <n v="486.85"/>
    <n v="0"/>
    <n v="0"/>
    <n v="0"/>
    <m/>
    <m/>
    <n v="20042.099999999999"/>
    <m/>
    <m/>
    <m/>
    <m/>
    <m/>
    <m/>
    <n v="3436.1874076712338"/>
    <m/>
    <m/>
    <m/>
    <m/>
    <m/>
    <m/>
    <m/>
    <m/>
    <m/>
    <m/>
    <m/>
    <m/>
    <n v="20042.099999999999"/>
    <n v="-4071.6299999999974"/>
    <m/>
    <m/>
    <m/>
    <m/>
    <n v="-8143.2000000000007"/>
    <n v="0"/>
    <n v="30"/>
    <n v="2526.7645846364476"/>
    <n v="0"/>
    <n v="0"/>
    <n v="0"/>
    <n v="0"/>
    <m/>
    <m/>
    <m/>
    <n v="2091.2902096795342"/>
    <n v="0"/>
    <n v="0"/>
    <m/>
    <m/>
    <n v="0"/>
    <n v="0"/>
    <n v="435.47437495691338"/>
    <n v="0"/>
    <n v="0"/>
    <m/>
    <n v="0"/>
    <n v="0"/>
    <m/>
    <n v="0"/>
    <n v="0"/>
    <n v="0"/>
    <n v="0"/>
    <n v="0"/>
    <m/>
    <m/>
    <n v="42729.467006265557"/>
    <m/>
    <n v="0"/>
    <n v="0"/>
    <n v="-8143.2000000000044"/>
    <m/>
    <n v="0"/>
    <m/>
    <n v="-10614.724405765934"/>
    <m/>
    <n v="0"/>
    <n v="0"/>
    <m/>
    <n v="0"/>
    <n v="0"/>
    <n v="0"/>
    <n v="0"/>
    <n v="0"/>
    <m/>
    <m/>
    <n v="0"/>
    <n v="0"/>
    <m/>
    <n v="0"/>
    <m/>
    <n v="0"/>
    <m/>
    <n v="240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D46" firstHeaderRow="0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USD_E" fld="13" baseField="0" baseItem="0" numFmtId="168"/>
    <dataField name="Soma de TE_E" fld="15" baseField="0" baseItem="0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2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4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6" dataDxfId="575">
  <autoFilter ref="AA5:AE7" xr:uid="{B3DE7FE8-5926-4E44-9EDC-9655DE4A4B67}"/>
  <tableColumns count="5">
    <tableColumn id="1" xr3:uid="{1315B14B-5316-4DE2-9050-0B99168CC239}" name="Cotas" dataDxfId="574"/>
    <tableColumn id="2" xr3:uid="{00C64702-8D8C-4EE8-B854-0E39030818B6}" name="Valor da &quot;Cota&quot;" dataDxfId="573"/>
    <tableColumn id="3" xr3:uid="{63BFFE80-8EC9-4566-842F-9FD193C67815}" name="Ano" dataDxfId="572"/>
    <tableColumn id="4" xr3:uid="{7B5A7EF8-5CB6-4557-B7D2-1C4857462594}" name="Custo Médio da Cota" dataDxfId="571"/>
    <tableColumn id="5" xr3:uid="{D3F4B71D-C886-4718-A85E-FA54E9F8D838}" name="Energia MWh" dataDxfId="570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69" dataDxfId="568" headerRowCellStyle="Normal 5" dataCellStyle="Normal 5">
  <autoFilter ref="AA21:AG23" xr:uid="{8109BFC4-5B84-4531-A319-ED0D5E86A4C5}"/>
  <tableColumns count="7">
    <tableColumn id="1" xr3:uid="{59A03A63-2F04-4649-A4AF-9B891D5BEBED}" name="Leilão" dataDxfId="567" dataCellStyle="Normal 5"/>
    <tableColumn id="2" xr3:uid="{1B8E1FA7-1B1E-42CD-98A0-C36F374D9818}" name="Produto" dataDxfId="566" dataCellStyle="Normal 5"/>
    <tableColumn id="3" xr3:uid="{3C5EB2AC-0FA8-44FB-8B3B-4F205233DD96}" name="Modalidade" dataDxfId="565" dataCellStyle="Normal 5"/>
    <tableColumn id="4" xr3:uid="{C358BA83-832A-4936-8DD9-2979DA133039}" name="Fonte" dataDxfId="564" dataCellStyle="Normal 5"/>
    <tableColumn id="5" xr3:uid="{9CA52279-BDEC-44E2-A60F-C256B4A0590B}" name="Montante" dataDxfId="563" dataCellStyle="Normal 5"/>
    <tableColumn id="6" xr3:uid="{4C1D6705-AC4A-482B-AC5B-B0F755A722F2}" name="Data Base" dataDxfId="562" dataCellStyle="Vírgula"/>
    <tableColumn id="7" xr3:uid="{3DEA0CF9-631C-4B3F-B4AC-928E92F0AB84}" name="Custo Base" dataDxfId="561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0" dataDxfId="559">
  <autoFilter ref="AA10:AD11" xr:uid="{3C49DBE7-062C-4416-B6BA-09DB0F685AD5}"/>
  <tableColumns count="4">
    <tableColumn id="1" xr3:uid="{6F9C1B42-695A-4B8B-B63F-DA108D710421}" name="GSF previsto" dataDxfId="558" dataCellStyle="Normal 5"/>
    <tableColumn id="2" xr3:uid="{4D1DBAC9-9D60-4D51-A973-81AD2081E4F6}" name="PLD" dataDxfId="557" dataCellStyle="Normal 5"/>
    <tableColumn id="3" xr3:uid="{0DCF2C66-C111-4FF7-BEB4-BFD00E93A10A}" name="MWm repactuado" dataDxfId="556" dataCellStyle="Normal 5"/>
    <tableColumn id="4" xr3:uid="{030AED12-E9C5-474F-937C-742184A44EF8}" name="Fator de rateio" dataDxfId="555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4" dataDxfId="553">
  <autoFilter ref="AI5:AJ20" xr:uid="{C3573309-01D4-4FAA-88C4-46F0CAA1CC27}"/>
  <tableColumns count="2">
    <tableColumn id="1" xr3:uid="{56AC757E-E114-458B-A041-461374D0BA5F}" name="Data" dataDxfId="552"/>
    <tableColumn id="2" xr3:uid="{578DAC09-D952-4F72-9444-614F5761412A}" name="Valor Pis/Cofins Transmissora" dataDxfId="551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0"/>
    <tableColumn id="2" xr3:uid="{AAB31625-7790-4B9A-AC2F-62007C1AB8C0}" name="Valor" dataDxfId="549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8">
  <autoFilter ref="B70:D77" xr:uid="{2E07311B-F74E-449E-81FD-B2BBBED3E4B3}"/>
  <tableColumns count="3">
    <tableColumn id="1" xr3:uid="{34D06310-1B0F-4D68-8C00-ED68EED3BDEB}" name="Encargo" dataDxfId="547"/>
    <tableColumn id="2" xr3:uid="{9D37526B-68DA-4918-8BA1-31EFC93C676E}" name="Valor" dataDxfId="546" dataCellStyle="Vírgula"/>
    <tableColumn id="3" xr3:uid="{62B99FEA-2637-4880-B5A6-705D0DFDF64C}" name="DSP" dataDxfId="545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4">
  <autoFilter ref="AA15:AB16" xr:uid="{1246E986-5AFA-4E40-BCC4-649D094A68F9}"/>
  <tableColumns count="2">
    <tableColumn id="1" xr3:uid="{D4D96454-0BF2-4CE9-B9F7-0CF391A2F556}" name="Proinfa" dataDxfId="543"/>
    <tableColumn id="2" xr3:uid="{62B09719-28BC-4F30-8705-5FB3C24A0D07}" name="MWh" dataDxfId="542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1" dataDxfId="540">
  <autoFilter ref="AO5:AQ9" xr:uid="{1A968768-5E00-4725-815D-7B925098B780}"/>
  <tableColumns count="3">
    <tableColumn id="1" xr3:uid="{FC8C62E6-3A06-4479-B5D7-11BDBC46D611}" name="Conta Escassez" dataDxfId="539"/>
    <tableColumn id="2" xr3:uid="{55A5FC57-FA17-4C65-B2C8-0C51598692AE}" name="Valor" dataDxfId="538"/>
    <tableColumn id="3" xr3:uid="{C90C9243-AD2A-42D1-9D06-640F7A17A24B}" name="Legislacao" dataDxfId="537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6" dataDxfId="535">
  <autoFilter ref="AI24:AK45" xr:uid="{63306B16-ABC6-4C4A-8A31-BA4561D3E91F}"/>
  <tableColumns count="3">
    <tableColumn id="1" xr3:uid="{E80EBDF5-704B-4864-987B-30FABD11C257}" name="Grupo_TARIFA" dataDxfId="534"/>
    <tableColumn id="2" xr3:uid="{C48FAF4C-2500-4FE3-A576-CC56F4BB20F4}" name="Detalhe_Grupo_TARIFA" dataDxfId="533"/>
    <tableColumn id="3" xr3:uid="{C451D982-3266-4B86-86BB-DCF98A1C0BC5}" name="valor" dataDxfId="532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1" dataDxfId="530">
  <autoFilter ref="AM24:AP31" xr:uid="{5E07B889-3CC1-4EB8-A2FA-27865F10E9FF}"/>
  <tableColumns count="4">
    <tableColumn id="1" xr3:uid="{A684CBA1-85F2-4F6F-9549-132415395C97}" name="Grupo Tarifa" dataDxfId="529"/>
    <tableColumn id="2" xr3:uid="{601A6100-10DA-47B4-AC85-55E7B31A99AC}" name="Detalhe Grupo" dataDxfId="528"/>
    <tableColumn id="3" xr3:uid="{C6D6A904-43B1-4BB1-8721-FC3B084DEB3F}" name="Det3" dataDxfId="527"/>
    <tableColumn id="4" xr3:uid="{49E46CEE-1005-4E4F-AD52-B5C103AA28C0}" name="Valor" dataDxfId="526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5" tableBorderDxfId="524">
  <autoFilter ref="AA26:AB30" xr:uid="{ED60079D-08D5-46B4-B1E6-28428B2FF85A}"/>
  <tableColumns count="2">
    <tableColumn id="1" xr3:uid="{C7D3432F-090C-4D89-8F9B-66E323363124}" name="Dados de perda" dataDxfId="523"/>
    <tableColumn id="2" xr3:uid="{7924BC5A-340A-47DE-8986-F75E2F948A7A}" name="Valor" dataDxfId="522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autoFilter ref="A1:H1132" xr:uid="{00000000-000C-0000-FFFF-FFFF16000000}"/>
  <tableColumns count="8">
    <tableColumn id="1" xr3:uid="{00000000-0010-0000-1600-000001000000}" name="IdeAgenteSuprida" dataDxfId="521"/>
    <tableColumn id="2" xr3:uid="{00000000-0010-0000-1600-000002000000}" name="NomPessoaSuprida" dataDxfId="520"/>
    <tableColumn id="3" xr3:uid="{00000000-0010-0000-1600-000003000000}" name="IdeAgenteSupridora" dataDxfId="519"/>
    <tableColumn id="4" xr3:uid="{00000000-0010-0000-1600-000004000000}" name="NomPessoaSupridora" dataDxfId="518"/>
    <tableColumn id="5" xr3:uid="{00000000-0010-0000-1600-000005000000}" name="DescSubGrupoSgt" dataDxfId="517"/>
    <tableColumn id="6" xr3:uid="{00000000-0010-0000-1600-000006000000}" name="MesAno"/>
    <tableColumn id="7" xr3:uid="{00000000-0010-0000-1600-000007000000}" name="Descricao" dataDxfId="516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5" dataDxfId="513" headerRowBorderDxfId="514" tableBorderDxfId="512">
  <autoFilter ref="A9:AN61" xr:uid="{00000000-0009-0000-0100-00001A000000}">
    <filterColumn colId="0">
      <filters>
        <filter val="Certel"/>
      </filters>
    </filterColumn>
  </autoFilter>
  <tableColumns count="40">
    <tableColumn id="1" xr3:uid="{00000000-0010-0000-0000-000001000000}" name="Sigla" dataDxfId="511"/>
    <tableColumn id="2" xr3:uid="{00000000-0010-0000-0000-000002000000}" name="NomeSAMP" dataDxfId="510"/>
    <tableColumn id="3" xr3:uid="{00000000-0010-0000-0000-000003000000}" name="SARI" dataDxfId="509"/>
    <tableColumn id="4" xr3:uid="{00000000-0010-0000-0000-000004000000}" name="Área" dataDxfId="508"/>
    <tableColumn id="5" xr3:uid="{00000000-0010-0000-0000-000005000000}" name="Tipo de Contrato" dataDxfId="507"/>
    <tableColumn id="6" xr3:uid="{00000000-0010-0000-0000-000006000000}" name="Sede" dataDxfId="506"/>
    <tableColumn id="7" xr3:uid="{00000000-0010-0000-0000-000007000000}" name="UF" dataDxfId="505"/>
    <tableColumn id="8" xr3:uid="{00000000-0010-0000-0000-000008000000}" name="WACC ERD" dataDxfId="504"/>
    <tableColumn id="9" xr3:uid="{00000000-0010-0000-0000-000009000000}" name="Supridora 1" dataDxfId="503"/>
    <tableColumn id="33" xr3:uid="{00000000-0010-0000-0000-000021000000}" name="idsreagsupridora 1" dataDxfId="502"/>
    <tableColumn id="10" xr3:uid="{00000000-0010-0000-0000-00000A000000}" name="Supridora 2" dataDxfId="501"/>
    <tableColumn id="35" xr3:uid="{00000000-0010-0000-0000-000023000000}" name="idsreagsupridora2" dataDxfId="500"/>
    <tableColumn id="11" xr3:uid="{00000000-0010-0000-0000-00000B000000}" name="Desconto Tusd" dataDxfId="499"/>
    <tableColumn id="12" xr3:uid="{00000000-0010-0000-0000-00000C000000}" name="Proinfa MWh" dataDxfId="498"/>
    <tableColumn id="36" xr3:uid="{00000000-0010-0000-0000-000024000000}" name="REH Proinfa" dataDxfId="497"/>
    <tableColumn id="13" xr3:uid="{00000000-0010-0000-0000-00000D000000}" name="Beta" dataDxfId="496"/>
    <tableColumn id="14" xr3:uid="{00000000-0010-0000-0000-00000E000000}" name="Limite PB" dataDxfId="495" dataCellStyle="Vírgula"/>
    <tableColumn id="31" xr3:uid="{00000000-0010-0000-0000-00001F000000}" name="Data Base Limite PB" dataDxfId="494" dataCellStyle="Vírgula"/>
    <tableColumn id="30" xr3:uid="{00000000-0010-0000-0000-00001E000000}" name="Despacho limite Parcela B" dataDxfId="493" dataCellStyle="Vírgula"/>
    <tableColumn id="15" xr3:uid="{00000000-0010-0000-0000-00000F000000}" name="Contrato Permissão" dataDxfId="492"/>
    <tableColumn id="16" xr3:uid="{00000000-0010-0000-0000-000010000000}" name="Data Contrato" dataDxfId="491"/>
    <tableColumn id="17" xr3:uid="{00000000-0010-0000-0000-000011000000}" name="Próxima Revisão" dataDxfId="490"/>
    <tableColumn id="19" xr3:uid="{00000000-0010-0000-0000-000013000000}" name="Última REH" dataDxfId="489"/>
    <tableColumn id="20" xr3:uid="{00000000-0010-0000-0000-000014000000}" name="Data última REH " dataDxfId="488"/>
    <tableColumn id="21" xr3:uid="{00000000-0010-0000-0000-000015000000}" name="Pd" dataDxfId="487"/>
    <tableColumn id="22" xr3:uid="{00000000-0010-0000-0000-000016000000}" name="T" dataDxfId="486"/>
    <tableColumn id="26" xr3:uid="{00000000-0010-0000-0000-00001A000000}" name="Supridora para calculo da subvenção" dataDxfId="485"/>
    <tableColumn id="24" xr3:uid="{00000000-0010-0000-0000-000018000000}" name="Densidade Cooperativa" dataDxfId="484" dataCellStyle="Vírgula"/>
    <tableColumn id="25" xr3:uid="{00000000-0010-0000-0000-000019000000}" name="Densidade Principal Supridora" dataDxfId="483"/>
    <tableColumn id="27" xr3:uid="{00000000-0010-0000-0000-00001B000000}" name="Subvenção Anual (R$)" dataDxfId="482"/>
    <tableColumn id="28" xr3:uid="{00000000-0010-0000-0000-00001C000000}" name="Data Referência Subvenção" dataDxfId="481"/>
    <tableColumn id="39" xr3:uid="{3093CAC3-54C5-4BCF-9CB8-B8E3D611B57C}" name="Data de aniversarioda supridora" dataDxfId="480"/>
    <tableColumn id="23" xr3:uid="{00000000-0010-0000-0000-000017000000}" name="Geração Própria" dataDxfId="479"/>
    <tableColumn id="29" xr3:uid="{00000000-0010-0000-0000-00001D000000}" name="Data de referência da Geração Própria" dataDxfId="478"/>
    <tableColumn id="18" xr3:uid="{00000000-0010-0000-0000-000012000000}" name="Data da RTE" dataDxfId="477"/>
    <tableColumn id="32" xr3:uid="{00000000-0010-0000-0000-000020000000}" name="Data original" dataDxfId="476"/>
    <tableColumn id="34" xr3:uid="{00000000-0010-0000-0000-000022000000}" name="Regularização" dataDxfId="475"/>
    <tableColumn id="37" xr3:uid="{00000000-0010-0000-0000-000025000000}" name="vigência das tarifas" dataDxfId="474"/>
    <tableColumn id="38" xr3:uid="{00000000-0010-0000-0000-000026000000}" name="TUSD 2019" dataDxfId="473"/>
    <tableColumn id="40" xr3:uid="{00724FE7-7DEC-42A0-9F57-47D4901A2437}" name="CDE Conta covid" dataDxfId="472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1">
  <autoFilter ref="A68:N150" xr:uid="{00000000-0009-0000-0100-00001B000000}">
    <filterColumn colId="0">
      <filters>
        <filter val="Certel"/>
      </filters>
    </filterColumn>
  </autoFilter>
  <tableColumns count="14">
    <tableColumn id="1" xr3:uid="{00000000-0010-0000-0100-000001000000}" name="Permissionária" dataDxfId="470"/>
    <tableColumn id="2" xr3:uid="{00000000-0010-0000-0100-000002000000}" name="Supridora" dataDxfId="469"/>
    <tableColumn id="11" xr3:uid="{00000000-0010-0000-0100-00000B000000}" name="idsreag supridora" dataDxfId="468"/>
    <tableColumn id="13" xr3:uid="{00000000-0010-0000-0100-00000D000000}" name="codsariSUP" dataDxfId="467"/>
    <tableColumn id="3" xr3:uid="{00000000-0010-0000-0100-000003000000}" name="Classe" dataDxfId="466"/>
    <tableColumn id="12" xr3:uid="{00000000-0010-0000-0100-00000C000000}" name="chave" dataDxfId="465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4" dataCellStyle="Porcentagem"/>
    <tableColumn id="5" xr3:uid="{00000000-0010-0000-0100-000005000000}" name="2016" dataDxfId="463" dataCellStyle="Porcentagem"/>
    <tableColumn id="6" xr3:uid="{00000000-0010-0000-0100-000006000000}" name="2017" dataDxfId="462" dataCellStyle="Porcentagem"/>
    <tableColumn id="7" xr3:uid="{00000000-0010-0000-0100-000007000000}" name="2018" dataDxfId="461"/>
    <tableColumn id="8" xr3:uid="{00000000-0010-0000-0100-000008000000}" name="2019"/>
    <tableColumn id="9" xr3:uid="{00000000-0010-0000-0100-000009000000}" name="2020" dataDxfId="460"/>
    <tableColumn id="10" xr3:uid="{00000000-0010-0000-0100-00000A000000}" name="2021" dataDxfId="459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8"/>
    <tableColumn id="2" xr3:uid="{00000000-0010-0000-0200-000002000000}" name="Sigla" dataDxfId="457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6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1" dataDxfId="440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39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913" totalsRowShown="0" headerRowDxfId="383" dataDxfId="382" totalsRowDxfId="381">
  <autoFilter ref="A2:FI913" xr:uid="{00000000-000C-0000-FFFF-FFFF12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82" totalsRowShown="0">
  <autoFilter ref="A1:Q282" xr:uid="{3E782576-1F4A-41F3-B7FB-E2C37B7D2F29}">
    <filterColumn colId="1">
      <filters>
        <filter val="Financeiro"/>
      </filters>
    </filterColumn>
  </autoFilter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2180</v>
      </c>
    </row>
    <row r="2" spans="1:15">
      <c r="A2">
        <v>252</v>
      </c>
      <c r="B2" s="979">
        <v>43922</v>
      </c>
      <c r="C2" s="234"/>
      <c r="D2" s="234"/>
      <c r="E2" s="234"/>
      <c r="F2" s="234"/>
      <c r="G2" s="234"/>
      <c r="H2" s="234"/>
      <c r="I2" s="980"/>
    </row>
    <row r="3" spans="1:15">
      <c r="A3">
        <v>255</v>
      </c>
      <c r="B3" s="979">
        <v>43922</v>
      </c>
      <c r="C3" s="234"/>
      <c r="D3" s="234"/>
      <c r="E3" s="234"/>
      <c r="F3" s="234"/>
      <c r="G3" s="234"/>
      <c r="H3" s="234"/>
      <c r="I3" s="980"/>
    </row>
    <row r="4" spans="1:15">
      <c r="A4">
        <v>206</v>
      </c>
      <c r="B4" s="979">
        <v>43922</v>
      </c>
      <c r="C4" s="234"/>
      <c r="D4" s="234"/>
      <c r="E4" s="234"/>
      <c r="F4" s="234"/>
      <c r="G4" s="234"/>
      <c r="H4" s="234"/>
      <c r="I4" s="980"/>
    </row>
    <row r="5" spans="1:15">
      <c r="A5">
        <v>256</v>
      </c>
      <c r="B5" s="979">
        <v>43922</v>
      </c>
      <c r="C5" s="234"/>
      <c r="D5" s="234"/>
      <c r="E5" s="234"/>
      <c r="F5" s="234"/>
      <c r="G5" s="234"/>
      <c r="H5" s="234"/>
      <c r="I5" s="980"/>
      <c r="J5" s="234">
        <v>4154376.2782662762</v>
      </c>
    </row>
    <row r="6" spans="1:15">
      <c r="A6">
        <v>203</v>
      </c>
      <c r="B6" s="979">
        <v>43952</v>
      </c>
      <c r="C6" s="234"/>
      <c r="D6" s="234"/>
      <c r="E6" s="234"/>
      <c r="F6" s="234"/>
      <c r="G6" s="234"/>
      <c r="H6" s="234"/>
      <c r="I6" s="980"/>
      <c r="J6" s="234"/>
    </row>
    <row r="7" spans="1:15">
      <c r="A7">
        <v>211</v>
      </c>
      <c r="B7" s="979">
        <v>43952</v>
      </c>
      <c r="C7" s="234"/>
      <c r="D7" s="234"/>
      <c r="E7" s="234"/>
      <c r="F7" s="234"/>
      <c r="G7" s="234"/>
      <c r="H7" s="234"/>
      <c r="I7" s="980"/>
      <c r="J7" s="234">
        <v>18046086.986190885</v>
      </c>
      <c r="N7" s="234"/>
      <c r="O7" s="980"/>
    </row>
    <row r="8" spans="1:15">
      <c r="A8">
        <v>254</v>
      </c>
      <c r="B8" s="979">
        <v>43952</v>
      </c>
      <c r="C8" s="234"/>
      <c r="D8" s="234"/>
      <c r="E8" s="234"/>
      <c r="F8" s="234"/>
      <c r="G8" s="234"/>
      <c r="H8" s="234"/>
      <c r="I8" s="980"/>
      <c r="N8" s="234"/>
      <c r="O8" s="980"/>
    </row>
    <row r="9" spans="1:15">
      <c r="A9">
        <v>210</v>
      </c>
      <c r="B9" s="979">
        <v>43952</v>
      </c>
      <c r="C9" s="234"/>
      <c r="D9" s="234"/>
      <c r="E9" s="234"/>
      <c r="F9" s="234"/>
      <c r="G9" s="234"/>
      <c r="H9" s="234"/>
      <c r="I9" s="980"/>
      <c r="N9" s="234"/>
      <c r="O9" s="980"/>
    </row>
    <row r="10" spans="1:15">
      <c r="A10">
        <v>258</v>
      </c>
      <c r="B10" s="979">
        <v>44013</v>
      </c>
      <c r="C10" s="234"/>
      <c r="D10" s="234"/>
      <c r="E10" s="234"/>
      <c r="F10" s="234"/>
      <c r="G10" s="234"/>
      <c r="H10" s="234"/>
      <c r="I10" s="980"/>
    </row>
    <row r="11" spans="1:15">
      <c r="A11">
        <v>247</v>
      </c>
      <c r="B11" s="979">
        <v>44013</v>
      </c>
      <c r="C11" s="234"/>
      <c r="D11" s="234"/>
      <c r="E11" s="234"/>
      <c r="F11" s="234"/>
      <c r="G11" s="234"/>
      <c r="H11" s="234"/>
      <c r="I11" s="980"/>
    </row>
    <row r="12" spans="1:15">
      <c r="A12">
        <v>248</v>
      </c>
      <c r="B12" s="979">
        <v>44013</v>
      </c>
      <c r="C12" s="234"/>
      <c r="D12" s="234"/>
      <c r="E12" s="234"/>
      <c r="F12" s="234"/>
      <c r="G12" s="234"/>
      <c r="H12" s="234"/>
      <c r="I12" s="981"/>
    </row>
    <row r="13" spans="1:15">
      <c r="A13">
        <v>209</v>
      </c>
      <c r="B13" s="979">
        <v>44013</v>
      </c>
      <c r="C13" s="234"/>
      <c r="D13" s="234"/>
      <c r="E13" s="234"/>
      <c r="F13" s="234"/>
      <c r="G13" s="234"/>
      <c r="H13" s="234"/>
      <c r="I13" s="980"/>
    </row>
    <row r="14" spans="1:15">
      <c r="A14">
        <v>207</v>
      </c>
      <c r="B14" s="979">
        <v>44013</v>
      </c>
      <c r="C14" s="234"/>
      <c r="D14" s="234"/>
      <c r="E14" s="234"/>
      <c r="F14" s="234"/>
      <c r="G14" s="234"/>
      <c r="H14" s="234"/>
      <c r="I14" s="980"/>
    </row>
    <row r="15" spans="1:15">
      <c r="A15">
        <v>249</v>
      </c>
      <c r="B15" s="979">
        <v>44013</v>
      </c>
      <c r="C15" s="234"/>
      <c r="D15" s="234"/>
      <c r="E15" s="234"/>
      <c r="F15" s="234"/>
      <c r="G15" s="234"/>
      <c r="H15" s="234"/>
      <c r="I15" s="980"/>
    </row>
    <row r="16" spans="1:15">
      <c r="A16">
        <v>237</v>
      </c>
      <c r="B16" s="979">
        <v>44013</v>
      </c>
      <c r="C16" s="234"/>
      <c r="D16" s="234"/>
      <c r="E16" s="234"/>
      <c r="F16" s="234"/>
      <c r="G16" s="234"/>
      <c r="H16" s="234"/>
      <c r="I16" s="981"/>
    </row>
    <row r="17" spans="1:10">
      <c r="A17">
        <v>246</v>
      </c>
      <c r="B17" s="979">
        <v>44013</v>
      </c>
      <c r="C17" s="234"/>
      <c r="D17" s="234"/>
      <c r="E17" s="234"/>
      <c r="F17" s="234"/>
      <c r="G17" s="234"/>
      <c r="H17" s="234"/>
      <c r="I17" s="980"/>
    </row>
    <row r="18" spans="1:10">
      <c r="A18">
        <v>238</v>
      </c>
      <c r="B18" s="979">
        <v>44013</v>
      </c>
      <c r="C18" s="234"/>
      <c r="D18" s="234"/>
      <c r="E18" s="234"/>
      <c r="F18" s="234"/>
      <c r="G18" s="234"/>
      <c r="H18" s="234"/>
      <c r="I18" s="980"/>
    </row>
    <row r="19" spans="1:10">
      <c r="A19">
        <v>240</v>
      </c>
      <c r="B19" s="979">
        <v>44013</v>
      </c>
      <c r="C19" s="234"/>
      <c r="D19" s="234"/>
      <c r="E19" s="234"/>
      <c r="F19" s="234"/>
      <c r="G19" s="234"/>
      <c r="H19" s="234"/>
      <c r="I19" s="980"/>
      <c r="J19" s="234">
        <v>81721407.839354143</v>
      </c>
    </row>
    <row r="20" spans="1:10">
      <c r="A20">
        <v>242</v>
      </c>
      <c r="B20" s="979">
        <v>44013</v>
      </c>
      <c r="C20" s="234"/>
      <c r="D20" s="234"/>
      <c r="E20" s="234"/>
      <c r="F20" s="234"/>
      <c r="G20" s="234"/>
      <c r="H20" s="234"/>
      <c r="I20" s="980"/>
    </row>
    <row r="21" spans="1:10">
      <c r="A21">
        <v>245</v>
      </c>
      <c r="B21" s="979">
        <v>44013</v>
      </c>
      <c r="C21" s="234"/>
      <c r="D21" s="234"/>
      <c r="E21" s="234"/>
      <c r="F21" s="234"/>
      <c r="G21" s="234"/>
      <c r="H21" s="234"/>
      <c r="I21" s="980"/>
    </row>
    <row r="22" spans="1:10">
      <c r="A22">
        <v>257</v>
      </c>
      <c r="B22" s="979">
        <v>44013</v>
      </c>
      <c r="C22" s="234"/>
      <c r="D22" s="234"/>
      <c r="E22" s="234"/>
      <c r="F22" s="234"/>
      <c r="G22" s="234"/>
      <c r="H22" s="234"/>
      <c r="I22" s="980"/>
    </row>
    <row r="23" spans="1:10">
      <c r="A23">
        <v>239</v>
      </c>
      <c r="B23" s="979">
        <v>44013</v>
      </c>
      <c r="C23" s="234"/>
      <c r="D23" s="234"/>
      <c r="E23" s="234"/>
      <c r="F23" s="234"/>
      <c r="G23" s="234"/>
      <c r="H23" s="234"/>
      <c r="I23" s="980"/>
    </row>
    <row r="24" spans="1:10">
      <c r="A24">
        <v>232</v>
      </c>
      <c r="B24" s="979">
        <v>44075</v>
      </c>
      <c r="C24" s="234"/>
      <c r="D24" s="234"/>
      <c r="E24" s="234"/>
      <c r="F24" s="234"/>
      <c r="G24" s="234"/>
      <c r="H24" s="234"/>
      <c r="I24" s="980"/>
    </row>
    <row r="25" spans="1:10">
      <c r="A25">
        <v>222</v>
      </c>
      <c r="B25" s="979">
        <v>44075</v>
      </c>
      <c r="C25" s="234"/>
      <c r="D25" s="234"/>
      <c r="E25" s="234"/>
      <c r="F25" s="234"/>
      <c r="G25" s="234"/>
      <c r="H25" s="234"/>
      <c r="I25" s="980"/>
    </row>
    <row r="26" spans="1:10">
      <c r="A26">
        <v>202</v>
      </c>
      <c r="B26" s="979">
        <v>44075</v>
      </c>
      <c r="C26" s="234"/>
      <c r="D26" s="234"/>
      <c r="E26" s="234"/>
      <c r="F26" s="234"/>
      <c r="G26" s="234"/>
      <c r="H26" s="234"/>
      <c r="I26" s="980"/>
    </row>
    <row r="27" spans="1:10">
      <c r="A27">
        <v>260</v>
      </c>
      <c r="B27" s="979">
        <v>44075</v>
      </c>
      <c r="C27" s="234"/>
      <c r="D27" s="234"/>
      <c r="E27" s="234"/>
      <c r="F27" s="234"/>
      <c r="G27" s="234"/>
      <c r="H27" s="234"/>
      <c r="I27" s="980"/>
    </row>
    <row r="28" spans="1:10">
      <c r="A28">
        <v>230</v>
      </c>
      <c r="B28" s="979">
        <v>44075</v>
      </c>
      <c r="C28" s="234"/>
      <c r="D28" s="234"/>
      <c r="E28" s="234"/>
      <c r="F28" s="234"/>
      <c r="G28" s="234"/>
      <c r="H28" s="234"/>
      <c r="I28" s="980"/>
    </row>
    <row r="29" spans="1:10">
      <c r="A29">
        <v>221</v>
      </c>
      <c r="B29" s="979">
        <v>44075</v>
      </c>
      <c r="C29" s="234"/>
      <c r="D29" s="234"/>
      <c r="E29" s="234"/>
      <c r="F29" s="234"/>
      <c r="G29" s="234"/>
      <c r="H29" s="234"/>
      <c r="I29" s="980"/>
    </row>
    <row r="30" spans="1:10">
      <c r="A30">
        <v>218</v>
      </c>
      <c r="B30" s="979">
        <v>44075</v>
      </c>
      <c r="C30" s="234"/>
      <c r="D30" s="234"/>
      <c r="E30" s="234"/>
      <c r="F30" s="234"/>
      <c r="G30" s="234"/>
      <c r="H30" s="234"/>
      <c r="I30" s="980"/>
    </row>
    <row r="31" spans="1:10">
      <c r="A31">
        <v>261</v>
      </c>
      <c r="B31" s="979">
        <v>44075</v>
      </c>
      <c r="C31" s="234"/>
      <c r="D31" s="234"/>
      <c r="E31" s="234"/>
      <c r="F31" s="234"/>
      <c r="G31" s="234"/>
      <c r="H31" s="234"/>
      <c r="I31" s="980"/>
    </row>
    <row r="32" spans="1:10">
      <c r="A32">
        <v>262</v>
      </c>
      <c r="B32" s="979">
        <v>44075</v>
      </c>
      <c r="C32" s="234"/>
      <c r="D32" s="234"/>
      <c r="E32" s="234"/>
      <c r="F32" s="234"/>
      <c r="G32" s="234"/>
      <c r="H32" s="234"/>
      <c r="I32" s="980"/>
    </row>
    <row r="33" spans="1:9">
      <c r="A33">
        <v>227</v>
      </c>
      <c r="B33" s="979">
        <v>44075</v>
      </c>
      <c r="C33" s="234"/>
      <c r="D33" s="234"/>
      <c r="E33" s="234"/>
      <c r="F33" s="234"/>
      <c r="G33" s="234"/>
      <c r="H33" s="234"/>
      <c r="I33" s="980"/>
    </row>
    <row r="34" spans="1:9">
      <c r="A34">
        <v>231</v>
      </c>
      <c r="B34" s="979">
        <v>44075</v>
      </c>
      <c r="C34" s="234"/>
      <c r="D34" s="234"/>
      <c r="E34" s="234"/>
      <c r="F34" s="234"/>
      <c r="G34" s="234"/>
      <c r="H34" s="234"/>
      <c r="I34" s="980"/>
    </row>
    <row r="35" spans="1:9">
      <c r="A35">
        <v>216</v>
      </c>
      <c r="B35" s="979">
        <v>44075</v>
      </c>
      <c r="C35" s="234"/>
      <c r="D35" s="234"/>
      <c r="E35" s="234"/>
      <c r="F35" s="234"/>
      <c r="G35" s="234"/>
      <c r="H35" s="234"/>
      <c r="I35" s="980"/>
    </row>
    <row r="36" spans="1:9">
      <c r="A36">
        <v>229</v>
      </c>
      <c r="B36" s="979">
        <v>44075</v>
      </c>
      <c r="C36" s="234"/>
      <c r="D36" s="234"/>
      <c r="E36" s="234"/>
      <c r="F36" s="234"/>
      <c r="G36" s="234"/>
      <c r="H36" s="234"/>
      <c r="I36" s="980"/>
    </row>
    <row r="37" spans="1:9">
      <c r="A37">
        <v>215</v>
      </c>
      <c r="B37" s="979">
        <v>44075</v>
      </c>
      <c r="C37" s="234"/>
      <c r="D37" s="234"/>
      <c r="E37" s="234"/>
      <c r="F37" s="234"/>
      <c r="G37" s="234"/>
      <c r="H37" s="234"/>
      <c r="I37" s="980"/>
    </row>
    <row r="38" spans="1:9">
      <c r="A38">
        <v>224</v>
      </c>
      <c r="B38" s="979">
        <v>44075</v>
      </c>
      <c r="C38" s="234"/>
      <c r="D38" s="234"/>
      <c r="E38" s="234"/>
      <c r="F38" s="234"/>
      <c r="G38" s="234"/>
      <c r="H38" s="234"/>
      <c r="I38" s="980"/>
    </row>
    <row r="39" spans="1:9">
      <c r="A39">
        <v>226</v>
      </c>
      <c r="B39" s="979">
        <v>44075</v>
      </c>
      <c r="C39" s="234"/>
      <c r="D39" s="234"/>
      <c r="E39" s="234"/>
      <c r="F39" s="234"/>
      <c r="G39" s="234"/>
      <c r="H39" s="234"/>
      <c r="I39" s="980"/>
    </row>
    <row r="40" spans="1:9">
      <c r="A40">
        <v>234</v>
      </c>
      <c r="B40" s="979">
        <v>44075</v>
      </c>
      <c r="C40" s="234"/>
      <c r="D40" s="234"/>
      <c r="E40" s="234"/>
      <c r="F40" s="234"/>
      <c r="G40" s="234"/>
      <c r="H40" s="234"/>
      <c r="I40" s="980"/>
    </row>
    <row r="41" spans="1:9">
      <c r="A41">
        <v>223</v>
      </c>
      <c r="B41" s="979">
        <v>44075</v>
      </c>
      <c r="C41" s="234"/>
      <c r="D41" s="234"/>
      <c r="E41" s="234"/>
      <c r="F41" s="234"/>
      <c r="G41" s="234"/>
      <c r="H41" s="234"/>
      <c r="I41" s="980"/>
    </row>
    <row r="42" spans="1:9">
      <c r="A42">
        <v>225</v>
      </c>
      <c r="B42" s="979">
        <v>44075</v>
      </c>
      <c r="C42" s="234"/>
      <c r="D42" s="234"/>
      <c r="E42" s="234"/>
      <c r="F42" s="234"/>
      <c r="G42" s="234"/>
      <c r="H42" s="234"/>
      <c r="I42" s="980"/>
    </row>
    <row r="43" spans="1:9">
      <c r="A43">
        <v>228</v>
      </c>
      <c r="B43" s="979">
        <v>44075</v>
      </c>
      <c r="C43" s="234"/>
      <c r="D43" s="234"/>
      <c r="E43" s="234"/>
      <c r="F43" s="234"/>
      <c r="G43" s="234"/>
      <c r="H43" s="234"/>
      <c r="I43" s="980"/>
    </row>
    <row r="44" spans="1:9">
      <c r="A44">
        <v>220</v>
      </c>
      <c r="B44" s="979">
        <v>44075</v>
      </c>
      <c r="C44" s="234"/>
      <c r="D44" s="234"/>
      <c r="E44" s="234"/>
      <c r="F44" s="234"/>
      <c r="G44" s="234"/>
      <c r="H44" s="234"/>
      <c r="I44" s="980"/>
    </row>
    <row r="45" spans="1:9">
      <c r="A45">
        <v>201</v>
      </c>
      <c r="B45" s="979">
        <v>44136</v>
      </c>
      <c r="C45" s="234"/>
      <c r="D45" s="234"/>
      <c r="E45" s="234"/>
      <c r="F45" s="234"/>
      <c r="G45" s="234"/>
      <c r="H45" s="234"/>
      <c r="I45" s="980"/>
    </row>
    <row r="46" spans="1:9">
      <c r="A46">
        <v>213</v>
      </c>
      <c r="B46" s="979">
        <v>44136</v>
      </c>
      <c r="C46" s="234"/>
      <c r="D46" s="234"/>
      <c r="E46" s="234"/>
      <c r="F46" s="234"/>
      <c r="G46" s="234"/>
      <c r="H46" s="234"/>
      <c r="I46" s="980"/>
    </row>
    <row r="47" spans="1:9">
      <c r="A47">
        <v>219</v>
      </c>
      <c r="B47" s="979">
        <v>44136</v>
      </c>
      <c r="C47" s="234"/>
      <c r="D47" s="234"/>
      <c r="E47" s="234"/>
      <c r="F47" s="234"/>
      <c r="G47" s="234"/>
      <c r="H47" s="234"/>
      <c r="I47" s="980"/>
    </row>
    <row r="48" spans="1:9">
      <c r="A48">
        <v>205</v>
      </c>
      <c r="B48" s="979">
        <v>44136</v>
      </c>
      <c r="C48" s="234"/>
      <c r="D48" s="234"/>
      <c r="E48" s="234"/>
      <c r="F48" s="234"/>
      <c r="G48" s="234"/>
      <c r="H48" s="234"/>
      <c r="I48" s="980"/>
    </row>
    <row r="49" spans="1:10">
      <c r="A49">
        <v>208</v>
      </c>
      <c r="B49" s="979">
        <v>44136</v>
      </c>
      <c r="C49" s="234"/>
      <c r="D49" s="234"/>
      <c r="E49" s="234"/>
      <c r="F49" s="234"/>
      <c r="G49" s="234"/>
      <c r="H49" s="234"/>
      <c r="I49" s="980"/>
    </row>
    <row r="50" spans="1:10">
      <c r="A50">
        <v>263</v>
      </c>
      <c r="B50" s="979">
        <v>44166</v>
      </c>
      <c r="C50" s="234"/>
      <c r="D50" s="234"/>
      <c r="F50" s="234"/>
      <c r="G50" s="234"/>
      <c r="H50" s="234"/>
      <c r="I50" s="980"/>
      <c r="J50" s="234">
        <v>5389974.3136365721</v>
      </c>
    </row>
    <row r="51" spans="1:10">
      <c r="A51">
        <v>217</v>
      </c>
      <c r="B51" s="979">
        <v>44166</v>
      </c>
      <c r="C51" s="234"/>
      <c r="D51" s="234"/>
      <c r="E51" s="234"/>
      <c r="F51" s="234"/>
      <c r="G51" s="234"/>
      <c r="H51" s="234"/>
      <c r="I51" s="980"/>
      <c r="J51" s="234"/>
    </row>
    <row r="52" spans="1:10">
      <c r="A52">
        <v>264</v>
      </c>
      <c r="B52" s="979">
        <v>44166</v>
      </c>
      <c r="C52" s="234"/>
      <c r="D52" s="234"/>
      <c r="F52" s="234"/>
      <c r="G52" s="234"/>
      <c r="H52" s="234"/>
      <c r="I52" s="980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Z4" zoomScaleNormal="100" workbookViewId="0">
      <selection activeCell="AC14" sqref="AC14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08" t="s">
        <v>12</v>
      </c>
      <c r="C1" s="1009"/>
      <c r="D1" s="1009"/>
      <c r="E1" s="1010" t="s">
        <v>13</v>
      </c>
      <c r="F1" s="1011">
        <f ca="1">LnkTXTIRTEco</f>
        <v>0.14499999999999999</v>
      </c>
    </row>
    <row r="2" spans="2:43" ht="28.5" customHeight="1">
      <c r="B2" s="138" t="str">
        <f>CAPA!C9</f>
        <v>Certel</v>
      </c>
      <c r="C2" s="70"/>
      <c r="D2" s="70"/>
      <c r="E2" s="84" t="s">
        <v>14</v>
      </c>
      <c r="F2" s="85">
        <f ca="1">LnkTXTIRTTotal</f>
        <v>7.5999999999999998E-2</v>
      </c>
      <c r="M2" s="86"/>
      <c r="N2" s="87"/>
      <c r="AA2" s="903"/>
      <c r="AB2" s="978"/>
      <c r="AC2" s="903"/>
      <c r="AD2" s="903"/>
    </row>
    <row r="3" spans="2:43" ht="21" customHeight="1">
      <c r="B3" s="1012" t="s">
        <v>15</v>
      </c>
      <c r="C3" s="822"/>
      <c r="I3" s="1012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13" t="s">
        <v>17</v>
      </c>
      <c r="C5" s="1014">
        <v>435964.45999999996</v>
      </c>
      <c r="D5" s="1766" t="s">
        <v>18</v>
      </c>
      <c r="E5" s="91"/>
      <c r="F5" s="72"/>
      <c r="G5" s="72"/>
      <c r="H5" s="72" t="s">
        <v>19</v>
      </c>
      <c r="I5" s="492" t="s">
        <v>20</v>
      </c>
      <c r="J5" s="492" t="s">
        <v>21</v>
      </c>
      <c r="K5" s="492"/>
      <c r="L5" s="492" t="s">
        <v>22</v>
      </c>
      <c r="M5" s="492" t="s">
        <v>23</v>
      </c>
      <c r="N5" s="492" t="s">
        <v>24</v>
      </c>
      <c r="O5" s="492"/>
      <c r="P5" s="492"/>
      <c r="Q5" s="492" t="s">
        <v>25</v>
      </c>
      <c r="R5" s="492" t="s">
        <v>26</v>
      </c>
      <c r="S5" s="821" t="s">
        <v>27</v>
      </c>
      <c r="T5" s="492" t="s">
        <v>28</v>
      </c>
      <c r="U5" s="71" t="s">
        <v>29</v>
      </c>
      <c r="V5" s="821" t="s">
        <v>30</v>
      </c>
      <c r="AA5" s="68" t="s">
        <v>31</v>
      </c>
      <c r="AB5" s="68" t="s">
        <v>32</v>
      </c>
      <c r="AC5" s="68" t="s">
        <v>20</v>
      </c>
      <c r="AD5" s="903" t="s">
        <v>33</v>
      </c>
      <c r="AE5" s="903" t="s">
        <v>2175</v>
      </c>
      <c r="AI5" s="944" t="s">
        <v>34</v>
      </c>
      <c r="AJ5" s="944" t="s">
        <v>35</v>
      </c>
      <c r="AL5" s="959" t="s">
        <v>36</v>
      </c>
      <c r="AM5" s="959" t="s">
        <v>37</v>
      </c>
      <c r="AO5" s="903" t="s">
        <v>2203</v>
      </c>
      <c r="AP5" s="903" t="s">
        <v>37</v>
      </c>
      <c r="AQ5" s="903" t="s">
        <v>2204</v>
      </c>
    </row>
    <row r="6" spans="2:43" ht="16.5">
      <c r="B6" s="94"/>
      <c r="C6" s="89"/>
      <c r="D6" s="1767"/>
      <c r="E6" s="91"/>
      <c r="F6" s="72"/>
      <c r="G6" s="72"/>
      <c r="H6" s="68" t="str">
        <f>CONCATENATE(W6,J6,L6,O6)</f>
        <v>396A4Não se aplicaEnergia</v>
      </c>
      <c r="I6" s="1015">
        <v>2022</v>
      </c>
      <c r="J6" s="1016" t="s">
        <v>597</v>
      </c>
      <c r="K6" s="1016" t="s">
        <v>829</v>
      </c>
      <c r="L6" s="1016" t="s">
        <v>1322</v>
      </c>
      <c r="M6" s="1016" t="s">
        <v>201</v>
      </c>
      <c r="N6" s="1016">
        <v>7371</v>
      </c>
      <c r="O6" s="1016" t="s">
        <v>120</v>
      </c>
      <c r="P6" s="1016" t="s">
        <v>830</v>
      </c>
      <c r="Q6" s="1017">
        <v>44734</v>
      </c>
      <c r="R6" s="1017">
        <v>44732</v>
      </c>
      <c r="S6" s="520" t="s">
        <v>2310</v>
      </c>
      <c r="T6" s="1017" t="s">
        <v>2311</v>
      </c>
      <c r="U6" s="1016">
        <v>11.36</v>
      </c>
      <c r="V6" s="1016">
        <v>167</v>
      </c>
      <c r="W6" s="68">
        <f>VLOOKUP(V6,DescontosTE[[#All],[idsreag supridora]:[codsariSUP]],2,FALSE)</f>
        <v>396</v>
      </c>
      <c r="AA6" s="904" t="s">
        <v>1228</v>
      </c>
      <c r="AB6" s="905">
        <v>1.1570259400511035E-3</v>
      </c>
      <c r="AC6" s="904">
        <v>2022</v>
      </c>
      <c r="AD6" s="904">
        <v>349.15</v>
      </c>
      <c r="AE6" s="904">
        <v>15478.829103824472</v>
      </c>
      <c r="AI6" s="957">
        <v>44287</v>
      </c>
      <c r="AJ6" s="958">
        <v>98862.58</v>
      </c>
      <c r="AL6" s="960" t="s">
        <v>2366</v>
      </c>
      <c r="AM6" s="961">
        <v>0</v>
      </c>
      <c r="AO6" s="1609" t="s">
        <v>2221</v>
      </c>
      <c r="AP6" s="1610">
        <v>0</v>
      </c>
      <c r="AQ6" s="1610"/>
    </row>
    <row r="7" spans="2:43" ht="16.5">
      <c r="B7" s="1018" t="s">
        <v>38</v>
      </c>
      <c r="C7" s="1019">
        <v>0</v>
      </c>
      <c r="D7" s="1767"/>
      <c r="E7" s="72"/>
      <c r="F7" s="72"/>
      <c r="G7" s="72"/>
      <c r="H7" s="68" t="str">
        <f t="shared" ref="H7:H30" si="0">CONCATENATE(W7,J7,L7,O7)</f>
        <v>396A4Fora pontaPotência</v>
      </c>
      <c r="I7" s="518">
        <v>2022</v>
      </c>
      <c r="J7" s="519" t="s">
        <v>597</v>
      </c>
      <c r="K7" s="519" t="s">
        <v>829</v>
      </c>
      <c r="L7" s="519" t="s">
        <v>2244</v>
      </c>
      <c r="M7" s="519" t="s">
        <v>201</v>
      </c>
      <c r="N7" s="519">
        <v>7371</v>
      </c>
      <c r="O7" s="519" t="s">
        <v>1321</v>
      </c>
      <c r="P7" s="519" t="s">
        <v>830</v>
      </c>
      <c r="Q7" s="520">
        <v>44734</v>
      </c>
      <c r="R7" s="520">
        <v>44732</v>
      </c>
      <c r="S7" s="520" t="s">
        <v>2310</v>
      </c>
      <c r="T7" s="520" t="s">
        <v>2311</v>
      </c>
      <c r="U7" s="519">
        <v>19.98</v>
      </c>
      <c r="V7" s="519">
        <v>167</v>
      </c>
      <c r="W7" s="68">
        <f>VLOOKUP(V7,DescontosTE[[#All],[idsreag supridora]:[codsariSUP]],2,FALSE)</f>
        <v>396</v>
      </c>
      <c r="AA7" s="904"/>
      <c r="AB7" s="905"/>
      <c r="AC7" s="904"/>
      <c r="AD7" s="904"/>
      <c r="AE7" s="904"/>
      <c r="AI7" s="957">
        <v>44317</v>
      </c>
      <c r="AJ7" s="958">
        <v>100021.49</v>
      </c>
      <c r="AL7" s="960" t="s">
        <v>2367</v>
      </c>
      <c r="AM7" s="961">
        <v>0</v>
      </c>
      <c r="AO7" s="1609" t="s">
        <v>2222</v>
      </c>
      <c r="AP7" s="1610">
        <v>-2292080.11</v>
      </c>
      <c r="AQ7" s="1610"/>
    </row>
    <row r="8" spans="2:43" ht="16.5">
      <c r="B8" s="94" t="s">
        <v>39</v>
      </c>
      <c r="C8" s="120">
        <v>0</v>
      </c>
      <c r="D8" s="1767"/>
      <c r="E8" s="72"/>
      <c r="F8" s="72"/>
      <c r="G8" s="72"/>
      <c r="H8" s="68" t="str">
        <f t="shared" si="0"/>
        <v>396A3Não se aplicaEnergia</v>
      </c>
      <c r="I8" s="518">
        <v>2022</v>
      </c>
      <c r="J8" s="519" t="s">
        <v>599</v>
      </c>
      <c r="K8" s="519" t="s">
        <v>829</v>
      </c>
      <c r="L8" s="519" t="s">
        <v>1322</v>
      </c>
      <c r="M8" s="519" t="s">
        <v>201</v>
      </c>
      <c r="N8" s="519">
        <v>7371</v>
      </c>
      <c r="O8" s="519" t="s">
        <v>120</v>
      </c>
      <c r="P8" s="519" t="s">
        <v>830</v>
      </c>
      <c r="Q8" s="520">
        <v>44734</v>
      </c>
      <c r="R8" s="520">
        <v>44732</v>
      </c>
      <c r="S8" s="520" t="s">
        <v>2310</v>
      </c>
      <c r="T8" s="520" t="s">
        <v>2311</v>
      </c>
      <c r="U8" s="519">
        <v>0</v>
      </c>
      <c r="V8" s="519">
        <v>167</v>
      </c>
      <c r="W8" s="68">
        <f>VLOOKUP(V8,DescontosTE[[#All],[idsreag supridora]:[codsariSUP]],2,FALSE)</f>
        <v>396</v>
      </c>
      <c r="AI8" s="957">
        <v>44348</v>
      </c>
      <c r="AJ8" s="958">
        <v>96891.56</v>
      </c>
      <c r="AL8" s="960" t="s">
        <v>2368</v>
      </c>
      <c r="AM8" s="961">
        <v>0</v>
      </c>
      <c r="AO8" s="1609" t="s">
        <v>2223</v>
      </c>
      <c r="AP8" s="1610">
        <v>0</v>
      </c>
      <c r="AQ8" s="1610"/>
    </row>
    <row r="9" spans="2:43" ht="16.5">
      <c r="B9" s="94" t="s">
        <v>40</v>
      </c>
      <c r="C9" s="120">
        <v>448320.27033288899</v>
      </c>
      <c r="D9" s="1767"/>
      <c r="E9" s="72"/>
      <c r="F9" s="72"/>
      <c r="G9" s="72"/>
      <c r="H9" s="68" t="str">
        <f t="shared" si="0"/>
        <v>396A3PontaPotência</v>
      </c>
      <c r="I9" s="518">
        <v>2022</v>
      </c>
      <c r="J9" s="519" t="s">
        <v>599</v>
      </c>
      <c r="K9" s="519" t="s">
        <v>829</v>
      </c>
      <c r="L9" s="519" t="s">
        <v>973</v>
      </c>
      <c r="M9" s="519" t="s">
        <v>201</v>
      </c>
      <c r="N9" s="519">
        <v>7371</v>
      </c>
      <c r="O9" s="519" t="s">
        <v>1321</v>
      </c>
      <c r="P9" s="519" t="s">
        <v>830</v>
      </c>
      <c r="Q9" s="520">
        <v>44734</v>
      </c>
      <c r="R9" s="520">
        <v>44732</v>
      </c>
      <c r="S9" s="520" t="s">
        <v>2310</v>
      </c>
      <c r="T9" s="520" t="s">
        <v>2311</v>
      </c>
      <c r="U9" s="519">
        <v>0</v>
      </c>
      <c r="V9" s="519">
        <v>167</v>
      </c>
      <c r="W9" s="68">
        <f>VLOOKUP(V9,DescontosTE[[#All],[idsreag supridora]:[codsariSUP]],2,FALSE)</f>
        <v>396</v>
      </c>
      <c r="AI9" s="957">
        <v>44378</v>
      </c>
      <c r="AJ9" s="958">
        <v>84634.48</v>
      </c>
      <c r="AL9" s="960" t="s">
        <v>2369</v>
      </c>
      <c r="AM9" s="961"/>
      <c r="AO9" s="1609"/>
      <c r="AP9" s="1610"/>
      <c r="AQ9" s="1610" t="s">
        <v>2224</v>
      </c>
    </row>
    <row r="10" spans="2:43" ht="16.5">
      <c r="B10" s="94" t="s">
        <v>41</v>
      </c>
      <c r="C10" s="120">
        <v>24866757.67306</v>
      </c>
      <c r="D10" s="1767"/>
      <c r="H10" s="68" t="str">
        <f t="shared" si="0"/>
        <v>396A3Fora pontaPotência</v>
      </c>
      <c r="I10" s="518">
        <v>2022</v>
      </c>
      <c r="J10" s="519" t="s">
        <v>599</v>
      </c>
      <c r="K10" s="519" t="s">
        <v>829</v>
      </c>
      <c r="L10" s="519" t="s">
        <v>2244</v>
      </c>
      <c r="M10" s="519" t="s">
        <v>201</v>
      </c>
      <c r="N10" s="519">
        <v>7371</v>
      </c>
      <c r="O10" s="519" t="s">
        <v>1321</v>
      </c>
      <c r="P10" s="519" t="s">
        <v>830</v>
      </c>
      <c r="Q10" s="520">
        <v>44734</v>
      </c>
      <c r="R10" s="520">
        <v>44732</v>
      </c>
      <c r="S10" s="520" t="s">
        <v>2310</v>
      </c>
      <c r="T10" s="520" t="s">
        <v>2311</v>
      </c>
      <c r="U10" s="519">
        <v>0</v>
      </c>
      <c r="V10" s="519">
        <v>167</v>
      </c>
      <c r="W10" s="68">
        <f>VLOOKUP(V10,DescontosTE[[#All],[idsreag supridora]:[codsariSUP]],2,FALSE)</f>
        <v>396</v>
      </c>
      <c r="AA10" s="68" t="s">
        <v>42</v>
      </c>
      <c r="AB10" s="68" t="s">
        <v>43</v>
      </c>
      <c r="AC10" s="68" t="s">
        <v>44</v>
      </c>
      <c r="AD10" s="909" t="s">
        <v>45</v>
      </c>
      <c r="AI10" s="957">
        <v>44409</v>
      </c>
      <c r="AJ10" s="958">
        <v>85130.43</v>
      </c>
      <c r="AL10" s="960" t="s">
        <v>2370</v>
      </c>
      <c r="AM10" s="961">
        <v>0</v>
      </c>
    </row>
    <row r="11" spans="2:43" ht="16.5">
      <c r="B11" s="94" t="s">
        <v>46</v>
      </c>
      <c r="C11" s="120">
        <v>1237876.58</v>
      </c>
      <c r="D11" s="1767"/>
      <c r="H11" s="68" t="str">
        <f t="shared" si="0"/>
        <v>396A4PontaPotência</v>
      </c>
      <c r="I11" s="518">
        <v>2022</v>
      </c>
      <c r="J11" s="519" t="s">
        <v>597</v>
      </c>
      <c r="K11" s="519" t="s">
        <v>829</v>
      </c>
      <c r="L11" s="519" t="s">
        <v>973</v>
      </c>
      <c r="M11" s="519" t="s">
        <v>201</v>
      </c>
      <c r="N11" s="519">
        <v>7371</v>
      </c>
      <c r="O11" s="519" t="s">
        <v>1321</v>
      </c>
      <c r="P11" s="519" t="s">
        <v>830</v>
      </c>
      <c r="Q11" s="520">
        <v>44734</v>
      </c>
      <c r="R11" s="520">
        <v>44732</v>
      </c>
      <c r="S11" s="520" t="s">
        <v>2310</v>
      </c>
      <c r="T11" s="520" t="s">
        <v>2311</v>
      </c>
      <c r="U11" s="519">
        <v>26.9</v>
      </c>
      <c r="V11" s="519">
        <v>167</v>
      </c>
      <c r="W11" s="68">
        <f>VLOOKUP(V11,DescontosTE[[#All],[idsreag supridora]:[codsariSUP]],2,FALSE)</f>
        <v>396</v>
      </c>
      <c r="AA11" s="1653">
        <v>0.88500000000000001</v>
      </c>
      <c r="AB11" s="1654">
        <v>195.04</v>
      </c>
      <c r="AC11" s="904">
        <v>14739.74</v>
      </c>
      <c r="AD11" s="904">
        <v>1.2406221000000001E-3</v>
      </c>
      <c r="AI11" s="957">
        <v>44440</v>
      </c>
      <c r="AJ11" s="958">
        <v>84983.35</v>
      </c>
      <c r="AL11" s="960" t="s">
        <v>2371</v>
      </c>
      <c r="AM11" s="961">
        <v>0</v>
      </c>
    </row>
    <row r="12" spans="2:43" ht="16.5">
      <c r="B12" s="94" t="s">
        <v>47</v>
      </c>
      <c r="C12" s="120">
        <v>4048042.5462799999</v>
      </c>
      <c r="D12" s="1767"/>
      <c r="H12" s="68" t="e">
        <f t="shared" si="0"/>
        <v>#N/A</v>
      </c>
      <c r="I12" s="518"/>
      <c r="J12" s="519"/>
      <c r="K12" s="519"/>
      <c r="L12" s="519"/>
      <c r="M12" s="519"/>
      <c r="N12" s="519"/>
      <c r="O12" s="519"/>
      <c r="P12" s="519"/>
      <c r="Q12" s="520"/>
      <c r="R12" s="520"/>
      <c r="S12" s="520"/>
      <c r="T12" s="520"/>
      <c r="U12" s="519"/>
      <c r="V12" s="519"/>
      <c r="W12" s="68" t="e">
        <f>VLOOKUP(V12,DescontosTE[[#All],[idsreag supridora]:[codsariSUP]],2,FALSE)</f>
        <v>#N/A</v>
      </c>
      <c r="AI12" s="957">
        <v>44470</v>
      </c>
      <c r="AJ12" s="958">
        <v>84947.28</v>
      </c>
      <c r="AL12" s="960" t="s">
        <v>2372</v>
      </c>
      <c r="AM12" s="961">
        <v>0</v>
      </c>
    </row>
    <row r="13" spans="2:43" ht="16.5">
      <c r="B13" s="94" t="s">
        <v>48</v>
      </c>
      <c r="C13" s="120">
        <v>0</v>
      </c>
      <c r="D13" s="1767"/>
      <c r="H13" s="68" t="e">
        <f t="shared" si="0"/>
        <v>#N/A</v>
      </c>
      <c r="I13" s="518"/>
      <c r="J13" s="519"/>
      <c r="K13" s="519"/>
      <c r="L13" s="519"/>
      <c r="M13" s="519"/>
      <c r="N13" s="519"/>
      <c r="O13" s="519"/>
      <c r="P13" s="519"/>
      <c r="Q13" s="520"/>
      <c r="R13" s="520"/>
      <c r="S13" s="520"/>
      <c r="T13" s="520"/>
      <c r="U13" s="519"/>
      <c r="V13" s="519"/>
      <c r="W13" s="68" t="e">
        <f>VLOOKUP(V13,DescontosTE[[#All],[idsreag supridora]:[codsariSUP]],2,FALSE)</f>
        <v>#N/A</v>
      </c>
      <c r="AI13" s="957">
        <v>44501</v>
      </c>
      <c r="AJ13" s="958">
        <v>85179.49</v>
      </c>
      <c r="AL13" s="960" t="s">
        <v>2373</v>
      </c>
      <c r="AM13" s="961">
        <v>0</v>
      </c>
    </row>
    <row r="14" spans="2:43" ht="16.5">
      <c r="B14" s="94" t="s">
        <v>49</v>
      </c>
      <c r="C14" s="120">
        <v>0</v>
      </c>
      <c r="D14" s="1767"/>
      <c r="H14" s="68" t="e">
        <f t="shared" si="0"/>
        <v>#N/A</v>
      </c>
      <c r="I14" s="518"/>
      <c r="J14" s="519"/>
      <c r="K14" s="519"/>
      <c r="L14" s="519"/>
      <c r="M14" s="519"/>
      <c r="N14" s="519"/>
      <c r="O14" s="519"/>
      <c r="P14" s="519"/>
      <c r="Q14" s="520"/>
      <c r="R14" s="520"/>
      <c r="S14" s="520"/>
      <c r="T14" s="520"/>
      <c r="U14" s="519"/>
      <c r="V14" s="519"/>
      <c r="W14" s="68" t="e">
        <f>VLOOKUP(V14,DescontosTE[[#All],[idsreag supridora]:[codsariSUP]],2,FALSE)</f>
        <v>#N/A</v>
      </c>
      <c r="AA14" s="834"/>
      <c r="AB14" s="834"/>
      <c r="AC14" s="834"/>
      <c r="AI14" s="957">
        <v>44531</v>
      </c>
      <c r="AJ14" s="958">
        <v>81492.41</v>
      </c>
      <c r="AL14" s="960" t="s">
        <v>2374</v>
      </c>
      <c r="AM14" s="961">
        <v>0</v>
      </c>
    </row>
    <row r="15" spans="2:43" ht="16.5">
      <c r="B15" s="1020" t="s">
        <v>2176</v>
      </c>
      <c r="C15" s="1021">
        <v>6350526.4092792096</v>
      </c>
      <c r="D15" s="1767"/>
      <c r="F15" s="93"/>
      <c r="H15" s="68" t="e">
        <f t="shared" si="0"/>
        <v>#N/A</v>
      </c>
      <c r="I15" s="518"/>
      <c r="J15" s="519"/>
      <c r="K15" s="519"/>
      <c r="L15" s="519"/>
      <c r="M15" s="519"/>
      <c r="N15" s="519"/>
      <c r="O15" s="519"/>
      <c r="P15" s="519"/>
      <c r="Q15" s="520"/>
      <c r="R15" s="520"/>
      <c r="S15" s="520"/>
      <c r="T15" s="520"/>
      <c r="U15" s="519"/>
      <c r="V15" s="519"/>
      <c r="W15" s="68" t="e">
        <f>VLOOKUP(V15,DescontosTE[[#All],[idsreag supridora]:[codsariSUP]],2,FALSE)</f>
        <v>#N/A</v>
      </c>
      <c r="AA15" s="963" t="s">
        <v>122</v>
      </c>
      <c r="AB15" s="963" t="s">
        <v>978</v>
      </c>
      <c r="AC15" s="834"/>
      <c r="AI15" s="957">
        <v>44562</v>
      </c>
      <c r="AJ15" s="958">
        <v>81305.89</v>
      </c>
      <c r="AL15" s="960"/>
      <c r="AM15" s="961"/>
    </row>
    <row r="16" spans="2:43" ht="16.5">
      <c r="D16" s="1767"/>
      <c r="F16" s="93"/>
      <c r="H16" s="68" t="e">
        <f t="shared" si="0"/>
        <v>#N/A</v>
      </c>
      <c r="I16" s="518"/>
      <c r="J16" s="519"/>
      <c r="K16" s="519"/>
      <c r="L16" s="519"/>
      <c r="M16" s="519"/>
      <c r="N16" s="519"/>
      <c r="O16" s="519"/>
      <c r="P16" s="519"/>
      <c r="Q16" s="520"/>
      <c r="R16" s="520"/>
      <c r="S16" s="520"/>
      <c r="T16" s="520"/>
      <c r="U16" s="519"/>
      <c r="V16" s="519"/>
      <c r="W16" s="68" t="e">
        <f>VLOOKUP(V16,DescontosTE[[#All],[idsreag supridora]:[codsariSUP]],2,FALSE)</f>
        <v>#N/A</v>
      </c>
      <c r="AA16" s="904">
        <v>2022</v>
      </c>
      <c r="AB16" s="905">
        <v>7485.8213413858921</v>
      </c>
      <c r="AC16" s="903"/>
      <c r="AI16" s="957">
        <v>44593</v>
      </c>
      <c r="AJ16" s="958">
        <v>84653.4</v>
      </c>
      <c r="AL16" s="960"/>
      <c r="AM16" s="961"/>
    </row>
    <row r="17" spans="2:42" ht="16.5">
      <c r="B17" s="1013" t="s">
        <v>50</v>
      </c>
      <c r="C17" s="1022"/>
      <c r="D17" s="1767"/>
      <c r="F17" s="93"/>
      <c r="H17" s="68" t="e">
        <f t="shared" si="0"/>
        <v>#N/A</v>
      </c>
      <c r="I17" s="518"/>
      <c r="J17" s="519"/>
      <c r="K17" s="519"/>
      <c r="L17" s="519"/>
      <c r="M17" s="519"/>
      <c r="N17" s="519"/>
      <c r="O17" s="519"/>
      <c r="P17" s="519"/>
      <c r="Q17" s="520"/>
      <c r="R17" s="520"/>
      <c r="S17" s="520"/>
      <c r="T17" s="520"/>
      <c r="U17" s="519"/>
      <c r="V17" s="519"/>
      <c r="W17" s="68" t="e">
        <f>VLOOKUP(V17,DescontosTE[[#All],[idsreag supridora]:[codsariSUP]],2,FALSE)</f>
        <v>#N/A</v>
      </c>
      <c r="AI17" s="957">
        <v>44621</v>
      </c>
      <c r="AJ17" s="958">
        <v>140564.63</v>
      </c>
      <c r="AL17" s="910"/>
      <c r="AM17" s="905"/>
    </row>
    <row r="18" spans="2:42" ht="16.5">
      <c r="B18" s="94" t="s">
        <v>51</v>
      </c>
      <c r="C18" s="120">
        <v>10280640</v>
      </c>
      <c r="D18" s="1767"/>
      <c r="F18" s="93"/>
      <c r="H18" s="68" t="e">
        <f t="shared" si="0"/>
        <v>#N/A</v>
      </c>
      <c r="I18" s="518"/>
      <c r="J18" s="519"/>
      <c r="K18" s="519"/>
      <c r="L18" s="519"/>
      <c r="M18" s="519"/>
      <c r="N18" s="519"/>
      <c r="O18" s="519"/>
      <c r="P18" s="519"/>
      <c r="Q18" s="520"/>
      <c r="R18" s="520"/>
      <c r="S18" s="520"/>
      <c r="T18" s="520"/>
      <c r="U18" s="519"/>
      <c r="V18" s="519"/>
      <c r="W18" s="68" t="e">
        <f>VLOOKUP(V18,DescontosTE[[#All],[idsreag supridora]:[codsariSUP]],2,FALSE)</f>
        <v>#N/A</v>
      </c>
      <c r="AI18" s="957">
        <v>44652</v>
      </c>
      <c r="AJ18" s="958">
        <v>92232.97</v>
      </c>
      <c r="AL18" s="910"/>
      <c r="AM18" s="905"/>
    </row>
    <row r="19" spans="2:42" ht="16.5">
      <c r="B19" s="94" t="s">
        <v>52</v>
      </c>
      <c r="C19" s="120">
        <v>2211840</v>
      </c>
      <c r="D19" s="1767"/>
      <c r="F19" s="93"/>
      <c r="H19" s="68" t="e">
        <f t="shared" si="0"/>
        <v>#N/A</v>
      </c>
      <c r="I19" s="518"/>
      <c r="J19" s="519"/>
      <c r="K19" s="519"/>
      <c r="L19" s="519"/>
      <c r="M19" s="519"/>
      <c r="N19" s="519"/>
      <c r="O19" s="519"/>
      <c r="P19" s="519"/>
      <c r="Q19" s="520"/>
      <c r="R19" s="520"/>
      <c r="S19" s="520"/>
      <c r="T19" s="520"/>
      <c r="U19" s="519"/>
      <c r="V19" s="519"/>
      <c r="W19" s="68" t="e">
        <f>VLOOKUP(V19,DescontosTE[[#All],[idsreag supridora]:[codsariSUP]],2,FALSE)</f>
        <v>#N/A</v>
      </c>
      <c r="AI19" s="957">
        <v>44682</v>
      </c>
      <c r="AJ19" s="958">
        <v>82638.86</v>
      </c>
    </row>
    <row r="20" spans="2:42" ht="16.5">
      <c r="B20" s="94" t="s">
        <v>53</v>
      </c>
      <c r="C20" s="120"/>
      <c r="D20" s="1767"/>
      <c r="F20" s="93"/>
      <c r="H20" s="68" t="e">
        <f t="shared" si="0"/>
        <v>#N/A</v>
      </c>
      <c r="I20" s="518"/>
      <c r="J20" s="519"/>
      <c r="K20" s="519"/>
      <c r="L20" s="519"/>
      <c r="M20" s="519"/>
      <c r="N20" s="519"/>
      <c r="O20" s="519"/>
      <c r="P20" s="519"/>
      <c r="Q20" s="520"/>
      <c r="R20" s="520"/>
      <c r="S20" s="520"/>
      <c r="T20" s="520"/>
      <c r="U20" s="519"/>
      <c r="V20" s="519"/>
      <c r="W20" s="68" t="e">
        <f>VLOOKUP(V20,DescontosTE[[#All],[idsreag supridora]:[codsariSUP]],2,FALSE)</f>
        <v>#N/A</v>
      </c>
      <c r="AA20" s="906" t="s">
        <v>54</v>
      </c>
      <c r="AB20" s="906"/>
      <c r="AC20" s="907"/>
      <c r="AD20" s="907"/>
      <c r="AE20" s="907"/>
      <c r="AF20" s="907"/>
      <c r="AG20" s="908"/>
      <c r="AI20" s="910"/>
      <c r="AJ20" s="905"/>
    </row>
    <row r="21" spans="2:42" ht="16.5">
      <c r="B21" s="94" t="s">
        <v>55</v>
      </c>
      <c r="C21" s="120"/>
      <c r="D21" s="1767"/>
      <c r="F21" s="93"/>
      <c r="H21" s="68" t="e">
        <f t="shared" si="0"/>
        <v>#N/A</v>
      </c>
      <c r="I21" s="518"/>
      <c r="J21" s="519"/>
      <c r="K21" s="519"/>
      <c r="L21" s="519"/>
      <c r="M21" s="519"/>
      <c r="N21" s="519"/>
      <c r="O21" s="519"/>
      <c r="P21" s="519"/>
      <c r="Q21" s="520"/>
      <c r="R21" s="520"/>
      <c r="S21" s="520"/>
      <c r="T21" s="520"/>
      <c r="U21" s="519"/>
      <c r="V21" s="519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67"/>
      <c r="H22" s="68" t="e">
        <f t="shared" si="0"/>
        <v>#N/A</v>
      </c>
      <c r="I22" s="518"/>
      <c r="J22" s="519"/>
      <c r="K22" s="519"/>
      <c r="L22" s="519"/>
      <c r="M22" s="519"/>
      <c r="N22" s="519"/>
      <c r="O22" s="519"/>
      <c r="P22" s="519"/>
      <c r="Q22" s="520"/>
      <c r="R22" s="520"/>
      <c r="S22" s="520"/>
      <c r="T22" s="520"/>
      <c r="U22" s="519"/>
      <c r="V22" s="519"/>
      <c r="W22" s="68" t="e">
        <f>VLOOKUP(V22,DescontosTE[[#All],[idsreag supridora]:[codsariSUP]],2,FALSE)</f>
        <v>#N/A</v>
      </c>
      <c r="AA22" s="904" t="s">
        <v>1229</v>
      </c>
      <c r="AB22" s="905"/>
      <c r="AC22" s="904"/>
      <c r="AD22" s="904"/>
      <c r="AE22" s="905">
        <v>47853.549271438562</v>
      </c>
      <c r="AF22" s="910">
        <v>44713</v>
      </c>
      <c r="AG22" s="1653">
        <v>152.35460767555463</v>
      </c>
    </row>
    <row r="23" spans="2:42" ht="16.5">
      <c r="B23" s="94" t="s">
        <v>64</v>
      </c>
      <c r="C23" s="120"/>
      <c r="D23" s="1767"/>
      <c r="F23" s="93"/>
      <c r="H23" s="68" t="e">
        <f t="shared" si="0"/>
        <v>#N/A</v>
      </c>
      <c r="I23" s="518"/>
      <c r="J23" s="519"/>
      <c r="K23" s="519"/>
      <c r="L23" s="519"/>
      <c r="M23" s="519"/>
      <c r="N23" s="519"/>
      <c r="O23" s="519"/>
      <c r="P23" s="519"/>
      <c r="Q23" s="520"/>
      <c r="R23" s="520"/>
      <c r="S23" s="520"/>
      <c r="T23" s="520"/>
      <c r="U23" s="519"/>
      <c r="V23" s="519"/>
      <c r="W23" s="68" t="e">
        <f>VLOOKUP(V23,DescontosTE[[#All],[idsreag supridora]:[codsariSUP]],2,FALSE)</f>
        <v>#N/A</v>
      </c>
      <c r="AA23" s="904" t="s">
        <v>1229</v>
      </c>
      <c r="AB23" s="905"/>
      <c r="AC23" s="904"/>
      <c r="AD23" s="904"/>
      <c r="AE23" s="905">
        <v>60775.129371591487</v>
      </c>
      <c r="AF23" s="904">
        <v>44713</v>
      </c>
      <c r="AG23" s="1653">
        <v>139.9570048356594</v>
      </c>
      <c r="AI23" s="903" t="s">
        <v>2207</v>
      </c>
      <c r="AM23" s="903" t="s">
        <v>2211</v>
      </c>
    </row>
    <row r="24" spans="2:42" ht="16.5">
      <c r="B24" s="94" t="s">
        <v>65</v>
      </c>
      <c r="C24" s="120">
        <v>1040839.97840409</v>
      </c>
      <c r="D24" s="1767"/>
      <c r="F24" s="93"/>
      <c r="H24" s="68" t="e">
        <f t="shared" si="0"/>
        <v>#N/A</v>
      </c>
      <c r="I24" s="518"/>
      <c r="J24" s="519"/>
      <c r="K24" s="519"/>
      <c r="L24" s="519"/>
      <c r="M24" s="519"/>
      <c r="N24" s="519"/>
      <c r="O24" s="519"/>
      <c r="P24" s="519"/>
      <c r="Q24" s="520"/>
      <c r="R24" s="520"/>
      <c r="S24" s="520"/>
      <c r="T24" s="520"/>
      <c r="U24" s="519"/>
      <c r="V24" s="519"/>
      <c r="W24" s="68" t="e">
        <f>VLOOKUP(V24,DescontosTE[[#All],[idsreag supridora]:[codsariSUP]],2,FALSE)</f>
        <v>#N/A</v>
      </c>
      <c r="AI24" s="68" t="s">
        <v>2205</v>
      </c>
      <c r="AJ24" s="68" t="s">
        <v>2206</v>
      </c>
      <c r="AK24" s="68" t="s">
        <v>1531</v>
      </c>
      <c r="AM24" s="68" t="s">
        <v>2208</v>
      </c>
      <c r="AN24" s="68" t="s">
        <v>2209</v>
      </c>
      <c r="AO24" s="68" t="s">
        <v>2210</v>
      </c>
      <c r="AP24" s="68" t="s">
        <v>37</v>
      </c>
    </row>
    <row r="25" spans="2:42" ht="16.5">
      <c r="B25" s="94" t="s">
        <v>66</v>
      </c>
      <c r="C25" s="120">
        <v>1022385.3548705</v>
      </c>
      <c r="D25" s="1767"/>
      <c r="H25" s="68" t="e">
        <f t="shared" si="0"/>
        <v>#N/A</v>
      </c>
      <c r="I25" s="518"/>
      <c r="J25" s="519"/>
      <c r="K25" s="519"/>
      <c r="L25" s="519"/>
      <c r="M25" s="519"/>
      <c r="N25" s="519"/>
      <c r="O25" s="519"/>
      <c r="P25" s="519"/>
      <c r="Q25" s="520"/>
      <c r="R25" s="520"/>
      <c r="S25" s="520"/>
      <c r="T25" s="520"/>
      <c r="U25" s="519"/>
      <c r="V25" s="519"/>
      <c r="W25" s="68" t="e">
        <f>VLOOKUP(V25,DescontosTE[[#All],[idsreag supridora]:[codsariSUP]],2,FALSE)</f>
        <v>#N/A</v>
      </c>
      <c r="AD25" s="903"/>
      <c r="AE25" s="978"/>
      <c r="AF25" s="903"/>
      <c r="AG25" s="903"/>
      <c r="AI25" s="262" t="s">
        <v>2225</v>
      </c>
      <c r="AJ25" s="262" t="s">
        <v>41</v>
      </c>
      <c r="AK25" s="69">
        <v>-844396.40201230405</v>
      </c>
      <c r="AM25" s="1613" t="s">
        <v>109</v>
      </c>
      <c r="AN25" s="1613"/>
      <c r="AO25" s="1613" t="s">
        <v>2233</v>
      </c>
      <c r="AP25" s="1612">
        <v>-5988962.96789061</v>
      </c>
    </row>
    <row r="26" spans="2:42" ht="16.5">
      <c r="B26" s="1013" t="s">
        <v>67</v>
      </c>
      <c r="C26" s="1023">
        <v>87625428.799999997</v>
      </c>
      <c r="D26" s="1767"/>
      <c r="H26" s="68" t="e">
        <f t="shared" si="0"/>
        <v>#N/A</v>
      </c>
      <c r="I26" s="518"/>
      <c r="J26" s="519"/>
      <c r="K26" s="519"/>
      <c r="L26" s="519"/>
      <c r="M26" s="519"/>
      <c r="N26" s="519"/>
      <c r="O26" s="519"/>
      <c r="P26" s="519"/>
      <c r="Q26" s="520"/>
      <c r="R26" s="520"/>
      <c r="S26" s="520"/>
      <c r="T26" s="520"/>
      <c r="U26" s="519"/>
      <c r="V26" s="519"/>
      <c r="W26" s="68" t="e">
        <f>VLOOKUP(V26,DescontosTE[[#All],[idsreag supridora]:[codsariSUP]],2,FALSE)</f>
        <v>#N/A</v>
      </c>
      <c r="AA26" s="963" t="s">
        <v>2212</v>
      </c>
      <c r="AB26" s="963" t="s">
        <v>37</v>
      </c>
      <c r="AD26" s="903"/>
      <c r="AE26" s="978"/>
      <c r="AF26" s="903"/>
      <c r="AG26" s="903"/>
      <c r="AI26" s="262" t="s">
        <v>2225</v>
      </c>
      <c r="AJ26" s="262" t="s">
        <v>47</v>
      </c>
      <c r="AK26" s="69">
        <v>-122344.255017884</v>
      </c>
      <c r="AM26" s="1613"/>
      <c r="AN26" s="1613"/>
      <c r="AO26" s="1613"/>
      <c r="AP26" s="1612"/>
    </row>
    <row r="27" spans="2:42" ht="16.5">
      <c r="C27" s="69"/>
      <c r="D27" s="1767"/>
      <c r="H27" s="68" t="e">
        <f t="shared" si="0"/>
        <v>#N/A</v>
      </c>
      <c r="I27" s="518"/>
      <c r="J27" s="519"/>
      <c r="K27" s="519"/>
      <c r="L27" s="519"/>
      <c r="M27" s="519"/>
      <c r="N27" s="519"/>
      <c r="O27" s="519"/>
      <c r="P27" s="519"/>
      <c r="Q27" s="520"/>
      <c r="R27" s="520"/>
      <c r="S27" s="520"/>
      <c r="T27" s="520"/>
      <c r="U27" s="519"/>
      <c r="V27" s="519"/>
      <c r="W27" s="68" t="e">
        <f>VLOOKUP(V27,DescontosTE[[#All],[idsreag supridora]:[codsariSUP]],2,FALSE)</f>
        <v>#N/A</v>
      </c>
      <c r="AA27" s="904" t="s">
        <v>2214</v>
      </c>
      <c r="AB27" s="905">
        <v>15611.2071</v>
      </c>
      <c r="AI27" s="262" t="s">
        <v>2225</v>
      </c>
      <c r="AJ27" s="262" t="s">
        <v>40</v>
      </c>
      <c r="AK27" s="69">
        <v>-12683.621488717399</v>
      </c>
      <c r="AM27" s="1613"/>
      <c r="AN27" s="1613"/>
      <c r="AO27" s="1613"/>
      <c r="AP27" s="1612"/>
    </row>
    <row r="28" spans="2:42" ht="16.5">
      <c r="B28" s="1012" t="s">
        <v>68</v>
      </c>
      <c r="C28" s="1024"/>
      <c r="D28" s="1767"/>
      <c r="H28" s="68" t="e">
        <f t="shared" si="0"/>
        <v>#N/A</v>
      </c>
      <c r="I28" s="518"/>
      <c r="J28" s="519"/>
      <c r="K28" s="519"/>
      <c r="L28" s="519"/>
      <c r="M28" s="519"/>
      <c r="N28" s="519"/>
      <c r="O28" s="519"/>
      <c r="P28" s="519"/>
      <c r="Q28" s="520"/>
      <c r="R28" s="520"/>
      <c r="S28" s="520"/>
      <c r="T28" s="520"/>
      <c r="U28" s="519"/>
      <c r="V28" s="519"/>
      <c r="W28" s="68" t="e">
        <f>VLOOKUP(V28,DescontosTE[[#All],[idsreag supridora]:[codsariSUP]],2,FALSE)</f>
        <v>#N/A</v>
      </c>
      <c r="AA28" s="904" t="s">
        <v>2215</v>
      </c>
      <c r="AB28" s="905">
        <v>0</v>
      </c>
      <c r="AI28" s="262" t="s">
        <v>2226</v>
      </c>
      <c r="AJ28" s="262" t="s">
        <v>2227</v>
      </c>
      <c r="AK28" s="69">
        <v>9648581.2995832525</v>
      </c>
      <c r="AM28" s="1613"/>
      <c r="AN28" s="1613"/>
      <c r="AO28" s="1613"/>
      <c r="AP28" s="1612"/>
    </row>
    <row r="29" spans="2:42" ht="18" customHeight="1">
      <c r="D29" s="1767"/>
      <c r="H29" s="68" t="e">
        <f t="shared" si="0"/>
        <v>#N/A</v>
      </c>
      <c r="I29" s="518"/>
      <c r="J29" s="519"/>
      <c r="K29" s="519"/>
      <c r="L29" s="519"/>
      <c r="M29" s="519"/>
      <c r="N29" s="519"/>
      <c r="O29" s="519"/>
      <c r="P29" s="519"/>
      <c r="Q29" s="520"/>
      <c r="R29" s="520"/>
      <c r="S29" s="520"/>
      <c r="T29" s="520"/>
      <c r="U29" s="519"/>
      <c r="V29" s="519"/>
      <c r="W29" s="68" t="e">
        <f>VLOOKUP(V29,DescontosTE[[#All],[idsreag supridora]:[codsariSUP]],2,FALSE)</f>
        <v>#N/A</v>
      </c>
      <c r="AA29" s="904"/>
      <c r="AB29" s="905"/>
      <c r="AI29" s="262" t="s">
        <v>2228</v>
      </c>
      <c r="AJ29" s="262" t="s">
        <v>2229</v>
      </c>
      <c r="AK29" s="69">
        <v>1052718.161373693</v>
      </c>
      <c r="AM29" s="1613"/>
      <c r="AN29" s="1613"/>
      <c r="AO29" s="1613"/>
      <c r="AP29" s="1612"/>
    </row>
    <row r="30" spans="2:42" ht="16.5">
      <c r="B30" s="1025"/>
      <c r="C30" s="1026"/>
      <c r="D30" s="1767"/>
      <c r="H30" s="68" t="e">
        <f t="shared" si="0"/>
        <v>#N/A</v>
      </c>
      <c r="I30" s="518"/>
      <c r="J30" s="519"/>
      <c r="K30" s="519"/>
      <c r="L30" s="519"/>
      <c r="M30" s="519"/>
      <c r="N30" s="519"/>
      <c r="O30" s="519"/>
      <c r="P30" s="519"/>
      <c r="Q30" s="520"/>
      <c r="R30" s="520"/>
      <c r="S30" s="520"/>
      <c r="T30" s="520"/>
      <c r="U30" s="519"/>
      <c r="V30" s="519"/>
      <c r="W30" s="68" t="e">
        <f>VLOOKUP(V30,DescontosTE[[#All],[idsreag supridora]:[codsariSUP]],2,FALSE)</f>
        <v>#N/A</v>
      </c>
      <c r="AA30" s="904"/>
      <c r="AB30" s="905"/>
      <c r="AI30" s="262" t="s">
        <v>2228</v>
      </c>
      <c r="AJ30" s="262" t="s">
        <v>2308</v>
      </c>
      <c r="AK30" s="69">
        <v>220405.128318904</v>
      </c>
      <c r="AM30" s="1613"/>
      <c r="AN30" s="1613"/>
      <c r="AO30" s="1613"/>
      <c r="AP30" s="1612"/>
    </row>
    <row r="31" spans="2:42">
      <c r="B31" s="683" t="s">
        <v>69</v>
      </c>
      <c r="C31" s="684">
        <v>4.7340786396659E-2</v>
      </c>
      <c r="D31" s="1768"/>
      <c r="AI31" s="262" t="s">
        <v>2228</v>
      </c>
      <c r="AJ31" s="262" t="s">
        <v>2309</v>
      </c>
      <c r="AK31" s="69">
        <v>1024443.8017218499</v>
      </c>
      <c r="AM31" s="1613"/>
      <c r="AN31" s="1613"/>
      <c r="AO31" s="1613"/>
      <c r="AP31" s="1612"/>
    </row>
    <row r="32" spans="2:42">
      <c r="B32" s="1027" t="s">
        <v>70</v>
      </c>
      <c r="C32" s="1028">
        <v>0.74494971512358932</v>
      </c>
      <c r="D32" s="90" t="s">
        <v>71</v>
      </c>
      <c r="AI32" s="262" t="s">
        <v>109</v>
      </c>
      <c r="AJ32" s="262"/>
      <c r="AK32" s="69">
        <v>-21767642.866050191</v>
      </c>
    </row>
    <row r="33" spans="1:37">
      <c r="D33" s="90"/>
      <c r="AI33" s="262" t="s">
        <v>2230</v>
      </c>
      <c r="AJ33" s="262" t="s">
        <v>1322</v>
      </c>
      <c r="AK33" s="69">
        <v>8604530.7533211708</v>
      </c>
    </row>
    <row r="34" spans="1:37">
      <c r="B34" s="1012"/>
      <c r="C34" s="1024"/>
      <c r="AI34" s="262"/>
      <c r="AJ34" s="262"/>
      <c r="AK34" s="69"/>
    </row>
    <row r="35" spans="1:37">
      <c r="B35" s="1025" t="s">
        <v>41</v>
      </c>
      <c r="C35" s="1029">
        <v>23063716.398600005</v>
      </c>
      <c r="AI35" s="262"/>
      <c r="AJ35" s="262"/>
      <c r="AK35" s="69"/>
    </row>
    <row r="36" spans="1:37">
      <c r="B36" s="683" t="s">
        <v>47</v>
      </c>
      <c r="C36" s="88">
        <v>3114828.2051100009</v>
      </c>
      <c r="AI36" s="262"/>
      <c r="AJ36" s="262"/>
      <c r="AK36" s="69"/>
    </row>
    <row r="37" spans="1:37">
      <c r="B37" s="1027" t="s">
        <v>40</v>
      </c>
      <c r="C37" s="1030">
        <v>398265.05981255218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27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31">
        <f>DATE(YEAR(B41),MONTH(B41),1)</f>
        <v>44409</v>
      </c>
      <c r="B41" s="1017">
        <v>44413</v>
      </c>
      <c r="C41" s="544">
        <v>0</v>
      </c>
      <c r="D41" s="9" t="b">
        <f ca="1">BD!E41&gt;=CAPA!$L$73</f>
        <v>0</v>
      </c>
      <c r="E41" s="235">
        <f>Indexador!L34</f>
        <v>0</v>
      </c>
      <c r="F41" s="491">
        <f>CAPA!B63</f>
        <v>44287</v>
      </c>
      <c r="AI41" s="262"/>
      <c r="AJ41" s="262"/>
      <c r="AK41" s="69"/>
    </row>
    <row r="42" spans="1:37" ht="16.5">
      <c r="A42" s="1031">
        <f t="shared" ref="A42:A57" si="1">DATE(YEAR(B42),MONTH(B42),1)</f>
        <v>44440</v>
      </c>
      <c r="B42" s="520">
        <v>44447</v>
      </c>
      <c r="C42" s="544">
        <v>0</v>
      </c>
      <c r="D42" s="9" t="b">
        <f ca="1">BD!E42&gt;=CAPA!$L$73</f>
        <v>0</v>
      </c>
      <c r="E42" s="235">
        <f>Indexador!L35</f>
        <v>0</v>
      </c>
      <c r="F42" s="491">
        <f>CAPA!B64</f>
        <v>44317</v>
      </c>
      <c r="I42" s="821" t="s">
        <v>20</v>
      </c>
      <c r="J42" s="821" t="s">
        <v>21</v>
      </c>
      <c r="K42" s="821"/>
      <c r="L42" s="821" t="s">
        <v>22</v>
      </c>
      <c r="M42" s="821" t="s">
        <v>23</v>
      </c>
      <c r="N42" s="821" t="s">
        <v>24</v>
      </c>
      <c r="O42" s="821" t="s">
        <v>25</v>
      </c>
      <c r="P42" s="821" t="s">
        <v>26</v>
      </c>
      <c r="Q42" s="821" t="s">
        <v>27</v>
      </c>
      <c r="R42" s="821" t="s">
        <v>28</v>
      </c>
      <c r="S42" s="822" t="s">
        <v>29</v>
      </c>
      <c r="T42" s="821" t="s">
        <v>30</v>
      </c>
      <c r="AI42" s="262"/>
      <c r="AJ42" s="262"/>
      <c r="AK42" s="69"/>
    </row>
    <row r="43" spans="1:37" ht="16.5">
      <c r="A43" s="1031">
        <f t="shared" si="1"/>
        <v>44470</v>
      </c>
      <c r="B43" s="520">
        <v>44476</v>
      </c>
      <c r="C43" s="544">
        <v>0</v>
      </c>
      <c r="D43" s="9" t="b">
        <f ca="1">BD!E43&gt;=CAPA!$L$73</f>
        <v>0</v>
      </c>
      <c r="E43" s="235">
        <f>Indexador!L36</f>
        <v>0</v>
      </c>
      <c r="F43" s="491">
        <f>CAPA!B65</f>
        <v>44348</v>
      </c>
      <c r="H43" s="68" t="str">
        <f>CONCATENATE(U43,J43)</f>
        <v>396A3</v>
      </c>
      <c r="I43" s="518">
        <v>2022</v>
      </c>
      <c r="J43" s="519" t="s">
        <v>599</v>
      </c>
      <c r="K43" s="519" t="s">
        <v>2312</v>
      </c>
      <c r="L43" s="519" t="s">
        <v>1322</v>
      </c>
      <c r="M43" s="519" t="s">
        <v>201</v>
      </c>
      <c r="N43" s="519">
        <v>7371</v>
      </c>
      <c r="O43" s="520">
        <v>44734</v>
      </c>
      <c r="P43" s="520">
        <v>44732</v>
      </c>
      <c r="Q43" s="520" t="s">
        <v>2310</v>
      </c>
      <c r="R43" s="520" t="s">
        <v>2311</v>
      </c>
      <c r="S43" s="519">
        <v>273.92</v>
      </c>
      <c r="T43" s="519">
        <v>167</v>
      </c>
      <c r="U43" s="68">
        <f>VLOOKUP(T43,DescontosTE[[#All],[idsreag supridora]:[codsariSUP]],2,FALSE)</f>
        <v>396</v>
      </c>
      <c r="AI43" s="262"/>
      <c r="AJ43" s="262"/>
      <c r="AK43" s="69"/>
    </row>
    <row r="44" spans="1:37" ht="16.5">
      <c r="A44" s="1031">
        <f t="shared" si="1"/>
        <v>44501</v>
      </c>
      <c r="B44" s="520">
        <v>44509</v>
      </c>
      <c r="C44" s="544">
        <v>0</v>
      </c>
      <c r="D44" s="9" t="b">
        <f ca="1">BD!E44&gt;=CAPA!$L$73</f>
        <v>0</v>
      </c>
      <c r="E44" s="235">
        <f>Indexador!L37</f>
        <v>0</v>
      </c>
      <c r="F44" s="491">
        <f>CAPA!B66</f>
        <v>44378</v>
      </c>
      <c r="H44" s="68" t="str">
        <f t="shared" ref="H44:H59" si="2">CONCATENATE(U44,J44)</f>
        <v>396A4</v>
      </c>
      <c r="I44" s="518">
        <v>2022</v>
      </c>
      <c r="J44" s="519" t="s">
        <v>597</v>
      </c>
      <c r="K44" s="519" t="s">
        <v>2312</v>
      </c>
      <c r="L44" s="519" t="s">
        <v>1322</v>
      </c>
      <c r="M44" s="519" t="s">
        <v>201</v>
      </c>
      <c r="N44" s="519">
        <v>7371</v>
      </c>
      <c r="O44" s="520">
        <v>44734</v>
      </c>
      <c r="P44" s="520">
        <v>44732</v>
      </c>
      <c r="Q44" s="520" t="s">
        <v>2310</v>
      </c>
      <c r="R44" s="520" t="s">
        <v>2311</v>
      </c>
      <c r="S44" s="519">
        <v>273.92</v>
      </c>
      <c r="T44" s="519">
        <v>167</v>
      </c>
      <c r="U44" s="68">
        <f>VLOOKUP(T44,DescontosTE[[#All],[idsreag supridora]:[codsariSUP]],2,FALSE)</f>
        <v>396</v>
      </c>
      <c r="AI44" s="262"/>
      <c r="AJ44" s="262"/>
      <c r="AK44" s="69"/>
    </row>
    <row r="45" spans="1:37" ht="16.5">
      <c r="A45" s="1031">
        <f t="shared" si="1"/>
        <v>44531</v>
      </c>
      <c r="B45" s="520">
        <v>44538</v>
      </c>
      <c r="C45" s="544">
        <v>0</v>
      </c>
      <c r="D45" s="9" t="b">
        <f ca="1">BD!E45&gt;=CAPA!$L$73</f>
        <v>0</v>
      </c>
      <c r="E45" s="235">
        <f>Indexador!L38</f>
        <v>0</v>
      </c>
      <c r="F45" s="491">
        <f>CAPA!B67</f>
        <v>44409</v>
      </c>
      <c r="H45" s="68" t="e">
        <f t="shared" si="2"/>
        <v>#N/A</v>
      </c>
      <c r="I45" s="518"/>
      <c r="J45" s="519"/>
      <c r="K45" s="519"/>
      <c r="L45" s="519"/>
      <c r="M45" s="519"/>
      <c r="N45" s="519"/>
      <c r="O45" s="520"/>
      <c r="P45" s="520"/>
      <c r="Q45" s="520"/>
      <c r="R45" s="520"/>
      <c r="S45" s="519"/>
      <c r="T45" s="519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31">
        <f t="shared" si="1"/>
        <v>44562</v>
      </c>
      <c r="B46" s="520">
        <v>44566</v>
      </c>
      <c r="C46" s="544">
        <v>0</v>
      </c>
      <c r="D46" s="9" t="b">
        <f ca="1">BD!E46&gt;=CAPA!$L$73</f>
        <v>0</v>
      </c>
      <c r="E46" s="235">
        <f>Indexador!L39</f>
        <v>0</v>
      </c>
      <c r="F46" s="491">
        <f>CAPA!B68</f>
        <v>44440</v>
      </c>
      <c r="H46" s="68" t="e">
        <f t="shared" si="2"/>
        <v>#N/A</v>
      </c>
      <c r="I46" s="518"/>
      <c r="J46" s="519"/>
      <c r="K46" s="519"/>
      <c r="L46" s="519"/>
      <c r="M46" s="519"/>
      <c r="N46" s="519"/>
      <c r="O46" s="520"/>
      <c r="P46" s="520"/>
      <c r="Q46" s="520"/>
      <c r="R46" s="520"/>
      <c r="S46" s="519"/>
      <c r="T46" s="519"/>
      <c r="U46" s="68" t="e">
        <f>VLOOKUP(T46,DescontosTE[[#All],[idsreag supridora]:[codsariSUP]],2,FALSE)</f>
        <v>#N/A</v>
      </c>
    </row>
    <row r="47" spans="1:37" ht="16.5">
      <c r="A47" s="1031">
        <f t="shared" si="1"/>
        <v>44593</v>
      </c>
      <c r="B47" s="520">
        <v>44599</v>
      </c>
      <c r="C47" s="544">
        <v>0</v>
      </c>
      <c r="D47" s="9" t="b">
        <f ca="1">BD!E47&gt;=CAPA!$L$73</f>
        <v>0</v>
      </c>
      <c r="E47" s="235">
        <f>Indexador!L40</f>
        <v>0</v>
      </c>
      <c r="F47" s="491">
        <f>CAPA!B69</f>
        <v>44470</v>
      </c>
      <c r="H47" s="68" t="e">
        <f t="shared" si="2"/>
        <v>#N/A</v>
      </c>
      <c r="I47" s="518"/>
      <c r="J47" s="519"/>
      <c r="K47" s="519"/>
      <c r="L47" s="519"/>
      <c r="M47" s="519"/>
      <c r="N47" s="519"/>
      <c r="O47" s="520"/>
      <c r="P47" s="520"/>
      <c r="Q47" s="520"/>
      <c r="R47" s="520"/>
      <c r="S47" s="519"/>
      <c r="T47" s="519"/>
      <c r="U47" s="68" t="e">
        <f>VLOOKUP(T47,DescontosTE[[#All],[idsreag supridora]:[codsariSUP]],2,FALSE)</f>
        <v>#N/A</v>
      </c>
    </row>
    <row r="48" spans="1:37" ht="16.5">
      <c r="A48" s="1031">
        <f t="shared" si="1"/>
        <v>44621</v>
      </c>
      <c r="B48" s="520">
        <v>44629</v>
      </c>
      <c r="C48" s="544">
        <v>0</v>
      </c>
      <c r="D48" s="9" t="b">
        <f ca="1">BD!E48&gt;=CAPA!$L$73</f>
        <v>0</v>
      </c>
      <c r="E48" s="235">
        <f>Indexador!L41</f>
        <v>0</v>
      </c>
      <c r="F48" s="491">
        <f>CAPA!B70</f>
        <v>44501</v>
      </c>
      <c r="H48" s="68" t="e">
        <f t="shared" si="2"/>
        <v>#N/A</v>
      </c>
      <c r="I48" s="518"/>
      <c r="J48" s="519"/>
      <c r="K48" s="519"/>
      <c r="L48" s="519"/>
      <c r="M48" s="519"/>
      <c r="N48" s="519"/>
      <c r="O48" s="520"/>
      <c r="P48" s="520"/>
      <c r="Q48" s="520"/>
      <c r="R48" s="520"/>
      <c r="S48" s="519"/>
      <c r="T48" s="519"/>
      <c r="U48" s="68" t="e">
        <f>VLOOKUP(T48,DescontosTE[[#All],[idsreag supridora]:[codsariSUP]],2,FALSE)</f>
        <v>#N/A</v>
      </c>
    </row>
    <row r="49" spans="1:21" ht="16.5">
      <c r="A49" s="1031">
        <f t="shared" si="1"/>
        <v>44652</v>
      </c>
      <c r="B49" s="520">
        <v>44657</v>
      </c>
      <c r="C49" s="544">
        <v>0</v>
      </c>
      <c r="D49" s="9" t="b">
        <f ca="1">BD!E49&gt;=CAPA!$L$73</f>
        <v>0</v>
      </c>
      <c r="E49" s="235">
        <f>Indexador!L42</f>
        <v>0</v>
      </c>
      <c r="F49" s="491">
        <f>CAPA!B71</f>
        <v>44531</v>
      </c>
      <c r="H49" s="68" t="e">
        <f t="shared" si="2"/>
        <v>#N/A</v>
      </c>
      <c r="I49" s="518"/>
      <c r="J49" s="519"/>
      <c r="K49" s="519"/>
      <c r="L49" s="519"/>
      <c r="M49" s="519"/>
      <c r="N49" s="519"/>
      <c r="O49" s="519"/>
      <c r="P49" s="519"/>
      <c r="Q49" s="520"/>
      <c r="R49" s="520"/>
      <c r="S49" s="520"/>
      <c r="T49" s="519"/>
      <c r="U49" s="68" t="e">
        <f>VLOOKUP(T49,DescontosTE[[#All],[idsreag supridora]:[codsariSUP]],2,FALSE)</f>
        <v>#N/A</v>
      </c>
    </row>
    <row r="50" spans="1:21" ht="16.5">
      <c r="A50" s="1031">
        <f t="shared" si="1"/>
        <v>44682</v>
      </c>
      <c r="B50" s="520">
        <v>44691</v>
      </c>
      <c r="C50" s="544">
        <v>0</v>
      </c>
      <c r="D50" s="9" t="b">
        <f ca="1">BD!E50&gt;=CAPA!$L$73</f>
        <v>0</v>
      </c>
      <c r="E50" s="235">
        <f>Indexador!L43</f>
        <v>0</v>
      </c>
      <c r="F50" s="491">
        <f>CAPA!B72</f>
        <v>44562</v>
      </c>
      <c r="H50" s="68" t="e">
        <f t="shared" si="2"/>
        <v>#N/A</v>
      </c>
      <c r="I50" s="518"/>
      <c r="J50" s="519"/>
      <c r="K50" s="519"/>
      <c r="L50" s="519"/>
      <c r="M50" s="519"/>
      <c r="N50" s="519"/>
      <c r="O50" s="519"/>
      <c r="P50" s="519"/>
      <c r="Q50" s="520"/>
      <c r="R50" s="520"/>
      <c r="S50" s="520"/>
      <c r="T50" s="519"/>
      <c r="U50" s="68" t="e">
        <f>VLOOKUP(T50,DescontosTE[[#All],[idsreag supridora]:[codsariSUP]],2,FALSE)</f>
        <v>#N/A</v>
      </c>
    </row>
    <row r="51" spans="1:21" ht="16.5">
      <c r="A51" s="1031">
        <f t="shared" si="1"/>
        <v>44713</v>
      </c>
      <c r="B51" s="520">
        <v>44718</v>
      </c>
      <c r="C51" s="544">
        <v>2528318.3306999998</v>
      </c>
      <c r="D51" s="9" t="b">
        <f ca="1">BD!E51&gt;=CAPA!$L$73</f>
        <v>0</v>
      </c>
      <c r="E51" s="235">
        <f>Indexador!L44</f>
        <v>0</v>
      </c>
      <c r="F51" s="491">
        <f>CAPA!B73</f>
        <v>44593</v>
      </c>
      <c r="H51" s="68" t="e">
        <f t="shared" si="2"/>
        <v>#N/A</v>
      </c>
      <c r="I51" s="518"/>
      <c r="J51" s="519"/>
      <c r="K51" s="519"/>
      <c r="L51" s="519"/>
      <c r="M51" s="519"/>
      <c r="N51" s="519"/>
      <c r="O51" s="519"/>
      <c r="P51" s="519"/>
      <c r="Q51" s="520"/>
      <c r="R51" s="520"/>
      <c r="S51" s="520"/>
      <c r="T51" s="519"/>
      <c r="U51" s="68" t="e">
        <f>VLOOKUP(T51,DescontosTE[[#All],[idsreag supridora]:[codsariSUP]],2,FALSE)</f>
        <v>#N/A</v>
      </c>
    </row>
    <row r="52" spans="1:21" ht="16.5">
      <c r="A52" s="1031">
        <f t="shared" si="1"/>
        <v>44743</v>
      </c>
      <c r="B52" s="520">
        <v>44749</v>
      </c>
      <c r="C52" s="544">
        <v>163446.2954</v>
      </c>
      <c r="D52" s="9" t="b">
        <f ca="1">BD!E52&gt;=CAPA!$L$73</f>
        <v>0</v>
      </c>
      <c r="E52" s="235">
        <f>Indexador!L45</f>
        <v>0</v>
      </c>
      <c r="F52" s="491">
        <f>CAPA!B74</f>
        <v>44621</v>
      </c>
      <c r="H52" s="68" t="e">
        <f t="shared" si="2"/>
        <v>#N/A</v>
      </c>
      <c r="I52" s="518"/>
      <c r="J52" s="519"/>
      <c r="K52" s="519"/>
      <c r="L52" s="519"/>
      <c r="M52" s="519"/>
      <c r="N52" s="519"/>
      <c r="O52" s="519"/>
      <c r="P52" s="519"/>
      <c r="Q52" s="520"/>
      <c r="R52" s="520"/>
      <c r="S52" s="520"/>
      <c r="T52" s="519"/>
      <c r="U52" s="68" t="e">
        <f>VLOOKUP(T52,DescontosTE[[#All],[idsreag supridora]:[codsariSUP]],2,FALSE)</f>
        <v>#N/A</v>
      </c>
    </row>
    <row r="53" spans="1:21" ht="16.5">
      <c r="A53" s="1031">
        <f t="shared" si="1"/>
        <v>1</v>
      </c>
      <c r="B53" s="520"/>
      <c r="C53" s="544"/>
      <c r="D53" s="9" t="b">
        <f ca="1">BD!E53&gt;=CAPA!$L$73</f>
        <v>0</v>
      </c>
      <c r="E53" s="235">
        <f>Indexador!L46</f>
        <v>0</v>
      </c>
      <c r="F53" s="491">
        <f>CAPA!B75</f>
        <v>44652</v>
      </c>
      <c r="H53" s="68" t="e">
        <f t="shared" si="2"/>
        <v>#N/A</v>
      </c>
      <c r="I53" s="518"/>
      <c r="J53" s="519"/>
      <c r="K53" s="519"/>
      <c r="L53" s="519"/>
      <c r="M53" s="519"/>
      <c r="N53" s="519"/>
      <c r="O53" s="519"/>
      <c r="P53" s="519"/>
      <c r="Q53" s="520"/>
      <c r="R53" s="520"/>
      <c r="S53" s="520"/>
      <c r="T53" s="519"/>
      <c r="U53" s="68" t="e">
        <f>VLOOKUP(T53,DescontosTE[[#All],[idsreag supridora]:[codsariSUP]],2,FALSE)</f>
        <v>#N/A</v>
      </c>
    </row>
    <row r="54" spans="1:21" ht="16.5">
      <c r="A54" s="1031">
        <f t="shared" si="1"/>
        <v>1</v>
      </c>
      <c r="B54" s="520"/>
      <c r="C54" s="544"/>
      <c r="D54" s="9" t="b">
        <f ca="1">BD!E54&gt;=CAPA!$L$73</f>
        <v>0</v>
      </c>
      <c r="E54" s="235">
        <f>Indexador!L47</f>
        <v>0</v>
      </c>
      <c r="F54" s="491">
        <f>CAPA!B76</f>
        <v>44682</v>
      </c>
      <c r="H54" s="68" t="e">
        <f t="shared" si="2"/>
        <v>#N/A</v>
      </c>
      <c r="I54" s="518"/>
      <c r="J54" s="519"/>
      <c r="K54" s="519"/>
      <c r="L54" s="519"/>
      <c r="M54" s="519"/>
      <c r="N54" s="519"/>
      <c r="O54" s="519"/>
      <c r="P54" s="519"/>
      <c r="Q54" s="520"/>
      <c r="R54" s="520"/>
      <c r="S54" s="520"/>
      <c r="T54" s="519"/>
      <c r="U54" s="68" t="e">
        <f>VLOOKUP(T54,DescontosTE[[#All],[idsreag supridora]:[codsariSUP]],2,FALSE)</f>
        <v>#N/A</v>
      </c>
    </row>
    <row r="55" spans="1:21" ht="16.5">
      <c r="A55" s="1031">
        <f t="shared" si="1"/>
        <v>1</v>
      </c>
      <c r="B55" s="520"/>
      <c r="C55" s="544"/>
      <c r="D55" s="9" t="b">
        <f ca="1">BD!E55&gt;=CAPA!$L$73</f>
        <v>0</v>
      </c>
      <c r="E55" s="235">
        <f>Indexador!L48</f>
        <v>0</v>
      </c>
      <c r="F55" s="491">
        <f>CAPA!B77</f>
        <v>44713</v>
      </c>
      <c r="H55" s="68" t="e">
        <f t="shared" si="2"/>
        <v>#N/A</v>
      </c>
      <c r="I55" s="518"/>
      <c r="J55" s="519"/>
      <c r="K55" s="519"/>
      <c r="L55" s="519"/>
      <c r="M55" s="519"/>
      <c r="N55" s="519"/>
      <c r="O55" s="519"/>
      <c r="P55" s="519"/>
      <c r="Q55" s="520"/>
      <c r="R55" s="520"/>
      <c r="S55" s="520"/>
      <c r="T55" s="519"/>
      <c r="U55" s="68" t="e">
        <f>VLOOKUP(T55,DescontosTE[[#All],[idsreag supridora]:[codsariSUP]],2,FALSE)</f>
        <v>#N/A</v>
      </c>
    </row>
    <row r="56" spans="1:21" ht="16.5">
      <c r="A56" s="1031">
        <f t="shared" si="1"/>
        <v>1</v>
      </c>
      <c r="B56" s="520"/>
      <c r="C56" s="544"/>
      <c r="D56" s="9"/>
      <c r="E56" s="235"/>
      <c r="F56" s="491"/>
      <c r="H56" s="68" t="e">
        <f t="shared" si="2"/>
        <v>#N/A</v>
      </c>
      <c r="I56" s="518"/>
      <c r="J56" s="519"/>
      <c r="K56" s="519"/>
      <c r="L56" s="519"/>
      <c r="M56" s="519"/>
      <c r="N56" s="519"/>
      <c r="O56" s="519"/>
      <c r="P56" s="519"/>
      <c r="Q56" s="520"/>
      <c r="R56" s="520"/>
      <c r="S56" s="520"/>
      <c r="T56" s="519"/>
      <c r="U56" s="68" t="e">
        <f>VLOOKUP(T56,DescontosTE[[#All],[idsreag supridora]:[codsariSUP]],2,FALSE)</f>
        <v>#N/A</v>
      </c>
    </row>
    <row r="57" spans="1:21" ht="16.5">
      <c r="A57" s="1031">
        <f t="shared" si="1"/>
        <v>1</v>
      </c>
      <c r="B57" s="1032"/>
      <c r="C57" s="860"/>
      <c r="D57" s="17"/>
      <c r="H57" s="68" t="e">
        <f t="shared" si="2"/>
        <v>#N/A</v>
      </c>
      <c r="I57" s="518"/>
      <c r="J57" s="519"/>
      <c r="K57" s="519"/>
      <c r="L57" s="519"/>
      <c r="M57" s="519"/>
      <c r="N57" s="519"/>
      <c r="O57" s="519"/>
      <c r="P57" s="519"/>
      <c r="Q57" s="520"/>
      <c r="R57" s="520"/>
      <c r="S57" s="520"/>
      <c r="T57" s="519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8"/>
      <c r="J58" s="519"/>
      <c r="K58" s="519"/>
      <c r="L58" s="519"/>
      <c r="M58" s="519"/>
      <c r="N58" s="519"/>
      <c r="O58" s="519"/>
      <c r="P58" s="519"/>
      <c r="Q58" s="520"/>
      <c r="R58" s="520"/>
      <c r="S58" s="520"/>
      <c r="T58" s="519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33"/>
      <c r="J59" s="1034"/>
      <c r="K59" s="1034"/>
      <c r="L59" s="1034"/>
      <c r="M59" s="1034"/>
      <c r="N59" s="1034"/>
      <c r="O59" s="1034"/>
      <c r="P59" s="1034"/>
      <c r="Q59" s="1032"/>
      <c r="R59" s="1032"/>
      <c r="S59" s="1032"/>
      <c r="T59" s="1034"/>
      <c r="U59" s="68" t="e">
        <f>VLOOKUP(T59,DescontosTE[[#All],[idsreag supridora]:[codsariSUP]],2,FALSE)</f>
        <v>#N/A</v>
      </c>
    </row>
    <row r="60" spans="1:21">
      <c r="B60" s="1027" t="s">
        <v>75</v>
      </c>
      <c r="C60" s="72"/>
    </row>
    <row r="61" spans="1:21" ht="16.5">
      <c r="B61" s="1035" t="s">
        <v>774</v>
      </c>
      <c r="C61" s="861">
        <v>36588.61</v>
      </c>
      <c r="D61" s="68">
        <v>0</v>
      </c>
    </row>
    <row r="62" spans="1:21" ht="16.5">
      <c r="B62" s="720" t="s">
        <v>776</v>
      </c>
      <c r="C62" s="544">
        <v>13369.58</v>
      </c>
      <c r="D62" s="69">
        <v>0</v>
      </c>
    </row>
    <row r="63" spans="1:21" ht="16.5">
      <c r="B63" s="720" t="s">
        <v>778</v>
      </c>
      <c r="C63" s="544">
        <v>62843.67</v>
      </c>
      <c r="D63" s="69">
        <v>0</v>
      </c>
    </row>
    <row r="64" spans="1:21" ht="16.5">
      <c r="B64" s="720" t="s">
        <v>779</v>
      </c>
      <c r="C64" s="544">
        <v>18470.54</v>
      </c>
      <c r="D64" s="69">
        <v>0</v>
      </c>
    </row>
    <row r="65" spans="2:4" ht="16.5">
      <c r="B65" s="720" t="s">
        <v>782</v>
      </c>
      <c r="C65" s="544">
        <v>415331.67</v>
      </c>
      <c r="D65" s="69">
        <v>0</v>
      </c>
    </row>
    <row r="66" spans="2:4" ht="16.5">
      <c r="B66" s="1036" t="s">
        <v>784</v>
      </c>
      <c r="C66" s="860">
        <v>96.95</v>
      </c>
      <c r="D66" s="69">
        <v>0</v>
      </c>
    </row>
    <row r="70" spans="2:4">
      <c r="B70" s="963" t="s">
        <v>72</v>
      </c>
      <c r="C70" s="963" t="s">
        <v>37</v>
      </c>
      <c r="D70" s="963" t="s">
        <v>73</v>
      </c>
    </row>
    <row r="71" spans="2:4">
      <c r="B71" s="904" t="s">
        <v>49</v>
      </c>
      <c r="C71" s="1611"/>
      <c r="D71" s="905"/>
    </row>
    <row r="72" spans="2:4">
      <c r="B72" s="904" t="s">
        <v>845</v>
      </c>
      <c r="C72" s="1611">
        <v>10509724.460207857</v>
      </c>
      <c r="D72" s="905" t="s">
        <v>2199</v>
      </c>
    </row>
    <row r="73" spans="2:4">
      <c r="B73" s="904" t="s">
        <v>2178</v>
      </c>
      <c r="C73" s="1611">
        <v>10326227.057756007</v>
      </c>
      <c r="D73" s="905" t="s">
        <v>2199</v>
      </c>
    </row>
    <row r="74" spans="2:4">
      <c r="B74" s="904" t="s">
        <v>2216</v>
      </c>
      <c r="C74" s="1611">
        <v>-6485000</v>
      </c>
      <c r="D74" s="905" t="s">
        <v>2217</v>
      </c>
    </row>
    <row r="75" spans="2:4">
      <c r="B75" s="904" t="s">
        <v>2218</v>
      </c>
      <c r="C75" s="1611">
        <v>6350526.4092792068</v>
      </c>
      <c r="D75" s="905" t="s">
        <v>2232</v>
      </c>
    </row>
    <row r="76" spans="2:4">
      <c r="B76" s="904" t="s">
        <v>2219</v>
      </c>
      <c r="C76" s="1611">
        <v>1</v>
      </c>
      <c r="D76" s="905"/>
    </row>
    <row r="77" spans="2:4">
      <c r="B77" s="904" t="s">
        <v>2220</v>
      </c>
      <c r="C77" s="1611">
        <v>0</v>
      </c>
      <c r="D77" s="905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topLeftCell="A301" workbookViewId="0">
      <selection activeCell="F305" sqref="F305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 t="s">
        <v>2321</v>
      </c>
      <c r="C3" s="380" t="s">
        <v>2322</v>
      </c>
      <c r="D3" s="380" t="s">
        <v>973</v>
      </c>
      <c r="E3" s="380"/>
      <c r="F3" s="380">
        <v>7290</v>
      </c>
      <c r="G3" s="380"/>
      <c r="H3" s="380">
        <v>1286</v>
      </c>
      <c r="I3" s="380">
        <v>80</v>
      </c>
      <c r="J3" s="380">
        <v>80</v>
      </c>
      <c r="K3" s="380">
        <v>80</v>
      </c>
      <c r="L3" s="380">
        <v>80</v>
      </c>
      <c r="M3" s="380">
        <v>80</v>
      </c>
      <c r="N3" s="380">
        <v>80</v>
      </c>
      <c r="O3" s="380">
        <v>80</v>
      </c>
      <c r="P3" s="380">
        <v>80</v>
      </c>
      <c r="Q3" s="380">
        <v>80</v>
      </c>
      <c r="R3" s="380">
        <v>80</v>
      </c>
      <c r="S3" s="380">
        <v>80</v>
      </c>
      <c r="T3" s="380">
        <v>80</v>
      </c>
    </row>
    <row r="4" spans="2:20">
      <c r="B4" s="380" t="s">
        <v>2321</v>
      </c>
      <c r="C4" s="380" t="s">
        <v>2322</v>
      </c>
      <c r="D4" s="380" t="s">
        <v>1320</v>
      </c>
      <c r="E4" s="380"/>
      <c r="F4" s="380">
        <v>7881</v>
      </c>
      <c r="G4" s="380"/>
      <c r="H4" s="380">
        <v>1286</v>
      </c>
      <c r="I4" s="380">
        <v>80</v>
      </c>
      <c r="J4" s="380">
        <v>80</v>
      </c>
      <c r="K4" s="380">
        <v>80</v>
      </c>
      <c r="L4" s="380">
        <v>80</v>
      </c>
      <c r="M4" s="380">
        <v>80</v>
      </c>
      <c r="N4" s="380">
        <v>80</v>
      </c>
      <c r="O4" s="380">
        <v>80</v>
      </c>
      <c r="P4" s="380">
        <v>80</v>
      </c>
      <c r="Q4" s="380">
        <v>80</v>
      </c>
      <c r="R4" s="380">
        <v>80</v>
      </c>
      <c r="S4" s="380">
        <v>80</v>
      </c>
      <c r="T4" s="380">
        <v>80</v>
      </c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 t="s">
        <v>2323</v>
      </c>
      <c r="C304" s="380" t="s">
        <v>849</v>
      </c>
      <c r="D304" s="380">
        <v>0</v>
      </c>
      <c r="E304" s="380">
        <v>0</v>
      </c>
      <c r="F304" s="380">
        <f>8181.85*0</f>
        <v>0</v>
      </c>
      <c r="G304" s="380">
        <v>0</v>
      </c>
      <c r="H304" s="380">
        <v>0</v>
      </c>
      <c r="I304" s="380">
        <v>0</v>
      </c>
      <c r="J304" s="380" t="s">
        <v>2324</v>
      </c>
      <c r="M304" s="382"/>
      <c r="S304" s="381"/>
      <c r="T304" s="381"/>
    </row>
    <row r="305" spans="2:20">
      <c r="B305" s="380" t="s">
        <v>2325</v>
      </c>
      <c r="C305" s="380" t="s">
        <v>849</v>
      </c>
      <c r="D305" s="380">
        <v>1139255.8699999999</v>
      </c>
      <c r="E305" s="380">
        <v>0</v>
      </c>
      <c r="F305" s="380">
        <v>0</v>
      </c>
      <c r="G305" s="380">
        <v>0</v>
      </c>
      <c r="H305" s="380">
        <v>0</v>
      </c>
      <c r="I305" s="380">
        <v>0</v>
      </c>
      <c r="J305" s="380" t="s">
        <v>2326</v>
      </c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8"/>
  <sheetViews>
    <sheetView topLeftCell="T450" zoomScaleNormal="100" workbookViewId="0">
      <selection activeCell="AH457" sqref="AH457:AH482"/>
    </sheetView>
  </sheetViews>
  <sheetFormatPr defaultColWidth="9.140625" defaultRowHeight="15.75"/>
  <cols>
    <col min="1" max="1" width="18.28515625" style="883" bestFit="1" customWidth="1"/>
    <col min="2" max="2" width="71.42578125" style="883" bestFit="1" customWidth="1"/>
    <col min="3" max="3" width="9.5703125" style="883" customWidth="1"/>
    <col min="4" max="4" width="15.42578125" style="883" customWidth="1"/>
    <col min="5" max="5" width="8.85546875" style="883" customWidth="1"/>
    <col min="6" max="6" width="19.42578125" style="883" customWidth="1"/>
    <col min="7" max="7" width="17.7109375" style="883" customWidth="1"/>
    <col min="8" max="8" width="16.5703125" style="883" customWidth="1"/>
    <col min="9" max="10" width="12.7109375" style="883" customWidth="1"/>
    <col min="11" max="11" width="13.28515625" style="883" customWidth="1"/>
    <col min="12" max="13" width="12.7109375" style="883" customWidth="1"/>
    <col min="14" max="14" width="15.85546875" style="883" customWidth="1"/>
    <col min="15" max="16" width="12.7109375" style="883" customWidth="1"/>
    <col min="17" max="17" width="12" style="883" customWidth="1"/>
    <col min="18" max="18" width="12.7109375" style="883" customWidth="1"/>
    <col min="19" max="19" width="14.28515625" style="883" customWidth="1"/>
    <col min="20" max="20" width="12.7109375" style="883" customWidth="1"/>
    <col min="21" max="21" width="12" style="883" customWidth="1"/>
    <col min="22" max="22" width="16.85546875" style="883" customWidth="1"/>
    <col min="23" max="24" width="12.7109375" style="883" customWidth="1"/>
    <col min="25" max="25" width="12" style="883" customWidth="1"/>
    <col min="26" max="26" width="10.5703125" style="883" customWidth="1"/>
    <col min="27" max="27" width="10.5703125" style="883" bestFit="1" customWidth="1"/>
    <col min="28" max="28" width="9.85546875" style="883" bestFit="1" customWidth="1"/>
    <col min="29" max="29" width="12" style="883" bestFit="1" customWidth="1"/>
    <col min="30" max="30" width="13.28515625" style="884" bestFit="1" customWidth="1"/>
    <col min="31" max="31" width="11.7109375" style="883" bestFit="1" customWidth="1"/>
    <col min="32" max="32" width="12.7109375" style="883" bestFit="1" customWidth="1"/>
    <col min="33" max="34" width="10.5703125" style="883" bestFit="1" customWidth="1"/>
    <col min="35" max="16384" width="9.140625" style="883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3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90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90">
        <v>44043</v>
      </c>
      <c r="AH2" s="885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90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90">
        <v>44055</v>
      </c>
      <c r="AH3" s="885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90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90">
        <v>44088</v>
      </c>
      <c r="AH4" s="885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90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90">
        <v>44117</v>
      </c>
      <c r="AH5" s="885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90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90">
        <v>44147</v>
      </c>
      <c r="AH6" s="885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90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90">
        <v>44179</v>
      </c>
      <c r="AH7" s="885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90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90">
        <v>44193</v>
      </c>
      <c r="AH8" s="885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90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90">
        <v>44208</v>
      </c>
      <c r="AH9" s="885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90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90">
        <v>44043</v>
      </c>
      <c r="AH10" s="885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90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90">
        <v>44055</v>
      </c>
      <c r="AH11" s="885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90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90">
        <v>44088</v>
      </c>
      <c r="AH12" s="885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90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90">
        <v>44117</v>
      </c>
      <c r="AH13" s="885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90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90">
        <v>44147</v>
      </c>
      <c r="AH14" s="885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90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90">
        <v>44179</v>
      </c>
      <c r="AH15" s="885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90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90">
        <v>44193</v>
      </c>
      <c r="AH16" s="885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90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90">
        <v>44208</v>
      </c>
      <c r="AH17" s="885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90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90">
        <v>44043</v>
      </c>
      <c r="AH18" s="885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90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90">
        <v>44055</v>
      </c>
      <c r="AH19" s="885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90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90">
        <v>44088</v>
      </c>
      <c r="AH20" s="885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90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90">
        <v>44117</v>
      </c>
      <c r="AH21" s="885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90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90">
        <v>44147</v>
      </c>
      <c r="AH22" s="885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90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90">
        <v>44179</v>
      </c>
      <c r="AH23" s="885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90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90">
        <v>44193</v>
      </c>
      <c r="AH24" s="885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90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90">
        <v>44208</v>
      </c>
      <c r="AH25" s="885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90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90">
        <v>44043</v>
      </c>
      <c r="AH26" s="885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90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90">
        <v>44055</v>
      </c>
      <c r="AH27" s="885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90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90">
        <v>44088</v>
      </c>
      <c r="AH28" s="885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90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90">
        <v>44117</v>
      </c>
      <c r="AH29" s="885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90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90">
        <v>44147</v>
      </c>
      <c r="AH30" s="885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90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90">
        <v>44179</v>
      </c>
      <c r="AH31" s="885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90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90">
        <v>44193</v>
      </c>
      <c r="AH32" s="885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90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90">
        <v>44208</v>
      </c>
      <c r="AH33" s="885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90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90">
        <v>44043</v>
      </c>
      <c r="AH34" s="885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90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90">
        <v>44055</v>
      </c>
      <c r="AH35" s="885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90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90">
        <v>44088</v>
      </c>
      <c r="AH36" s="885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90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90">
        <v>44117</v>
      </c>
      <c r="AH37" s="885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90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90">
        <v>44147</v>
      </c>
      <c r="AH38" s="885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90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90">
        <v>44179</v>
      </c>
      <c r="AH39" s="885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90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90">
        <v>44193</v>
      </c>
      <c r="AH40" s="885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90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90">
        <v>44208</v>
      </c>
      <c r="AH41" s="885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90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90">
        <v>44043</v>
      </c>
      <c r="AH42" s="885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90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90">
        <v>44055</v>
      </c>
      <c r="AH43" s="885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90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90">
        <v>44088</v>
      </c>
      <c r="AH44" s="885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90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90">
        <v>44117</v>
      </c>
      <c r="AH45" s="885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90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90">
        <v>44147</v>
      </c>
      <c r="AH46" s="885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90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90">
        <v>44179</v>
      </c>
      <c r="AH47" s="885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90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90">
        <v>44193</v>
      </c>
      <c r="AH48" s="885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90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90">
        <v>44208</v>
      </c>
      <c r="AH49" s="885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90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90">
        <v>44043</v>
      </c>
      <c r="AH50" s="885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90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90">
        <v>44055</v>
      </c>
      <c r="AH51" s="885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90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90">
        <v>44088</v>
      </c>
      <c r="AH52" s="885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90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90">
        <v>44117</v>
      </c>
      <c r="AH53" s="885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90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90">
        <v>44147</v>
      </c>
      <c r="AH54" s="885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90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90">
        <v>44179</v>
      </c>
      <c r="AH55" s="885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90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90">
        <v>44193</v>
      </c>
      <c r="AH56" s="885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90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90">
        <v>44208</v>
      </c>
      <c r="AH57" s="885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90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90">
        <v>44043</v>
      </c>
      <c r="AH58" s="885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90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90">
        <v>44055</v>
      </c>
      <c r="AH59" s="885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90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90">
        <v>44088</v>
      </c>
      <c r="AH60" s="885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90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90">
        <v>44117</v>
      </c>
      <c r="AH61" s="885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90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90">
        <v>44147</v>
      </c>
      <c r="AH62" s="885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90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90">
        <v>44179</v>
      </c>
      <c r="AH63" s="885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90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90">
        <v>44193</v>
      </c>
      <c r="AH64" s="885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90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90">
        <v>44208</v>
      </c>
      <c r="AH65" s="885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90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90">
        <v>44043</v>
      </c>
      <c r="AH66" s="885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90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90">
        <v>44055</v>
      </c>
      <c r="AH67" s="885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90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90">
        <v>44088</v>
      </c>
      <c r="AH68" s="885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90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90">
        <v>44117</v>
      </c>
      <c r="AH69" s="885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90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90">
        <v>44147</v>
      </c>
      <c r="AH70" s="885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90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90">
        <v>44179</v>
      </c>
      <c r="AH71" s="885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90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90">
        <v>44193</v>
      </c>
      <c r="AH72" s="885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90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90">
        <v>44208</v>
      </c>
      <c r="AH73" s="885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90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90">
        <v>44043</v>
      </c>
      <c r="AH74" s="885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90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90">
        <v>44055</v>
      </c>
      <c r="AH75" s="885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90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90">
        <v>44088</v>
      </c>
      <c r="AH76" s="885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90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90">
        <v>44117</v>
      </c>
      <c r="AH77" s="885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90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90">
        <v>44147</v>
      </c>
      <c r="AH78" s="885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90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90">
        <v>44179</v>
      </c>
      <c r="AH79" s="885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90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90">
        <v>44193</v>
      </c>
      <c r="AH80" s="885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90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90">
        <v>44208</v>
      </c>
      <c r="AH81" s="885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90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90">
        <v>44043</v>
      </c>
      <c r="AH82" s="885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90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90">
        <v>44055</v>
      </c>
      <c r="AH83" s="885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90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90">
        <v>44088</v>
      </c>
      <c r="AH84" s="885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90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90">
        <v>44117</v>
      </c>
      <c r="AH85" s="885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90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90">
        <v>44147</v>
      </c>
      <c r="AH86" s="885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90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90">
        <v>44179</v>
      </c>
      <c r="AH87" s="885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90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90">
        <v>44193</v>
      </c>
      <c r="AH88" s="885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90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90">
        <v>44208</v>
      </c>
      <c r="AH89" s="885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90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90">
        <v>44043</v>
      </c>
      <c r="AH90" s="885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90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90">
        <v>44055</v>
      </c>
      <c r="AH91" s="885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90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90">
        <v>44088</v>
      </c>
      <c r="AH92" s="885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90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90">
        <v>44117</v>
      </c>
      <c r="AH93" s="885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90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90">
        <v>44147</v>
      </c>
      <c r="AH94" s="885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90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90">
        <v>44179</v>
      </c>
      <c r="AH95" s="885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90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90">
        <v>44193</v>
      </c>
      <c r="AH96" s="885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90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90">
        <v>44208</v>
      </c>
      <c r="AH97" s="885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90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90">
        <v>44043</v>
      </c>
      <c r="AH98" s="885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90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90">
        <v>44055</v>
      </c>
      <c r="AH99" s="885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90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90">
        <v>44088</v>
      </c>
      <c r="AH100" s="885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90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90">
        <v>44117</v>
      </c>
      <c r="AH101" s="885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90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90">
        <v>44147</v>
      </c>
      <c r="AH102" s="885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90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90">
        <v>44179</v>
      </c>
      <c r="AH103" s="885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90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90">
        <v>44193</v>
      </c>
      <c r="AH104" s="885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90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90">
        <v>44208</v>
      </c>
      <c r="AH105" s="885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90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90">
        <v>44043</v>
      </c>
      <c r="AH106" s="885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90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90">
        <v>44055</v>
      </c>
      <c r="AH107" s="885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90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90">
        <v>44088</v>
      </c>
      <c r="AH108" s="885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90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90">
        <v>44117</v>
      </c>
      <c r="AH109" s="885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90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90">
        <v>44147</v>
      </c>
      <c r="AH110" s="885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90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90">
        <v>44179</v>
      </c>
      <c r="AH111" s="885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90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90">
        <v>44193</v>
      </c>
      <c r="AH112" s="885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90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90">
        <v>44208</v>
      </c>
      <c r="AH113" s="885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90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90">
        <v>44043</v>
      </c>
      <c r="AH114" s="885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90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90">
        <v>44055</v>
      </c>
      <c r="AH115" s="885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90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90">
        <v>44088</v>
      </c>
      <c r="AH116" s="885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90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90">
        <v>44117</v>
      </c>
      <c r="AH117" s="885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90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90">
        <v>44147</v>
      </c>
      <c r="AH118" s="885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90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90">
        <v>44179</v>
      </c>
      <c r="AH119" s="885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90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90">
        <v>44193</v>
      </c>
      <c r="AH120" s="885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90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90">
        <v>44208</v>
      </c>
      <c r="AH121" s="885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90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90">
        <v>44043</v>
      </c>
      <c r="AH122" s="885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90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90">
        <v>44055</v>
      </c>
      <c r="AH123" s="885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90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90">
        <v>44088</v>
      </c>
      <c r="AH124" s="885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90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90">
        <v>44117</v>
      </c>
      <c r="AH125" s="885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90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90">
        <v>44147</v>
      </c>
      <c r="AH126" s="885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90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90">
        <v>44179</v>
      </c>
      <c r="AH127" s="885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90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90">
        <v>44193</v>
      </c>
      <c r="AH128" s="885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90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90">
        <v>44208</v>
      </c>
      <c r="AH129" s="885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90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90">
        <v>44043</v>
      </c>
      <c r="AH130" s="885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90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90">
        <v>44055</v>
      </c>
      <c r="AH131" s="885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90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90">
        <v>44088</v>
      </c>
      <c r="AH132" s="885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90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90">
        <v>44117</v>
      </c>
      <c r="AH133" s="885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90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90">
        <v>44147</v>
      </c>
      <c r="AH134" s="885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90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90">
        <v>44179</v>
      </c>
      <c r="AH135" s="885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90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90">
        <v>44193</v>
      </c>
      <c r="AH136" s="885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90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90">
        <v>44208</v>
      </c>
      <c r="AH137" s="885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90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90">
        <v>44043</v>
      </c>
      <c r="AH138" s="885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90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90">
        <v>44055</v>
      </c>
      <c r="AH139" s="885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90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90">
        <v>44088</v>
      </c>
      <c r="AH140" s="885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90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90">
        <v>44117</v>
      </c>
      <c r="AH141" s="885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90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90">
        <v>44147</v>
      </c>
      <c r="AH142" s="885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90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90">
        <v>44179</v>
      </c>
      <c r="AH143" s="885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90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90">
        <v>44193</v>
      </c>
      <c r="AH144" s="885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90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90">
        <v>44208</v>
      </c>
      <c r="AH145" s="885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90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90">
        <v>44043</v>
      </c>
      <c r="AH146" s="885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90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90">
        <v>44055</v>
      </c>
      <c r="AH147" s="885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90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90">
        <v>44088</v>
      </c>
      <c r="AH148" s="885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90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90">
        <v>44117</v>
      </c>
      <c r="AH149" s="885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90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90">
        <v>44147</v>
      </c>
      <c r="AH150" s="885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90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90">
        <v>44179</v>
      </c>
      <c r="AH151" s="885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90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90">
        <v>44193</v>
      </c>
      <c r="AH152" s="885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90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90">
        <v>44208</v>
      </c>
      <c r="AH153" s="885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90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90">
        <v>44043</v>
      </c>
      <c r="AH154" s="885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90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90">
        <v>44055</v>
      </c>
      <c r="AH155" s="885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90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90">
        <v>44088</v>
      </c>
      <c r="AH156" s="885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90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90">
        <v>44117</v>
      </c>
      <c r="AH157" s="885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90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90">
        <v>44147</v>
      </c>
      <c r="AH158" s="885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90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90">
        <v>44179</v>
      </c>
      <c r="AH159" s="885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90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90">
        <v>44193</v>
      </c>
      <c r="AH160" s="885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90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90">
        <v>44208</v>
      </c>
      <c r="AH161" s="885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90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90">
        <v>44043</v>
      </c>
      <c r="AH162" s="885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90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90">
        <v>44055</v>
      </c>
      <c r="AH163" s="885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90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90">
        <v>44088</v>
      </c>
      <c r="AH164" s="885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90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90">
        <v>44117</v>
      </c>
      <c r="AH165" s="885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90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90">
        <v>44147</v>
      </c>
      <c r="AH166" s="885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90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90">
        <v>44179</v>
      </c>
      <c r="AH167" s="885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90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90">
        <v>44193</v>
      </c>
      <c r="AH168" s="885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90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90">
        <v>44208</v>
      </c>
      <c r="AH169" s="885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90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90">
        <v>44043</v>
      </c>
      <c r="AH170" s="885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90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90">
        <v>44055</v>
      </c>
      <c r="AH171" s="885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90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90">
        <v>44088</v>
      </c>
      <c r="AH172" s="885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90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90">
        <v>44117</v>
      </c>
      <c r="AH173" s="885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90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90">
        <v>44147</v>
      </c>
      <c r="AH174" s="885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90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90">
        <v>44179</v>
      </c>
      <c r="AH175" s="885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90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90">
        <v>44193</v>
      </c>
      <c r="AH176" s="885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90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90">
        <v>44208</v>
      </c>
      <c r="AH177" s="885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90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90">
        <v>44043</v>
      </c>
      <c r="AH178" s="885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90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90">
        <v>44055</v>
      </c>
      <c r="AH179" s="885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90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90">
        <v>44088</v>
      </c>
      <c r="AH180" s="885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90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90">
        <v>44117</v>
      </c>
      <c r="AH181" s="885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90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90">
        <v>44147</v>
      </c>
      <c r="AH182" s="885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90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90">
        <v>44179</v>
      </c>
      <c r="AH183" s="885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90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90">
        <v>44193</v>
      </c>
      <c r="AH184" s="885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90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90">
        <v>44208</v>
      </c>
      <c r="AH185" s="885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90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90">
        <v>44043</v>
      </c>
      <c r="AH186" s="885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90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90">
        <v>44055</v>
      </c>
      <c r="AH187" s="885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90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90">
        <v>44088</v>
      </c>
      <c r="AH188" s="885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90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90">
        <v>44117</v>
      </c>
      <c r="AH189" s="885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90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90">
        <v>44147</v>
      </c>
      <c r="AH190" s="885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90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90">
        <v>44179</v>
      </c>
      <c r="AH191" s="885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90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90">
        <v>44193</v>
      </c>
      <c r="AH192" s="885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90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90">
        <v>44208</v>
      </c>
      <c r="AH193" s="885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90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90">
        <v>44043</v>
      </c>
      <c r="AH194" s="885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90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90">
        <v>44055</v>
      </c>
      <c r="AH195" s="885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90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90">
        <v>44088</v>
      </c>
      <c r="AH196" s="885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90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90">
        <v>44117</v>
      </c>
      <c r="AH197" s="885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90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90">
        <v>44147</v>
      </c>
      <c r="AH198" s="885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90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90">
        <v>44179</v>
      </c>
      <c r="AH199" s="885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90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90">
        <v>44193</v>
      </c>
      <c r="AH200" s="885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90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90">
        <v>44208</v>
      </c>
      <c r="AH201" s="885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90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90">
        <v>44043</v>
      </c>
      <c r="AH202" s="885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90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90">
        <v>44055</v>
      </c>
      <c r="AH203" s="885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90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90">
        <v>44088</v>
      </c>
      <c r="AH204" s="885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90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90">
        <v>44117</v>
      </c>
      <c r="AH205" s="885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90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90">
        <v>44147</v>
      </c>
      <c r="AH206" s="885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90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90">
        <v>44179</v>
      </c>
      <c r="AH207" s="885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90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90">
        <v>44193</v>
      </c>
      <c r="AH208" s="885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90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90">
        <v>44208</v>
      </c>
      <c r="AH209" s="885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90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90">
        <v>44043</v>
      </c>
      <c r="AH210" s="885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90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90">
        <v>44055</v>
      </c>
      <c r="AH211" s="885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90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90">
        <v>44088</v>
      </c>
      <c r="AH212" s="885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90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90">
        <v>44117</v>
      </c>
      <c r="AH213" s="885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90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90">
        <v>44147</v>
      </c>
      <c r="AH214" s="885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90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90">
        <v>44179</v>
      </c>
      <c r="AH215" s="885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90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90">
        <v>44193</v>
      </c>
      <c r="AH216" s="885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90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90">
        <v>44208</v>
      </c>
      <c r="AH217" s="885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90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90">
        <v>44043</v>
      </c>
      <c r="AH218" s="885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90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90">
        <v>44055</v>
      </c>
      <c r="AH219" s="885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90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90">
        <v>44088</v>
      </c>
      <c r="AH220" s="885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90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90">
        <v>44117</v>
      </c>
      <c r="AH221" s="885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90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90">
        <v>44147</v>
      </c>
      <c r="AH222" s="885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90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90">
        <v>44179</v>
      </c>
      <c r="AH223" s="885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90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90">
        <v>44193</v>
      </c>
      <c r="AH224" s="885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90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90">
        <v>44208</v>
      </c>
      <c r="AH225" s="885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90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90">
        <v>44043</v>
      </c>
      <c r="AH226" s="885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90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90">
        <v>44055</v>
      </c>
      <c r="AH227" s="885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90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90">
        <v>44088</v>
      </c>
      <c r="AH228" s="885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90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90">
        <v>44117</v>
      </c>
      <c r="AH229" s="885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90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90">
        <v>44147</v>
      </c>
      <c r="AH230" s="885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90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90">
        <v>44179</v>
      </c>
      <c r="AH231" s="885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90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90">
        <v>44193</v>
      </c>
      <c r="AH232" s="885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90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90">
        <v>44208</v>
      </c>
      <c r="AH233" s="885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90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90">
        <v>44043</v>
      </c>
      <c r="AH234" s="885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90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90">
        <v>44055</v>
      </c>
      <c r="AH235" s="885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90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90">
        <v>44088</v>
      </c>
      <c r="AH236" s="885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90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90">
        <v>44117</v>
      </c>
      <c r="AH237" s="885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90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90">
        <v>44147</v>
      </c>
      <c r="AH238" s="885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90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90">
        <v>44179</v>
      </c>
      <c r="AH239" s="885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90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90">
        <v>44193</v>
      </c>
      <c r="AH240" s="885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90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90">
        <v>44208</v>
      </c>
      <c r="AH241" s="885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90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90">
        <v>44043</v>
      </c>
      <c r="AH242" s="885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90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90">
        <v>44055</v>
      </c>
      <c r="AH243" s="885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90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90">
        <v>44088</v>
      </c>
      <c r="AH244" s="885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90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90">
        <v>44117</v>
      </c>
      <c r="AH245" s="885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90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90">
        <v>44147</v>
      </c>
      <c r="AH246" s="885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90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90">
        <v>44179</v>
      </c>
      <c r="AH247" s="885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90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90">
        <v>44193</v>
      </c>
      <c r="AH248" s="885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90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90">
        <v>44208</v>
      </c>
      <c r="AH249" s="885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90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90">
        <v>44043</v>
      </c>
      <c r="AH250" s="885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90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90">
        <v>44055</v>
      </c>
      <c r="AH251" s="885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90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90">
        <v>44088</v>
      </c>
      <c r="AH252" s="885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90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90">
        <v>44117</v>
      </c>
      <c r="AH253" s="885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90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90">
        <v>44147</v>
      </c>
      <c r="AH254" s="885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90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90">
        <v>44179</v>
      </c>
      <c r="AH255" s="885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90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90">
        <v>44193</v>
      </c>
      <c r="AH256" s="885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90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90">
        <v>44208</v>
      </c>
      <c r="AH257" s="885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90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90">
        <v>44043</v>
      </c>
      <c r="AH258" s="885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90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90">
        <v>44055</v>
      </c>
      <c r="AH259" s="885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90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90">
        <v>44088</v>
      </c>
      <c r="AH260" s="885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90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90">
        <v>44117</v>
      </c>
      <c r="AH261" s="885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90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90">
        <v>44147</v>
      </c>
      <c r="AH262" s="885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90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90">
        <v>44179</v>
      </c>
      <c r="AH263" s="885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90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90">
        <v>44193</v>
      </c>
      <c r="AH264" s="885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90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90">
        <v>44208</v>
      </c>
      <c r="AH265" s="885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90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90">
        <v>44043</v>
      </c>
      <c r="AH266" s="885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90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90">
        <v>44055</v>
      </c>
      <c r="AH267" s="885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90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90">
        <v>44088</v>
      </c>
      <c r="AH268" s="885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90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90">
        <v>44117</v>
      </c>
      <c r="AH269" s="885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90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90">
        <v>44147</v>
      </c>
      <c r="AH270" s="885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90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90">
        <v>44179</v>
      </c>
      <c r="AH271" s="885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90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90">
        <v>44193</v>
      </c>
      <c r="AH272" s="885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90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90">
        <v>44208</v>
      </c>
      <c r="AH273" s="885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90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5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90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5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90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5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90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5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90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5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90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5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90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5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90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5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90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5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90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5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90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5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90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5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90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5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90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5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90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5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90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5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90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90">
        <v>44043</v>
      </c>
      <c r="AH290" s="885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90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90">
        <v>44055</v>
      </c>
      <c r="AH291" s="885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90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90">
        <v>44088</v>
      </c>
      <c r="AH292" s="885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90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90">
        <v>44117</v>
      </c>
      <c r="AH293" s="885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90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90">
        <v>44147</v>
      </c>
      <c r="AH294" s="885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90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90">
        <v>44179</v>
      </c>
      <c r="AH295" s="885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90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90">
        <v>44193</v>
      </c>
      <c r="AH296" s="885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90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90">
        <v>44208</v>
      </c>
      <c r="AH297" s="885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90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90">
        <v>44043</v>
      </c>
      <c r="AH298" s="885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90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90">
        <v>44055</v>
      </c>
      <c r="AH299" s="885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90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90">
        <v>44088</v>
      </c>
      <c r="AH300" s="885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90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90">
        <v>44117</v>
      </c>
      <c r="AH301" s="885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90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90">
        <v>44147</v>
      </c>
      <c r="AH302" s="885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90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90">
        <v>44179</v>
      </c>
      <c r="AH303" s="885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90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90">
        <v>44193</v>
      </c>
      <c r="AH304" s="885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90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90">
        <v>44208</v>
      </c>
      <c r="AH305" s="885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90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90">
        <v>44043</v>
      </c>
      <c r="AH306" s="885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90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90">
        <v>44055</v>
      </c>
      <c r="AH307" s="885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90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90">
        <v>44088</v>
      </c>
      <c r="AH308" s="885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90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90">
        <v>44117</v>
      </c>
      <c r="AH309" s="885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90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90">
        <v>44147</v>
      </c>
      <c r="AH310" s="885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90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90">
        <v>44179</v>
      </c>
      <c r="AH311" s="885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90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90">
        <v>44193</v>
      </c>
      <c r="AH312" s="885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90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90">
        <v>44208</v>
      </c>
      <c r="AH313" s="885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90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90">
        <v>44043</v>
      </c>
      <c r="AH314" s="885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90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90">
        <v>44055</v>
      </c>
      <c r="AH315" s="885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90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90">
        <v>44088</v>
      </c>
      <c r="AH316" s="885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90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90">
        <v>44117</v>
      </c>
      <c r="AH317" s="885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90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90">
        <v>44147</v>
      </c>
      <c r="AH318" s="885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90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90">
        <v>44179</v>
      </c>
      <c r="AH319" s="885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90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90">
        <v>44193</v>
      </c>
      <c r="AH320" s="885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90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90">
        <v>44208</v>
      </c>
      <c r="AH321" s="885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90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5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90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5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90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5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90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5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90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5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90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5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90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5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90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5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90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5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90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5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90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5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90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5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90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5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90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5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90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5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90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5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90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5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90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5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90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5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90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5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90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5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90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5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90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5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90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5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90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5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90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5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983">
        <v>-3012884.08</v>
      </c>
      <c r="H348" s="234" t="s">
        <v>138</v>
      </c>
      <c r="I348" s="890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5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90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5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90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5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90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5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90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5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90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5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90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5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90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5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90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5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90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5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90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5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90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5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90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5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90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5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90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5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90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5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90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5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90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5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90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5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90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5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90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5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90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5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90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5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90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5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90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5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90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5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90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5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90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5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90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5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90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5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90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90">
        <v>44043</v>
      </c>
      <c r="AH378" s="885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90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90">
        <v>44055</v>
      </c>
      <c r="AH379" s="885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90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90">
        <v>44088</v>
      </c>
      <c r="AH380" s="885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90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90">
        <v>44117</v>
      </c>
      <c r="AH381" s="885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90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90">
        <v>44147</v>
      </c>
      <c r="AH382" s="885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90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90">
        <v>44179</v>
      </c>
      <c r="AH383" s="885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90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90">
        <v>44193</v>
      </c>
      <c r="AH384" s="885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90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90">
        <v>44208</v>
      </c>
      <c r="AH385" s="885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90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90">
        <v>44043</v>
      </c>
      <c r="AH386" s="885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90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90">
        <v>44055</v>
      </c>
      <c r="AH387" s="885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90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90">
        <v>44088</v>
      </c>
      <c r="AH388" s="885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90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90">
        <v>44117</v>
      </c>
      <c r="AH389" s="885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90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90">
        <v>44147</v>
      </c>
      <c r="AH390" s="885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90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90">
        <v>44179</v>
      </c>
      <c r="AH391" s="885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90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90">
        <v>44193</v>
      </c>
      <c r="AH392" s="885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90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90">
        <v>44208</v>
      </c>
      <c r="AH393" s="885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90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90">
        <v>44043</v>
      </c>
      <c r="AH394" s="885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90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90">
        <v>44055</v>
      </c>
      <c r="AH395" s="885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90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90">
        <v>44088</v>
      </c>
      <c r="AH396" s="885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90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90">
        <v>44117</v>
      </c>
      <c r="AH397" s="885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90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90">
        <v>44147</v>
      </c>
      <c r="AH398" s="885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90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90">
        <v>44179</v>
      </c>
      <c r="AH399" s="885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90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90">
        <v>44193</v>
      </c>
      <c r="AH400" s="885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90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90">
        <v>44208</v>
      </c>
      <c r="AH401" s="885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90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90">
        <v>44043</v>
      </c>
      <c r="AH402" s="885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90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90">
        <v>44055</v>
      </c>
      <c r="AH403" s="885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90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90">
        <v>44088</v>
      </c>
      <c r="AH404" s="885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90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90">
        <v>44117</v>
      </c>
      <c r="AH405" s="885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90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90">
        <v>44147</v>
      </c>
      <c r="AH406" s="885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90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90">
        <v>44179</v>
      </c>
      <c r="AH407" s="885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90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90">
        <v>44193</v>
      </c>
      <c r="AH408" s="885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90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90">
        <v>44208</v>
      </c>
      <c r="AH409" s="885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90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90">
        <v>44043</v>
      </c>
      <c r="AH410" s="885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90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90">
        <v>44055</v>
      </c>
      <c r="AH411" s="885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90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90">
        <v>44088</v>
      </c>
      <c r="AH412" s="885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90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90">
        <v>44117</v>
      </c>
      <c r="AH413" s="885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90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90">
        <v>44147</v>
      </c>
      <c r="AH414" s="885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90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90">
        <v>44179</v>
      </c>
      <c r="AH415" s="885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90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90">
        <v>44193</v>
      </c>
      <c r="AH416" s="885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90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90">
        <v>44208</v>
      </c>
      <c r="AH417" s="885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90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90">
        <v>44043</v>
      </c>
      <c r="AH418" s="885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90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90">
        <v>44055</v>
      </c>
      <c r="AH419" s="885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90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90">
        <v>44088</v>
      </c>
      <c r="AH420" s="885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90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90">
        <v>44117</v>
      </c>
      <c r="AH421" s="885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90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90">
        <v>44147</v>
      </c>
      <c r="AH422" s="885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90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90">
        <v>44179</v>
      </c>
      <c r="AH423" s="885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90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90">
        <v>44193</v>
      </c>
      <c r="AH424" s="885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90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90">
        <v>44208</v>
      </c>
      <c r="AH425" s="885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90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5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90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5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90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5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90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5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90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5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90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5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90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5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90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5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90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90">
        <v>44043</v>
      </c>
      <c r="AH434" s="885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90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90">
        <v>44055</v>
      </c>
      <c r="AH435" s="885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90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90">
        <v>44088</v>
      </c>
      <c r="AH436" s="885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90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90">
        <v>44117</v>
      </c>
      <c r="AH437" s="885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90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90">
        <v>44147</v>
      </c>
      <c r="AH438" s="885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90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90">
        <v>44179</v>
      </c>
      <c r="AH439" s="885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90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90">
        <v>44193</v>
      </c>
      <c r="AH440" s="885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90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90">
        <v>44208</v>
      </c>
      <c r="AH441" s="885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90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90">
        <v>44043</v>
      </c>
      <c r="AH442" s="885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90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90">
        <v>44055</v>
      </c>
      <c r="AH443" s="885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90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90">
        <v>44088</v>
      </c>
      <c r="AH444" s="885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90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90">
        <v>44117</v>
      </c>
      <c r="AH445" s="885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90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90">
        <v>44147</v>
      </c>
      <c r="AH446" s="885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90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90">
        <v>44179</v>
      </c>
      <c r="AH447" s="885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90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90">
        <v>44193</v>
      </c>
      <c r="AH448" s="885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90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90">
        <v>44208</v>
      </c>
      <c r="AH449" s="885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90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90">
        <v>44043</v>
      </c>
      <c r="AH450" s="885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90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90">
        <v>44055</v>
      </c>
      <c r="AH451" s="885">
        <f t="shared" ref="AH451:AH482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90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90">
        <v>44088</v>
      </c>
      <c r="AH452" s="885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90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90">
        <v>44117</v>
      </c>
      <c r="AH453" s="885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90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90">
        <v>44147</v>
      </c>
      <c r="AH454" s="885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90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90">
        <v>44179</v>
      </c>
      <c r="AH455" s="885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90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90">
        <v>44193</v>
      </c>
      <c r="AH456" s="885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90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90">
        <v>44208</v>
      </c>
      <c r="AH457" s="885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-4714285.71</v>
      </c>
      <c r="H458" s="234">
        <v>0</v>
      </c>
      <c r="I458" s="890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s="890">
        <v>44043</v>
      </c>
      <c r="AH458" s="885">
        <f t="shared" si="9"/>
        <v>44013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/>
      <c r="H459" s="234" t="s">
        <v>138</v>
      </c>
      <c r="I459" s="890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s="890">
        <v>44055</v>
      </c>
      <c r="AH459" s="885">
        <f t="shared" si="9"/>
        <v>44044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90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s="890">
        <v>44088</v>
      </c>
      <c r="AH460" s="885">
        <f t="shared" si="9"/>
        <v>44075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90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s="890">
        <v>44117</v>
      </c>
      <c r="AH461" s="885">
        <f t="shared" si="9"/>
        <v>44105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90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s="890">
        <v>44147</v>
      </c>
      <c r="AH462" s="885">
        <f t="shared" si="9"/>
        <v>44136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90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s="890">
        <v>44179</v>
      </c>
      <c r="AH463" s="885">
        <f t="shared" si="9"/>
        <v>44166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90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s="890">
        <v>44193</v>
      </c>
      <c r="AH464" s="885">
        <f t="shared" si="9"/>
        <v>44166</v>
      </c>
    </row>
    <row r="465" spans="1:34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90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s="890">
        <v>44208</v>
      </c>
      <c r="AH465" s="885">
        <f t="shared" si="9"/>
        <v>44197</v>
      </c>
    </row>
    <row r="466" spans="1:34">
      <c r="A466">
        <v>9</v>
      </c>
      <c r="B466">
        <v>7371</v>
      </c>
      <c r="C466" t="s">
        <v>201</v>
      </c>
      <c r="D466">
        <v>240</v>
      </c>
      <c r="E466" s="234">
        <v>0</v>
      </c>
      <c r="F466" s="234">
        <v>0</v>
      </c>
      <c r="G466" s="234">
        <v>-5988962.9678906118</v>
      </c>
      <c r="H466" s="234" t="s">
        <v>138</v>
      </c>
      <c r="I466" s="890">
        <v>44407</v>
      </c>
      <c r="J466" t="s">
        <v>138</v>
      </c>
      <c r="K466" t="s">
        <v>138</v>
      </c>
      <c r="L466" t="s">
        <v>138</v>
      </c>
      <c r="M466" t="s">
        <v>138</v>
      </c>
      <c r="N466" t="s">
        <v>138</v>
      </c>
      <c r="O466" t="s">
        <v>138</v>
      </c>
      <c r="P466" t="s">
        <v>138</v>
      </c>
      <c r="Q466" t="s">
        <v>138</v>
      </c>
      <c r="R466" t="s">
        <v>138</v>
      </c>
      <c r="S466" t="s">
        <v>138</v>
      </c>
      <c r="T466" t="s">
        <v>138</v>
      </c>
      <c r="U466" t="s">
        <v>138</v>
      </c>
      <c r="V466" t="s">
        <v>138</v>
      </c>
      <c r="W466" t="s">
        <v>138</v>
      </c>
      <c r="X466" t="s">
        <v>138</v>
      </c>
      <c r="Y466" t="s">
        <v>138</v>
      </c>
      <c r="Z466" t="s">
        <v>138</v>
      </c>
      <c r="AA466" t="s">
        <v>138</v>
      </c>
      <c r="AB466" t="s">
        <v>138</v>
      </c>
      <c r="AC466" t="s">
        <v>138</v>
      </c>
      <c r="AD466" t="s">
        <v>138</v>
      </c>
      <c r="AE466" t="s">
        <v>138</v>
      </c>
      <c r="AF466" t="s">
        <v>138</v>
      </c>
      <c r="AG466" s="890">
        <v>44407</v>
      </c>
      <c r="AH466" s="885">
        <f t="shared" si="9"/>
        <v>44378</v>
      </c>
    </row>
    <row r="467" spans="1:34">
      <c r="A467">
        <v>1</v>
      </c>
      <c r="B467">
        <v>1000040</v>
      </c>
      <c r="C467" t="s">
        <v>202</v>
      </c>
      <c r="D467">
        <v>165</v>
      </c>
      <c r="E467">
        <v>97396427.996694505</v>
      </c>
      <c r="F467">
        <v>0</v>
      </c>
      <c r="G467">
        <v>0</v>
      </c>
      <c r="H467">
        <v>0</v>
      </c>
      <c r="I467" s="890">
        <v>44043</v>
      </c>
      <c r="J467">
        <v>1</v>
      </c>
      <c r="K467" t="s">
        <v>125</v>
      </c>
      <c r="L467">
        <v>1000040</v>
      </c>
      <c r="M467">
        <v>0.11040074720757299</v>
      </c>
      <c r="N467">
        <v>0.770537344132458</v>
      </c>
      <c r="O467">
        <v>8.1614413573386696E-2</v>
      </c>
      <c r="P467">
        <v>3.7447495086582197E-2</v>
      </c>
      <c r="Q467">
        <v>9.6506500755319996E-2</v>
      </c>
      <c r="R467">
        <v>0</v>
      </c>
      <c r="S467">
        <v>-3.6597671820187798E-3</v>
      </c>
      <c r="T467">
        <v>-1.0644741090961301E-3</v>
      </c>
      <c r="U467">
        <v>1.11447219928279E-3</v>
      </c>
      <c r="V467">
        <v>2.80894149348327E-3</v>
      </c>
      <c r="W467">
        <v>1.4695074050602301E-2</v>
      </c>
      <c r="X467">
        <v>0</v>
      </c>
      <c r="Y467">
        <v>0.81262247750501804</v>
      </c>
      <c r="Z467">
        <v>0</v>
      </c>
      <c r="AA467">
        <v>-1.5784685345165299E-2</v>
      </c>
      <c r="AB467">
        <v>0.11241535620476099</v>
      </c>
      <c r="AC467">
        <v>1.54347873407088E-2</v>
      </c>
      <c r="AD467">
        <v>-0.30284395249566798</v>
      </c>
      <c r="AE467">
        <v>0.148693360922803</v>
      </c>
      <c r="AF467">
        <v>0</v>
      </c>
      <c r="AG467" s="890">
        <v>44043</v>
      </c>
      <c r="AH467" s="885">
        <f t="shared" si="9"/>
        <v>44013</v>
      </c>
    </row>
    <row r="468" spans="1:34">
      <c r="A468">
        <v>2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90">
        <v>44055</v>
      </c>
      <c r="J468">
        <v>2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90">
        <v>44055</v>
      </c>
      <c r="AH468" s="885">
        <f t="shared" si="9"/>
        <v>44044</v>
      </c>
    </row>
    <row r="469" spans="1:34">
      <c r="A469">
        <v>3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90">
        <v>44088</v>
      </c>
      <c r="J469">
        <v>3</v>
      </c>
      <c r="K469" t="s">
        <v>125</v>
      </c>
      <c r="L469">
        <v>1000040</v>
      </c>
      <c r="M469">
        <v>0</v>
      </c>
      <c r="N469" t="s">
        <v>138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90">
        <v>44088</v>
      </c>
      <c r="AH469" s="885">
        <f t="shared" si="9"/>
        <v>44075</v>
      </c>
    </row>
    <row r="470" spans="1:34">
      <c r="A470">
        <v>4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90">
        <v>44117</v>
      </c>
      <c r="J470">
        <v>4</v>
      </c>
      <c r="K470" t="s">
        <v>125</v>
      </c>
      <c r="L470">
        <v>1000040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90">
        <v>44117</v>
      </c>
      <c r="AH470" s="885">
        <f t="shared" si="9"/>
        <v>44105</v>
      </c>
    </row>
    <row r="471" spans="1:34">
      <c r="A471">
        <v>5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90">
        <v>44147</v>
      </c>
      <c r="J471">
        <v>5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90">
        <v>44147</v>
      </c>
      <c r="AH471" s="885">
        <f t="shared" si="9"/>
        <v>44136</v>
      </c>
    </row>
    <row r="472" spans="1:34">
      <c r="A472">
        <v>6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90">
        <v>44179</v>
      </c>
      <c r="J472">
        <v>6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90">
        <v>44179</v>
      </c>
      <c r="AH472" s="885">
        <f t="shared" si="9"/>
        <v>44166</v>
      </c>
    </row>
    <row r="473" spans="1:34">
      <c r="A473">
        <v>7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90">
        <v>44193</v>
      </c>
      <c r="J473">
        <v>7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90">
        <v>44193</v>
      </c>
      <c r="AH473" s="885">
        <f t="shared" si="9"/>
        <v>44166</v>
      </c>
    </row>
    <row r="474" spans="1:34">
      <c r="A474">
        <v>8</v>
      </c>
      <c r="B474">
        <v>1000040</v>
      </c>
      <c r="C474" t="s">
        <v>202</v>
      </c>
      <c r="D474">
        <v>165</v>
      </c>
      <c r="E474">
        <v>0</v>
      </c>
      <c r="F474">
        <v>0</v>
      </c>
      <c r="G474" t="s">
        <v>138</v>
      </c>
      <c r="H474" t="s">
        <v>138</v>
      </c>
      <c r="I474" s="890">
        <v>44208</v>
      </c>
      <c r="J474">
        <v>8</v>
      </c>
      <c r="K474" t="s">
        <v>125</v>
      </c>
      <c r="L474">
        <v>1000040</v>
      </c>
      <c r="M474" t="s">
        <v>138</v>
      </c>
      <c r="N474" t="s">
        <v>138</v>
      </c>
      <c r="O474" t="s">
        <v>138</v>
      </c>
      <c r="P474" t="s">
        <v>138</v>
      </c>
      <c r="Q474" t="s">
        <v>138</v>
      </c>
      <c r="R474" t="s">
        <v>138</v>
      </c>
      <c r="S474" t="s">
        <v>138</v>
      </c>
      <c r="T474" t="s">
        <v>138</v>
      </c>
      <c r="U474" t="s">
        <v>138</v>
      </c>
      <c r="V474" t="s">
        <v>138</v>
      </c>
      <c r="W474" t="s">
        <v>138</v>
      </c>
      <c r="X474" t="s">
        <v>138</v>
      </c>
      <c r="Y474" t="s">
        <v>138</v>
      </c>
      <c r="Z474" t="s">
        <v>138</v>
      </c>
      <c r="AA474" t="s">
        <v>138</v>
      </c>
      <c r="AB474" t="s">
        <v>138</v>
      </c>
      <c r="AC474" t="s">
        <v>138</v>
      </c>
      <c r="AD474" t="s">
        <v>138</v>
      </c>
      <c r="AE474" t="s">
        <v>138</v>
      </c>
      <c r="AF474" t="s">
        <v>138</v>
      </c>
      <c r="AG474" s="890">
        <v>44208</v>
      </c>
      <c r="AH474" s="885">
        <f t="shared" si="9"/>
        <v>44197</v>
      </c>
    </row>
    <row r="475" spans="1:34">
      <c r="A475">
        <v>1</v>
      </c>
      <c r="B475">
        <v>1000041</v>
      </c>
      <c r="C475" t="s">
        <v>203</v>
      </c>
      <c r="D475">
        <v>166</v>
      </c>
      <c r="E475">
        <v>35249144.286588296</v>
      </c>
      <c r="F475">
        <v>0</v>
      </c>
      <c r="G475">
        <v>0</v>
      </c>
      <c r="H475">
        <v>0</v>
      </c>
      <c r="I475" s="890">
        <v>44043</v>
      </c>
      <c r="J475">
        <v>1</v>
      </c>
      <c r="K475" t="s">
        <v>204</v>
      </c>
      <c r="L475">
        <v>1000041</v>
      </c>
      <c r="M475">
        <v>0.101899395330646</v>
      </c>
      <c r="N475">
        <v>0.82492664823351802</v>
      </c>
      <c r="O475">
        <v>1.7355063471914799E-2</v>
      </c>
      <c r="P475">
        <v>5.5818892963921597E-2</v>
      </c>
      <c r="Q475">
        <v>-2.2662159106409002E-3</v>
      </c>
      <c r="R475">
        <v>9.3922152861703495E-2</v>
      </c>
      <c r="S475">
        <v>0</v>
      </c>
      <c r="T475">
        <v>-2.30222883320575E-4</v>
      </c>
      <c r="U475">
        <v>1.05180391688056E-3</v>
      </c>
      <c r="V475">
        <v>9.6076112930103506E-3</v>
      </c>
      <c r="W475">
        <v>-1.8573394698685901E-4</v>
      </c>
      <c r="X475">
        <v>0</v>
      </c>
      <c r="Y475">
        <v>-6.9809447106852204E-2</v>
      </c>
      <c r="Z475">
        <v>0.94643762471911297</v>
      </c>
      <c r="AA475">
        <v>-6.4497023381543403E-3</v>
      </c>
      <c r="AB475">
        <v>0.22784198505762099</v>
      </c>
      <c r="AC475">
        <v>2.02979884172407E-2</v>
      </c>
      <c r="AD475">
        <v>-0.34477089908986602</v>
      </c>
      <c r="AE475">
        <v>5.13790985744145E-2</v>
      </c>
      <c r="AF475">
        <v>0</v>
      </c>
      <c r="AG475" s="890">
        <v>44043</v>
      </c>
      <c r="AH475" s="885">
        <f t="shared" si="9"/>
        <v>44013</v>
      </c>
    </row>
    <row r="476" spans="1:34">
      <c r="A476">
        <v>2</v>
      </c>
      <c r="B476">
        <v>1000041</v>
      </c>
      <c r="C476" t="s">
        <v>203</v>
      </c>
      <c r="D476">
        <v>166</v>
      </c>
      <c r="E476">
        <v>13702748.626934299</v>
      </c>
      <c r="F476">
        <v>0</v>
      </c>
      <c r="G476" t="s">
        <v>138</v>
      </c>
      <c r="H476" t="s">
        <v>138</v>
      </c>
      <c r="I476" s="890">
        <v>44055</v>
      </c>
      <c r="J476">
        <v>2</v>
      </c>
      <c r="K476" t="s">
        <v>204</v>
      </c>
      <c r="L476">
        <v>1000041</v>
      </c>
      <c r="M476">
        <v>0.79217426289116599</v>
      </c>
      <c r="N476" t="s">
        <v>138</v>
      </c>
      <c r="O476">
        <v>4.1202431499999997E-2</v>
      </c>
      <c r="P476">
        <v>0.16662330559999999</v>
      </c>
      <c r="Q476">
        <v>-0.27539679331063899</v>
      </c>
      <c r="R476">
        <v>0.63084551931717303</v>
      </c>
      <c r="S476">
        <v>0</v>
      </c>
      <c r="T476">
        <v>0.41325545000791097</v>
      </c>
      <c r="U476">
        <v>2.4156878147156401E-2</v>
      </c>
      <c r="V476">
        <v>-2.72035657289887E-3</v>
      </c>
      <c r="W476">
        <v>2.0335653024619901E-3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90">
        <v>44055</v>
      </c>
      <c r="AH476" s="885">
        <f t="shared" si="9"/>
        <v>44044</v>
      </c>
    </row>
    <row r="477" spans="1:34">
      <c r="A477">
        <v>3</v>
      </c>
      <c r="B477">
        <v>1000041</v>
      </c>
      <c r="C477" t="s">
        <v>203</v>
      </c>
      <c r="D477">
        <v>166</v>
      </c>
      <c r="E477">
        <v>10644802.156550201</v>
      </c>
      <c r="F477">
        <v>0</v>
      </c>
      <c r="G477" t="s">
        <v>138</v>
      </c>
      <c r="H477" t="s">
        <v>138</v>
      </c>
      <c r="I477" s="890">
        <v>44088</v>
      </c>
      <c r="J477">
        <v>3</v>
      </c>
      <c r="K477" t="s">
        <v>204</v>
      </c>
      <c r="L477">
        <v>1000041</v>
      </c>
      <c r="M477">
        <v>0.81493726663561294</v>
      </c>
      <c r="N477" t="s">
        <v>138</v>
      </c>
      <c r="O477">
        <v>0.18506273340000001</v>
      </c>
      <c r="P477">
        <v>0</v>
      </c>
      <c r="Q477">
        <v>-0.25062098195854698</v>
      </c>
      <c r="R477">
        <v>0.76044757396019003</v>
      </c>
      <c r="S477">
        <v>0</v>
      </c>
      <c r="T477">
        <v>0.32965947325517703</v>
      </c>
      <c r="U477">
        <v>3.58970551800777E-2</v>
      </c>
      <c r="V477">
        <v>-6.01815174282413E-2</v>
      </c>
      <c r="W477">
        <v>-2.6433637304320602E-4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90">
        <v>44088</v>
      </c>
      <c r="AH477" s="885">
        <f t="shared" si="9"/>
        <v>44075</v>
      </c>
    </row>
    <row r="478" spans="1:34">
      <c r="A478">
        <v>4</v>
      </c>
      <c r="B478">
        <v>1000041</v>
      </c>
      <c r="C478" t="s">
        <v>203</v>
      </c>
      <c r="D478">
        <v>166</v>
      </c>
      <c r="E478">
        <v>1649890.9299272201</v>
      </c>
      <c r="F478">
        <v>0</v>
      </c>
      <c r="G478" t="s">
        <v>138</v>
      </c>
      <c r="H478" t="s">
        <v>138</v>
      </c>
      <c r="I478" s="890">
        <v>44117</v>
      </c>
      <c r="J478">
        <v>4</v>
      </c>
      <c r="K478" t="s">
        <v>204</v>
      </c>
      <c r="L478">
        <v>1000041</v>
      </c>
      <c r="M478">
        <v>1</v>
      </c>
      <c r="N478">
        <v>0</v>
      </c>
      <c r="O478">
        <v>0</v>
      </c>
      <c r="P478">
        <v>0</v>
      </c>
      <c r="Q478">
        <v>-0.45029353756413099</v>
      </c>
      <c r="R478">
        <v>0.93136450231998003</v>
      </c>
      <c r="S478">
        <v>-2.3008365499042701E-5</v>
      </c>
      <c r="T478">
        <v>0.51857948491682304</v>
      </c>
      <c r="U478">
        <v>3.97213663859338E-2</v>
      </c>
      <c r="V478">
        <v>-3.9659559373287502E-2</v>
      </c>
      <c r="W478">
        <v>3.1075168018006798E-4</v>
      </c>
      <c r="X478">
        <v>0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90">
        <v>44117</v>
      </c>
      <c r="AH478" s="885">
        <f t="shared" si="9"/>
        <v>44105</v>
      </c>
    </row>
    <row r="479" spans="1:34">
      <c r="A479">
        <v>5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90">
        <v>44147</v>
      </c>
      <c r="J479">
        <v>5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90">
        <v>44147</v>
      </c>
      <c r="AH479" s="885">
        <f t="shared" si="9"/>
        <v>44136</v>
      </c>
    </row>
    <row r="480" spans="1:34">
      <c r="A480">
        <v>6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90">
        <v>44179</v>
      </c>
      <c r="J480">
        <v>6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90">
        <v>44179</v>
      </c>
      <c r="AH480" s="885">
        <f t="shared" si="9"/>
        <v>44166</v>
      </c>
    </row>
    <row r="481" spans="1:34">
      <c r="A481">
        <v>7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90">
        <v>44193</v>
      </c>
      <c r="J481">
        <v>7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90">
        <v>44193</v>
      </c>
      <c r="AH481" s="885">
        <f t="shared" si="9"/>
        <v>44166</v>
      </c>
    </row>
    <row r="482" spans="1:34">
      <c r="A482">
        <v>8</v>
      </c>
      <c r="B482">
        <v>1000041</v>
      </c>
      <c r="C482" t="s">
        <v>203</v>
      </c>
      <c r="D482">
        <v>166</v>
      </c>
      <c r="E482">
        <v>0</v>
      </c>
      <c r="F482">
        <v>0</v>
      </c>
      <c r="G482" t="s">
        <v>138</v>
      </c>
      <c r="H482" t="s">
        <v>138</v>
      </c>
      <c r="I482" s="890">
        <v>44208</v>
      </c>
      <c r="J482">
        <v>8</v>
      </c>
      <c r="K482" t="s">
        <v>204</v>
      </c>
      <c r="L482">
        <v>1000041</v>
      </c>
      <c r="M482" t="s">
        <v>138</v>
      </c>
      <c r="N482" t="s">
        <v>138</v>
      </c>
      <c r="O482" t="s">
        <v>138</v>
      </c>
      <c r="P482" t="s">
        <v>138</v>
      </c>
      <c r="Q482" t="s">
        <v>138</v>
      </c>
      <c r="R482" t="s">
        <v>138</v>
      </c>
      <c r="S482" t="s">
        <v>138</v>
      </c>
      <c r="T482" t="s">
        <v>138</v>
      </c>
      <c r="U482" t="s">
        <v>138</v>
      </c>
      <c r="V482" t="s">
        <v>138</v>
      </c>
      <c r="W482" t="s">
        <v>138</v>
      </c>
      <c r="X482" t="s">
        <v>138</v>
      </c>
      <c r="Y482" t="s">
        <v>138</v>
      </c>
      <c r="Z482" t="s">
        <v>138</v>
      </c>
      <c r="AA482" t="s">
        <v>138</v>
      </c>
      <c r="AB482" t="s">
        <v>138</v>
      </c>
      <c r="AC482" t="s">
        <v>138</v>
      </c>
      <c r="AD482" t="s">
        <v>138</v>
      </c>
      <c r="AE482" t="s">
        <v>138</v>
      </c>
      <c r="AF482" t="s">
        <v>138</v>
      </c>
      <c r="AG482" s="890">
        <v>44208</v>
      </c>
      <c r="AH482" s="885">
        <f t="shared" si="9"/>
        <v>44197</v>
      </c>
    </row>
    <row r="483" spans="1:34">
      <c r="A483">
        <v>1</v>
      </c>
      <c r="B483">
        <v>1000042</v>
      </c>
      <c r="C483" t="s">
        <v>205</v>
      </c>
      <c r="D483">
        <v>167</v>
      </c>
      <c r="E483">
        <v>81524285.711015806</v>
      </c>
      <c r="F483">
        <v>0</v>
      </c>
      <c r="G483">
        <v>15083437</v>
      </c>
      <c r="H483">
        <v>0</v>
      </c>
      <c r="I483" s="890">
        <v>44043</v>
      </c>
      <c r="J483">
        <v>1</v>
      </c>
      <c r="K483" t="s">
        <v>206</v>
      </c>
      <c r="L483">
        <v>1000042</v>
      </c>
      <c r="M483">
        <v>0.109326278965189</v>
      </c>
      <c r="N483">
        <v>0.73293327047415602</v>
      </c>
      <c r="O483">
        <v>0.10198958965157701</v>
      </c>
      <c r="P483">
        <v>5.5750860909077597E-2</v>
      </c>
      <c r="Q483">
        <v>-2.3662702376428899E-2</v>
      </c>
      <c r="R483">
        <v>0.113205075220026</v>
      </c>
      <c r="S483">
        <v>-2.8225366220622499E-3</v>
      </c>
      <c r="T483">
        <v>9.0481631442365304E-4</v>
      </c>
      <c r="U483">
        <v>1.8250390045902599E-3</v>
      </c>
      <c r="V483">
        <v>1.38445626496378E-2</v>
      </c>
      <c r="W483">
        <v>6.03202477500271E-3</v>
      </c>
      <c r="X483">
        <v>0</v>
      </c>
      <c r="Y483">
        <v>-0.27071127389704103</v>
      </c>
      <c r="Z483">
        <v>1.12568204246788</v>
      </c>
      <c r="AA483">
        <v>-2.2276505552554601E-2</v>
      </c>
      <c r="AB483">
        <v>0.15448751308115699</v>
      </c>
      <c r="AC483">
        <v>3.1089157763061499E-2</v>
      </c>
      <c r="AD483">
        <v>-0.41760950737318903</v>
      </c>
      <c r="AE483">
        <v>0.13227184398484701</v>
      </c>
      <c r="AF483">
        <v>0</v>
      </c>
      <c r="AG483" s="890">
        <v>44043</v>
      </c>
    </row>
    <row r="484" spans="1:34">
      <c r="A484">
        <v>2</v>
      </c>
      <c r="B484">
        <v>1000042</v>
      </c>
      <c r="C484" t="s">
        <v>205</v>
      </c>
      <c r="D484">
        <v>167</v>
      </c>
      <c r="E484">
        <v>47462583.271848202</v>
      </c>
      <c r="F484">
        <v>0</v>
      </c>
      <c r="G484" t="s">
        <v>138</v>
      </c>
      <c r="H484" t="s">
        <v>138</v>
      </c>
      <c r="I484" s="890">
        <v>44055</v>
      </c>
      <c r="J484">
        <v>2</v>
      </c>
      <c r="K484" t="s">
        <v>206</v>
      </c>
      <c r="L484">
        <v>1000042</v>
      </c>
      <c r="M484">
        <v>7.8970773247570195E-2</v>
      </c>
      <c r="N484" t="s">
        <v>138</v>
      </c>
      <c r="O484">
        <v>0.60732641490454198</v>
      </c>
      <c r="P484">
        <v>0.31370281184788801</v>
      </c>
      <c r="Q484">
        <v>-3.0598382974385099</v>
      </c>
      <c r="R484">
        <v>1.89990368382317</v>
      </c>
      <c r="S484">
        <v>0</v>
      </c>
      <c r="T484">
        <v>1.2606343625404199</v>
      </c>
      <c r="U484">
        <v>0.113617666353135</v>
      </c>
      <c r="V484">
        <v>-0.13479842191440899</v>
      </c>
      <c r="W484">
        <v>-5.4822011623560901E-4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90">
        <v>44055</v>
      </c>
    </row>
    <row r="485" spans="1:34">
      <c r="A485">
        <v>3</v>
      </c>
      <c r="B485">
        <v>1000042</v>
      </c>
      <c r="C485" t="s">
        <v>205</v>
      </c>
      <c r="D485">
        <v>167</v>
      </c>
      <c r="E485">
        <v>43654504.444983803</v>
      </c>
      <c r="F485">
        <v>0</v>
      </c>
      <c r="G485" t="s">
        <v>138</v>
      </c>
      <c r="H485" t="s">
        <v>138</v>
      </c>
      <c r="I485" s="890">
        <v>44088</v>
      </c>
      <c r="J485">
        <v>3</v>
      </c>
      <c r="K485" t="s">
        <v>206</v>
      </c>
      <c r="L485">
        <v>1000042</v>
      </c>
      <c r="M485">
        <v>0.407898640665673</v>
      </c>
      <c r="N485" t="s">
        <v>138</v>
      </c>
      <c r="O485">
        <v>0.138378433611895</v>
      </c>
      <c r="P485">
        <v>0.453722925722432</v>
      </c>
      <c r="Q485">
        <v>-0.81300673887619701</v>
      </c>
      <c r="R485">
        <v>0.88337991549564499</v>
      </c>
      <c r="S485">
        <v>1.7125763745277201E-11</v>
      </c>
      <c r="T485">
        <v>0.33866078943365602</v>
      </c>
      <c r="U485">
        <v>5.7547005145652801E-2</v>
      </c>
      <c r="V485">
        <v>-5.8546661866844998E-2</v>
      </c>
      <c r="W485">
        <v>-1.35668683365871E-4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90">
        <v>44088</v>
      </c>
    </row>
    <row r="486" spans="1:34">
      <c r="A486">
        <v>4</v>
      </c>
      <c r="B486">
        <v>1000042</v>
      </c>
      <c r="C486" t="s">
        <v>205</v>
      </c>
      <c r="D486">
        <v>167</v>
      </c>
      <c r="E486">
        <v>38005938.800682202</v>
      </c>
      <c r="F486">
        <v>0</v>
      </c>
      <c r="G486" t="s">
        <v>138</v>
      </c>
      <c r="H486" t="s">
        <v>138</v>
      </c>
      <c r="I486" s="890">
        <v>44117</v>
      </c>
      <c r="J486">
        <v>4</v>
      </c>
      <c r="K486" t="s">
        <v>206</v>
      </c>
      <c r="L486">
        <v>1000042</v>
      </c>
      <c r="M486">
        <v>0.59470870278780597</v>
      </c>
      <c r="N486">
        <v>0</v>
      </c>
      <c r="O486">
        <v>0.188177234361801</v>
      </c>
      <c r="P486">
        <v>0.217114062850393</v>
      </c>
      <c r="Q486">
        <v>-0.92525341179968001</v>
      </c>
      <c r="R486">
        <v>1.0842173647483999</v>
      </c>
      <c r="S486">
        <v>2.8731704981253801E-5</v>
      </c>
      <c r="T486">
        <v>0.45483429119586999</v>
      </c>
      <c r="U486">
        <v>5.6979835104035099E-2</v>
      </c>
      <c r="V486">
        <v>-7.5717090498745504E-2</v>
      </c>
      <c r="W486">
        <v>-3.8101766705688801E-4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90">
        <v>44117</v>
      </c>
    </row>
    <row r="487" spans="1:34">
      <c r="A487">
        <v>5</v>
      </c>
      <c r="B487">
        <v>1000042</v>
      </c>
      <c r="C487" t="s">
        <v>205</v>
      </c>
      <c r="D487">
        <v>167</v>
      </c>
      <c r="E487">
        <v>15686848.771469999</v>
      </c>
      <c r="F487">
        <v>0</v>
      </c>
      <c r="G487" t="s">
        <v>138</v>
      </c>
      <c r="H487" t="s">
        <v>138</v>
      </c>
      <c r="I487" s="890">
        <v>44147</v>
      </c>
      <c r="J487">
        <v>5</v>
      </c>
      <c r="K487" t="s">
        <v>206</v>
      </c>
      <c r="L487">
        <v>1000042</v>
      </c>
      <c r="M487">
        <v>0.92670959736231895</v>
      </c>
      <c r="N487">
        <v>0</v>
      </c>
      <c r="O487">
        <v>0</v>
      </c>
      <c r="P487">
        <v>7.3290402637681704E-2</v>
      </c>
      <c r="Q487">
        <v>0.103660812835406</v>
      </c>
      <c r="R487">
        <v>0.54938476125132396</v>
      </c>
      <c r="S487">
        <v>-2.5531557595426801E-5</v>
      </c>
      <c r="T487">
        <v>0.182023558764109</v>
      </c>
      <c r="U487">
        <v>2.2232140457099401E-2</v>
      </c>
      <c r="V487">
        <v>6.9534375248792094E-2</v>
      </c>
      <c r="W487">
        <v>-1.00519636816303E-4</v>
      </c>
      <c r="X487">
        <v>0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90">
        <v>44147</v>
      </c>
    </row>
    <row r="488" spans="1:34">
      <c r="A488">
        <v>6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90">
        <v>44179</v>
      </c>
      <c r="J488">
        <v>6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90">
        <v>44179</v>
      </c>
    </row>
    <row r="489" spans="1:34">
      <c r="A489">
        <v>7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90">
        <v>44193</v>
      </c>
      <c r="J489">
        <v>7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90">
        <v>44193</v>
      </c>
    </row>
    <row r="490" spans="1:34">
      <c r="A490">
        <v>8</v>
      </c>
      <c r="B490">
        <v>1000042</v>
      </c>
      <c r="C490" t="s">
        <v>205</v>
      </c>
      <c r="D490">
        <v>167</v>
      </c>
      <c r="E490">
        <v>0</v>
      </c>
      <c r="F490">
        <v>0</v>
      </c>
      <c r="G490" t="s">
        <v>138</v>
      </c>
      <c r="H490" t="s">
        <v>138</v>
      </c>
      <c r="I490" s="890">
        <v>44208</v>
      </c>
      <c r="J490">
        <v>8</v>
      </c>
      <c r="K490" t="s">
        <v>206</v>
      </c>
      <c r="L490">
        <v>1000042</v>
      </c>
      <c r="M490" t="s">
        <v>138</v>
      </c>
      <c r="N490">
        <v>0</v>
      </c>
      <c r="O490" t="s">
        <v>138</v>
      </c>
      <c r="P490" t="s">
        <v>138</v>
      </c>
      <c r="Q490" t="s">
        <v>138</v>
      </c>
      <c r="R490" t="s">
        <v>138</v>
      </c>
      <c r="S490" t="s">
        <v>138</v>
      </c>
      <c r="T490" t="s">
        <v>138</v>
      </c>
      <c r="U490" t="s">
        <v>138</v>
      </c>
      <c r="V490" t="s">
        <v>138</v>
      </c>
      <c r="W490" t="s">
        <v>138</v>
      </c>
      <c r="X490" t="s">
        <v>138</v>
      </c>
      <c r="Y490" t="s">
        <v>138</v>
      </c>
      <c r="Z490" t="s">
        <v>138</v>
      </c>
      <c r="AA490" t="s">
        <v>138</v>
      </c>
      <c r="AB490" t="s">
        <v>138</v>
      </c>
      <c r="AC490" t="s">
        <v>138</v>
      </c>
      <c r="AD490" t="s">
        <v>138</v>
      </c>
      <c r="AE490" t="s">
        <v>138</v>
      </c>
      <c r="AF490" t="s">
        <v>138</v>
      </c>
      <c r="AG490" s="890">
        <v>44208</v>
      </c>
    </row>
    <row r="491" spans="1:34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1</v>
      </c>
      <c r="K491" t="s">
        <v>207</v>
      </c>
      <c r="L491">
        <v>83</v>
      </c>
      <c r="M491">
        <v>0.192354085172981</v>
      </c>
      <c r="N491">
        <v>0.67066344809699496</v>
      </c>
      <c r="O491">
        <v>0</v>
      </c>
      <c r="P491">
        <v>0.13698246673002301</v>
      </c>
      <c r="Q491">
        <v>0.190963145053827</v>
      </c>
      <c r="R491">
        <v>0</v>
      </c>
      <c r="S491">
        <v>-3.9356578169999204E-3</v>
      </c>
      <c r="T491">
        <v>1.15656158360868E-3</v>
      </c>
      <c r="U491">
        <v>1.5282505898426501E-3</v>
      </c>
      <c r="V491">
        <v>-2.4565615350068799E-2</v>
      </c>
      <c r="W491">
        <v>2.7207401112771801E-2</v>
      </c>
      <c r="X491">
        <v>0</v>
      </c>
      <c r="Y491">
        <v>0.84276788744882503</v>
      </c>
      <c r="Z491">
        <v>0</v>
      </c>
      <c r="AA491">
        <v>-1.8414614647071802E-2</v>
      </c>
      <c r="AB491">
        <v>1.9905009198080099E-2</v>
      </c>
      <c r="AC491">
        <v>2.0521655079857499E-2</v>
      </c>
      <c r="AD491">
        <v>-0.32381914544937201</v>
      </c>
      <c r="AE491">
        <v>0.129702656466677</v>
      </c>
      <c r="AF491">
        <v>0</v>
      </c>
      <c r="AG491" s="890">
        <v>44043</v>
      </c>
    </row>
    <row r="492" spans="1:34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2</v>
      </c>
      <c r="K492" t="s">
        <v>207</v>
      </c>
      <c r="L492">
        <v>83</v>
      </c>
      <c r="M492">
        <v>0.485003664106544</v>
      </c>
      <c r="N492" t="s">
        <v>138</v>
      </c>
      <c r="O492">
        <v>0.51499633589345595</v>
      </c>
      <c r="P492">
        <v>0</v>
      </c>
      <c r="Q492">
        <v>-0.47096272951292301</v>
      </c>
      <c r="R492">
        <v>0</v>
      </c>
      <c r="S492">
        <v>-5.0461679651956103E-2</v>
      </c>
      <c r="T492">
        <v>1.7440299581078601E-2</v>
      </c>
      <c r="U492">
        <v>2.4596200085186801E-2</v>
      </c>
      <c r="V492">
        <v>0.532992626503907</v>
      </c>
      <c r="W492">
        <v>0.43139894710125098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90">
        <v>44055</v>
      </c>
    </row>
    <row r="493" spans="1:34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3</v>
      </c>
      <c r="K493" t="s">
        <v>207</v>
      </c>
      <c r="L493">
        <v>83</v>
      </c>
      <c r="M493">
        <v>0</v>
      </c>
      <c r="N493" t="s">
        <v>138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90">
        <v>44088</v>
      </c>
    </row>
    <row r="494" spans="1:34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4</v>
      </c>
      <c r="K494" t="s">
        <v>207</v>
      </c>
      <c r="L494">
        <v>83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90">
        <v>44117</v>
      </c>
    </row>
    <row r="495" spans="1:34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5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90">
        <v>44147</v>
      </c>
    </row>
    <row r="496" spans="1:34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6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90">
        <v>44179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7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90">
        <v>44193</v>
      </c>
    </row>
    <row r="498" spans="1:33">
      <c r="A498" t="s">
        <v>138</v>
      </c>
      <c r="B498" t="s">
        <v>138</v>
      </c>
      <c r="C498" t="e">
        <v>#N/A</v>
      </c>
      <c r="D498" t="e">
        <v>#N/A</v>
      </c>
      <c r="E498" t="s">
        <v>138</v>
      </c>
      <c r="F498" t="s">
        <v>138</v>
      </c>
      <c r="G498" t="s">
        <v>138</v>
      </c>
      <c r="H498" t="s">
        <v>138</v>
      </c>
      <c r="I498" t="s">
        <v>138</v>
      </c>
      <c r="J498">
        <v>8</v>
      </c>
      <c r="K498" t="s">
        <v>207</v>
      </c>
      <c r="L498">
        <v>83</v>
      </c>
      <c r="M498" t="s">
        <v>138</v>
      </c>
      <c r="N498" t="s">
        <v>138</v>
      </c>
      <c r="O498" t="s">
        <v>138</v>
      </c>
      <c r="P498" t="s">
        <v>138</v>
      </c>
      <c r="Q498" t="s">
        <v>138</v>
      </c>
      <c r="R498" t="s">
        <v>138</v>
      </c>
      <c r="S498" t="s">
        <v>138</v>
      </c>
      <c r="T498" t="s">
        <v>138</v>
      </c>
      <c r="U498" t="s">
        <v>138</v>
      </c>
      <c r="V498" t="s">
        <v>138</v>
      </c>
      <c r="W498" t="s">
        <v>138</v>
      </c>
      <c r="X498" t="s">
        <v>138</v>
      </c>
      <c r="Y498" t="s">
        <v>138</v>
      </c>
      <c r="Z498" t="s">
        <v>138</v>
      </c>
      <c r="AA498" t="s">
        <v>138</v>
      </c>
      <c r="AB498" t="s">
        <v>138</v>
      </c>
      <c r="AC498" t="s">
        <v>138</v>
      </c>
      <c r="AD498" t="s">
        <v>138</v>
      </c>
      <c r="AE498" t="s">
        <v>138</v>
      </c>
      <c r="AF498" t="s">
        <v>138</v>
      </c>
      <c r="AG498" s="890">
        <v>44208</v>
      </c>
    </row>
  </sheetData>
  <autoFilter ref="A1:AH498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81"/>
  <sheetViews>
    <sheetView topLeftCell="B1" zoomScale="70" zoomScaleNormal="70" workbookViewId="0">
      <selection activeCell="C8" sqref="C8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2" t="s">
        <v>208</v>
      </c>
      <c r="K1" s="752" t="s">
        <v>214</v>
      </c>
      <c r="L1" s="752" t="s">
        <v>213</v>
      </c>
      <c r="M1" s="752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228</v>
      </c>
      <c r="AJ1" t="s">
        <v>230</v>
      </c>
    </row>
    <row r="2" spans="1:36">
      <c r="A2" t="s">
        <v>2313</v>
      </c>
      <c r="B2" t="s">
        <v>456</v>
      </c>
      <c r="C2" t="s">
        <v>2314</v>
      </c>
      <c r="D2" t="s">
        <v>2315</v>
      </c>
      <c r="E2" t="s">
        <v>215</v>
      </c>
      <c r="F2">
        <v>202104</v>
      </c>
      <c r="G2" t="s">
        <v>216</v>
      </c>
      <c r="H2">
        <v>0</v>
      </c>
      <c r="J2" s="753">
        <f>CAPA!K12</f>
        <v>7371</v>
      </c>
      <c r="K2" s="753" t="s">
        <v>217</v>
      </c>
      <c r="L2" s="753" t="str">
        <f>"&gt;="&amp;K6</f>
        <v>&gt;=202107</v>
      </c>
      <c r="M2" s="753" t="str">
        <f>"&lt;="&amp;K7</f>
        <v>&lt;=202206</v>
      </c>
      <c r="O2" t="s">
        <v>2313</v>
      </c>
      <c r="P2" t="s">
        <v>456</v>
      </c>
      <c r="Q2" t="s">
        <v>2314</v>
      </c>
      <c r="R2" t="s">
        <v>2315</v>
      </c>
      <c r="S2" t="s">
        <v>215</v>
      </c>
      <c r="T2">
        <v>202107</v>
      </c>
      <c r="U2" t="s">
        <v>218</v>
      </c>
      <c r="V2">
        <v>0</v>
      </c>
      <c r="X2" t="s">
        <v>2314</v>
      </c>
      <c r="Y2" t="s">
        <v>2315</v>
      </c>
      <c r="Z2" t="s">
        <v>215</v>
      </c>
      <c r="AB2" t="s">
        <v>2314</v>
      </c>
      <c r="AC2" t="s">
        <v>2315</v>
      </c>
      <c r="AD2" t="s">
        <v>215</v>
      </c>
      <c r="AE2" t="s">
        <v>218</v>
      </c>
      <c r="AH2" t="s">
        <v>2314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2313</v>
      </c>
      <c r="B3" t="s">
        <v>456</v>
      </c>
      <c r="C3" t="s">
        <v>2314</v>
      </c>
      <c r="D3" t="s">
        <v>2315</v>
      </c>
      <c r="E3" t="s">
        <v>215</v>
      </c>
      <c r="F3">
        <v>202105</v>
      </c>
      <c r="G3" t="s">
        <v>216</v>
      </c>
      <c r="H3">
        <v>0</v>
      </c>
      <c r="J3" s="753">
        <f>J2</f>
        <v>7371</v>
      </c>
      <c r="K3" s="753" t="s">
        <v>219</v>
      </c>
      <c r="L3" s="753" t="str">
        <f>L2</f>
        <v>&gt;=202107</v>
      </c>
      <c r="M3" s="753" t="str">
        <f>M2</f>
        <v>&lt;=202206</v>
      </c>
      <c r="O3" t="s">
        <v>2313</v>
      </c>
      <c r="P3" t="s">
        <v>456</v>
      </c>
      <c r="Q3" t="s">
        <v>2314</v>
      </c>
      <c r="R3" t="s">
        <v>2315</v>
      </c>
      <c r="S3" t="s">
        <v>215</v>
      </c>
      <c r="T3">
        <v>202107</v>
      </c>
      <c r="U3" t="s">
        <v>220</v>
      </c>
      <c r="V3">
        <v>0</v>
      </c>
      <c r="X3" t="s">
        <v>2314</v>
      </c>
      <c r="Y3" t="s">
        <v>2315</v>
      </c>
      <c r="Z3" t="s">
        <v>2179</v>
      </c>
      <c r="AB3" t="s">
        <v>2314</v>
      </c>
      <c r="AC3" t="s">
        <v>2315</v>
      </c>
      <c r="AD3" t="s">
        <v>215</v>
      </c>
      <c r="AE3" t="s">
        <v>220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2313</v>
      </c>
      <c r="B4" t="s">
        <v>456</v>
      </c>
      <c r="C4" t="s">
        <v>2314</v>
      </c>
      <c r="D4" t="s">
        <v>2315</v>
      </c>
      <c r="E4" t="s">
        <v>215</v>
      </c>
      <c r="F4">
        <v>202106</v>
      </c>
      <c r="G4" t="s">
        <v>216</v>
      </c>
      <c r="H4">
        <v>0</v>
      </c>
      <c r="J4" s="755">
        <f>J3</f>
        <v>7371</v>
      </c>
      <c r="K4" s="753" t="s">
        <v>221</v>
      </c>
      <c r="L4" s="754" t="str">
        <f>L2</f>
        <v>&gt;=202107</v>
      </c>
      <c r="M4" s="754" t="str">
        <f>M2</f>
        <v>&lt;=202206</v>
      </c>
      <c r="O4" t="s">
        <v>2313</v>
      </c>
      <c r="P4" t="s">
        <v>456</v>
      </c>
      <c r="Q4" t="s">
        <v>2314</v>
      </c>
      <c r="R4" t="s">
        <v>2315</v>
      </c>
      <c r="S4" t="s">
        <v>215</v>
      </c>
      <c r="T4">
        <v>202108</v>
      </c>
      <c r="U4" t="s">
        <v>218</v>
      </c>
      <c r="V4">
        <v>0</v>
      </c>
      <c r="AB4" t="s">
        <v>2314</v>
      </c>
      <c r="AC4" t="s">
        <v>2315</v>
      </c>
      <c r="AD4" t="s">
        <v>2179</v>
      </c>
      <c r="AE4" t="s">
        <v>218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2313</v>
      </c>
      <c r="B5" t="s">
        <v>456</v>
      </c>
      <c r="C5" t="s">
        <v>2314</v>
      </c>
      <c r="D5" t="s">
        <v>2315</v>
      </c>
      <c r="E5" t="s">
        <v>215</v>
      </c>
      <c r="F5">
        <v>202107</v>
      </c>
      <c r="G5" t="s">
        <v>216</v>
      </c>
      <c r="H5">
        <v>0</v>
      </c>
      <c r="J5" s="755">
        <f>J4</f>
        <v>7371</v>
      </c>
      <c r="K5" s="965" t="s">
        <v>223</v>
      </c>
      <c r="L5" s="754" t="str">
        <f>L3</f>
        <v>&gt;=202107</v>
      </c>
      <c r="M5" s="754" t="str">
        <f>M3</f>
        <v>&lt;=202206</v>
      </c>
      <c r="O5" t="s">
        <v>2313</v>
      </c>
      <c r="P5" t="s">
        <v>456</v>
      </c>
      <c r="Q5" t="s">
        <v>2314</v>
      </c>
      <c r="R5" t="s">
        <v>2315</v>
      </c>
      <c r="S5" t="s">
        <v>215</v>
      </c>
      <c r="T5">
        <v>202108</v>
      </c>
      <c r="U5" t="s">
        <v>220</v>
      </c>
      <c r="V5">
        <v>0</v>
      </c>
      <c r="AB5" t="s">
        <v>2314</v>
      </c>
      <c r="AC5" t="s">
        <v>2315</v>
      </c>
      <c r="AD5" t="s">
        <v>2179</v>
      </c>
      <c r="AE5" t="s">
        <v>220</v>
      </c>
      <c r="AI5">
        <f t="shared" si="0"/>
        <v>0</v>
      </c>
      <c r="AJ5" t="str">
        <f t="shared" si="1"/>
        <v>Nada</v>
      </c>
    </row>
    <row r="6" spans="1:36">
      <c r="A6" t="s">
        <v>2313</v>
      </c>
      <c r="B6" t="s">
        <v>456</v>
      </c>
      <c r="C6" t="s">
        <v>2314</v>
      </c>
      <c r="D6" t="s">
        <v>2315</v>
      </c>
      <c r="E6" t="s">
        <v>215</v>
      </c>
      <c r="F6">
        <v>202108</v>
      </c>
      <c r="G6" t="s">
        <v>216</v>
      </c>
      <c r="H6">
        <v>0</v>
      </c>
      <c r="J6" t="s">
        <v>225</v>
      </c>
      <c r="K6">
        <f>(YEAR(SAS_RA0_DataInicio)*100+MONTH(SAS_RA0_DataInicio))</f>
        <v>202107</v>
      </c>
      <c r="O6" t="s">
        <v>2313</v>
      </c>
      <c r="P6" t="s">
        <v>456</v>
      </c>
      <c r="Q6" t="s">
        <v>2314</v>
      </c>
      <c r="R6" t="s">
        <v>2315</v>
      </c>
      <c r="S6" t="s">
        <v>215</v>
      </c>
      <c r="T6">
        <v>202109</v>
      </c>
      <c r="U6" t="s">
        <v>218</v>
      </c>
      <c r="V6">
        <v>0</v>
      </c>
      <c r="AB6" t="s">
        <v>2314</v>
      </c>
      <c r="AC6" t="s">
        <v>2315</v>
      </c>
      <c r="AD6" t="s">
        <v>215</v>
      </c>
      <c r="AE6" t="s">
        <v>222</v>
      </c>
      <c r="AI6">
        <f t="shared" si="0"/>
        <v>0</v>
      </c>
      <c r="AJ6" t="str">
        <f t="shared" si="1"/>
        <v>Nada</v>
      </c>
    </row>
    <row r="7" spans="1:36">
      <c r="A7" t="s">
        <v>2313</v>
      </c>
      <c r="B7" t="s">
        <v>456</v>
      </c>
      <c r="C7" t="s">
        <v>2314</v>
      </c>
      <c r="D7" t="s">
        <v>2315</v>
      </c>
      <c r="E7" t="s">
        <v>215</v>
      </c>
      <c r="F7">
        <v>202109</v>
      </c>
      <c r="G7" t="s">
        <v>216</v>
      </c>
      <c r="H7">
        <v>0</v>
      </c>
      <c r="J7" t="s">
        <v>227</v>
      </c>
      <c r="K7">
        <f>YEAR(SAS_RA0_DataFim)*100+MONTH(SAS_RA0_DataFim)</f>
        <v>202206</v>
      </c>
      <c r="O7" t="s">
        <v>2313</v>
      </c>
      <c r="P7" t="s">
        <v>456</v>
      </c>
      <c r="Q7" t="s">
        <v>2314</v>
      </c>
      <c r="R7" t="s">
        <v>2315</v>
      </c>
      <c r="S7" t="s">
        <v>215</v>
      </c>
      <c r="T7">
        <v>202109</v>
      </c>
      <c r="U7" t="s">
        <v>220</v>
      </c>
      <c r="V7">
        <v>0</v>
      </c>
      <c r="AB7" t="s">
        <v>2314</v>
      </c>
      <c r="AC7" t="s">
        <v>2315</v>
      </c>
      <c r="AD7" t="s">
        <v>215</v>
      </c>
      <c r="AE7" t="s">
        <v>224</v>
      </c>
      <c r="AI7">
        <f t="shared" si="0"/>
        <v>0</v>
      </c>
      <c r="AJ7" t="str">
        <f t="shared" si="1"/>
        <v>Nada</v>
      </c>
    </row>
    <row r="8" spans="1:36">
      <c r="A8" t="s">
        <v>2313</v>
      </c>
      <c r="B8" t="s">
        <v>456</v>
      </c>
      <c r="C8" t="s">
        <v>2314</v>
      </c>
      <c r="D8" t="s">
        <v>2315</v>
      </c>
      <c r="E8" t="s">
        <v>215</v>
      </c>
      <c r="F8">
        <v>202110</v>
      </c>
      <c r="G8" t="s">
        <v>216</v>
      </c>
      <c r="H8">
        <v>0</v>
      </c>
      <c r="J8" t="s">
        <v>228</v>
      </c>
      <c r="K8" s="660">
        <f>MAX(AI:AI)</f>
        <v>202205</v>
      </c>
      <c r="O8" t="s">
        <v>2313</v>
      </c>
      <c r="P8" t="s">
        <v>456</v>
      </c>
      <c r="Q8" t="s">
        <v>2314</v>
      </c>
      <c r="R8" t="s">
        <v>2315</v>
      </c>
      <c r="S8" t="s">
        <v>215</v>
      </c>
      <c r="T8">
        <v>202110</v>
      </c>
      <c r="U8" t="s">
        <v>218</v>
      </c>
      <c r="V8">
        <v>0</v>
      </c>
      <c r="AB8" t="s">
        <v>2314</v>
      </c>
      <c r="AC8" t="s">
        <v>2315</v>
      </c>
      <c r="AD8" t="s">
        <v>215</v>
      </c>
      <c r="AE8" t="s">
        <v>226</v>
      </c>
      <c r="AI8">
        <f t="shared" si="0"/>
        <v>0</v>
      </c>
      <c r="AJ8" t="str">
        <f t="shared" si="1"/>
        <v>Nada</v>
      </c>
    </row>
    <row r="9" spans="1:36">
      <c r="A9" t="s">
        <v>2313</v>
      </c>
      <c r="B9" t="s">
        <v>456</v>
      </c>
      <c r="C9" t="s">
        <v>2314</v>
      </c>
      <c r="D9" t="s">
        <v>2315</v>
      </c>
      <c r="E9" t="s">
        <v>215</v>
      </c>
      <c r="F9">
        <v>202111</v>
      </c>
      <c r="G9" t="s">
        <v>216</v>
      </c>
      <c r="H9">
        <v>0</v>
      </c>
      <c r="J9" t="s">
        <v>230</v>
      </c>
      <c r="K9" s="660">
        <f>MAX(AJ:AJ)</f>
        <v>1</v>
      </c>
      <c r="O9" t="s">
        <v>2313</v>
      </c>
      <c r="P9" t="s">
        <v>456</v>
      </c>
      <c r="Q9" t="s">
        <v>2314</v>
      </c>
      <c r="R9" t="s">
        <v>2315</v>
      </c>
      <c r="S9" t="s">
        <v>215</v>
      </c>
      <c r="T9">
        <v>202110</v>
      </c>
      <c r="U9" t="s">
        <v>220</v>
      </c>
      <c r="V9">
        <v>0</v>
      </c>
      <c r="AB9" t="s">
        <v>2314</v>
      </c>
      <c r="AC9" t="s">
        <v>2315</v>
      </c>
      <c r="AD9" t="s">
        <v>2179</v>
      </c>
      <c r="AE9" t="s">
        <v>222</v>
      </c>
    </row>
    <row r="10" spans="1:36">
      <c r="A10" t="s">
        <v>2313</v>
      </c>
      <c r="B10" t="s">
        <v>456</v>
      </c>
      <c r="C10" t="s">
        <v>2314</v>
      </c>
      <c r="D10" t="s">
        <v>2315</v>
      </c>
      <c r="E10" t="s">
        <v>215</v>
      </c>
      <c r="F10">
        <v>202112</v>
      </c>
      <c r="G10" t="s">
        <v>216</v>
      </c>
      <c r="H10">
        <v>0</v>
      </c>
      <c r="O10" t="s">
        <v>2313</v>
      </c>
      <c r="P10" t="s">
        <v>456</v>
      </c>
      <c r="Q10" t="s">
        <v>2314</v>
      </c>
      <c r="R10" t="s">
        <v>2315</v>
      </c>
      <c r="S10" t="s">
        <v>215</v>
      </c>
      <c r="T10">
        <v>202111</v>
      </c>
      <c r="U10" t="s">
        <v>218</v>
      </c>
      <c r="V10">
        <v>0</v>
      </c>
      <c r="AB10" t="s">
        <v>2314</v>
      </c>
      <c r="AC10" t="s">
        <v>2315</v>
      </c>
      <c r="AD10" t="s">
        <v>2179</v>
      </c>
      <c r="AE10" t="s">
        <v>224</v>
      </c>
    </row>
    <row r="11" spans="1:36">
      <c r="A11" t="s">
        <v>2313</v>
      </c>
      <c r="B11" t="s">
        <v>456</v>
      </c>
      <c r="C11" t="s">
        <v>2314</v>
      </c>
      <c r="D11" t="s">
        <v>2315</v>
      </c>
      <c r="E11" t="s">
        <v>215</v>
      </c>
      <c r="F11">
        <v>202201</v>
      </c>
      <c r="G11" t="s">
        <v>216</v>
      </c>
      <c r="H11">
        <v>0</v>
      </c>
      <c r="J11" s="817">
        <f>VALUE(A2)</f>
        <v>7371</v>
      </c>
      <c r="O11" t="s">
        <v>2313</v>
      </c>
      <c r="P11" t="s">
        <v>456</v>
      </c>
      <c r="Q11" t="s">
        <v>2314</v>
      </c>
      <c r="R11" t="s">
        <v>2315</v>
      </c>
      <c r="S11" t="s">
        <v>215</v>
      </c>
      <c r="T11">
        <v>202111</v>
      </c>
      <c r="U11" t="s">
        <v>220</v>
      </c>
      <c r="V11">
        <v>0</v>
      </c>
      <c r="AB11" t="s">
        <v>2314</v>
      </c>
      <c r="AC11" t="s">
        <v>2315</v>
      </c>
      <c r="AD11" t="s">
        <v>2179</v>
      </c>
      <c r="AE11" t="s">
        <v>226</v>
      </c>
    </row>
    <row r="12" spans="1:36">
      <c r="A12" t="s">
        <v>2313</v>
      </c>
      <c r="B12" t="s">
        <v>456</v>
      </c>
      <c r="C12" t="s">
        <v>2314</v>
      </c>
      <c r="D12" t="s">
        <v>2315</v>
      </c>
      <c r="E12" t="s">
        <v>215</v>
      </c>
      <c r="F12">
        <v>202202</v>
      </c>
      <c r="G12" t="s">
        <v>216</v>
      </c>
      <c r="H12">
        <v>0</v>
      </c>
      <c r="K12" s="8"/>
      <c r="O12" t="s">
        <v>2313</v>
      </c>
      <c r="P12" t="s">
        <v>456</v>
      </c>
      <c r="Q12" t="s">
        <v>2314</v>
      </c>
      <c r="R12" t="s">
        <v>2315</v>
      </c>
      <c r="S12" t="s">
        <v>215</v>
      </c>
      <c r="T12">
        <v>202112</v>
      </c>
      <c r="U12" t="s">
        <v>218</v>
      </c>
      <c r="V12">
        <v>0</v>
      </c>
    </row>
    <row r="13" spans="1:36">
      <c r="A13" t="s">
        <v>2313</v>
      </c>
      <c r="B13" t="s">
        <v>456</v>
      </c>
      <c r="C13" t="s">
        <v>2314</v>
      </c>
      <c r="D13" t="s">
        <v>2315</v>
      </c>
      <c r="E13" t="s">
        <v>215</v>
      </c>
      <c r="F13">
        <v>202203</v>
      </c>
      <c r="G13" t="s">
        <v>216</v>
      </c>
      <c r="H13">
        <v>0</v>
      </c>
      <c r="O13" t="s">
        <v>2313</v>
      </c>
      <c r="P13" t="s">
        <v>456</v>
      </c>
      <c r="Q13" t="s">
        <v>2314</v>
      </c>
      <c r="R13" t="s">
        <v>2315</v>
      </c>
      <c r="S13" t="s">
        <v>215</v>
      </c>
      <c r="T13">
        <v>202112</v>
      </c>
      <c r="U13" t="s">
        <v>220</v>
      </c>
      <c r="V13">
        <v>0</v>
      </c>
    </row>
    <row r="14" spans="1:36">
      <c r="A14" t="s">
        <v>2313</v>
      </c>
      <c r="B14" t="s">
        <v>456</v>
      </c>
      <c r="C14" t="s">
        <v>2314</v>
      </c>
      <c r="D14" t="s">
        <v>2315</v>
      </c>
      <c r="E14" t="s">
        <v>215</v>
      </c>
      <c r="F14">
        <v>202204</v>
      </c>
      <c r="G14" t="s">
        <v>216</v>
      </c>
      <c r="H14">
        <v>0</v>
      </c>
      <c r="O14" t="s">
        <v>2313</v>
      </c>
      <c r="P14" t="s">
        <v>456</v>
      </c>
      <c r="Q14" t="s">
        <v>2314</v>
      </c>
      <c r="R14" t="s">
        <v>2315</v>
      </c>
      <c r="S14" t="s">
        <v>215</v>
      </c>
      <c r="T14">
        <v>202201</v>
      </c>
      <c r="U14" t="s">
        <v>218</v>
      </c>
      <c r="V14">
        <v>0</v>
      </c>
    </row>
    <row r="15" spans="1:36">
      <c r="A15" t="s">
        <v>2313</v>
      </c>
      <c r="B15" t="s">
        <v>456</v>
      </c>
      <c r="C15" t="s">
        <v>2314</v>
      </c>
      <c r="D15" t="s">
        <v>2315</v>
      </c>
      <c r="E15" t="s">
        <v>215</v>
      </c>
      <c r="F15">
        <v>202205</v>
      </c>
      <c r="G15" t="s">
        <v>216</v>
      </c>
      <c r="H15">
        <v>0</v>
      </c>
      <c r="O15" t="s">
        <v>2313</v>
      </c>
      <c r="P15" t="s">
        <v>456</v>
      </c>
      <c r="Q15" t="s">
        <v>2314</v>
      </c>
      <c r="R15" t="s">
        <v>2315</v>
      </c>
      <c r="S15" t="s">
        <v>215</v>
      </c>
      <c r="T15">
        <v>202201</v>
      </c>
      <c r="U15" t="s">
        <v>220</v>
      </c>
      <c r="V15">
        <v>0</v>
      </c>
    </row>
    <row r="16" spans="1:36">
      <c r="A16" t="s">
        <v>2313</v>
      </c>
      <c r="B16" t="s">
        <v>456</v>
      </c>
      <c r="C16" t="s">
        <v>2314</v>
      </c>
      <c r="D16" t="s">
        <v>2315</v>
      </c>
      <c r="E16" t="s">
        <v>2179</v>
      </c>
      <c r="F16">
        <v>202104</v>
      </c>
      <c r="G16" t="s">
        <v>216</v>
      </c>
      <c r="H16">
        <v>-7716.6</v>
      </c>
      <c r="O16" t="s">
        <v>2313</v>
      </c>
      <c r="P16" t="s">
        <v>456</v>
      </c>
      <c r="Q16" t="s">
        <v>2314</v>
      </c>
      <c r="R16" t="s">
        <v>2315</v>
      </c>
      <c r="S16" t="s">
        <v>215</v>
      </c>
      <c r="T16">
        <v>202202</v>
      </c>
      <c r="U16" t="s">
        <v>218</v>
      </c>
      <c r="V16">
        <v>0</v>
      </c>
    </row>
    <row r="17" spans="1:22">
      <c r="A17" t="s">
        <v>2313</v>
      </c>
      <c r="B17" t="s">
        <v>456</v>
      </c>
      <c r="C17" t="s">
        <v>2314</v>
      </c>
      <c r="D17" t="s">
        <v>2315</v>
      </c>
      <c r="E17" t="s">
        <v>2179</v>
      </c>
      <c r="F17">
        <v>202105</v>
      </c>
      <c r="G17" t="s">
        <v>216</v>
      </c>
      <c r="H17">
        <v>0</v>
      </c>
      <c r="O17" t="s">
        <v>2313</v>
      </c>
      <c r="P17" t="s">
        <v>456</v>
      </c>
      <c r="Q17" t="s">
        <v>2314</v>
      </c>
      <c r="R17" t="s">
        <v>2315</v>
      </c>
      <c r="S17" t="s">
        <v>215</v>
      </c>
      <c r="T17">
        <v>202202</v>
      </c>
      <c r="U17" t="s">
        <v>220</v>
      </c>
      <c r="V17">
        <v>0</v>
      </c>
    </row>
    <row r="18" spans="1:22">
      <c r="A18" t="s">
        <v>2313</v>
      </c>
      <c r="B18" t="s">
        <v>456</v>
      </c>
      <c r="C18" t="s">
        <v>2314</v>
      </c>
      <c r="D18" t="s">
        <v>2315</v>
      </c>
      <c r="E18" t="s">
        <v>2179</v>
      </c>
      <c r="F18">
        <v>202106</v>
      </c>
      <c r="G18" t="s">
        <v>216</v>
      </c>
      <c r="H18">
        <v>0</v>
      </c>
      <c r="O18" t="s">
        <v>2313</v>
      </c>
      <c r="P18" t="s">
        <v>456</v>
      </c>
      <c r="Q18" t="s">
        <v>2314</v>
      </c>
      <c r="R18" t="s">
        <v>2315</v>
      </c>
      <c r="S18" t="s">
        <v>215</v>
      </c>
      <c r="T18">
        <v>202203</v>
      </c>
      <c r="U18" t="s">
        <v>218</v>
      </c>
      <c r="V18">
        <v>0</v>
      </c>
    </row>
    <row r="19" spans="1:22">
      <c r="A19" t="s">
        <v>2313</v>
      </c>
      <c r="B19" t="s">
        <v>456</v>
      </c>
      <c r="C19" t="s">
        <v>2314</v>
      </c>
      <c r="D19" t="s">
        <v>2315</v>
      </c>
      <c r="E19" t="s">
        <v>2179</v>
      </c>
      <c r="F19">
        <v>202107</v>
      </c>
      <c r="G19" t="s">
        <v>216</v>
      </c>
      <c r="H19">
        <v>0</v>
      </c>
      <c r="O19" t="s">
        <v>2313</v>
      </c>
      <c r="P19" t="s">
        <v>456</v>
      </c>
      <c r="Q19" t="s">
        <v>2314</v>
      </c>
      <c r="R19" t="s">
        <v>2315</v>
      </c>
      <c r="S19" t="s">
        <v>215</v>
      </c>
      <c r="T19">
        <v>202203</v>
      </c>
      <c r="U19" t="s">
        <v>220</v>
      </c>
      <c r="V19">
        <v>0</v>
      </c>
    </row>
    <row r="20" spans="1:22">
      <c r="A20" t="s">
        <v>2313</v>
      </c>
      <c r="B20" t="s">
        <v>456</v>
      </c>
      <c r="C20" t="s">
        <v>2314</v>
      </c>
      <c r="D20" t="s">
        <v>2315</v>
      </c>
      <c r="E20" t="s">
        <v>2179</v>
      </c>
      <c r="F20">
        <v>202108</v>
      </c>
      <c r="G20" t="s">
        <v>216</v>
      </c>
      <c r="H20">
        <v>0</v>
      </c>
      <c r="O20" t="s">
        <v>2313</v>
      </c>
      <c r="P20" t="s">
        <v>456</v>
      </c>
      <c r="Q20" t="s">
        <v>2314</v>
      </c>
      <c r="R20" t="s">
        <v>2315</v>
      </c>
      <c r="S20" t="s">
        <v>215</v>
      </c>
      <c r="T20">
        <v>202204</v>
      </c>
      <c r="U20" t="s">
        <v>218</v>
      </c>
      <c r="V20">
        <v>0</v>
      </c>
    </row>
    <row r="21" spans="1:22">
      <c r="A21" t="s">
        <v>2313</v>
      </c>
      <c r="B21" t="s">
        <v>456</v>
      </c>
      <c r="C21" t="s">
        <v>2314</v>
      </c>
      <c r="D21" t="s">
        <v>2315</v>
      </c>
      <c r="E21" t="s">
        <v>2179</v>
      </c>
      <c r="F21">
        <v>202109</v>
      </c>
      <c r="G21" t="s">
        <v>216</v>
      </c>
      <c r="H21">
        <v>0</v>
      </c>
      <c r="O21" t="s">
        <v>2313</v>
      </c>
      <c r="P21" t="s">
        <v>456</v>
      </c>
      <c r="Q21" t="s">
        <v>2314</v>
      </c>
      <c r="R21" t="s">
        <v>2315</v>
      </c>
      <c r="S21" t="s">
        <v>215</v>
      </c>
      <c r="T21">
        <v>202204</v>
      </c>
      <c r="U21" t="s">
        <v>220</v>
      </c>
      <c r="V21">
        <v>0</v>
      </c>
    </row>
    <row r="22" spans="1:22">
      <c r="A22" t="s">
        <v>2313</v>
      </c>
      <c r="B22" t="s">
        <v>456</v>
      </c>
      <c r="C22" t="s">
        <v>2314</v>
      </c>
      <c r="D22" t="s">
        <v>2315</v>
      </c>
      <c r="E22" t="s">
        <v>2179</v>
      </c>
      <c r="F22">
        <v>202110</v>
      </c>
      <c r="G22" t="s">
        <v>216</v>
      </c>
      <c r="H22">
        <v>-7391.46</v>
      </c>
      <c r="O22" t="s">
        <v>2313</v>
      </c>
      <c r="P22" t="s">
        <v>456</v>
      </c>
      <c r="Q22" t="s">
        <v>2314</v>
      </c>
      <c r="R22" t="s">
        <v>2315</v>
      </c>
      <c r="S22" t="s">
        <v>215</v>
      </c>
      <c r="T22">
        <v>202205</v>
      </c>
      <c r="U22" t="s">
        <v>218</v>
      </c>
      <c r="V22">
        <v>0</v>
      </c>
    </row>
    <row r="23" spans="1:22">
      <c r="A23" t="s">
        <v>2313</v>
      </c>
      <c r="B23" t="s">
        <v>456</v>
      </c>
      <c r="C23" t="s">
        <v>2314</v>
      </c>
      <c r="D23" t="s">
        <v>2315</v>
      </c>
      <c r="E23" t="s">
        <v>2179</v>
      </c>
      <c r="F23">
        <v>202111</v>
      </c>
      <c r="G23" t="s">
        <v>216</v>
      </c>
      <c r="H23">
        <v>-7281</v>
      </c>
      <c r="O23" t="s">
        <v>2313</v>
      </c>
      <c r="P23" t="s">
        <v>456</v>
      </c>
      <c r="Q23" t="s">
        <v>2314</v>
      </c>
      <c r="R23" t="s">
        <v>2315</v>
      </c>
      <c r="S23" t="s">
        <v>215</v>
      </c>
      <c r="T23">
        <v>202205</v>
      </c>
      <c r="U23" t="s">
        <v>220</v>
      </c>
      <c r="V23">
        <v>0</v>
      </c>
    </row>
    <row r="24" spans="1:22">
      <c r="A24" t="s">
        <v>2313</v>
      </c>
      <c r="B24" t="s">
        <v>456</v>
      </c>
      <c r="C24" t="s">
        <v>2314</v>
      </c>
      <c r="D24" t="s">
        <v>2315</v>
      </c>
      <c r="E24" t="s">
        <v>2179</v>
      </c>
      <c r="F24">
        <v>202112</v>
      </c>
      <c r="G24" t="s">
        <v>216</v>
      </c>
      <c r="H24">
        <v>0</v>
      </c>
      <c r="O24" t="s">
        <v>2313</v>
      </c>
      <c r="P24" t="s">
        <v>456</v>
      </c>
      <c r="Q24" t="s">
        <v>2314</v>
      </c>
      <c r="R24" t="s">
        <v>2315</v>
      </c>
      <c r="S24" t="s">
        <v>2179</v>
      </c>
      <c r="T24">
        <v>202107</v>
      </c>
      <c r="U24" t="s">
        <v>218</v>
      </c>
      <c r="V24">
        <v>2358.65</v>
      </c>
    </row>
    <row r="25" spans="1:22">
      <c r="A25" t="s">
        <v>2313</v>
      </c>
      <c r="B25" t="s">
        <v>456</v>
      </c>
      <c r="C25" t="s">
        <v>2314</v>
      </c>
      <c r="D25" t="s">
        <v>2315</v>
      </c>
      <c r="E25" t="s">
        <v>2179</v>
      </c>
      <c r="F25">
        <v>202201</v>
      </c>
      <c r="G25" t="s">
        <v>216</v>
      </c>
      <c r="H25">
        <v>-12774.44</v>
      </c>
      <c r="O25" t="s">
        <v>2313</v>
      </c>
      <c r="P25" t="s">
        <v>456</v>
      </c>
      <c r="Q25" t="s">
        <v>2314</v>
      </c>
      <c r="R25" t="s">
        <v>2315</v>
      </c>
      <c r="S25" t="s">
        <v>2179</v>
      </c>
      <c r="T25">
        <v>202107</v>
      </c>
      <c r="U25" t="s">
        <v>220</v>
      </c>
      <c r="V25">
        <v>1756.1</v>
      </c>
    </row>
    <row r="26" spans="1:22">
      <c r="A26" t="s">
        <v>2313</v>
      </c>
      <c r="B26" t="s">
        <v>456</v>
      </c>
      <c r="C26" t="s">
        <v>2314</v>
      </c>
      <c r="D26" t="s">
        <v>2315</v>
      </c>
      <c r="E26" t="s">
        <v>2179</v>
      </c>
      <c r="F26">
        <v>202202</v>
      </c>
      <c r="G26" t="s">
        <v>216</v>
      </c>
      <c r="H26">
        <v>-6604.59</v>
      </c>
      <c r="O26" t="s">
        <v>2313</v>
      </c>
      <c r="P26" t="s">
        <v>456</v>
      </c>
      <c r="Q26" t="s">
        <v>2314</v>
      </c>
      <c r="R26" t="s">
        <v>2315</v>
      </c>
      <c r="S26" t="s">
        <v>2179</v>
      </c>
      <c r="T26">
        <v>202108</v>
      </c>
      <c r="U26" t="s">
        <v>218</v>
      </c>
      <c r="V26">
        <v>2168.92</v>
      </c>
    </row>
    <row r="27" spans="1:22">
      <c r="A27" t="s">
        <v>2313</v>
      </c>
      <c r="B27" t="s">
        <v>456</v>
      </c>
      <c r="C27" t="s">
        <v>2314</v>
      </c>
      <c r="D27" t="s">
        <v>2315</v>
      </c>
      <c r="E27" t="s">
        <v>2179</v>
      </c>
      <c r="F27">
        <v>202203</v>
      </c>
      <c r="G27" t="s">
        <v>216</v>
      </c>
      <c r="H27">
        <v>0</v>
      </c>
      <c r="O27" t="s">
        <v>2313</v>
      </c>
      <c r="P27" t="s">
        <v>456</v>
      </c>
      <c r="Q27" t="s">
        <v>2314</v>
      </c>
      <c r="R27" t="s">
        <v>2315</v>
      </c>
      <c r="S27" t="s">
        <v>2179</v>
      </c>
      <c r="T27">
        <v>202108</v>
      </c>
      <c r="U27" t="s">
        <v>220</v>
      </c>
      <c r="V27">
        <v>1580</v>
      </c>
    </row>
    <row r="28" spans="1:22">
      <c r="A28" t="s">
        <v>2313</v>
      </c>
      <c r="B28" t="s">
        <v>456</v>
      </c>
      <c r="C28" t="s">
        <v>2314</v>
      </c>
      <c r="D28" t="s">
        <v>2315</v>
      </c>
      <c r="E28" t="s">
        <v>2179</v>
      </c>
      <c r="F28">
        <v>202204</v>
      </c>
      <c r="G28" t="s">
        <v>216</v>
      </c>
      <c r="H28">
        <v>0</v>
      </c>
      <c r="O28" t="s">
        <v>2313</v>
      </c>
      <c r="P28" t="s">
        <v>456</v>
      </c>
      <c r="Q28" t="s">
        <v>2314</v>
      </c>
      <c r="R28" t="s">
        <v>2315</v>
      </c>
      <c r="S28" t="s">
        <v>2179</v>
      </c>
      <c r="T28">
        <v>202109</v>
      </c>
      <c r="U28" t="s">
        <v>218</v>
      </c>
      <c r="V28">
        <v>2411.7199999999998</v>
      </c>
    </row>
    <row r="29" spans="1:22">
      <c r="A29" t="s">
        <v>2313</v>
      </c>
      <c r="B29" t="s">
        <v>456</v>
      </c>
      <c r="C29" t="s">
        <v>2314</v>
      </c>
      <c r="D29" t="s">
        <v>2315</v>
      </c>
      <c r="E29" t="s">
        <v>2179</v>
      </c>
      <c r="F29">
        <v>202205</v>
      </c>
      <c r="G29" t="s">
        <v>216</v>
      </c>
      <c r="H29">
        <v>0</v>
      </c>
      <c r="O29" t="s">
        <v>2313</v>
      </c>
      <c r="P29" t="s">
        <v>456</v>
      </c>
      <c r="Q29" t="s">
        <v>2314</v>
      </c>
      <c r="R29" t="s">
        <v>2315</v>
      </c>
      <c r="S29" t="s">
        <v>2179</v>
      </c>
      <c r="T29">
        <v>202109</v>
      </c>
      <c r="U29" t="s">
        <v>220</v>
      </c>
      <c r="V29">
        <v>1832.56</v>
      </c>
    </row>
    <row r="30" spans="1:22">
      <c r="A30" t="s">
        <v>2313</v>
      </c>
      <c r="B30" t="s">
        <v>456</v>
      </c>
      <c r="C30" t="s">
        <v>2314</v>
      </c>
      <c r="D30" t="s">
        <v>2315</v>
      </c>
      <c r="E30" t="s">
        <v>215</v>
      </c>
      <c r="F30">
        <v>202104</v>
      </c>
      <c r="G30" t="s">
        <v>229</v>
      </c>
      <c r="H30">
        <v>453301.33</v>
      </c>
      <c r="O30" t="s">
        <v>2313</v>
      </c>
      <c r="P30" t="s">
        <v>456</v>
      </c>
      <c r="Q30" t="s">
        <v>2314</v>
      </c>
      <c r="R30" t="s">
        <v>2315</v>
      </c>
      <c r="S30" t="s">
        <v>2179</v>
      </c>
      <c r="T30">
        <v>202110</v>
      </c>
      <c r="U30" t="s">
        <v>218</v>
      </c>
      <c r="V30">
        <v>2125</v>
      </c>
    </row>
    <row r="31" spans="1:22">
      <c r="A31" t="s">
        <v>2313</v>
      </c>
      <c r="B31" t="s">
        <v>456</v>
      </c>
      <c r="C31" t="s">
        <v>2314</v>
      </c>
      <c r="D31" t="s">
        <v>2315</v>
      </c>
      <c r="E31" t="s">
        <v>215</v>
      </c>
      <c r="F31">
        <v>202105</v>
      </c>
      <c r="G31" t="s">
        <v>229</v>
      </c>
      <c r="H31">
        <v>526968.30000000005</v>
      </c>
      <c r="O31" t="s">
        <v>2313</v>
      </c>
      <c r="P31" t="s">
        <v>456</v>
      </c>
      <c r="Q31" t="s">
        <v>2314</v>
      </c>
      <c r="R31" t="s">
        <v>2315</v>
      </c>
      <c r="S31" t="s">
        <v>2179</v>
      </c>
      <c r="T31">
        <v>202110</v>
      </c>
      <c r="U31" t="s">
        <v>220</v>
      </c>
      <c r="V31">
        <v>1580</v>
      </c>
    </row>
    <row r="32" spans="1:22">
      <c r="A32" t="s">
        <v>2313</v>
      </c>
      <c r="B32" t="s">
        <v>456</v>
      </c>
      <c r="C32" t="s">
        <v>2314</v>
      </c>
      <c r="D32" t="s">
        <v>2315</v>
      </c>
      <c r="E32" t="s">
        <v>215</v>
      </c>
      <c r="F32">
        <v>202106</v>
      </c>
      <c r="G32" t="s">
        <v>229</v>
      </c>
      <c r="H32">
        <v>521886.84</v>
      </c>
      <c r="O32" t="s">
        <v>2313</v>
      </c>
      <c r="P32" t="s">
        <v>456</v>
      </c>
      <c r="Q32" t="s">
        <v>2314</v>
      </c>
      <c r="R32" t="s">
        <v>2315</v>
      </c>
      <c r="S32" t="s">
        <v>2179</v>
      </c>
      <c r="T32">
        <v>202111</v>
      </c>
      <c r="U32" t="s">
        <v>218</v>
      </c>
      <c r="V32">
        <v>2140.08</v>
      </c>
    </row>
    <row r="33" spans="1:22">
      <c r="A33" t="s">
        <v>2313</v>
      </c>
      <c r="B33" t="s">
        <v>456</v>
      </c>
      <c r="C33" t="s">
        <v>2314</v>
      </c>
      <c r="D33" t="s">
        <v>2315</v>
      </c>
      <c r="E33" t="s">
        <v>215</v>
      </c>
      <c r="F33">
        <v>202107</v>
      </c>
      <c r="G33" t="s">
        <v>229</v>
      </c>
      <c r="H33">
        <v>596974.48</v>
      </c>
      <c r="O33" t="s">
        <v>2313</v>
      </c>
      <c r="P33" t="s">
        <v>456</v>
      </c>
      <c r="Q33" t="s">
        <v>2314</v>
      </c>
      <c r="R33" t="s">
        <v>2315</v>
      </c>
      <c r="S33" t="s">
        <v>2179</v>
      </c>
      <c r="T33">
        <v>202111</v>
      </c>
      <c r="U33" t="s">
        <v>220</v>
      </c>
      <c r="V33">
        <v>1580</v>
      </c>
    </row>
    <row r="34" spans="1:22">
      <c r="A34" t="s">
        <v>2313</v>
      </c>
      <c r="B34" t="s">
        <v>456</v>
      </c>
      <c r="C34" t="s">
        <v>2314</v>
      </c>
      <c r="D34" t="s">
        <v>2315</v>
      </c>
      <c r="E34" t="s">
        <v>215</v>
      </c>
      <c r="F34">
        <v>202108</v>
      </c>
      <c r="G34" t="s">
        <v>229</v>
      </c>
      <c r="H34">
        <v>677629.37</v>
      </c>
      <c r="O34" t="s">
        <v>2313</v>
      </c>
      <c r="P34" t="s">
        <v>456</v>
      </c>
      <c r="Q34" t="s">
        <v>2314</v>
      </c>
      <c r="R34" t="s">
        <v>2315</v>
      </c>
      <c r="S34" t="s">
        <v>2179</v>
      </c>
      <c r="T34">
        <v>202112</v>
      </c>
      <c r="U34" t="s">
        <v>218</v>
      </c>
      <c r="V34">
        <v>2135.88</v>
      </c>
    </row>
    <row r="35" spans="1:22">
      <c r="A35" t="s">
        <v>2313</v>
      </c>
      <c r="B35" t="s">
        <v>456</v>
      </c>
      <c r="C35" t="s">
        <v>2314</v>
      </c>
      <c r="D35" t="s">
        <v>2315</v>
      </c>
      <c r="E35" t="s">
        <v>215</v>
      </c>
      <c r="F35">
        <v>202109</v>
      </c>
      <c r="G35" t="s">
        <v>229</v>
      </c>
      <c r="H35">
        <v>577107.12</v>
      </c>
      <c r="O35" t="s">
        <v>2313</v>
      </c>
      <c r="P35" t="s">
        <v>456</v>
      </c>
      <c r="Q35" t="s">
        <v>2314</v>
      </c>
      <c r="R35" t="s">
        <v>2315</v>
      </c>
      <c r="S35" t="s">
        <v>2179</v>
      </c>
      <c r="T35">
        <v>202112</v>
      </c>
      <c r="U35" t="s">
        <v>220</v>
      </c>
      <c r="V35">
        <v>1846.6</v>
      </c>
    </row>
    <row r="36" spans="1:22">
      <c r="A36" t="s">
        <v>2313</v>
      </c>
      <c r="B36" t="s">
        <v>456</v>
      </c>
      <c r="C36" t="s">
        <v>2314</v>
      </c>
      <c r="D36" t="s">
        <v>2315</v>
      </c>
      <c r="E36" t="s">
        <v>215</v>
      </c>
      <c r="F36">
        <v>202110</v>
      </c>
      <c r="G36" t="s">
        <v>229</v>
      </c>
      <c r="H36">
        <v>543507.03</v>
      </c>
      <c r="O36" t="s">
        <v>2313</v>
      </c>
      <c r="P36" t="s">
        <v>456</v>
      </c>
      <c r="Q36" t="s">
        <v>2314</v>
      </c>
      <c r="R36" t="s">
        <v>2315</v>
      </c>
      <c r="S36" t="s">
        <v>2179</v>
      </c>
      <c r="T36">
        <v>202201</v>
      </c>
      <c r="U36" t="s">
        <v>218</v>
      </c>
      <c r="V36">
        <v>2251.8000000000002</v>
      </c>
    </row>
    <row r="37" spans="1:22">
      <c r="A37" t="s">
        <v>2313</v>
      </c>
      <c r="B37" t="s">
        <v>456</v>
      </c>
      <c r="C37" t="s">
        <v>2314</v>
      </c>
      <c r="D37" t="s">
        <v>2315</v>
      </c>
      <c r="E37" t="s">
        <v>215</v>
      </c>
      <c r="F37">
        <v>202111</v>
      </c>
      <c r="G37" t="s">
        <v>229</v>
      </c>
      <c r="H37">
        <v>496166.78</v>
      </c>
      <c r="O37" t="s">
        <v>2313</v>
      </c>
      <c r="P37" t="s">
        <v>456</v>
      </c>
      <c r="Q37" t="s">
        <v>2314</v>
      </c>
      <c r="R37" t="s">
        <v>2315</v>
      </c>
      <c r="S37" t="s">
        <v>2179</v>
      </c>
      <c r="T37">
        <v>202201</v>
      </c>
      <c r="U37" t="s">
        <v>220</v>
      </c>
      <c r="V37">
        <v>1883.84</v>
      </c>
    </row>
    <row r="38" spans="1:22">
      <c r="A38" t="s">
        <v>2313</v>
      </c>
      <c r="B38" t="s">
        <v>456</v>
      </c>
      <c r="C38" t="s">
        <v>2314</v>
      </c>
      <c r="D38" t="s">
        <v>2315</v>
      </c>
      <c r="E38" t="s">
        <v>215</v>
      </c>
      <c r="F38">
        <v>202112</v>
      </c>
      <c r="G38" t="s">
        <v>229</v>
      </c>
      <c r="H38">
        <v>281783.02</v>
      </c>
      <c r="O38" t="s">
        <v>2313</v>
      </c>
      <c r="P38" t="s">
        <v>456</v>
      </c>
      <c r="Q38" t="s">
        <v>2314</v>
      </c>
      <c r="R38" t="s">
        <v>2315</v>
      </c>
      <c r="S38" t="s">
        <v>2179</v>
      </c>
      <c r="T38">
        <v>202202</v>
      </c>
      <c r="U38" t="s">
        <v>218</v>
      </c>
      <c r="V38">
        <v>2504.08</v>
      </c>
    </row>
    <row r="39" spans="1:22">
      <c r="A39" t="s">
        <v>2313</v>
      </c>
      <c r="B39" t="s">
        <v>456</v>
      </c>
      <c r="C39" t="s">
        <v>2314</v>
      </c>
      <c r="D39" t="s">
        <v>2315</v>
      </c>
      <c r="E39" t="s">
        <v>215</v>
      </c>
      <c r="F39">
        <v>202201</v>
      </c>
      <c r="G39" t="s">
        <v>229</v>
      </c>
      <c r="H39">
        <v>25.45</v>
      </c>
      <c r="O39" t="s">
        <v>2313</v>
      </c>
      <c r="P39" t="s">
        <v>456</v>
      </c>
      <c r="Q39" t="s">
        <v>2314</v>
      </c>
      <c r="R39" t="s">
        <v>2315</v>
      </c>
      <c r="S39" t="s">
        <v>2179</v>
      </c>
      <c r="T39">
        <v>202202</v>
      </c>
      <c r="U39" t="s">
        <v>220</v>
      </c>
      <c r="V39">
        <v>1580</v>
      </c>
    </row>
    <row r="40" spans="1:22">
      <c r="A40" t="s">
        <v>2313</v>
      </c>
      <c r="B40" t="s">
        <v>456</v>
      </c>
      <c r="C40" t="s">
        <v>2314</v>
      </c>
      <c r="D40" t="s">
        <v>2315</v>
      </c>
      <c r="E40" t="s">
        <v>215</v>
      </c>
      <c r="F40">
        <v>202202</v>
      </c>
      <c r="G40" t="s">
        <v>229</v>
      </c>
      <c r="H40">
        <v>174.73</v>
      </c>
      <c r="O40" t="s">
        <v>2313</v>
      </c>
      <c r="P40" t="s">
        <v>456</v>
      </c>
      <c r="Q40" t="s">
        <v>2314</v>
      </c>
      <c r="R40" t="s">
        <v>2315</v>
      </c>
      <c r="S40" t="s">
        <v>2179</v>
      </c>
      <c r="T40">
        <v>202203</v>
      </c>
      <c r="U40" t="s">
        <v>218</v>
      </c>
      <c r="V40">
        <v>2165</v>
      </c>
    </row>
    <row r="41" spans="1:22">
      <c r="A41" t="s">
        <v>2313</v>
      </c>
      <c r="B41" t="s">
        <v>456</v>
      </c>
      <c r="C41" t="s">
        <v>2314</v>
      </c>
      <c r="D41" t="s">
        <v>2315</v>
      </c>
      <c r="E41" t="s">
        <v>215</v>
      </c>
      <c r="F41">
        <v>202203</v>
      </c>
      <c r="G41" t="s">
        <v>229</v>
      </c>
      <c r="H41">
        <v>802.18</v>
      </c>
      <c r="O41" t="s">
        <v>2313</v>
      </c>
      <c r="P41" t="s">
        <v>456</v>
      </c>
      <c r="Q41" t="s">
        <v>2314</v>
      </c>
      <c r="R41" t="s">
        <v>2315</v>
      </c>
      <c r="S41" t="s">
        <v>2179</v>
      </c>
      <c r="T41">
        <v>202203</v>
      </c>
      <c r="U41" t="s">
        <v>220</v>
      </c>
      <c r="V41">
        <v>1580</v>
      </c>
    </row>
    <row r="42" spans="1:22">
      <c r="A42" t="s">
        <v>2313</v>
      </c>
      <c r="B42" t="s">
        <v>456</v>
      </c>
      <c r="C42" t="s">
        <v>2314</v>
      </c>
      <c r="D42" t="s">
        <v>2315</v>
      </c>
      <c r="E42" t="s">
        <v>215</v>
      </c>
      <c r="F42">
        <v>202204</v>
      </c>
      <c r="G42" t="s">
        <v>229</v>
      </c>
      <c r="H42">
        <v>759.95</v>
      </c>
      <c r="O42" t="s">
        <v>2313</v>
      </c>
      <c r="P42" t="s">
        <v>456</v>
      </c>
      <c r="Q42" t="s">
        <v>2314</v>
      </c>
      <c r="R42" t="s">
        <v>2315</v>
      </c>
      <c r="S42" t="s">
        <v>2179</v>
      </c>
      <c r="T42">
        <v>202204</v>
      </c>
      <c r="U42" t="s">
        <v>218</v>
      </c>
      <c r="V42">
        <v>2165</v>
      </c>
    </row>
    <row r="43" spans="1:22">
      <c r="A43" t="s">
        <v>2313</v>
      </c>
      <c r="B43" t="s">
        <v>456</v>
      </c>
      <c r="C43" t="s">
        <v>2314</v>
      </c>
      <c r="D43" t="s">
        <v>2315</v>
      </c>
      <c r="E43" t="s">
        <v>215</v>
      </c>
      <c r="F43">
        <v>202205</v>
      </c>
      <c r="G43" t="s">
        <v>229</v>
      </c>
      <c r="H43">
        <v>605.79</v>
      </c>
      <c r="O43" t="s">
        <v>2313</v>
      </c>
      <c r="P43" t="s">
        <v>456</v>
      </c>
      <c r="Q43" t="s">
        <v>2314</v>
      </c>
      <c r="R43" t="s">
        <v>2315</v>
      </c>
      <c r="S43" t="s">
        <v>2179</v>
      </c>
      <c r="T43">
        <v>202204</v>
      </c>
      <c r="U43" t="s">
        <v>220</v>
      </c>
      <c r="V43">
        <v>1580</v>
      </c>
    </row>
    <row r="44" spans="1:22">
      <c r="A44" t="s">
        <v>2313</v>
      </c>
      <c r="B44" t="s">
        <v>456</v>
      </c>
      <c r="C44" t="s">
        <v>2314</v>
      </c>
      <c r="D44" t="s">
        <v>2315</v>
      </c>
      <c r="E44" t="s">
        <v>2179</v>
      </c>
      <c r="F44">
        <v>202104</v>
      </c>
      <c r="G44" t="s">
        <v>229</v>
      </c>
      <c r="H44">
        <v>11076.5</v>
      </c>
      <c r="O44" t="s">
        <v>2313</v>
      </c>
      <c r="P44" t="s">
        <v>456</v>
      </c>
      <c r="Q44" t="s">
        <v>2314</v>
      </c>
      <c r="R44" t="s">
        <v>2315</v>
      </c>
      <c r="S44" t="s">
        <v>2179</v>
      </c>
      <c r="T44">
        <v>202205</v>
      </c>
      <c r="U44" t="s">
        <v>218</v>
      </c>
      <c r="V44">
        <v>2165</v>
      </c>
    </row>
    <row r="45" spans="1:22">
      <c r="A45" t="s">
        <v>2313</v>
      </c>
      <c r="B45" t="s">
        <v>456</v>
      </c>
      <c r="C45" t="s">
        <v>2314</v>
      </c>
      <c r="D45" t="s">
        <v>2315</v>
      </c>
      <c r="E45" t="s">
        <v>2179</v>
      </c>
      <c r="F45">
        <v>202105</v>
      </c>
      <c r="G45" t="s">
        <v>229</v>
      </c>
      <c r="H45">
        <v>13560.54</v>
      </c>
      <c r="O45" t="s">
        <v>2313</v>
      </c>
      <c r="P45" t="s">
        <v>456</v>
      </c>
      <c r="Q45" t="s">
        <v>2314</v>
      </c>
      <c r="R45" t="s">
        <v>2315</v>
      </c>
      <c r="S45" t="s">
        <v>2179</v>
      </c>
      <c r="T45">
        <v>202205</v>
      </c>
      <c r="U45" t="s">
        <v>220</v>
      </c>
      <c r="V45">
        <v>1580</v>
      </c>
    </row>
    <row r="46" spans="1:22">
      <c r="A46" t="s">
        <v>2313</v>
      </c>
      <c r="B46" t="s">
        <v>456</v>
      </c>
      <c r="C46" t="s">
        <v>2314</v>
      </c>
      <c r="D46" t="s">
        <v>2315</v>
      </c>
      <c r="E46" t="s">
        <v>2179</v>
      </c>
      <c r="F46">
        <v>202106</v>
      </c>
      <c r="G46" t="s">
        <v>229</v>
      </c>
      <c r="H46">
        <v>13859.73</v>
      </c>
      <c r="O46" t="s">
        <v>2313</v>
      </c>
      <c r="P46" t="s">
        <v>456</v>
      </c>
      <c r="Q46" t="s">
        <v>2314</v>
      </c>
      <c r="R46" t="s">
        <v>2315</v>
      </c>
      <c r="S46" t="s">
        <v>215</v>
      </c>
      <c r="T46">
        <v>202107</v>
      </c>
      <c r="U46" t="s">
        <v>231</v>
      </c>
      <c r="V46">
        <v>30063538</v>
      </c>
    </row>
    <row r="47" spans="1:22">
      <c r="A47" t="s">
        <v>2313</v>
      </c>
      <c r="B47" t="s">
        <v>456</v>
      </c>
      <c r="C47" t="s">
        <v>2314</v>
      </c>
      <c r="D47" t="s">
        <v>2315</v>
      </c>
      <c r="E47" t="s">
        <v>2179</v>
      </c>
      <c r="F47">
        <v>202107</v>
      </c>
      <c r="G47" t="s">
        <v>229</v>
      </c>
      <c r="H47">
        <v>15735.89</v>
      </c>
      <c r="O47" t="s">
        <v>2313</v>
      </c>
      <c r="P47" t="s">
        <v>456</v>
      </c>
      <c r="Q47" t="s">
        <v>2314</v>
      </c>
      <c r="R47" t="s">
        <v>2315</v>
      </c>
      <c r="S47" t="s">
        <v>215</v>
      </c>
      <c r="T47">
        <v>202107</v>
      </c>
      <c r="U47" t="s">
        <v>232</v>
      </c>
      <c r="V47">
        <v>4194465.3099999996</v>
      </c>
    </row>
    <row r="48" spans="1:22">
      <c r="A48" t="s">
        <v>2313</v>
      </c>
      <c r="B48" t="s">
        <v>456</v>
      </c>
      <c r="C48" t="s">
        <v>2314</v>
      </c>
      <c r="D48" t="s">
        <v>2315</v>
      </c>
      <c r="E48" t="s">
        <v>2179</v>
      </c>
      <c r="F48">
        <v>202108</v>
      </c>
      <c r="G48" t="s">
        <v>229</v>
      </c>
      <c r="H48">
        <v>17854.3</v>
      </c>
      <c r="O48" t="s">
        <v>2313</v>
      </c>
      <c r="P48" t="s">
        <v>456</v>
      </c>
      <c r="Q48" t="s">
        <v>2314</v>
      </c>
      <c r="R48" t="s">
        <v>2315</v>
      </c>
      <c r="S48" t="s">
        <v>215</v>
      </c>
      <c r="T48">
        <v>202107</v>
      </c>
      <c r="U48" t="s">
        <v>222</v>
      </c>
      <c r="V48">
        <v>30657995</v>
      </c>
    </row>
    <row r="49" spans="1:22">
      <c r="A49" t="s">
        <v>2313</v>
      </c>
      <c r="B49" t="s">
        <v>456</v>
      </c>
      <c r="C49" t="s">
        <v>2314</v>
      </c>
      <c r="D49" t="s">
        <v>2315</v>
      </c>
      <c r="E49" t="s">
        <v>2179</v>
      </c>
      <c r="F49">
        <v>202109</v>
      </c>
      <c r="G49" t="s">
        <v>229</v>
      </c>
      <c r="H49">
        <v>17964.150000000001</v>
      </c>
      <c r="O49" t="s">
        <v>2313</v>
      </c>
      <c r="P49" t="s">
        <v>456</v>
      </c>
      <c r="Q49" t="s">
        <v>2314</v>
      </c>
      <c r="R49" t="s">
        <v>2315</v>
      </c>
      <c r="S49" t="s">
        <v>215</v>
      </c>
      <c r="T49">
        <v>202107</v>
      </c>
      <c r="U49" t="s">
        <v>224</v>
      </c>
      <c r="V49">
        <v>4277404</v>
      </c>
    </row>
    <row r="50" spans="1:22">
      <c r="A50" t="s">
        <v>2313</v>
      </c>
      <c r="B50" t="s">
        <v>456</v>
      </c>
      <c r="C50" t="s">
        <v>2314</v>
      </c>
      <c r="D50" t="s">
        <v>2315</v>
      </c>
      <c r="E50" t="s">
        <v>2179</v>
      </c>
      <c r="F50">
        <v>202110</v>
      </c>
      <c r="G50" t="s">
        <v>229</v>
      </c>
      <c r="H50">
        <v>16339.99</v>
      </c>
      <c r="O50" t="s">
        <v>2313</v>
      </c>
      <c r="P50" t="s">
        <v>456</v>
      </c>
      <c r="Q50" t="s">
        <v>2314</v>
      </c>
      <c r="R50" t="s">
        <v>2315</v>
      </c>
      <c r="S50" t="s">
        <v>215</v>
      </c>
      <c r="T50">
        <v>202107</v>
      </c>
      <c r="U50" t="s">
        <v>226</v>
      </c>
      <c r="V50">
        <v>677396</v>
      </c>
    </row>
    <row r="51" spans="1:22">
      <c r="A51" t="s">
        <v>2313</v>
      </c>
      <c r="B51" t="s">
        <v>456</v>
      </c>
      <c r="C51" t="s">
        <v>2314</v>
      </c>
      <c r="D51" t="s">
        <v>2315</v>
      </c>
      <c r="E51" t="s">
        <v>2179</v>
      </c>
      <c r="F51">
        <v>202111</v>
      </c>
      <c r="G51" t="s">
        <v>229</v>
      </c>
      <c r="H51">
        <v>13270.87</v>
      </c>
      <c r="O51" t="s">
        <v>2313</v>
      </c>
      <c r="P51" t="s">
        <v>456</v>
      </c>
      <c r="Q51" t="s">
        <v>2314</v>
      </c>
      <c r="R51" t="s">
        <v>2315</v>
      </c>
      <c r="S51" t="s">
        <v>215</v>
      </c>
      <c r="T51">
        <v>202108</v>
      </c>
      <c r="U51" t="s">
        <v>231</v>
      </c>
      <c r="V51">
        <v>30132668</v>
      </c>
    </row>
    <row r="52" spans="1:22">
      <c r="A52" t="s">
        <v>2313</v>
      </c>
      <c r="B52" t="s">
        <v>456</v>
      </c>
      <c r="C52" t="s">
        <v>2314</v>
      </c>
      <c r="D52" t="s">
        <v>2315</v>
      </c>
      <c r="E52" t="s">
        <v>2179</v>
      </c>
      <c r="F52">
        <v>202112</v>
      </c>
      <c r="G52" t="s">
        <v>229</v>
      </c>
      <c r="H52">
        <v>7004.57</v>
      </c>
      <c r="O52" t="s">
        <v>2313</v>
      </c>
      <c r="P52" t="s">
        <v>456</v>
      </c>
      <c r="Q52" t="s">
        <v>2314</v>
      </c>
      <c r="R52" t="s">
        <v>2315</v>
      </c>
      <c r="S52" t="s">
        <v>215</v>
      </c>
      <c r="T52">
        <v>202108</v>
      </c>
      <c r="U52" t="s">
        <v>232</v>
      </c>
      <c r="V52">
        <v>4312259</v>
      </c>
    </row>
    <row r="53" spans="1:22">
      <c r="A53" t="s">
        <v>2313</v>
      </c>
      <c r="B53" t="s">
        <v>456</v>
      </c>
      <c r="C53" t="s">
        <v>2314</v>
      </c>
      <c r="D53" t="s">
        <v>2315</v>
      </c>
      <c r="E53" t="s">
        <v>2179</v>
      </c>
      <c r="F53">
        <v>202201</v>
      </c>
      <c r="G53" t="s">
        <v>229</v>
      </c>
      <c r="H53">
        <v>185.41</v>
      </c>
      <c r="O53" t="s">
        <v>2313</v>
      </c>
      <c r="P53" t="s">
        <v>456</v>
      </c>
      <c r="Q53" t="s">
        <v>2314</v>
      </c>
      <c r="R53" t="s">
        <v>2315</v>
      </c>
      <c r="S53" t="s">
        <v>215</v>
      </c>
      <c r="T53">
        <v>202108</v>
      </c>
      <c r="U53" t="s">
        <v>222</v>
      </c>
      <c r="V53">
        <v>30749476</v>
      </c>
    </row>
    <row r="54" spans="1:22">
      <c r="A54" t="s">
        <v>2313</v>
      </c>
      <c r="B54" t="s">
        <v>456</v>
      </c>
      <c r="C54" t="s">
        <v>2314</v>
      </c>
      <c r="D54" t="s">
        <v>2315</v>
      </c>
      <c r="E54" t="s">
        <v>2179</v>
      </c>
      <c r="F54">
        <v>202202</v>
      </c>
      <c r="G54" t="s">
        <v>229</v>
      </c>
      <c r="H54">
        <v>1210.99</v>
      </c>
      <c r="O54" t="s">
        <v>2313</v>
      </c>
      <c r="P54" t="s">
        <v>456</v>
      </c>
      <c r="Q54" t="s">
        <v>2314</v>
      </c>
      <c r="R54" t="s">
        <v>2315</v>
      </c>
      <c r="S54" t="s">
        <v>215</v>
      </c>
      <c r="T54">
        <v>202108</v>
      </c>
      <c r="U54" t="s">
        <v>224</v>
      </c>
      <c r="V54">
        <v>4400530</v>
      </c>
    </row>
    <row r="55" spans="1:22">
      <c r="A55" t="s">
        <v>2313</v>
      </c>
      <c r="B55" t="s">
        <v>456</v>
      </c>
      <c r="C55" t="s">
        <v>2314</v>
      </c>
      <c r="D55" t="s">
        <v>2315</v>
      </c>
      <c r="E55" t="s">
        <v>2179</v>
      </c>
      <c r="F55">
        <v>202203</v>
      </c>
      <c r="G55" t="s">
        <v>229</v>
      </c>
      <c r="H55">
        <v>5441.96</v>
      </c>
      <c r="O55" t="s">
        <v>2313</v>
      </c>
      <c r="P55" t="s">
        <v>456</v>
      </c>
      <c r="Q55" t="s">
        <v>2314</v>
      </c>
      <c r="R55" t="s">
        <v>2315</v>
      </c>
      <c r="S55" t="s">
        <v>215</v>
      </c>
      <c r="T55">
        <v>202108</v>
      </c>
      <c r="U55" t="s">
        <v>226</v>
      </c>
      <c r="V55">
        <v>705079</v>
      </c>
    </row>
    <row r="56" spans="1:22">
      <c r="A56" t="s">
        <v>2313</v>
      </c>
      <c r="B56" t="s">
        <v>456</v>
      </c>
      <c r="C56" t="s">
        <v>2314</v>
      </c>
      <c r="D56" t="s">
        <v>2315</v>
      </c>
      <c r="E56" t="s">
        <v>2179</v>
      </c>
      <c r="F56">
        <v>202204</v>
      </c>
      <c r="G56" t="s">
        <v>229</v>
      </c>
      <c r="H56">
        <v>5779.35</v>
      </c>
      <c r="O56" t="s">
        <v>2313</v>
      </c>
      <c r="P56" t="s">
        <v>456</v>
      </c>
      <c r="Q56" t="s">
        <v>2314</v>
      </c>
      <c r="R56" t="s">
        <v>2315</v>
      </c>
      <c r="S56" t="s">
        <v>215</v>
      </c>
      <c r="T56">
        <v>202109</v>
      </c>
      <c r="U56" t="s">
        <v>231</v>
      </c>
      <c r="V56">
        <v>24623463</v>
      </c>
    </row>
    <row r="57" spans="1:22">
      <c r="A57" t="s">
        <v>2313</v>
      </c>
      <c r="B57" t="s">
        <v>456</v>
      </c>
      <c r="C57" t="s">
        <v>2314</v>
      </c>
      <c r="D57" t="s">
        <v>2315</v>
      </c>
      <c r="E57" t="s">
        <v>2179</v>
      </c>
      <c r="F57">
        <v>202205</v>
      </c>
      <c r="G57" t="s">
        <v>229</v>
      </c>
      <c r="H57">
        <v>4659.3100000000004</v>
      </c>
      <c r="O57" t="s">
        <v>2313</v>
      </c>
      <c r="P57" t="s">
        <v>456</v>
      </c>
      <c r="Q57" t="s">
        <v>2314</v>
      </c>
      <c r="R57" t="s">
        <v>2315</v>
      </c>
      <c r="S57" t="s">
        <v>215</v>
      </c>
      <c r="T57">
        <v>202109</v>
      </c>
      <c r="U57" t="s">
        <v>232</v>
      </c>
      <c r="V57">
        <v>3547950</v>
      </c>
    </row>
    <row r="58" spans="1:22">
      <c r="A58" t="s">
        <v>2313</v>
      </c>
      <c r="B58" t="s">
        <v>456</v>
      </c>
      <c r="C58" t="s">
        <v>2314</v>
      </c>
      <c r="D58" t="s">
        <v>2315</v>
      </c>
      <c r="E58" t="s">
        <v>215</v>
      </c>
      <c r="F58">
        <v>202104</v>
      </c>
      <c r="G58" t="s">
        <v>233</v>
      </c>
      <c r="H58">
        <v>0</v>
      </c>
      <c r="O58" t="s">
        <v>2313</v>
      </c>
      <c r="P58" t="s">
        <v>456</v>
      </c>
      <c r="Q58" t="s">
        <v>2314</v>
      </c>
      <c r="R58" t="s">
        <v>2315</v>
      </c>
      <c r="S58" t="s">
        <v>215</v>
      </c>
      <c r="T58">
        <v>202109</v>
      </c>
      <c r="U58" t="s">
        <v>222</v>
      </c>
      <c r="V58">
        <v>25237941</v>
      </c>
    </row>
    <row r="59" spans="1:22">
      <c r="A59" t="s">
        <v>2313</v>
      </c>
      <c r="B59" t="s">
        <v>456</v>
      </c>
      <c r="C59" t="s">
        <v>2314</v>
      </c>
      <c r="D59" t="s">
        <v>2315</v>
      </c>
      <c r="E59" t="s">
        <v>215</v>
      </c>
      <c r="F59">
        <v>202105</v>
      </c>
      <c r="G59" t="s">
        <v>233</v>
      </c>
      <c r="H59">
        <v>0</v>
      </c>
      <c r="O59" t="s">
        <v>2313</v>
      </c>
      <c r="P59" t="s">
        <v>456</v>
      </c>
      <c r="Q59" t="s">
        <v>2314</v>
      </c>
      <c r="R59" t="s">
        <v>2315</v>
      </c>
      <c r="S59" t="s">
        <v>215</v>
      </c>
      <c r="T59">
        <v>202109</v>
      </c>
      <c r="U59" t="s">
        <v>224</v>
      </c>
      <c r="V59">
        <v>3636489</v>
      </c>
    </row>
    <row r="60" spans="1:22">
      <c r="A60" t="s">
        <v>2313</v>
      </c>
      <c r="B60" t="s">
        <v>456</v>
      </c>
      <c r="C60" t="s">
        <v>2314</v>
      </c>
      <c r="D60" t="s">
        <v>2315</v>
      </c>
      <c r="E60" t="s">
        <v>215</v>
      </c>
      <c r="F60">
        <v>202106</v>
      </c>
      <c r="G60" t="s">
        <v>233</v>
      </c>
      <c r="H60">
        <v>0</v>
      </c>
      <c r="O60" t="s">
        <v>2313</v>
      </c>
      <c r="P60" t="s">
        <v>456</v>
      </c>
      <c r="Q60" t="s">
        <v>2314</v>
      </c>
      <c r="R60" t="s">
        <v>2315</v>
      </c>
      <c r="S60" t="s">
        <v>215</v>
      </c>
      <c r="T60">
        <v>202109</v>
      </c>
      <c r="U60" t="s">
        <v>226</v>
      </c>
      <c r="V60">
        <v>701017</v>
      </c>
    </row>
    <row r="61" spans="1:22">
      <c r="A61" t="s">
        <v>2313</v>
      </c>
      <c r="B61" t="s">
        <v>456</v>
      </c>
      <c r="C61" t="s">
        <v>2314</v>
      </c>
      <c r="D61" t="s">
        <v>2315</v>
      </c>
      <c r="E61" t="s">
        <v>215</v>
      </c>
      <c r="F61">
        <v>202107</v>
      </c>
      <c r="G61" t="s">
        <v>233</v>
      </c>
      <c r="H61">
        <v>0</v>
      </c>
      <c r="O61" t="s">
        <v>2313</v>
      </c>
      <c r="P61" t="s">
        <v>456</v>
      </c>
      <c r="Q61" t="s">
        <v>2314</v>
      </c>
      <c r="R61" t="s">
        <v>2315</v>
      </c>
      <c r="S61" t="s">
        <v>215</v>
      </c>
      <c r="T61">
        <v>202110</v>
      </c>
      <c r="U61" t="s">
        <v>231</v>
      </c>
      <c r="V61">
        <v>25542074.23</v>
      </c>
    </row>
    <row r="62" spans="1:22">
      <c r="A62" t="s">
        <v>2313</v>
      </c>
      <c r="B62" t="s">
        <v>456</v>
      </c>
      <c r="C62" t="s">
        <v>2314</v>
      </c>
      <c r="D62" t="s">
        <v>2315</v>
      </c>
      <c r="E62" t="s">
        <v>215</v>
      </c>
      <c r="F62">
        <v>202108</v>
      </c>
      <c r="G62" t="s">
        <v>233</v>
      </c>
      <c r="H62">
        <v>0</v>
      </c>
      <c r="O62" t="s">
        <v>2313</v>
      </c>
      <c r="P62" t="s">
        <v>456</v>
      </c>
      <c r="Q62" t="s">
        <v>2314</v>
      </c>
      <c r="R62" t="s">
        <v>2315</v>
      </c>
      <c r="S62" t="s">
        <v>215</v>
      </c>
      <c r="T62">
        <v>202110</v>
      </c>
      <c r="U62" t="s">
        <v>232</v>
      </c>
      <c r="V62">
        <v>3424144.77</v>
      </c>
    </row>
    <row r="63" spans="1:22">
      <c r="A63" t="s">
        <v>2313</v>
      </c>
      <c r="B63" t="s">
        <v>456</v>
      </c>
      <c r="C63" t="s">
        <v>2314</v>
      </c>
      <c r="D63" t="s">
        <v>2315</v>
      </c>
      <c r="E63" t="s">
        <v>215</v>
      </c>
      <c r="F63">
        <v>202109</v>
      </c>
      <c r="G63" t="s">
        <v>233</v>
      </c>
      <c r="H63">
        <v>0</v>
      </c>
      <c r="O63" t="s">
        <v>2313</v>
      </c>
      <c r="P63" t="s">
        <v>456</v>
      </c>
      <c r="Q63" t="s">
        <v>2314</v>
      </c>
      <c r="R63" t="s">
        <v>2315</v>
      </c>
      <c r="S63" t="s">
        <v>215</v>
      </c>
      <c r="T63">
        <v>202110</v>
      </c>
      <c r="U63" t="s">
        <v>222</v>
      </c>
      <c r="V63">
        <v>26202427</v>
      </c>
    </row>
    <row r="64" spans="1:22">
      <c r="A64" t="s">
        <v>2313</v>
      </c>
      <c r="B64" t="s">
        <v>456</v>
      </c>
      <c r="C64" t="s">
        <v>2314</v>
      </c>
      <c r="D64" t="s">
        <v>2315</v>
      </c>
      <c r="E64" t="s">
        <v>215</v>
      </c>
      <c r="F64">
        <v>202110</v>
      </c>
      <c r="G64" t="s">
        <v>233</v>
      </c>
      <c r="H64">
        <v>0</v>
      </c>
      <c r="O64" t="s">
        <v>2313</v>
      </c>
      <c r="P64" t="s">
        <v>456</v>
      </c>
      <c r="Q64" t="s">
        <v>2314</v>
      </c>
      <c r="R64" t="s">
        <v>2315</v>
      </c>
      <c r="S64" t="s">
        <v>215</v>
      </c>
      <c r="T64">
        <v>202110</v>
      </c>
      <c r="U64" t="s">
        <v>224</v>
      </c>
      <c r="V64">
        <v>3512671</v>
      </c>
    </row>
    <row r="65" spans="1:22">
      <c r="A65" t="s">
        <v>2313</v>
      </c>
      <c r="B65" t="s">
        <v>456</v>
      </c>
      <c r="C65" t="s">
        <v>2314</v>
      </c>
      <c r="D65" t="s">
        <v>2315</v>
      </c>
      <c r="E65" t="s">
        <v>215</v>
      </c>
      <c r="F65">
        <v>202111</v>
      </c>
      <c r="G65" t="s">
        <v>233</v>
      </c>
      <c r="H65">
        <v>0</v>
      </c>
      <c r="O65" t="s">
        <v>2313</v>
      </c>
      <c r="P65" t="s">
        <v>456</v>
      </c>
      <c r="Q65" t="s">
        <v>2314</v>
      </c>
      <c r="R65" t="s">
        <v>2315</v>
      </c>
      <c r="S65" t="s">
        <v>215</v>
      </c>
      <c r="T65">
        <v>202110</v>
      </c>
      <c r="U65" t="s">
        <v>226</v>
      </c>
      <c r="V65">
        <v>748879</v>
      </c>
    </row>
    <row r="66" spans="1:22">
      <c r="A66" t="s">
        <v>2313</v>
      </c>
      <c r="B66" t="s">
        <v>456</v>
      </c>
      <c r="C66" t="s">
        <v>2314</v>
      </c>
      <c r="D66" t="s">
        <v>2315</v>
      </c>
      <c r="E66" t="s">
        <v>215</v>
      </c>
      <c r="F66">
        <v>202112</v>
      </c>
      <c r="G66" t="s">
        <v>233</v>
      </c>
      <c r="H66">
        <v>0</v>
      </c>
      <c r="O66" t="s">
        <v>2313</v>
      </c>
      <c r="P66" t="s">
        <v>456</v>
      </c>
      <c r="Q66" t="s">
        <v>2314</v>
      </c>
      <c r="R66" t="s">
        <v>2315</v>
      </c>
      <c r="S66" t="s">
        <v>215</v>
      </c>
      <c r="T66">
        <v>202111</v>
      </c>
      <c r="U66" t="s">
        <v>231</v>
      </c>
      <c r="V66">
        <v>29203678.789999999</v>
      </c>
    </row>
    <row r="67" spans="1:22">
      <c r="A67" t="s">
        <v>2313</v>
      </c>
      <c r="B67" t="s">
        <v>456</v>
      </c>
      <c r="C67" t="s">
        <v>2314</v>
      </c>
      <c r="D67" t="s">
        <v>2315</v>
      </c>
      <c r="E67" t="s">
        <v>215</v>
      </c>
      <c r="F67">
        <v>202201</v>
      </c>
      <c r="G67" t="s">
        <v>233</v>
      </c>
      <c r="H67">
        <v>0</v>
      </c>
      <c r="O67" t="s">
        <v>2313</v>
      </c>
      <c r="P67" t="s">
        <v>456</v>
      </c>
      <c r="Q67" t="s">
        <v>2314</v>
      </c>
      <c r="R67" t="s">
        <v>2315</v>
      </c>
      <c r="S67" t="s">
        <v>215</v>
      </c>
      <c r="T67">
        <v>202111</v>
      </c>
      <c r="U67" t="s">
        <v>232</v>
      </c>
      <c r="V67">
        <v>3628889.21</v>
      </c>
    </row>
    <row r="68" spans="1:22">
      <c r="A68" t="s">
        <v>2313</v>
      </c>
      <c r="B68" t="s">
        <v>456</v>
      </c>
      <c r="C68" t="s">
        <v>2314</v>
      </c>
      <c r="D68" t="s">
        <v>2315</v>
      </c>
      <c r="E68" t="s">
        <v>215</v>
      </c>
      <c r="F68">
        <v>202202</v>
      </c>
      <c r="G68" t="s">
        <v>233</v>
      </c>
      <c r="H68">
        <v>0</v>
      </c>
      <c r="O68" t="s">
        <v>2313</v>
      </c>
      <c r="P68" t="s">
        <v>456</v>
      </c>
      <c r="Q68" t="s">
        <v>2314</v>
      </c>
      <c r="R68" t="s">
        <v>2315</v>
      </c>
      <c r="S68" t="s">
        <v>215</v>
      </c>
      <c r="T68">
        <v>202111</v>
      </c>
      <c r="U68" t="s">
        <v>222</v>
      </c>
      <c r="V68">
        <v>29870095</v>
      </c>
    </row>
    <row r="69" spans="1:22">
      <c r="A69" t="s">
        <v>2313</v>
      </c>
      <c r="B69" t="s">
        <v>456</v>
      </c>
      <c r="C69" t="s">
        <v>2314</v>
      </c>
      <c r="D69" t="s">
        <v>2315</v>
      </c>
      <c r="E69" t="s">
        <v>215</v>
      </c>
      <c r="F69">
        <v>202203</v>
      </c>
      <c r="G69" t="s">
        <v>233</v>
      </c>
      <c r="H69">
        <v>0</v>
      </c>
      <c r="O69" t="s">
        <v>2313</v>
      </c>
      <c r="P69" t="s">
        <v>456</v>
      </c>
      <c r="Q69" t="s">
        <v>2314</v>
      </c>
      <c r="R69" t="s">
        <v>2315</v>
      </c>
      <c r="S69" t="s">
        <v>215</v>
      </c>
      <c r="T69">
        <v>202111</v>
      </c>
      <c r="U69" t="s">
        <v>224</v>
      </c>
      <c r="V69">
        <v>3711699</v>
      </c>
    </row>
    <row r="70" spans="1:22">
      <c r="A70" t="s">
        <v>2313</v>
      </c>
      <c r="B70" t="s">
        <v>456</v>
      </c>
      <c r="C70" t="s">
        <v>2314</v>
      </c>
      <c r="D70" t="s">
        <v>2315</v>
      </c>
      <c r="E70" t="s">
        <v>215</v>
      </c>
      <c r="F70">
        <v>202204</v>
      </c>
      <c r="G70" t="s">
        <v>233</v>
      </c>
      <c r="H70">
        <v>0</v>
      </c>
      <c r="O70" t="s">
        <v>2313</v>
      </c>
      <c r="P70" t="s">
        <v>456</v>
      </c>
      <c r="Q70" t="s">
        <v>2314</v>
      </c>
      <c r="R70" t="s">
        <v>2315</v>
      </c>
      <c r="S70" t="s">
        <v>215</v>
      </c>
      <c r="T70">
        <v>202111</v>
      </c>
      <c r="U70" t="s">
        <v>226</v>
      </c>
      <c r="V70">
        <v>749226</v>
      </c>
    </row>
    <row r="71" spans="1:22">
      <c r="A71" t="s">
        <v>2313</v>
      </c>
      <c r="B71" t="s">
        <v>456</v>
      </c>
      <c r="C71" t="s">
        <v>2314</v>
      </c>
      <c r="D71" t="s">
        <v>2315</v>
      </c>
      <c r="E71" t="s">
        <v>215</v>
      </c>
      <c r="F71">
        <v>202205</v>
      </c>
      <c r="G71" t="s">
        <v>233</v>
      </c>
      <c r="H71">
        <v>0</v>
      </c>
      <c r="O71" t="s">
        <v>2313</v>
      </c>
      <c r="P71" t="s">
        <v>456</v>
      </c>
      <c r="Q71" t="s">
        <v>2314</v>
      </c>
      <c r="R71" t="s">
        <v>2315</v>
      </c>
      <c r="S71" t="s">
        <v>215</v>
      </c>
      <c r="T71">
        <v>202112</v>
      </c>
      <c r="U71" t="s">
        <v>231</v>
      </c>
      <c r="V71">
        <v>32543116.98</v>
      </c>
    </row>
    <row r="72" spans="1:22">
      <c r="A72" t="s">
        <v>2313</v>
      </c>
      <c r="B72" t="s">
        <v>456</v>
      </c>
      <c r="C72" t="s">
        <v>2314</v>
      </c>
      <c r="D72" t="s">
        <v>2315</v>
      </c>
      <c r="E72" t="s">
        <v>2179</v>
      </c>
      <c r="F72">
        <v>202104</v>
      </c>
      <c r="G72" t="s">
        <v>233</v>
      </c>
      <c r="H72">
        <v>0</v>
      </c>
      <c r="O72" t="s">
        <v>2313</v>
      </c>
      <c r="P72" t="s">
        <v>456</v>
      </c>
      <c r="Q72" t="s">
        <v>2314</v>
      </c>
      <c r="R72" t="s">
        <v>2315</v>
      </c>
      <c r="S72" t="s">
        <v>215</v>
      </c>
      <c r="T72">
        <v>202112</v>
      </c>
      <c r="U72" t="s">
        <v>232</v>
      </c>
      <c r="V72">
        <v>4292612.0199999996</v>
      </c>
    </row>
    <row r="73" spans="1:22">
      <c r="A73" t="s">
        <v>2313</v>
      </c>
      <c r="B73" t="s">
        <v>456</v>
      </c>
      <c r="C73" t="s">
        <v>2314</v>
      </c>
      <c r="D73" t="s">
        <v>2315</v>
      </c>
      <c r="E73" t="s">
        <v>2179</v>
      </c>
      <c r="F73">
        <v>202105</v>
      </c>
      <c r="G73" t="s">
        <v>233</v>
      </c>
      <c r="H73">
        <v>0</v>
      </c>
      <c r="O73" t="s">
        <v>2313</v>
      </c>
      <c r="P73" t="s">
        <v>456</v>
      </c>
      <c r="Q73" t="s">
        <v>2314</v>
      </c>
      <c r="R73" t="s">
        <v>2315</v>
      </c>
      <c r="S73" t="s">
        <v>215</v>
      </c>
      <c r="T73">
        <v>202112</v>
      </c>
      <c r="U73" t="s">
        <v>222</v>
      </c>
      <c r="V73">
        <v>33147209</v>
      </c>
    </row>
    <row r="74" spans="1:22">
      <c r="A74" t="s">
        <v>2313</v>
      </c>
      <c r="B74" t="s">
        <v>456</v>
      </c>
      <c r="C74" t="s">
        <v>2314</v>
      </c>
      <c r="D74" t="s">
        <v>2315</v>
      </c>
      <c r="E74" t="s">
        <v>2179</v>
      </c>
      <c r="F74">
        <v>202106</v>
      </c>
      <c r="G74" t="s">
        <v>233</v>
      </c>
      <c r="H74">
        <v>0</v>
      </c>
      <c r="O74" t="s">
        <v>2313</v>
      </c>
      <c r="P74" t="s">
        <v>456</v>
      </c>
      <c r="Q74" t="s">
        <v>2314</v>
      </c>
      <c r="R74" t="s">
        <v>2315</v>
      </c>
      <c r="S74" t="s">
        <v>215</v>
      </c>
      <c r="T74">
        <v>202112</v>
      </c>
      <c r="U74" t="s">
        <v>224</v>
      </c>
      <c r="V74">
        <v>4372295</v>
      </c>
    </row>
    <row r="75" spans="1:22">
      <c r="A75" t="s">
        <v>2313</v>
      </c>
      <c r="B75" t="s">
        <v>456</v>
      </c>
      <c r="C75" t="s">
        <v>2314</v>
      </c>
      <c r="D75" t="s">
        <v>2315</v>
      </c>
      <c r="E75" t="s">
        <v>2179</v>
      </c>
      <c r="F75">
        <v>202107</v>
      </c>
      <c r="G75" t="s">
        <v>233</v>
      </c>
      <c r="H75">
        <v>0</v>
      </c>
      <c r="O75" t="s">
        <v>2313</v>
      </c>
      <c r="P75" t="s">
        <v>456</v>
      </c>
      <c r="Q75" t="s">
        <v>2314</v>
      </c>
      <c r="R75" t="s">
        <v>2315</v>
      </c>
      <c r="S75" t="s">
        <v>215</v>
      </c>
      <c r="T75">
        <v>202112</v>
      </c>
      <c r="U75" t="s">
        <v>226</v>
      </c>
      <c r="V75">
        <v>683775</v>
      </c>
    </row>
    <row r="76" spans="1:22">
      <c r="A76" t="s">
        <v>2313</v>
      </c>
      <c r="B76" t="s">
        <v>456</v>
      </c>
      <c r="C76" t="s">
        <v>2314</v>
      </c>
      <c r="D76" t="s">
        <v>2315</v>
      </c>
      <c r="E76" t="s">
        <v>2179</v>
      </c>
      <c r="F76">
        <v>202108</v>
      </c>
      <c r="G76" t="s">
        <v>233</v>
      </c>
      <c r="H76">
        <v>0</v>
      </c>
      <c r="O76" t="s">
        <v>2313</v>
      </c>
      <c r="P76" t="s">
        <v>456</v>
      </c>
      <c r="Q76" t="s">
        <v>2314</v>
      </c>
      <c r="R76" t="s">
        <v>2315</v>
      </c>
      <c r="S76" t="s">
        <v>215</v>
      </c>
      <c r="T76">
        <v>202201</v>
      </c>
      <c r="U76" t="s">
        <v>231</v>
      </c>
      <c r="V76">
        <v>45000</v>
      </c>
    </row>
    <row r="77" spans="1:22">
      <c r="A77" t="s">
        <v>2313</v>
      </c>
      <c r="B77" t="s">
        <v>456</v>
      </c>
      <c r="C77" t="s">
        <v>2314</v>
      </c>
      <c r="D77" t="s">
        <v>2315</v>
      </c>
      <c r="E77" t="s">
        <v>2179</v>
      </c>
      <c r="F77">
        <v>202109</v>
      </c>
      <c r="G77" t="s">
        <v>233</v>
      </c>
      <c r="H77">
        <v>0</v>
      </c>
      <c r="O77" t="s">
        <v>2313</v>
      </c>
      <c r="P77" t="s">
        <v>456</v>
      </c>
      <c r="Q77" t="s">
        <v>2314</v>
      </c>
      <c r="R77" t="s">
        <v>2315</v>
      </c>
      <c r="S77" t="s">
        <v>215</v>
      </c>
      <c r="T77">
        <v>202201</v>
      </c>
      <c r="U77" t="s">
        <v>232</v>
      </c>
      <c r="V77">
        <v>0</v>
      </c>
    </row>
    <row r="78" spans="1:22">
      <c r="A78" t="s">
        <v>2313</v>
      </c>
      <c r="B78" t="s">
        <v>456</v>
      </c>
      <c r="C78" t="s">
        <v>2314</v>
      </c>
      <c r="D78" t="s">
        <v>2315</v>
      </c>
      <c r="E78" t="s">
        <v>2179</v>
      </c>
      <c r="F78">
        <v>202110</v>
      </c>
      <c r="G78" t="s">
        <v>233</v>
      </c>
      <c r="H78">
        <v>0</v>
      </c>
      <c r="O78" t="s">
        <v>2313</v>
      </c>
      <c r="P78" t="s">
        <v>456</v>
      </c>
      <c r="Q78" t="s">
        <v>2314</v>
      </c>
      <c r="R78" t="s">
        <v>2315</v>
      </c>
      <c r="S78" t="s">
        <v>215</v>
      </c>
      <c r="T78">
        <v>202201</v>
      </c>
      <c r="U78" t="s">
        <v>222</v>
      </c>
      <c r="V78">
        <v>0</v>
      </c>
    </row>
    <row r="79" spans="1:22">
      <c r="A79" t="s">
        <v>2313</v>
      </c>
      <c r="B79" t="s">
        <v>456</v>
      </c>
      <c r="C79" t="s">
        <v>2314</v>
      </c>
      <c r="D79" t="s">
        <v>2315</v>
      </c>
      <c r="E79" t="s">
        <v>2179</v>
      </c>
      <c r="F79">
        <v>202111</v>
      </c>
      <c r="G79" t="s">
        <v>233</v>
      </c>
      <c r="H79">
        <v>0</v>
      </c>
      <c r="O79" t="s">
        <v>2313</v>
      </c>
      <c r="P79" t="s">
        <v>456</v>
      </c>
      <c r="Q79" t="s">
        <v>2314</v>
      </c>
      <c r="R79" t="s">
        <v>2315</v>
      </c>
      <c r="S79" t="s">
        <v>215</v>
      </c>
      <c r="T79">
        <v>202201</v>
      </c>
      <c r="U79" t="s">
        <v>224</v>
      </c>
      <c r="V79">
        <v>0</v>
      </c>
    </row>
    <row r="80" spans="1:22">
      <c r="A80" t="s">
        <v>2313</v>
      </c>
      <c r="B80" t="s">
        <v>456</v>
      </c>
      <c r="C80" t="s">
        <v>2314</v>
      </c>
      <c r="D80" t="s">
        <v>2315</v>
      </c>
      <c r="E80" t="s">
        <v>2179</v>
      </c>
      <c r="F80">
        <v>202112</v>
      </c>
      <c r="G80" t="s">
        <v>233</v>
      </c>
      <c r="H80">
        <v>0</v>
      </c>
      <c r="O80" t="s">
        <v>2313</v>
      </c>
      <c r="P80" t="s">
        <v>456</v>
      </c>
      <c r="Q80" t="s">
        <v>2314</v>
      </c>
      <c r="R80" t="s">
        <v>2315</v>
      </c>
      <c r="S80" t="s">
        <v>215</v>
      </c>
      <c r="T80">
        <v>202201</v>
      </c>
      <c r="U80" t="s">
        <v>226</v>
      </c>
      <c r="V80">
        <v>0</v>
      </c>
    </row>
    <row r="81" spans="1:22">
      <c r="A81" t="s">
        <v>2313</v>
      </c>
      <c r="B81" t="s">
        <v>456</v>
      </c>
      <c r="C81" t="s">
        <v>2314</v>
      </c>
      <c r="D81" t="s">
        <v>2315</v>
      </c>
      <c r="E81" t="s">
        <v>2179</v>
      </c>
      <c r="F81">
        <v>202201</v>
      </c>
      <c r="G81" t="s">
        <v>233</v>
      </c>
      <c r="H81">
        <v>0</v>
      </c>
      <c r="O81" t="s">
        <v>2313</v>
      </c>
      <c r="P81" t="s">
        <v>456</v>
      </c>
      <c r="Q81" t="s">
        <v>2314</v>
      </c>
      <c r="R81" t="s">
        <v>2315</v>
      </c>
      <c r="S81" t="s">
        <v>215</v>
      </c>
      <c r="T81">
        <v>202202</v>
      </c>
      <c r="U81" t="s">
        <v>231</v>
      </c>
      <c r="V81">
        <v>45000</v>
      </c>
    </row>
    <row r="82" spans="1:22">
      <c r="A82" t="s">
        <v>2313</v>
      </c>
      <c r="B82" t="s">
        <v>456</v>
      </c>
      <c r="C82" t="s">
        <v>2314</v>
      </c>
      <c r="D82" t="s">
        <v>2315</v>
      </c>
      <c r="E82" t="s">
        <v>2179</v>
      </c>
      <c r="F82">
        <v>202202</v>
      </c>
      <c r="G82" t="s">
        <v>233</v>
      </c>
      <c r="H82">
        <v>0</v>
      </c>
      <c r="O82" t="s">
        <v>2313</v>
      </c>
      <c r="P82" t="s">
        <v>456</v>
      </c>
      <c r="Q82" t="s">
        <v>2314</v>
      </c>
      <c r="R82" t="s">
        <v>2315</v>
      </c>
      <c r="S82" t="s">
        <v>215</v>
      </c>
      <c r="T82">
        <v>202202</v>
      </c>
      <c r="U82" t="s">
        <v>232</v>
      </c>
      <c r="V82">
        <v>0</v>
      </c>
    </row>
    <row r="83" spans="1:22">
      <c r="A83" t="s">
        <v>2313</v>
      </c>
      <c r="B83" t="s">
        <v>456</v>
      </c>
      <c r="C83" t="s">
        <v>2314</v>
      </c>
      <c r="D83" t="s">
        <v>2315</v>
      </c>
      <c r="E83" t="s">
        <v>2179</v>
      </c>
      <c r="F83">
        <v>202203</v>
      </c>
      <c r="G83" t="s">
        <v>233</v>
      </c>
      <c r="H83">
        <v>0</v>
      </c>
      <c r="O83" t="s">
        <v>2313</v>
      </c>
      <c r="P83" t="s">
        <v>456</v>
      </c>
      <c r="Q83" t="s">
        <v>2314</v>
      </c>
      <c r="R83" t="s">
        <v>2315</v>
      </c>
      <c r="S83" t="s">
        <v>215</v>
      </c>
      <c r="T83">
        <v>202202</v>
      </c>
      <c r="U83" t="s">
        <v>222</v>
      </c>
      <c r="V83">
        <v>45000</v>
      </c>
    </row>
    <row r="84" spans="1:22">
      <c r="A84" t="s">
        <v>2313</v>
      </c>
      <c r="B84" t="s">
        <v>456</v>
      </c>
      <c r="C84" t="s">
        <v>2314</v>
      </c>
      <c r="D84" t="s">
        <v>2315</v>
      </c>
      <c r="E84" t="s">
        <v>2179</v>
      </c>
      <c r="F84">
        <v>202204</v>
      </c>
      <c r="G84" t="s">
        <v>233</v>
      </c>
      <c r="H84">
        <v>0</v>
      </c>
      <c r="O84" t="s">
        <v>2313</v>
      </c>
      <c r="P84" t="s">
        <v>456</v>
      </c>
      <c r="Q84" t="s">
        <v>2314</v>
      </c>
      <c r="R84" t="s">
        <v>2315</v>
      </c>
      <c r="S84" t="s">
        <v>215</v>
      </c>
      <c r="T84">
        <v>202202</v>
      </c>
      <c r="U84" t="s">
        <v>224</v>
      </c>
      <c r="V84">
        <v>0</v>
      </c>
    </row>
    <row r="85" spans="1:22">
      <c r="A85" t="s">
        <v>2313</v>
      </c>
      <c r="B85" t="s">
        <v>456</v>
      </c>
      <c r="C85" t="s">
        <v>2314</v>
      </c>
      <c r="D85" t="s">
        <v>2315</v>
      </c>
      <c r="E85" t="s">
        <v>2179</v>
      </c>
      <c r="F85">
        <v>202205</v>
      </c>
      <c r="G85" t="s">
        <v>233</v>
      </c>
      <c r="H85">
        <v>0</v>
      </c>
      <c r="O85" t="s">
        <v>2313</v>
      </c>
      <c r="P85" t="s">
        <v>456</v>
      </c>
      <c r="Q85" t="s">
        <v>2314</v>
      </c>
      <c r="R85" t="s">
        <v>2315</v>
      </c>
      <c r="S85" t="s">
        <v>215</v>
      </c>
      <c r="T85">
        <v>202202</v>
      </c>
      <c r="U85" t="s">
        <v>226</v>
      </c>
      <c r="V85">
        <v>0</v>
      </c>
    </row>
    <row r="86" spans="1:22">
      <c r="A86" t="s">
        <v>2313</v>
      </c>
      <c r="B86" t="s">
        <v>456</v>
      </c>
      <c r="C86" t="s">
        <v>2314</v>
      </c>
      <c r="D86" t="s">
        <v>2315</v>
      </c>
      <c r="E86" t="s">
        <v>215</v>
      </c>
      <c r="F86">
        <v>202104</v>
      </c>
      <c r="G86" t="s">
        <v>218</v>
      </c>
      <c r="H86">
        <v>0</v>
      </c>
      <c r="O86" t="s">
        <v>2313</v>
      </c>
      <c r="P86" t="s">
        <v>456</v>
      </c>
      <c r="Q86" t="s">
        <v>2314</v>
      </c>
      <c r="R86" t="s">
        <v>2315</v>
      </c>
      <c r="S86" t="s">
        <v>215</v>
      </c>
      <c r="T86">
        <v>202203</v>
      </c>
      <c r="U86" t="s">
        <v>231</v>
      </c>
      <c r="V86">
        <v>45000</v>
      </c>
    </row>
    <row r="87" spans="1:22">
      <c r="A87" t="s">
        <v>2313</v>
      </c>
      <c r="B87" t="s">
        <v>456</v>
      </c>
      <c r="C87" t="s">
        <v>2314</v>
      </c>
      <c r="D87" t="s">
        <v>2315</v>
      </c>
      <c r="E87" t="s">
        <v>215</v>
      </c>
      <c r="F87">
        <v>202104</v>
      </c>
      <c r="G87" t="s">
        <v>220</v>
      </c>
      <c r="H87">
        <v>0</v>
      </c>
      <c r="O87" t="s">
        <v>2313</v>
      </c>
      <c r="P87" t="s">
        <v>456</v>
      </c>
      <c r="Q87" t="s">
        <v>2314</v>
      </c>
      <c r="R87" t="s">
        <v>2315</v>
      </c>
      <c r="S87" t="s">
        <v>215</v>
      </c>
      <c r="T87">
        <v>202203</v>
      </c>
      <c r="U87" t="s">
        <v>232</v>
      </c>
      <c r="V87">
        <v>0</v>
      </c>
    </row>
    <row r="88" spans="1:22">
      <c r="A88" t="s">
        <v>2313</v>
      </c>
      <c r="B88" t="s">
        <v>456</v>
      </c>
      <c r="C88" t="s">
        <v>2314</v>
      </c>
      <c r="D88" t="s">
        <v>2315</v>
      </c>
      <c r="E88" t="s">
        <v>215</v>
      </c>
      <c r="F88">
        <v>202105</v>
      </c>
      <c r="G88" t="s">
        <v>218</v>
      </c>
      <c r="H88">
        <v>0</v>
      </c>
      <c r="O88" t="s">
        <v>2313</v>
      </c>
      <c r="P88" t="s">
        <v>456</v>
      </c>
      <c r="Q88" t="s">
        <v>2314</v>
      </c>
      <c r="R88" t="s">
        <v>2315</v>
      </c>
      <c r="S88" t="s">
        <v>215</v>
      </c>
      <c r="T88">
        <v>202203</v>
      </c>
      <c r="U88" t="s">
        <v>222</v>
      </c>
      <c r="V88">
        <v>45000</v>
      </c>
    </row>
    <row r="89" spans="1:22">
      <c r="A89" t="s">
        <v>2313</v>
      </c>
      <c r="B89" t="s">
        <v>456</v>
      </c>
      <c r="C89" t="s">
        <v>2314</v>
      </c>
      <c r="D89" t="s">
        <v>2315</v>
      </c>
      <c r="E89" t="s">
        <v>215</v>
      </c>
      <c r="F89">
        <v>202105</v>
      </c>
      <c r="G89" t="s">
        <v>220</v>
      </c>
      <c r="H89">
        <v>0</v>
      </c>
      <c r="O89" t="s">
        <v>2313</v>
      </c>
      <c r="P89" t="s">
        <v>456</v>
      </c>
      <c r="Q89" t="s">
        <v>2314</v>
      </c>
      <c r="R89" t="s">
        <v>2315</v>
      </c>
      <c r="S89" t="s">
        <v>215</v>
      </c>
      <c r="T89">
        <v>202203</v>
      </c>
      <c r="U89" t="s">
        <v>224</v>
      </c>
      <c r="V89">
        <v>0</v>
      </c>
    </row>
    <row r="90" spans="1:22">
      <c r="A90" t="s">
        <v>2313</v>
      </c>
      <c r="B90" t="s">
        <v>456</v>
      </c>
      <c r="C90" t="s">
        <v>2314</v>
      </c>
      <c r="D90" t="s">
        <v>2315</v>
      </c>
      <c r="E90" t="s">
        <v>215</v>
      </c>
      <c r="F90">
        <v>202106</v>
      </c>
      <c r="G90" t="s">
        <v>218</v>
      </c>
      <c r="H90">
        <v>0</v>
      </c>
      <c r="O90" t="s">
        <v>2313</v>
      </c>
      <c r="P90" t="s">
        <v>456</v>
      </c>
      <c r="Q90" t="s">
        <v>2314</v>
      </c>
      <c r="R90" t="s">
        <v>2315</v>
      </c>
      <c r="S90" t="s">
        <v>215</v>
      </c>
      <c r="T90">
        <v>202203</v>
      </c>
      <c r="U90" t="s">
        <v>226</v>
      </c>
      <c r="V90">
        <v>0</v>
      </c>
    </row>
    <row r="91" spans="1:22">
      <c r="A91" t="s">
        <v>2313</v>
      </c>
      <c r="B91" t="s">
        <v>456</v>
      </c>
      <c r="C91" t="s">
        <v>2314</v>
      </c>
      <c r="D91" t="s">
        <v>2315</v>
      </c>
      <c r="E91" t="s">
        <v>215</v>
      </c>
      <c r="F91">
        <v>202106</v>
      </c>
      <c r="G91" t="s">
        <v>220</v>
      </c>
      <c r="H91">
        <v>0</v>
      </c>
      <c r="O91" t="s">
        <v>2313</v>
      </c>
      <c r="P91" t="s">
        <v>456</v>
      </c>
      <c r="Q91" t="s">
        <v>2314</v>
      </c>
      <c r="R91" t="s">
        <v>2315</v>
      </c>
      <c r="S91" t="s">
        <v>215</v>
      </c>
      <c r="T91">
        <v>202204</v>
      </c>
      <c r="U91" t="s">
        <v>231</v>
      </c>
      <c r="V91">
        <v>0</v>
      </c>
    </row>
    <row r="92" spans="1:22">
      <c r="A92" t="s">
        <v>2313</v>
      </c>
      <c r="B92" t="s">
        <v>456</v>
      </c>
      <c r="C92" t="s">
        <v>2314</v>
      </c>
      <c r="D92" t="s">
        <v>2315</v>
      </c>
      <c r="E92" t="s">
        <v>215</v>
      </c>
      <c r="F92">
        <v>202107</v>
      </c>
      <c r="G92" t="s">
        <v>218</v>
      </c>
      <c r="H92">
        <v>0</v>
      </c>
      <c r="O92" t="s">
        <v>2313</v>
      </c>
      <c r="P92" t="s">
        <v>456</v>
      </c>
      <c r="Q92" t="s">
        <v>2314</v>
      </c>
      <c r="R92" t="s">
        <v>2315</v>
      </c>
      <c r="S92" t="s">
        <v>215</v>
      </c>
      <c r="T92">
        <v>202204</v>
      </c>
      <c r="U92" t="s">
        <v>232</v>
      </c>
      <c r="V92">
        <v>40000</v>
      </c>
    </row>
    <row r="93" spans="1:22">
      <c r="A93" t="s">
        <v>2313</v>
      </c>
      <c r="B93" t="s">
        <v>456</v>
      </c>
      <c r="C93" t="s">
        <v>2314</v>
      </c>
      <c r="D93" t="s">
        <v>2315</v>
      </c>
      <c r="E93" t="s">
        <v>215</v>
      </c>
      <c r="F93">
        <v>202107</v>
      </c>
      <c r="G93" t="s">
        <v>220</v>
      </c>
      <c r="H93">
        <v>0</v>
      </c>
      <c r="O93" t="s">
        <v>2313</v>
      </c>
      <c r="P93" t="s">
        <v>456</v>
      </c>
      <c r="Q93" t="s">
        <v>2314</v>
      </c>
      <c r="R93" t="s">
        <v>2315</v>
      </c>
      <c r="S93" t="s">
        <v>215</v>
      </c>
      <c r="T93">
        <v>202204</v>
      </c>
      <c r="U93" t="s">
        <v>222</v>
      </c>
      <c r="V93">
        <v>0</v>
      </c>
    </row>
    <row r="94" spans="1:22">
      <c r="A94" t="s">
        <v>2313</v>
      </c>
      <c r="B94" t="s">
        <v>456</v>
      </c>
      <c r="C94" t="s">
        <v>2314</v>
      </c>
      <c r="D94" t="s">
        <v>2315</v>
      </c>
      <c r="E94" t="s">
        <v>215</v>
      </c>
      <c r="F94">
        <v>202108</v>
      </c>
      <c r="G94" t="s">
        <v>218</v>
      </c>
      <c r="H94">
        <v>0</v>
      </c>
      <c r="O94" t="s">
        <v>2313</v>
      </c>
      <c r="P94" t="s">
        <v>456</v>
      </c>
      <c r="Q94" t="s">
        <v>2314</v>
      </c>
      <c r="R94" t="s">
        <v>2315</v>
      </c>
      <c r="S94" t="s">
        <v>215</v>
      </c>
      <c r="T94">
        <v>202204</v>
      </c>
      <c r="U94" t="s">
        <v>224</v>
      </c>
      <c r="V94">
        <v>0</v>
      </c>
    </row>
    <row r="95" spans="1:22">
      <c r="A95" t="s">
        <v>2313</v>
      </c>
      <c r="B95" t="s">
        <v>456</v>
      </c>
      <c r="C95" t="s">
        <v>2314</v>
      </c>
      <c r="D95" t="s">
        <v>2315</v>
      </c>
      <c r="E95" t="s">
        <v>215</v>
      </c>
      <c r="F95">
        <v>202108</v>
      </c>
      <c r="G95" t="s">
        <v>220</v>
      </c>
      <c r="H95">
        <v>0</v>
      </c>
      <c r="O95" t="s">
        <v>2313</v>
      </c>
      <c r="P95" t="s">
        <v>456</v>
      </c>
      <c r="Q95" t="s">
        <v>2314</v>
      </c>
      <c r="R95" t="s">
        <v>2315</v>
      </c>
      <c r="S95" t="s">
        <v>215</v>
      </c>
      <c r="T95">
        <v>202204</v>
      </c>
      <c r="U95" t="s">
        <v>226</v>
      </c>
      <c r="V95">
        <v>0</v>
      </c>
    </row>
    <row r="96" spans="1:22">
      <c r="A96" t="s">
        <v>2313</v>
      </c>
      <c r="B96" t="s">
        <v>456</v>
      </c>
      <c r="C96" t="s">
        <v>2314</v>
      </c>
      <c r="D96" t="s">
        <v>2315</v>
      </c>
      <c r="E96" t="s">
        <v>215</v>
      </c>
      <c r="F96">
        <v>202109</v>
      </c>
      <c r="G96" t="s">
        <v>218</v>
      </c>
      <c r="H96">
        <v>0</v>
      </c>
      <c r="O96" t="s">
        <v>2313</v>
      </c>
      <c r="P96" t="s">
        <v>456</v>
      </c>
      <c r="Q96" t="s">
        <v>2314</v>
      </c>
      <c r="R96" t="s">
        <v>2315</v>
      </c>
      <c r="S96" t="s">
        <v>215</v>
      </c>
      <c r="T96">
        <v>202205</v>
      </c>
      <c r="U96" t="s">
        <v>231</v>
      </c>
      <c r="V96">
        <v>40000</v>
      </c>
    </row>
    <row r="97" spans="1:22">
      <c r="A97" t="s">
        <v>2313</v>
      </c>
      <c r="B97" t="s">
        <v>456</v>
      </c>
      <c r="C97" t="s">
        <v>2314</v>
      </c>
      <c r="D97" t="s">
        <v>2315</v>
      </c>
      <c r="E97" t="s">
        <v>215</v>
      </c>
      <c r="F97">
        <v>202109</v>
      </c>
      <c r="G97" t="s">
        <v>220</v>
      </c>
      <c r="H97">
        <v>0</v>
      </c>
      <c r="O97" t="s">
        <v>2313</v>
      </c>
      <c r="P97" t="s">
        <v>456</v>
      </c>
      <c r="Q97" t="s">
        <v>2314</v>
      </c>
      <c r="R97" t="s">
        <v>2315</v>
      </c>
      <c r="S97" t="s">
        <v>215</v>
      </c>
      <c r="T97">
        <v>202205</v>
      </c>
      <c r="U97" t="s">
        <v>232</v>
      </c>
      <c r="V97">
        <v>0</v>
      </c>
    </row>
    <row r="98" spans="1:22">
      <c r="A98" t="s">
        <v>2313</v>
      </c>
      <c r="B98" t="s">
        <v>456</v>
      </c>
      <c r="C98" t="s">
        <v>2314</v>
      </c>
      <c r="D98" t="s">
        <v>2315</v>
      </c>
      <c r="E98" t="s">
        <v>215</v>
      </c>
      <c r="F98">
        <v>202110</v>
      </c>
      <c r="G98" t="s">
        <v>218</v>
      </c>
      <c r="H98">
        <v>0</v>
      </c>
      <c r="O98" t="s">
        <v>2313</v>
      </c>
      <c r="P98" t="s">
        <v>456</v>
      </c>
      <c r="Q98" t="s">
        <v>2314</v>
      </c>
      <c r="R98" t="s">
        <v>2315</v>
      </c>
      <c r="S98" t="s">
        <v>215</v>
      </c>
      <c r="T98">
        <v>202205</v>
      </c>
      <c r="U98" t="s">
        <v>222</v>
      </c>
      <c r="V98">
        <v>40000</v>
      </c>
    </row>
    <row r="99" spans="1:22">
      <c r="A99" t="s">
        <v>2313</v>
      </c>
      <c r="B99" t="s">
        <v>456</v>
      </c>
      <c r="C99" t="s">
        <v>2314</v>
      </c>
      <c r="D99" t="s">
        <v>2315</v>
      </c>
      <c r="E99" t="s">
        <v>215</v>
      </c>
      <c r="F99">
        <v>202110</v>
      </c>
      <c r="G99" t="s">
        <v>220</v>
      </c>
      <c r="H99">
        <v>0</v>
      </c>
      <c r="O99" t="s">
        <v>2313</v>
      </c>
      <c r="P99" t="s">
        <v>456</v>
      </c>
      <c r="Q99" t="s">
        <v>2314</v>
      </c>
      <c r="R99" t="s">
        <v>2315</v>
      </c>
      <c r="S99" t="s">
        <v>215</v>
      </c>
      <c r="T99">
        <v>202205</v>
      </c>
      <c r="U99" t="s">
        <v>224</v>
      </c>
      <c r="V99">
        <v>0</v>
      </c>
    </row>
    <row r="100" spans="1:22">
      <c r="A100" t="s">
        <v>2313</v>
      </c>
      <c r="B100" t="s">
        <v>456</v>
      </c>
      <c r="C100" t="s">
        <v>2314</v>
      </c>
      <c r="D100" t="s">
        <v>2315</v>
      </c>
      <c r="E100" t="s">
        <v>215</v>
      </c>
      <c r="F100">
        <v>202111</v>
      </c>
      <c r="G100" t="s">
        <v>218</v>
      </c>
      <c r="H100">
        <v>0</v>
      </c>
      <c r="O100" t="s">
        <v>2313</v>
      </c>
      <c r="P100" t="s">
        <v>456</v>
      </c>
      <c r="Q100" t="s">
        <v>2314</v>
      </c>
      <c r="R100" t="s">
        <v>2315</v>
      </c>
      <c r="S100" t="s">
        <v>215</v>
      </c>
      <c r="T100">
        <v>202205</v>
      </c>
      <c r="U100" t="s">
        <v>226</v>
      </c>
      <c r="V100">
        <v>0</v>
      </c>
    </row>
    <row r="101" spans="1:22">
      <c r="A101" t="s">
        <v>2313</v>
      </c>
      <c r="B101" t="s">
        <v>456</v>
      </c>
      <c r="C101" t="s">
        <v>2314</v>
      </c>
      <c r="D101" t="s">
        <v>2315</v>
      </c>
      <c r="E101" t="s">
        <v>215</v>
      </c>
      <c r="F101">
        <v>202111</v>
      </c>
      <c r="G101" t="s">
        <v>220</v>
      </c>
      <c r="H101">
        <v>0</v>
      </c>
      <c r="O101" t="s">
        <v>2313</v>
      </c>
      <c r="P101" t="s">
        <v>456</v>
      </c>
      <c r="Q101" t="s">
        <v>2314</v>
      </c>
      <c r="R101" t="s">
        <v>2315</v>
      </c>
      <c r="S101" t="s">
        <v>2179</v>
      </c>
      <c r="T101">
        <v>202107</v>
      </c>
      <c r="U101" t="s">
        <v>231</v>
      </c>
      <c r="V101">
        <v>523894.98</v>
      </c>
    </row>
    <row r="102" spans="1:22">
      <c r="A102" t="s">
        <v>2313</v>
      </c>
      <c r="B102" t="s">
        <v>456</v>
      </c>
      <c r="C102" t="s">
        <v>2314</v>
      </c>
      <c r="D102" t="s">
        <v>2315</v>
      </c>
      <c r="E102" t="s">
        <v>215</v>
      </c>
      <c r="F102">
        <v>202112</v>
      </c>
      <c r="G102" t="s">
        <v>218</v>
      </c>
      <c r="H102">
        <v>0</v>
      </c>
      <c r="O102" t="s">
        <v>2313</v>
      </c>
      <c r="P102" t="s">
        <v>456</v>
      </c>
      <c r="Q102" t="s">
        <v>2314</v>
      </c>
      <c r="R102" t="s">
        <v>2315</v>
      </c>
      <c r="S102" t="s">
        <v>2179</v>
      </c>
      <c r="T102">
        <v>202107</v>
      </c>
      <c r="U102" t="s">
        <v>232</v>
      </c>
      <c r="V102">
        <v>72142.97</v>
      </c>
    </row>
    <row r="103" spans="1:22">
      <c r="A103" t="s">
        <v>2313</v>
      </c>
      <c r="B103" t="s">
        <v>456</v>
      </c>
      <c r="C103" t="s">
        <v>2314</v>
      </c>
      <c r="D103" t="s">
        <v>2315</v>
      </c>
      <c r="E103" t="s">
        <v>215</v>
      </c>
      <c r="F103">
        <v>202112</v>
      </c>
      <c r="G103" t="s">
        <v>220</v>
      </c>
      <c r="H103">
        <v>0</v>
      </c>
      <c r="O103" t="s">
        <v>2313</v>
      </c>
      <c r="P103" t="s">
        <v>456</v>
      </c>
      <c r="Q103" t="s">
        <v>2314</v>
      </c>
      <c r="R103" t="s">
        <v>2315</v>
      </c>
      <c r="S103" t="s">
        <v>2179</v>
      </c>
      <c r="T103">
        <v>202107</v>
      </c>
      <c r="U103" t="s">
        <v>222</v>
      </c>
      <c r="V103">
        <v>534254.48</v>
      </c>
    </row>
    <row r="104" spans="1:22">
      <c r="A104" t="s">
        <v>2313</v>
      </c>
      <c r="B104" t="s">
        <v>456</v>
      </c>
      <c r="C104" t="s">
        <v>2314</v>
      </c>
      <c r="D104" t="s">
        <v>2315</v>
      </c>
      <c r="E104" t="s">
        <v>215</v>
      </c>
      <c r="F104">
        <v>202201</v>
      </c>
      <c r="G104" t="s">
        <v>218</v>
      </c>
      <c r="H104">
        <v>0</v>
      </c>
      <c r="O104" t="s">
        <v>2313</v>
      </c>
      <c r="P104" t="s">
        <v>456</v>
      </c>
      <c r="Q104" t="s">
        <v>2314</v>
      </c>
      <c r="R104" t="s">
        <v>2315</v>
      </c>
      <c r="S104" t="s">
        <v>2179</v>
      </c>
      <c r="T104">
        <v>202107</v>
      </c>
      <c r="U104" t="s">
        <v>224</v>
      </c>
      <c r="V104">
        <v>73569.36</v>
      </c>
    </row>
    <row r="105" spans="1:22">
      <c r="A105" t="s">
        <v>2313</v>
      </c>
      <c r="B105" t="s">
        <v>456</v>
      </c>
      <c r="C105" t="s">
        <v>2314</v>
      </c>
      <c r="D105" t="s">
        <v>2315</v>
      </c>
      <c r="E105" t="s">
        <v>215</v>
      </c>
      <c r="F105">
        <v>202201</v>
      </c>
      <c r="G105" t="s">
        <v>220</v>
      </c>
      <c r="H105">
        <v>0</v>
      </c>
      <c r="O105" t="s">
        <v>2313</v>
      </c>
      <c r="P105" t="s">
        <v>456</v>
      </c>
      <c r="Q105" t="s">
        <v>2314</v>
      </c>
      <c r="R105" t="s">
        <v>2315</v>
      </c>
      <c r="S105" t="s">
        <v>2179</v>
      </c>
      <c r="T105">
        <v>202107</v>
      </c>
      <c r="U105" t="s">
        <v>226</v>
      </c>
      <c r="V105">
        <v>11786</v>
      </c>
    </row>
    <row r="106" spans="1:22">
      <c r="A106" t="s">
        <v>2313</v>
      </c>
      <c r="B106" t="s">
        <v>456</v>
      </c>
      <c r="C106" t="s">
        <v>2314</v>
      </c>
      <c r="D106" t="s">
        <v>2315</v>
      </c>
      <c r="E106" t="s">
        <v>215</v>
      </c>
      <c r="F106">
        <v>202202</v>
      </c>
      <c r="G106" t="s">
        <v>218</v>
      </c>
      <c r="H106">
        <v>0</v>
      </c>
      <c r="O106" t="s">
        <v>2313</v>
      </c>
      <c r="P106" t="s">
        <v>456</v>
      </c>
      <c r="Q106" t="s">
        <v>2314</v>
      </c>
      <c r="R106" t="s">
        <v>2315</v>
      </c>
      <c r="S106" t="s">
        <v>2179</v>
      </c>
      <c r="T106">
        <v>202108</v>
      </c>
      <c r="U106" t="s">
        <v>231</v>
      </c>
      <c r="V106">
        <v>524486</v>
      </c>
    </row>
    <row r="107" spans="1:22">
      <c r="A107" t="s">
        <v>2313</v>
      </c>
      <c r="B107" t="s">
        <v>456</v>
      </c>
      <c r="C107" t="s">
        <v>2314</v>
      </c>
      <c r="D107" t="s">
        <v>2315</v>
      </c>
      <c r="E107" t="s">
        <v>215</v>
      </c>
      <c r="F107">
        <v>202202</v>
      </c>
      <c r="G107" t="s">
        <v>220</v>
      </c>
      <c r="H107">
        <v>0</v>
      </c>
      <c r="O107" t="s">
        <v>2313</v>
      </c>
      <c r="P107" t="s">
        <v>456</v>
      </c>
      <c r="Q107" t="s">
        <v>2314</v>
      </c>
      <c r="R107" t="s">
        <v>2315</v>
      </c>
      <c r="S107" t="s">
        <v>2179</v>
      </c>
      <c r="T107">
        <v>202108</v>
      </c>
      <c r="U107" t="s">
        <v>232</v>
      </c>
      <c r="V107">
        <v>70430</v>
      </c>
    </row>
    <row r="108" spans="1:22">
      <c r="A108" t="s">
        <v>2313</v>
      </c>
      <c r="B108" t="s">
        <v>456</v>
      </c>
      <c r="C108" t="s">
        <v>2314</v>
      </c>
      <c r="D108" t="s">
        <v>2315</v>
      </c>
      <c r="E108" t="s">
        <v>215</v>
      </c>
      <c r="F108">
        <v>202203</v>
      </c>
      <c r="G108" t="s">
        <v>218</v>
      </c>
      <c r="H108">
        <v>0</v>
      </c>
      <c r="O108" t="s">
        <v>2313</v>
      </c>
      <c r="P108" t="s">
        <v>456</v>
      </c>
      <c r="Q108" t="s">
        <v>2314</v>
      </c>
      <c r="R108" t="s">
        <v>2315</v>
      </c>
      <c r="S108" t="s">
        <v>2179</v>
      </c>
      <c r="T108">
        <v>202108</v>
      </c>
      <c r="U108" t="s">
        <v>222</v>
      </c>
      <c r="V108">
        <v>535222</v>
      </c>
    </row>
    <row r="109" spans="1:22">
      <c r="A109" t="s">
        <v>2313</v>
      </c>
      <c r="B109" t="s">
        <v>456</v>
      </c>
      <c r="C109" t="s">
        <v>2314</v>
      </c>
      <c r="D109" t="s">
        <v>2315</v>
      </c>
      <c r="E109" t="s">
        <v>215</v>
      </c>
      <c r="F109">
        <v>202203</v>
      </c>
      <c r="G109" t="s">
        <v>220</v>
      </c>
      <c r="H109">
        <v>0</v>
      </c>
      <c r="O109" t="s">
        <v>2313</v>
      </c>
      <c r="P109" t="s">
        <v>456</v>
      </c>
      <c r="Q109" t="s">
        <v>2314</v>
      </c>
      <c r="R109" t="s">
        <v>2315</v>
      </c>
      <c r="S109" t="s">
        <v>2179</v>
      </c>
      <c r="T109">
        <v>202108</v>
      </c>
      <c r="U109" t="s">
        <v>224</v>
      </c>
      <c r="V109">
        <v>71871</v>
      </c>
    </row>
    <row r="110" spans="1:22">
      <c r="A110" t="s">
        <v>2313</v>
      </c>
      <c r="B110" t="s">
        <v>456</v>
      </c>
      <c r="C110" t="s">
        <v>2314</v>
      </c>
      <c r="D110" t="s">
        <v>2315</v>
      </c>
      <c r="E110" t="s">
        <v>215</v>
      </c>
      <c r="F110">
        <v>202204</v>
      </c>
      <c r="G110" t="s">
        <v>218</v>
      </c>
      <c r="H110">
        <v>0</v>
      </c>
      <c r="O110" t="s">
        <v>2313</v>
      </c>
      <c r="P110" t="s">
        <v>456</v>
      </c>
      <c r="Q110" t="s">
        <v>2314</v>
      </c>
      <c r="R110" t="s">
        <v>2315</v>
      </c>
      <c r="S110" t="s">
        <v>2179</v>
      </c>
      <c r="T110">
        <v>202108</v>
      </c>
      <c r="U110" t="s">
        <v>226</v>
      </c>
      <c r="V110">
        <v>10487</v>
      </c>
    </row>
    <row r="111" spans="1:22">
      <c r="A111" t="s">
        <v>2313</v>
      </c>
      <c r="B111" t="s">
        <v>456</v>
      </c>
      <c r="C111" t="s">
        <v>2314</v>
      </c>
      <c r="D111" t="s">
        <v>2315</v>
      </c>
      <c r="E111" t="s">
        <v>215</v>
      </c>
      <c r="F111">
        <v>202204</v>
      </c>
      <c r="G111" t="s">
        <v>220</v>
      </c>
      <c r="H111">
        <v>0</v>
      </c>
      <c r="O111" t="s">
        <v>2313</v>
      </c>
      <c r="P111" t="s">
        <v>456</v>
      </c>
      <c r="Q111" t="s">
        <v>2314</v>
      </c>
      <c r="R111" t="s">
        <v>2315</v>
      </c>
      <c r="S111" t="s">
        <v>2179</v>
      </c>
      <c r="T111">
        <v>202109</v>
      </c>
      <c r="U111" t="s">
        <v>231</v>
      </c>
      <c r="V111">
        <v>500290.86</v>
      </c>
    </row>
    <row r="112" spans="1:22">
      <c r="A112" t="s">
        <v>2313</v>
      </c>
      <c r="B112" t="s">
        <v>456</v>
      </c>
      <c r="C112" t="s">
        <v>2314</v>
      </c>
      <c r="D112" t="s">
        <v>2315</v>
      </c>
      <c r="E112" t="s">
        <v>215</v>
      </c>
      <c r="F112">
        <v>202205</v>
      </c>
      <c r="G112" t="s">
        <v>218</v>
      </c>
      <c r="H112">
        <v>0</v>
      </c>
      <c r="O112" t="s">
        <v>2313</v>
      </c>
      <c r="P112" t="s">
        <v>456</v>
      </c>
      <c r="Q112" t="s">
        <v>2314</v>
      </c>
      <c r="R112" t="s">
        <v>2315</v>
      </c>
      <c r="S112" t="s">
        <v>2179</v>
      </c>
      <c r="T112">
        <v>202109</v>
      </c>
      <c r="U112" t="s">
        <v>232</v>
      </c>
      <c r="V112">
        <v>64033.75</v>
      </c>
    </row>
    <row r="113" spans="1:22">
      <c r="A113" t="s">
        <v>2313</v>
      </c>
      <c r="B113" t="s">
        <v>456</v>
      </c>
      <c r="C113" t="s">
        <v>2314</v>
      </c>
      <c r="D113" t="s">
        <v>2315</v>
      </c>
      <c r="E113" t="s">
        <v>215</v>
      </c>
      <c r="F113">
        <v>202205</v>
      </c>
      <c r="G113" t="s">
        <v>220</v>
      </c>
      <c r="H113">
        <v>0</v>
      </c>
      <c r="O113" t="s">
        <v>2313</v>
      </c>
      <c r="P113" t="s">
        <v>456</v>
      </c>
      <c r="Q113" t="s">
        <v>2314</v>
      </c>
      <c r="R113" t="s">
        <v>2315</v>
      </c>
      <c r="S113" t="s">
        <v>2179</v>
      </c>
      <c r="T113">
        <v>202109</v>
      </c>
      <c r="U113" t="s">
        <v>222</v>
      </c>
      <c r="V113">
        <v>512775.62</v>
      </c>
    </row>
    <row r="114" spans="1:22">
      <c r="A114" t="s">
        <v>2313</v>
      </c>
      <c r="B114" t="s">
        <v>456</v>
      </c>
      <c r="C114" t="s">
        <v>2314</v>
      </c>
      <c r="D114" t="s">
        <v>2315</v>
      </c>
      <c r="E114" t="s">
        <v>2179</v>
      </c>
      <c r="F114">
        <v>202104</v>
      </c>
      <c r="G114" t="s">
        <v>218</v>
      </c>
      <c r="H114">
        <v>2321.79</v>
      </c>
      <c r="O114" t="s">
        <v>2313</v>
      </c>
      <c r="P114" t="s">
        <v>456</v>
      </c>
      <c r="Q114" t="s">
        <v>2314</v>
      </c>
      <c r="R114" t="s">
        <v>2315</v>
      </c>
      <c r="S114" t="s">
        <v>2179</v>
      </c>
      <c r="T114">
        <v>202109</v>
      </c>
      <c r="U114" t="s">
        <v>224</v>
      </c>
      <c r="V114">
        <v>65631.72</v>
      </c>
    </row>
    <row r="115" spans="1:22">
      <c r="A115" t="s">
        <v>2313</v>
      </c>
      <c r="B115" t="s">
        <v>456</v>
      </c>
      <c r="C115" t="s">
        <v>2314</v>
      </c>
      <c r="D115" t="s">
        <v>2315</v>
      </c>
      <c r="E115" t="s">
        <v>2179</v>
      </c>
      <c r="F115">
        <v>202104</v>
      </c>
      <c r="G115" t="s">
        <v>220</v>
      </c>
      <c r="H115">
        <v>1733.24</v>
      </c>
      <c r="O115" t="s">
        <v>2313</v>
      </c>
      <c r="P115" t="s">
        <v>456</v>
      </c>
      <c r="Q115" t="s">
        <v>2314</v>
      </c>
      <c r="R115" t="s">
        <v>2315</v>
      </c>
      <c r="S115" t="s">
        <v>2179</v>
      </c>
      <c r="T115">
        <v>202109</v>
      </c>
      <c r="U115" t="s">
        <v>226</v>
      </c>
      <c r="V115">
        <v>14082.72</v>
      </c>
    </row>
    <row r="116" spans="1:22">
      <c r="A116" t="s">
        <v>2313</v>
      </c>
      <c r="B116" t="s">
        <v>456</v>
      </c>
      <c r="C116" t="s">
        <v>2314</v>
      </c>
      <c r="D116" t="s">
        <v>2315</v>
      </c>
      <c r="E116" t="s">
        <v>2179</v>
      </c>
      <c r="F116">
        <v>202105</v>
      </c>
      <c r="G116" t="s">
        <v>218</v>
      </c>
      <c r="H116">
        <v>2349.09</v>
      </c>
      <c r="O116" t="s">
        <v>2313</v>
      </c>
      <c r="P116" t="s">
        <v>456</v>
      </c>
      <c r="Q116" t="s">
        <v>2314</v>
      </c>
      <c r="R116" t="s">
        <v>2315</v>
      </c>
      <c r="S116" t="s">
        <v>2179</v>
      </c>
      <c r="T116">
        <v>202110</v>
      </c>
      <c r="U116" t="s">
        <v>231</v>
      </c>
      <c r="V116">
        <v>507257.57</v>
      </c>
    </row>
    <row r="117" spans="1:22">
      <c r="A117" t="s">
        <v>2313</v>
      </c>
      <c r="B117" t="s">
        <v>456</v>
      </c>
      <c r="C117" t="s">
        <v>2314</v>
      </c>
      <c r="D117" t="s">
        <v>2315</v>
      </c>
      <c r="E117" t="s">
        <v>2179</v>
      </c>
      <c r="F117">
        <v>202105</v>
      </c>
      <c r="G117" t="s">
        <v>220</v>
      </c>
      <c r="H117">
        <v>1728.1</v>
      </c>
      <c r="O117" t="s">
        <v>2313</v>
      </c>
      <c r="P117" t="s">
        <v>456</v>
      </c>
      <c r="Q117" t="s">
        <v>2314</v>
      </c>
      <c r="R117" t="s">
        <v>2315</v>
      </c>
      <c r="S117" t="s">
        <v>2179</v>
      </c>
      <c r="T117">
        <v>202110</v>
      </c>
      <c r="U117" t="s">
        <v>232</v>
      </c>
      <c r="V117">
        <v>59871.3</v>
      </c>
    </row>
    <row r="118" spans="1:22">
      <c r="A118" t="s">
        <v>2313</v>
      </c>
      <c r="B118" t="s">
        <v>456</v>
      </c>
      <c r="C118" t="s">
        <v>2314</v>
      </c>
      <c r="D118" t="s">
        <v>2315</v>
      </c>
      <c r="E118" t="s">
        <v>2179</v>
      </c>
      <c r="F118">
        <v>202106</v>
      </c>
      <c r="G118" t="s">
        <v>218</v>
      </c>
      <c r="H118">
        <v>2340.31</v>
      </c>
      <c r="O118" t="s">
        <v>2313</v>
      </c>
      <c r="P118" t="s">
        <v>456</v>
      </c>
      <c r="Q118" t="s">
        <v>2314</v>
      </c>
      <c r="R118" t="s">
        <v>2315</v>
      </c>
      <c r="S118" t="s">
        <v>2179</v>
      </c>
      <c r="T118">
        <v>202110</v>
      </c>
      <c r="U118" t="s">
        <v>222</v>
      </c>
      <c r="V118">
        <v>520371.97</v>
      </c>
    </row>
    <row r="119" spans="1:22">
      <c r="A119" t="s">
        <v>2313</v>
      </c>
      <c r="B119" t="s">
        <v>456</v>
      </c>
      <c r="C119" t="s">
        <v>2314</v>
      </c>
      <c r="D119" t="s">
        <v>2315</v>
      </c>
      <c r="E119" t="s">
        <v>2179</v>
      </c>
      <c r="F119">
        <v>202106</v>
      </c>
      <c r="G119" t="s">
        <v>220</v>
      </c>
      <c r="H119">
        <v>1764.7</v>
      </c>
      <c r="O119" t="s">
        <v>2313</v>
      </c>
      <c r="P119" t="s">
        <v>456</v>
      </c>
      <c r="Q119" t="s">
        <v>2314</v>
      </c>
      <c r="R119" t="s">
        <v>2315</v>
      </c>
      <c r="S119" t="s">
        <v>2179</v>
      </c>
      <c r="T119">
        <v>202110</v>
      </c>
      <c r="U119" t="s">
        <v>224</v>
      </c>
      <c r="V119">
        <v>61419.18</v>
      </c>
    </row>
    <row r="120" spans="1:22">
      <c r="A120" t="s">
        <v>2313</v>
      </c>
      <c r="B120" t="s">
        <v>456</v>
      </c>
      <c r="C120" t="s">
        <v>2314</v>
      </c>
      <c r="D120" t="s">
        <v>2315</v>
      </c>
      <c r="E120" t="s">
        <v>2179</v>
      </c>
      <c r="F120">
        <v>202107</v>
      </c>
      <c r="G120" t="s">
        <v>218</v>
      </c>
      <c r="H120">
        <v>2358.65</v>
      </c>
      <c r="O120" t="s">
        <v>2313</v>
      </c>
      <c r="P120" t="s">
        <v>456</v>
      </c>
      <c r="Q120" t="s">
        <v>2314</v>
      </c>
      <c r="R120" t="s">
        <v>2315</v>
      </c>
      <c r="S120" t="s">
        <v>2179</v>
      </c>
      <c r="T120">
        <v>202110</v>
      </c>
      <c r="U120" t="s">
        <v>226</v>
      </c>
      <c r="V120">
        <v>14662.26</v>
      </c>
    </row>
    <row r="121" spans="1:22">
      <c r="A121" t="s">
        <v>2313</v>
      </c>
      <c r="B121" t="s">
        <v>456</v>
      </c>
      <c r="C121" t="s">
        <v>2314</v>
      </c>
      <c r="D121" t="s">
        <v>2315</v>
      </c>
      <c r="E121" t="s">
        <v>2179</v>
      </c>
      <c r="F121">
        <v>202107</v>
      </c>
      <c r="G121" t="s">
        <v>220</v>
      </c>
      <c r="H121">
        <v>1756.1</v>
      </c>
      <c r="O121" t="s">
        <v>2313</v>
      </c>
      <c r="P121" t="s">
        <v>456</v>
      </c>
      <c r="Q121" t="s">
        <v>2314</v>
      </c>
      <c r="R121" t="s">
        <v>2315</v>
      </c>
      <c r="S121" t="s">
        <v>2179</v>
      </c>
      <c r="T121">
        <v>202111</v>
      </c>
      <c r="U121" t="s">
        <v>231</v>
      </c>
      <c r="V121">
        <v>514170.52</v>
      </c>
    </row>
    <row r="122" spans="1:22">
      <c r="A122" t="s">
        <v>2313</v>
      </c>
      <c r="B122" t="s">
        <v>456</v>
      </c>
      <c r="C122" t="s">
        <v>2314</v>
      </c>
      <c r="D122" t="s">
        <v>2315</v>
      </c>
      <c r="E122" t="s">
        <v>2179</v>
      </c>
      <c r="F122">
        <v>202108</v>
      </c>
      <c r="G122" t="s">
        <v>218</v>
      </c>
      <c r="H122">
        <v>2168.92</v>
      </c>
      <c r="O122" t="s">
        <v>2313</v>
      </c>
      <c r="P122" t="s">
        <v>456</v>
      </c>
      <c r="Q122" t="s">
        <v>2314</v>
      </c>
      <c r="R122" t="s">
        <v>2315</v>
      </c>
      <c r="S122" t="s">
        <v>2179</v>
      </c>
      <c r="T122">
        <v>202111</v>
      </c>
      <c r="U122" t="s">
        <v>232</v>
      </c>
      <c r="V122">
        <v>59004.99</v>
      </c>
    </row>
    <row r="123" spans="1:22">
      <c r="A123" t="s">
        <v>2313</v>
      </c>
      <c r="B123" t="s">
        <v>456</v>
      </c>
      <c r="C123" t="s">
        <v>2314</v>
      </c>
      <c r="D123" t="s">
        <v>2315</v>
      </c>
      <c r="E123" t="s">
        <v>2179</v>
      </c>
      <c r="F123">
        <v>202108</v>
      </c>
      <c r="G123" t="s">
        <v>220</v>
      </c>
      <c r="H123">
        <v>1580</v>
      </c>
      <c r="O123" t="s">
        <v>2313</v>
      </c>
      <c r="P123" t="s">
        <v>456</v>
      </c>
      <c r="Q123" t="s">
        <v>2314</v>
      </c>
      <c r="R123" t="s">
        <v>2315</v>
      </c>
      <c r="S123" t="s">
        <v>2179</v>
      </c>
      <c r="T123">
        <v>202111</v>
      </c>
      <c r="U123" t="s">
        <v>222</v>
      </c>
      <c r="V123">
        <v>525903.64</v>
      </c>
    </row>
    <row r="124" spans="1:22">
      <c r="A124" t="s">
        <v>2313</v>
      </c>
      <c r="B124" t="s">
        <v>456</v>
      </c>
      <c r="C124" t="s">
        <v>2314</v>
      </c>
      <c r="D124" t="s">
        <v>2315</v>
      </c>
      <c r="E124" t="s">
        <v>2179</v>
      </c>
      <c r="F124">
        <v>202109</v>
      </c>
      <c r="G124" t="s">
        <v>218</v>
      </c>
      <c r="H124">
        <v>2411.7199999999998</v>
      </c>
      <c r="O124" t="s">
        <v>2313</v>
      </c>
      <c r="P124" t="s">
        <v>456</v>
      </c>
      <c r="Q124" t="s">
        <v>2314</v>
      </c>
      <c r="R124" t="s">
        <v>2315</v>
      </c>
      <c r="S124" t="s">
        <v>2179</v>
      </c>
      <c r="T124">
        <v>202111</v>
      </c>
      <c r="U124" t="s">
        <v>224</v>
      </c>
      <c r="V124">
        <v>60351.47</v>
      </c>
    </row>
    <row r="125" spans="1:22">
      <c r="A125" t="s">
        <v>2313</v>
      </c>
      <c r="B125" t="s">
        <v>456</v>
      </c>
      <c r="C125" t="s">
        <v>2314</v>
      </c>
      <c r="D125" t="s">
        <v>2315</v>
      </c>
      <c r="E125" t="s">
        <v>2179</v>
      </c>
      <c r="F125">
        <v>202109</v>
      </c>
      <c r="G125" t="s">
        <v>220</v>
      </c>
      <c r="H125">
        <v>1832.56</v>
      </c>
      <c r="O125" t="s">
        <v>2313</v>
      </c>
      <c r="P125" t="s">
        <v>456</v>
      </c>
      <c r="Q125" t="s">
        <v>2314</v>
      </c>
      <c r="R125" t="s">
        <v>2315</v>
      </c>
      <c r="S125" t="s">
        <v>2179</v>
      </c>
      <c r="T125">
        <v>202111</v>
      </c>
      <c r="U125" t="s">
        <v>226</v>
      </c>
      <c r="V125">
        <v>13079.61</v>
      </c>
    </row>
    <row r="126" spans="1:22">
      <c r="A126" t="s">
        <v>2313</v>
      </c>
      <c r="B126" t="s">
        <v>456</v>
      </c>
      <c r="C126" t="s">
        <v>2314</v>
      </c>
      <c r="D126" t="s">
        <v>2315</v>
      </c>
      <c r="E126" t="s">
        <v>2179</v>
      </c>
      <c r="F126">
        <v>202110</v>
      </c>
      <c r="G126" t="s">
        <v>218</v>
      </c>
      <c r="H126">
        <v>2125</v>
      </c>
      <c r="O126" t="s">
        <v>2313</v>
      </c>
      <c r="P126" t="s">
        <v>456</v>
      </c>
      <c r="Q126" t="s">
        <v>2314</v>
      </c>
      <c r="R126" t="s">
        <v>2315</v>
      </c>
      <c r="S126" t="s">
        <v>2179</v>
      </c>
      <c r="T126">
        <v>202112</v>
      </c>
      <c r="U126" t="s">
        <v>231</v>
      </c>
      <c r="V126">
        <v>542198.93999999994</v>
      </c>
    </row>
    <row r="127" spans="1:22">
      <c r="A127" t="s">
        <v>2313</v>
      </c>
      <c r="B127" t="s">
        <v>456</v>
      </c>
      <c r="C127" t="s">
        <v>2314</v>
      </c>
      <c r="D127" t="s">
        <v>2315</v>
      </c>
      <c r="E127" t="s">
        <v>2179</v>
      </c>
      <c r="F127">
        <v>202110</v>
      </c>
      <c r="G127" t="s">
        <v>220</v>
      </c>
      <c r="H127">
        <v>1580</v>
      </c>
      <c r="O127" t="s">
        <v>2313</v>
      </c>
      <c r="P127" t="s">
        <v>456</v>
      </c>
      <c r="Q127" t="s">
        <v>2314</v>
      </c>
      <c r="R127" t="s">
        <v>2315</v>
      </c>
      <c r="S127" t="s">
        <v>2179</v>
      </c>
      <c r="T127">
        <v>202112</v>
      </c>
      <c r="U127" t="s">
        <v>232</v>
      </c>
      <c r="V127">
        <v>68358.460000000006</v>
      </c>
    </row>
    <row r="128" spans="1:22">
      <c r="A128" t="s">
        <v>2313</v>
      </c>
      <c r="B128" t="s">
        <v>456</v>
      </c>
      <c r="C128" t="s">
        <v>2314</v>
      </c>
      <c r="D128" t="s">
        <v>2315</v>
      </c>
      <c r="E128" t="s">
        <v>2179</v>
      </c>
      <c r="F128">
        <v>202111</v>
      </c>
      <c r="G128" t="s">
        <v>218</v>
      </c>
      <c r="H128">
        <v>2140.08</v>
      </c>
      <c r="O128" t="s">
        <v>2313</v>
      </c>
      <c r="P128" t="s">
        <v>456</v>
      </c>
      <c r="Q128" t="s">
        <v>2314</v>
      </c>
      <c r="R128" t="s">
        <v>2315</v>
      </c>
      <c r="S128" t="s">
        <v>2179</v>
      </c>
      <c r="T128">
        <v>202112</v>
      </c>
      <c r="U128" t="s">
        <v>222</v>
      </c>
      <c r="V128">
        <v>552263.67000000004</v>
      </c>
    </row>
    <row r="129" spans="1:22">
      <c r="A129" t="s">
        <v>2313</v>
      </c>
      <c r="B129" t="s">
        <v>456</v>
      </c>
      <c r="C129" t="s">
        <v>2314</v>
      </c>
      <c r="D129" t="s">
        <v>2315</v>
      </c>
      <c r="E129" t="s">
        <v>2179</v>
      </c>
      <c r="F129">
        <v>202111</v>
      </c>
      <c r="G129" t="s">
        <v>220</v>
      </c>
      <c r="H129">
        <v>1580</v>
      </c>
      <c r="O129" t="s">
        <v>2313</v>
      </c>
      <c r="P129" t="s">
        <v>456</v>
      </c>
      <c r="Q129" t="s">
        <v>2314</v>
      </c>
      <c r="R129" t="s">
        <v>2315</v>
      </c>
      <c r="S129" t="s">
        <v>2179</v>
      </c>
      <c r="T129">
        <v>202112</v>
      </c>
      <c r="U129" t="s">
        <v>224</v>
      </c>
      <c r="V129">
        <v>69627.39</v>
      </c>
    </row>
    <row r="130" spans="1:22">
      <c r="A130" t="s">
        <v>2313</v>
      </c>
      <c r="B130" t="s">
        <v>456</v>
      </c>
      <c r="C130" t="s">
        <v>2314</v>
      </c>
      <c r="D130" t="s">
        <v>2315</v>
      </c>
      <c r="E130" t="s">
        <v>2179</v>
      </c>
      <c r="F130">
        <v>202112</v>
      </c>
      <c r="G130" t="s">
        <v>218</v>
      </c>
      <c r="H130">
        <v>2135.88</v>
      </c>
      <c r="O130" t="s">
        <v>2313</v>
      </c>
      <c r="P130" t="s">
        <v>456</v>
      </c>
      <c r="Q130" t="s">
        <v>2314</v>
      </c>
      <c r="R130" t="s">
        <v>2315</v>
      </c>
      <c r="S130" t="s">
        <v>2179</v>
      </c>
      <c r="T130">
        <v>202112</v>
      </c>
      <c r="U130" t="s">
        <v>226</v>
      </c>
      <c r="V130">
        <v>11333.65</v>
      </c>
    </row>
    <row r="131" spans="1:22">
      <c r="A131" t="s">
        <v>2313</v>
      </c>
      <c r="B131" t="s">
        <v>456</v>
      </c>
      <c r="C131" t="s">
        <v>2314</v>
      </c>
      <c r="D131" t="s">
        <v>2315</v>
      </c>
      <c r="E131" t="s">
        <v>2179</v>
      </c>
      <c r="F131">
        <v>202112</v>
      </c>
      <c r="G131" t="s">
        <v>220</v>
      </c>
      <c r="H131">
        <v>1846.6</v>
      </c>
      <c r="O131" t="s">
        <v>2313</v>
      </c>
      <c r="P131" t="s">
        <v>456</v>
      </c>
      <c r="Q131" t="s">
        <v>2314</v>
      </c>
      <c r="R131" t="s">
        <v>2315</v>
      </c>
      <c r="S131" t="s">
        <v>2179</v>
      </c>
      <c r="T131">
        <v>202201</v>
      </c>
      <c r="U131" t="s">
        <v>231</v>
      </c>
      <c r="V131">
        <v>629136.82999999996</v>
      </c>
    </row>
    <row r="132" spans="1:22">
      <c r="A132" t="s">
        <v>2313</v>
      </c>
      <c r="B132" t="s">
        <v>456</v>
      </c>
      <c r="C132" t="s">
        <v>2314</v>
      </c>
      <c r="D132" t="s">
        <v>2315</v>
      </c>
      <c r="E132" t="s">
        <v>2179</v>
      </c>
      <c r="F132">
        <v>202201</v>
      </c>
      <c r="G132" t="s">
        <v>218</v>
      </c>
      <c r="H132">
        <v>2251.8000000000002</v>
      </c>
      <c r="O132" t="s">
        <v>2313</v>
      </c>
      <c r="P132" t="s">
        <v>456</v>
      </c>
      <c r="Q132" t="s">
        <v>2314</v>
      </c>
      <c r="R132" t="s">
        <v>2315</v>
      </c>
      <c r="S132" t="s">
        <v>2179</v>
      </c>
      <c r="T132">
        <v>202201</v>
      </c>
      <c r="U132" t="s">
        <v>232</v>
      </c>
      <c r="V132">
        <v>65811.48</v>
      </c>
    </row>
    <row r="133" spans="1:22">
      <c r="A133" t="s">
        <v>2313</v>
      </c>
      <c r="B133" t="s">
        <v>456</v>
      </c>
      <c r="C133" t="s">
        <v>2314</v>
      </c>
      <c r="D133" t="s">
        <v>2315</v>
      </c>
      <c r="E133" t="s">
        <v>2179</v>
      </c>
      <c r="F133">
        <v>202201</v>
      </c>
      <c r="G133" t="s">
        <v>220</v>
      </c>
      <c r="H133">
        <v>1883.84</v>
      </c>
      <c r="O133" t="s">
        <v>2313</v>
      </c>
      <c r="P133" t="s">
        <v>456</v>
      </c>
      <c r="Q133" t="s">
        <v>2314</v>
      </c>
      <c r="R133" t="s">
        <v>2315</v>
      </c>
      <c r="S133" t="s">
        <v>2179</v>
      </c>
      <c r="T133">
        <v>202201</v>
      </c>
      <c r="U133" t="s">
        <v>222</v>
      </c>
      <c r="V133">
        <v>629136.82999999996</v>
      </c>
    </row>
    <row r="134" spans="1:22">
      <c r="A134" t="s">
        <v>2313</v>
      </c>
      <c r="B134" t="s">
        <v>456</v>
      </c>
      <c r="C134" t="s">
        <v>2314</v>
      </c>
      <c r="D134" t="s">
        <v>2315</v>
      </c>
      <c r="E134" t="s">
        <v>2179</v>
      </c>
      <c r="F134">
        <v>202202</v>
      </c>
      <c r="G134" t="s">
        <v>218</v>
      </c>
      <c r="H134">
        <v>2504.08</v>
      </c>
      <c r="O134" t="s">
        <v>2313</v>
      </c>
      <c r="P134" t="s">
        <v>456</v>
      </c>
      <c r="Q134" t="s">
        <v>2314</v>
      </c>
      <c r="R134" t="s">
        <v>2315</v>
      </c>
      <c r="S134" t="s">
        <v>2179</v>
      </c>
      <c r="T134">
        <v>202201</v>
      </c>
      <c r="U134" t="s">
        <v>224</v>
      </c>
      <c r="V134">
        <v>65811.48</v>
      </c>
    </row>
    <row r="135" spans="1:22">
      <c r="A135" t="s">
        <v>2313</v>
      </c>
      <c r="B135" t="s">
        <v>456</v>
      </c>
      <c r="C135" t="s">
        <v>2314</v>
      </c>
      <c r="D135" t="s">
        <v>2315</v>
      </c>
      <c r="E135" t="s">
        <v>2179</v>
      </c>
      <c r="F135">
        <v>202202</v>
      </c>
      <c r="G135" t="s">
        <v>220</v>
      </c>
      <c r="H135">
        <v>1580</v>
      </c>
      <c r="O135" t="s">
        <v>2313</v>
      </c>
      <c r="P135" t="s">
        <v>456</v>
      </c>
      <c r="Q135" t="s">
        <v>2314</v>
      </c>
      <c r="R135" t="s">
        <v>2315</v>
      </c>
      <c r="S135" t="s">
        <v>2179</v>
      </c>
      <c r="T135">
        <v>202201</v>
      </c>
      <c r="U135" t="s">
        <v>226</v>
      </c>
      <c r="V135">
        <v>0</v>
      </c>
    </row>
    <row r="136" spans="1:22">
      <c r="A136" t="s">
        <v>2313</v>
      </c>
      <c r="B136" t="s">
        <v>456</v>
      </c>
      <c r="C136" t="s">
        <v>2314</v>
      </c>
      <c r="D136" t="s">
        <v>2315</v>
      </c>
      <c r="E136" t="s">
        <v>2179</v>
      </c>
      <c r="F136">
        <v>202203</v>
      </c>
      <c r="G136" t="s">
        <v>218</v>
      </c>
      <c r="H136">
        <v>2165</v>
      </c>
      <c r="O136" t="s">
        <v>2313</v>
      </c>
      <c r="P136" t="s">
        <v>456</v>
      </c>
      <c r="Q136" t="s">
        <v>2314</v>
      </c>
      <c r="R136" t="s">
        <v>2315</v>
      </c>
      <c r="S136" t="s">
        <v>2179</v>
      </c>
      <c r="T136">
        <v>202202</v>
      </c>
      <c r="U136" t="s">
        <v>231</v>
      </c>
      <c r="V136">
        <v>553063.56000000006</v>
      </c>
    </row>
    <row r="137" spans="1:22">
      <c r="A137" t="s">
        <v>2313</v>
      </c>
      <c r="B137" t="s">
        <v>456</v>
      </c>
      <c r="C137" t="s">
        <v>2314</v>
      </c>
      <c r="D137" t="s">
        <v>2315</v>
      </c>
      <c r="E137" t="s">
        <v>2179</v>
      </c>
      <c r="F137">
        <v>202203</v>
      </c>
      <c r="G137" t="s">
        <v>220</v>
      </c>
      <c r="H137">
        <v>1580</v>
      </c>
      <c r="O137" t="s">
        <v>2313</v>
      </c>
      <c r="P137" t="s">
        <v>456</v>
      </c>
      <c r="Q137" t="s">
        <v>2314</v>
      </c>
      <c r="R137" t="s">
        <v>2315</v>
      </c>
      <c r="S137" t="s">
        <v>2179</v>
      </c>
      <c r="T137">
        <v>202202</v>
      </c>
      <c r="U137" t="s">
        <v>232</v>
      </c>
      <c r="V137">
        <v>63340.62</v>
      </c>
    </row>
    <row r="138" spans="1:22">
      <c r="A138" t="s">
        <v>2313</v>
      </c>
      <c r="B138" t="s">
        <v>456</v>
      </c>
      <c r="C138" t="s">
        <v>2314</v>
      </c>
      <c r="D138" t="s">
        <v>2315</v>
      </c>
      <c r="E138" t="s">
        <v>2179</v>
      </c>
      <c r="F138">
        <v>202204</v>
      </c>
      <c r="G138" t="s">
        <v>218</v>
      </c>
      <c r="H138">
        <v>2165</v>
      </c>
      <c r="O138" t="s">
        <v>2313</v>
      </c>
      <c r="P138" t="s">
        <v>456</v>
      </c>
      <c r="Q138" t="s">
        <v>2314</v>
      </c>
      <c r="R138" t="s">
        <v>2315</v>
      </c>
      <c r="S138" t="s">
        <v>2179</v>
      </c>
      <c r="T138">
        <v>202202</v>
      </c>
      <c r="U138" t="s">
        <v>222</v>
      </c>
      <c r="V138">
        <v>553063.56000000006</v>
      </c>
    </row>
    <row r="139" spans="1:22">
      <c r="A139" t="s">
        <v>2313</v>
      </c>
      <c r="B139" t="s">
        <v>456</v>
      </c>
      <c r="C139" t="s">
        <v>2314</v>
      </c>
      <c r="D139" t="s">
        <v>2315</v>
      </c>
      <c r="E139" t="s">
        <v>2179</v>
      </c>
      <c r="F139">
        <v>202204</v>
      </c>
      <c r="G139" t="s">
        <v>220</v>
      </c>
      <c r="H139">
        <v>1580</v>
      </c>
      <c r="O139" t="s">
        <v>2313</v>
      </c>
      <c r="P139" t="s">
        <v>456</v>
      </c>
      <c r="Q139" t="s">
        <v>2314</v>
      </c>
      <c r="R139" t="s">
        <v>2315</v>
      </c>
      <c r="S139" t="s">
        <v>2179</v>
      </c>
      <c r="T139">
        <v>202202</v>
      </c>
      <c r="U139" t="s">
        <v>224</v>
      </c>
      <c r="V139">
        <v>63340.62</v>
      </c>
    </row>
    <row r="140" spans="1:22">
      <c r="A140" t="s">
        <v>2313</v>
      </c>
      <c r="B140" t="s">
        <v>456</v>
      </c>
      <c r="C140" t="s">
        <v>2314</v>
      </c>
      <c r="D140" t="s">
        <v>2315</v>
      </c>
      <c r="E140" t="s">
        <v>2179</v>
      </c>
      <c r="F140">
        <v>202205</v>
      </c>
      <c r="G140" t="s">
        <v>218</v>
      </c>
      <c r="H140">
        <v>2165</v>
      </c>
      <c r="O140" t="s">
        <v>2313</v>
      </c>
      <c r="P140" t="s">
        <v>456</v>
      </c>
      <c r="Q140" t="s">
        <v>2314</v>
      </c>
      <c r="R140" t="s">
        <v>2315</v>
      </c>
      <c r="S140" t="s">
        <v>2179</v>
      </c>
      <c r="T140">
        <v>202202</v>
      </c>
      <c r="U140" t="s">
        <v>226</v>
      </c>
      <c r="V140">
        <v>0</v>
      </c>
    </row>
    <row r="141" spans="1:22">
      <c r="A141" t="s">
        <v>2313</v>
      </c>
      <c r="B141" t="s">
        <v>456</v>
      </c>
      <c r="C141" t="s">
        <v>2314</v>
      </c>
      <c r="D141" t="s">
        <v>2315</v>
      </c>
      <c r="E141" t="s">
        <v>2179</v>
      </c>
      <c r="F141">
        <v>202205</v>
      </c>
      <c r="G141" t="s">
        <v>220</v>
      </c>
      <c r="H141">
        <v>1580</v>
      </c>
      <c r="O141" t="s">
        <v>2313</v>
      </c>
      <c r="P141" t="s">
        <v>456</v>
      </c>
      <c r="Q141" t="s">
        <v>2314</v>
      </c>
      <c r="R141" t="s">
        <v>2315</v>
      </c>
      <c r="S141" t="s">
        <v>2179</v>
      </c>
      <c r="T141">
        <v>202203</v>
      </c>
      <c r="U141" t="s">
        <v>231</v>
      </c>
      <c r="V141">
        <v>559625.72</v>
      </c>
    </row>
    <row r="142" spans="1:22">
      <c r="A142" t="s">
        <v>2313</v>
      </c>
      <c r="B142" t="s">
        <v>456</v>
      </c>
      <c r="C142" t="s">
        <v>2314</v>
      </c>
      <c r="D142" t="s">
        <v>2315</v>
      </c>
      <c r="E142" t="s">
        <v>215</v>
      </c>
      <c r="F142">
        <v>202104</v>
      </c>
      <c r="G142" t="s">
        <v>231</v>
      </c>
      <c r="H142">
        <v>30939219.559999999</v>
      </c>
      <c r="O142" t="s">
        <v>2313</v>
      </c>
      <c r="P142" t="s">
        <v>456</v>
      </c>
      <c r="Q142" t="s">
        <v>2314</v>
      </c>
      <c r="R142" t="s">
        <v>2315</v>
      </c>
      <c r="S142" t="s">
        <v>2179</v>
      </c>
      <c r="T142">
        <v>202203</v>
      </c>
      <c r="U142" t="s">
        <v>232</v>
      </c>
      <c r="V142">
        <v>68216.399999999994</v>
      </c>
    </row>
    <row r="143" spans="1:22">
      <c r="A143" t="s">
        <v>2313</v>
      </c>
      <c r="B143" t="s">
        <v>456</v>
      </c>
      <c r="C143" t="s">
        <v>2314</v>
      </c>
      <c r="D143" t="s">
        <v>2315</v>
      </c>
      <c r="E143" t="s">
        <v>215</v>
      </c>
      <c r="F143">
        <v>202104</v>
      </c>
      <c r="G143" t="s">
        <v>232</v>
      </c>
      <c r="H143">
        <v>3897437.43</v>
      </c>
      <c r="O143" t="s">
        <v>2313</v>
      </c>
      <c r="P143" t="s">
        <v>456</v>
      </c>
      <c r="Q143" t="s">
        <v>2314</v>
      </c>
      <c r="R143" t="s">
        <v>2315</v>
      </c>
      <c r="S143" t="s">
        <v>2179</v>
      </c>
      <c r="T143">
        <v>202203</v>
      </c>
      <c r="U143" t="s">
        <v>222</v>
      </c>
      <c r="V143">
        <v>559625.64</v>
      </c>
    </row>
    <row r="144" spans="1:22">
      <c r="A144" t="s">
        <v>2313</v>
      </c>
      <c r="B144" t="s">
        <v>456</v>
      </c>
      <c r="C144" t="s">
        <v>2314</v>
      </c>
      <c r="D144" t="s">
        <v>2315</v>
      </c>
      <c r="E144" t="s">
        <v>215</v>
      </c>
      <c r="F144">
        <v>202104</v>
      </c>
      <c r="G144" t="s">
        <v>222</v>
      </c>
      <c r="H144">
        <v>31473729</v>
      </c>
      <c r="O144" t="s">
        <v>2313</v>
      </c>
      <c r="P144" t="s">
        <v>456</v>
      </c>
      <c r="Q144" t="s">
        <v>2314</v>
      </c>
      <c r="R144" t="s">
        <v>2315</v>
      </c>
      <c r="S144" t="s">
        <v>2179</v>
      </c>
      <c r="T144">
        <v>202203</v>
      </c>
      <c r="U144" t="s">
        <v>224</v>
      </c>
      <c r="V144">
        <v>68216.399999999994</v>
      </c>
    </row>
    <row r="145" spans="1:22">
      <c r="A145" t="s">
        <v>2313</v>
      </c>
      <c r="B145" t="s">
        <v>456</v>
      </c>
      <c r="C145" t="s">
        <v>2314</v>
      </c>
      <c r="D145" t="s">
        <v>2315</v>
      </c>
      <c r="E145" t="s">
        <v>215</v>
      </c>
      <c r="F145">
        <v>202104</v>
      </c>
      <c r="G145" t="s">
        <v>224</v>
      </c>
      <c r="H145">
        <v>3964770</v>
      </c>
      <c r="O145" t="s">
        <v>2313</v>
      </c>
      <c r="P145" t="s">
        <v>456</v>
      </c>
      <c r="Q145" t="s">
        <v>2314</v>
      </c>
      <c r="R145" t="s">
        <v>2315</v>
      </c>
      <c r="S145" t="s">
        <v>2179</v>
      </c>
      <c r="T145">
        <v>202203</v>
      </c>
      <c r="U145" t="s">
        <v>226</v>
      </c>
      <c r="V145">
        <v>0</v>
      </c>
    </row>
    <row r="146" spans="1:22">
      <c r="A146" t="s">
        <v>2313</v>
      </c>
      <c r="B146" t="s">
        <v>456</v>
      </c>
      <c r="C146" t="s">
        <v>2314</v>
      </c>
      <c r="D146" t="s">
        <v>2315</v>
      </c>
      <c r="E146" t="s">
        <v>215</v>
      </c>
      <c r="F146">
        <v>202104</v>
      </c>
      <c r="G146" t="s">
        <v>226</v>
      </c>
      <c r="H146">
        <v>601842</v>
      </c>
      <c r="O146" t="s">
        <v>2313</v>
      </c>
      <c r="P146" t="s">
        <v>456</v>
      </c>
      <c r="Q146" t="s">
        <v>2314</v>
      </c>
      <c r="R146" t="s">
        <v>2315</v>
      </c>
      <c r="S146" t="s">
        <v>2179</v>
      </c>
      <c r="T146">
        <v>202204</v>
      </c>
      <c r="U146" t="s">
        <v>231</v>
      </c>
      <c r="V146">
        <v>551251.75</v>
      </c>
    </row>
    <row r="147" spans="1:22">
      <c r="A147" t="s">
        <v>2313</v>
      </c>
      <c r="B147" t="s">
        <v>456</v>
      </c>
      <c r="C147" t="s">
        <v>2314</v>
      </c>
      <c r="D147" t="s">
        <v>2315</v>
      </c>
      <c r="E147" t="s">
        <v>215</v>
      </c>
      <c r="F147">
        <v>202105</v>
      </c>
      <c r="G147" t="s">
        <v>231</v>
      </c>
      <c r="H147">
        <v>29430235</v>
      </c>
      <c r="O147" t="s">
        <v>2313</v>
      </c>
      <c r="P147" t="s">
        <v>456</v>
      </c>
      <c r="Q147" t="s">
        <v>2314</v>
      </c>
      <c r="R147" t="s">
        <v>2315</v>
      </c>
      <c r="S147" t="s">
        <v>2179</v>
      </c>
      <c r="T147">
        <v>202204</v>
      </c>
      <c r="U147" t="s">
        <v>232</v>
      </c>
      <c r="V147">
        <v>67084.36</v>
      </c>
    </row>
    <row r="148" spans="1:22">
      <c r="A148" t="s">
        <v>2313</v>
      </c>
      <c r="B148" t="s">
        <v>456</v>
      </c>
      <c r="C148" t="s">
        <v>2314</v>
      </c>
      <c r="D148" t="s">
        <v>2315</v>
      </c>
      <c r="E148" t="s">
        <v>215</v>
      </c>
      <c r="F148">
        <v>202105</v>
      </c>
      <c r="G148" t="s">
        <v>232</v>
      </c>
      <c r="H148">
        <v>3984147</v>
      </c>
      <c r="O148" t="s">
        <v>2313</v>
      </c>
      <c r="P148" t="s">
        <v>456</v>
      </c>
      <c r="Q148" t="s">
        <v>2314</v>
      </c>
      <c r="R148" t="s">
        <v>2315</v>
      </c>
      <c r="S148" t="s">
        <v>2179</v>
      </c>
      <c r="T148">
        <v>202204</v>
      </c>
      <c r="U148" t="s">
        <v>222</v>
      </c>
      <c r="V148">
        <v>551251.75</v>
      </c>
    </row>
    <row r="149" spans="1:22">
      <c r="A149" t="s">
        <v>2313</v>
      </c>
      <c r="B149" t="s">
        <v>456</v>
      </c>
      <c r="C149" t="s">
        <v>2314</v>
      </c>
      <c r="D149" t="s">
        <v>2315</v>
      </c>
      <c r="E149" t="s">
        <v>215</v>
      </c>
      <c r="F149">
        <v>202105</v>
      </c>
      <c r="G149" t="s">
        <v>222</v>
      </c>
      <c r="H149">
        <v>30025674</v>
      </c>
      <c r="O149" t="s">
        <v>2313</v>
      </c>
      <c r="P149" t="s">
        <v>456</v>
      </c>
      <c r="Q149" t="s">
        <v>2314</v>
      </c>
      <c r="R149" t="s">
        <v>2315</v>
      </c>
      <c r="S149" t="s">
        <v>2179</v>
      </c>
      <c r="T149">
        <v>202204</v>
      </c>
      <c r="U149" t="s">
        <v>224</v>
      </c>
      <c r="V149">
        <v>67084.36</v>
      </c>
    </row>
    <row r="150" spans="1:22">
      <c r="A150" t="s">
        <v>2313</v>
      </c>
      <c r="B150" t="s">
        <v>456</v>
      </c>
      <c r="C150" t="s">
        <v>2314</v>
      </c>
      <c r="D150" t="s">
        <v>2315</v>
      </c>
      <c r="E150" t="s">
        <v>215</v>
      </c>
      <c r="F150">
        <v>202105</v>
      </c>
      <c r="G150" t="s">
        <v>224</v>
      </c>
      <c r="H150">
        <v>4064755</v>
      </c>
      <c r="O150" t="s">
        <v>2313</v>
      </c>
      <c r="P150" t="s">
        <v>456</v>
      </c>
      <c r="Q150" t="s">
        <v>2314</v>
      </c>
      <c r="R150" t="s">
        <v>2315</v>
      </c>
      <c r="S150" t="s">
        <v>2179</v>
      </c>
      <c r="T150">
        <v>202204</v>
      </c>
      <c r="U150" t="s">
        <v>226</v>
      </c>
      <c r="V150">
        <v>0</v>
      </c>
    </row>
    <row r="151" spans="1:22">
      <c r="A151" t="s">
        <v>2313</v>
      </c>
      <c r="B151" t="s">
        <v>456</v>
      </c>
      <c r="C151" t="s">
        <v>2314</v>
      </c>
      <c r="D151" t="s">
        <v>2315</v>
      </c>
      <c r="E151" t="s">
        <v>215</v>
      </c>
      <c r="F151">
        <v>202105</v>
      </c>
      <c r="G151" t="s">
        <v>226</v>
      </c>
      <c r="H151">
        <v>676047</v>
      </c>
      <c r="O151" t="s">
        <v>2313</v>
      </c>
      <c r="P151" t="s">
        <v>456</v>
      </c>
      <c r="Q151" t="s">
        <v>2314</v>
      </c>
      <c r="R151" t="s">
        <v>2315</v>
      </c>
      <c r="S151" t="s">
        <v>2179</v>
      </c>
      <c r="T151">
        <v>202205</v>
      </c>
      <c r="U151" t="s">
        <v>231</v>
      </c>
      <c r="V151">
        <v>617211.28</v>
      </c>
    </row>
    <row r="152" spans="1:22">
      <c r="A152" t="s">
        <v>2313</v>
      </c>
      <c r="B152" t="s">
        <v>456</v>
      </c>
      <c r="C152" t="s">
        <v>2314</v>
      </c>
      <c r="D152" t="s">
        <v>2315</v>
      </c>
      <c r="E152" t="s">
        <v>215</v>
      </c>
      <c r="F152">
        <v>202106</v>
      </c>
      <c r="G152" t="s">
        <v>231</v>
      </c>
      <c r="H152">
        <v>28427848.989999998</v>
      </c>
      <c r="O152" t="s">
        <v>2313</v>
      </c>
      <c r="P152" t="s">
        <v>456</v>
      </c>
      <c r="Q152" t="s">
        <v>2314</v>
      </c>
      <c r="R152" t="s">
        <v>2315</v>
      </c>
      <c r="S152" t="s">
        <v>2179</v>
      </c>
      <c r="T152">
        <v>202205</v>
      </c>
      <c r="U152" t="s">
        <v>232</v>
      </c>
      <c r="V152">
        <v>88252.84</v>
      </c>
    </row>
    <row r="153" spans="1:22">
      <c r="A153" t="s">
        <v>2313</v>
      </c>
      <c r="B153" t="s">
        <v>456</v>
      </c>
      <c r="C153" t="s">
        <v>2314</v>
      </c>
      <c r="D153" t="s">
        <v>2315</v>
      </c>
      <c r="E153" t="s">
        <v>215</v>
      </c>
      <c r="F153">
        <v>202106</v>
      </c>
      <c r="G153" t="s">
        <v>232</v>
      </c>
      <c r="H153">
        <v>4004492</v>
      </c>
      <c r="O153" t="s">
        <v>2313</v>
      </c>
      <c r="P153" t="s">
        <v>456</v>
      </c>
      <c r="Q153" t="s">
        <v>2314</v>
      </c>
      <c r="R153" t="s">
        <v>2315</v>
      </c>
      <c r="S153" t="s">
        <v>2179</v>
      </c>
      <c r="T153">
        <v>202205</v>
      </c>
      <c r="U153" t="s">
        <v>222</v>
      </c>
      <c r="V153">
        <v>617211.28</v>
      </c>
    </row>
    <row r="154" spans="1:22">
      <c r="A154" t="s">
        <v>2313</v>
      </c>
      <c r="B154" t="s">
        <v>456</v>
      </c>
      <c r="C154" t="s">
        <v>2314</v>
      </c>
      <c r="D154" t="s">
        <v>2315</v>
      </c>
      <c r="E154" t="s">
        <v>215</v>
      </c>
      <c r="F154">
        <v>202106</v>
      </c>
      <c r="G154" t="s">
        <v>222</v>
      </c>
      <c r="H154">
        <v>29005082</v>
      </c>
      <c r="O154" t="s">
        <v>2313</v>
      </c>
      <c r="P154" t="s">
        <v>456</v>
      </c>
      <c r="Q154" t="s">
        <v>2314</v>
      </c>
      <c r="R154" t="s">
        <v>2315</v>
      </c>
      <c r="S154" t="s">
        <v>2179</v>
      </c>
      <c r="T154">
        <v>202205</v>
      </c>
      <c r="U154" t="s">
        <v>224</v>
      </c>
      <c r="V154">
        <v>88252.84</v>
      </c>
    </row>
    <row r="155" spans="1:22">
      <c r="A155" t="s">
        <v>2313</v>
      </c>
      <c r="B155" t="s">
        <v>456</v>
      </c>
      <c r="C155" t="s">
        <v>2314</v>
      </c>
      <c r="D155" t="s">
        <v>2315</v>
      </c>
      <c r="E155" t="s">
        <v>215</v>
      </c>
      <c r="F155">
        <v>202106</v>
      </c>
      <c r="G155" t="s">
        <v>224</v>
      </c>
      <c r="H155">
        <v>4085804</v>
      </c>
      <c r="O155" t="s">
        <v>2313</v>
      </c>
      <c r="P155" t="s">
        <v>456</v>
      </c>
      <c r="Q155" t="s">
        <v>2314</v>
      </c>
      <c r="R155" t="s">
        <v>2315</v>
      </c>
      <c r="S155" t="s">
        <v>2179</v>
      </c>
      <c r="T155">
        <v>202205</v>
      </c>
      <c r="U155" t="s">
        <v>226</v>
      </c>
      <c r="V155">
        <v>0</v>
      </c>
    </row>
    <row r="156" spans="1:22">
      <c r="A156" t="s">
        <v>2313</v>
      </c>
      <c r="B156" t="s">
        <v>456</v>
      </c>
      <c r="C156" t="s">
        <v>2314</v>
      </c>
      <c r="D156" t="s">
        <v>2315</v>
      </c>
      <c r="E156" t="s">
        <v>215</v>
      </c>
      <c r="F156">
        <v>202106</v>
      </c>
      <c r="G156" t="s">
        <v>226</v>
      </c>
      <c r="H156">
        <v>658545</v>
      </c>
    </row>
    <row r="157" spans="1:22">
      <c r="A157" t="s">
        <v>2313</v>
      </c>
      <c r="B157" t="s">
        <v>456</v>
      </c>
      <c r="C157" t="s">
        <v>2314</v>
      </c>
      <c r="D157" t="s">
        <v>2315</v>
      </c>
      <c r="E157" t="s">
        <v>215</v>
      </c>
      <c r="F157">
        <v>202107</v>
      </c>
      <c r="G157" t="s">
        <v>231</v>
      </c>
      <c r="H157">
        <v>30063538</v>
      </c>
      <c r="O157" t="s">
        <v>2313</v>
      </c>
      <c r="P157" t="s">
        <v>456</v>
      </c>
      <c r="Q157" t="s">
        <v>2314</v>
      </c>
      <c r="R157" t="s">
        <v>2315</v>
      </c>
      <c r="S157" t="s">
        <v>215</v>
      </c>
      <c r="T157">
        <v>202205</v>
      </c>
      <c r="U157" t="s">
        <v>218</v>
      </c>
      <c r="V157">
        <v>0</v>
      </c>
    </row>
    <row r="158" spans="1:22">
      <c r="A158" t="s">
        <v>2313</v>
      </c>
      <c r="B158" t="s">
        <v>456</v>
      </c>
      <c r="C158" t="s">
        <v>2314</v>
      </c>
      <c r="D158" t="s">
        <v>2315</v>
      </c>
      <c r="E158" t="s">
        <v>215</v>
      </c>
      <c r="F158">
        <v>202107</v>
      </c>
      <c r="G158" t="s">
        <v>232</v>
      </c>
      <c r="H158">
        <v>4194465.3099999996</v>
      </c>
      <c r="O158" t="s">
        <v>2313</v>
      </c>
      <c r="P158" t="s">
        <v>456</v>
      </c>
      <c r="Q158" t="s">
        <v>2314</v>
      </c>
      <c r="R158" t="s">
        <v>2315</v>
      </c>
      <c r="S158" t="s">
        <v>215</v>
      </c>
      <c r="T158">
        <v>202205</v>
      </c>
      <c r="U158" t="s">
        <v>220</v>
      </c>
      <c r="V158">
        <v>0</v>
      </c>
    </row>
    <row r="159" spans="1:22">
      <c r="A159" t="s">
        <v>2313</v>
      </c>
      <c r="B159" t="s">
        <v>456</v>
      </c>
      <c r="C159" t="s">
        <v>2314</v>
      </c>
      <c r="D159" t="s">
        <v>2315</v>
      </c>
      <c r="E159" t="s">
        <v>215</v>
      </c>
      <c r="F159">
        <v>202107</v>
      </c>
      <c r="G159" t="s">
        <v>222</v>
      </c>
      <c r="H159">
        <v>30657995</v>
      </c>
      <c r="O159" t="s">
        <v>2313</v>
      </c>
      <c r="P159" t="s">
        <v>456</v>
      </c>
      <c r="Q159" t="s">
        <v>2314</v>
      </c>
      <c r="R159" t="s">
        <v>2315</v>
      </c>
      <c r="S159" t="s">
        <v>2179</v>
      </c>
      <c r="T159">
        <v>202205</v>
      </c>
      <c r="U159" t="s">
        <v>218</v>
      </c>
      <c r="V159">
        <v>2165</v>
      </c>
    </row>
    <row r="160" spans="1:22">
      <c r="A160" t="s">
        <v>2313</v>
      </c>
      <c r="B160" t="s">
        <v>456</v>
      </c>
      <c r="C160" t="s">
        <v>2314</v>
      </c>
      <c r="D160" t="s">
        <v>2315</v>
      </c>
      <c r="E160" t="s">
        <v>215</v>
      </c>
      <c r="F160">
        <v>202107</v>
      </c>
      <c r="G160" t="s">
        <v>224</v>
      </c>
      <c r="H160">
        <v>4277404</v>
      </c>
      <c r="O160" t="s">
        <v>2313</v>
      </c>
      <c r="P160" t="s">
        <v>456</v>
      </c>
      <c r="Q160" t="s">
        <v>2314</v>
      </c>
      <c r="R160" t="s">
        <v>2315</v>
      </c>
      <c r="S160" t="s">
        <v>2179</v>
      </c>
      <c r="T160">
        <v>202205</v>
      </c>
      <c r="U160" t="s">
        <v>220</v>
      </c>
      <c r="V160">
        <v>1580</v>
      </c>
    </row>
    <row r="161" spans="1:22">
      <c r="A161" t="s">
        <v>2313</v>
      </c>
      <c r="B161" t="s">
        <v>456</v>
      </c>
      <c r="C161" t="s">
        <v>2314</v>
      </c>
      <c r="D161" t="s">
        <v>2315</v>
      </c>
      <c r="E161" t="s">
        <v>215</v>
      </c>
      <c r="F161">
        <v>202107</v>
      </c>
      <c r="G161" t="s">
        <v>226</v>
      </c>
      <c r="H161">
        <v>677396</v>
      </c>
      <c r="O161" t="s">
        <v>2313</v>
      </c>
      <c r="P161" t="s">
        <v>456</v>
      </c>
      <c r="Q161" t="s">
        <v>2314</v>
      </c>
      <c r="R161" t="s">
        <v>2315</v>
      </c>
      <c r="S161" t="s">
        <v>215</v>
      </c>
      <c r="T161">
        <v>202205</v>
      </c>
      <c r="U161" t="s">
        <v>231</v>
      </c>
      <c r="V161">
        <v>40000</v>
      </c>
    </row>
    <row r="162" spans="1:22">
      <c r="A162" t="s">
        <v>2313</v>
      </c>
      <c r="B162" t="s">
        <v>456</v>
      </c>
      <c r="C162" t="s">
        <v>2314</v>
      </c>
      <c r="D162" t="s">
        <v>2315</v>
      </c>
      <c r="E162" t="s">
        <v>215</v>
      </c>
      <c r="F162">
        <v>202108</v>
      </c>
      <c r="G162" t="s">
        <v>231</v>
      </c>
      <c r="H162">
        <v>30132668</v>
      </c>
      <c r="O162" t="s">
        <v>2313</v>
      </c>
      <c r="P162" t="s">
        <v>456</v>
      </c>
      <c r="Q162" t="s">
        <v>2314</v>
      </c>
      <c r="R162" t="s">
        <v>2315</v>
      </c>
      <c r="S162" t="s">
        <v>215</v>
      </c>
      <c r="T162">
        <v>202205</v>
      </c>
      <c r="U162" t="s">
        <v>232</v>
      </c>
      <c r="V162">
        <v>0</v>
      </c>
    </row>
    <row r="163" spans="1:22">
      <c r="A163" t="s">
        <v>2313</v>
      </c>
      <c r="B163" t="s">
        <v>456</v>
      </c>
      <c r="C163" t="s">
        <v>2314</v>
      </c>
      <c r="D163" t="s">
        <v>2315</v>
      </c>
      <c r="E163" t="s">
        <v>215</v>
      </c>
      <c r="F163">
        <v>202108</v>
      </c>
      <c r="G163" t="s">
        <v>232</v>
      </c>
      <c r="H163">
        <v>4312259</v>
      </c>
      <c r="O163" t="s">
        <v>2313</v>
      </c>
      <c r="P163" t="s">
        <v>456</v>
      </c>
      <c r="Q163" t="s">
        <v>2314</v>
      </c>
      <c r="R163" t="s">
        <v>2315</v>
      </c>
      <c r="S163" t="s">
        <v>215</v>
      </c>
      <c r="T163">
        <v>202205</v>
      </c>
      <c r="U163" t="s">
        <v>222</v>
      </c>
      <c r="V163">
        <v>40000</v>
      </c>
    </row>
    <row r="164" spans="1:22">
      <c r="A164" t="s">
        <v>2313</v>
      </c>
      <c r="B164" t="s">
        <v>456</v>
      </c>
      <c r="C164" t="s">
        <v>2314</v>
      </c>
      <c r="D164" t="s">
        <v>2315</v>
      </c>
      <c r="E164" t="s">
        <v>215</v>
      </c>
      <c r="F164">
        <v>202108</v>
      </c>
      <c r="G164" t="s">
        <v>222</v>
      </c>
      <c r="H164">
        <v>30749476</v>
      </c>
      <c r="O164" t="s">
        <v>2313</v>
      </c>
      <c r="P164" t="s">
        <v>456</v>
      </c>
      <c r="Q164" t="s">
        <v>2314</v>
      </c>
      <c r="R164" t="s">
        <v>2315</v>
      </c>
      <c r="S164" t="s">
        <v>215</v>
      </c>
      <c r="T164">
        <v>202205</v>
      </c>
      <c r="U164" t="s">
        <v>224</v>
      </c>
      <c r="V164">
        <v>0</v>
      </c>
    </row>
    <row r="165" spans="1:22">
      <c r="A165" t="s">
        <v>2313</v>
      </c>
      <c r="B165" t="s">
        <v>456</v>
      </c>
      <c r="C165" t="s">
        <v>2314</v>
      </c>
      <c r="D165" t="s">
        <v>2315</v>
      </c>
      <c r="E165" t="s">
        <v>215</v>
      </c>
      <c r="F165">
        <v>202108</v>
      </c>
      <c r="G165" t="s">
        <v>224</v>
      </c>
      <c r="H165">
        <v>4400530</v>
      </c>
      <c r="O165" t="s">
        <v>2313</v>
      </c>
      <c r="P165" t="s">
        <v>456</v>
      </c>
      <c r="Q165" t="s">
        <v>2314</v>
      </c>
      <c r="R165" t="s">
        <v>2315</v>
      </c>
      <c r="S165" t="s">
        <v>215</v>
      </c>
      <c r="T165">
        <v>202205</v>
      </c>
      <c r="U165" t="s">
        <v>226</v>
      </c>
      <c r="V165">
        <v>0</v>
      </c>
    </row>
    <row r="166" spans="1:22">
      <c r="A166" t="s">
        <v>2313</v>
      </c>
      <c r="B166" t="s">
        <v>456</v>
      </c>
      <c r="C166" t="s">
        <v>2314</v>
      </c>
      <c r="D166" t="s">
        <v>2315</v>
      </c>
      <c r="E166" t="s">
        <v>215</v>
      </c>
      <c r="F166">
        <v>202108</v>
      </c>
      <c r="G166" t="s">
        <v>226</v>
      </c>
      <c r="H166">
        <v>705079</v>
      </c>
      <c r="O166" t="s">
        <v>2313</v>
      </c>
      <c r="P166" t="s">
        <v>456</v>
      </c>
      <c r="Q166" t="s">
        <v>2314</v>
      </c>
      <c r="R166" t="s">
        <v>2315</v>
      </c>
      <c r="S166" t="s">
        <v>2179</v>
      </c>
      <c r="T166">
        <v>202205</v>
      </c>
      <c r="U166" t="s">
        <v>231</v>
      </c>
      <c r="V166">
        <v>617211.28</v>
      </c>
    </row>
    <row r="167" spans="1:22">
      <c r="A167" t="s">
        <v>2313</v>
      </c>
      <c r="B167" t="s">
        <v>456</v>
      </c>
      <c r="C167" t="s">
        <v>2314</v>
      </c>
      <c r="D167" t="s">
        <v>2315</v>
      </c>
      <c r="E167" t="s">
        <v>215</v>
      </c>
      <c r="F167">
        <v>202109</v>
      </c>
      <c r="G167" t="s">
        <v>231</v>
      </c>
      <c r="H167">
        <v>24623463</v>
      </c>
      <c r="O167" t="s">
        <v>2313</v>
      </c>
      <c r="P167" t="s">
        <v>456</v>
      </c>
      <c r="Q167" t="s">
        <v>2314</v>
      </c>
      <c r="R167" t="s">
        <v>2315</v>
      </c>
      <c r="S167" t="s">
        <v>2179</v>
      </c>
      <c r="T167">
        <v>202205</v>
      </c>
      <c r="U167" t="s">
        <v>232</v>
      </c>
      <c r="V167">
        <v>88252.84</v>
      </c>
    </row>
    <row r="168" spans="1:22">
      <c r="A168" t="s">
        <v>2313</v>
      </c>
      <c r="B168" t="s">
        <v>456</v>
      </c>
      <c r="C168" t="s">
        <v>2314</v>
      </c>
      <c r="D168" t="s">
        <v>2315</v>
      </c>
      <c r="E168" t="s">
        <v>215</v>
      </c>
      <c r="F168">
        <v>202109</v>
      </c>
      <c r="G168" t="s">
        <v>232</v>
      </c>
      <c r="H168">
        <v>3547950</v>
      </c>
      <c r="O168" t="s">
        <v>2313</v>
      </c>
      <c r="P168" t="s">
        <v>456</v>
      </c>
      <c r="Q168" t="s">
        <v>2314</v>
      </c>
      <c r="R168" t="s">
        <v>2315</v>
      </c>
      <c r="S168" t="s">
        <v>2179</v>
      </c>
      <c r="T168">
        <v>202205</v>
      </c>
      <c r="U168" t="s">
        <v>222</v>
      </c>
      <c r="V168">
        <v>617211.28</v>
      </c>
    </row>
    <row r="169" spans="1:22">
      <c r="A169" t="s">
        <v>2313</v>
      </c>
      <c r="B169" t="s">
        <v>456</v>
      </c>
      <c r="C169" t="s">
        <v>2314</v>
      </c>
      <c r="D169" t="s">
        <v>2315</v>
      </c>
      <c r="E169" t="s">
        <v>215</v>
      </c>
      <c r="F169">
        <v>202109</v>
      </c>
      <c r="G169" t="s">
        <v>222</v>
      </c>
      <c r="H169">
        <v>25237941</v>
      </c>
      <c r="O169" t="s">
        <v>2313</v>
      </c>
      <c r="P169" t="s">
        <v>456</v>
      </c>
      <c r="Q169" t="s">
        <v>2314</v>
      </c>
      <c r="R169" t="s">
        <v>2315</v>
      </c>
      <c r="S169" t="s">
        <v>2179</v>
      </c>
      <c r="T169">
        <v>202205</v>
      </c>
      <c r="U169" t="s">
        <v>224</v>
      </c>
      <c r="V169">
        <v>88252.84</v>
      </c>
    </row>
    <row r="170" spans="1:22">
      <c r="A170" t="s">
        <v>2313</v>
      </c>
      <c r="B170" t="s">
        <v>456</v>
      </c>
      <c r="C170" t="s">
        <v>2314</v>
      </c>
      <c r="D170" t="s">
        <v>2315</v>
      </c>
      <c r="E170" t="s">
        <v>215</v>
      </c>
      <c r="F170">
        <v>202109</v>
      </c>
      <c r="G170" t="s">
        <v>224</v>
      </c>
      <c r="H170">
        <v>3636489</v>
      </c>
      <c r="O170" t="s">
        <v>2313</v>
      </c>
      <c r="P170" t="s">
        <v>456</v>
      </c>
      <c r="Q170" t="s">
        <v>2314</v>
      </c>
      <c r="R170" t="s">
        <v>2315</v>
      </c>
      <c r="S170" t="s">
        <v>2179</v>
      </c>
      <c r="T170">
        <v>202205</v>
      </c>
      <c r="U170" t="s">
        <v>226</v>
      </c>
      <c r="V170">
        <v>0</v>
      </c>
    </row>
    <row r="171" spans="1:22">
      <c r="A171" t="s">
        <v>2313</v>
      </c>
      <c r="B171" t="s">
        <v>456</v>
      </c>
      <c r="C171" t="s">
        <v>2314</v>
      </c>
      <c r="D171" t="s">
        <v>2315</v>
      </c>
      <c r="E171" t="s">
        <v>215</v>
      </c>
      <c r="F171">
        <v>202109</v>
      </c>
      <c r="G171" t="s">
        <v>226</v>
      </c>
      <c r="H171">
        <v>701017</v>
      </c>
    </row>
    <row r="172" spans="1:22">
      <c r="A172" t="s">
        <v>2313</v>
      </c>
      <c r="B172" t="s">
        <v>456</v>
      </c>
      <c r="C172" t="s">
        <v>2314</v>
      </c>
      <c r="D172" t="s">
        <v>2315</v>
      </c>
      <c r="E172" t="s">
        <v>215</v>
      </c>
      <c r="F172">
        <v>202110</v>
      </c>
      <c r="G172" t="s">
        <v>231</v>
      </c>
      <c r="H172">
        <v>25542074.23</v>
      </c>
    </row>
    <row r="173" spans="1:22">
      <c r="A173" t="s">
        <v>2313</v>
      </c>
      <c r="B173" t="s">
        <v>456</v>
      </c>
      <c r="C173" t="s">
        <v>2314</v>
      </c>
      <c r="D173" t="s">
        <v>2315</v>
      </c>
      <c r="E173" t="s">
        <v>215</v>
      </c>
      <c r="F173">
        <v>202110</v>
      </c>
      <c r="G173" t="s">
        <v>232</v>
      </c>
      <c r="H173">
        <v>3424144.77</v>
      </c>
    </row>
    <row r="174" spans="1:22">
      <c r="A174" t="s">
        <v>2313</v>
      </c>
      <c r="B174" t="s">
        <v>456</v>
      </c>
      <c r="C174" t="s">
        <v>2314</v>
      </c>
      <c r="D174" t="s">
        <v>2315</v>
      </c>
      <c r="E174" t="s">
        <v>215</v>
      </c>
      <c r="F174">
        <v>202110</v>
      </c>
      <c r="G174" t="s">
        <v>222</v>
      </c>
      <c r="H174">
        <v>26202427</v>
      </c>
    </row>
    <row r="175" spans="1:22">
      <c r="A175" t="s">
        <v>2313</v>
      </c>
      <c r="B175" t="s">
        <v>456</v>
      </c>
      <c r="C175" t="s">
        <v>2314</v>
      </c>
      <c r="D175" t="s">
        <v>2315</v>
      </c>
      <c r="E175" t="s">
        <v>215</v>
      </c>
      <c r="F175">
        <v>202110</v>
      </c>
      <c r="G175" t="s">
        <v>224</v>
      </c>
      <c r="H175">
        <v>3512671</v>
      </c>
    </row>
    <row r="176" spans="1:22">
      <c r="A176" t="s">
        <v>2313</v>
      </c>
      <c r="B176" t="s">
        <v>456</v>
      </c>
      <c r="C176" t="s">
        <v>2314</v>
      </c>
      <c r="D176" t="s">
        <v>2315</v>
      </c>
      <c r="E176" t="s">
        <v>215</v>
      </c>
      <c r="F176">
        <v>202110</v>
      </c>
      <c r="G176" t="s">
        <v>226</v>
      </c>
      <c r="H176">
        <v>748879</v>
      </c>
    </row>
    <row r="177" spans="1:8">
      <c r="A177" t="s">
        <v>2313</v>
      </c>
      <c r="B177" t="s">
        <v>456</v>
      </c>
      <c r="C177" t="s">
        <v>2314</v>
      </c>
      <c r="D177" t="s">
        <v>2315</v>
      </c>
      <c r="E177" t="s">
        <v>215</v>
      </c>
      <c r="F177">
        <v>202111</v>
      </c>
      <c r="G177" t="s">
        <v>231</v>
      </c>
      <c r="H177">
        <v>29203678.789999999</v>
      </c>
    </row>
    <row r="178" spans="1:8">
      <c r="A178" t="s">
        <v>2313</v>
      </c>
      <c r="B178" t="s">
        <v>456</v>
      </c>
      <c r="C178" t="s">
        <v>2314</v>
      </c>
      <c r="D178" t="s">
        <v>2315</v>
      </c>
      <c r="E178" t="s">
        <v>215</v>
      </c>
      <c r="F178">
        <v>202111</v>
      </c>
      <c r="G178" t="s">
        <v>232</v>
      </c>
      <c r="H178">
        <v>3628889.21</v>
      </c>
    </row>
    <row r="179" spans="1:8">
      <c r="A179" t="s">
        <v>2313</v>
      </c>
      <c r="B179" t="s">
        <v>456</v>
      </c>
      <c r="C179" t="s">
        <v>2314</v>
      </c>
      <c r="D179" t="s">
        <v>2315</v>
      </c>
      <c r="E179" t="s">
        <v>215</v>
      </c>
      <c r="F179">
        <v>202111</v>
      </c>
      <c r="G179" t="s">
        <v>222</v>
      </c>
      <c r="H179">
        <v>29870095</v>
      </c>
    </row>
    <row r="180" spans="1:8">
      <c r="A180" t="s">
        <v>2313</v>
      </c>
      <c r="B180" t="s">
        <v>456</v>
      </c>
      <c r="C180" t="s">
        <v>2314</v>
      </c>
      <c r="D180" t="s">
        <v>2315</v>
      </c>
      <c r="E180" t="s">
        <v>215</v>
      </c>
      <c r="F180">
        <v>202111</v>
      </c>
      <c r="G180" t="s">
        <v>224</v>
      </c>
      <c r="H180">
        <v>3711699</v>
      </c>
    </row>
    <row r="181" spans="1:8">
      <c r="A181" t="s">
        <v>2313</v>
      </c>
      <c r="B181" t="s">
        <v>456</v>
      </c>
      <c r="C181" t="s">
        <v>2314</v>
      </c>
      <c r="D181" t="s">
        <v>2315</v>
      </c>
      <c r="E181" t="s">
        <v>215</v>
      </c>
      <c r="F181">
        <v>202111</v>
      </c>
      <c r="G181" t="s">
        <v>226</v>
      </c>
      <c r="H181">
        <v>749226</v>
      </c>
    </row>
    <row r="182" spans="1:8">
      <c r="A182" t="s">
        <v>2313</v>
      </c>
      <c r="B182" t="s">
        <v>456</v>
      </c>
      <c r="C182" t="s">
        <v>2314</v>
      </c>
      <c r="D182" t="s">
        <v>2315</v>
      </c>
      <c r="E182" t="s">
        <v>215</v>
      </c>
      <c r="F182">
        <v>202112</v>
      </c>
      <c r="G182" t="s">
        <v>231</v>
      </c>
      <c r="H182">
        <v>32543116.98</v>
      </c>
    </row>
    <row r="183" spans="1:8">
      <c r="A183" t="s">
        <v>2313</v>
      </c>
      <c r="B183" t="s">
        <v>456</v>
      </c>
      <c r="C183" t="s">
        <v>2314</v>
      </c>
      <c r="D183" t="s">
        <v>2315</v>
      </c>
      <c r="E183" t="s">
        <v>215</v>
      </c>
      <c r="F183">
        <v>202112</v>
      </c>
      <c r="G183" t="s">
        <v>232</v>
      </c>
      <c r="H183">
        <v>4292612.0199999996</v>
      </c>
    </row>
    <row r="184" spans="1:8">
      <c r="A184" t="s">
        <v>2313</v>
      </c>
      <c r="B184" t="s">
        <v>456</v>
      </c>
      <c r="C184" t="s">
        <v>2314</v>
      </c>
      <c r="D184" t="s">
        <v>2315</v>
      </c>
      <c r="E184" t="s">
        <v>215</v>
      </c>
      <c r="F184">
        <v>202112</v>
      </c>
      <c r="G184" t="s">
        <v>222</v>
      </c>
      <c r="H184">
        <v>33147209</v>
      </c>
    </row>
    <row r="185" spans="1:8">
      <c r="A185" t="s">
        <v>2313</v>
      </c>
      <c r="B185" t="s">
        <v>456</v>
      </c>
      <c r="C185" t="s">
        <v>2314</v>
      </c>
      <c r="D185" t="s">
        <v>2315</v>
      </c>
      <c r="E185" t="s">
        <v>215</v>
      </c>
      <c r="F185">
        <v>202112</v>
      </c>
      <c r="G185" t="s">
        <v>224</v>
      </c>
      <c r="H185">
        <v>4372295</v>
      </c>
    </row>
    <row r="186" spans="1:8">
      <c r="A186" t="s">
        <v>2313</v>
      </c>
      <c r="B186" t="s">
        <v>456</v>
      </c>
      <c r="C186" t="s">
        <v>2314</v>
      </c>
      <c r="D186" t="s">
        <v>2315</v>
      </c>
      <c r="E186" t="s">
        <v>215</v>
      </c>
      <c r="F186">
        <v>202112</v>
      </c>
      <c r="G186" t="s">
        <v>226</v>
      </c>
      <c r="H186">
        <v>683775</v>
      </c>
    </row>
    <row r="187" spans="1:8">
      <c r="A187" t="s">
        <v>2313</v>
      </c>
      <c r="B187" t="s">
        <v>456</v>
      </c>
      <c r="C187" t="s">
        <v>2314</v>
      </c>
      <c r="D187" t="s">
        <v>2315</v>
      </c>
      <c r="E187" t="s">
        <v>215</v>
      </c>
      <c r="F187">
        <v>202201</v>
      </c>
      <c r="G187" t="s">
        <v>231</v>
      </c>
      <c r="H187">
        <v>45000</v>
      </c>
    </row>
    <row r="188" spans="1:8">
      <c r="A188" t="s">
        <v>2313</v>
      </c>
      <c r="B188" t="s">
        <v>456</v>
      </c>
      <c r="C188" t="s">
        <v>2314</v>
      </c>
      <c r="D188" t="s">
        <v>2315</v>
      </c>
      <c r="E188" t="s">
        <v>215</v>
      </c>
      <c r="F188">
        <v>202201</v>
      </c>
      <c r="G188" t="s">
        <v>232</v>
      </c>
      <c r="H188">
        <v>0</v>
      </c>
    </row>
    <row r="189" spans="1:8">
      <c r="A189" t="s">
        <v>2313</v>
      </c>
      <c r="B189" t="s">
        <v>456</v>
      </c>
      <c r="C189" t="s">
        <v>2314</v>
      </c>
      <c r="D189" t="s">
        <v>2315</v>
      </c>
      <c r="E189" t="s">
        <v>215</v>
      </c>
      <c r="F189">
        <v>202201</v>
      </c>
      <c r="G189" t="s">
        <v>222</v>
      </c>
      <c r="H189">
        <v>0</v>
      </c>
    </row>
    <row r="190" spans="1:8">
      <c r="A190" t="s">
        <v>2313</v>
      </c>
      <c r="B190" t="s">
        <v>456</v>
      </c>
      <c r="C190" t="s">
        <v>2314</v>
      </c>
      <c r="D190" t="s">
        <v>2315</v>
      </c>
      <c r="E190" t="s">
        <v>215</v>
      </c>
      <c r="F190">
        <v>202201</v>
      </c>
      <c r="G190" t="s">
        <v>224</v>
      </c>
      <c r="H190">
        <v>0</v>
      </c>
    </row>
    <row r="191" spans="1:8">
      <c r="A191" t="s">
        <v>2313</v>
      </c>
      <c r="B191" t="s">
        <v>456</v>
      </c>
      <c r="C191" t="s">
        <v>2314</v>
      </c>
      <c r="D191" t="s">
        <v>2315</v>
      </c>
      <c r="E191" t="s">
        <v>215</v>
      </c>
      <c r="F191">
        <v>202201</v>
      </c>
      <c r="G191" t="s">
        <v>226</v>
      </c>
      <c r="H191">
        <v>0</v>
      </c>
    </row>
    <row r="192" spans="1:8">
      <c r="A192" t="s">
        <v>2313</v>
      </c>
      <c r="B192" t="s">
        <v>456</v>
      </c>
      <c r="C192" t="s">
        <v>2314</v>
      </c>
      <c r="D192" t="s">
        <v>2315</v>
      </c>
      <c r="E192" t="s">
        <v>215</v>
      </c>
      <c r="F192">
        <v>202202</v>
      </c>
      <c r="G192" t="s">
        <v>231</v>
      </c>
      <c r="H192">
        <v>45000</v>
      </c>
    </row>
    <row r="193" spans="1:8">
      <c r="A193" t="s">
        <v>2313</v>
      </c>
      <c r="B193" t="s">
        <v>456</v>
      </c>
      <c r="C193" t="s">
        <v>2314</v>
      </c>
      <c r="D193" t="s">
        <v>2315</v>
      </c>
      <c r="E193" t="s">
        <v>215</v>
      </c>
      <c r="F193">
        <v>202202</v>
      </c>
      <c r="G193" t="s">
        <v>232</v>
      </c>
      <c r="H193">
        <v>0</v>
      </c>
    </row>
    <row r="194" spans="1:8">
      <c r="A194" t="s">
        <v>2313</v>
      </c>
      <c r="B194" t="s">
        <v>456</v>
      </c>
      <c r="C194" t="s">
        <v>2314</v>
      </c>
      <c r="D194" t="s">
        <v>2315</v>
      </c>
      <c r="E194" t="s">
        <v>215</v>
      </c>
      <c r="F194">
        <v>202202</v>
      </c>
      <c r="G194" t="s">
        <v>222</v>
      </c>
      <c r="H194">
        <v>45000</v>
      </c>
    </row>
    <row r="195" spans="1:8">
      <c r="A195" t="s">
        <v>2313</v>
      </c>
      <c r="B195" t="s">
        <v>456</v>
      </c>
      <c r="C195" t="s">
        <v>2314</v>
      </c>
      <c r="D195" t="s">
        <v>2315</v>
      </c>
      <c r="E195" t="s">
        <v>215</v>
      </c>
      <c r="F195">
        <v>202202</v>
      </c>
      <c r="G195" t="s">
        <v>224</v>
      </c>
      <c r="H195">
        <v>0</v>
      </c>
    </row>
    <row r="196" spans="1:8">
      <c r="A196" t="s">
        <v>2313</v>
      </c>
      <c r="B196" t="s">
        <v>456</v>
      </c>
      <c r="C196" t="s">
        <v>2314</v>
      </c>
      <c r="D196" t="s">
        <v>2315</v>
      </c>
      <c r="E196" t="s">
        <v>215</v>
      </c>
      <c r="F196">
        <v>202202</v>
      </c>
      <c r="G196" t="s">
        <v>226</v>
      </c>
      <c r="H196">
        <v>0</v>
      </c>
    </row>
    <row r="197" spans="1:8">
      <c r="A197" t="s">
        <v>2313</v>
      </c>
      <c r="B197" t="s">
        <v>456</v>
      </c>
      <c r="C197" t="s">
        <v>2314</v>
      </c>
      <c r="D197" t="s">
        <v>2315</v>
      </c>
      <c r="E197" t="s">
        <v>215</v>
      </c>
      <c r="F197">
        <v>202203</v>
      </c>
      <c r="G197" t="s">
        <v>231</v>
      </c>
      <c r="H197">
        <v>45000</v>
      </c>
    </row>
    <row r="198" spans="1:8">
      <c r="A198" t="s">
        <v>2313</v>
      </c>
      <c r="B198" t="s">
        <v>456</v>
      </c>
      <c r="C198" t="s">
        <v>2314</v>
      </c>
      <c r="D198" t="s">
        <v>2315</v>
      </c>
      <c r="E198" t="s">
        <v>215</v>
      </c>
      <c r="F198">
        <v>202203</v>
      </c>
      <c r="G198" t="s">
        <v>232</v>
      </c>
      <c r="H198">
        <v>0</v>
      </c>
    </row>
    <row r="199" spans="1:8">
      <c r="A199" t="s">
        <v>2313</v>
      </c>
      <c r="B199" t="s">
        <v>456</v>
      </c>
      <c r="C199" t="s">
        <v>2314</v>
      </c>
      <c r="D199" t="s">
        <v>2315</v>
      </c>
      <c r="E199" t="s">
        <v>215</v>
      </c>
      <c r="F199">
        <v>202203</v>
      </c>
      <c r="G199" t="s">
        <v>222</v>
      </c>
      <c r="H199">
        <v>45000</v>
      </c>
    </row>
    <row r="200" spans="1:8">
      <c r="A200" t="s">
        <v>2313</v>
      </c>
      <c r="B200" t="s">
        <v>456</v>
      </c>
      <c r="C200" t="s">
        <v>2314</v>
      </c>
      <c r="D200" t="s">
        <v>2315</v>
      </c>
      <c r="E200" t="s">
        <v>215</v>
      </c>
      <c r="F200">
        <v>202203</v>
      </c>
      <c r="G200" t="s">
        <v>224</v>
      </c>
      <c r="H200">
        <v>0</v>
      </c>
    </row>
    <row r="201" spans="1:8">
      <c r="A201" t="s">
        <v>2313</v>
      </c>
      <c r="B201" t="s">
        <v>456</v>
      </c>
      <c r="C201" t="s">
        <v>2314</v>
      </c>
      <c r="D201" t="s">
        <v>2315</v>
      </c>
      <c r="E201" t="s">
        <v>215</v>
      </c>
      <c r="F201">
        <v>202203</v>
      </c>
      <c r="G201" t="s">
        <v>226</v>
      </c>
      <c r="H201">
        <v>0</v>
      </c>
    </row>
    <row r="202" spans="1:8">
      <c r="A202" t="s">
        <v>2313</v>
      </c>
      <c r="B202" t="s">
        <v>456</v>
      </c>
      <c r="C202" t="s">
        <v>2314</v>
      </c>
      <c r="D202" t="s">
        <v>2315</v>
      </c>
      <c r="E202" t="s">
        <v>215</v>
      </c>
      <c r="F202">
        <v>202204</v>
      </c>
      <c r="G202" t="s">
        <v>231</v>
      </c>
      <c r="H202">
        <v>0</v>
      </c>
    </row>
    <row r="203" spans="1:8">
      <c r="A203" t="s">
        <v>2313</v>
      </c>
      <c r="B203" t="s">
        <v>456</v>
      </c>
      <c r="C203" t="s">
        <v>2314</v>
      </c>
      <c r="D203" t="s">
        <v>2315</v>
      </c>
      <c r="E203" t="s">
        <v>215</v>
      </c>
      <c r="F203">
        <v>202204</v>
      </c>
      <c r="G203" t="s">
        <v>232</v>
      </c>
      <c r="H203">
        <v>40000</v>
      </c>
    </row>
    <row r="204" spans="1:8">
      <c r="A204" t="s">
        <v>2313</v>
      </c>
      <c r="B204" t="s">
        <v>456</v>
      </c>
      <c r="C204" t="s">
        <v>2314</v>
      </c>
      <c r="D204" t="s">
        <v>2315</v>
      </c>
      <c r="E204" t="s">
        <v>215</v>
      </c>
      <c r="F204">
        <v>202204</v>
      </c>
      <c r="G204" t="s">
        <v>222</v>
      </c>
      <c r="H204">
        <v>0</v>
      </c>
    </row>
    <row r="205" spans="1:8">
      <c r="A205" t="s">
        <v>2313</v>
      </c>
      <c r="B205" t="s">
        <v>456</v>
      </c>
      <c r="C205" t="s">
        <v>2314</v>
      </c>
      <c r="D205" t="s">
        <v>2315</v>
      </c>
      <c r="E205" t="s">
        <v>215</v>
      </c>
      <c r="F205">
        <v>202204</v>
      </c>
      <c r="G205" t="s">
        <v>224</v>
      </c>
      <c r="H205">
        <v>0</v>
      </c>
    </row>
    <row r="206" spans="1:8">
      <c r="A206" t="s">
        <v>2313</v>
      </c>
      <c r="B206" t="s">
        <v>456</v>
      </c>
      <c r="C206" t="s">
        <v>2314</v>
      </c>
      <c r="D206" t="s">
        <v>2315</v>
      </c>
      <c r="E206" t="s">
        <v>215</v>
      </c>
      <c r="F206">
        <v>202204</v>
      </c>
      <c r="G206" t="s">
        <v>226</v>
      </c>
      <c r="H206">
        <v>0</v>
      </c>
    </row>
    <row r="207" spans="1:8">
      <c r="A207" t="s">
        <v>2313</v>
      </c>
      <c r="B207" t="s">
        <v>456</v>
      </c>
      <c r="C207" t="s">
        <v>2314</v>
      </c>
      <c r="D207" t="s">
        <v>2315</v>
      </c>
      <c r="E207" t="s">
        <v>215</v>
      </c>
      <c r="F207">
        <v>202205</v>
      </c>
      <c r="G207" t="s">
        <v>231</v>
      </c>
      <c r="H207">
        <v>40000</v>
      </c>
    </row>
    <row r="208" spans="1:8">
      <c r="A208" t="s">
        <v>2313</v>
      </c>
      <c r="B208" t="s">
        <v>456</v>
      </c>
      <c r="C208" t="s">
        <v>2314</v>
      </c>
      <c r="D208" t="s">
        <v>2315</v>
      </c>
      <c r="E208" t="s">
        <v>215</v>
      </c>
      <c r="F208">
        <v>202205</v>
      </c>
      <c r="G208" t="s">
        <v>232</v>
      </c>
      <c r="H208">
        <v>0</v>
      </c>
    </row>
    <row r="209" spans="1:8">
      <c r="A209" t="s">
        <v>2313</v>
      </c>
      <c r="B209" t="s">
        <v>456</v>
      </c>
      <c r="C209" t="s">
        <v>2314</v>
      </c>
      <c r="D209" t="s">
        <v>2315</v>
      </c>
      <c r="E209" t="s">
        <v>215</v>
      </c>
      <c r="F209">
        <v>202205</v>
      </c>
      <c r="G209" t="s">
        <v>222</v>
      </c>
      <c r="H209">
        <v>40000</v>
      </c>
    </row>
    <row r="210" spans="1:8">
      <c r="A210" t="s">
        <v>2313</v>
      </c>
      <c r="B210" t="s">
        <v>456</v>
      </c>
      <c r="C210" t="s">
        <v>2314</v>
      </c>
      <c r="D210" t="s">
        <v>2315</v>
      </c>
      <c r="E210" t="s">
        <v>215</v>
      </c>
      <c r="F210">
        <v>202205</v>
      </c>
      <c r="G210" t="s">
        <v>224</v>
      </c>
      <c r="H210">
        <v>0</v>
      </c>
    </row>
    <row r="211" spans="1:8">
      <c r="A211" t="s">
        <v>2313</v>
      </c>
      <c r="B211" t="s">
        <v>456</v>
      </c>
      <c r="C211" t="s">
        <v>2314</v>
      </c>
      <c r="D211" t="s">
        <v>2315</v>
      </c>
      <c r="E211" t="s">
        <v>215</v>
      </c>
      <c r="F211">
        <v>202205</v>
      </c>
      <c r="G211" t="s">
        <v>226</v>
      </c>
      <c r="H211">
        <v>0</v>
      </c>
    </row>
    <row r="212" spans="1:8">
      <c r="A212" t="s">
        <v>2313</v>
      </c>
      <c r="B212" t="s">
        <v>456</v>
      </c>
      <c r="C212" t="s">
        <v>2314</v>
      </c>
      <c r="D212" t="s">
        <v>2315</v>
      </c>
      <c r="E212" t="s">
        <v>2179</v>
      </c>
      <c r="F212">
        <v>202104</v>
      </c>
      <c r="G212" t="s">
        <v>231</v>
      </c>
      <c r="H212">
        <v>514161.21</v>
      </c>
    </row>
    <row r="213" spans="1:8">
      <c r="A213" t="s">
        <v>2313</v>
      </c>
      <c r="B213" t="s">
        <v>456</v>
      </c>
      <c r="C213" t="s">
        <v>2314</v>
      </c>
      <c r="D213" t="s">
        <v>2315</v>
      </c>
      <c r="E213" t="s">
        <v>2179</v>
      </c>
      <c r="F213">
        <v>202104</v>
      </c>
      <c r="G213" t="s">
        <v>232</v>
      </c>
      <c r="H213">
        <v>62133.77</v>
      </c>
    </row>
    <row r="214" spans="1:8">
      <c r="A214" t="s">
        <v>2313</v>
      </c>
      <c r="B214" t="s">
        <v>456</v>
      </c>
      <c r="C214" t="s">
        <v>2314</v>
      </c>
      <c r="D214" t="s">
        <v>2315</v>
      </c>
      <c r="E214" t="s">
        <v>2179</v>
      </c>
      <c r="F214">
        <v>202104</v>
      </c>
      <c r="G214" t="s">
        <v>222</v>
      </c>
      <c r="H214">
        <v>523043.92</v>
      </c>
    </row>
    <row r="215" spans="1:8">
      <c r="A215" t="s">
        <v>2313</v>
      </c>
      <c r="B215" t="s">
        <v>456</v>
      </c>
      <c r="C215" t="s">
        <v>2314</v>
      </c>
      <c r="D215" t="s">
        <v>2315</v>
      </c>
      <c r="E215" t="s">
        <v>2179</v>
      </c>
      <c r="F215">
        <v>202104</v>
      </c>
      <c r="G215" t="s">
        <v>224</v>
      </c>
      <c r="H215">
        <v>63207.199999999997</v>
      </c>
    </row>
    <row r="216" spans="1:8">
      <c r="A216" t="s">
        <v>2313</v>
      </c>
      <c r="B216" t="s">
        <v>456</v>
      </c>
      <c r="C216" t="s">
        <v>2314</v>
      </c>
      <c r="D216" t="s">
        <v>2315</v>
      </c>
      <c r="E216" t="s">
        <v>2179</v>
      </c>
      <c r="F216">
        <v>202104</v>
      </c>
      <c r="G216" t="s">
        <v>226</v>
      </c>
      <c r="H216">
        <v>9956.15</v>
      </c>
    </row>
    <row r="217" spans="1:8">
      <c r="A217" t="s">
        <v>2313</v>
      </c>
      <c r="B217" t="s">
        <v>456</v>
      </c>
      <c r="C217" t="s">
        <v>2314</v>
      </c>
      <c r="D217" t="s">
        <v>2315</v>
      </c>
      <c r="E217" t="s">
        <v>2179</v>
      </c>
      <c r="F217">
        <v>202105</v>
      </c>
      <c r="G217" t="s">
        <v>231</v>
      </c>
      <c r="H217">
        <v>522647</v>
      </c>
    </row>
    <row r="218" spans="1:8">
      <c r="A218" t="s">
        <v>2313</v>
      </c>
      <c r="B218" t="s">
        <v>456</v>
      </c>
      <c r="C218" t="s">
        <v>2314</v>
      </c>
      <c r="D218" t="s">
        <v>2315</v>
      </c>
      <c r="E218" t="s">
        <v>2179</v>
      </c>
      <c r="F218">
        <v>202105</v>
      </c>
      <c r="G218" t="s">
        <v>232</v>
      </c>
      <c r="H218">
        <v>67500</v>
      </c>
    </row>
    <row r="219" spans="1:8">
      <c r="A219" t="s">
        <v>2313</v>
      </c>
      <c r="B219" t="s">
        <v>456</v>
      </c>
      <c r="C219" t="s">
        <v>2314</v>
      </c>
      <c r="D219" t="s">
        <v>2315</v>
      </c>
      <c r="E219" t="s">
        <v>2179</v>
      </c>
      <c r="F219">
        <v>202105</v>
      </c>
      <c r="G219" t="s">
        <v>222</v>
      </c>
      <c r="H219">
        <v>533221</v>
      </c>
    </row>
    <row r="220" spans="1:8">
      <c r="A220" t="s">
        <v>2313</v>
      </c>
      <c r="B220" t="s">
        <v>456</v>
      </c>
      <c r="C220" t="s">
        <v>2314</v>
      </c>
      <c r="D220" t="s">
        <v>2315</v>
      </c>
      <c r="E220" t="s">
        <v>2179</v>
      </c>
      <c r="F220">
        <v>202105</v>
      </c>
      <c r="G220" t="s">
        <v>224</v>
      </c>
      <c r="H220">
        <v>68866</v>
      </c>
    </row>
    <row r="221" spans="1:8">
      <c r="A221" t="s">
        <v>2313</v>
      </c>
      <c r="B221" t="s">
        <v>456</v>
      </c>
      <c r="C221" t="s">
        <v>2314</v>
      </c>
      <c r="D221" t="s">
        <v>2315</v>
      </c>
      <c r="E221" t="s">
        <v>2179</v>
      </c>
      <c r="F221">
        <v>202105</v>
      </c>
      <c r="G221" t="s">
        <v>226</v>
      </c>
      <c r="H221">
        <v>11941</v>
      </c>
    </row>
    <row r="222" spans="1:8">
      <c r="A222" t="s">
        <v>2313</v>
      </c>
      <c r="B222" t="s">
        <v>456</v>
      </c>
      <c r="C222" t="s">
        <v>2314</v>
      </c>
      <c r="D222" t="s">
        <v>2315</v>
      </c>
      <c r="E222" t="s">
        <v>2179</v>
      </c>
      <c r="F222">
        <v>202106</v>
      </c>
      <c r="G222" t="s">
        <v>231</v>
      </c>
      <c r="H222">
        <v>509902.53</v>
      </c>
    </row>
    <row r="223" spans="1:8">
      <c r="A223" t="s">
        <v>2313</v>
      </c>
      <c r="B223" t="s">
        <v>456</v>
      </c>
      <c r="C223" t="s">
        <v>2314</v>
      </c>
      <c r="D223" t="s">
        <v>2315</v>
      </c>
      <c r="E223" t="s">
        <v>2179</v>
      </c>
      <c r="F223">
        <v>202106</v>
      </c>
      <c r="G223" t="s">
        <v>232</v>
      </c>
      <c r="H223">
        <v>69138.89</v>
      </c>
    </row>
    <row r="224" spans="1:8">
      <c r="A224" t="s">
        <v>2313</v>
      </c>
      <c r="B224" t="s">
        <v>456</v>
      </c>
      <c r="C224" t="s">
        <v>2314</v>
      </c>
      <c r="D224" t="s">
        <v>2315</v>
      </c>
      <c r="E224" t="s">
        <v>2179</v>
      </c>
      <c r="F224">
        <v>202106</v>
      </c>
      <c r="G224" t="s">
        <v>222</v>
      </c>
      <c r="H224">
        <v>520256.24</v>
      </c>
    </row>
    <row r="225" spans="1:8">
      <c r="A225" t="s">
        <v>2313</v>
      </c>
      <c r="B225" t="s">
        <v>456</v>
      </c>
      <c r="C225" t="s">
        <v>2314</v>
      </c>
      <c r="D225" t="s">
        <v>2315</v>
      </c>
      <c r="E225" t="s">
        <v>2179</v>
      </c>
      <c r="F225">
        <v>202106</v>
      </c>
      <c r="G225" t="s">
        <v>224</v>
      </c>
      <c r="H225">
        <v>70542.78</v>
      </c>
    </row>
    <row r="226" spans="1:8">
      <c r="A226" t="s">
        <v>2313</v>
      </c>
      <c r="B226" t="s">
        <v>456</v>
      </c>
      <c r="C226" t="s">
        <v>2314</v>
      </c>
      <c r="D226" t="s">
        <v>2315</v>
      </c>
      <c r="E226" t="s">
        <v>2179</v>
      </c>
      <c r="F226">
        <v>202106</v>
      </c>
      <c r="G226" t="s">
        <v>226</v>
      </c>
      <c r="H226">
        <v>11757.59</v>
      </c>
    </row>
    <row r="227" spans="1:8">
      <c r="A227" t="s">
        <v>2313</v>
      </c>
      <c r="B227" t="s">
        <v>456</v>
      </c>
      <c r="C227" t="s">
        <v>2314</v>
      </c>
      <c r="D227" t="s">
        <v>2315</v>
      </c>
      <c r="E227" t="s">
        <v>2179</v>
      </c>
      <c r="F227">
        <v>202107</v>
      </c>
      <c r="G227" t="s">
        <v>231</v>
      </c>
      <c r="H227">
        <v>523894.98</v>
      </c>
    </row>
    <row r="228" spans="1:8">
      <c r="A228" t="s">
        <v>2313</v>
      </c>
      <c r="B228" t="s">
        <v>456</v>
      </c>
      <c r="C228" t="s">
        <v>2314</v>
      </c>
      <c r="D228" t="s">
        <v>2315</v>
      </c>
      <c r="E228" t="s">
        <v>2179</v>
      </c>
      <c r="F228">
        <v>202107</v>
      </c>
      <c r="G228" t="s">
        <v>232</v>
      </c>
      <c r="H228">
        <v>72142.97</v>
      </c>
    </row>
    <row r="229" spans="1:8">
      <c r="A229" t="s">
        <v>2313</v>
      </c>
      <c r="B229" t="s">
        <v>456</v>
      </c>
      <c r="C229" t="s">
        <v>2314</v>
      </c>
      <c r="D229" t="s">
        <v>2315</v>
      </c>
      <c r="E229" t="s">
        <v>2179</v>
      </c>
      <c r="F229">
        <v>202107</v>
      </c>
      <c r="G229" t="s">
        <v>222</v>
      </c>
      <c r="H229">
        <v>534254.48</v>
      </c>
    </row>
    <row r="230" spans="1:8">
      <c r="A230" t="s">
        <v>2313</v>
      </c>
      <c r="B230" t="s">
        <v>456</v>
      </c>
      <c r="C230" t="s">
        <v>2314</v>
      </c>
      <c r="D230" t="s">
        <v>2315</v>
      </c>
      <c r="E230" t="s">
        <v>2179</v>
      </c>
      <c r="F230">
        <v>202107</v>
      </c>
      <c r="G230" t="s">
        <v>224</v>
      </c>
      <c r="H230">
        <v>73569.36</v>
      </c>
    </row>
    <row r="231" spans="1:8">
      <c r="A231" t="s">
        <v>2313</v>
      </c>
      <c r="B231" t="s">
        <v>456</v>
      </c>
      <c r="C231" t="s">
        <v>2314</v>
      </c>
      <c r="D231" t="s">
        <v>2315</v>
      </c>
      <c r="E231" t="s">
        <v>2179</v>
      </c>
      <c r="F231">
        <v>202107</v>
      </c>
      <c r="G231" t="s">
        <v>226</v>
      </c>
      <c r="H231">
        <v>11786</v>
      </c>
    </row>
    <row r="232" spans="1:8">
      <c r="A232" t="s">
        <v>2313</v>
      </c>
      <c r="B232" t="s">
        <v>456</v>
      </c>
      <c r="C232" t="s">
        <v>2314</v>
      </c>
      <c r="D232" t="s">
        <v>2315</v>
      </c>
      <c r="E232" t="s">
        <v>2179</v>
      </c>
      <c r="F232">
        <v>202108</v>
      </c>
      <c r="G232" t="s">
        <v>231</v>
      </c>
      <c r="H232">
        <v>524486</v>
      </c>
    </row>
    <row r="233" spans="1:8">
      <c r="A233" t="s">
        <v>2313</v>
      </c>
      <c r="B233" t="s">
        <v>456</v>
      </c>
      <c r="C233" t="s">
        <v>2314</v>
      </c>
      <c r="D233" t="s">
        <v>2315</v>
      </c>
      <c r="E233" t="s">
        <v>2179</v>
      </c>
      <c r="F233">
        <v>202108</v>
      </c>
      <c r="G233" t="s">
        <v>232</v>
      </c>
      <c r="H233">
        <v>70430</v>
      </c>
    </row>
    <row r="234" spans="1:8">
      <c r="A234" t="s">
        <v>2313</v>
      </c>
      <c r="B234" t="s">
        <v>456</v>
      </c>
      <c r="C234" t="s">
        <v>2314</v>
      </c>
      <c r="D234" t="s">
        <v>2315</v>
      </c>
      <c r="E234" t="s">
        <v>2179</v>
      </c>
      <c r="F234">
        <v>202108</v>
      </c>
      <c r="G234" t="s">
        <v>222</v>
      </c>
      <c r="H234">
        <v>535222</v>
      </c>
    </row>
    <row r="235" spans="1:8">
      <c r="A235" t="s">
        <v>2313</v>
      </c>
      <c r="B235" t="s">
        <v>456</v>
      </c>
      <c r="C235" t="s">
        <v>2314</v>
      </c>
      <c r="D235" t="s">
        <v>2315</v>
      </c>
      <c r="E235" t="s">
        <v>2179</v>
      </c>
      <c r="F235">
        <v>202108</v>
      </c>
      <c r="G235" t="s">
        <v>224</v>
      </c>
      <c r="H235">
        <v>71871</v>
      </c>
    </row>
    <row r="236" spans="1:8">
      <c r="A236" t="s">
        <v>2313</v>
      </c>
      <c r="B236" t="s">
        <v>456</v>
      </c>
      <c r="C236" t="s">
        <v>2314</v>
      </c>
      <c r="D236" t="s">
        <v>2315</v>
      </c>
      <c r="E236" t="s">
        <v>2179</v>
      </c>
      <c r="F236">
        <v>202108</v>
      </c>
      <c r="G236" t="s">
        <v>226</v>
      </c>
      <c r="H236">
        <v>10487</v>
      </c>
    </row>
    <row r="237" spans="1:8">
      <c r="A237" t="s">
        <v>2313</v>
      </c>
      <c r="B237" t="s">
        <v>456</v>
      </c>
      <c r="C237" t="s">
        <v>2314</v>
      </c>
      <c r="D237" t="s">
        <v>2315</v>
      </c>
      <c r="E237" t="s">
        <v>2179</v>
      </c>
      <c r="F237">
        <v>202109</v>
      </c>
      <c r="G237" t="s">
        <v>231</v>
      </c>
      <c r="H237">
        <v>500290.86</v>
      </c>
    </row>
    <row r="238" spans="1:8">
      <c r="A238" t="s">
        <v>2313</v>
      </c>
      <c r="B238" t="s">
        <v>456</v>
      </c>
      <c r="C238" t="s">
        <v>2314</v>
      </c>
      <c r="D238" t="s">
        <v>2315</v>
      </c>
      <c r="E238" t="s">
        <v>2179</v>
      </c>
      <c r="F238">
        <v>202109</v>
      </c>
      <c r="G238" t="s">
        <v>232</v>
      </c>
      <c r="H238">
        <v>64033.75</v>
      </c>
    </row>
    <row r="239" spans="1:8">
      <c r="A239" t="s">
        <v>2313</v>
      </c>
      <c r="B239" t="s">
        <v>456</v>
      </c>
      <c r="C239" t="s">
        <v>2314</v>
      </c>
      <c r="D239" t="s">
        <v>2315</v>
      </c>
      <c r="E239" t="s">
        <v>2179</v>
      </c>
      <c r="F239">
        <v>202109</v>
      </c>
      <c r="G239" t="s">
        <v>222</v>
      </c>
      <c r="H239">
        <v>512775.62</v>
      </c>
    </row>
    <row r="240" spans="1:8">
      <c r="A240" t="s">
        <v>2313</v>
      </c>
      <c r="B240" t="s">
        <v>456</v>
      </c>
      <c r="C240" t="s">
        <v>2314</v>
      </c>
      <c r="D240" t="s">
        <v>2315</v>
      </c>
      <c r="E240" t="s">
        <v>2179</v>
      </c>
      <c r="F240">
        <v>202109</v>
      </c>
      <c r="G240" t="s">
        <v>224</v>
      </c>
      <c r="H240">
        <v>65631.72</v>
      </c>
    </row>
    <row r="241" spans="1:8">
      <c r="A241" t="s">
        <v>2313</v>
      </c>
      <c r="B241" t="s">
        <v>456</v>
      </c>
      <c r="C241" t="s">
        <v>2314</v>
      </c>
      <c r="D241" t="s">
        <v>2315</v>
      </c>
      <c r="E241" t="s">
        <v>2179</v>
      </c>
      <c r="F241">
        <v>202109</v>
      </c>
      <c r="G241" t="s">
        <v>226</v>
      </c>
      <c r="H241">
        <v>14082.72</v>
      </c>
    </row>
    <row r="242" spans="1:8">
      <c r="A242" t="s">
        <v>2313</v>
      </c>
      <c r="B242" t="s">
        <v>456</v>
      </c>
      <c r="C242" t="s">
        <v>2314</v>
      </c>
      <c r="D242" t="s">
        <v>2315</v>
      </c>
      <c r="E242" t="s">
        <v>2179</v>
      </c>
      <c r="F242">
        <v>202110</v>
      </c>
      <c r="G242" t="s">
        <v>231</v>
      </c>
      <c r="H242">
        <v>507257.57</v>
      </c>
    </row>
    <row r="243" spans="1:8">
      <c r="A243" t="s">
        <v>2313</v>
      </c>
      <c r="B243" t="s">
        <v>456</v>
      </c>
      <c r="C243" t="s">
        <v>2314</v>
      </c>
      <c r="D243" t="s">
        <v>2315</v>
      </c>
      <c r="E243" t="s">
        <v>2179</v>
      </c>
      <c r="F243">
        <v>202110</v>
      </c>
      <c r="G243" t="s">
        <v>232</v>
      </c>
      <c r="H243">
        <v>59871.3</v>
      </c>
    </row>
    <row r="244" spans="1:8">
      <c r="A244" t="s">
        <v>2313</v>
      </c>
      <c r="B244" t="s">
        <v>456</v>
      </c>
      <c r="C244" t="s">
        <v>2314</v>
      </c>
      <c r="D244" t="s">
        <v>2315</v>
      </c>
      <c r="E244" t="s">
        <v>2179</v>
      </c>
      <c r="F244">
        <v>202110</v>
      </c>
      <c r="G244" t="s">
        <v>222</v>
      </c>
      <c r="H244">
        <v>520371.97</v>
      </c>
    </row>
    <row r="245" spans="1:8">
      <c r="A245" t="s">
        <v>2313</v>
      </c>
      <c r="B245" t="s">
        <v>456</v>
      </c>
      <c r="C245" t="s">
        <v>2314</v>
      </c>
      <c r="D245" t="s">
        <v>2315</v>
      </c>
      <c r="E245" t="s">
        <v>2179</v>
      </c>
      <c r="F245">
        <v>202110</v>
      </c>
      <c r="G245" t="s">
        <v>224</v>
      </c>
      <c r="H245">
        <v>61419.18</v>
      </c>
    </row>
    <row r="246" spans="1:8">
      <c r="A246" t="s">
        <v>2313</v>
      </c>
      <c r="B246" t="s">
        <v>456</v>
      </c>
      <c r="C246" t="s">
        <v>2314</v>
      </c>
      <c r="D246" t="s">
        <v>2315</v>
      </c>
      <c r="E246" t="s">
        <v>2179</v>
      </c>
      <c r="F246">
        <v>202110</v>
      </c>
      <c r="G246" t="s">
        <v>226</v>
      </c>
      <c r="H246">
        <v>14662.26</v>
      </c>
    </row>
    <row r="247" spans="1:8">
      <c r="A247" t="s">
        <v>2313</v>
      </c>
      <c r="B247" t="s">
        <v>456</v>
      </c>
      <c r="C247" t="s">
        <v>2314</v>
      </c>
      <c r="D247" t="s">
        <v>2315</v>
      </c>
      <c r="E247" t="s">
        <v>2179</v>
      </c>
      <c r="F247">
        <v>202111</v>
      </c>
      <c r="G247" t="s">
        <v>231</v>
      </c>
      <c r="H247">
        <v>514170.52</v>
      </c>
    </row>
    <row r="248" spans="1:8">
      <c r="A248" t="s">
        <v>2313</v>
      </c>
      <c r="B248" t="s">
        <v>456</v>
      </c>
      <c r="C248" t="s">
        <v>2314</v>
      </c>
      <c r="D248" t="s">
        <v>2315</v>
      </c>
      <c r="E248" t="s">
        <v>2179</v>
      </c>
      <c r="F248">
        <v>202111</v>
      </c>
      <c r="G248" t="s">
        <v>232</v>
      </c>
      <c r="H248">
        <v>59004.99</v>
      </c>
    </row>
    <row r="249" spans="1:8">
      <c r="A249" t="s">
        <v>2313</v>
      </c>
      <c r="B249" t="s">
        <v>456</v>
      </c>
      <c r="C249" t="s">
        <v>2314</v>
      </c>
      <c r="D249" t="s">
        <v>2315</v>
      </c>
      <c r="E249" t="s">
        <v>2179</v>
      </c>
      <c r="F249">
        <v>202111</v>
      </c>
      <c r="G249" t="s">
        <v>222</v>
      </c>
      <c r="H249">
        <v>525903.64</v>
      </c>
    </row>
    <row r="250" spans="1:8">
      <c r="A250" t="s">
        <v>2313</v>
      </c>
      <c r="B250" t="s">
        <v>456</v>
      </c>
      <c r="C250" t="s">
        <v>2314</v>
      </c>
      <c r="D250" t="s">
        <v>2315</v>
      </c>
      <c r="E250" t="s">
        <v>2179</v>
      </c>
      <c r="F250">
        <v>202111</v>
      </c>
      <c r="G250" t="s">
        <v>224</v>
      </c>
      <c r="H250">
        <v>60351.47</v>
      </c>
    </row>
    <row r="251" spans="1:8">
      <c r="A251" t="s">
        <v>2313</v>
      </c>
      <c r="B251" t="s">
        <v>456</v>
      </c>
      <c r="C251" t="s">
        <v>2314</v>
      </c>
      <c r="D251" t="s">
        <v>2315</v>
      </c>
      <c r="E251" t="s">
        <v>2179</v>
      </c>
      <c r="F251">
        <v>202111</v>
      </c>
      <c r="G251" t="s">
        <v>226</v>
      </c>
      <c r="H251">
        <v>13079.61</v>
      </c>
    </row>
    <row r="252" spans="1:8">
      <c r="A252" t="s">
        <v>2313</v>
      </c>
      <c r="B252" t="s">
        <v>456</v>
      </c>
      <c r="C252" t="s">
        <v>2314</v>
      </c>
      <c r="D252" t="s">
        <v>2315</v>
      </c>
      <c r="E252" t="s">
        <v>2179</v>
      </c>
      <c r="F252">
        <v>202112</v>
      </c>
      <c r="G252" t="s">
        <v>231</v>
      </c>
      <c r="H252">
        <v>542198.93999999994</v>
      </c>
    </row>
    <row r="253" spans="1:8">
      <c r="A253" t="s">
        <v>2313</v>
      </c>
      <c r="B253" t="s">
        <v>456</v>
      </c>
      <c r="C253" t="s">
        <v>2314</v>
      </c>
      <c r="D253" t="s">
        <v>2315</v>
      </c>
      <c r="E253" t="s">
        <v>2179</v>
      </c>
      <c r="F253">
        <v>202112</v>
      </c>
      <c r="G253" t="s">
        <v>232</v>
      </c>
      <c r="H253">
        <v>68358.460000000006</v>
      </c>
    </row>
    <row r="254" spans="1:8">
      <c r="A254" t="s">
        <v>2313</v>
      </c>
      <c r="B254" t="s">
        <v>456</v>
      </c>
      <c r="C254" t="s">
        <v>2314</v>
      </c>
      <c r="D254" t="s">
        <v>2315</v>
      </c>
      <c r="E254" t="s">
        <v>2179</v>
      </c>
      <c r="F254">
        <v>202112</v>
      </c>
      <c r="G254" t="s">
        <v>222</v>
      </c>
      <c r="H254">
        <v>552263.67000000004</v>
      </c>
    </row>
    <row r="255" spans="1:8">
      <c r="A255" t="s">
        <v>2313</v>
      </c>
      <c r="B255" t="s">
        <v>456</v>
      </c>
      <c r="C255" t="s">
        <v>2314</v>
      </c>
      <c r="D255" t="s">
        <v>2315</v>
      </c>
      <c r="E255" t="s">
        <v>2179</v>
      </c>
      <c r="F255">
        <v>202112</v>
      </c>
      <c r="G255" t="s">
        <v>224</v>
      </c>
      <c r="H255">
        <v>69627.39</v>
      </c>
    </row>
    <row r="256" spans="1:8">
      <c r="A256" t="s">
        <v>2313</v>
      </c>
      <c r="B256" t="s">
        <v>456</v>
      </c>
      <c r="C256" t="s">
        <v>2314</v>
      </c>
      <c r="D256" t="s">
        <v>2315</v>
      </c>
      <c r="E256" t="s">
        <v>2179</v>
      </c>
      <c r="F256">
        <v>202112</v>
      </c>
      <c r="G256" t="s">
        <v>226</v>
      </c>
      <c r="H256">
        <v>11333.65</v>
      </c>
    </row>
    <row r="257" spans="1:8">
      <c r="A257" t="s">
        <v>2313</v>
      </c>
      <c r="B257" t="s">
        <v>456</v>
      </c>
      <c r="C257" t="s">
        <v>2314</v>
      </c>
      <c r="D257" t="s">
        <v>2315</v>
      </c>
      <c r="E257" t="s">
        <v>2179</v>
      </c>
      <c r="F257">
        <v>202201</v>
      </c>
      <c r="G257" t="s">
        <v>231</v>
      </c>
      <c r="H257">
        <v>629136.82999999996</v>
      </c>
    </row>
    <row r="258" spans="1:8">
      <c r="A258" t="s">
        <v>2313</v>
      </c>
      <c r="B258" t="s">
        <v>456</v>
      </c>
      <c r="C258" t="s">
        <v>2314</v>
      </c>
      <c r="D258" t="s">
        <v>2315</v>
      </c>
      <c r="E258" t="s">
        <v>2179</v>
      </c>
      <c r="F258">
        <v>202201</v>
      </c>
      <c r="G258" t="s">
        <v>232</v>
      </c>
      <c r="H258">
        <v>65811.48</v>
      </c>
    </row>
    <row r="259" spans="1:8">
      <c r="A259" t="s">
        <v>2313</v>
      </c>
      <c r="B259" t="s">
        <v>456</v>
      </c>
      <c r="C259" t="s">
        <v>2314</v>
      </c>
      <c r="D259" t="s">
        <v>2315</v>
      </c>
      <c r="E259" t="s">
        <v>2179</v>
      </c>
      <c r="F259">
        <v>202201</v>
      </c>
      <c r="G259" t="s">
        <v>222</v>
      </c>
      <c r="H259">
        <v>629136.82999999996</v>
      </c>
    </row>
    <row r="260" spans="1:8">
      <c r="A260" t="s">
        <v>2313</v>
      </c>
      <c r="B260" t="s">
        <v>456</v>
      </c>
      <c r="C260" t="s">
        <v>2314</v>
      </c>
      <c r="D260" t="s">
        <v>2315</v>
      </c>
      <c r="E260" t="s">
        <v>2179</v>
      </c>
      <c r="F260">
        <v>202201</v>
      </c>
      <c r="G260" t="s">
        <v>224</v>
      </c>
      <c r="H260">
        <v>65811.48</v>
      </c>
    </row>
    <row r="261" spans="1:8">
      <c r="A261" t="s">
        <v>2313</v>
      </c>
      <c r="B261" t="s">
        <v>456</v>
      </c>
      <c r="C261" t="s">
        <v>2314</v>
      </c>
      <c r="D261" t="s">
        <v>2315</v>
      </c>
      <c r="E261" t="s">
        <v>2179</v>
      </c>
      <c r="F261">
        <v>202201</v>
      </c>
      <c r="G261" t="s">
        <v>226</v>
      </c>
      <c r="H261">
        <v>0</v>
      </c>
    </row>
    <row r="262" spans="1:8">
      <c r="A262" t="s">
        <v>2313</v>
      </c>
      <c r="B262" t="s">
        <v>456</v>
      </c>
      <c r="C262" t="s">
        <v>2314</v>
      </c>
      <c r="D262" t="s">
        <v>2315</v>
      </c>
      <c r="E262" t="s">
        <v>2179</v>
      </c>
      <c r="F262">
        <v>202202</v>
      </c>
      <c r="G262" t="s">
        <v>231</v>
      </c>
      <c r="H262">
        <v>553063.56000000006</v>
      </c>
    </row>
    <row r="263" spans="1:8">
      <c r="A263" t="s">
        <v>2313</v>
      </c>
      <c r="B263" t="s">
        <v>456</v>
      </c>
      <c r="C263" t="s">
        <v>2314</v>
      </c>
      <c r="D263" t="s">
        <v>2315</v>
      </c>
      <c r="E263" t="s">
        <v>2179</v>
      </c>
      <c r="F263">
        <v>202202</v>
      </c>
      <c r="G263" t="s">
        <v>232</v>
      </c>
      <c r="H263">
        <v>63340.62</v>
      </c>
    </row>
    <row r="264" spans="1:8">
      <c r="A264" t="s">
        <v>2313</v>
      </c>
      <c r="B264" t="s">
        <v>456</v>
      </c>
      <c r="C264" t="s">
        <v>2314</v>
      </c>
      <c r="D264" t="s">
        <v>2315</v>
      </c>
      <c r="E264" t="s">
        <v>2179</v>
      </c>
      <c r="F264">
        <v>202202</v>
      </c>
      <c r="G264" t="s">
        <v>222</v>
      </c>
      <c r="H264">
        <v>553063.56000000006</v>
      </c>
    </row>
    <row r="265" spans="1:8">
      <c r="A265" t="s">
        <v>2313</v>
      </c>
      <c r="B265" t="s">
        <v>456</v>
      </c>
      <c r="C265" t="s">
        <v>2314</v>
      </c>
      <c r="D265" t="s">
        <v>2315</v>
      </c>
      <c r="E265" t="s">
        <v>2179</v>
      </c>
      <c r="F265">
        <v>202202</v>
      </c>
      <c r="G265" t="s">
        <v>224</v>
      </c>
      <c r="H265">
        <v>63340.62</v>
      </c>
    </row>
    <row r="266" spans="1:8">
      <c r="A266" t="s">
        <v>2313</v>
      </c>
      <c r="B266" t="s">
        <v>456</v>
      </c>
      <c r="C266" t="s">
        <v>2314</v>
      </c>
      <c r="D266" t="s">
        <v>2315</v>
      </c>
      <c r="E266" t="s">
        <v>2179</v>
      </c>
      <c r="F266">
        <v>202202</v>
      </c>
      <c r="G266" t="s">
        <v>226</v>
      </c>
      <c r="H266">
        <v>0</v>
      </c>
    </row>
    <row r="267" spans="1:8">
      <c r="A267" t="s">
        <v>2313</v>
      </c>
      <c r="B267" t="s">
        <v>456</v>
      </c>
      <c r="C267" t="s">
        <v>2314</v>
      </c>
      <c r="D267" t="s">
        <v>2315</v>
      </c>
      <c r="E267" t="s">
        <v>2179</v>
      </c>
      <c r="F267">
        <v>202203</v>
      </c>
      <c r="G267" t="s">
        <v>231</v>
      </c>
      <c r="H267">
        <v>559625.72</v>
      </c>
    </row>
    <row r="268" spans="1:8">
      <c r="A268" t="s">
        <v>2313</v>
      </c>
      <c r="B268" t="s">
        <v>456</v>
      </c>
      <c r="C268" t="s">
        <v>2314</v>
      </c>
      <c r="D268" t="s">
        <v>2315</v>
      </c>
      <c r="E268" t="s">
        <v>2179</v>
      </c>
      <c r="F268">
        <v>202203</v>
      </c>
      <c r="G268" t="s">
        <v>232</v>
      </c>
      <c r="H268">
        <v>68216.399999999994</v>
      </c>
    </row>
    <row r="269" spans="1:8">
      <c r="A269" t="s">
        <v>2313</v>
      </c>
      <c r="B269" t="s">
        <v>456</v>
      </c>
      <c r="C269" t="s">
        <v>2314</v>
      </c>
      <c r="D269" t="s">
        <v>2315</v>
      </c>
      <c r="E269" t="s">
        <v>2179</v>
      </c>
      <c r="F269">
        <v>202203</v>
      </c>
      <c r="G269" t="s">
        <v>222</v>
      </c>
      <c r="H269">
        <v>559625.64</v>
      </c>
    </row>
    <row r="270" spans="1:8">
      <c r="A270" t="s">
        <v>2313</v>
      </c>
      <c r="B270" t="s">
        <v>456</v>
      </c>
      <c r="C270" t="s">
        <v>2314</v>
      </c>
      <c r="D270" t="s">
        <v>2315</v>
      </c>
      <c r="E270" t="s">
        <v>2179</v>
      </c>
      <c r="F270">
        <v>202203</v>
      </c>
      <c r="G270" t="s">
        <v>224</v>
      </c>
      <c r="H270">
        <v>68216.399999999994</v>
      </c>
    </row>
    <row r="271" spans="1:8">
      <c r="A271" t="s">
        <v>2313</v>
      </c>
      <c r="B271" t="s">
        <v>456</v>
      </c>
      <c r="C271" t="s">
        <v>2314</v>
      </c>
      <c r="D271" t="s">
        <v>2315</v>
      </c>
      <c r="E271" t="s">
        <v>2179</v>
      </c>
      <c r="F271">
        <v>202203</v>
      </c>
      <c r="G271" t="s">
        <v>226</v>
      </c>
      <c r="H271">
        <v>0</v>
      </c>
    </row>
    <row r="272" spans="1:8">
      <c r="A272" t="s">
        <v>2313</v>
      </c>
      <c r="B272" t="s">
        <v>456</v>
      </c>
      <c r="C272" t="s">
        <v>2314</v>
      </c>
      <c r="D272" t="s">
        <v>2315</v>
      </c>
      <c r="E272" t="s">
        <v>2179</v>
      </c>
      <c r="F272">
        <v>202204</v>
      </c>
      <c r="G272" t="s">
        <v>231</v>
      </c>
      <c r="H272">
        <v>551251.75</v>
      </c>
    </row>
    <row r="273" spans="1:8">
      <c r="A273" t="s">
        <v>2313</v>
      </c>
      <c r="B273" t="s">
        <v>456</v>
      </c>
      <c r="C273" t="s">
        <v>2314</v>
      </c>
      <c r="D273" t="s">
        <v>2315</v>
      </c>
      <c r="E273" t="s">
        <v>2179</v>
      </c>
      <c r="F273">
        <v>202204</v>
      </c>
      <c r="G273" t="s">
        <v>232</v>
      </c>
      <c r="H273">
        <v>67084.36</v>
      </c>
    </row>
    <row r="274" spans="1:8">
      <c r="A274" t="s">
        <v>2313</v>
      </c>
      <c r="B274" t="s">
        <v>456</v>
      </c>
      <c r="C274" t="s">
        <v>2314</v>
      </c>
      <c r="D274" t="s">
        <v>2315</v>
      </c>
      <c r="E274" t="s">
        <v>2179</v>
      </c>
      <c r="F274">
        <v>202204</v>
      </c>
      <c r="G274" t="s">
        <v>222</v>
      </c>
      <c r="H274">
        <v>551251.75</v>
      </c>
    </row>
    <row r="275" spans="1:8">
      <c r="A275" t="s">
        <v>2313</v>
      </c>
      <c r="B275" t="s">
        <v>456</v>
      </c>
      <c r="C275" t="s">
        <v>2314</v>
      </c>
      <c r="D275" t="s">
        <v>2315</v>
      </c>
      <c r="E275" t="s">
        <v>2179</v>
      </c>
      <c r="F275">
        <v>202204</v>
      </c>
      <c r="G275" t="s">
        <v>224</v>
      </c>
      <c r="H275">
        <v>67084.36</v>
      </c>
    </row>
    <row r="276" spans="1:8">
      <c r="A276" t="s">
        <v>2313</v>
      </c>
      <c r="B276" t="s">
        <v>456</v>
      </c>
      <c r="C276" t="s">
        <v>2314</v>
      </c>
      <c r="D276" t="s">
        <v>2315</v>
      </c>
      <c r="E276" t="s">
        <v>2179</v>
      </c>
      <c r="F276">
        <v>202204</v>
      </c>
      <c r="G276" t="s">
        <v>226</v>
      </c>
      <c r="H276">
        <v>0</v>
      </c>
    </row>
    <row r="277" spans="1:8">
      <c r="A277" t="s">
        <v>2313</v>
      </c>
      <c r="B277" t="s">
        <v>456</v>
      </c>
      <c r="C277" t="s">
        <v>2314</v>
      </c>
      <c r="D277" t="s">
        <v>2315</v>
      </c>
      <c r="E277" t="s">
        <v>2179</v>
      </c>
      <c r="F277">
        <v>202205</v>
      </c>
      <c r="G277" t="s">
        <v>231</v>
      </c>
      <c r="H277">
        <v>617211.28</v>
      </c>
    </row>
    <row r="278" spans="1:8">
      <c r="A278" t="s">
        <v>2313</v>
      </c>
      <c r="B278" t="s">
        <v>456</v>
      </c>
      <c r="C278" t="s">
        <v>2314</v>
      </c>
      <c r="D278" t="s">
        <v>2315</v>
      </c>
      <c r="E278" t="s">
        <v>2179</v>
      </c>
      <c r="F278">
        <v>202205</v>
      </c>
      <c r="G278" t="s">
        <v>232</v>
      </c>
      <c r="H278">
        <v>88252.84</v>
      </c>
    </row>
    <row r="279" spans="1:8">
      <c r="A279" t="s">
        <v>2313</v>
      </c>
      <c r="B279" t="s">
        <v>456</v>
      </c>
      <c r="C279" t="s">
        <v>2314</v>
      </c>
      <c r="D279" t="s">
        <v>2315</v>
      </c>
      <c r="E279" t="s">
        <v>2179</v>
      </c>
      <c r="F279">
        <v>202205</v>
      </c>
      <c r="G279" t="s">
        <v>222</v>
      </c>
      <c r="H279">
        <v>617211.28</v>
      </c>
    </row>
    <row r="280" spans="1:8">
      <c r="A280" t="s">
        <v>2313</v>
      </c>
      <c r="B280" t="s">
        <v>456</v>
      </c>
      <c r="C280" t="s">
        <v>2314</v>
      </c>
      <c r="D280" t="s">
        <v>2315</v>
      </c>
      <c r="E280" t="s">
        <v>2179</v>
      </c>
      <c r="F280">
        <v>202205</v>
      </c>
      <c r="G280" t="s">
        <v>224</v>
      </c>
      <c r="H280">
        <v>88252.84</v>
      </c>
    </row>
    <row r="281" spans="1:8">
      <c r="A281" t="s">
        <v>2313</v>
      </c>
      <c r="B281" t="s">
        <v>456</v>
      </c>
      <c r="C281" t="s">
        <v>2314</v>
      </c>
      <c r="D281" t="s">
        <v>2315</v>
      </c>
      <c r="E281" t="s">
        <v>2179</v>
      </c>
      <c r="F281">
        <v>202205</v>
      </c>
      <c r="G281" t="s">
        <v>226</v>
      </c>
      <c r="H281">
        <v>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6" zoomScale="115" zoomScaleNormal="115" workbookViewId="0">
      <pane xSplit="1" topLeftCell="G1" activePane="topRight" state="frozen"/>
      <selection activeCell="A7" sqref="A7"/>
      <selection pane="topRight" activeCell="H40" sqref="H40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234</v>
      </c>
    </row>
    <row r="2" spans="1:50">
      <c r="A2" s="63" t="s">
        <v>235</v>
      </c>
      <c r="AI2" t="s">
        <v>2163</v>
      </c>
    </row>
    <row r="3" spans="1:50">
      <c r="A3" s="63" t="s">
        <v>236</v>
      </c>
      <c r="AI3" t="s">
        <v>2164</v>
      </c>
    </row>
    <row r="4" spans="1:50">
      <c r="A4" s="63" t="s">
        <v>237</v>
      </c>
    </row>
    <row r="7" spans="1:50">
      <c r="A7" s="655" t="s">
        <v>238</v>
      </c>
      <c r="M7" t="s">
        <v>2155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3" t="s">
        <v>239</v>
      </c>
      <c r="B9" s="513" t="s">
        <v>240</v>
      </c>
      <c r="C9" s="513" t="s">
        <v>241</v>
      </c>
      <c r="D9" s="513" t="s">
        <v>242</v>
      </c>
      <c r="E9" s="513" t="s">
        <v>243</v>
      </c>
      <c r="F9" s="513" t="s">
        <v>244</v>
      </c>
      <c r="G9" s="513" t="s">
        <v>245</v>
      </c>
      <c r="H9" s="513" t="s">
        <v>246</v>
      </c>
      <c r="I9" s="513" t="s">
        <v>247</v>
      </c>
      <c r="J9" s="513" t="s">
        <v>248</v>
      </c>
      <c r="K9" s="513" t="s">
        <v>249</v>
      </c>
      <c r="L9" s="513" t="s">
        <v>250</v>
      </c>
      <c r="M9" s="513" t="s">
        <v>251</v>
      </c>
      <c r="N9" s="513" t="s">
        <v>252</v>
      </c>
      <c r="O9" s="513" t="s">
        <v>253</v>
      </c>
      <c r="P9" s="513" t="s">
        <v>254</v>
      </c>
      <c r="Q9" s="513" t="s">
        <v>255</v>
      </c>
      <c r="R9" s="513" t="s">
        <v>256</v>
      </c>
      <c r="S9" s="513" t="s">
        <v>257</v>
      </c>
      <c r="T9" s="513" t="s">
        <v>258</v>
      </c>
      <c r="U9" s="514" t="s">
        <v>259</v>
      </c>
      <c r="V9" s="513" t="s">
        <v>260</v>
      </c>
      <c r="W9" s="513" t="s">
        <v>261</v>
      </c>
      <c r="X9" s="514" t="s">
        <v>262</v>
      </c>
      <c r="Y9" s="514" t="s">
        <v>263</v>
      </c>
      <c r="Z9" s="514" t="s">
        <v>264</v>
      </c>
      <c r="AA9" s="514" t="s">
        <v>265</v>
      </c>
      <c r="AB9" s="514" t="s">
        <v>266</v>
      </c>
      <c r="AC9" s="514" t="s">
        <v>267</v>
      </c>
      <c r="AD9" s="514" t="s">
        <v>268</v>
      </c>
      <c r="AE9" s="514" t="s">
        <v>269</v>
      </c>
      <c r="AF9" s="514" t="s">
        <v>270</v>
      </c>
      <c r="AG9" s="514" t="s">
        <v>271</v>
      </c>
      <c r="AH9" s="514" t="s">
        <v>272</v>
      </c>
      <c r="AI9" s="514" t="s">
        <v>273</v>
      </c>
      <c r="AJ9" s="514" t="s">
        <v>274</v>
      </c>
      <c r="AK9" s="514" t="s">
        <v>275</v>
      </c>
      <c r="AL9" s="514" t="s">
        <v>276</v>
      </c>
      <c r="AM9" s="514" t="s">
        <v>277</v>
      </c>
      <c r="AN9" s="514" t="s">
        <v>278</v>
      </c>
      <c r="AR9" s="810" t="s">
        <v>239</v>
      </c>
      <c r="AS9" s="811" t="s">
        <v>279</v>
      </c>
    </row>
    <row r="10" spans="1:50" s="9" customFormat="1" ht="31.5" hidden="1">
      <c r="A10" s="629" t="s">
        <v>280</v>
      </c>
      <c r="B10" s="629" t="s">
        <v>281</v>
      </c>
      <c r="C10" s="629">
        <v>5381</v>
      </c>
      <c r="D10" s="629" t="s">
        <v>282</v>
      </c>
      <c r="E10" s="629" t="s">
        <v>283</v>
      </c>
      <c r="F10" s="629" t="s">
        <v>284</v>
      </c>
      <c r="G10" s="629" t="s">
        <v>285</v>
      </c>
      <c r="H10" s="629">
        <v>3.7699999999999997E-2</v>
      </c>
      <c r="I10" s="629" t="s">
        <v>286</v>
      </c>
      <c r="J10" s="629">
        <v>104</v>
      </c>
      <c r="K10" s="629" t="s">
        <v>164</v>
      </c>
      <c r="L10" s="629">
        <v>145</v>
      </c>
      <c r="M10" s="813">
        <v>0</v>
      </c>
      <c r="N10" s="1592"/>
      <c r="O10" s="1592" t="s">
        <v>2156</v>
      </c>
      <c r="P10" s="1589">
        <v>0.18360000000000001</v>
      </c>
      <c r="Q10" s="1592">
        <v>16758759.762993418</v>
      </c>
      <c r="R10" s="1600">
        <v>44531</v>
      </c>
      <c r="S10" s="1592" t="s">
        <v>2167</v>
      </c>
      <c r="T10" s="629" t="s">
        <v>287</v>
      </c>
      <c r="U10" s="740" t="s">
        <v>288</v>
      </c>
      <c r="V10" s="629">
        <v>2024</v>
      </c>
      <c r="W10" s="1587">
        <v>2974</v>
      </c>
      <c r="X10" s="1588" t="s">
        <v>2158</v>
      </c>
      <c r="Y10" s="1589">
        <v>1.15E-2</v>
      </c>
      <c r="Z10" s="1590">
        <v>0</v>
      </c>
      <c r="AA10" s="1590" t="s">
        <v>289</v>
      </c>
      <c r="AB10" s="490">
        <v>39.72</v>
      </c>
      <c r="AC10" s="490">
        <v>539.16</v>
      </c>
      <c r="AD10" s="490">
        <v>3502812.67</v>
      </c>
      <c r="AE10" s="1591">
        <v>42300</v>
      </c>
      <c r="AF10" s="1591">
        <v>42300</v>
      </c>
      <c r="AG10" s="1592">
        <v>0</v>
      </c>
      <c r="AH10" s="629"/>
      <c r="AI10" s="740">
        <v>41472</v>
      </c>
      <c r="AJ10" s="740">
        <v>42613</v>
      </c>
      <c r="AK10" s="740" t="s">
        <v>290</v>
      </c>
      <c r="AL10" s="740"/>
      <c r="AM10" s="740"/>
      <c r="AN10" s="862"/>
      <c r="AO10" s="235"/>
      <c r="AP10" s="17"/>
      <c r="AR10" s="816" t="s">
        <v>291</v>
      </c>
      <c r="AS10" s="235"/>
      <c r="AT10" s="235"/>
      <c r="AX10" s="235"/>
    </row>
    <row r="11" spans="1:50" s="9" customFormat="1" ht="31.5" hidden="1">
      <c r="A11" s="629" t="s">
        <v>187</v>
      </c>
      <c r="B11" s="629" t="s">
        <v>292</v>
      </c>
      <c r="C11" s="629">
        <v>5366</v>
      </c>
      <c r="D11" s="629" t="s">
        <v>293</v>
      </c>
      <c r="E11" s="629" t="s">
        <v>283</v>
      </c>
      <c r="F11" s="629" t="s">
        <v>294</v>
      </c>
      <c r="G11" s="629" t="s">
        <v>285</v>
      </c>
      <c r="H11" s="629">
        <v>9.9699999999999997E-2</v>
      </c>
      <c r="I11" s="629" t="s">
        <v>164</v>
      </c>
      <c r="J11" s="629">
        <v>145</v>
      </c>
      <c r="K11" s="629"/>
      <c r="L11" s="629"/>
      <c r="M11" s="813">
        <v>0</v>
      </c>
      <c r="N11" s="1592"/>
      <c r="O11" s="1592" t="str">
        <f>O10</f>
        <v>ReH 2.995/2021</v>
      </c>
      <c r="P11" s="1601">
        <v>8.7599999999999997E-2</v>
      </c>
      <c r="Q11" s="1592">
        <v>12051594.579145933</v>
      </c>
      <c r="R11" s="1600">
        <v>44531</v>
      </c>
      <c r="S11" s="1592" t="str">
        <f>S10</f>
        <v>Desp. 521/2022</v>
      </c>
      <c r="T11" s="629" t="s">
        <v>295</v>
      </c>
      <c r="U11" s="740" t="s">
        <v>296</v>
      </c>
      <c r="V11" s="629">
        <v>2024</v>
      </c>
      <c r="W11" s="1587">
        <v>2944</v>
      </c>
      <c r="X11" s="1588" t="s">
        <v>2162</v>
      </c>
      <c r="Y11" s="629"/>
      <c r="AA11" s="1590" t="s">
        <v>164</v>
      </c>
      <c r="AB11" s="1592">
        <v>39.799999999999997</v>
      </c>
      <c r="AC11" s="1593">
        <v>133.91999999999999</v>
      </c>
      <c r="AD11" s="1593">
        <v>2423958.41</v>
      </c>
      <c r="AE11" s="740">
        <v>43678</v>
      </c>
      <c r="AF11" s="740">
        <v>43678</v>
      </c>
      <c r="AG11" s="1592">
        <v>0</v>
      </c>
      <c r="AH11" s="629"/>
      <c r="AI11" s="740">
        <v>41472</v>
      </c>
      <c r="AJ11" s="740">
        <v>42613</v>
      </c>
      <c r="AK11" s="740" t="s">
        <v>290</v>
      </c>
      <c r="AL11" s="740"/>
      <c r="AM11" s="740"/>
      <c r="AN11" s="862"/>
      <c r="AO11" s="235"/>
      <c r="AP11" s="17"/>
      <c r="AR11" s="816" t="s">
        <v>280</v>
      </c>
      <c r="AS11" s="235"/>
      <c r="AT11" s="235"/>
      <c r="AX11" s="235"/>
    </row>
    <row r="12" spans="1:50" s="9" customFormat="1" ht="31.5" hidden="1">
      <c r="A12" s="629" t="s">
        <v>297</v>
      </c>
      <c r="B12" s="629" t="s">
        <v>298</v>
      </c>
      <c r="C12" s="629">
        <v>5386</v>
      </c>
      <c r="D12" s="629" t="s">
        <v>299</v>
      </c>
      <c r="E12" s="629" t="s">
        <v>283</v>
      </c>
      <c r="F12" s="629" t="s">
        <v>300</v>
      </c>
      <c r="G12" s="629" t="s">
        <v>285</v>
      </c>
      <c r="H12" s="629">
        <v>3.7699999999999997E-2</v>
      </c>
      <c r="I12" s="629" t="s">
        <v>178</v>
      </c>
      <c r="J12" s="629">
        <v>135</v>
      </c>
      <c r="K12" s="629"/>
      <c r="L12" s="629"/>
      <c r="M12" s="813">
        <v>0</v>
      </c>
      <c r="N12" s="1592"/>
      <c r="O12" s="1592" t="str">
        <f t="shared" ref="O12:O61" si="9">O11</f>
        <v>ReH 2.995/2021</v>
      </c>
      <c r="P12" s="1601">
        <v>0.1298</v>
      </c>
      <c r="Q12" s="1592">
        <v>17888427.870995689</v>
      </c>
      <c r="R12" s="1600">
        <v>44531</v>
      </c>
      <c r="S12" s="1592" t="str">
        <f t="shared" ref="S12:S61" si="10">S11</f>
        <v>Desp. 521/2022</v>
      </c>
      <c r="T12" s="629" t="s">
        <v>301</v>
      </c>
      <c r="U12" s="740" t="s">
        <v>296</v>
      </c>
      <c r="V12" s="629">
        <v>2024</v>
      </c>
      <c r="W12" s="1587">
        <v>2977</v>
      </c>
      <c r="X12" s="1588" t="s">
        <v>2158</v>
      </c>
      <c r="Y12" s="1589">
        <v>1.15E-2</v>
      </c>
      <c r="Z12" s="1590">
        <v>-0.02</v>
      </c>
      <c r="AA12" s="1590" t="s">
        <v>302</v>
      </c>
      <c r="AB12" s="1592">
        <v>45.63</v>
      </c>
      <c r="AC12" s="1593">
        <v>532.64</v>
      </c>
      <c r="AD12" s="1593">
        <v>5694629.8099999996</v>
      </c>
      <c r="AE12" s="740">
        <v>43739</v>
      </c>
      <c r="AF12" s="740">
        <v>43739</v>
      </c>
      <c r="AG12" s="1592">
        <v>0</v>
      </c>
      <c r="AH12" s="629"/>
      <c r="AI12" s="740">
        <v>41472</v>
      </c>
      <c r="AJ12" s="740">
        <v>42673</v>
      </c>
      <c r="AK12" s="740" t="s">
        <v>290</v>
      </c>
      <c r="AL12" s="740"/>
      <c r="AM12" s="740"/>
      <c r="AN12" s="862"/>
      <c r="AO12" s="235"/>
      <c r="AP12" s="17"/>
      <c r="AR12" s="816" t="s">
        <v>187</v>
      </c>
      <c r="AS12" s="235"/>
      <c r="AT12" s="235"/>
      <c r="AX12" s="235"/>
    </row>
    <row r="13" spans="1:50" s="9" customFormat="1" ht="31.5" hidden="1">
      <c r="A13" s="629" t="s">
        <v>303</v>
      </c>
      <c r="B13" s="629" t="s">
        <v>304</v>
      </c>
      <c r="C13" s="629">
        <v>5378</v>
      </c>
      <c r="D13" s="629" t="s">
        <v>305</v>
      </c>
      <c r="E13" s="629" t="s">
        <v>283</v>
      </c>
      <c r="F13" s="629" t="s">
        <v>306</v>
      </c>
      <c r="G13" s="629" t="s">
        <v>285</v>
      </c>
      <c r="H13" s="629">
        <v>9.9699999999999997E-2</v>
      </c>
      <c r="I13" s="629" t="s">
        <v>204</v>
      </c>
      <c r="J13" s="629">
        <v>166</v>
      </c>
      <c r="K13" s="629" t="s">
        <v>164</v>
      </c>
      <c r="L13" s="629">
        <v>145</v>
      </c>
      <c r="M13" s="813">
        <v>0</v>
      </c>
      <c r="N13" s="1592"/>
      <c r="O13" s="1592" t="str">
        <f t="shared" si="9"/>
        <v>ReH 2.995/2021</v>
      </c>
      <c r="P13" s="1601">
        <v>0.1832</v>
      </c>
      <c r="Q13" s="1592">
        <v>51573900.56414932</v>
      </c>
      <c r="R13" s="1600">
        <v>44531</v>
      </c>
      <c r="S13" s="1592" t="str">
        <f t="shared" si="10"/>
        <v>Desp. 521/2022</v>
      </c>
      <c r="T13" s="629" t="s">
        <v>307</v>
      </c>
      <c r="U13" s="740" t="s">
        <v>296</v>
      </c>
      <c r="V13" s="629">
        <v>2024</v>
      </c>
      <c r="W13" s="1587">
        <v>2863</v>
      </c>
      <c r="X13" s="1588" t="s">
        <v>2161</v>
      </c>
      <c r="Y13" s="629"/>
      <c r="AA13" s="1590" t="s">
        <v>308</v>
      </c>
      <c r="AB13" s="1592">
        <v>60.67</v>
      </c>
      <c r="AC13" s="1593">
        <v>128.56</v>
      </c>
      <c r="AD13" s="1593">
        <v>16751978.699999999</v>
      </c>
      <c r="AE13" s="740">
        <v>44256</v>
      </c>
      <c r="AF13" s="740">
        <v>44277</v>
      </c>
      <c r="AG13" s="1592">
        <v>0</v>
      </c>
      <c r="AH13" s="629"/>
      <c r="AI13" s="740">
        <v>41472</v>
      </c>
      <c r="AJ13" s="740">
        <v>42410</v>
      </c>
      <c r="AK13" s="740" t="s">
        <v>290</v>
      </c>
      <c r="AL13" s="740"/>
      <c r="AM13" s="740"/>
      <c r="AN13" s="862"/>
      <c r="AO13" s="235"/>
      <c r="AP13" s="17"/>
      <c r="AR13" s="816" t="s">
        <v>186</v>
      </c>
      <c r="AS13" s="235"/>
      <c r="AT13" s="235"/>
      <c r="AX13" s="235"/>
    </row>
    <row r="14" spans="1:50" s="9" customFormat="1" ht="31.5" hidden="1">
      <c r="A14" s="629" t="s">
        <v>309</v>
      </c>
      <c r="B14" s="629" t="s">
        <v>310</v>
      </c>
      <c r="C14" s="629">
        <v>5382</v>
      </c>
      <c r="D14" s="629" t="s">
        <v>311</v>
      </c>
      <c r="E14" s="629" t="s">
        <v>283</v>
      </c>
      <c r="F14" s="629" t="s">
        <v>312</v>
      </c>
      <c r="G14" s="629" t="s">
        <v>285</v>
      </c>
      <c r="H14" s="629">
        <v>3.7699999999999997E-2</v>
      </c>
      <c r="I14" s="629" t="s">
        <v>313</v>
      </c>
      <c r="J14" s="629">
        <v>148</v>
      </c>
      <c r="K14" s="629"/>
      <c r="L14" s="629"/>
      <c r="M14" s="813">
        <v>0</v>
      </c>
      <c r="N14" s="1592"/>
      <c r="O14" s="1592" t="str">
        <f t="shared" si="9"/>
        <v>ReH 2.995/2021</v>
      </c>
      <c r="P14" s="1601">
        <v>8.9499999999999996E-2</v>
      </c>
      <c r="Q14" s="1602">
        <v>8419443.0538159572</v>
      </c>
      <c r="R14" s="1600">
        <v>44531</v>
      </c>
      <c r="S14" s="1592" t="str">
        <f t="shared" si="10"/>
        <v>Desp. 521/2022</v>
      </c>
      <c r="T14" s="629" t="s">
        <v>314</v>
      </c>
      <c r="U14" s="740" t="s">
        <v>296</v>
      </c>
      <c r="V14" s="629">
        <v>2024</v>
      </c>
      <c r="W14" s="1587">
        <v>2910</v>
      </c>
      <c r="X14" s="1588" t="s">
        <v>2160</v>
      </c>
      <c r="Y14" s="1589">
        <v>1.15E-2</v>
      </c>
      <c r="Z14" s="1590">
        <v>0</v>
      </c>
      <c r="AA14" s="1590" t="s">
        <v>313</v>
      </c>
      <c r="AB14" s="1592">
        <v>33.24</v>
      </c>
      <c r="AC14" s="1593">
        <v>986.44</v>
      </c>
      <c r="AD14" s="1593">
        <v>2124774.87</v>
      </c>
      <c r="AE14" s="740">
        <v>43647</v>
      </c>
      <c r="AF14" s="740">
        <v>43647</v>
      </c>
      <c r="AG14" s="1592">
        <v>0</v>
      </c>
      <c r="AH14" s="629"/>
      <c r="AI14" s="740">
        <v>41472</v>
      </c>
      <c r="AJ14" s="740">
        <v>42562</v>
      </c>
      <c r="AK14" s="740" t="s">
        <v>290</v>
      </c>
      <c r="AL14" s="740"/>
      <c r="AM14" s="740"/>
      <c r="AN14" s="862"/>
      <c r="AO14" s="235"/>
      <c r="AP14" s="17"/>
      <c r="AR14" s="816" t="s">
        <v>315</v>
      </c>
      <c r="AS14" s="235"/>
      <c r="AT14" s="235"/>
      <c r="AX14" s="235"/>
    </row>
    <row r="15" spans="1:50" s="9" customFormat="1" ht="31.5" hidden="1">
      <c r="A15" s="629" t="s">
        <v>316</v>
      </c>
      <c r="B15" s="629" t="s">
        <v>317</v>
      </c>
      <c r="C15" s="629">
        <v>6610</v>
      </c>
      <c r="D15" s="629" t="s">
        <v>318</v>
      </c>
      <c r="E15" s="629" t="s">
        <v>283</v>
      </c>
      <c r="F15" s="629" t="s">
        <v>319</v>
      </c>
      <c r="G15" s="629" t="s">
        <v>285</v>
      </c>
      <c r="H15" s="629">
        <v>9.9699999999999997E-2</v>
      </c>
      <c r="I15" s="629" t="s">
        <v>286</v>
      </c>
      <c r="J15" s="629">
        <v>104</v>
      </c>
      <c r="K15" s="629"/>
      <c r="L15" s="629"/>
      <c r="M15" s="813">
        <v>0</v>
      </c>
      <c r="N15" s="1592"/>
      <c r="O15" s="1592" t="str">
        <f t="shared" si="9"/>
        <v>ReH 2.995/2021</v>
      </c>
      <c r="P15" s="1601">
        <v>0.14800000000000002</v>
      </c>
      <c r="Q15" s="1602">
        <v>5024282.8201926984</v>
      </c>
      <c r="R15" s="1600">
        <v>44531</v>
      </c>
      <c r="S15" s="1592" t="str">
        <f t="shared" si="10"/>
        <v>Desp. 521/2022</v>
      </c>
      <c r="T15" s="629" t="s">
        <v>320</v>
      </c>
      <c r="U15" s="740" t="s">
        <v>288</v>
      </c>
      <c r="V15" s="629">
        <v>2024</v>
      </c>
      <c r="W15" s="1587">
        <v>2978</v>
      </c>
      <c r="X15" s="1588" t="s">
        <v>2158</v>
      </c>
      <c r="Y15" s="629"/>
      <c r="AA15" s="1590" t="s">
        <v>289</v>
      </c>
      <c r="AB15" s="1592">
        <v>98.54</v>
      </c>
      <c r="AC15" s="1593">
        <v>492.16</v>
      </c>
      <c r="AD15" s="1593">
        <v>607256.85</v>
      </c>
      <c r="AE15" s="740">
        <v>43739</v>
      </c>
      <c r="AF15" s="740">
        <v>43739</v>
      </c>
      <c r="AG15" s="1592">
        <v>0</v>
      </c>
      <c r="AH15" s="629"/>
      <c r="AI15" s="740">
        <v>41472</v>
      </c>
      <c r="AJ15" s="740">
        <v>42673</v>
      </c>
      <c r="AK15" s="740" t="s">
        <v>290</v>
      </c>
      <c r="AL15" s="740"/>
      <c r="AM15" s="740"/>
      <c r="AN15" s="862"/>
      <c r="AO15" s="235"/>
      <c r="AP15" s="17"/>
      <c r="AR15" s="816" t="s">
        <v>321</v>
      </c>
      <c r="AS15" s="235"/>
      <c r="AT15" s="235"/>
      <c r="AX15" s="235"/>
    </row>
    <row r="16" spans="1:50" s="9" customFormat="1" ht="31.5" hidden="1">
      <c r="A16" s="629" t="s">
        <v>322</v>
      </c>
      <c r="B16" s="629" t="s">
        <v>323</v>
      </c>
      <c r="C16" s="629">
        <v>6609</v>
      </c>
      <c r="D16" s="629" t="s">
        <v>324</v>
      </c>
      <c r="E16" s="629" t="s">
        <v>283</v>
      </c>
      <c r="F16" s="629" t="s">
        <v>325</v>
      </c>
      <c r="G16" s="629" t="s">
        <v>285</v>
      </c>
      <c r="H16" s="629">
        <v>3.7699999999999997E-2</v>
      </c>
      <c r="I16" s="629" t="s">
        <v>125</v>
      </c>
      <c r="J16" s="629">
        <v>165</v>
      </c>
      <c r="K16" s="629"/>
      <c r="L16" s="629"/>
      <c r="M16" s="813">
        <v>0</v>
      </c>
      <c r="N16" s="1592"/>
      <c r="O16" s="1592" t="str">
        <f t="shared" si="9"/>
        <v>ReH 2.995/2021</v>
      </c>
      <c r="P16" s="1601">
        <v>0.1585</v>
      </c>
      <c r="Q16" s="1592">
        <v>13523024.849047249</v>
      </c>
      <c r="R16" s="1600">
        <v>44531</v>
      </c>
      <c r="S16" s="1592" t="str">
        <f t="shared" si="10"/>
        <v>Desp. 521/2022</v>
      </c>
      <c r="T16" s="629" t="s">
        <v>326</v>
      </c>
      <c r="U16" s="740" t="s">
        <v>327</v>
      </c>
      <c r="V16" s="629">
        <v>2024</v>
      </c>
      <c r="W16" s="1587">
        <v>2903</v>
      </c>
      <c r="X16" s="1588" t="s">
        <v>2160</v>
      </c>
      <c r="Y16" s="1589">
        <v>1.15E-2</v>
      </c>
      <c r="Z16" s="487">
        <v>0</v>
      </c>
      <c r="AA16" s="487" t="s">
        <v>125</v>
      </c>
      <c r="AB16" s="1592">
        <v>23.817216620837154</v>
      </c>
      <c r="AC16" s="1593">
        <v>102.39004092957872</v>
      </c>
      <c r="AD16" s="1593">
        <v>8424461.6320540309</v>
      </c>
      <c r="AE16" s="740">
        <v>44389</v>
      </c>
      <c r="AF16" s="740">
        <v>44389</v>
      </c>
      <c r="AG16" s="1592">
        <v>0</v>
      </c>
      <c r="AH16" s="629"/>
      <c r="AI16" s="740">
        <v>41472</v>
      </c>
      <c r="AJ16" s="740">
        <v>42507</v>
      </c>
      <c r="AK16" s="740" t="s">
        <v>290</v>
      </c>
      <c r="AL16" s="740"/>
      <c r="AM16" s="740"/>
      <c r="AN16" s="862"/>
      <c r="AO16" s="235"/>
      <c r="AP16" s="17"/>
      <c r="AR16" s="816" t="s">
        <v>328</v>
      </c>
      <c r="AS16" s="235"/>
      <c r="AT16" s="235"/>
      <c r="AX16" s="235"/>
    </row>
    <row r="17" spans="1:50" s="9" customFormat="1" ht="31.5" hidden="1">
      <c r="A17" s="629" t="s">
        <v>329</v>
      </c>
      <c r="B17" s="629" t="s">
        <v>330</v>
      </c>
      <c r="C17" s="629">
        <v>5384</v>
      </c>
      <c r="D17" s="629" t="s">
        <v>331</v>
      </c>
      <c r="E17" s="629" t="s">
        <v>283</v>
      </c>
      <c r="F17" s="629" t="s">
        <v>332</v>
      </c>
      <c r="G17" s="629" t="s">
        <v>285</v>
      </c>
      <c r="H17" s="629">
        <v>9.9699999999999997E-2</v>
      </c>
      <c r="I17" s="629" t="s">
        <v>150</v>
      </c>
      <c r="J17" s="629">
        <v>136</v>
      </c>
      <c r="K17" s="629"/>
      <c r="L17" s="629"/>
      <c r="M17" s="813">
        <v>0</v>
      </c>
      <c r="N17" s="1592"/>
      <c r="O17" s="1592" t="str">
        <f t="shared" si="9"/>
        <v>ReH 2.995/2021</v>
      </c>
      <c r="P17" s="1601">
        <v>0.36620000000000003</v>
      </c>
      <c r="Q17" s="1592">
        <v>10580562.183376934</v>
      </c>
      <c r="R17" s="1600">
        <v>44531</v>
      </c>
      <c r="S17" s="1592" t="str">
        <f t="shared" si="10"/>
        <v>Desp. 521/2022</v>
      </c>
      <c r="T17" s="629" t="s">
        <v>333</v>
      </c>
      <c r="U17" s="740" t="s">
        <v>296</v>
      </c>
      <c r="V17" s="629">
        <v>2024</v>
      </c>
      <c r="W17" s="1587">
        <v>2873</v>
      </c>
      <c r="X17" s="1588" t="s">
        <v>2159</v>
      </c>
      <c r="Y17" s="629"/>
      <c r="AA17" s="1590" t="s">
        <v>150</v>
      </c>
      <c r="AB17" s="1592">
        <v>90.43</v>
      </c>
      <c r="AC17" s="1593">
        <v>237.88</v>
      </c>
      <c r="AD17" s="1593">
        <v>1254128.21</v>
      </c>
      <c r="AE17" s="740">
        <v>43198</v>
      </c>
      <c r="AF17" s="740">
        <v>43198</v>
      </c>
      <c r="AG17" s="1592">
        <v>0</v>
      </c>
      <c r="AH17" s="629"/>
      <c r="AI17" s="740">
        <v>41472</v>
      </c>
      <c r="AJ17" s="740">
        <v>42475</v>
      </c>
      <c r="AK17" s="740" t="s">
        <v>290</v>
      </c>
      <c r="AL17" s="740"/>
      <c r="AM17" s="740"/>
      <c r="AN17" s="862"/>
      <c r="AO17" s="235"/>
      <c r="AP17" s="17"/>
      <c r="AR17" s="816" t="s">
        <v>9</v>
      </c>
      <c r="AS17" s="235"/>
      <c r="AT17" s="235"/>
      <c r="AX17" s="235"/>
    </row>
    <row r="18" spans="1:50" s="9" customFormat="1" ht="31.5" hidden="1">
      <c r="A18" s="629" t="s">
        <v>334</v>
      </c>
      <c r="B18" s="629" t="s">
        <v>335</v>
      </c>
      <c r="C18" s="629">
        <v>5385</v>
      </c>
      <c r="D18" s="629" t="s">
        <v>336</v>
      </c>
      <c r="E18" s="629" t="s">
        <v>283</v>
      </c>
      <c r="F18" s="629" t="s">
        <v>337</v>
      </c>
      <c r="G18" s="629" t="s">
        <v>285</v>
      </c>
      <c r="H18" s="629">
        <v>3.7699999999999997E-2</v>
      </c>
      <c r="I18" s="629" t="s">
        <v>150</v>
      </c>
      <c r="J18" s="629">
        <v>136</v>
      </c>
      <c r="K18" s="629" t="s">
        <v>125</v>
      </c>
      <c r="L18" s="629">
        <v>165</v>
      </c>
      <c r="M18" s="813">
        <v>0</v>
      </c>
      <c r="N18" s="1592"/>
      <c r="O18" s="1592" t="str">
        <f t="shared" si="9"/>
        <v>ReH 2.995/2021</v>
      </c>
      <c r="P18" s="1601">
        <v>0.18079999999999999</v>
      </c>
      <c r="Q18" s="1592">
        <v>19362081.83872563</v>
      </c>
      <c r="R18" s="1600">
        <v>44531</v>
      </c>
      <c r="S18" s="1592" t="str">
        <f t="shared" si="10"/>
        <v>Desp. 521/2022</v>
      </c>
      <c r="T18" s="629" t="s">
        <v>338</v>
      </c>
      <c r="U18" s="740" t="s">
        <v>327</v>
      </c>
      <c r="V18" s="629">
        <v>2024</v>
      </c>
      <c r="W18" s="1587">
        <v>2874</v>
      </c>
      <c r="X18" s="1588" t="s">
        <v>2159</v>
      </c>
      <c r="Y18" s="1589">
        <v>1.15E-2</v>
      </c>
      <c r="Z18" s="487">
        <v>-7.9000000000000008E-3</v>
      </c>
      <c r="AA18" s="487" t="s">
        <v>150</v>
      </c>
      <c r="AB18" s="1592">
        <v>70.27</v>
      </c>
      <c r="AC18" s="1593">
        <v>237.88</v>
      </c>
      <c r="AD18" s="1593">
        <v>3687472.37</v>
      </c>
      <c r="AE18" s="740">
        <v>43198</v>
      </c>
      <c r="AF18" s="740">
        <v>43198</v>
      </c>
      <c r="AG18" s="1592">
        <v>0</v>
      </c>
      <c r="AH18" s="629"/>
      <c r="AI18" s="740">
        <v>41472</v>
      </c>
      <c r="AJ18" s="740">
        <v>42475</v>
      </c>
      <c r="AK18" s="740" t="s">
        <v>290</v>
      </c>
      <c r="AL18" s="740"/>
      <c r="AM18" s="740"/>
      <c r="AN18" s="862"/>
      <c r="AO18" s="235"/>
      <c r="AP18" s="17"/>
      <c r="AR18" s="816" t="s">
        <v>339</v>
      </c>
      <c r="AS18" s="235"/>
      <c r="AT18" s="235"/>
      <c r="AX18" s="235"/>
    </row>
    <row r="19" spans="1:50" s="9" customFormat="1" ht="31.5" hidden="1">
      <c r="A19" s="629" t="s">
        <v>340</v>
      </c>
      <c r="B19" s="629" t="s">
        <v>341</v>
      </c>
      <c r="C19" s="629">
        <v>5379</v>
      </c>
      <c r="D19" s="629" t="s">
        <v>342</v>
      </c>
      <c r="E19" s="629" t="s">
        <v>283</v>
      </c>
      <c r="F19" s="629" t="s">
        <v>343</v>
      </c>
      <c r="G19" s="629" t="s">
        <v>285</v>
      </c>
      <c r="H19" s="629">
        <v>3.7699999999999997E-2</v>
      </c>
      <c r="I19" s="629" t="s">
        <v>178</v>
      </c>
      <c r="J19" s="629">
        <v>135</v>
      </c>
      <c r="K19" s="629" t="s">
        <v>164</v>
      </c>
      <c r="L19" s="629">
        <v>145</v>
      </c>
      <c r="M19" s="813">
        <v>0</v>
      </c>
      <c r="N19" s="1592"/>
      <c r="O19" s="1592" t="str">
        <f t="shared" si="9"/>
        <v>ReH 2.995/2021</v>
      </c>
      <c r="P19" s="1601">
        <v>0.1321</v>
      </c>
      <c r="Q19" s="1592">
        <v>39394175.109390005</v>
      </c>
      <c r="R19" s="1600">
        <v>44531</v>
      </c>
      <c r="S19" s="1592" t="str">
        <f t="shared" si="10"/>
        <v>Desp. 521/2022</v>
      </c>
      <c r="T19" s="629" t="s">
        <v>344</v>
      </c>
      <c r="U19" s="740" t="s">
        <v>296</v>
      </c>
      <c r="V19" s="629">
        <v>2024</v>
      </c>
      <c r="W19" s="1587">
        <v>2975</v>
      </c>
      <c r="X19" s="1588" t="s">
        <v>2158</v>
      </c>
      <c r="Y19" s="1589">
        <v>1.15E-2</v>
      </c>
      <c r="Z19" s="487">
        <v>0</v>
      </c>
      <c r="AA19" s="1590" t="s">
        <v>302</v>
      </c>
      <c r="AB19" s="1594">
        <v>39.53</v>
      </c>
      <c r="AC19" s="1593">
        <v>532.64</v>
      </c>
      <c r="AD19" s="1593">
        <v>12412486.630000001</v>
      </c>
      <c r="AE19" s="740">
        <v>43739</v>
      </c>
      <c r="AF19" s="740">
        <v>43739</v>
      </c>
      <c r="AG19" s="1592">
        <v>0</v>
      </c>
      <c r="AH19" s="629"/>
      <c r="AI19" s="740">
        <v>41472</v>
      </c>
      <c r="AJ19" s="740">
        <v>42673</v>
      </c>
      <c r="AK19" s="740" t="s">
        <v>290</v>
      </c>
      <c r="AL19" s="740"/>
      <c r="AM19" s="740"/>
      <c r="AN19" s="862"/>
      <c r="AO19" s="235"/>
      <c r="AP19" s="17"/>
      <c r="AR19" s="816" t="s">
        <v>184</v>
      </c>
      <c r="AS19" s="235"/>
      <c r="AT19" s="235"/>
      <c r="AX19" s="235"/>
    </row>
    <row r="20" spans="1:50" s="9" customFormat="1" ht="31.5" hidden="1">
      <c r="A20" s="629" t="s">
        <v>315</v>
      </c>
      <c r="B20" s="629" t="s">
        <v>345</v>
      </c>
      <c r="C20" s="629">
        <v>5372</v>
      </c>
      <c r="D20" s="629" t="s">
        <v>346</v>
      </c>
      <c r="E20" s="629" t="s">
        <v>283</v>
      </c>
      <c r="F20" s="629" t="s">
        <v>347</v>
      </c>
      <c r="G20" s="629" t="s">
        <v>348</v>
      </c>
      <c r="H20" s="629">
        <v>9.9699999999999997E-2</v>
      </c>
      <c r="I20" s="629" t="s">
        <v>189</v>
      </c>
      <c r="J20" s="629">
        <v>111</v>
      </c>
      <c r="K20" s="629"/>
      <c r="L20" s="629"/>
      <c r="M20" s="813">
        <v>0</v>
      </c>
      <c r="N20" s="1592"/>
      <c r="O20" s="1592" t="str">
        <f t="shared" si="9"/>
        <v>ReH 2.995/2021</v>
      </c>
      <c r="P20" s="1601">
        <v>0.1079</v>
      </c>
      <c r="Q20" s="1602">
        <v>9742223.1963606756</v>
      </c>
      <c r="R20" s="1600">
        <v>44531</v>
      </c>
      <c r="S20" s="1592" t="str">
        <f t="shared" si="10"/>
        <v>Desp. 521/2022</v>
      </c>
      <c r="T20" s="629" t="s">
        <v>349</v>
      </c>
      <c r="U20" s="740" t="s">
        <v>350</v>
      </c>
      <c r="V20" s="629">
        <v>2024</v>
      </c>
      <c r="W20" s="1587">
        <v>2946</v>
      </c>
      <c r="X20" s="1588" t="s">
        <v>2162</v>
      </c>
      <c r="Y20" s="629"/>
      <c r="AA20" s="1590" t="s">
        <v>189</v>
      </c>
      <c r="AB20" s="1592">
        <v>59.846956156846908</v>
      </c>
      <c r="AC20" s="1593">
        <v>180.36</v>
      </c>
      <c r="AD20" s="1593">
        <v>3290792.2979728933</v>
      </c>
      <c r="AE20" s="740">
        <v>44430</v>
      </c>
      <c r="AF20" s="740">
        <v>44430</v>
      </c>
      <c r="AG20" s="1592">
        <v>0</v>
      </c>
      <c r="AH20" s="629"/>
      <c r="AI20" s="740">
        <v>41472</v>
      </c>
      <c r="AJ20" s="740">
        <v>42641</v>
      </c>
      <c r="AK20" s="740" t="s">
        <v>290</v>
      </c>
      <c r="AL20" s="740"/>
      <c r="AM20" s="740"/>
      <c r="AN20" s="862"/>
      <c r="AO20" s="235"/>
      <c r="AP20" s="17"/>
      <c r="AR20" s="816" t="s">
        <v>196</v>
      </c>
      <c r="AS20" s="235"/>
      <c r="AT20" s="235"/>
      <c r="AX20" s="235"/>
    </row>
    <row r="21" spans="1:50" s="9" customFormat="1" ht="31.5" hidden="1">
      <c r="A21" s="629" t="s">
        <v>9</v>
      </c>
      <c r="B21" s="629" t="s">
        <v>351</v>
      </c>
      <c r="C21" s="629">
        <v>5367</v>
      </c>
      <c r="D21" s="629" t="s">
        <v>352</v>
      </c>
      <c r="E21" s="629" t="s">
        <v>283</v>
      </c>
      <c r="F21" s="629" t="s">
        <v>353</v>
      </c>
      <c r="G21" s="629" t="s">
        <v>348</v>
      </c>
      <c r="H21" s="629">
        <v>9.9699999999999997E-2</v>
      </c>
      <c r="I21" s="629" t="s">
        <v>189</v>
      </c>
      <c r="J21" s="629">
        <v>111</v>
      </c>
      <c r="K21" s="629" t="s">
        <v>354</v>
      </c>
      <c r="L21" s="629">
        <v>110</v>
      </c>
      <c r="M21" s="813">
        <v>0</v>
      </c>
      <c r="N21" s="1592"/>
      <c r="O21" s="1592" t="str">
        <f t="shared" si="9"/>
        <v>ReH 2.995/2021</v>
      </c>
      <c r="P21" s="1601">
        <v>8.7999999999999995E-2</v>
      </c>
      <c r="Q21" s="1592">
        <v>28257854.842311971</v>
      </c>
      <c r="R21" s="1600">
        <v>44531</v>
      </c>
      <c r="S21" s="1592" t="str">
        <f t="shared" si="10"/>
        <v>Desp. 521/2022</v>
      </c>
      <c r="T21" s="629" t="s">
        <v>355</v>
      </c>
      <c r="U21" s="740" t="s">
        <v>356</v>
      </c>
      <c r="V21" s="629">
        <v>2025</v>
      </c>
      <c r="W21" s="1587">
        <v>3000</v>
      </c>
      <c r="X21" s="1588" t="s">
        <v>2157</v>
      </c>
      <c r="Y21" s="629"/>
      <c r="AA21" s="1590" t="s">
        <v>189</v>
      </c>
      <c r="AB21" s="1592">
        <v>46.284812313198138</v>
      </c>
      <c r="AC21" s="1593">
        <v>180.36</v>
      </c>
      <c r="AD21" s="1593">
        <v>11703468.880194727</v>
      </c>
      <c r="AE21" s="740">
        <v>44430</v>
      </c>
      <c r="AF21" s="740">
        <v>44430</v>
      </c>
      <c r="AG21" s="1592">
        <v>0</v>
      </c>
      <c r="AH21" s="629"/>
      <c r="AI21" s="740">
        <v>41365</v>
      </c>
      <c r="AJ21" s="740">
        <v>42641</v>
      </c>
      <c r="AK21" s="740" t="s">
        <v>290</v>
      </c>
      <c r="AL21" s="740"/>
      <c r="AM21" s="740"/>
      <c r="AN21" s="862"/>
      <c r="AO21" s="235"/>
      <c r="AP21" s="17"/>
      <c r="AR21" s="816" t="s">
        <v>357</v>
      </c>
      <c r="AS21" s="235"/>
      <c r="AT21" s="235"/>
      <c r="AX21" s="235"/>
    </row>
    <row r="22" spans="1:50" s="9" customFormat="1" ht="31.5" hidden="1">
      <c r="A22" s="629" t="s">
        <v>339</v>
      </c>
      <c r="B22" s="629" t="s">
        <v>358</v>
      </c>
      <c r="C22" s="629">
        <v>6897</v>
      </c>
      <c r="D22" s="629" t="s">
        <v>359</v>
      </c>
      <c r="E22" s="629" t="s">
        <v>283</v>
      </c>
      <c r="F22" s="629" t="s">
        <v>360</v>
      </c>
      <c r="G22" s="629" t="s">
        <v>348</v>
      </c>
      <c r="H22" s="629">
        <v>9.9699999999999997E-2</v>
      </c>
      <c r="I22" s="629" t="s">
        <v>189</v>
      </c>
      <c r="J22" s="629">
        <v>111</v>
      </c>
      <c r="K22" s="629"/>
      <c r="L22" s="629"/>
      <c r="M22" s="813">
        <v>0</v>
      </c>
      <c r="N22" s="1592"/>
      <c r="O22" s="1592" t="str">
        <f t="shared" si="9"/>
        <v>ReH 2.995/2021</v>
      </c>
      <c r="P22" s="1601">
        <v>0.11210000000000001</v>
      </c>
      <c r="Q22" s="1592">
        <v>25814070.878469311</v>
      </c>
      <c r="R22" s="1600">
        <v>44531</v>
      </c>
      <c r="S22" s="1592" t="str">
        <f t="shared" si="10"/>
        <v>Desp. 521/2022</v>
      </c>
      <c r="T22" s="629" t="s">
        <v>361</v>
      </c>
      <c r="U22" s="740" t="s">
        <v>350</v>
      </c>
      <c r="V22" s="629">
        <v>2024</v>
      </c>
      <c r="W22" s="1587">
        <v>2939</v>
      </c>
      <c r="X22" s="1588" t="s">
        <v>2162</v>
      </c>
      <c r="Y22" s="629"/>
      <c r="AA22" s="1590" t="s">
        <v>189</v>
      </c>
      <c r="AB22" s="1592">
        <v>48.427014093503388</v>
      </c>
      <c r="AC22" s="1593">
        <v>180.36</v>
      </c>
      <c r="AD22" s="1593">
        <v>10692706.342225492</v>
      </c>
      <c r="AE22" s="740">
        <v>44430</v>
      </c>
      <c r="AF22" s="740">
        <v>44430</v>
      </c>
      <c r="AG22" s="1592">
        <v>0</v>
      </c>
      <c r="AH22" s="629"/>
      <c r="AI22" s="740">
        <v>41472</v>
      </c>
      <c r="AJ22" s="740">
        <v>42641</v>
      </c>
      <c r="AK22" s="740" t="s">
        <v>290</v>
      </c>
      <c r="AL22" s="740"/>
      <c r="AM22" s="740"/>
      <c r="AN22" s="862"/>
      <c r="AO22" s="235"/>
      <c r="AP22" s="17"/>
      <c r="AR22" s="816" t="s">
        <v>362</v>
      </c>
      <c r="AS22" s="235"/>
      <c r="AT22" s="235"/>
      <c r="AX22" s="235"/>
    </row>
    <row r="23" spans="1:50" s="9" customFormat="1" ht="31.5" hidden="1">
      <c r="A23" s="629" t="s">
        <v>184</v>
      </c>
      <c r="B23" s="629" t="s">
        <v>363</v>
      </c>
      <c r="C23" s="629">
        <v>5351</v>
      </c>
      <c r="D23" s="629" t="s">
        <v>364</v>
      </c>
      <c r="E23" s="629" t="s">
        <v>283</v>
      </c>
      <c r="F23" s="629" t="s">
        <v>365</v>
      </c>
      <c r="G23" s="629" t="s">
        <v>348</v>
      </c>
      <c r="H23" s="629">
        <v>9.9699999999999997E-2</v>
      </c>
      <c r="I23" s="629" t="s">
        <v>362</v>
      </c>
      <c r="J23" s="629">
        <v>220</v>
      </c>
      <c r="K23" s="629"/>
      <c r="L23" s="629"/>
      <c r="M23" s="813">
        <v>0</v>
      </c>
      <c r="N23" s="1592"/>
      <c r="O23" s="1592" t="str">
        <f t="shared" si="9"/>
        <v>ReH 2.995/2021</v>
      </c>
      <c r="P23" s="1601">
        <v>5.1200000000000002E-2</v>
      </c>
      <c r="Q23" s="1592">
        <v>6592780.5451776758</v>
      </c>
      <c r="R23" s="1600">
        <v>44531</v>
      </c>
      <c r="S23" s="1592" t="str">
        <f t="shared" si="10"/>
        <v>Desp. 521/2022</v>
      </c>
      <c r="T23" s="629" t="s">
        <v>366</v>
      </c>
      <c r="U23" s="740" t="s">
        <v>350</v>
      </c>
      <c r="V23" s="629">
        <v>2024</v>
      </c>
      <c r="W23" s="1587">
        <v>2976</v>
      </c>
      <c r="X23" s="1588" t="s">
        <v>2158</v>
      </c>
      <c r="Y23" s="629"/>
      <c r="AA23" s="1590" t="s">
        <v>189</v>
      </c>
      <c r="AB23" s="1592">
        <v>16.172212694965044</v>
      </c>
      <c r="AC23" s="1593">
        <v>180.36</v>
      </c>
      <c r="AD23" s="1593">
        <v>3766690.3356666476</v>
      </c>
      <c r="AE23" s="740">
        <v>44430</v>
      </c>
      <c r="AF23" s="740">
        <v>44430</v>
      </c>
      <c r="AG23" s="1592">
        <v>0</v>
      </c>
      <c r="AH23" s="629"/>
      <c r="AI23" s="740">
        <v>41472</v>
      </c>
      <c r="AJ23" s="740">
        <v>42641</v>
      </c>
      <c r="AK23" s="740" t="s">
        <v>290</v>
      </c>
      <c r="AL23" s="740"/>
      <c r="AM23" s="740"/>
      <c r="AN23" s="862">
        <v>415113.21</v>
      </c>
      <c r="AO23" s="235"/>
      <c r="AP23" s="17"/>
      <c r="AR23" s="816" t="s">
        <v>367</v>
      </c>
      <c r="AS23" s="235"/>
      <c r="AT23" s="235"/>
      <c r="AX23" s="235"/>
    </row>
    <row r="24" spans="1:50" s="9" customFormat="1" ht="31.5" hidden="1">
      <c r="A24" s="629" t="s">
        <v>362</v>
      </c>
      <c r="B24" s="629" t="s">
        <v>368</v>
      </c>
      <c r="C24" s="629">
        <v>6898</v>
      </c>
      <c r="D24" s="629" t="s">
        <v>369</v>
      </c>
      <c r="E24" s="629" t="s">
        <v>283</v>
      </c>
      <c r="F24" s="629" t="s">
        <v>370</v>
      </c>
      <c r="G24" s="629" t="s">
        <v>348</v>
      </c>
      <c r="H24" s="629">
        <v>9.9699999999999997E-2</v>
      </c>
      <c r="I24" s="629" t="s">
        <v>189</v>
      </c>
      <c r="J24" s="629">
        <v>111</v>
      </c>
      <c r="K24" s="629"/>
      <c r="L24" s="629"/>
      <c r="M24" s="813">
        <v>0</v>
      </c>
      <c r="N24" s="1592"/>
      <c r="O24" s="1592" t="str">
        <f t="shared" si="9"/>
        <v>ReH 2.995/2021</v>
      </c>
      <c r="P24" s="1601">
        <v>7.1800000000000003E-2</v>
      </c>
      <c r="Q24" s="1592">
        <v>32515799.777980469</v>
      </c>
      <c r="R24" s="1600">
        <v>44531</v>
      </c>
      <c r="S24" s="1592" t="str">
        <f t="shared" si="10"/>
        <v>Desp. 521/2022</v>
      </c>
      <c r="T24" s="629" t="s">
        <v>371</v>
      </c>
      <c r="U24" s="740" t="s">
        <v>350</v>
      </c>
      <c r="V24" s="629">
        <v>2024</v>
      </c>
      <c r="W24" s="1587">
        <v>2949</v>
      </c>
      <c r="X24" s="1588" t="s">
        <v>2162</v>
      </c>
      <c r="Y24" s="629"/>
      <c r="AA24" s="1590" t="s">
        <v>189</v>
      </c>
      <c r="AB24" s="1592">
        <v>77.349128723029523</v>
      </c>
      <c r="AC24" s="1593">
        <v>180.36</v>
      </c>
      <c r="AD24" s="1593">
        <v>9354913.9292200413</v>
      </c>
      <c r="AE24" s="740">
        <v>44430</v>
      </c>
      <c r="AF24" s="740">
        <v>44430</v>
      </c>
      <c r="AG24" s="1592">
        <v>0</v>
      </c>
      <c r="AH24" s="629"/>
      <c r="AI24" s="740">
        <v>41472</v>
      </c>
      <c r="AJ24" s="740">
        <v>42641</v>
      </c>
      <c r="AK24" s="740" t="s">
        <v>290</v>
      </c>
      <c r="AL24" s="740"/>
      <c r="AM24" s="740"/>
      <c r="AN24" s="862"/>
      <c r="AO24" s="235"/>
      <c r="AP24" s="17"/>
      <c r="AR24" s="816" t="s">
        <v>372</v>
      </c>
      <c r="AS24" s="235"/>
      <c r="AT24" s="235"/>
      <c r="AX24" s="235"/>
    </row>
    <row r="25" spans="1:50" s="9" customFormat="1" ht="31.5" hidden="1">
      <c r="A25" s="629" t="s">
        <v>373</v>
      </c>
      <c r="B25" s="629" t="s">
        <v>374</v>
      </c>
      <c r="C25" s="629">
        <v>5352</v>
      </c>
      <c r="D25" s="629" t="s">
        <v>375</v>
      </c>
      <c r="E25" s="629" t="s">
        <v>283</v>
      </c>
      <c r="F25" s="629" t="s">
        <v>376</v>
      </c>
      <c r="G25" s="629" t="s">
        <v>348</v>
      </c>
      <c r="H25" s="629">
        <v>9.9699999999999997E-2</v>
      </c>
      <c r="I25" s="629" t="s">
        <v>189</v>
      </c>
      <c r="J25" s="629">
        <v>111</v>
      </c>
      <c r="K25" s="629"/>
      <c r="L25" s="629"/>
      <c r="M25" s="813">
        <v>0</v>
      </c>
      <c r="N25" s="1592"/>
      <c r="O25" s="1592" t="str">
        <f t="shared" si="9"/>
        <v>ReH 2.995/2021</v>
      </c>
      <c r="P25" s="1601">
        <v>8.72E-2</v>
      </c>
      <c r="Q25" s="1592">
        <v>27692113.474028908</v>
      </c>
      <c r="R25" s="1600">
        <v>44531</v>
      </c>
      <c r="S25" s="1592" t="str">
        <f t="shared" si="10"/>
        <v>Desp. 521/2022</v>
      </c>
      <c r="T25" s="629" t="s">
        <v>377</v>
      </c>
      <c r="U25" s="740" t="s">
        <v>378</v>
      </c>
      <c r="V25" s="629">
        <v>2024</v>
      </c>
      <c r="W25" s="1587">
        <v>2940</v>
      </c>
      <c r="X25" s="1588" t="s">
        <v>2162</v>
      </c>
      <c r="Y25" s="629"/>
      <c r="AA25" s="1590" t="s">
        <v>189</v>
      </c>
      <c r="AB25" s="1592">
        <v>22.580552842543515</v>
      </c>
      <c r="AC25" s="1593">
        <v>180.36</v>
      </c>
      <c r="AD25" s="1593">
        <v>16232843.86472071</v>
      </c>
      <c r="AE25" s="740">
        <v>44430</v>
      </c>
      <c r="AF25" s="740">
        <v>44430</v>
      </c>
      <c r="AG25" s="1592">
        <v>0</v>
      </c>
      <c r="AH25" s="629"/>
      <c r="AI25" s="740">
        <v>41472</v>
      </c>
      <c r="AJ25" s="740">
        <v>42641</v>
      </c>
      <c r="AK25" s="740" t="s">
        <v>290</v>
      </c>
      <c r="AL25" s="740"/>
      <c r="AM25" s="740"/>
      <c r="AN25" s="862"/>
      <c r="AO25" s="235"/>
      <c r="AP25" s="17"/>
      <c r="AR25" s="816" t="s">
        <v>373</v>
      </c>
      <c r="AS25" s="235"/>
      <c r="AT25" s="235"/>
      <c r="AX25" s="235"/>
    </row>
    <row r="26" spans="1:50" s="9" customFormat="1" ht="31.5" hidden="1">
      <c r="A26" s="629" t="s">
        <v>185</v>
      </c>
      <c r="B26" s="629" t="s">
        <v>379</v>
      </c>
      <c r="C26" s="629">
        <v>5353</v>
      </c>
      <c r="D26" s="629" t="s">
        <v>380</v>
      </c>
      <c r="E26" s="629" t="s">
        <v>283</v>
      </c>
      <c r="F26" s="629" t="s">
        <v>381</v>
      </c>
      <c r="G26" s="629" t="s">
        <v>348</v>
      </c>
      <c r="H26" s="629">
        <v>9.9699999999999997E-2</v>
      </c>
      <c r="I26" s="629" t="s">
        <v>189</v>
      </c>
      <c r="J26" s="629">
        <v>111</v>
      </c>
      <c r="K26" s="629"/>
      <c r="L26" s="629"/>
      <c r="M26" s="813">
        <v>0</v>
      </c>
      <c r="N26" s="1592"/>
      <c r="O26" s="1592" t="str">
        <f t="shared" si="9"/>
        <v>ReH 2.995/2021</v>
      </c>
      <c r="P26" s="1601">
        <v>5.5899999999999998E-2</v>
      </c>
      <c r="Q26" s="1602">
        <v>21470201.670165978</v>
      </c>
      <c r="R26" s="1600">
        <v>44531</v>
      </c>
      <c r="S26" s="1592" t="str">
        <f t="shared" si="10"/>
        <v>Desp. 521/2022</v>
      </c>
      <c r="T26" s="629" t="s">
        <v>382</v>
      </c>
      <c r="U26" s="740" t="s">
        <v>383</v>
      </c>
      <c r="V26" s="629">
        <v>2024</v>
      </c>
      <c r="W26" s="1587">
        <v>2950</v>
      </c>
      <c r="X26" s="1588" t="s">
        <v>2162</v>
      </c>
      <c r="Y26" s="629"/>
      <c r="AA26" s="1590" t="s">
        <v>189</v>
      </c>
      <c r="AB26" s="1592">
        <v>133.2436333697292</v>
      </c>
      <c r="AC26" s="1593">
        <v>180.36</v>
      </c>
      <c r="AD26" s="1593">
        <v>755772.02907041553</v>
      </c>
      <c r="AE26" s="740">
        <v>44430</v>
      </c>
      <c r="AF26" s="740">
        <v>44430</v>
      </c>
      <c r="AG26" s="1592">
        <v>0</v>
      </c>
      <c r="AH26" s="629"/>
      <c r="AI26" s="740">
        <v>41472</v>
      </c>
      <c r="AJ26" s="740">
        <v>42641</v>
      </c>
      <c r="AK26" s="740" t="s">
        <v>290</v>
      </c>
      <c r="AL26" s="740"/>
      <c r="AM26" s="740"/>
      <c r="AN26" s="862">
        <v>1175911.3899999999</v>
      </c>
      <c r="AO26" s="235"/>
      <c r="AP26" s="17"/>
      <c r="AR26" s="816" t="s">
        <v>182</v>
      </c>
      <c r="AS26" s="235"/>
      <c r="AT26" s="235"/>
      <c r="AX26" s="235"/>
    </row>
    <row r="27" spans="1:50" s="9" customFormat="1" ht="31.5" hidden="1">
      <c r="A27" s="629" t="s">
        <v>384</v>
      </c>
      <c r="B27" s="629" t="s">
        <v>385</v>
      </c>
      <c r="C27" s="629">
        <v>5355</v>
      </c>
      <c r="D27" s="629" t="s">
        <v>386</v>
      </c>
      <c r="E27" s="629" t="s">
        <v>283</v>
      </c>
      <c r="F27" s="629" t="s">
        <v>387</v>
      </c>
      <c r="G27" s="629" t="s">
        <v>348</v>
      </c>
      <c r="H27" s="629">
        <v>9.9699999999999997E-2</v>
      </c>
      <c r="I27" s="629" t="s">
        <v>189</v>
      </c>
      <c r="J27" s="629">
        <v>111</v>
      </c>
      <c r="K27" s="629"/>
      <c r="L27" s="629"/>
      <c r="M27" s="813">
        <v>0</v>
      </c>
      <c r="N27" s="1592"/>
      <c r="O27" s="1592" t="str">
        <f t="shared" si="9"/>
        <v>ReH 2.995/2021</v>
      </c>
      <c r="P27" s="1601">
        <v>9.4600000000000004E-2</v>
      </c>
      <c r="Q27" s="1592">
        <v>8199512.497046981</v>
      </c>
      <c r="R27" s="1600">
        <v>44531</v>
      </c>
      <c r="S27" s="1592" t="str">
        <f t="shared" si="10"/>
        <v>Desp. 521/2022</v>
      </c>
      <c r="T27" s="629" t="s">
        <v>388</v>
      </c>
      <c r="U27" s="740" t="s">
        <v>389</v>
      </c>
      <c r="V27" s="629">
        <v>2025</v>
      </c>
      <c r="W27" s="1587">
        <v>2957</v>
      </c>
      <c r="X27" s="1588" t="s">
        <v>2162</v>
      </c>
      <c r="Y27" s="629"/>
      <c r="AA27" s="1590" t="s">
        <v>189</v>
      </c>
      <c r="AB27" s="1592">
        <v>52.855625463016914</v>
      </c>
      <c r="AC27" s="1593">
        <v>180.36</v>
      </c>
      <c r="AD27" s="1593">
        <v>3264076.527192608</v>
      </c>
      <c r="AE27" s="740">
        <v>44430</v>
      </c>
      <c r="AF27" s="740">
        <v>44430</v>
      </c>
      <c r="AG27" s="1592">
        <v>0</v>
      </c>
      <c r="AH27" s="629"/>
      <c r="AI27" s="740">
        <v>41365</v>
      </c>
      <c r="AJ27" s="740">
        <v>42641</v>
      </c>
      <c r="AK27" s="740" t="s">
        <v>290</v>
      </c>
      <c r="AL27" s="740"/>
      <c r="AM27" s="740"/>
      <c r="AN27" s="862"/>
      <c r="AO27" s="235"/>
      <c r="AP27" s="17"/>
      <c r="AR27" s="816" t="s">
        <v>390</v>
      </c>
      <c r="AS27" s="235"/>
      <c r="AT27" s="235"/>
      <c r="AX27" s="235"/>
    </row>
    <row r="28" spans="1:50" s="9" customFormat="1" ht="31.5" hidden="1">
      <c r="A28" s="629" t="s">
        <v>391</v>
      </c>
      <c r="B28" s="629" t="s">
        <v>392</v>
      </c>
      <c r="C28" s="629">
        <v>5363</v>
      </c>
      <c r="D28" s="629" t="s">
        <v>393</v>
      </c>
      <c r="E28" s="629" t="s">
        <v>283</v>
      </c>
      <c r="F28" s="629" t="s">
        <v>394</v>
      </c>
      <c r="G28" s="629" t="s">
        <v>348</v>
      </c>
      <c r="H28" s="629">
        <v>9.9699999999999997E-2</v>
      </c>
      <c r="I28" s="629" t="s">
        <v>189</v>
      </c>
      <c r="J28" s="629">
        <v>111</v>
      </c>
      <c r="K28" s="629"/>
      <c r="L28" s="629"/>
      <c r="M28" s="813">
        <v>0</v>
      </c>
      <c r="N28" s="1592"/>
      <c r="O28" s="1592" t="str">
        <f t="shared" si="9"/>
        <v>ReH 2.995/2021</v>
      </c>
      <c r="P28" s="1601">
        <v>8.7799999999999989E-2</v>
      </c>
      <c r="Q28" s="1592">
        <v>9453809.4927214365</v>
      </c>
      <c r="R28" s="1600">
        <v>44531</v>
      </c>
      <c r="S28" s="1592" t="str">
        <f t="shared" si="10"/>
        <v>Desp. 521/2022</v>
      </c>
      <c r="T28" s="629" t="s">
        <v>395</v>
      </c>
      <c r="U28" s="740" t="s">
        <v>350</v>
      </c>
      <c r="V28" s="629">
        <v>2024</v>
      </c>
      <c r="W28" s="1587">
        <v>2947</v>
      </c>
      <c r="X28" s="1588" t="s">
        <v>2162</v>
      </c>
      <c r="Y28" s="629"/>
      <c r="AA28" s="1590" t="s">
        <v>189</v>
      </c>
      <c r="AB28" s="1592">
        <v>58.247314361695402</v>
      </c>
      <c r="AC28" s="1593">
        <v>180.36</v>
      </c>
      <c r="AD28" s="1593">
        <v>2499952.1881573107</v>
      </c>
      <c r="AE28" s="740">
        <v>44430</v>
      </c>
      <c r="AF28" s="740">
        <v>44430</v>
      </c>
      <c r="AG28" s="1592">
        <v>0</v>
      </c>
      <c r="AH28" s="629"/>
      <c r="AI28" s="740">
        <v>41472</v>
      </c>
      <c r="AJ28" s="740">
        <v>42641</v>
      </c>
      <c r="AK28" s="740" t="s">
        <v>290</v>
      </c>
      <c r="AL28" s="740"/>
      <c r="AM28" s="740"/>
      <c r="AN28" s="862"/>
      <c r="AO28" s="235"/>
      <c r="AP28" s="17"/>
      <c r="AR28" s="816" t="s">
        <v>185</v>
      </c>
      <c r="AS28" s="235"/>
      <c r="AT28" s="235"/>
      <c r="AX28" s="235"/>
    </row>
    <row r="29" spans="1:50" s="9" customFormat="1" ht="31.5" hidden="1">
      <c r="A29" s="629" t="s">
        <v>396</v>
      </c>
      <c r="B29" s="629" t="s">
        <v>397</v>
      </c>
      <c r="C29" s="629">
        <v>5364</v>
      </c>
      <c r="D29" s="629" t="s">
        <v>398</v>
      </c>
      <c r="E29" s="629" t="s">
        <v>283</v>
      </c>
      <c r="F29" s="629" t="s">
        <v>399</v>
      </c>
      <c r="G29" s="629" t="s">
        <v>348</v>
      </c>
      <c r="H29" s="629">
        <v>9.9699999999999997E-2</v>
      </c>
      <c r="I29" s="629" t="s">
        <v>189</v>
      </c>
      <c r="J29" s="629">
        <v>111</v>
      </c>
      <c r="K29" s="629"/>
      <c r="L29" s="629"/>
      <c r="M29" s="813">
        <v>0</v>
      </c>
      <c r="N29" s="1592"/>
      <c r="O29" s="1592" t="str">
        <f t="shared" si="9"/>
        <v>ReH 2.995/2021</v>
      </c>
      <c r="P29" s="1601">
        <v>8.8100000000000012E-2</v>
      </c>
      <c r="Q29" s="1592">
        <v>28651980.425397582</v>
      </c>
      <c r="R29" s="1600">
        <v>44531</v>
      </c>
      <c r="S29" s="1592" t="str">
        <f t="shared" si="10"/>
        <v>Desp. 521/2022</v>
      </c>
      <c r="T29" s="629" t="s">
        <v>400</v>
      </c>
      <c r="U29" s="740" t="s">
        <v>401</v>
      </c>
      <c r="V29" s="629">
        <v>2022</v>
      </c>
      <c r="W29" s="1587">
        <v>2951</v>
      </c>
      <c r="X29" s="1588" t="s">
        <v>2162</v>
      </c>
      <c r="Y29" s="629"/>
      <c r="AA29" s="1590" t="s">
        <v>189</v>
      </c>
      <c r="AB29" s="1592">
        <v>179.67819908532709</v>
      </c>
      <c r="AC29" s="1593">
        <v>180.36</v>
      </c>
      <c r="AD29" s="1593">
        <v>1205667.8282342954</v>
      </c>
      <c r="AE29" s="740">
        <v>44430</v>
      </c>
      <c r="AF29" s="740">
        <v>44430</v>
      </c>
      <c r="AG29" s="1592">
        <v>0</v>
      </c>
      <c r="AH29" s="629"/>
      <c r="AI29" s="740">
        <v>41365</v>
      </c>
      <c r="AJ29" s="740">
        <v>42641</v>
      </c>
      <c r="AK29" s="740" t="s">
        <v>290</v>
      </c>
      <c r="AL29" s="740"/>
      <c r="AM29" s="740"/>
      <c r="AN29" s="862"/>
      <c r="AO29" s="235"/>
      <c r="AP29" s="17"/>
      <c r="AR29" s="816" t="s">
        <v>384</v>
      </c>
      <c r="AS29" s="235"/>
      <c r="AT29" s="235"/>
      <c r="AX29" s="235"/>
    </row>
    <row r="30" spans="1:50" s="9" customFormat="1" ht="31.5" hidden="1">
      <c r="A30" s="629" t="s">
        <v>402</v>
      </c>
      <c r="B30" s="629" t="s">
        <v>403</v>
      </c>
      <c r="C30" s="629">
        <v>5365</v>
      </c>
      <c r="D30" s="629" t="s">
        <v>404</v>
      </c>
      <c r="E30" s="629" t="s">
        <v>283</v>
      </c>
      <c r="F30" s="629" t="s">
        <v>405</v>
      </c>
      <c r="G30" s="629" t="s">
        <v>348</v>
      </c>
      <c r="H30" s="629">
        <v>9.9699999999999997E-2</v>
      </c>
      <c r="I30" s="629" t="s">
        <v>189</v>
      </c>
      <c r="J30" s="629">
        <v>111</v>
      </c>
      <c r="K30" s="629"/>
      <c r="L30" s="629"/>
      <c r="M30" s="813">
        <v>0</v>
      </c>
      <c r="N30" s="1592"/>
      <c r="O30" s="1592" t="str">
        <f t="shared" si="9"/>
        <v>ReH 2.995/2021</v>
      </c>
      <c r="P30" s="1601">
        <v>8.5999999999999993E-2</v>
      </c>
      <c r="Q30" s="1592">
        <v>22196667.859687008</v>
      </c>
      <c r="R30" s="1600">
        <v>44531</v>
      </c>
      <c r="S30" s="1592" t="str">
        <f t="shared" si="10"/>
        <v>Desp. 521/2022</v>
      </c>
      <c r="T30" s="629" t="s">
        <v>406</v>
      </c>
      <c r="U30" s="740" t="s">
        <v>350</v>
      </c>
      <c r="V30" s="629">
        <v>2024</v>
      </c>
      <c r="W30" s="1587">
        <v>2941</v>
      </c>
      <c r="X30" s="1588" t="s">
        <v>2162</v>
      </c>
      <c r="Y30" s="629"/>
      <c r="AA30" s="1590" t="s">
        <v>189</v>
      </c>
      <c r="AB30" s="1592">
        <v>91.699587599428298</v>
      </c>
      <c r="AC30" s="1593">
        <v>180.36</v>
      </c>
      <c r="AD30" s="1593">
        <v>3495955.8527844017</v>
      </c>
      <c r="AE30" s="740">
        <v>44430</v>
      </c>
      <c r="AF30" s="740">
        <v>44430</v>
      </c>
      <c r="AG30" s="1592">
        <v>0</v>
      </c>
      <c r="AH30" s="629"/>
      <c r="AI30" s="740">
        <v>41472</v>
      </c>
      <c r="AJ30" s="740">
        <v>42641</v>
      </c>
      <c r="AK30" s="740" t="s">
        <v>290</v>
      </c>
      <c r="AL30" s="740"/>
      <c r="AM30" s="740"/>
      <c r="AN30" s="862"/>
      <c r="AO30" s="235"/>
      <c r="AP30" s="17"/>
      <c r="AR30" s="816" t="s">
        <v>391</v>
      </c>
      <c r="AS30" s="235"/>
      <c r="AT30" s="235"/>
      <c r="AX30" s="235"/>
    </row>
    <row r="31" spans="1:50" s="9" customFormat="1" ht="31.5" hidden="1">
      <c r="A31" s="629" t="s">
        <v>407</v>
      </c>
      <c r="B31" s="629" t="s">
        <v>408</v>
      </c>
      <c r="C31" s="629">
        <v>5368</v>
      </c>
      <c r="D31" s="629" t="s">
        <v>409</v>
      </c>
      <c r="E31" s="629" t="s">
        <v>283</v>
      </c>
      <c r="F31" s="629" t="s">
        <v>410</v>
      </c>
      <c r="G31" s="629" t="s">
        <v>348</v>
      </c>
      <c r="H31" s="629">
        <v>9.9699999999999997E-2</v>
      </c>
      <c r="I31" s="629" t="s">
        <v>189</v>
      </c>
      <c r="J31" s="629">
        <v>111</v>
      </c>
      <c r="K31" s="629"/>
      <c r="L31" s="629"/>
      <c r="M31" s="813">
        <v>0</v>
      </c>
      <c r="N31" s="1592"/>
      <c r="O31" s="1592" t="str">
        <f t="shared" si="9"/>
        <v>ReH 2.995/2021</v>
      </c>
      <c r="P31" s="1601">
        <v>0.15049999999999999</v>
      </c>
      <c r="Q31" s="1602">
        <v>35954089.405949146</v>
      </c>
      <c r="R31" s="1600">
        <v>44531</v>
      </c>
      <c r="S31" s="1592" t="str">
        <f t="shared" si="10"/>
        <v>Desp. 521/2022</v>
      </c>
      <c r="T31" s="629" t="s">
        <v>411</v>
      </c>
      <c r="U31" s="740" t="s">
        <v>350</v>
      </c>
      <c r="V31" s="629">
        <v>2024</v>
      </c>
      <c r="W31" s="1587">
        <v>2953</v>
      </c>
      <c r="X31" s="1588" t="s">
        <v>2162</v>
      </c>
      <c r="Y31" s="629"/>
      <c r="AA31" s="1590" t="s">
        <v>189</v>
      </c>
      <c r="AB31" s="1592">
        <v>61.746716264073157</v>
      </c>
      <c r="AC31" s="1593">
        <v>180.36</v>
      </c>
      <c r="AD31" s="1593">
        <v>18151717.219335504</v>
      </c>
      <c r="AE31" s="740">
        <v>44430</v>
      </c>
      <c r="AF31" s="740">
        <v>44430</v>
      </c>
      <c r="AG31" s="1592">
        <v>0</v>
      </c>
      <c r="AH31" s="629"/>
      <c r="AI31" s="740">
        <v>41472</v>
      </c>
      <c r="AJ31" s="740">
        <v>42641</v>
      </c>
      <c r="AK31" s="740" t="s">
        <v>290</v>
      </c>
      <c r="AL31" s="740"/>
      <c r="AM31" s="740"/>
      <c r="AN31" s="862"/>
      <c r="AO31" s="235"/>
      <c r="AP31" s="17"/>
      <c r="AR31" s="816" t="s">
        <v>175</v>
      </c>
      <c r="AS31" s="235"/>
      <c r="AT31" s="235"/>
      <c r="AX31" s="235"/>
    </row>
    <row r="32" spans="1:50" s="9" customFormat="1" ht="31.5" hidden="1">
      <c r="A32" s="629" t="s">
        <v>412</v>
      </c>
      <c r="B32" s="629" t="s">
        <v>413</v>
      </c>
      <c r="C32" s="629">
        <v>5369</v>
      </c>
      <c r="D32" s="629" t="s">
        <v>414</v>
      </c>
      <c r="E32" s="629" t="s">
        <v>283</v>
      </c>
      <c r="F32" s="629" t="s">
        <v>415</v>
      </c>
      <c r="G32" s="629" t="s">
        <v>348</v>
      </c>
      <c r="H32" s="629">
        <v>9.9699999999999997E-2</v>
      </c>
      <c r="I32" s="629" t="s">
        <v>189</v>
      </c>
      <c r="J32" s="629">
        <v>111</v>
      </c>
      <c r="K32" s="629"/>
      <c r="L32" s="629"/>
      <c r="M32" s="813">
        <v>0</v>
      </c>
      <c r="N32" s="1592"/>
      <c r="O32" s="1592" t="str">
        <f t="shared" si="9"/>
        <v>ReH 2.995/2021</v>
      </c>
      <c r="P32" s="1601">
        <v>8.4100000000000008E-2</v>
      </c>
      <c r="Q32" s="1602">
        <v>13590865.443045003</v>
      </c>
      <c r="R32" s="1600">
        <v>44531</v>
      </c>
      <c r="S32" s="1592" t="str">
        <f t="shared" si="10"/>
        <v>Desp. 521/2022</v>
      </c>
      <c r="T32" s="629" t="s">
        <v>416</v>
      </c>
      <c r="U32" s="740" t="s">
        <v>389</v>
      </c>
      <c r="V32" s="629">
        <v>2025</v>
      </c>
      <c r="W32" s="1587">
        <v>2943</v>
      </c>
      <c r="X32" s="1588" t="s">
        <v>2162</v>
      </c>
      <c r="Y32" s="629"/>
      <c r="AA32" s="1590" t="s">
        <v>189</v>
      </c>
      <c r="AB32" s="1592">
        <v>81.509152888329083</v>
      </c>
      <c r="AC32" s="1593">
        <v>180.36</v>
      </c>
      <c r="AD32" s="1593">
        <v>2315515.5721165724</v>
      </c>
      <c r="AE32" s="740">
        <v>44430</v>
      </c>
      <c r="AF32" s="740">
        <v>44430</v>
      </c>
      <c r="AG32" s="1592">
        <v>0</v>
      </c>
      <c r="AH32" s="629"/>
      <c r="AI32" s="740">
        <v>41365</v>
      </c>
      <c r="AJ32" s="740">
        <v>42641</v>
      </c>
      <c r="AK32" s="740" t="s">
        <v>290</v>
      </c>
      <c r="AL32" s="740"/>
      <c r="AM32" s="740"/>
      <c r="AN32" s="862"/>
      <c r="AO32" s="235"/>
      <c r="AP32" s="17"/>
      <c r="AR32" s="816" t="s">
        <v>297</v>
      </c>
      <c r="AS32" s="235"/>
      <c r="AT32" s="235"/>
      <c r="AX32" s="235"/>
    </row>
    <row r="33" spans="1:50" s="9" customFormat="1" ht="31.5" hidden="1">
      <c r="A33" s="629" t="s">
        <v>188</v>
      </c>
      <c r="B33" s="629" t="s">
        <v>417</v>
      </c>
      <c r="C33" s="629">
        <v>5370</v>
      </c>
      <c r="D33" s="629" t="s">
        <v>418</v>
      </c>
      <c r="E33" s="629" t="s">
        <v>283</v>
      </c>
      <c r="F33" s="629" t="s">
        <v>419</v>
      </c>
      <c r="G33" s="629" t="s">
        <v>348</v>
      </c>
      <c r="H33" s="629">
        <v>9.9699999999999997E-2</v>
      </c>
      <c r="I33" s="629" t="s">
        <v>189</v>
      </c>
      <c r="J33" s="629">
        <v>111</v>
      </c>
      <c r="K33" s="629"/>
      <c r="L33" s="629"/>
      <c r="M33" s="813">
        <v>0</v>
      </c>
      <c r="N33" s="1592"/>
      <c r="O33" s="1592" t="str">
        <f t="shared" si="9"/>
        <v>ReH 2.995/2021</v>
      </c>
      <c r="P33" s="1601">
        <v>0.1076</v>
      </c>
      <c r="Q33" s="1602">
        <v>60899756.095931061</v>
      </c>
      <c r="R33" s="1600">
        <v>44531</v>
      </c>
      <c r="S33" s="1592" t="str">
        <f t="shared" si="10"/>
        <v>Desp. 521/2022</v>
      </c>
      <c r="T33" s="629" t="s">
        <v>420</v>
      </c>
      <c r="U33" s="740" t="s">
        <v>350</v>
      </c>
      <c r="V33" s="629">
        <v>2024</v>
      </c>
      <c r="W33" s="1587">
        <v>2937</v>
      </c>
      <c r="X33" s="1588" t="s">
        <v>2162</v>
      </c>
      <c r="Y33" s="629"/>
      <c r="AA33" s="1590" t="s">
        <v>189</v>
      </c>
      <c r="AB33" s="1592">
        <v>214.41662426644362</v>
      </c>
      <c r="AC33" s="1593">
        <v>180.36</v>
      </c>
      <c r="AD33" s="1593">
        <v>0</v>
      </c>
      <c r="AE33" s="740">
        <v>44430</v>
      </c>
      <c r="AF33" s="740">
        <v>44430</v>
      </c>
      <c r="AG33" s="1592">
        <v>0</v>
      </c>
      <c r="AH33" s="629"/>
      <c r="AI33" s="740">
        <v>41472</v>
      </c>
      <c r="AJ33" s="740">
        <v>42641</v>
      </c>
      <c r="AK33" s="740" t="s">
        <v>290</v>
      </c>
      <c r="AL33" s="740"/>
      <c r="AM33" s="740"/>
      <c r="AN33" s="862">
        <v>9419991.3800000008</v>
      </c>
      <c r="AO33" s="235"/>
      <c r="AP33" s="17"/>
      <c r="AR33" s="816" t="s">
        <v>303</v>
      </c>
      <c r="AS33" s="235"/>
      <c r="AT33" s="235"/>
      <c r="AX33" s="235"/>
    </row>
    <row r="34" spans="1:50" s="9" customFormat="1" ht="31.5" hidden="1">
      <c r="A34" s="629" t="s">
        <v>421</v>
      </c>
      <c r="B34" s="629" t="s">
        <v>422</v>
      </c>
      <c r="C34" s="629">
        <v>5371</v>
      </c>
      <c r="D34" s="629" t="s">
        <v>423</v>
      </c>
      <c r="E34" s="629" t="s">
        <v>283</v>
      </c>
      <c r="F34" s="629" t="s">
        <v>424</v>
      </c>
      <c r="G34" s="629" t="s">
        <v>348</v>
      </c>
      <c r="H34" s="629">
        <v>9.9699999999999997E-2</v>
      </c>
      <c r="I34" s="629" t="s">
        <v>189</v>
      </c>
      <c r="J34" s="629">
        <v>111</v>
      </c>
      <c r="K34" s="629" t="s">
        <v>425</v>
      </c>
      <c r="L34" s="629">
        <v>144</v>
      </c>
      <c r="M34" s="813">
        <v>0</v>
      </c>
      <c r="N34" s="1592"/>
      <c r="O34" s="1592" t="str">
        <f t="shared" si="9"/>
        <v>ReH 2.995/2021</v>
      </c>
      <c r="P34" s="1601">
        <v>9.5000000000000001E-2</v>
      </c>
      <c r="Q34" s="1592">
        <v>19126030.720523704</v>
      </c>
      <c r="R34" s="1600">
        <v>44531</v>
      </c>
      <c r="S34" s="1592" t="str">
        <f t="shared" si="10"/>
        <v>Desp. 521/2022</v>
      </c>
      <c r="T34" s="629" t="s">
        <v>426</v>
      </c>
      <c r="U34" s="740" t="s">
        <v>427</v>
      </c>
      <c r="V34" s="629">
        <v>2022</v>
      </c>
      <c r="W34" s="1587">
        <v>2948</v>
      </c>
      <c r="X34" s="1588" t="s">
        <v>2162</v>
      </c>
      <c r="Y34" s="629"/>
      <c r="AA34" s="1590" t="s">
        <v>189</v>
      </c>
      <c r="AB34" s="1592">
        <v>144.17854635765113</v>
      </c>
      <c r="AC34" s="1593">
        <v>180.36</v>
      </c>
      <c r="AD34" s="1593">
        <v>3162343.6648914311</v>
      </c>
      <c r="AE34" s="740">
        <v>44430</v>
      </c>
      <c r="AF34" s="740">
        <v>44430</v>
      </c>
      <c r="AG34" s="1592">
        <v>0</v>
      </c>
      <c r="AH34" s="629"/>
      <c r="AI34" s="740">
        <v>41365</v>
      </c>
      <c r="AJ34" s="740">
        <v>42641</v>
      </c>
      <c r="AK34" s="740" t="s">
        <v>290</v>
      </c>
      <c r="AL34" s="740"/>
      <c r="AM34" s="740"/>
      <c r="AN34" s="862"/>
      <c r="AO34" s="235"/>
      <c r="AP34" s="17"/>
      <c r="AR34" s="816" t="s">
        <v>309</v>
      </c>
      <c r="AS34" s="235"/>
      <c r="AT34" s="235"/>
      <c r="AX34" s="235"/>
    </row>
    <row r="35" spans="1:50" s="9" customFormat="1" ht="31.5" hidden="1">
      <c r="A35" s="629" t="s">
        <v>428</v>
      </c>
      <c r="B35" s="629" t="s">
        <v>429</v>
      </c>
      <c r="C35" s="629">
        <v>5373</v>
      </c>
      <c r="D35" s="629" t="s">
        <v>430</v>
      </c>
      <c r="E35" s="629" t="s">
        <v>283</v>
      </c>
      <c r="F35" s="629" t="s">
        <v>431</v>
      </c>
      <c r="G35" s="629" t="s">
        <v>348</v>
      </c>
      <c r="H35" s="629">
        <v>9.9699999999999997E-2</v>
      </c>
      <c r="I35" s="629" t="s">
        <v>189</v>
      </c>
      <c r="J35" s="629">
        <v>111</v>
      </c>
      <c r="K35" s="629"/>
      <c r="L35" s="629"/>
      <c r="M35" s="813">
        <v>0</v>
      </c>
      <c r="N35" s="1592"/>
      <c r="O35" s="1592" t="str">
        <f t="shared" si="9"/>
        <v>ReH 2.995/2021</v>
      </c>
      <c r="P35" s="1601">
        <v>0.1487</v>
      </c>
      <c r="Q35" s="1592">
        <v>2738505.6826723199</v>
      </c>
      <c r="R35" s="1600">
        <v>44531</v>
      </c>
      <c r="S35" s="1592" t="str">
        <f t="shared" si="10"/>
        <v>Desp. 521/2022</v>
      </c>
      <c r="T35" s="629" t="s">
        <v>432</v>
      </c>
      <c r="U35" s="740" t="s">
        <v>383</v>
      </c>
      <c r="V35" s="629">
        <v>2024</v>
      </c>
      <c r="W35" s="1587">
        <v>2942</v>
      </c>
      <c r="X35" s="1588" t="s">
        <v>2162</v>
      </c>
      <c r="Y35" s="629"/>
      <c r="AA35" s="1590" t="s">
        <v>189</v>
      </c>
      <c r="AB35" s="1592">
        <v>63.276120153090822</v>
      </c>
      <c r="AC35" s="1593">
        <v>180.36</v>
      </c>
      <c r="AD35" s="1593">
        <v>1357439.1316492993</v>
      </c>
      <c r="AE35" s="740">
        <v>44430</v>
      </c>
      <c r="AF35" s="740">
        <v>44430</v>
      </c>
      <c r="AG35" s="1592">
        <v>0</v>
      </c>
      <c r="AH35" s="629"/>
      <c r="AI35" s="740">
        <v>41472</v>
      </c>
      <c r="AJ35" s="740">
        <v>42641</v>
      </c>
      <c r="AK35" s="740" t="s">
        <v>290</v>
      </c>
      <c r="AL35" s="740"/>
      <c r="AM35" s="740"/>
      <c r="AN35" s="862"/>
      <c r="AO35" s="235"/>
      <c r="AP35" s="17"/>
      <c r="AR35" s="816" t="s">
        <v>316</v>
      </c>
      <c r="AS35" s="235"/>
      <c r="AT35" s="235"/>
      <c r="AX35" s="235"/>
    </row>
    <row r="36" spans="1:50" s="9" customFormat="1" ht="31.5" hidden="1">
      <c r="A36" s="629" t="s">
        <v>433</v>
      </c>
      <c r="B36" s="629" t="s">
        <v>434</v>
      </c>
      <c r="C36" s="629">
        <v>7016</v>
      </c>
      <c r="D36" s="629" t="s">
        <v>435</v>
      </c>
      <c r="E36" s="629" t="s">
        <v>283</v>
      </c>
      <c r="F36" s="629" t="s">
        <v>436</v>
      </c>
      <c r="G36" s="629" t="s">
        <v>348</v>
      </c>
      <c r="H36" s="629">
        <v>9.9699999999999997E-2</v>
      </c>
      <c r="I36" s="629" t="s">
        <v>189</v>
      </c>
      <c r="J36" s="629">
        <v>111</v>
      </c>
      <c r="K36" s="629"/>
      <c r="L36" s="629"/>
      <c r="M36" s="813">
        <v>0</v>
      </c>
      <c r="N36" s="1592"/>
      <c r="O36" s="1592" t="str">
        <f t="shared" si="9"/>
        <v>ReH 2.995/2021</v>
      </c>
      <c r="P36" s="1601">
        <v>0.14050000000000001</v>
      </c>
      <c r="Q36" s="1602">
        <v>17300202.805932775</v>
      </c>
      <c r="R36" s="1600">
        <v>44531</v>
      </c>
      <c r="S36" s="1592" t="str">
        <f t="shared" si="10"/>
        <v>Desp. 521/2022</v>
      </c>
      <c r="T36" s="629" t="s">
        <v>437</v>
      </c>
      <c r="U36" s="740" t="s">
        <v>350</v>
      </c>
      <c r="V36" s="629">
        <v>2024</v>
      </c>
      <c r="W36" s="1587">
        <v>2956</v>
      </c>
      <c r="X36" s="1588" t="s">
        <v>2162</v>
      </c>
      <c r="Y36" s="629"/>
      <c r="AA36" s="1590" t="s">
        <v>189</v>
      </c>
      <c r="AB36" s="1592">
        <v>49.410527393388534</v>
      </c>
      <c r="AC36" s="1593">
        <v>180.36</v>
      </c>
      <c r="AD36" s="1593">
        <v>6872759.7273220662</v>
      </c>
      <c r="AE36" s="740">
        <v>44430</v>
      </c>
      <c r="AF36" s="740">
        <v>44430</v>
      </c>
      <c r="AG36" s="1592">
        <v>0</v>
      </c>
      <c r="AH36" s="629"/>
      <c r="AI36" s="740">
        <v>41472</v>
      </c>
      <c r="AJ36" s="740">
        <v>42641</v>
      </c>
      <c r="AK36" s="740" t="s">
        <v>290</v>
      </c>
      <c r="AL36" s="740"/>
      <c r="AM36" s="740"/>
      <c r="AN36" s="862"/>
      <c r="AO36" s="235"/>
      <c r="AP36" s="17"/>
      <c r="AR36" s="816" t="s">
        <v>438</v>
      </c>
      <c r="AS36" s="235"/>
      <c r="AT36" s="235"/>
      <c r="AX36" s="235"/>
    </row>
    <row r="37" spans="1:50" s="9" customFormat="1" ht="31.5" hidden="1">
      <c r="A37" s="629" t="s">
        <v>175</v>
      </c>
      <c r="B37" s="629" t="s">
        <v>439</v>
      </c>
      <c r="C37" s="629">
        <v>2763</v>
      </c>
      <c r="D37" s="629" t="s">
        <v>440</v>
      </c>
      <c r="E37" s="629" t="s">
        <v>283</v>
      </c>
      <c r="F37" s="629" t="s">
        <v>441</v>
      </c>
      <c r="G37" s="629" t="s">
        <v>442</v>
      </c>
      <c r="H37" s="629">
        <v>9.9699999999999997E-2</v>
      </c>
      <c r="I37" s="629" t="s">
        <v>206</v>
      </c>
      <c r="J37" s="629">
        <v>167</v>
      </c>
      <c r="K37" s="629"/>
      <c r="L37" s="629"/>
      <c r="M37" s="813">
        <v>0</v>
      </c>
      <c r="N37" s="1592"/>
      <c r="O37" s="1592" t="str">
        <f t="shared" si="9"/>
        <v>ReH 2.995/2021</v>
      </c>
      <c r="P37" s="1601">
        <v>0.21060000000000001</v>
      </c>
      <c r="Q37" s="1592">
        <v>40296212.128956385</v>
      </c>
      <c r="R37" s="1600">
        <v>44531</v>
      </c>
      <c r="S37" s="1592" t="str">
        <f t="shared" si="10"/>
        <v>Desp. 521/2022</v>
      </c>
      <c r="T37" s="629" t="s">
        <v>443</v>
      </c>
      <c r="U37" s="740" t="s">
        <v>444</v>
      </c>
      <c r="V37" s="629">
        <v>2022</v>
      </c>
      <c r="W37" s="1587">
        <v>2917</v>
      </c>
      <c r="X37" s="1588" t="s">
        <v>2160</v>
      </c>
      <c r="Y37" s="629"/>
      <c r="AA37" s="1590" t="s">
        <v>206</v>
      </c>
      <c r="AB37" s="1592">
        <v>29.55</v>
      </c>
      <c r="AC37" s="1593">
        <v>108.15</v>
      </c>
      <c r="AD37" s="1593">
        <v>14515437.369999999</v>
      </c>
      <c r="AE37" s="740">
        <v>43270</v>
      </c>
      <c r="AF37" s="740">
        <v>43270</v>
      </c>
      <c r="AG37" s="1592">
        <v>0</v>
      </c>
      <c r="AH37" s="629"/>
      <c r="AI37" s="740">
        <v>41365</v>
      </c>
      <c r="AJ37" s="740">
        <v>42551</v>
      </c>
      <c r="AK37" s="740" t="s">
        <v>290</v>
      </c>
      <c r="AL37" s="740"/>
      <c r="AM37" s="740"/>
      <c r="AN37" s="862">
        <v>2202975.46</v>
      </c>
      <c r="AO37" s="235"/>
      <c r="AP37" s="17"/>
      <c r="AR37" s="816" t="s">
        <v>396</v>
      </c>
      <c r="AS37" s="235"/>
      <c r="AT37" s="235"/>
      <c r="AX37" s="235"/>
    </row>
    <row r="38" spans="1:50" s="9" customFormat="1" ht="31.5" hidden="1">
      <c r="A38" s="629" t="s">
        <v>438</v>
      </c>
      <c r="B38" s="629" t="s">
        <v>445</v>
      </c>
      <c r="C38" s="629">
        <v>2381</v>
      </c>
      <c r="D38" s="629" t="s">
        <v>446</v>
      </c>
      <c r="E38" s="629" t="s">
        <v>283</v>
      </c>
      <c r="F38" s="629" t="s">
        <v>447</v>
      </c>
      <c r="G38" s="629" t="s">
        <v>442</v>
      </c>
      <c r="H38" s="629">
        <v>9.9699999999999997E-2</v>
      </c>
      <c r="I38" s="629" t="s">
        <v>206</v>
      </c>
      <c r="J38" s="629">
        <v>167</v>
      </c>
      <c r="K38" s="629"/>
      <c r="L38" s="629"/>
      <c r="M38" s="813">
        <v>0</v>
      </c>
      <c r="N38" s="1592"/>
      <c r="O38" s="1592" t="str">
        <f t="shared" si="9"/>
        <v>ReH 2.995/2021</v>
      </c>
      <c r="P38" s="1601">
        <v>0.1535</v>
      </c>
      <c r="Q38" s="1592">
        <v>57163108.857696883</v>
      </c>
      <c r="R38" s="1600">
        <v>44531</v>
      </c>
      <c r="S38" s="1592" t="str">
        <f t="shared" si="10"/>
        <v>Desp. 521/2022</v>
      </c>
      <c r="T38" s="629" t="s">
        <v>448</v>
      </c>
      <c r="U38" s="740" t="s">
        <v>449</v>
      </c>
      <c r="V38" s="629">
        <v>2025</v>
      </c>
      <c r="W38" s="1587">
        <v>2904</v>
      </c>
      <c r="X38" s="1588" t="s">
        <v>2160</v>
      </c>
      <c r="Y38" s="629"/>
      <c r="AA38" s="1590" t="s">
        <v>206</v>
      </c>
      <c r="AB38" s="1592">
        <v>18.75</v>
      </c>
      <c r="AC38" s="1593">
        <v>108.15</v>
      </c>
      <c r="AD38" s="1593">
        <v>22607799.66</v>
      </c>
      <c r="AE38" s="740">
        <v>43270</v>
      </c>
      <c r="AF38" s="740">
        <v>43270</v>
      </c>
      <c r="AG38" s="1592">
        <v>69.23</v>
      </c>
      <c r="AH38" s="740">
        <v>42917</v>
      </c>
      <c r="AI38" s="740">
        <v>41365</v>
      </c>
      <c r="AJ38" s="740">
        <v>42551</v>
      </c>
      <c r="AK38" s="740" t="s">
        <v>290</v>
      </c>
      <c r="AL38" s="740"/>
      <c r="AM38" s="740"/>
      <c r="AN38" s="862"/>
      <c r="AO38" s="235"/>
      <c r="AP38" s="17"/>
      <c r="AR38" s="816" t="s">
        <v>322</v>
      </c>
      <c r="AS38" s="235"/>
      <c r="AT38" s="235"/>
      <c r="AX38" s="235"/>
    </row>
    <row r="39" spans="1:50" s="9" customFormat="1" ht="31.5" hidden="1">
      <c r="A39" s="629" t="s">
        <v>450</v>
      </c>
      <c r="B39" s="629" t="s">
        <v>451</v>
      </c>
      <c r="C39" s="629">
        <v>3223</v>
      </c>
      <c r="D39" s="629" t="s">
        <v>452</v>
      </c>
      <c r="E39" s="629" t="s">
        <v>283</v>
      </c>
      <c r="F39" s="629" t="s">
        <v>453</v>
      </c>
      <c r="G39" s="629" t="s">
        <v>442</v>
      </c>
      <c r="H39" s="629">
        <v>9.9699999999999997E-2</v>
      </c>
      <c r="I39" s="629" t="s">
        <v>206</v>
      </c>
      <c r="J39" s="629">
        <v>167</v>
      </c>
      <c r="K39" s="629" t="s">
        <v>354</v>
      </c>
      <c r="L39" s="629">
        <v>110</v>
      </c>
      <c r="M39" s="813">
        <v>0</v>
      </c>
      <c r="N39" s="1592"/>
      <c r="O39" s="1592" t="str">
        <f t="shared" si="9"/>
        <v>ReH 2.995/2021</v>
      </c>
      <c r="P39" s="1601">
        <v>0.1507</v>
      </c>
      <c r="Q39" s="1592">
        <v>44907656.56835518</v>
      </c>
      <c r="R39" s="1600">
        <v>44531</v>
      </c>
      <c r="S39" s="1592" t="str">
        <f t="shared" si="10"/>
        <v>Desp. 521/2022</v>
      </c>
      <c r="T39" s="629" t="s">
        <v>454</v>
      </c>
      <c r="U39" s="740" t="s">
        <v>455</v>
      </c>
      <c r="V39" s="629">
        <v>2025</v>
      </c>
      <c r="W39" s="1587">
        <v>2914</v>
      </c>
      <c r="X39" s="1588" t="s">
        <v>2160</v>
      </c>
      <c r="Y39" s="629"/>
      <c r="AA39" s="1590" t="s">
        <v>206</v>
      </c>
      <c r="AB39" s="1592">
        <v>23.94</v>
      </c>
      <c r="AC39" s="1593">
        <v>131.34</v>
      </c>
      <c r="AD39" s="1593">
        <v>17583006.989999998</v>
      </c>
      <c r="AE39" s="740">
        <v>43209</v>
      </c>
      <c r="AF39" s="740">
        <v>43270</v>
      </c>
      <c r="AG39" s="1592">
        <v>0</v>
      </c>
      <c r="AH39" s="629"/>
      <c r="AI39" s="740">
        <v>41472</v>
      </c>
      <c r="AJ39" s="740">
        <v>42486</v>
      </c>
      <c r="AK39" s="740" t="s">
        <v>290</v>
      </c>
      <c r="AL39" s="740"/>
      <c r="AM39" s="740"/>
      <c r="AN39" s="862"/>
      <c r="AO39" s="235"/>
      <c r="AP39" s="17"/>
      <c r="AR39" s="816" t="s">
        <v>402</v>
      </c>
      <c r="AS39" s="235"/>
      <c r="AT39" s="235"/>
      <c r="AX39" s="235"/>
    </row>
    <row r="40" spans="1:50" s="9" customFormat="1" ht="31.5">
      <c r="A40" s="629" t="s">
        <v>201</v>
      </c>
      <c r="B40" s="629" t="s">
        <v>456</v>
      </c>
      <c r="C40" s="629">
        <v>7371</v>
      </c>
      <c r="D40" s="629" t="s">
        <v>457</v>
      </c>
      <c r="E40" s="629" t="s">
        <v>283</v>
      </c>
      <c r="F40" s="629" t="s">
        <v>458</v>
      </c>
      <c r="G40" s="629" t="s">
        <v>442</v>
      </c>
      <c r="H40" s="629">
        <v>8.1942000000000001E-2</v>
      </c>
      <c r="I40" s="629" t="s">
        <v>206</v>
      </c>
      <c r="J40" s="629">
        <v>167</v>
      </c>
      <c r="K40" s="629"/>
      <c r="L40" s="629"/>
      <c r="M40" s="813">
        <v>0</v>
      </c>
      <c r="N40" s="1592"/>
      <c r="O40" s="1592" t="str">
        <f t="shared" si="9"/>
        <v>ReH 2.995/2021</v>
      </c>
      <c r="P40" s="1601">
        <v>0.15609999999999999</v>
      </c>
      <c r="Q40" s="1592">
        <v>93567555.592848957</v>
      </c>
      <c r="R40" s="1600">
        <v>44531</v>
      </c>
      <c r="S40" s="1592" t="str">
        <f t="shared" si="10"/>
        <v>Desp. 521/2022</v>
      </c>
      <c r="T40" s="629" t="s">
        <v>459</v>
      </c>
      <c r="U40" s="740" t="s">
        <v>460</v>
      </c>
      <c r="V40" s="629">
        <v>2022</v>
      </c>
      <c r="W40" s="1587">
        <v>2916</v>
      </c>
      <c r="X40" s="1588" t="s">
        <v>2160</v>
      </c>
      <c r="Y40" s="629"/>
      <c r="AA40" s="1590" t="s">
        <v>206</v>
      </c>
      <c r="AB40" s="1592">
        <v>68.319999999999993</v>
      </c>
      <c r="AC40" s="1593">
        <v>131.34</v>
      </c>
      <c r="AD40" s="1593">
        <v>13728441.029999999</v>
      </c>
      <c r="AE40" s="740">
        <v>43209</v>
      </c>
      <c r="AF40" s="740">
        <v>43270</v>
      </c>
      <c r="AG40" s="1592">
        <v>0</v>
      </c>
      <c r="AH40" s="629"/>
      <c r="AI40" s="740">
        <v>41365</v>
      </c>
      <c r="AJ40" s="740">
        <v>42547</v>
      </c>
      <c r="AK40" s="740" t="s">
        <v>290</v>
      </c>
      <c r="AL40" s="740"/>
      <c r="AM40" s="740"/>
      <c r="AN40" s="862">
        <v>6350526.4100000001</v>
      </c>
      <c r="AO40" s="235"/>
      <c r="AP40" s="17"/>
      <c r="AR40" s="816" t="s">
        <v>329</v>
      </c>
      <c r="AS40" s="235"/>
      <c r="AT40" s="235"/>
      <c r="AX40" s="235"/>
    </row>
    <row r="41" spans="1:50" s="9" customFormat="1" ht="31.5" hidden="1">
      <c r="A41" s="629" t="s">
        <v>461</v>
      </c>
      <c r="B41" s="629" t="s">
        <v>462</v>
      </c>
      <c r="C41" s="629">
        <v>3627</v>
      </c>
      <c r="D41" s="629" t="s">
        <v>463</v>
      </c>
      <c r="E41" s="629" t="s">
        <v>283</v>
      </c>
      <c r="F41" s="629" t="s">
        <v>464</v>
      </c>
      <c r="G41" s="629" t="s">
        <v>442</v>
      </c>
      <c r="H41" s="629">
        <v>9.9699999999999997E-2</v>
      </c>
      <c r="I41" s="629" t="s">
        <v>206</v>
      </c>
      <c r="J41" s="629">
        <v>167</v>
      </c>
      <c r="K41" s="629"/>
      <c r="L41" s="629"/>
      <c r="M41" s="813">
        <v>0</v>
      </c>
      <c r="N41" s="1592"/>
      <c r="O41" s="1592" t="str">
        <f t="shared" si="9"/>
        <v>ReH 2.995/2021</v>
      </c>
      <c r="P41" s="1601">
        <v>0.1338</v>
      </c>
      <c r="Q41" s="1592">
        <v>35123897.452622667</v>
      </c>
      <c r="R41" s="1600">
        <v>44531</v>
      </c>
      <c r="S41" s="1592" t="str">
        <f t="shared" si="10"/>
        <v>Desp. 521/2022</v>
      </c>
      <c r="T41" s="629" t="s">
        <v>465</v>
      </c>
      <c r="U41" s="740" t="s">
        <v>460</v>
      </c>
      <c r="V41" s="629">
        <v>2025</v>
      </c>
      <c r="W41" s="1587">
        <v>2909</v>
      </c>
      <c r="X41" s="1588" t="s">
        <v>2160</v>
      </c>
      <c r="Y41" s="629"/>
      <c r="AA41" s="1590" t="s">
        <v>206</v>
      </c>
      <c r="AB41" s="1592">
        <v>13.93</v>
      </c>
      <c r="AC41" s="1593">
        <v>108.15</v>
      </c>
      <c r="AD41" s="1593">
        <v>18556964.23</v>
      </c>
      <c r="AE41" s="740">
        <v>43270</v>
      </c>
      <c r="AF41" s="740">
        <v>43270</v>
      </c>
      <c r="AG41" s="1592">
        <v>0</v>
      </c>
      <c r="AH41" s="629"/>
      <c r="AI41" s="740">
        <v>41365</v>
      </c>
      <c r="AJ41" s="740">
        <v>42551</v>
      </c>
      <c r="AK41" s="740" t="s">
        <v>290</v>
      </c>
      <c r="AL41" s="740"/>
      <c r="AM41" s="740"/>
      <c r="AN41" s="862"/>
      <c r="AO41" s="235"/>
      <c r="AP41" s="17"/>
      <c r="AR41" s="816" t="s">
        <v>334</v>
      </c>
      <c r="AS41" s="235"/>
      <c r="AT41" s="235"/>
      <c r="AX41" s="235"/>
    </row>
    <row r="42" spans="1:50" s="9" customFormat="1" ht="31.5" hidden="1">
      <c r="A42" s="629" t="s">
        <v>466</v>
      </c>
      <c r="B42" s="629" t="s">
        <v>467</v>
      </c>
      <c r="C42" s="629">
        <v>2351</v>
      </c>
      <c r="D42" s="629" t="s">
        <v>468</v>
      </c>
      <c r="E42" s="629" t="s">
        <v>283</v>
      </c>
      <c r="F42" s="629" t="s">
        <v>469</v>
      </c>
      <c r="G42" s="629" t="s">
        <v>442</v>
      </c>
      <c r="H42" s="629">
        <v>9.9699999999999997E-2</v>
      </c>
      <c r="I42" s="629" t="s">
        <v>206</v>
      </c>
      <c r="J42" s="629">
        <v>167</v>
      </c>
      <c r="K42" s="629"/>
      <c r="L42" s="629"/>
      <c r="M42" s="813">
        <v>0</v>
      </c>
      <c r="N42" s="1592"/>
      <c r="O42" s="1592" t="str">
        <f t="shared" si="9"/>
        <v>ReH 2.995/2021</v>
      </c>
      <c r="P42" s="1601">
        <v>0.1832</v>
      </c>
      <c r="Q42" s="1592">
        <v>118984269.89510354</v>
      </c>
      <c r="R42" s="1600">
        <v>44531</v>
      </c>
      <c r="S42" s="1592" t="str">
        <f t="shared" si="10"/>
        <v>Desp. 521/2022</v>
      </c>
      <c r="T42" s="629" t="s">
        <v>470</v>
      </c>
      <c r="U42" s="740" t="s">
        <v>471</v>
      </c>
      <c r="V42" s="629">
        <v>2025</v>
      </c>
      <c r="W42" s="1587">
        <v>2912</v>
      </c>
      <c r="X42" s="1588" t="s">
        <v>2160</v>
      </c>
      <c r="Y42" s="629"/>
      <c r="AA42" s="1590" t="s">
        <v>206</v>
      </c>
      <c r="AB42" s="1592">
        <v>22.64</v>
      </c>
      <c r="AC42" s="1593">
        <v>108.15</v>
      </c>
      <c r="AD42" s="1593">
        <v>55770868.960000001</v>
      </c>
      <c r="AE42" s="740">
        <v>43270</v>
      </c>
      <c r="AF42" s="740">
        <v>43270</v>
      </c>
      <c r="AG42" s="1592">
        <v>0</v>
      </c>
      <c r="AH42" s="629"/>
      <c r="AI42" s="740">
        <v>41365</v>
      </c>
      <c r="AJ42" s="740">
        <v>42551</v>
      </c>
      <c r="AK42" s="740" t="s">
        <v>290</v>
      </c>
      <c r="AL42" s="740"/>
      <c r="AM42" s="740"/>
      <c r="AN42" s="862"/>
      <c r="AO42" s="235"/>
      <c r="AP42" s="17"/>
      <c r="AR42" s="816" t="s">
        <v>472</v>
      </c>
      <c r="AS42" s="235"/>
      <c r="AT42" s="235"/>
      <c r="AX42" s="235"/>
    </row>
    <row r="43" spans="1:50" s="9" customFormat="1" ht="31.5" hidden="1">
      <c r="A43" s="629" t="s">
        <v>174</v>
      </c>
      <c r="B43" s="629" t="s">
        <v>473</v>
      </c>
      <c r="C43" s="629">
        <v>598</v>
      </c>
      <c r="D43" s="629" t="s">
        <v>474</v>
      </c>
      <c r="E43" s="629" t="s">
        <v>283</v>
      </c>
      <c r="F43" s="629" t="s">
        <v>475</v>
      </c>
      <c r="G43" s="629" t="s">
        <v>442</v>
      </c>
      <c r="H43" s="629">
        <v>9.9699999999999997E-2</v>
      </c>
      <c r="I43" s="629" t="s">
        <v>206</v>
      </c>
      <c r="J43" s="629">
        <v>167</v>
      </c>
      <c r="K43" s="629"/>
      <c r="L43" s="629"/>
      <c r="M43" s="813">
        <v>0</v>
      </c>
      <c r="N43" s="1592"/>
      <c r="O43" s="1592" t="str">
        <f t="shared" si="9"/>
        <v>ReH 2.995/2021</v>
      </c>
      <c r="P43" s="1601">
        <v>0.4078</v>
      </c>
      <c r="Q43" s="1592">
        <v>48668444.767228298</v>
      </c>
      <c r="R43" s="1600">
        <v>44531</v>
      </c>
      <c r="S43" s="1592" t="str">
        <f t="shared" si="10"/>
        <v>Desp. 521/2022</v>
      </c>
      <c r="T43" s="629" t="s">
        <v>476</v>
      </c>
      <c r="U43" s="740" t="s">
        <v>460</v>
      </c>
      <c r="V43" s="629">
        <v>2022</v>
      </c>
      <c r="W43" s="1587">
        <v>2917</v>
      </c>
      <c r="X43" s="1588" t="s">
        <v>2160</v>
      </c>
      <c r="Y43" s="629"/>
      <c r="AA43" s="1590" t="s">
        <v>206</v>
      </c>
      <c r="AB43" s="1592">
        <v>20.55</v>
      </c>
      <c r="AC43" s="1593">
        <v>108.15</v>
      </c>
      <c r="AD43" s="1593">
        <v>16127887.460000001</v>
      </c>
      <c r="AE43" s="740">
        <v>43270</v>
      </c>
      <c r="AF43" s="740">
        <v>43270</v>
      </c>
      <c r="AG43" s="1592">
        <v>0</v>
      </c>
      <c r="AH43" s="629"/>
      <c r="AI43" s="740">
        <v>41365</v>
      </c>
      <c r="AJ43" s="740">
        <v>42551</v>
      </c>
      <c r="AK43" s="740" t="s">
        <v>290</v>
      </c>
      <c r="AL43" s="740"/>
      <c r="AM43" s="740"/>
      <c r="AN43" s="862">
        <v>3110206.14</v>
      </c>
      <c r="AO43" s="235"/>
      <c r="AP43" s="17"/>
      <c r="AR43" s="816" t="s">
        <v>407</v>
      </c>
      <c r="AS43" s="235"/>
      <c r="AT43" s="235"/>
      <c r="AX43" s="235"/>
    </row>
    <row r="44" spans="1:50" s="9" customFormat="1" ht="31.5" hidden="1">
      <c r="A44" s="629" t="s">
        <v>477</v>
      </c>
      <c r="B44" s="629" t="s">
        <v>478</v>
      </c>
      <c r="C44" s="629">
        <v>2783</v>
      </c>
      <c r="D44" s="629" t="s">
        <v>479</v>
      </c>
      <c r="E44" s="629" t="s">
        <v>283</v>
      </c>
      <c r="F44" s="629" t="s">
        <v>480</v>
      </c>
      <c r="G44" s="629" t="s">
        <v>442</v>
      </c>
      <c r="H44" s="629">
        <v>9.9699999999999997E-2</v>
      </c>
      <c r="I44" s="629" t="s">
        <v>206</v>
      </c>
      <c r="J44" s="629">
        <v>167</v>
      </c>
      <c r="K44" s="629"/>
      <c r="L44" s="629"/>
      <c r="M44" s="813">
        <v>0</v>
      </c>
      <c r="N44" s="1592"/>
      <c r="O44" s="1592" t="str">
        <f t="shared" si="9"/>
        <v>ReH 2.995/2021</v>
      </c>
      <c r="P44" s="1601">
        <v>0.17430000000000001</v>
      </c>
      <c r="Q44" s="1592">
        <v>23632870.756335247</v>
      </c>
      <c r="R44" s="1600">
        <v>44531</v>
      </c>
      <c r="S44" s="1592" t="str">
        <f t="shared" si="10"/>
        <v>Desp. 521/2022</v>
      </c>
      <c r="T44" s="629" t="s">
        <v>481</v>
      </c>
      <c r="U44" s="740" t="s">
        <v>460</v>
      </c>
      <c r="V44" s="629">
        <v>2022</v>
      </c>
      <c r="W44" s="1587">
        <v>2911</v>
      </c>
      <c r="X44" s="1588" t="s">
        <v>2160</v>
      </c>
      <c r="Y44" s="629"/>
      <c r="AA44" s="1590" t="s">
        <v>206</v>
      </c>
      <c r="AB44" s="1592">
        <v>26.42</v>
      </c>
      <c r="AC44" s="1593">
        <v>108.15</v>
      </c>
      <c r="AD44" s="1593">
        <v>7627285.8200000003</v>
      </c>
      <c r="AE44" s="740">
        <v>43270</v>
      </c>
      <c r="AF44" s="740">
        <v>43270</v>
      </c>
      <c r="AG44" s="1592">
        <v>0</v>
      </c>
      <c r="AH44" s="629"/>
      <c r="AI44" s="740">
        <v>41365</v>
      </c>
      <c r="AJ44" s="740">
        <v>42551</v>
      </c>
      <c r="AK44" s="740" t="s">
        <v>290</v>
      </c>
      <c r="AL44" s="740"/>
      <c r="AM44" s="740"/>
      <c r="AN44" s="862"/>
      <c r="AO44" s="235"/>
      <c r="AP44" s="17"/>
      <c r="AR44" s="816" t="s">
        <v>450</v>
      </c>
      <c r="AS44" s="235"/>
      <c r="AT44" s="235"/>
      <c r="AX44" s="235"/>
    </row>
    <row r="45" spans="1:50" s="9" customFormat="1" ht="31.5" hidden="1">
      <c r="A45" s="629" t="s">
        <v>357</v>
      </c>
      <c r="B45" s="629" t="s">
        <v>482</v>
      </c>
      <c r="C45" s="629">
        <v>4248</v>
      </c>
      <c r="D45" s="629" t="s">
        <v>483</v>
      </c>
      <c r="E45" s="629" t="s">
        <v>283</v>
      </c>
      <c r="F45" s="629" t="s">
        <v>484</v>
      </c>
      <c r="G45" s="629" t="s">
        <v>485</v>
      </c>
      <c r="H45" s="629">
        <v>9.9699999999999997E-2</v>
      </c>
      <c r="I45" s="629" t="s">
        <v>486</v>
      </c>
      <c r="J45" s="629">
        <v>132</v>
      </c>
      <c r="K45" s="629"/>
      <c r="L45" s="629"/>
      <c r="M45" s="813">
        <v>0</v>
      </c>
      <c r="N45" s="1592"/>
      <c r="O45" s="1592" t="str">
        <f t="shared" si="9"/>
        <v>ReH 2.995/2021</v>
      </c>
      <c r="P45" s="1601">
        <v>0.2072</v>
      </c>
      <c r="Q45" s="1592">
        <v>5741724.6974191396</v>
      </c>
      <c r="R45" s="1600">
        <v>44531</v>
      </c>
      <c r="S45" s="1592" t="str">
        <f t="shared" si="10"/>
        <v>Desp. 521/2022</v>
      </c>
      <c r="T45" s="629" t="s">
        <v>487</v>
      </c>
      <c r="U45" s="740" t="s">
        <v>350</v>
      </c>
      <c r="V45" s="629">
        <v>2024</v>
      </c>
      <c r="W45" s="1587">
        <v>2908</v>
      </c>
      <c r="X45" s="1588" t="s">
        <v>2160</v>
      </c>
      <c r="Y45" s="629"/>
      <c r="AA45" s="1590" t="s">
        <v>486</v>
      </c>
      <c r="AB45" s="1592">
        <v>58.392923981821539</v>
      </c>
      <c r="AC45" s="1593">
        <v>117.43916412021785</v>
      </c>
      <c r="AD45" s="1593">
        <v>1371216.9263933776</v>
      </c>
      <c r="AE45" s="740">
        <v>44371</v>
      </c>
      <c r="AF45" s="740">
        <v>44371</v>
      </c>
      <c r="AG45" s="1592">
        <v>0</v>
      </c>
      <c r="AH45" s="629"/>
      <c r="AI45" s="740">
        <v>41472</v>
      </c>
      <c r="AJ45" s="740">
        <v>42551</v>
      </c>
      <c r="AK45" s="740" t="s">
        <v>290</v>
      </c>
      <c r="AL45" s="740"/>
      <c r="AM45" s="740"/>
      <c r="AN45" s="862"/>
      <c r="AO45" s="235"/>
      <c r="AP45" s="17"/>
      <c r="AR45" s="816" t="s">
        <v>201</v>
      </c>
      <c r="AS45" s="235"/>
      <c r="AT45" s="235"/>
      <c r="AX45" s="235"/>
    </row>
    <row r="46" spans="1:50" s="9" customFormat="1" ht="31.5" hidden="1">
      <c r="A46" s="629" t="s">
        <v>182</v>
      </c>
      <c r="B46" s="629" t="s">
        <v>488</v>
      </c>
      <c r="C46" s="629">
        <v>5274</v>
      </c>
      <c r="D46" s="629" t="s">
        <v>489</v>
      </c>
      <c r="E46" s="629" t="s">
        <v>283</v>
      </c>
      <c r="F46" s="629" t="s">
        <v>490</v>
      </c>
      <c r="G46" s="629" t="s">
        <v>491</v>
      </c>
      <c r="H46" s="629">
        <v>9.9699999999999997E-2</v>
      </c>
      <c r="I46" s="629" t="s">
        <v>163</v>
      </c>
      <c r="J46" s="629">
        <v>103</v>
      </c>
      <c r="K46" s="629"/>
      <c r="L46" s="629"/>
      <c r="M46" s="813">
        <v>0.128</v>
      </c>
      <c r="N46" s="1592"/>
      <c r="O46" s="1592" t="str">
        <f t="shared" si="9"/>
        <v>ReH 2.995/2021</v>
      </c>
      <c r="P46" s="1601">
        <v>7.9699999999999993E-2</v>
      </c>
      <c r="Q46" s="1602">
        <v>9559924.0871568415</v>
      </c>
      <c r="R46" s="1600">
        <v>44531</v>
      </c>
      <c r="S46" s="1592" t="str">
        <f t="shared" si="10"/>
        <v>Desp. 521/2022</v>
      </c>
      <c r="T46" s="629" t="s">
        <v>493</v>
      </c>
      <c r="U46" s="740" t="s">
        <v>288</v>
      </c>
      <c r="V46" s="629">
        <v>2024</v>
      </c>
      <c r="W46" s="1587">
        <v>2865</v>
      </c>
      <c r="X46" s="1588" t="s">
        <v>2161</v>
      </c>
      <c r="Y46" s="629"/>
      <c r="AA46" s="1590" t="s">
        <v>507</v>
      </c>
      <c r="AB46" s="1592">
        <v>49.06</v>
      </c>
      <c r="AC46" s="1593">
        <v>187.05</v>
      </c>
      <c r="AD46" s="1593">
        <v>95315.39</v>
      </c>
      <c r="AE46" s="740">
        <v>43174</v>
      </c>
      <c r="AF46" s="740">
        <v>43174</v>
      </c>
      <c r="AG46" s="1592">
        <v>0</v>
      </c>
      <c r="AH46" s="629"/>
      <c r="AI46" s="740">
        <v>41472</v>
      </c>
      <c r="AJ46" s="740">
        <v>42451</v>
      </c>
      <c r="AK46" s="740" t="s">
        <v>290</v>
      </c>
      <c r="AL46" s="740"/>
      <c r="AM46" s="740"/>
      <c r="AN46" s="862">
        <v>940401.96</v>
      </c>
      <c r="AO46" s="235"/>
      <c r="AP46" s="17"/>
      <c r="AR46" s="816" t="s">
        <v>494</v>
      </c>
      <c r="AS46" s="235"/>
      <c r="AT46" s="235"/>
      <c r="AX46" s="235"/>
    </row>
    <row r="47" spans="1:50" s="9" customFormat="1" ht="31.5" hidden="1">
      <c r="A47" s="629" t="s">
        <v>372</v>
      </c>
      <c r="B47" s="629" t="s">
        <v>495</v>
      </c>
      <c r="C47" s="629">
        <v>5377</v>
      </c>
      <c r="D47" s="629" t="s">
        <v>496</v>
      </c>
      <c r="E47" s="629" t="s">
        <v>283</v>
      </c>
      <c r="F47" s="629" t="s">
        <v>497</v>
      </c>
      <c r="G47" s="629" t="s">
        <v>498</v>
      </c>
      <c r="H47" s="629">
        <v>3.7699999999999997E-2</v>
      </c>
      <c r="I47" s="629" t="s">
        <v>499</v>
      </c>
      <c r="J47" s="629">
        <v>155</v>
      </c>
      <c r="K47" s="629"/>
      <c r="L47" s="629"/>
      <c r="M47" s="813">
        <v>0</v>
      </c>
      <c r="N47" s="1592"/>
      <c r="O47" s="1592" t="str">
        <f t="shared" si="9"/>
        <v>ReH 2.995/2021</v>
      </c>
      <c r="P47" s="1601">
        <v>6.2799999999999995E-2</v>
      </c>
      <c r="Q47" s="1592">
        <v>5170019.3743311316</v>
      </c>
      <c r="R47" s="1600">
        <v>44531</v>
      </c>
      <c r="S47" s="1592" t="str">
        <f t="shared" si="10"/>
        <v>Desp. 521/2022</v>
      </c>
      <c r="T47" s="629" t="s">
        <v>500</v>
      </c>
      <c r="U47" s="740" t="s">
        <v>501</v>
      </c>
      <c r="V47" s="629">
        <v>2024</v>
      </c>
      <c r="W47" s="1587">
        <v>2872</v>
      </c>
      <c r="X47" s="1588" t="s">
        <v>2159</v>
      </c>
      <c r="Y47" s="1589">
        <v>1.15E-2</v>
      </c>
      <c r="Z47" s="1590">
        <v>-0.02</v>
      </c>
      <c r="AA47" s="1590" t="s">
        <v>194</v>
      </c>
      <c r="AB47" s="1592">
        <v>43</v>
      </c>
      <c r="AC47" s="1593">
        <v>122.01</v>
      </c>
      <c r="AD47" s="1593">
        <v>807332.96</v>
      </c>
      <c r="AE47" s="740">
        <v>43212</v>
      </c>
      <c r="AF47" s="740">
        <v>43212</v>
      </c>
      <c r="AG47" s="1592">
        <v>0</v>
      </c>
      <c r="AH47" s="629"/>
      <c r="AI47" s="740">
        <v>41472</v>
      </c>
      <c r="AJ47" s="740">
        <v>42489</v>
      </c>
      <c r="AK47" s="740" t="s">
        <v>290</v>
      </c>
      <c r="AL47" s="740"/>
      <c r="AM47" s="740"/>
      <c r="AN47" s="862"/>
      <c r="AO47" s="235"/>
      <c r="AP47" s="17"/>
      <c r="AR47" s="816" t="s">
        <v>412</v>
      </c>
      <c r="AS47" s="235"/>
      <c r="AT47" s="235"/>
      <c r="AX47" s="235"/>
    </row>
    <row r="48" spans="1:50" s="9" customFormat="1" ht="31.5" hidden="1">
      <c r="A48" s="629" t="s">
        <v>367</v>
      </c>
      <c r="B48" s="629" t="s">
        <v>502</v>
      </c>
      <c r="C48" s="629">
        <v>5279</v>
      </c>
      <c r="D48" s="629" t="s">
        <v>503</v>
      </c>
      <c r="E48" s="629" t="s">
        <v>283</v>
      </c>
      <c r="F48" s="629" t="s">
        <v>504</v>
      </c>
      <c r="G48" s="629" t="s">
        <v>491</v>
      </c>
      <c r="H48" s="629">
        <v>9.9699999999999997E-2</v>
      </c>
      <c r="I48" s="629" t="s">
        <v>163</v>
      </c>
      <c r="J48" s="629">
        <v>103</v>
      </c>
      <c r="K48" s="629"/>
      <c r="L48" s="629"/>
      <c r="M48" s="813">
        <v>0.1166</v>
      </c>
      <c r="N48" s="1592"/>
      <c r="O48" s="1592" t="str">
        <f t="shared" si="9"/>
        <v>ReH 2.995/2021</v>
      </c>
      <c r="P48" s="1589">
        <v>0.4052</v>
      </c>
      <c r="Q48" s="1592">
        <v>25601019.68723011</v>
      </c>
      <c r="R48" s="1600">
        <v>44531</v>
      </c>
      <c r="S48" s="1592" t="str">
        <f t="shared" si="10"/>
        <v>Desp. 521/2022</v>
      </c>
      <c r="T48" s="1603" t="s">
        <v>505</v>
      </c>
      <c r="U48" s="740" t="s">
        <v>506</v>
      </c>
      <c r="V48" s="629">
        <v>2022</v>
      </c>
      <c r="W48" s="1587">
        <v>2866</v>
      </c>
      <c r="X48" s="1588" t="s">
        <v>2161</v>
      </c>
      <c r="Y48" s="1589"/>
      <c r="AA48" s="1590" t="s">
        <v>507</v>
      </c>
      <c r="AB48" s="1594">
        <v>29.23</v>
      </c>
      <c r="AC48" s="1593">
        <v>183.67</v>
      </c>
      <c r="AD48" s="1593">
        <v>3906806.73</v>
      </c>
      <c r="AE48" s="740">
        <v>42809</v>
      </c>
      <c r="AF48" s="740">
        <v>42809</v>
      </c>
      <c r="AG48" s="740" t="s">
        <v>508</v>
      </c>
      <c r="AH48" s="629"/>
      <c r="AI48" s="740"/>
      <c r="AJ48" s="740"/>
      <c r="AK48" s="740" t="s">
        <v>509</v>
      </c>
      <c r="AL48" s="740">
        <v>43374</v>
      </c>
      <c r="AM48" s="1589">
        <v>0.2465</v>
      </c>
      <c r="AN48" s="862">
        <v>939575.3</v>
      </c>
      <c r="AO48" s="235"/>
      <c r="AP48" s="17"/>
      <c r="AR48" s="816" t="s">
        <v>510</v>
      </c>
      <c r="AS48" s="235"/>
      <c r="AT48" s="235"/>
      <c r="AX48" s="235"/>
    </row>
    <row r="49" spans="1:50" s="9" customFormat="1" ht="31.5" hidden="1">
      <c r="A49" s="629" t="s">
        <v>196</v>
      </c>
      <c r="B49" s="629" t="s">
        <v>511</v>
      </c>
      <c r="C49" s="629">
        <v>6603</v>
      </c>
      <c r="D49" s="629" t="s">
        <v>512</v>
      </c>
      <c r="E49" s="629" t="s">
        <v>283</v>
      </c>
      <c r="F49" s="629" t="s">
        <v>513</v>
      </c>
      <c r="G49" s="629" t="s">
        <v>491</v>
      </c>
      <c r="H49" s="629">
        <v>9.9699999999999997E-2</v>
      </c>
      <c r="I49" s="629" t="s">
        <v>163</v>
      </c>
      <c r="J49" s="629">
        <v>103</v>
      </c>
      <c r="K49" s="629"/>
      <c r="L49" s="629"/>
      <c r="M49" s="813">
        <v>0</v>
      </c>
      <c r="N49" s="1592"/>
      <c r="O49" s="1592" t="str">
        <f t="shared" si="9"/>
        <v>ReH 2.995/2021</v>
      </c>
      <c r="P49" s="1589">
        <v>0.4052</v>
      </c>
      <c r="Q49" s="1592">
        <v>10809195.059114244</v>
      </c>
      <c r="R49" s="1600">
        <v>44531</v>
      </c>
      <c r="S49" s="1592" t="str">
        <f t="shared" si="10"/>
        <v>Desp. 521/2022</v>
      </c>
      <c r="T49" s="1603" t="s">
        <v>514</v>
      </c>
      <c r="U49" s="740" t="s">
        <v>515</v>
      </c>
      <c r="V49" s="629">
        <v>2022</v>
      </c>
      <c r="W49" s="1587">
        <v>2867</v>
      </c>
      <c r="X49" s="1588" t="s">
        <v>2161</v>
      </c>
      <c r="Y49" s="1589"/>
      <c r="AA49" s="1590" t="s">
        <v>507</v>
      </c>
      <c r="AB49" s="1594">
        <v>30.78</v>
      </c>
      <c r="AC49" s="1593">
        <v>183.67</v>
      </c>
      <c r="AD49" s="1593">
        <v>1224360.38437886</v>
      </c>
      <c r="AE49" s="740">
        <v>42809</v>
      </c>
      <c r="AF49" s="740">
        <v>42809</v>
      </c>
      <c r="AG49" s="740" t="s">
        <v>508</v>
      </c>
      <c r="AH49" s="629"/>
      <c r="AI49" s="740"/>
      <c r="AJ49" s="740"/>
      <c r="AK49" s="740" t="s">
        <v>509</v>
      </c>
      <c r="AL49" s="740">
        <v>43405</v>
      </c>
      <c r="AM49" s="1595">
        <v>0</v>
      </c>
      <c r="AN49" s="862">
        <v>234949.9</v>
      </c>
      <c r="AO49" s="235"/>
      <c r="AP49" s="17"/>
      <c r="AR49" s="816" t="s">
        <v>340</v>
      </c>
      <c r="AS49" s="235"/>
      <c r="AT49" s="235"/>
      <c r="AX49" s="235"/>
    </row>
    <row r="50" spans="1:50" s="9" customFormat="1" ht="31.5" hidden="1">
      <c r="A50" s="629" t="s">
        <v>390</v>
      </c>
      <c r="B50" s="629" t="s">
        <v>516</v>
      </c>
      <c r="C50" s="629">
        <v>504</v>
      </c>
      <c r="D50" s="629" t="s">
        <v>517</v>
      </c>
      <c r="E50" s="629" t="s">
        <v>283</v>
      </c>
      <c r="F50" s="629" t="s">
        <v>518</v>
      </c>
      <c r="G50" s="629" t="s">
        <v>442</v>
      </c>
      <c r="H50" s="629">
        <v>9.9699999999999997E-2</v>
      </c>
      <c r="I50" s="629" t="s">
        <v>206</v>
      </c>
      <c r="J50" s="629">
        <v>167</v>
      </c>
      <c r="K50" s="629"/>
      <c r="L50" s="629"/>
      <c r="M50" s="813">
        <v>0</v>
      </c>
      <c r="N50" s="1592"/>
      <c r="O50" s="1592" t="str">
        <f t="shared" si="9"/>
        <v>ReH 2.995/2021</v>
      </c>
      <c r="P50" s="1589">
        <v>0.36820000000000003</v>
      </c>
      <c r="Q50" s="1592">
        <v>34114621.739632338</v>
      </c>
      <c r="R50" s="1600">
        <v>44531</v>
      </c>
      <c r="S50" s="1592" t="str">
        <f t="shared" si="10"/>
        <v>Desp. 521/2022</v>
      </c>
      <c r="T50" s="1603" t="s">
        <v>519</v>
      </c>
      <c r="U50" s="740" t="s">
        <v>520</v>
      </c>
      <c r="V50" s="629">
        <v>2022</v>
      </c>
      <c r="W50" s="1587">
        <v>2906</v>
      </c>
      <c r="X50" s="1588" t="s">
        <v>2160</v>
      </c>
      <c r="Y50" s="1589"/>
      <c r="AA50" s="1590" t="s">
        <v>206</v>
      </c>
      <c r="AB50" s="1594">
        <v>13.9</v>
      </c>
      <c r="AC50" s="1593">
        <v>108.15</v>
      </c>
      <c r="AD50" s="1593">
        <v>16697250.359999999</v>
      </c>
      <c r="AE50" s="740">
        <v>43270</v>
      </c>
      <c r="AF50" s="740">
        <v>43270</v>
      </c>
      <c r="AG50" s="740" t="s">
        <v>508</v>
      </c>
      <c r="AH50" s="629"/>
      <c r="AI50" s="740"/>
      <c r="AJ50" s="740"/>
      <c r="AK50" s="740" t="s">
        <v>509</v>
      </c>
      <c r="AL50" s="740">
        <v>43405</v>
      </c>
      <c r="AM50" s="740"/>
      <c r="AN50" s="862"/>
      <c r="AO50" s="235"/>
      <c r="AP50" s="17"/>
      <c r="AR50" s="816" t="s">
        <v>521</v>
      </c>
      <c r="AS50" s="235"/>
      <c r="AT50" s="235"/>
      <c r="AX50" s="235"/>
    </row>
    <row r="51" spans="1:50" s="9" customFormat="1" ht="31.5" hidden="1">
      <c r="A51" s="629" t="s">
        <v>494</v>
      </c>
      <c r="B51" s="629" t="s">
        <v>522</v>
      </c>
      <c r="C51" s="629">
        <v>527</v>
      </c>
      <c r="D51" s="629" t="s">
        <v>523</v>
      </c>
      <c r="E51" s="629" t="s">
        <v>283</v>
      </c>
      <c r="F51" s="629" t="s">
        <v>524</v>
      </c>
      <c r="G51" s="629" t="s">
        <v>442</v>
      </c>
      <c r="H51" s="629">
        <v>3.7699999999999997E-2</v>
      </c>
      <c r="I51" s="629" t="s">
        <v>206</v>
      </c>
      <c r="J51" s="629">
        <v>167</v>
      </c>
      <c r="K51" s="629"/>
      <c r="L51" s="629"/>
      <c r="M51" s="813">
        <v>0</v>
      </c>
      <c r="N51" s="1592"/>
      <c r="O51" s="1592" t="str">
        <f t="shared" si="9"/>
        <v>ReH 2.995/2021</v>
      </c>
      <c r="P51" s="1589">
        <v>0.36820000000000003</v>
      </c>
      <c r="Q51" s="1592">
        <v>19676334.273381419</v>
      </c>
      <c r="R51" s="1600">
        <v>44531</v>
      </c>
      <c r="S51" s="1592" t="str">
        <f t="shared" si="10"/>
        <v>Desp. 521/2022</v>
      </c>
      <c r="T51" s="1603" t="s">
        <v>525</v>
      </c>
      <c r="U51" s="740" t="s">
        <v>526</v>
      </c>
      <c r="V51" s="629">
        <v>2022</v>
      </c>
      <c r="W51" s="1587">
        <v>2907</v>
      </c>
      <c r="X51" s="1588" t="s">
        <v>2160</v>
      </c>
      <c r="Y51" s="1589"/>
      <c r="AA51" s="1590" t="s">
        <v>206</v>
      </c>
      <c r="AB51" s="1594">
        <v>17.5</v>
      </c>
      <c r="AC51" s="1593">
        <v>108.15</v>
      </c>
      <c r="AD51" s="1593">
        <v>8473358.1899999995</v>
      </c>
      <c r="AE51" s="740">
        <v>43270</v>
      </c>
      <c r="AF51" s="740">
        <v>43270</v>
      </c>
      <c r="AG51" s="740" t="s">
        <v>508</v>
      </c>
      <c r="AH51" s="629"/>
      <c r="AI51" s="740"/>
      <c r="AJ51" s="740"/>
      <c r="AK51" s="740" t="s">
        <v>509</v>
      </c>
      <c r="AL51" s="740">
        <v>43405</v>
      </c>
      <c r="AM51" s="740"/>
      <c r="AN51" s="862"/>
      <c r="AO51" s="235"/>
      <c r="AP51" s="17"/>
      <c r="AR51" s="816" t="s">
        <v>188</v>
      </c>
      <c r="AS51" s="235"/>
      <c r="AT51" s="235"/>
      <c r="AX51" s="235"/>
    </row>
    <row r="52" spans="1:50" s="9" customFormat="1" ht="31.5" hidden="1">
      <c r="A52" s="629" t="s">
        <v>291</v>
      </c>
      <c r="B52" s="629" t="s">
        <v>527</v>
      </c>
      <c r="C52" s="629">
        <v>11825</v>
      </c>
      <c r="D52" s="629" t="s">
        <v>528</v>
      </c>
      <c r="E52" s="629" t="s">
        <v>283</v>
      </c>
      <c r="F52" s="629" t="s">
        <v>529</v>
      </c>
      <c r="G52" s="629" t="s">
        <v>485</v>
      </c>
      <c r="H52" s="629">
        <v>9.9699999999999997E-2</v>
      </c>
      <c r="I52" s="629" t="s">
        <v>530</v>
      </c>
      <c r="J52" s="629">
        <v>132</v>
      </c>
      <c r="K52" s="629"/>
      <c r="L52" s="629"/>
      <c r="M52" s="815">
        <v>0</v>
      </c>
      <c r="N52" s="1592"/>
      <c r="O52" s="1592" t="str">
        <f t="shared" si="9"/>
        <v>ReH 2.995/2021</v>
      </c>
      <c r="P52" s="1589">
        <v>0.30030000000000001</v>
      </c>
      <c r="Q52" s="1592">
        <v>3990174.7268110593</v>
      </c>
      <c r="R52" s="1600">
        <v>44531</v>
      </c>
      <c r="S52" s="1592" t="str">
        <f t="shared" si="10"/>
        <v>Desp. 521/2022</v>
      </c>
      <c r="T52" s="1603" t="s">
        <v>531</v>
      </c>
      <c r="U52" s="740" t="s">
        <v>532</v>
      </c>
      <c r="V52" s="629">
        <v>2022</v>
      </c>
      <c r="W52" s="1587">
        <v>2905</v>
      </c>
      <c r="X52" s="1588" t="s">
        <v>2160</v>
      </c>
      <c r="Y52" s="1589"/>
      <c r="AA52" s="1590" t="s">
        <v>486</v>
      </c>
      <c r="AB52" s="1594">
        <v>108.32837360722637</v>
      </c>
      <c r="AC52" s="1593">
        <v>117.43916412021785</v>
      </c>
      <c r="AD52" s="1593">
        <v>0</v>
      </c>
      <c r="AE52" s="740">
        <v>44371</v>
      </c>
      <c r="AF52" s="740">
        <v>44371</v>
      </c>
      <c r="AG52" s="740" t="s">
        <v>508</v>
      </c>
      <c r="AH52" s="629"/>
      <c r="AI52" s="740"/>
      <c r="AJ52" s="740"/>
      <c r="AK52" s="740" t="s">
        <v>509</v>
      </c>
      <c r="AL52" s="740">
        <v>43405</v>
      </c>
      <c r="AM52" s="740"/>
      <c r="AN52" s="862"/>
      <c r="AO52" s="235"/>
      <c r="AP52" s="17"/>
      <c r="AR52" s="816" t="s">
        <v>421</v>
      </c>
      <c r="AS52" s="235"/>
      <c r="AT52" s="235"/>
      <c r="AX52" s="235"/>
    </row>
    <row r="53" spans="1:50" s="9" customFormat="1" ht="31.5" hidden="1">
      <c r="A53" s="629" t="s">
        <v>510</v>
      </c>
      <c r="B53" s="629" t="s">
        <v>533</v>
      </c>
      <c r="C53" s="629">
        <v>5375</v>
      </c>
      <c r="D53" s="629" t="s">
        <v>534</v>
      </c>
      <c r="E53" s="629" t="s">
        <v>283</v>
      </c>
      <c r="F53" s="629" t="s">
        <v>535</v>
      </c>
      <c r="G53" s="629" t="s">
        <v>285</v>
      </c>
      <c r="H53" s="629">
        <v>9.9699999999999997E-2</v>
      </c>
      <c r="I53" s="629" t="s">
        <v>536</v>
      </c>
      <c r="J53" s="629">
        <v>145</v>
      </c>
      <c r="K53" s="629" t="s">
        <v>537</v>
      </c>
      <c r="L53" s="629">
        <v>136</v>
      </c>
      <c r="M53" s="815">
        <v>0</v>
      </c>
      <c r="N53" s="1592"/>
      <c r="O53" s="1592" t="str">
        <f t="shared" si="9"/>
        <v>ReH 2.995/2021</v>
      </c>
      <c r="P53" s="1589">
        <v>0.26960000000000001</v>
      </c>
      <c r="Q53" s="1592">
        <v>9179104.7891964447</v>
      </c>
      <c r="R53" s="1600">
        <v>44531</v>
      </c>
      <c r="S53" s="1592" t="str">
        <f t="shared" si="10"/>
        <v>Desp. 521/2022</v>
      </c>
      <c r="T53" s="1603" t="s">
        <v>538</v>
      </c>
      <c r="U53" s="740" t="s">
        <v>539</v>
      </c>
      <c r="V53" s="629">
        <v>2022</v>
      </c>
      <c r="W53" s="1587">
        <v>2945</v>
      </c>
      <c r="X53" s="1588" t="s">
        <v>2162</v>
      </c>
      <c r="Y53" s="1589"/>
      <c r="AA53" s="1590" t="s">
        <v>536</v>
      </c>
      <c r="AB53" s="1594">
        <v>56.75</v>
      </c>
      <c r="AC53" s="1593">
        <v>133.91999999999999</v>
      </c>
      <c r="AD53" s="1593">
        <v>1818143.6</v>
      </c>
      <c r="AE53" s="740">
        <v>43678</v>
      </c>
      <c r="AF53" s="740">
        <v>43678</v>
      </c>
      <c r="AG53" s="740" t="s">
        <v>508</v>
      </c>
      <c r="AH53" s="629"/>
      <c r="AI53" s="740"/>
      <c r="AJ53" s="740"/>
      <c r="AK53" s="740" t="s">
        <v>509</v>
      </c>
      <c r="AL53" s="740">
        <v>43466</v>
      </c>
      <c r="AM53" s="740"/>
      <c r="AN53" s="862"/>
      <c r="AO53" s="235"/>
      <c r="AP53" s="17"/>
      <c r="AR53" s="816" t="s">
        <v>461</v>
      </c>
      <c r="AS53" s="235"/>
      <c r="AT53" s="235"/>
      <c r="AX53" s="235"/>
    </row>
    <row r="54" spans="1:50" s="9" customFormat="1" ht="31.5" hidden="1">
      <c r="A54" s="629" t="s">
        <v>186</v>
      </c>
      <c r="B54" s="629" t="s">
        <v>540</v>
      </c>
      <c r="C54" s="629">
        <v>5356</v>
      </c>
      <c r="D54" s="629" t="s">
        <v>541</v>
      </c>
      <c r="E54" s="629" t="s">
        <v>283</v>
      </c>
      <c r="F54" s="629" t="s">
        <v>542</v>
      </c>
      <c r="G54" s="629" t="s">
        <v>348</v>
      </c>
      <c r="H54" s="629">
        <v>9.9699999999999997E-2</v>
      </c>
      <c r="I54" s="629" t="s">
        <v>543</v>
      </c>
      <c r="J54" s="629">
        <v>111</v>
      </c>
      <c r="K54" s="629"/>
      <c r="L54" s="629"/>
      <c r="M54" s="815">
        <v>0</v>
      </c>
      <c r="N54" s="1592"/>
      <c r="O54" s="1592" t="str">
        <f t="shared" si="9"/>
        <v>ReH 2.995/2021</v>
      </c>
      <c r="P54" s="1589">
        <v>0.26719999999999999</v>
      </c>
      <c r="Q54" s="1592">
        <v>12311896.529185077</v>
      </c>
      <c r="R54" s="1600">
        <v>44531</v>
      </c>
      <c r="S54" s="1592" t="str">
        <f t="shared" si="10"/>
        <v>Desp. 521/2022</v>
      </c>
      <c r="T54" s="1603" t="s">
        <v>544</v>
      </c>
      <c r="U54" s="740" t="s">
        <v>545</v>
      </c>
      <c r="V54" s="629">
        <v>2022</v>
      </c>
      <c r="W54" s="1587">
        <v>2938</v>
      </c>
      <c r="X54" s="1588" t="s">
        <v>2162</v>
      </c>
      <c r="Y54" s="1589"/>
      <c r="AA54" s="1590" t="s">
        <v>543</v>
      </c>
      <c r="AB54" s="1594">
        <v>349.3569320960537</v>
      </c>
      <c r="AC54" s="1593">
        <v>180.36</v>
      </c>
      <c r="AD54" s="1593">
        <v>0</v>
      </c>
      <c r="AE54" s="740">
        <v>44430</v>
      </c>
      <c r="AF54" s="740">
        <v>44430</v>
      </c>
      <c r="AG54" s="740" t="s">
        <v>508</v>
      </c>
      <c r="AH54" s="629"/>
      <c r="AI54" s="740"/>
      <c r="AJ54" s="740"/>
      <c r="AK54" s="740" t="s">
        <v>509</v>
      </c>
      <c r="AL54" s="740">
        <v>43435</v>
      </c>
      <c r="AM54" s="740"/>
      <c r="AN54" s="862"/>
      <c r="AO54" s="235"/>
      <c r="AP54" s="17"/>
      <c r="AR54" s="816" t="s">
        <v>428</v>
      </c>
      <c r="AS54" s="235"/>
      <c r="AT54" s="235"/>
      <c r="AX54" s="235"/>
    </row>
    <row r="55" spans="1:50" s="9" customFormat="1" ht="31.5" hidden="1">
      <c r="A55" s="629" t="s">
        <v>472</v>
      </c>
      <c r="B55" s="629" t="s">
        <v>546</v>
      </c>
      <c r="C55" s="629">
        <v>7883</v>
      </c>
      <c r="D55" s="629" t="s">
        <v>547</v>
      </c>
      <c r="E55" s="629" t="s">
        <v>283</v>
      </c>
      <c r="F55" s="629" t="s">
        <v>548</v>
      </c>
      <c r="G55" s="629" t="s">
        <v>348</v>
      </c>
      <c r="H55" s="629">
        <v>9.9699999999999997E-2</v>
      </c>
      <c r="I55" s="629" t="s">
        <v>543</v>
      </c>
      <c r="J55" s="629">
        <v>111</v>
      </c>
      <c r="K55" s="629"/>
      <c r="L55" s="629"/>
      <c r="M55" s="815">
        <v>0</v>
      </c>
      <c r="N55" s="1592"/>
      <c r="O55" s="1592" t="str">
        <f t="shared" si="9"/>
        <v>ReH 2.995/2021</v>
      </c>
      <c r="P55" s="1589">
        <v>0.26719999999999999</v>
      </c>
      <c r="Q55" s="1592">
        <v>2747645.1312338929</v>
      </c>
      <c r="R55" s="1600">
        <v>44531</v>
      </c>
      <c r="S55" s="1592" t="str">
        <f t="shared" si="10"/>
        <v>Desp. 521/2022</v>
      </c>
      <c r="T55" s="1603" t="s">
        <v>549</v>
      </c>
      <c r="U55" s="740" t="s">
        <v>550</v>
      </c>
      <c r="V55" s="629">
        <v>2022</v>
      </c>
      <c r="W55" s="1587">
        <v>2952</v>
      </c>
      <c r="X55" s="1588" t="s">
        <v>2162</v>
      </c>
      <c r="Y55" s="1589"/>
      <c r="AA55" s="1590" t="s">
        <v>543</v>
      </c>
      <c r="AB55" s="1594">
        <v>66.75041888804266</v>
      </c>
      <c r="AC55" s="1593">
        <v>180.36</v>
      </c>
      <c r="AD55" s="1593">
        <v>1128622.9917918474</v>
      </c>
      <c r="AE55" s="740">
        <v>44430</v>
      </c>
      <c r="AF55" s="740">
        <v>44430</v>
      </c>
      <c r="AG55" s="740" t="s">
        <v>508</v>
      </c>
      <c r="AH55" s="629"/>
      <c r="AI55" s="740"/>
      <c r="AJ55" s="740"/>
      <c r="AK55" s="740" t="s">
        <v>509</v>
      </c>
      <c r="AL55" s="740">
        <v>43435</v>
      </c>
      <c r="AM55" s="740"/>
      <c r="AN55" s="862"/>
      <c r="AO55" s="235"/>
      <c r="AP55" s="17"/>
      <c r="AR55" s="816" t="s">
        <v>11</v>
      </c>
      <c r="AS55" s="235"/>
      <c r="AT55" s="235"/>
      <c r="AX55" s="235"/>
    </row>
    <row r="56" spans="1:50" s="9" customFormat="1" ht="31.5" hidden="1">
      <c r="A56" s="629" t="s">
        <v>521</v>
      </c>
      <c r="B56" s="629" t="s">
        <v>551</v>
      </c>
      <c r="C56" s="629">
        <v>11763</v>
      </c>
      <c r="D56" s="629" t="s">
        <v>552</v>
      </c>
      <c r="E56" s="629" t="s">
        <v>283</v>
      </c>
      <c r="F56" s="629" t="s">
        <v>553</v>
      </c>
      <c r="G56" s="629" t="s">
        <v>348</v>
      </c>
      <c r="H56" s="629">
        <v>9.9699999999999997E-2</v>
      </c>
      <c r="I56" s="629" t="s">
        <v>543</v>
      </c>
      <c r="J56" s="629">
        <v>111</v>
      </c>
      <c r="K56" s="629"/>
      <c r="L56" s="629"/>
      <c r="M56" s="815">
        <v>0</v>
      </c>
      <c r="N56" s="1592"/>
      <c r="O56" s="1592" t="str">
        <f t="shared" si="9"/>
        <v>ReH 2.995/2021</v>
      </c>
      <c r="P56" s="1589">
        <v>0.26719999999999999</v>
      </c>
      <c r="Q56" s="1592">
        <v>4273903.2129018996</v>
      </c>
      <c r="R56" s="1600">
        <v>44531</v>
      </c>
      <c r="S56" s="1592" t="str">
        <f t="shared" si="10"/>
        <v>Desp. 521/2022</v>
      </c>
      <c r="T56" s="1603" t="s">
        <v>554</v>
      </c>
      <c r="U56" s="740" t="s">
        <v>555</v>
      </c>
      <c r="V56" s="629">
        <v>2022</v>
      </c>
      <c r="W56" s="1587">
        <v>2954</v>
      </c>
      <c r="X56" s="1588" t="s">
        <v>2162</v>
      </c>
      <c r="Y56" s="1589"/>
      <c r="AA56" s="1590" t="s">
        <v>543</v>
      </c>
      <c r="AB56" s="1594">
        <v>340.16724180581309</v>
      </c>
      <c r="AC56" s="1593">
        <v>180.36</v>
      </c>
      <c r="AD56" s="1593">
        <v>0</v>
      </c>
      <c r="AE56" s="740">
        <v>44430</v>
      </c>
      <c r="AF56" s="740">
        <v>44430</v>
      </c>
      <c r="AG56" s="740" t="s">
        <v>508</v>
      </c>
      <c r="AH56" s="629"/>
      <c r="AI56" s="740"/>
      <c r="AJ56" s="740"/>
      <c r="AK56" s="740" t="s">
        <v>509</v>
      </c>
      <c r="AL56" s="740">
        <v>43466</v>
      </c>
      <c r="AM56" s="740"/>
      <c r="AN56" s="862"/>
      <c r="AO56" s="235"/>
      <c r="AP56" s="17"/>
      <c r="AR56" s="629" t="s">
        <v>10</v>
      </c>
      <c r="AS56" s="235"/>
      <c r="AT56" s="235"/>
      <c r="AX56" s="235"/>
    </row>
    <row r="57" spans="1:50" s="9" customFormat="1" ht="31.5" hidden="1">
      <c r="A57" s="629" t="s">
        <v>556</v>
      </c>
      <c r="B57" s="629" t="s">
        <v>557</v>
      </c>
      <c r="C57" s="629">
        <v>5374</v>
      </c>
      <c r="D57" s="629" t="s">
        <v>558</v>
      </c>
      <c r="E57" s="629" t="s">
        <v>283</v>
      </c>
      <c r="F57" s="629" t="s">
        <v>559</v>
      </c>
      <c r="G57" s="629" t="s">
        <v>348</v>
      </c>
      <c r="H57" s="629">
        <v>9.9699999999999997E-2</v>
      </c>
      <c r="I57" s="629" t="s">
        <v>543</v>
      </c>
      <c r="J57" s="629">
        <v>111</v>
      </c>
      <c r="K57" s="629"/>
      <c r="L57" s="629"/>
      <c r="M57" s="815">
        <v>0</v>
      </c>
      <c r="N57" s="1592"/>
      <c r="O57" s="1592" t="str">
        <f t="shared" si="9"/>
        <v>ReH 2.995/2021</v>
      </c>
      <c r="P57" s="1589">
        <v>0.26719999999999999</v>
      </c>
      <c r="Q57" s="1592">
        <v>14887159.462181535</v>
      </c>
      <c r="R57" s="1600">
        <v>44531</v>
      </c>
      <c r="S57" s="1592" t="str">
        <f t="shared" si="10"/>
        <v>Desp. 521/2022</v>
      </c>
      <c r="T57" s="1603" t="s">
        <v>560</v>
      </c>
      <c r="U57" s="740" t="s">
        <v>561</v>
      </c>
      <c r="V57" s="629">
        <v>2022</v>
      </c>
      <c r="W57" s="1587">
        <v>2955</v>
      </c>
      <c r="X57" s="1588" t="s">
        <v>2162</v>
      </c>
      <c r="Y57" s="1589"/>
      <c r="AA57" s="1590" t="s">
        <v>543</v>
      </c>
      <c r="AB57" s="1594">
        <v>42.479589945809131</v>
      </c>
      <c r="AC57" s="1593">
        <v>180.36</v>
      </c>
      <c r="AD57" s="1593">
        <v>4958818.1676888634</v>
      </c>
      <c r="AE57" s="740">
        <v>44430</v>
      </c>
      <c r="AF57" s="740">
        <v>44430</v>
      </c>
      <c r="AG57" s="740" t="s">
        <v>508</v>
      </c>
      <c r="AH57" s="629"/>
      <c r="AI57" s="740"/>
      <c r="AJ57" s="740"/>
      <c r="AK57" s="740" t="s">
        <v>509</v>
      </c>
      <c r="AL57" s="740">
        <v>43435</v>
      </c>
      <c r="AM57" s="740"/>
      <c r="AN57" s="862"/>
      <c r="AO57" s="235"/>
      <c r="AP57" s="17"/>
      <c r="AR57" s="889" t="s">
        <v>562</v>
      </c>
      <c r="AS57" s="235"/>
      <c r="AT57" s="235"/>
      <c r="AX57" s="235"/>
    </row>
    <row r="58" spans="1:50" s="9" customFormat="1" ht="31.5" hidden="1">
      <c r="A58" s="629" t="s">
        <v>10</v>
      </c>
      <c r="B58" s="629" t="s">
        <v>563</v>
      </c>
      <c r="C58" s="629">
        <v>5346</v>
      </c>
      <c r="D58" s="629" t="s">
        <v>564</v>
      </c>
      <c r="E58" s="629" t="s">
        <v>283</v>
      </c>
      <c r="F58" s="629" t="s">
        <v>565</v>
      </c>
      <c r="G58" s="629" t="s">
        <v>442</v>
      </c>
      <c r="H58" s="629">
        <v>9.9699999999999997E-2</v>
      </c>
      <c r="I58" s="629" t="s">
        <v>354</v>
      </c>
      <c r="J58" s="629">
        <v>110</v>
      </c>
      <c r="K58" s="629"/>
      <c r="L58" s="629"/>
      <c r="M58" s="815">
        <v>0</v>
      </c>
      <c r="N58" s="1592"/>
      <c r="O58" s="1592" t="str">
        <f t="shared" si="9"/>
        <v>ReH 2.995/2021</v>
      </c>
      <c r="P58" s="1589">
        <v>0.29220000000000002</v>
      </c>
      <c r="Q58" s="1592">
        <v>12150493.896013878</v>
      </c>
      <c r="R58" s="1600">
        <v>44531</v>
      </c>
      <c r="S58" s="1592" t="str">
        <f t="shared" si="10"/>
        <v>Desp. 521/2022</v>
      </c>
      <c r="T58" s="629" t="s">
        <v>566</v>
      </c>
      <c r="U58" s="740" t="s">
        <v>567</v>
      </c>
      <c r="V58" s="629">
        <v>2022</v>
      </c>
      <c r="W58" s="1587">
        <v>2993</v>
      </c>
      <c r="X58" s="1588" t="s">
        <v>2157</v>
      </c>
      <c r="Y58" s="629"/>
      <c r="AA58" s="1590" t="s">
        <v>354</v>
      </c>
      <c r="AB58" s="1592">
        <v>12.14</v>
      </c>
      <c r="AC58" s="1593">
        <v>127.47</v>
      </c>
      <c r="AD58" s="1593">
        <v>10002090.66</v>
      </c>
      <c r="AE58" s="740">
        <v>44501</v>
      </c>
      <c r="AF58" s="740">
        <v>44522</v>
      </c>
      <c r="AG58" s="740"/>
      <c r="AH58" s="629"/>
      <c r="AI58" s="740"/>
      <c r="AJ58" s="740"/>
      <c r="AK58" s="740" t="s">
        <v>509</v>
      </c>
      <c r="AL58" s="740">
        <v>43525</v>
      </c>
      <c r="AM58" s="740"/>
      <c r="AN58" s="862"/>
      <c r="AO58" s="235"/>
      <c r="AP58" s="17"/>
      <c r="AR58" s="816" t="s">
        <v>433</v>
      </c>
      <c r="AS58" s="235"/>
      <c r="AT58" s="235"/>
      <c r="AX58" s="235"/>
    </row>
    <row r="59" spans="1:50" s="9" customFormat="1" ht="31.5" hidden="1">
      <c r="A59" s="629" t="s">
        <v>11</v>
      </c>
      <c r="B59" s="629" t="s">
        <v>568</v>
      </c>
      <c r="C59" s="629">
        <v>5345</v>
      </c>
      <c r="D59" s="629" t="s">
        <v>569</v>
      </c>
      <c r="E59" s="629" t="s">
        <v>283</v>
      </c>
      <c r="F59" s="629" t="s">
        <v>570</v>
      </c>
      <c r="G59" s="629" t="s">
        <v>442</v>
      </c>
      <c r="H59" s="629">
        <v>9.9699999999999997E-2</v>
      </c>
      <c r="I59" s="629" t="s">
        <v>354</v>
      </c>
      <c r="J59" s="629">
        <v>110</v>
      </c>
      <c r="K59" s="629"/>
      <c r="L59" s="629"/>
      <c r="M59" s="815">
        <v>0</v>
      </c>
      <c r="N59" s="1592"/>
      <c r="O59" s="1592" t="str">
        <f t="shared" si="9"/>
        <v>ReH 2.995/2021</v>
      </c>
      <c r="P59" s="1589">
        <v>0.29220000000000002</v>
      </c>
      <c r="Q59" s="1592">
        <v>12126674.039789611</v>
      </c>
      <c r="R59" s="1600">
        <v>44531</v>
      </c>
      <c r="S59" s="1592" t="str">
        <f t="shared" si="10"/>
        <v>Desp. 521/2022</v>
      </c>
      <c r="T59" s="629" t="s">
        <v>571</v>
      </c>
      <c r="U59" s="740" t="s">
        <v>572</v>
      </c>
      <c r="V59" s="629">
        <v>2022</v>
      </c>
      <c r="W59" s="1587">
        <v>2999</v>
      </c>
      <c r="X59" s="1588" t="s">
        <v>2157</v>
      </c>
      <c r="Y59" s="629"/>
      <c r="AA59" s="1590" t="s">
        <v>354</v>
      </c>
      <c r="AB59" s="1592">
        <v>24.63</v>
      </c>
      <c r="AC59" s="1593">
        <v>127.47</v>
      </c>
      <c r="AD59" s="1593">
        <v>5510422.0099999998</v>
      </c>
      <c r="AE59" s="740">
        <v>44197</v>
      </c>
      <c r="AF59" s="740">
        <v>44522</v>
      </c>
      <c r="AG59" s="740"/>
      <c r="AH59" s="629"/>
      <c r="AI59" s="740"/>
      <c r="AJ59" s="740"/>
      <c r="AK59" s="740" t="s">
        <v>509</v>
      </c>
      <c r="AL59" s="740">
        <v>43525</v>
      </c>
      <c r="AM59" s="740"/>
      <c r="AN59" s="862"/>
      <c r="AO59" s="235"/>
      <c r="AP59" s="17"/>
      <c r="AR59" s="816" t="s">
        <v>466</v>
      </c>
      <c r="AS59" s="235"/>
      <c r="AT59" s="235"/>
      <c r="AX59" s="235"/>
    </row>
    <row r="60" spans="1:50" s="9" customFormat="1" ht="31.5" hidden="1">
      <c r="A60" s="629" t="s">
        <v>328</v>
      </c>
      <c r="B60" s="629" t="s">
        <v>573</v>
      </c>
      <c r="C60" s="629">
        <v>7467</v>
      </c>
      <c r="D60" s="629" t="s">
        <v>574</v>
      </c>
      <c r="E60" s="629" t="s">
        <v>283</v>
      </c>
      <c r="F60" s="629" t="s">
        <v>575</v>
      </c>
      <c r="G60" s="629" t="s">
        <v>285</v>
      </c>
      <c r="H60" s="629">
        <v>9.9699999999999997E-2</v>
      </c>
      <c r="I60" s="629" t="s">
        <v>150</v>
      </c>
      <c r="J60" s="629">
        <v>136</v>
      </c>
      <c r="K60" s="629" t="s">
        <v>164</v>
      </c>
      <c r="L60" s="629">
        <v>145</v>
      </c>
      <c r="M60" s="815">
        <v>0</v>
      </c>
      <c r="N60" s="1592"/>
      <c r="O60" s="1592" t="str">
        <f t="shared" si="9"/>
        <v>ReH 2.995/2021</v>
      </c>
      <c r="P60" s="1589">
        <v>0.31130000000000002</v>
      </c>
      <c r="Q60" s="1592">
        <v>26138615.684229702</v>
      </c>
      <c r="R60" s="1600">
        <v>44531</v>
      </c>
      <c r="S60" s="1592" t="str">
        <f t="shared" si="10"/>
        <v>Desp. 521/2022</v>
      </c>
      <c r="T60" s="629" t="s">
        <v>576</v>
      </c>
      <c r="U60" s="740" t="s">
        <v>577</v>
      </c>
      <c r="V60" s="629">
        <v>2023</v>
      </c>
      <c r="W60" s="1587">
        <v>2871</v>
      </c>
      <c r="X60" s="1588" t="s">
        <v>2159</v>
      </c>
      <c r="Y60" s="629"/>
      <c r="AA60" s="1590" t="s">
        <v>150</v>
      </c>
      <c r="AB60" s="1592">
        <v>109.7</v>
      </c>
      <c r="AC60" s="1593">
        <v>237.88</v>
      </c>
      <c r="AD60" s="1593">
        <v>7537395.7800000003</v>
      </c>
      <c r="AE60" s="740">
        <v>43198</v>
      </c>
      <c r="AF60" s="740">
        <v>43198</v>
      </c>
      <c r="AG60" s="740"/>
      <c r="AH60" s="629"/>
      <c r="AI60" s="740"/>
      <c r="AJ60" s="740"/>
      <c r="AK60" s="740" t="s">
        <v>509</v>
      </c>
      <c r="AL60" s="740">
        <v>43614</v>
      </c>
      <c r="AM60" s="1596">
        <v>0</v>
      </c>
      <c r="AN60" s="862"/>
      <c r="AR60" s="816" t="s">
        <v>174</v>
      </c>
      <c r="AS60" s="235"/>
      <c r="AT60" s="235"/>
      <c r="AX60" s="235"/>
    </row>
    <row r="61" spans="1:50" ht="31.5" hidden="1">
      <c r="A61" s="508" t="s">
        <v>321</v>
      </c>
      <c r="B61" s="508" t="s">
        <v>578</v>
      </c>
      <c r="C61" s="508">
        <v>5343</v>
      </c>
      <c r="D61" s="629" t="s">
        <v>579</v>
      </c>
      <c r="E61" s="508" t="s">
        <v>283</v>
      </c>
      <c r="F61" s="508" t="s">
        <v>580</v>
      </c>
      <c r="G61" s="508" t="s">
        <v>442</v>
      </c>
      <c r="H61" s="508">
        <v>9.9699999999999997E-2</v>
      </c>
      <c r="I61" s="508" t="s">
        <v>206</v>
      </c>
      <c r="J61" s="508">
        <v>167</v>
      </c>
      <c r="K61" s="508" t="s">
        <v>581</v>
      </c>
      <c r="L61" s="508">
        <v>164</v>
      </c>
      <c r="M61" s="863">
        <v>0</v>
      </c>
      <c r="N61" s="862"/>
      <c r="O61" s="1592" t="str">
        <f t="shared" si="9"/>
        <v>ReH 2.995/2021</v>
      </c>
      <c r="P61" s="1604">
        <v>0.3589</v>
      </c>
      <c r="Q61" s="862">
        <v>45272621.042895459</v>
      </c>
      <c r="R61" s="1600">
        <v>44531</v>
      </c>
      <c r="S61" s="1592" t="str">
        <f t="shared" si="10"/>
        <v>Desp. 521/2022</v>
      </c>
      <c r="T61" s="740">
        <v>43831</v>
      </c>
      <c r="U61" s="864" t="s">
        <v>582</v>
      </c>
      <c r="V61" s="508">
        <v>2022</v>
      </c>
      <c r="W61" s="1597">
        <v>2913</v>
      </c>
      <c r="X61" s="508" t="s">
        <v>2160</v>
      </c>
      <c r="Y61" s="508"/>
      <c r="AA61" s="1598" t="s">
        <v>206</v>
      </c>
      <c r="AB61" s="862">
        <v>16.32</v>
      </c>
      <c r="AC61" s="1599">
        <v>131.34</v>
      </c>
      <c r="AD61" s="1599">
        <v>22619960.88284716</v>
      </c>
      <c r="AE61" s="864">
        <v>43209</v>
      </c>
      <c r="AF61" s="864">
        <v>43270</v>
      </c>
      <c r="AG61" s="508"/>
      <c r="AH61" s="864"/>
      <c r="AI61" s="864"/>
      <c r="AJ61" s="864"/>
      <c r="AK61" s="740" t="s">
        <v>583</v>
      </c>
      <c r="AL61" s="864">
        <v>44105</v>
      </c>
      <c r="AM61" s="864"/>
      <c r="AN61" s="862"/>
      <c r="AR61" s="629" t="s">
        <v>477</v>
      </c>
      <c r="AS61" s="857"/>
      <c r="AX61" s="857"/>
    </row>
    <row r="62" spans="1:50">
      <c r="AD62" s="782"/>
    </row>
    <row r="64" spans="1:50">
      <c r="B64">
        <v>6896</v>
      </c>
    </row>
    <row r="66" spans="1:14">
      <c r="A66" s="655" t="s">
        <v>584</v>
      </c>
    </row>
    <row r="68" spans="1:14">
      <c r="A68" s="509" t="s">
        <v>585</v>
      </c>
      <c r="B68" s="509" t="s">
        <v>27</v>
      </c>
      <c r="C68" s="509" t="s">
        <v>586</v>
      </c>
      <c r="D68" s="509" t="s">
        <v>587</v>
      </c>
      <c r="E68" s="509" t="s">
        <v>588</v>
      </c>
      <c r="F68" s="509" t="s">
        <v>589</v>
      </c>
      <c r="G68" s="509" t="s">
        <v>590</v>
      </c>
      <c r="H68" s="509" t="s">
        <v>591</v>
      </c>
      <c r="I68" s="509" t="s">
        <v>592</v>
      </c>
      <c r="J68" s="509" t="s">
        <v>593</v>
      </c>
      <c r="K68" s="515" t="s">
        <v>594</v>
      </c>
      <c r="L68" s="509" t="s">
        <v>595</v>
      </c>
      <c r="M68" s="515" t="s">
        <v>596</v>
      </c>
      <c r="N68" s="515" t="s">
        <v>2168</v>
      </c>
    </row>
    <row r="69" spans="1:14" hidden="1">
      <c r="A69" s="480" t="s">
        <v>280</v>
      </c>
      <c r="B69" s="629" t="s">
        <v>286</v>
      </c>
      <c r="C69" s="480">
        <v>104</v>
      </c>
      <c r="D69" s="480">
        <v>391</v>
      </c>
      <c r="E69" s="480" t="s">
        <v>597</v>
      </c>
      <c r="F69" s="480" t="str">
        <f>CONCATENATE(DescontosTE[[#This Row],[Permissionária]],DescontosTE[[#This Row],[codsariSUP]],DescontosTE[[#This Row],[Classe]])</f>
        <v>Cedrap391A4</v>
      </c>
      <c r="G69" s="510">
        <v>0.85740000000000005</v>
      </c>
      <c r="H69" s="510">
        <v>0.64305000000000001</v>
      </c>
      <c r="I69" s="510">
        <v>0.33069999999999999</v>
      </c>
      <c r="J69" s="512">
        <v>0.33069999999999999</v>
      </c>
      <c r="K69" s="682">
        <v>0.26350000000000001</v>
      </c>
      <c r="L69" s="865">
        <v>0</v>
      </c>
      <c r="M69" s="865">
        <v>0</v>
      </c>
    </row>
    <row r="70" spans="1:14" hidden="1">
      <c r="A70" s="480" t="s">
        <v>280</v>
      </c>
      <c r="B70" s="480" t="s">
        <v>164</v>
      </c>
      <c r="C70" s="480">
        <v>145</v>
      </c>
      <c r="D70" s="480">
        <v>385</v>
      </c>
      <c r="E70" s="480" t="s">
        <v>597</v>
      </c>
      <c r="F70" s="480" t="str">
        <f>CONCATENATE(DescontosTE[[#This Row],[Permissionária]],DescontosTE[[#This Row],[codsariSUP]],DescontosTE[[#This Row],[Classe]])</f>
        <v>Cedrap385A4</v>
      </c>
      <c r="G70" s="510">
        <v>0.81920000000000004</v>
      </c>
      <c r="H70" s="510">
        <v>0.61440000000000006</v>
      </c>
      <c r="I70" s="510">
        <v>0.33069999999999999</v>
      </c>
      <c r="J70" s="512">
        <v>0.33069999999999999</v>
      </c>
      <c r="K70" s="682">
        <v>0.26350000000000001</v>
      </c>
      <c r="L70" s="865">
        <v>0</v>
      </c>
      <c r="M70" s="865">
        <v>0</v>
      </c>
    </row>
    <row r="71" spans="1:14" hidden="1">
      <c r="A71" s="480" t="s">
        <v>187</v>
      </c>
      <c r="B71" s="480" t="s">
        <v>164</v>
      </c>
      <c r="C71" s="480">
        <v>145</v>
      </c>
      <c r="D71" s="480">
        <v>385</v>
      </c>
      <c r="E71" s="480" t="s">
        <v>597</v>
      </c>
      <c r="F71" s="480" t="str">
        <f>CONCATENATE(DescontosTE[[#This Row],[Permissionária]],DescontosTE[[#This Row],[codsariSUP]],DescontosTE[[#This Row],[Classe]])</f>
        <v>Cedri385A4</v>
      </c>
      <c r="G71" s="510">
        <v>0.62490000000000001</v>
      </c>
      <c r="H71" s="510">
        <v>0.46867500000000001</v>
      </c>
      <c r="I71" s="510">
        <v>0.45379999999999998</v>
      </c>
      <c r="J71" s="512">
        <v>0.45379999999999998</v>
      </c>
      <c r="K71" s="682">
        <v>0</v>
      </c>
      <c r="L71" s="865">
        <v>0</v>
      </c>
      <c r="M71" s="865">
        <v>0</v>
      </c>
    </row>
    <row r="72" spans="1:14" hidden="1">
      <c r="A72" s="480" t="s">
        <v>315</v>
      </c>
      <c r="B72" s="480" t="s">
        <v>189</v>
      </c>
      <c r="C72" s="480">
        <v>111</v>
      </c>
      <c r="D72" s="480">
        <v>5697</v>
      </c>
      <c r="E72" s="480" t="s">
        <v>597</v>
      </c>
      <c r="F72" s="480" t="str">
        <f>CONCATENATE(DescontosTE[[#This Row],[Permissionária]],DescontosTE[[#This Row],[codsariSUP]],DescontosTE[[#This Row],[Classe]])</f>
        <v>Cejama5697A4</v>
      </c>
      <c r="G72" s="510">
        <v>0.53426551936078681</v>
      </c>
      <c r="H72" s="510">
        <v>0.40069913952059011</v>
      </c>
      <c r="I72" s="510">
        <v>0.40069913952059011</v>
      </c>
      <c r="J72" s="512">
        <v>0.4007</v>
      </c>
      <c r="K72" s="682">
        <v>0.22989999999999999</v>
      </c>
      <c r="L72" s="865">
        <v>0</v>
      </c>
      <c r="M72" s="865">
        <v>0</v>
      </c>
    </row>
    <row r="73" spans="1:14" hidden="1">
      <c r="A73" s="480" t="s">
        <v>315</v>
      </c>
      <c r="B73" s="486" t="s">
        <v>407</v>
      </c>
      <c r="C73" s="480">
        <v>228</v>
      </c>
      <c r="D73" s="480">
        <v>5368</v>
      </c>
      <c r="E73" s="480" t="s">
        <v>597</v>
      </c>
      <c r="F73" s="480" t="str">
        <f>CONCATENATE(DescontosTE[[#This Row],[Permissionária]],DescontosTE[[#This Row],[codsariSUP]],DescontosTE[[#This Row],[Classe]])</f>
        <v>Cejama5368A4</v>
      </c>
      <c r="G73" s="682">
        <v>0</v>
      </c>
      <c r="H73" s="682">
        <v>0</v>
      </c>
      <c r="I73" s="682">
        <v>0</v>
      </c>
      <c r="J73" s="511">
        <v>0</v>
      </c>
      <c r="K73" s="682">
        <v>0</v>
      </c>
      <c r="L73" s="865">
        <v>0</v>
      </c>
      <c r="M73" s="865">
        <v>0</v>
      </c>
    </row>
    <row r="74" spans="1:14" hidden="1">
      <c r="A74" s="480" t="s">
        <v>9</v>
      </c>
      <c r="B74" s="480" t="s">
        <v>598</v>
      </c>
      <c r="C74" s="480">
        <v>110</v>
      </c>
      <c r="D74" s="480">
        <v>5707</v>
      </c>
      <c r="E74" s="480" t="s">
        <v>597</v>
      </c>
      <c r="F74" s="480" t="str">
        <f>CONCATENATE(DescontosTE[[#This Row],[Permissionária]],DescontosTE[[#This Row],[codsariSUP]],DescontosTE[[#This Row],[Classe]])</f>
        <v>Ceprag5707A4</v>
      </c>
      <c r="G74" s="510">
        <v>0.57969814099024475</v>
      </c>
      <c r="H74" s="510">
        <v>0.57969814099024475</v>
      </c>
      <c r="I74" s="510">
        <v>0.57969814099024475</v>
      </c>
      <c r="J74" s="510">
        <v>0.57969814099024475</v>
      </c>
      <c r="K74" s="682">
        <v>0.30859999999999999</v>
      </c>
      <c r="L74" s="865">
        <v>0</v>
      </c>
      <c r="M74" s="1564">
        <v>0</v>
      </c>
    </row>
    <row r="75" spans="1:14" hidden="1">
      <c r="A75" s="480" t="s">
        <v>9</v>
      </c>
      <c r="B75" s="480" t="s">
        <v>189</v>
      </c>
      <c r="C75" s="480">
        <v>111</v>
      </c>
      <c r="D75" s="480">
        <v>5697</v>
      </c>
      <c r="E75" s="480" t="s">
        <v>599</v>
      </c>
      <c r="F75" s="480" t="str">
        <f>CONCATENATE(DescontosTE[[#This Row],[Permissionária]],DescontosTE[[#This Row],[codsariSUP]],DescontosTE[[#This Row],[Classe]])</f>
        <v>Ceprag5697A3</v>
      </c>
      <c r="G75" s="510">
        <v>0.54564975934838955</v>
      </c>
      <c r="H75" s="510">
        <v>0.54564975934838955</v>
      </c>
      <c r="I75" s="510">
        <v>0.54564975934838955</v>
      </c>
      <c r="J75" s="510">
        <v>0.54564975934838955</v>
      </c>
      <c r="K75" s="682">
        <v>0.30859999999999999</v>
      </c>
      <c r="L75" s="865">
        <v>0.29099999999999998</v>
      </c>
      <c r="M75" s="1565">
        <v>0</v>
      </c>
    </row>
    <row r="76" spans="1:14" hidden="1">
      <c r="A76" s="480" t="s">
        <v>339</v>
      </c>
      <c r="B76" s="480" t="s">
        <v>189</v>
      </c>
      <c r="C76" s="480">
        <v>111</v>
      </c>
      <c r="D76" s="480">
        <v>5697</v>
      </c>
      <c r="E76" s="480" t="s">
        <v>597</v>
      </c>
      <c r="F76" s="480" t="str">
        <f>CONCATENATE(DescontosTE[[#This Row],[Permissionária]],DescontosTE[[#This Row],[codsariSUP]],DescontosTE[[#This Row],[Classe]])</f>
        <v>Ceraçá5697A4</v>
      </c>
      <c r="G76" s="510">
        <v>0.89512907191149349</v>
      </c>
      <c r="H76" s="510">
        <v>0.67134680393362012</v>
      </c>
      <c r="I76" s="510">
        <v>0.67134680393362012</v>
      </c>
      <c r="J76" s="512">
        <v>0.65039999999999998</v>
      </c>
      <c r="K76" s="682">
        <v>0.57469999999999999</v>
      </c>
      <c r="L76" s="865">
        <v>0.56379999999999997</v>
      </c>
      <c r="M76" s="1565">
        <v>0.54410000000000003</v>
      </c>
    </row>
    <row r="77" spans="1:14" hidden="1">
      <c r="A77" s="480" t="s">
        <v>184</v>
      </c>
      <c r="B77" s="480" t="s">
        <v>362</v>
      </c>
      <c r="C77" s="480">
        <v>220</v>
      </c>
      <c r="D77" s="480">
        <v>6898</v>
      </c>
      <c r="E77" s="480" t="s">
        <v>597</v>
      </c>
      <c r="F77" s="480" t="str">
        <f>CONCATENATE(DescontosTE[[#This Row],[Permissionária]],DescontosTE[[#This Row],[codsariSUP]],DescontosTE[[#This Row],[Classe]])</f>
        <v>Ceral Anitápolis6898A4</v>
      </c>
      <c r="G77" s="510">
        <v>0.90610167159661548</v>
      </c>
      <c r="H77" s="510">
        <v>0.67957625369746166</v>
      </c>
      <c r="I77" s="510">
        <v>0.222</v>
      </c>
      <c r="J77" s="512">
        <v>0.1933</v>
      </c>
      <c r="K77" s="682">
        <v>0.1933</v>
      </c>
      <c r="L77" s="865">
        <v>0</v>
      </c>
      <c r="M77" s="865">
        <v>0</v>
      </c>
    </row>
    <row r="78" spans="1:14" hidden="1">
      <c r="A78" s="480" t="s">
        <v>357</v>
      </c>
      <c r="B78" s="480" t="s">
        <v>600</v>
      </c>
      <c r="C78" s="480">
        <v>132</v>
      </c>
      <c r="D78" s="480">
        <v>2866</v>
      </c>
      <c r="E78" s="480" t="s">
        <v>597</v>
      </c>
      <c r="F78" s="480" t="str">
        <f>CONCATENATE(DescontosTE[[#This Row],[Permissionária]],DescontosTE[[#This Row],[codsariSUP]],DescontosTE[[#This Row],[Classe]])</f>
        <v>Ceral Dis2866A4</v>
      </c>
      <c r="G78" s="510">
        <v>0.73094654242275625</v>
      </c>
      <c r="H78" s="510">
        <v>0.54820990681706716</v>
      </c>
      <c r="I78" s="510">
        <v>0.40820000000000001</v>
      </c>
      <c r="J78" s="512">
        <v>0.40816629218792566</v>
      </c>
      <c r="K78" s="682">
        <v>0.38150000000000001</v>
      </c>
      <c r="L78" s="865">
        <v>0.2326</v>
      </c>
      <c r="M78" s="1565">
        <v>0.2326</v>
      </c>
    </row>
    <row r="79" spans="1:14" hidden="1">
      <c r="A79" s="480" t="s">
        <v>357</v>
      </c>
      <c r="B79" s="480" t="s">
        <v>600</v>
      </c>
      <c r="C79" s="480">
        <v>132</v>
      </c>
      <c r="D79" s="480">
        <v>2866</v>
      </c>
      <c r="E79" s="480" t="s">
        <v>601</v>
      </c>
      <c r="F79" s="480" t="str">
        <f>CONCATENATE(DescontosTE[[#This Row],[Permissionária]],DescontosTE[[#This Row],[codsariSUP]],DescontosTE[[#This Row],[Classe]])</f>
        <v>Ceral Dis2866A3a</v>
      </c>
      <c r="G79" s="510">
        <v>0.73094654242275625</v>
      </c>
      <c r="H79" s="510">
        <v>0.54820990681706716</v>
      </c>
      <c r="I79" s="510">
        <v>0.40820000000000001</v>
      </c>
      <c r="J79" s="512">
        <v>0.40816629218792566</v>
      </c>
      <c r="K79" s="682">
        <v>0.38150000000000001</v>
      </c>
      <c r="L79" s="865">
        <v>0.2326</v>
      </c>
      <c r="M79" s="1565">
        <v>0.2326</v>
      </c>
    </row>
    <row r="80" spans="1:14" hidden="1">
      <c r="A80" s="480" t="s">
        <v>362</v>
      </c>
      <c r="B80" s="480" t="s">
        <v>189</v>
      </c>
      <c r="C80" s="480">
        <v>111</v>
      </c>
      <c r="D80" s="480">
        <v>5697</v>
      </c>
      <c r="E80" s="480" t="s">
        <v>602</v>
      </c>
      <c r="F80" s="480" t="str">
        <f>CONCATENATE(DescontosTE[[#This Row],[Permissionária]],DescontosTE[[#This Row],[codsariSUP]],DescontosTE[[#This Row],[Classe]])</f>
        <v>Cerbranorte5697A2</v>
      </c>
      <c r="G80" s="510">
        <v>0.47579901659496004</v>
      </c>
      <c r="H80" s="510">
        <v>0.35684926244622006</v>
      </c>
      <c r="I80" s="510">
        <v>0.35684926244622006</v>
      </c>
      <c r="J80" s="512">
        <v>0.34470000000000001</v>
      </c>
      <c r="K80" s="682">
        <v>0.1027</v>
      </c>
      <c r="L80" s="865">
        <v>9.9400000000000002E-2</v>
      </c>
      <c r="M80" s="1565">
        <v>0</v>
      </c>
    </row>
    <row r="81" spans="1:14" hidden="1">
      <c r="A81" s="480" t="s">
        <v>362</v>
      </c>
      <c r="B81" s="480" t="s">
        <v>189</v>
      </c>
      <c r="C81" s="480">
        <v>111</v>
      </c>
      <c r="D81" s="480">
        <v>5697</v>
      </c>
      <c r="E81" s="480" t="s">
        <v>597</v>
      </c>
      <c r="F81" s="480" t="str">
        <f>CONCATENATE(DescontosTE[[#This Row],[Permissionária]],DescontosTE[[#This Row],[codsariSUP]],DescontosTE[[#This Row],[Classe]])</f>
        <v>Cerbranorte5697A4</v>
      </c>
      <c r="G81" s="510">
        <v>0.47579901659496004</v>
      </c>
      <c r="H81" s="510">
        <v>0.35684926244622006</v>
      </c>
      <c r="I81" s="510">
        <v>0.35684926244622006</v>
      </c>
      <c r="J81" s="512">
        <v>0.34470000000000001</v>
      </c>
      <c r="K81" s="682">
        <v>0.1027</v>
      </c>
      <c r="L81" s="865">
        <v>9.9400000000000002E-2</v>
      </c>
      <c r="M81" s="1565">
        <v>0</v>
      </c>
    </row>
    <row r="82" spans="1:14" hidden="1">
      <c r="A82" s="480" t="s">
        <v>372</v>
      </c>
      <c r="B82" s="480" t="s">
        <v>603</v>
      </c>
      <c r="C82" s="480">
        <v>155</v>
      </c>
      <c r="D82" s="480">
        <v>6587</v>
      </c>
      <c r="E82" s="480" t="s">
        <v>597</v>
      </c>
      <c r="F82" s="480" t="str">
        <f>CONCATENATE(DescontosTE[[#This Row],[Permissionária]],DescontosTE[[#This Row],[codsariSUP]],DescontosTE[[#This Row],[Classe]])</f>
        <v>Cercos6587A4</v>
      </c>
      <c r="G82" s="510">
        <v>0.71649852236828693</v>
      </c>
      <c r="H82" s="510">
        <v>0.5373738917762152</v>
      </c>
      <c r="I82" s="510">
        <v>0.35820000000000002</v>
      </c>
      <c r="J82" s="512">
        <v>0</v>
      </c>
      <c r="K82" s="682">
        <v>0</v>
      </c>
      <c r="L82" s="865">
        <v>0</v>
      </c>
      <c r="M82" s="865">
        <v>0</v>
      </c>
    </row>
    <row r="83" spans="1:14" hidden="1">
      <c r="A83" s="480" t="s">
        <v>373</v>
      </c>
      <c r="B83" s="480" t="s">
        <v>189</v>
      </c>
      <c r="C83" s="480">
        <v>111</v>
      </c>
      <c r="D83" s="480">
        <v>5697</v>
      </c>
      <c r="E83" s="480" t="s">
        <v>597</v>
      </c>
      <c r="F83" s="480" t="str">
        <f>CONCATENATE(DescontosTE[[#This Row],[Permissionária]],DescontosTE[[#This Row],[codsariSUP]],DescontosTE[[#This Row],[Classe]])</f>
        <v>Cerej5697A4</v>
      </c>
      <c r="G83" s="510">
        <v>0.89474492931776273</v>
      </c>
      <c r="H83" s="510">
        <v>0.6710586969883221</v>
      </c>
      <c r="I83" s="510">
        <v>0.6710586969883221</v>
      </c>
      <c r="J83" s="512">
        <v>0.67110000000000003</v>
      </c>
      <c r="K83" s="682">
        <v>0.67110000000000003</v>
      </c>
      <c r="L83" s="865">
        <v>0.63749999999999996</v>
      </c>
      <c r="M83" s="1565">
        <v>0.41699999999999998</v>
      </c>
    </row>
    <row r="84" spans="1:14" hidden="1">
      <c r="A84" s="480" t="s">
        <v>182</v>
      </c>
      <c r="B84" s="486" t="s">
        <v>163</v>
      </c>
      <c r="C84" s="480">
        <v>103</v>
      </c>
      <c r="D84" s="480">
        <v>383</v>
      </c>
      <c r="E84" s="480" t="s">
        <v>597</v>
      </c>
      <c r="F84" s="480" t="str">
        <f>CONCATENATE(DescontosTE[[#This Row],[Permissionária]],DescontosTE[[#This Row],[codsariSUP]],DescontosTE[[#This Row],[Classe]])</f>
        <v>Ceres383A4</v>
      </c>
      <c r="G84" s="510">
        <v>0.87464280342908707</v>
      </c>
      <c r="H84" s="510">
        <v>0.65598210257181533</v>
      </c>
      <c r="I84" s="510">
        <v>0.43730000000000002</v>
      </c>
      <c r="J84" s="510">
        <v>0.43730000000000002</v>
      </c>
      <c r="K84" s="682">
        <v>0.43730000000000002</v>
      </c>
      <c r="L84" s="865">
        <f>DescontosTE[[#This Row],[2019]]</f>
        <v>0.43730000000000002</v>
      </c>
      <c r="M84" s="1566">
        <f>DescontosTE[[#This Row],[2020]]</f>
        <v>0.43730000000000002</v>
      </c>
      <c r="N84" s="1566">
        <f>DescontosTE[[#This Row],[2020]]</f>
        <v>0.43730000000000002</v>
      </c>
    </row>
    <row r="85" spans="1:14" hidden="1">
      <c r="A85" s="480" t="s">
        <v>185</v>
      </c>
      <c r="B85" s="480" t="s">
        <v>189</v>
      </c>
      <c r="C85" s="480">
        <v>111</v>
      </c>
      <c r="D85" s="480">
        <v>5697</v>
      </c>
      <c r="E85" s="480" t="s">
        <v>597</v>
      </c>
      <c r="F85" s="480" t="str">
        <f>CONCATENATE(DescontosTE[[#This Row],[Permissionária]],DescontosTE[[#This Row],[codsariSUP]],DescontosTE[[#This Row],[Classe]])</f>
        <v>Cergal5697A4</v>
      </c>
      <c r="G85" s="510">
        <v>0.72464658881376764</v>
      </c>
      <c r="H85" s="510">
        <v>0.54348494161032579</v>
      </c>
      <c r="I85" s="510">
        <v>0.54348494161032579</v>
      </c>
      <c r="J85" s="512">
        <v>0.54349999999999998</v>
      </c>
      <c r="K85" s="682">
        <v>0.33379999999999999</v>
      </c>
      <c r="L85" s="865">
        <v>0.25619999999999998</v>
      </c>
      <c r="M85" s="1565">
        <v>0.25619999999999998</v>
      </c>
    </row>
    <row r="86" spans="1:14" hidden="1">
      <c r="A86" s="480" t="s">
        <v>384</v>
      </c>
      <c r="B86" s="480" t="s">
        <v>189</v>
      </c>
      <c r="C86" s="480">
        <v>111</v>
      </c>
      <c r="D86" s="480">
        <v>5697</v>
      </c>
      <c r="E86" s="480" t="s">
        <v>597</v>
      </c>
      <c r="F86" s="480" t="str">
        <f>CONCATENATE(DescontosTE[[#This Row],[Permissionária]],DescontosTE[[#This Row],[codsariSUP]],DescontosTE[[#This Row],[Classe]])</f>
        <v>Cergapa5697A4</v>
      </c>
      <c r="G86" s="510">
        <v>0.69825990373935576</v>
      </c>
      <c r="H86" s="510">
        <v>0.69825990373935576</v>
      </c>
      <c r="I86" s="510">
        <v>0.54749999999999999</v>
      </c>
      <c r="J86" s="512">
        <v>0.48209999999999997</v>
      </c>
      <c r="K86" s="682">
        <v>0.42549999999999999</v>
      </c>
      <c r="L86" s="865">
        <v>0.37969999999999998</v>
      </c>
      <c r="M86" s="1565">
        <v>0.36749999999999999</v>
      </c>
    </row>
    <row r="87" spans="1:14" hidden="1">
      <c r="A87" s="480" t="s">
        <v>391</v>
      </c>
      <c r="B87" s="480" t="s">
        <v>189</v>
      </c>
      <c r="C87" s="480">
        <v>111</v>
      </c>
      <c r="D87" s="480">
        <v>5697</v>
      </c>
      <c r="E87" s="480" t="s">
        <v>597</v>
      </c>
      <c r="F87" s="480" t="str">
        <f>CONCATENATE(DescontosTE[[#This Row],[Permissionária]],DescontosTE[[#This Row],[codsariSUP]],DescontosTE[[#This Row],[Classe]])</f>
        <v>Cergral5697A4</v>
      </c>
      <c r="G87" s="510">
        <v>0.7833435771358328</v>
      </c>
      <c r="H87" s="510">
        <v>0.5875076828518746</v>
      </c>
      <c r="I87" s="510">
        <v>0.5875076828518746</v>
      </c>
      <c r="J87" s="512">
        <v>0.58750000000000002</v>
      </c>
      <c r="K87" s="682">
        <v>0.56830000000000003</v>
      </c>
      <c r="L87" s="865">
        <v>0.55110000000000003</v>
      </c>
      <c r="M87" s="1565">
        <v>0.48010000000000003</v>
      </c>
    </row>
    <row r="88" spans="1:14" hidden="1">
      <c r="A88" s="480" t="s">
        <v>175</v>
      </c>
      <c r="B88" s="480" t="s">
        <v>206</v>
      </c>
      <c r="C88" s="607">
        <v>167</v>
      </c>
      <c r="D88" s="607">
        <v>396</v>
      </c>
      <c r="E88" s="480" t="s">
        <v>599</v>
      </c>
      <c r="F88" s="480" t="str">
        <f>CONCATENATE(DescontosTE[[#This Row],[Permissionária]],DescontosTE[[#This Row],[codsariSUP]],DescontosTE[[#This Row],[Classe]])</f>
        <v>Ceriluz396A3</v>
      </c>
      <c r="G88" s="510">
        <v>0.82731282784930849</v>
      </c>
      <c r="H88" s="510">
        <v>0.82731282784930849</v>
      </c>
      <c r="I88" s="510">
        <v>0.82731282784930849</v>
      </c>
      <c r="J88" s="512">
        <v>0.2782</v>
      </c>
      <c r="K88" s="682">
        <v>0.2782</v>
      </c>
      <c r="L88" s="865">
        <v>0.2132</v>
      </c>
      <c r="M88" s="1565">
        <v>0.2132</v>
      </c>
    </row>
    <row r="89" spans="1:14" hidden="1">
      <c r="A89" s="480" t="s">
        <v>175</v>
      </c>
      <c r="B89" s="480" t="s">
        <v>206</v>
      </c>
      <c r="C89" s="607">
        <v>167</v>
      </c>
      <c r="D89" s="607">
        <v>396</v>
      </c>
      <c r="E89" s="480" t="s">
        <v>597</v>
      </c>
      <c r="F89" s="480" t="str">
        <f>CONCATENATE(DescontosTE[[#This Row],[Permissionária]],DescontosTE[[#This Row],[codsariSUP]],DescontosTE[[#This Row],[Classe]])</f>
        <v>Ceriluz396A4</v>
      </c>
      <c r="G89" s="510">
        <v>0.73575345731998087</v>
      </c>
      <c r="H89" s="510">
        <v>0.73575345731998087</v>
      </c>
      <c r="I89" s="510">
        <v>0.73575345731998087</v>
      </c>
      <c r="J89" s="512">
        <v>0.2782</v>
      </c>
      <c r="K89" s="682">
        <v>0.2782</v>
      </c>
      <c r="L89" s="865">
        <v>0.2132</v>
      </c>
      <c r="M89" s="1565">
        <v>0.2132</v>
      </c>
    </row>
    <row r="90" spans="1:14" hidden="1">
      <c r="A90" s="480" t="s">
        <v>175</v>
      </c>
      <c r="B90" s="480" t="s">
        <v>206</v>
      </c>
      <c r="C90" s="607">
        <v>167</v>
      </c>
      <c r="D90" s="607">
        <v>396</v>
      </c>
      <c r="E90" s="480" t="s">
        <v>604</v>
      </c>
      <c r="F90" s="480" t="str">
        <f>CONCATENATE(DescontosTE[[#This Row],[Permissionária]],DescontosTE[[#This Row],[codsariSUP]],DescontosTE[[#This Row],[Classe]])</f>
        <v>Ceriluz396B</v>
      </c>
      <c r="G90" s="510">
        <v>0.73033677201026148</v>
      </c>
      <c r="H90" s="510">
        <v>0.73033677201026148</v>
      </c>
      <c r="I90" s="510">
        <v>0.73033677201026148</v>
      </c>
      <c r="J90" s="512">
        <v>0.2782</v>
      </c>
      <c r="K90" s="682">
        <v>0.2782</v>
      </c>
      <c r="L90" s="865">
        <v>0.2132</v>
      </c>
      <c r="M90" s="1565">
        <v>0.2132</v>
      </c>
    </row>
    <row r="91" spans="1:14" hidden="1">
      <c r="A91" s="480" t="s">
        <v>297</v>
      </c>
      <c r="B91" s="480" t="s">
        <v>178</v>
      </c>
      <c r="C91" s="480">
        <v>135</v>
      </c>
      <c r="D91" s="480">
        <v>2937</v>
      </c>
      <c r="E91" s="480" t="s">
        <v>597</v>
      </c>
      <c r="F91" s="480" t="str">
        <f>CONCATENATE(DescontosTE[[#This Row],[Permissionária]],DescontosTE[[#This Row],[codsariSUP]],DescontosTE[[#This Row],[Classe]])</f>
        <v>Cerim2937A4</v>
      </c>
      <c r="G91" s="510">
        <v>0.63275249814187795</v>
      </c>
      <c r="H91" s="510">
        <v>0.47456437360640846</v>
      </c>
      <c r="I91" s="510">
        <v>0.3463</v>
      </c>
      <c r="J91" s="512">
        <v>0.33600000000000002</v>
      </c>
      <c r="K91" s="809">
        <v>5.0599999999999999E-2</v>
      </c>
      <c r="L91" s="865">
        <v>0</v>
      </c>
      <c r="M91" s="865">
        <v>0</v>
      </c>
    </row>
    <row r="92" spans="1:14" hidden="1">
      <c r="A92" s="480" t="s">
        <v>303</v>
      </c>
      <c r="B92" s="480" t="s">
        <v>164</v>
      </c>
      <c r="C92" s="480">
        <v>145</v>
      </c>
      <c r="D92" s="480">
        <v>385</v>
      </c>
      <c r="E92" s="480" t="s">
        <v>601</v>
      </c>
      <c r="F92" s="480" t="str">
        <f>CONCATENATE(DescontosTE[[#This Row],[Permissionária]],DescontosTE[[#This Row],[codsariSUP]],DescontosTE[[#This Row],[Classe]])</f>
        <v>Ceripa385A3a</v>
      </c>
      <c r="G92" s="510">
        <v>0.76371671876684266</v>
      </c>
      <c r="H92" s="510">
        <v>0.57278753907513202</v>
      </c>
      <c r="I92" s="510">
        <v>0.38190000000000002</v>
      </c>
      <c r="J92" s="512">
        <v>1.2E-2</v>
      </c>
      <c r="K92" s="814">
        <v>1.2E-2</v>
      </c>
      <c r="L92" s="865">
        <f>DescontosTE[[#This Row],[2019]]</f>
        <v>1.2E-2</v>
      </c>
      <c r="M92" s="512">
        <f>DescontosTE[[#This Row],[2020]]</f>
        <v>1.2E-2</v>
      </c>
      <c r="N92" s="249">
        <v>1.2E-2</v>
      </c>
    </row>
    <row r="93" spans="1:14" hidden="1">
      <c r="A93" s="480" t="s">
        <v>303</v>
      </c>
      <c r="B93" s="480" t="s">
        <v>164</v>
      </c>
      <c r="C93" s="480">
        <v>145</v>
      </c>
      <c r="D93" s="480">
        <v>385</v>
      </c>
      <c r="E93" s="480" t="s">
        <v>597</v>
      </c>
      <c r="F93" s="480" t="str">
        <f>CONCATENATE(DescontosTE[[#This Row],[Permissionária]],DescontosTE[[#This Row],[codsariSUP]],DescontosTE[[#This Row],[Classe]])</f>
        <v>Ceripa385A4</v>
      </c>
      <c r="G93" s="510">
        <v>0.76627856834842611</v>
      </c>
      <c r="H93" s="510">
        <v>0.57470892626131964</v>
      </c>
      <c r="I93" s="510">
        <v>0.3831</v>
      </c>
      <c r="J93" s="512">
        <v>1.2E-2</v>
      </c>
      <c r="K93" s="814">
        <v>1.2E-2</v>
      </c>
      <c r="L93" s="865">
        <f>DescontosTE[[#This Row],[2019]]</f>
        <v>1.2E-2</v>
      </c>
      <c r="M93" s="512">
        <f>DescontosTE[[#This Row],[2020]]</f>
        <v>1.2E-2</v>
      </c>
      <c r="N93" s="249">
        <v>1.2E-2</v>
      </c>
    </row>
    <row r="94" spans="1:14" hidden="1">
      <c r="A94" s="480" t="s">
        <v>303</v>
      </c>
      <c r="B94" s="480" t="s">
        <v>204</v>
      </c>
      <c r="C94" s="480">
        <v>166</v>
      </c>
      <c r="D94" s="480">
        <v>72</v>
      </c>
      <c r="E94" s="480" t="s">
        <v>599</v>
      </c>
      <c r="F94" s="480" t="str">
        <f>CONCATENATE(DescontosTE[[#This Row],[Permissionária]],DescontosTE[[#This Row],[codsariSUP]],DescontosTE[[#This Row],[Classe]])</f>
        <v>Ceripa72A3</v>
      </c>
      <c r="G94" s="510">
        <v>0.85982875805455028</v>
      </c>
      <c r="H94" s="510">
        <v>0.64487156854091277</v>
      </c>
      <c r="I94" s="510">
        <v>0.4299</v>
      </c>
      <c r="J94" s="512">
        <v>1.2E-2</v>
      </c>
      <c r="K94" s="814">
        <v>1.2E-2</v>
      </c>
      <c r="L94" s="865">
        <f>DescontosTE[[#This Row],[2019]]</f>
        <v>1.2E-2</v>
      </c>
      <c r="M94" s="512">
        <f>DescontosTE[[#This Row],[2020]]</f>
        <v>1.2E-2</v>
      </c>
      <c r="N94" s="249">
        <v>1.2E-2</v>
      </c>
    </row>
    <row r="95" spans="1:14" hidden="1">
      <c r="A95" s="480" t="s">
        <v>303</v>
      </c>
      <c r="B95" s="480" t="s">
        <v>204</v>
      </c>
      <c r="C95" s="480">
        <v>166</v>
      </c>
      <c r="D95" s="480">
        <v>72</v>
      </c>
      <c r="E95" s="480" t="s">
        <v>601</v>
      </c>
      <c r="F95" s="480" t="str">
        <f>CONCATENATE(DescontosTE[[#This Row],[Permissionária]],DescontosTE[[#This Row],[codsariSUP]],DescontosTE[[#This Row],[Classe]])</f>
        <v>Ceripa72A3a</v>
      </c>
      <c r="G95" s="510">
        <v>0.72071674463765556</v>
      </c>
      <c r="H95" s="510">
        <v>0.5405375584782417</v>
      </c>
      <c r="I95" s="510">
        <v>0.3604</v>
      </c>
      <c r="J95" s="512">
        <v>1.2E-2</v>
      </c>
      <c r="K95" s="814">
        <v>1.2E-2</v>
      </c>
      <c r="L95" s="865">
        <f>DescontosTE[[#This Row],[2019]]</f>
        <v>1.2E-2</v>
      </c>
      <c r="M95" s="512">
        <f>DescontosTE[[#This Row],[2020]]</f>
        <v>1.2E-2</v>
      </c>
      <c r="N95" s="249">
        <v>1.2E-2</v>
      </c>
    </row>
    <row r="96" spans="1:14" hidden="1">
      <c r="A96" s="480" t="s">
        <v>303</v>
      </c>
      <c r="B96" s="480" t="s">
        <v>204</v>
      </c>
      <c r="C96" s="480">
        <v>166</v>
      </c>
      <c r="D96" s="480">
        <v>72</v>
      </c>
      <c r="E96" s="480" t="s">
        <v>597</v>
      </c>
      <c r="F96" s="480" t="str">
        <f>CONCATENATE(DescontosTE[[#This Row],[Permissionária]],DescontosTE[[#This Row],[codsariSUP]],DescontosTE[[#This Row],[Classe]])</f>
        <v>Ceripa72A4</v>
      </c>
      <c r="G96" s="510">
        <v>0.69352987907140973</v>
      </c>
      <c r="H96" s="510">
        <v>0.5201474093035573</v>
      </c>
      <c r="I96" s="510">
        <v>0.3468</v>
      </c>
      <c r="J96" s="512">
        <v>1.2E-2</v>
      </c>
      <c r="K96" s="814">
        <v>1.2E-2</v>
      </c>
      <c r="L96" s="865">
        <f>DescontosTE[[#This Row],[2019]]</f>
        <v>1.2E-2</v>
      </c>
      <c r="M96" s="512">
        <f>DescontosTE[[#This Row],[2020]]</f>
        <v>1.2E-2</v>
      </c>
      <c r="N96" s="249">
        <v>1.2E-2</v>
      </c>
    </row>
    <row r="97" spans="1:13" hidden="1">
      <c r="A97" s="480" t="s">
        <v>309</v>
      </c>
      <c r="B97" s="480" t="s">
        <v>313</v>
      </c>
      <c r="C97" s="480">
        <v>148</v>
      </c>
      <c r="D97" s="480">
        <v>390</v>
      </c>
      <c r="E97" s="480" t="s">
        <v>597</v>
      </c>
      <c r="F97" s="480" t="str">
        <f>CONCATENATE(DescontosTE[[#This Row],[Permissionária]],DescontosTE[[#This Row],[codsariSUP]],DescontosTE[[#This Row],[Classe]])</f>
        <v>Ceris390A4</v>
      </c>
      <c r="G97" s="510">
        <v>0.88419999999999999</v>
      </c>
      <c r="H97" s="510">
        <v>0.66315000000000002</v>
      </c>
      <c r="I97" s="510">
        <v>0.61850000000000005</v>
      </c>
      <c r="J97" s="512">
        <v>0.59560000000000002</v>
      </c>
      <c r="K97" s="682">
        <v>0.58150000000000002</v>
      </c>
      <c r="L97" s="865">
        <v>0.58150000000000002</v>
      </c>
      <c r="M97" s="1565">
        <v>0.58150000000000002</v>
      </c>
    </row>
    <row r="98" spans="1:13" hidden="1">
      <c r="A98" s="480" t="s">
        <v>605</v>
      </c>
      <c r="B98" s="629" t="s">
        <v>286</v>
      </c>
      <c r="C98" s="480">
        <v>104</v>
      </c>
      <c r="D98" s="480">
        <v>391</v>
      </c>
      <c r="E98" s="480" t="s">
        <v>597</v>
      </c>
      <c r="F98" s="480" t="str">
        <f>CONCATENATE(DescontosTE[[#This Row],[Permissionária]],DescontosTE[[#This Row],[codsariSUP]],DescontosTE[[#This Row],[Classe]])</f>
        <v>Cermc391A4</v>
      </c>
      <c r="G98" s="510">
        <v>0.36708496982469596</v>
      </c>
      <c r="H98" s="510">
        <v>0.275313727368522</v>
      </c>
      <c r="I98" s="510">
        <v>0.275313727368522</v>
      </c>
      <c r="J98" s="512">
        <v>0.22059999999999999</v>
      </c>
      <c r="K98" s="682">
        <v>0</v>
      </c>
      <c r="L98" s="865">
        <v>0</v>
      </c>
      <c r="M98" s="865">
        <v>0</v>
      </c>
    </row>
    <row r="99" spans="1:13" hidden="1">
      <c r="A99" s="480" t="s">
        <v>438</v>
      </c>
      <c r="B99" s="480" t="s">
        <v>206</v>
      </c>
      <c r="C99" s="607">
        <v>167</v>
      </c>
      <c r="D99" s="607">
        <v>396</v>
      </c>
      <c r="E99" s="480" t="s">
        <v>599</v>
      </c>
      <c r="F99" s="480" t="str">
        <f>CONCATENATE(DescontosTE[[#This Row],[Permissionária]],DescontosTE[[#This Row],[codsariSUP]],DescontosTE[[#This Row],[Classe]])</f>
        <v>Cermissões396A3</v>
      </c>
      <c r="G99" s="510">
        <v>0.5923752369117381</v>
      </c>
      <c r="H99" s="510">
        <v>0.5923752369117381</v>
      </c>
      <c r="I99" s="510">
        <v>0.44429999999999997</v>
      </c>
      <c r="J99" s="512">
        <v>0</v>
      </c>
      <c r="K99" s="682">
        <v>0</v>
      </c>
      <c r="L99" s="865">
        <v>0</v>
      </c>
      <c r="M99" s="865">
        <v>0</v>
      </c>
    </row>
    <row r="100" spans="1:13" hidden="1">
      <c r="A100" s="480" t="s">
        <v>438</v>
      </c>
      <c r="B100" s="480" t="s">
        <v>206</v>
      </c>
      <c r="C100" s="607">
        <v>167</v>
      </c>
      <c r="D100" s="607">
        <v>396</v>
      </c>
      <c r="E100" s="480" t="s">
        <v>597</v>
      </c>
      <c r="F100" s="480" t="str">
        <f>CONCATENATE(DescontosTE[[#This Row],[Permissionária]],DescontosTE[[#This Row],[codsariSUP]],DescontosTE[[#This Row],[Classe]])</f>
        <v>Cermissões396A4</v>
      </c>
      <c r="G100" s="510">
        <v>0.5923752369117381</v>
      </c>
      <c r="H100" s="510">
        <v>0.5923752369117381</v>
      </c>
      <c r="I100" s="510">
        <v>0.44429999999999997</v>
      </c>
      <c r="J100" s="512">
        <v>0</v>
      </c>
      <c r="K100" s="682">
        <v>0</v>
      </c>
      <c r="L100" s="865">
        <v>0</v>
      </c>
      <c r="M100" s="865">
        <v>0</v>
      </c>
    </row>
    <row r="101" spans="1:13" hidden="1">
      <c r="A101" s="480" t="s">
        <v>438</v>
      </c>
      <c r="B101" s="480" t="s">
        <v>206</v>
      </c>
      <c r="C101" s="607">
        <v>167</v>
      </c>
      <c r="D101" s="607">
        <v>396</v>
      </c>
      <c r="E101" s="480" t="s">
        <v>604</v>
      </c>
      <c r="F101" s="480" t="str">
        <f>CONCATENATE(DescontosTE[[#This Row],[Permissionária]],DescontosTE[[#This Row],[codsariSUP]],DescontosTE[[#This Row],[Classe]])</f>
        <v>Cermissões396B</v>
      </c>
      <c r="G101" s="510">
        <v>8.6300000000000002E-2</v>
      </c>
      <c r="H101" s="510">
        <v>8.6300000000000002E-2</v>
      </c>
      <c r="I101" s="510">
        <v>6.4699999999999994E-2</v>
      </c>
      <c r="J101" s="512">
        <v>0</v>
      </c>
      <c r="K101" s="682">
        <v>0</v>
      </c>
      <c r="L101" s="865">
        <v>0</v>
      </c>
      <c r="M101" s="865">
        <v>0</v>
      </c>
    </row>
    <row r="102" spans="1:13" hidden="1">
      <c r="A102" s="480" t="s">
        <v>396</v>
      </c>
      <c r="B102" s="480" t="s">
        <v>189</v>
      </c>
      <c r="C102" s="480">
        <v>111</v>
      </c>
      <c r="D102" s="480">
        <v>5697</v>
      </c>
      <c r="E102" s="480" t="s">
        <v>599</v>
      </c>
      <c r="F102" s="480" t="str">
        <f>CONCATENATE(DescontosTE[[#This Row],[Permissionária]],DescontosTE[[#This Row],[codsariSUP]],DescontosTE[[#This Row],[Classe]])</f>
        <v>Cermoful5697A3</v>
      </c>
      <c r="G102" s="510">
        <v>0.71025546094039238</v>
      </c>
      <c r="H102" s="510">
        <v>0.71025546094039238</v>
      </c>
      <c r="I102" s="510">
        <v>0.71025546094039238</v>
      </c>
      <c r="J102" s="512">
        <v>0.67859999999999998</v>
      </c>
      <c r="K102" s="682">
        <v>0.61480000000000001</v>
      </c>
      <c r="L102" s="865">
        <v>0.55579999999999996</v>
      </c>
      <c r="M102" s="1565">
        <v>0.53969999999999996</v>
      </c>
    </row>
    <row r="103" spans="1:13" hidden="1">
      <c r="A103" s="480" t="s">
        <v>396</v>
      </c>
      <c r="B103" s="480" t="s">
        <v>189</v>
      </c>
      <c r="C103" s="480">
        <v>111</v>
      </c>
      <c r="D103" s="480">
        <v>5697</v>
      </c>
      <c r="E103" s="480" t="s">
        <v>597</v>
      </c>
      <c r="F103" s="480" t="str">
        <f>CONCATENATE(DescontosTE[[#This Row],[Permissionária]],DescontosTE[[#This Row],[codsariSUP]],DescontosTE[[#This Row],[Classe]])</f>
        <v>Cermoful5697A4</v>
      </c>
      <c r="G103" s="510">
        <v>0.71025546094039238</v>
      </c>
      <c r="H103" s="510">
        <v>0.71025546094039238</v>
      </c>
      <c r="I103" s="510">
        <v>0.71025546094039238</v>
      </c>
      <c r="J103" s="512">
        <v>0.67859999999999998</v>
      </c>
      <c r="K103" s="682">
        <v>0.61480000000000001</v>
      </c>
      <c r="L103" s="865">
        <v>0.55579999999999996</v>
      </c>
      <c r="M103" s="1565">
        <v>0.53969999999999996</v>
      </c>
    </row>
    <row r="104" spans="1:13" hidden="1">
      <c r="A104" s="480" t="s">
        <v>322</v>
      </c>
      <c r="B104" s="486" t="s">
        <v>125</v>
      </c>
      <c r="C104" s="480">
        <v>165</v>
      </c>
      <c r="D104" s="480">
        <v>5216</v>
      </c>
      <c r="E104" s="480" t="s">
        <v>597</v>
      </c>
      <c r="F104" s="480" t="str">
        <f>CONCATENATE(DescontosTE[[#This Row],[Permissionária]],DescontosTE[[#This Row],[codsariSUP]],DescontosTE[[#This Row],[Classe]])</f>
        <v>Cernhe5216A4</v>
      </c>
      <c r="G104" s="510">
        <v>0.90173092774063557</v>
      </c>
      <c r="H104" s="510">
        <v>0.67629819580547668</v>
      </c>
      <c r="I104" s="510">
        <v>0.45090000000000002</v>
      </c>
      <c r="J104" s="512">
        <v>0</v>
      </c>
      <c r="K104" s="682">
        <v>0</v>
      </c>
      <c r="L104" s="865">
        <v>0</v>
      </c>
      <c r="M104" s="865">
        <v>0</v>
      </c>
    </row>
    <row r="105" spans="1:13" hidden="1">
      <c r="A105" s="480" t="s">
        <v>402</v>
      </c>
      <c r="B105" s="480" t="s">
        <v>189</v>
      </c>
      <c r="C105" s="480">
        <v>111</v>
      </c>
      <c r="D105" s="480">
        <v>5697</v>
      </c>
      <c r="E105" s="480" t="s">
        <v>601</v>
      </c>
      <c r="F105" s="480" t="str">
        <f>CONCATENATE(DescontosTE[[#This Row],[Permissionária]],DescontosTE[[#This Row],[codsariSUP]],DescontosTE[[#This Row],[Classe]])</f>
        <v>Cerpalo5697A3a</v>
      </c>
      <c r="G105" s="510">
        <v>0.89981561155500922</v>
      </c>
      <c r="H105" s="510">
        <v>0.67486170866625694</v>
      </c>
      <c r="I105" s="510">
        <v>0.59530000000000005</v>
      </c>
      <c r="J105" s="512">
        <v>0.59530000000000005</v>
      </c>
      <c r="K105" s="682">
        <v>0.44540000000000002</v>
      </c>
      <c r="L105" s="865">
        <v>0.44540000000000002</v>
      </c>
      <c r="M105" s="1565">
        <v>0.31740000000000002</v>
      </c>
    </row>
    <row r="106" spans="1:13" hidden="1">
      <c r="A106" s="480" t="s">
        <v>329</v>
      </c>
      <c r="B106" s="480" t="s">
        <v>150</v>
      </c>
      <c r="C106" s="480">
        <v>136</v>
      </c>
      <c r="D106" s="480">
        <v>63</v>
      </c>
      <c r="E106" s="480" t="s">
        <v>597</v>
      </c>
      <c r="F106" s="480" t="str">
        <f>CONCATENATE(DescontosTE[[#This Row],[Permissionária]],DescontosTE[[#This Row],[codsariSUP]],DescontosTE[[#This Row],[Classe]])</f>
        <v>Cerpro63A4</v>
      </c>
      <c r="G106" s="510">
        <v>0.90147665925690701</v>
      </c>
      <c r="H106" s="510">
        <v>0.67610749444268026</v>
      </c>
      <c r="I106" s="510">
        <v>0.45069999999999999</v>
      </c>
      <c r="J106" s="739">
        <v>0</v>
      </c>
      <c r="K106" s="682">
        <v>0</v>
      </c>
      <c r="L106" s="865">
        <v>0</v>
      </c>
      <c r="M106" s="865">
        <v>0</v>
      </c>
    </row>
    <row r="107" spans="1:13" hidden="1">
      <c r="A107" s="480" t="s">
        <v>606</v>
      </c>
      <c r="B107" s="486" t="s">
        <v>125</v>
      </c>
      <c r="C107" s="480">
        <v>165</v>
      </c>
      <c r="D107" s="480">
        <v>5216</v>
      </c>
      <c r="E107" s="486" t="s">
        <v>597</v>
      </c>
      <c r="F107" s="480" t="str">
        <f>CONCATENATE(DescontosTE[[#This Row],[Permissionária]],DescontosTE[[#This Row],[codsariSUP]],DescontosTE[[#This Row],[Classe]])</f>
        <v>Cerrp5216A4</v>
      </c>
      <c r="G107" s="510">
        <v>0.74668009891015652</v>
      </c>
      <c r="H107" s="510">
        <v>0.56001007418261739</v>
      </c>
      <c r="I107" s="510">
        <v>0.37330000000000002</v>
      </c>
      <c r="J107" s="739">
        <v>0.31390000000000001</v>
      </c>
      <c r="K107" s="682">
        <v>0.31390000000000001</v>
      </c>
      <c r="L107" s="865">
        <v>7.5600000000000001E-2</v>
      </c>
      <c r="M107" s="1565">
        <v>6.0199999999999997E-2</v>
      </c>
    </row>
    <row r="108" spans="1:13" hidden="1">
      <c r="A108" s="480" t="s">
        <v>606</v>
      </c>
      <c r="B108" s="480" t="s">
        <v>150</v>
      </c>
      <c r="C108" s="480">
        <v>136</v>
      </c>
      <c r="D108" s="480">
        <v>63</v>
      </c>
      <c r="E108" s="480" t="s">
        <v>597</v>
      </c>
      <c r="F108" s="480" t="str">
        <f>CONCATENATE(DescontosTE[[#This Row],[Permissionária]],DescontosTE[[#This Row],[codsariSUP]],DescontosTE[[#This Row],[Classe]])</f>
        <v>Cerrp63A4</v>
      </c>
      <c r="G108" s="510">
        <v>0.7457129247380121</v>
      </c>
      <c r="H108" s="510">
        <v>0.55928469355350907</v>
      </c>
      <c r="I108" s="510">
        <v>0.37290000000000001</v>
      </c>
      <c r="J108" s="739">
        <v>0.31390000000000001</v>
      </c>
      <c r="K108" s="682">
        <v>0.31390000000000001</v>
      </c>
      <c r="L108" s="865">
        <v>7.5600000000000001E-2</v>
      </c>
      <c r="M108" s="1565">
        <v>6.0199999999999997E-2</v>
      </c>
    </row>
    <row r="109" spans="1:13" hidden="1">
      <c r="A109" s="480" t="s">
        <v>407</v>
      </c>
      <c r="B109" s="480" t="s">
        <v>189</v>
      </c>
      <c r="C109" s="480">
        <v>111</v>
      </c>
      <c r="D109" s="480">
        <v>5697</v>
      </c>
      <c r="E109" s="480" t="s">
        <v>597</v>
      </c>
      <c r="F109" s="480" t="str">
        <f>CONCATENATE(DescontosTE[[#This Row],[Permissionária]],DescontosTE[[#This Row],[codsariSUP]],DescontosTE[[#This Row],[Classe]])</f>
        <v>Cersul5697A4</v>
      </c>
      <c r="G109" s="510">
        <v>0.6419022741241549</v>
      </c>
      <c r="H109" s="510">
        <v>0.48142670559311618</v>
      </c>
      <c r="I109" s="510">
        <v>0.48139999999999999</v>
      </c>
      <c r="J109" s="512">
        <v>0.48139999999999999</v>
      </c>
      <c r="K109" s="682">
        <v>0.48139999999999999</v>
      </c>
      <c r="L109" s="865">
        <v>0.48139999999999999</v>
      </c>
      <c r="M109" s="1565">
        <v>0.48139999999999999</v>
      </c>
    </row>
    <row r="110" spans="1:13" hidden="1">
      <c r="A110" s="480" t="s">
        <v>407</v>
      </c>
      <c r="B110" s="480" t="s">
        <v>189</v>
      </c>
      <c r="C110" s="480">
        <v>111</v>
      </c>
      <c r="D110" s="480">
        <v>5697</v>
      </c>
      <c r="E110" s="480" t="s">
        <v>599</v>
      </c>
      <c r="F110" s="480" t="str">
        <f>CONCATENATE(DescontosTE[[#This Row],[Permissionária]],DescontosTE[[#This Row],[codsariSUP]],DescontosTE[[#This Row],[Classe]])</f>
        <v>Cersul5697A3</v>
      </c>
      <c r="G110" s="510">
        <v>0.83597111247695144</v>
      </c>
      <c r="H110" s="510">
        <v>0.62697833435771355</v>
      </c>
      <c r="I110" s="510">
        <v>0.59899999999999998</v>
      </c>
      <c r="J110" s="512">
        <v>0.59009999999999996</v>
      </c>
      <c r="K110" s="682">
        <v>0.59009999999999996</v>
      </c>
      <c r="L110" s="865">
        <v>0.55869999999999997</v>
      </c>
      <c r="M110" s="1565">
        <v>0.55869999999999997</v>
      </c>
    </row>
    <row r="111" spans="1:13" hidden="1">
      <c r="A111" s="480" t="s">
        <v>450</v>
      </c>
      <c r="B111" s="480" t="s">
        <v>206</v>
      </c>
      <c r="C111" s="607">
        <v>167</v>
      </c>
      <c r="D111" s="480">
        <v>396</v>
      </c>
      <c r="E111" s="480" t="s">
        <v>599</v>
      </c>
      <c r="F111" s="480" t="str">
        <f>CONCATENATE(DescontosTE[[#This Row],[Permissionária]],DescontosTE[[#This Row],[codsariSUP]],DescontosTE[[#This Row],[Classe]])</f>
        <v>Certaja396A3</v>
      </c>
      <c r="G111" s="510">
        <v>0.8415330252786084</v>
      </c>
      <c r="H111" s="510">
        <v>0.63114976895895625</v>
      </c>
      <c r="I111" s="510">
        <v>0.42080000000000001</v>
      </c>
      <c r="J111" s="512">
        <v>0.21149999999999999</v>
      </c>
      <c r="K111" s="682">
        <v>0</v>
      </c>
      <c r="L111" s="865">
        <v>0</v>
      </c>
      <c r="M111" s="865">
        <v>0</v>
      </c>
    </row>
    <row r="112" spans="1:13" hidden="1">
      <c r="A112" s="480" t="s">
        <v>450</v>
      </c>
      <c r="B112" s="480" t="s">
        <v>206</v>
      </c>
      <c r="C112" s="607">
        <v>167</v>
      </c>
      <c r="D112" s="480">
        <v>396</v>
      </c>
      <c r="E112" s="480" t="s">
        <v>597</v>
      </c>
      <c r="F112" s="480" t="str">
        <f>CONCATENATE(DescontosTE[[#This Row],[Permissionária]],DescontosTE[[#This Row],[codsariSUP]],DescontosTE[[#This Row],[Classe]])</f>
        <v>Certaja396A4</v>
      </c>
      <c r="G112" s="510">
        <v>0.8415330252786084</v>
      </c>
      <c r="H112" s="510">
        <v>0.63114976895895625</v>
      </c>
      <c r="I112" s="510">
        <v>0.42080000000000001</v>
      </c>
      <c r="J112" s="512">
        <v>0.21149999999999999</v>
      </c>
      <c r="K112" s="682">
        <v>0</v>
      </c>
      <c r="L112" s="865">
        <v>0</v>
      </c>
      <c r="M112" s="865">
        <v>0</v>
      </c>
    </row>
    <row r="113" spans="1:13" hidden="1">
      <c r="A113" s="480" t="s">
        <v>450</v>
      </c>
      <c r="B113" s="480" t="s">
        <v>354</v>
      </c>
      <c r="C113" s="480">
        <v>110</v>
      </c>
      <c r="D113" s="480">
        <v>5707</v>
      </c>
      <c r="E113" s="480" t="s">
        <v>597</v>
      </c>
      <c r="F113" s="480" t="str">
        <f>CONCATENATE(DescontosTE[[#This Row],[Permissionária]],DescontosTE[[#This Row],[codsariSUP]],DescontosTE[[#This Row],[Classe]])</f>
        <v>Certaja5707A4</v>
      </c>
      <c r="G113" s="510">
        <v>0.8239405071230177</v>
      </c>
      <c r="H113" s="510">
        <v>0.61795538034226327</v>
      </c>
      <c r="I113" s="510">
        <v>0.41199999999999998</v>
      </c>
      <c r="J113" s="512">
        <v>0.21149999999999999</v>
      </c>
      <c r="K113" s="682">
        <v>0</v>
      </c>
      <c r="L113" s="865">
        <v>0</v>
      </c>
      <c r="M113" s="865">
        <v>0</v>
      </c>
    </row>
    <row r="114" spans="1:13">
      <c r="A114" s="480" t="s">
        <v>201</v>
      </c>
      <c r="B114" s="480" t="s">
        <v>206</v>
      </c>
      <c r="C114" s="607">
        <v>167</v>
      </c>
      <c r="D114" s="480">
        <v>396</v>
      </c>
      <c r="E114" s="480" t="s">
        <v>599</v>
      </c>
      <c r="F114" s="480" t="str">
        <f>CONCATENATE(DescontosTE[[#This Row],[Permissionária]],DescontosTE[[#This Row],[codsariSUP]],DescontosTE[[#This Row],[Classe]])</f>
        <v>Certel396A3</v>
      </c>
      <c r="G114" s="510">
        <v>0.60488390712570062</v>
      </c>
      <c r="H114" s="510">
        <v>0.60488390712570062</v>
      </c>
      <c r="I114" s="510">
        <v>0.60488390712570062</v>
      </c>
      <c r="J114" s="512">
        <v>0.58309999999999995</v>
      </c>
      <c r="K114" s="682">
        <v>0.48330000000000001</v>
      </c>
      <c r="L114" s="865">
        <v>0.35730000000000001</v>
      </c>
      <c r="M114" s="1565">
        <v>0.32969999999999999</v>
      </c>
    </row>
    <row r="115" spans="1:13">
      <c r="A115" s="480" t="s">
        <v>201</v>
      </c>
      <c r="B115" s="480" t="s">
        <v>206</v>
      </c>
      <c r="C115" s="607">
        <v>167</v>
      </c>
      <c r="D115" s="607">
        <v>396</v>
      </c>
      <c r="E115" s="480" t="s">
        <v>597</v>
      </c>
      <c r="F115" s="480" t="str">
        <f>CONCATENATE(DescontosTE[[#This Row],[Permissionária]],DescontosTE[[#This Row],[codsariSUP]],DescontosTE[[#This Row],[Classe]])</f>
        <v>Certel396A4</v>
      </c>
      <c r="G115" s="510">
        <v>0.54613733905579398</v>
      </c>
      <c r="H115" s="510">
        <v>0.54613733905579398</v>
      </c>
      <c r="I115" s="510">
        <v>0.54613733905579398</v>
      </c>
      <c r="J115" s="512">
        <v>0.54610000000000003</v>
      </c>
      <c r="K115" s="682">
        <v>0.48330000000000001</v>
      </c>
      <c r="L115" s="865">
        <v>0.35730000000000001</v>
      </c>
      <c r="M115" s="1565">
        <v>0.32969999999999999</v>
      </c>
    </row>
    <row r="116" spans="1:13" hidden="1">
      <c r="A116" s="480" t="s">
        <v>412</v>
      </c>
      <c r="B116" s="480" t="s">
        <v>189</v>
      </c>
      <c r="C116" s="480">
        <v>111</v>
      </c>
      <c r="D116" s="480">
        <v>5697</v>
      </c>
      <c r="E116" s="480" t="s">
        <v>597</v>
      </c>
      <c r="F116" s="480" t="str">
        <f>CONCATENATE(DescontosTE[[#This Row],[Permissionária]],DescontosTE[[#This Row],[codsariSUP]],DescontosTE[[#This Row],[Classe]])</f>
        <v>Certrel5697A4</v>
      </c>
      <c r="G116" s="510">
        <v>0.88707885968159939</v>
      </c>
      <c r="H116" s="510">
        <v>0.88707885968159939</v>
      </c>
      <c r="I116" s="510">
        <v>0.88707885968159939</v>
      </c>
      <c r="J116" s="512">
        <v>0.81359999999999999</v>
      </c>
      <c r="K116" s="682">
        <v>0.81359999999999999</v>
      </c>
      <c r="L116" s="865">
        <v>0.81359999999999999</v>
      </c>
      <c r="M116" s="1565">
        <v>0.61460000000000004</v>
      </c>
    </row>
    <row r="117" spans="1:13" hidden="1">
      <c r="A117" s="480" t="s">
        <v>340</v>
      </c>
      <c r="B117" s="480" t="s">
        <v>178</v>
      </c>
      <c r="C117" s="480">
        <v>135</v>
      </c>
      <c r="D117" s="480">
        <v>2937</v>
      </c>
      <c r="E117" s="480" t="s">
        <v>597</v>
      </c>
      <c r="F117" s="480" t="str">
        <f>CONCATENATE(DescontosTE[[#This Row],[Permissionária]],DescontosTE[[#This Row],[codsariSUP]],DescontosTE[[#This Row],[Classe]])</f>
        <v>Cetril2937A4</v>
      </c>
      <c r="G117" s="510">
        <v>0.50648278140226277</v>
      </c>
      <c r="H117" s="510">
        <v>0.37986208605169708</v>
      </c>
      <c r="I117" s="510">
        <v>0.1396</v>
      </c>
      <c r="J117" s="512">
        <v>0.1396</v>
      </c>
      <c r="K117" s="682">
        <v>0</v>
      </c>
      <c r="L117" s="865">
        <v>0</v>
      </c>
      <c r="M117" s="865">
        <v>0</v>
      </c>
    </row>
    <row r="118" spans="1:13" hidden="1">
      <c r="A118" s="480" t="s">
        <v>340</v>
      </c>
      <c r="B118" s="480" t="s">
        <v>164</v>
      </c>
      <c r="C118" s="480">
        <v>145</v>
      </c>
      <c r="D118" s="480">
        <v>385</v>
      </c>
      <c r="E118" s="480" t="s">
        <v>597</v>
      </c>
      <c r="F118" s="480" t="str">
        <f>CONCATENATE(DescontosTE[[#This Row],[Permissionária]],DescontosTE[[#This Row],[codsariSUP]],DescontosTE[[#This Row],[Classe]])</f>
        <v>Cetril385A4</v>
      </c>
      <c r="G118" s="510">
        <v>0.66580422595946531</v>
      </c>
      <c r="H118" s="510">
        <v>0.49935316946959896</v>
      </c>
      <c r="I118" s="510">
        <v>0.1396</v>
      </c>
      <c r="J118" s="512">
        <v>0.1396</v>
      </c>
      <c r="K118" s="682">
        <v>0</v>
      </c>
      <c r="L118" s="865">
        <v>0</v>
      </c>
      <c r="M118" s="865">
        <v>0</v>
      </c>
    </row>
    <row r="119" spans="1:13" hidden="1">
      <c r="A119" s="480" t="s">
        <v>188</v>
      </c>
      <c r="B119" s="480" t="s">
        <v>189</v>
      </c>
      <c r="C119" s="480">
        <v>111</v>
      </c>
      <c r="D119" s="480">
        <v>5697</v>
      </c>
      <c r="E119" s="480" t="s">
        <v>599</v>
      </c>
      <c r="F119" s="480" t="str">
        <f>CONCATENATE(DescontosTE[[#This Row],[Permissionária]],DescontosTE[[#This Row],[codsariSUP]],DescontosTE[[#This Row],[Classe]])</f>
        <v>Coopera5697A3</v>
      </c>
      <c r="G119" s="510">
        <v>0.78664720344191763</v>
      </c>
      <c r="H119" s="510">
        <v>0.58998540258143817</v>
      </c>
      <c r="I119" s="510">
        <v>0.58998540258143817</v>
      </c>
      <c r="J119" s="512">
        <v>0.59</v>
      </c>
      <c r="K119" s="682">
        <v>0.59</v>
      </c>
      <c r="L119" s="865">
        <v>0.59</v>
      </c>
      <c r="M119" s="1565">
        <v>0.59</v>
      </c>
    </row>
    <row r="120" spans="1:13" hidden="1">
      <c r="A120" s="480" t="s">
        <v>421</v>
      </c>
      <c r="B120" s="480" t="s">
        <v>189</v>
      </c>
      <c r="C120" s="480">
        <v>111</v>
      </c>
      <c r="D120" s="480">
        <v>5697</v>
      </c>
      <c r="E120" s="480" t="s">
        <v>597</v>
      </c>
      <c r="F120" s="480" t="str">
        <f>CONCATENATE(DescontosTE[[#This Row],[Permissionária]],DescontosTE[[#This Row],[codsariSUP]],DescontosTE[[#This Row],[Classe]])</f>
        <v>Coopercocal5697A4</v>
      </c>
      <c r="G120" s="510">
        <v>0.43784572833435764</v>
      </c>
      <c r="H120" s="510">
        <v>0.43784572833435764</v>
      </c>
      <c r="I120" s="510">
        <v>0.43780000000000002</v>
      </c>
      <c r="J120" s="512">
        <v>0.43780000000000002</v>
      </c>
      <c r="K120" s="682">
        <v>0.43780000000000002</v>
      </c>
      <c r="L120" s="865">
        <v>0.42730000000000001</v>
      </c>
      <c r="M120" s="1565">
        <v>0.42730000000000001</v>
      </c>
    </row>
    <row r="121" spans="1:13" hidden="1">
      <c r="A121" s="480" t="s">
        <v>421</v>
      </c>
      <c r="B121" s="480" t="s">
        <v>189</v>
      </c>
      <c r="C121" s="480">
        <v>111</v>
      </c>
      <c r="D121" s="480">
        <v>5697</v>
      </c>
      <c r="E121" s="480" t="s">
        <v>599</v>
      </c>
      <c r="F121" s="480" t="str">
        <f>CONCATENATE(DescontosTE[[#This Row],[Permissionária]],DescontosTE[[#This Row],[codsariSUP]],DescontosTE[[#This Row],[Classe]])</f>
        <v>Coopercocal5697A3</v>
      </c>
      <c r="G121" s="510">
        <v>0.74423786109403811</v>
      </c>
      <c r="H121" s="510">
        <v>0.74423786109403811</v>
      </c>
      <c r="I121" s="510">
        <v>0.66139999999999999</v>
      </c>
      <c r="J121" s="512">
        <v>0.6452</v>
      </c>
      <c r="K121" s="682">
        <v>0.4995</v>
      </c>
      <c r="L121" s="865">
        <v>0.42730000000000001</v>
      </c>
      <c r="M121" s="1565">
        <v>0.42730000000000001</v>
      </c>
    </row>
    <row r="122" spans="1:13" hidden="1">
      <c r="A122" s="480" t="s">
        <v>421</v>
      </c>
      <c r="B122" s="508" t="s">
        <v>425</v>
      </c>
      <c r="C122" s="508">
        <v>144</v>
      </c>
      <c r="D122" s="508">
        <v>86</v>
      </c>
      <c r="E122" s="480" t="s">
        <v>597</v>
      </c>
      <c r="F122" s="480" t="str">
        <f>CONCATENATE(DescontosTE[[#This Row],[Permissionária]],DescontosTE[[#This Row],[codsariSUP]],DescontosTE[[#This Row],[Classe]])</f>
        <v>Coopercocal86A4</v>
      </c>
      <c r="G122" s="510">
        <v>0.75887474882786332</v>
      </c>
      <c r="H122" s="510">
        <v>0.75887474882786332</v>
      </c>
      <c r="I122" s="510">
        <v>0.66139999999999999</v>
      </c>
      <c r="J122" s="512">
        <v>0.6452</v>
      </c>
      <c r="K122" s="682">
        <v>0.4995</v>
      </c>
      <c r="L122" s="865">
        <v>0.42730000000000001</v>
      </c>
      <c r="M122" s="1565">
        <v>0.42730000000000001</v>
      </c>
    </row>
    <row r="123" spans="1:13" hidden="1">
      <c r="A123" s="480" t="s">
        <v>461</v>
      </c>
      <c r="B123" s="480" t="s">
        <v>206</v>
      </c>
      <c r="C123" s="607">
        <v>167</v>
      </c>
      <c r="D123" s="607">
        <v>396</v>
      </c>
      <c r="E123" s="480" t="s">
        <v>597</v>
      </c>
      <c r="F123" s="480" t="str">
        <f>CONCATENATE(DescontosTE[[#This Row],[Permissionária]],DescontosTE[[#This Row],[codsariSUP]],DescontosTE[[#This Row],[Classe]])</f>
        <v>Cooperluz396A4</v>
      </c>
      <c r="G123" s="510">
        <v>0.81789999999999996</v>
      </c>
      <c r="H123" s="510">
        <v>0.81789999999999996</v>
      </c>
      <c r="I123" s="510">
        <v>0.65900000000000003</v>
      </c>
      <c r="J123" s="512">
        <v>0</v>
      </c>
      <c r="K123" s="682">
        <v>0</v>
      </c>
      <c r="L123" s="865">
        <v>0</v>
      </c>
      <c r="M123" s="865">
        <v>0</v>
      </c>
    </row>
    <row r="124" spans="1:13" hidden="1">
      <c r="A124" s="480" t="s">
        <v>461</v>
      </c>
      <c r="B124" s="480" t="s">
        <v>206</v>
      </c>
      <c r="C124" s="607">
        <v>167</v>
      </c>
      <c r="D124" s="607">
        <v>396</v>
      </c>
      <c r="E124" s="480" t="s">
        <v>599</v>
      </c>
      <c r="F124" s="480" t="str">
        <f>CONCATENATE(DescontosTE[[#This Row],[Permissionária]],DescontosTE[[#This Row],[codsariSUP]],DescontosTE[[#This Row],[Classe]])</f>
        <v>Cooperluz396A3</v>
      </c>
      <c r="G124" s="510">
        <v>0.81789999999999996</v>
      </c>
      <c r="H124" s="510">
        <v>0.81789999999999996</v>
      </c>
      <c r="I124" s="510">
        <v>0.65900000000000003</v>
      </c>
      <c r="J124" s="512">
        <v>0</v>
      </c>
      <c r="K124" s="682">
        <v>0</v>
      </c>
      <c r="L124" s="865">
        <v>0</v>
      </c>
      <c r="M124" s="865">
        <v>0</v>
      </c>
    </row>
    <row r="125" spans="1:13" hidden="1">
      <c r="A125" s="480" t="s">
        <v>428</v>
      </c>
      <c r="B125" s="480" t="s">
        <v>189</v>
      </c>
      <c r="C125" s="480">
        <v>111</v>
      </c>
      <c r="D125" s="480">
        <v>5697</v>
      </c>
      <c r="E125" s="480" t="s">
        <v>597</v>
      </c>
      <c r="F125" s="480" t="str">
        <f>CONCATENATE(DescontosTE[[#This Row],[Permissionária]],DescontosTE[[#This Row],[codsariSUP]],DescontosTE[[#This Row],[Classe]])</f>
        <v>Coopermila5697A4</v>
      </c>
      <c r="G125" s="510">
        <v>0.53672403196066387</v>
      </c>
      <c r="H125" s="510">
        <v>0.4025430239704979</v>
      </c>
      <c r="I125" s="510">
        <v>0.38200000000000001</v>
      </c>
      <c r="J125" s="512">
        <v>0.35849999999999999</v>
      </c>
      <c r="K125" s="682">
        <v>4.9599999999999998E-2</v>
      </c>
      <c r="L125" s="865">
        <v>3.3399999999999999E-2</v>
      </c>
      <c r="M125" s="1565">
        <v>3.3399999999999999E-2</v>
      </c>
    </row>
    <row r="126" spans="1:13" hidden="1">
      <c r="A126" s="480" t="s">
        <v>433</v>
      </c>
      <c r="B126" s="480" t="s">
        <v>189</v>
      </c>
      <c r="C126" s="480">
        <v>111</v>
      </c>
      <c r="D126" s="480">
        <v>5697</v>
      </c>
      <c r="E126" s="480" t="s">
        <v>597</v>
      </c>
      <c r="F126" s="480" t="str">
        <f>CONCATENATE(DescontosTE[[#This Row],[Permissionária]],DescontosTE[[#This Row],[codsariSUP]],DescontosTE[[#This Row],[Classe]])</f>
        <v>Coorsel5697A4</v>
      </c>
      <c r="G126" s="510">
        <v>0.88667793484941604</v>
      </c>
      <c r="H126" s="510">
        <v>0.66500845113706197</v>
      </c>
      <c r="I126" s="510">
        <v>0.36559999999999998</v>
      </c>
      <c r="J126" s="512">
        <v>0.29060000000000002</v>
      </c>
      <c r="K126" s="682">
        <v>2.6599999999999999E-2</v>
      </c>
      <c r="L126" s="865">
        <v>0</v>
      </c>
      <c r="M126" s="865">
        <v>0</v>
      </c>
    </row>
    <row r="127" spans="1:13" hidden="1">
      <c r="A127" s="480" t="s">
        <v>466</v>
      </c>
      <c r="B127" s="480" t="s">
        <v>206</v>
      </c>
      <c r="C127" s="607">
        <v>167</v>
      </c>
      <c r="D127" s="607">
        <v>396</v>
      </c>
      <c r="E127" s="480" t="s">
        <v>602</v>
      </c>
      <c r="F127" s="480" t="str">
        <f>CONCATENATE(DescontosTE[[#This Row],[Permissionária]],DescontosTE[[#This Row],[codsariSUP]],DescontosTE[[#This Row],[Classe]])</f>
        <v>Coprel396A2</v>
      </c>
      <c r="G127" s="510">
        <v>0.63819999999999999</v>
      </c>
      <c r="H127" s="510">
        <v>0.63819999999999999</v>
      </c>
      <c r="I127" s="510">
        <v>0.44450000000000001</v>
      </c>
      <c r="J127" s="512">
        <v>0</v>
      </c>
      <c r="K127" s="682">
        <v>0</v>
      </c>
      <c r="L127" s="865">
        <v>0</v>
      </c>
      <c r="M127" s="865">
        <v>0</v>
      </c>
    </row>
    <row r="128" spans="1:13" hidden="1">
      <c r="A128" s="480" t="s">
        <v>466</v>
      </c>
      <c r="B128" s="480" t="s">
        <v>206</v>
      </c>
      <c r="C128" s="607">
        <v>167</v>
      </c>
      <c r="D128" s="607">
        <v>396</v>
      </c>
      <c r="E128" s="480" t="s">
        <v>599</v>
      </c>
      <c r="F128" s="480" t="str">
        <f>CONCATENATE(DescontosTE[[#This Row],[Permissionária]],DescontosTE[[#This Row],[codsariSUP]],DescontosTE[[#This Row],[Classe]])</f>
        <v>Coprel396A3</v>
      </c>
      <c r="G128" s="510">
        <v>0.63819999999999999</v>
      </c>
      <c r="H128" s="510">
        <v>0.63819999999999999</v>
      </c>
      <c r="I128" s="510">
        <v>0.47870000000000001</v>
      </c>
      <c r="J128" s="512">
        <v>0</v>
      </c>
      <c r="K128" s="682">
        <v>0</v>
      </c>
      <c r="L128" s="865">
        <v>0</v>
      </c>
      <c r="M128" s="865">
        <v>0</v>
      </c>
    </row>
    <row r="129" spans="1:14" hidden="1">
      <c r="A129" s="480" t="s">
        <v>466</v>
      </c>
      <c r="B129" s="480" t="s">
        <v>206</v>
      </c>
      <c r="C129" s="607">
        <v>167</v>
      </c>
      <c r="D129" s="607">
        <v>396</v>
      </c>
      <c r="E129" s="480" t="s">
        <v>597</v>
      </c>
      <c r="F129" s="480" t="str">
        <f>CONCATENATE(DescontosTE[[#This Row],[Permissionária]],DescontosTE[[#This Row],[codsariSUP]],DescontosTE[[#This Row],[Classe]])</f>
        <v>Coprel396A4</v>
      </c>
      <c r="G129" s="510">
        <v>0.53600000000000003</v>
      </c>
      <c r="H129" s="510">
        <v>0.53600000000000003</v>
      </c>
      <c r="I129" s="510">
        <v>0.40200000000000002</v>
      </c>
      <c r="J129" s="512">
        <v>0</v>
      </c>
      <c r="K129" s="682">
        <v>0</v>
      </c>
      <c r="L129" s="865">
        <v>0</v>
      </c>
      <c r="M129" s="865">
        <v>0</v>
      </c>
    </row>
    <row r="130" spans="1:14" hidden="1">
      <c r="A130" s="480" t="s">
        <v>174</v>
      </c>
      <c r="B130" s="480" t="s">
        <v>206</v>
      </c>
      <c r="C130" s="607">
        <v>167</v>
      </c>
      <c r="D130" s="607">
        <v>396</v>
      </c>
      <c r="E130" s="480" t="s">
        <v>597</v>
      </c>
      <c r="F130" s="480" t="str">
        <f>CONCATENATE(DescontosTE[[#This Row],[Permissionária]],DescontosTE[[#This Row],[codsariSUP]],DescontosTE[[#This Row],[Classe]])</f>
        <v>Creluz396A4</v>
      </c>
      <c r="G130" s="510">
        <v>0.83053171196948017</v>
      </c>
      <c r="H130" s="510">
        <v>0.83053171196948017</v>
      </c>
      <c r="I130" s="510">
        <v>0.83053171196948017</v>
      </c>
      <c r="J130" s="512">
        <v>0.34849999999999998</v>
      </c>
      <c r="K130" s="682">
        <v>0.34849999999999998</v>
      </c>
      <c r="L130" s="865">
        <v>0.28499999999999998</v>
      </c>
      <c r="M130" s="1565">
        <v>0.28499999999999998</v>
      </c>
    </row>
    <row r="131" spans="1:14" hidden="1">
      <c r="A131" s="480" t="s">
        <v>477</v>
      </c>
      <c r="B131" s="480" t="s">
        <v>206</v>
      </c>
      <c r="C131" s="607">
        <v>167</v>
      </c>
      <c r="D131" s="607">
        <v>396</v>
      </c>
      <c r="E131" s="480" t="s">
        <v>597</v>
      </c>
      <c r="F131" s="480" t="str">
        <f>CONCATENATE(DescontosTE[[#This Row],[Permissionária]],DescontosTE[[#This Row],[codsariSUP]],DescontosTE[[#This Row],[Classe]])</f>
        <v>Creral396A4</v>
      </c>
      <c r="G131" s="510">
        <v>0.76871721506914636</v>
      </c>
      <c r="H131" s="510">
        <v>0.76871721506914636</v>
      </c>
      <c r="I131" s="510">
        <v>0.76871721506914636</v>
      </c>
      <c r="J131" s="512">
        <v>0.46889999999999998</v>
      </c>
      <c r="K131" s="682">
        <v>0.46889999999999998</v>
      </c>
      <c r="L131" s="865">
        <v>0.214</v>
      </c>
      <c r="M131" s="1565">
        <v>0.214</v>
      </c>
    </row>
    <row r="132" spans="1:14" hidden="1">
      <c r="A132" s="480" t="s">
        <v>477</v>
      </c>
      <c r="B132" s="480" t="s">
        <v>206</v>
      </c>
      <c r="C132" s="607">
        <v>167</v>
      </c>
      <c r="D132" s="607">
        <v>396</v>
      </c>
      <c r="E132" s="480" t="s">
        <v>604</v>
      </c>
      <c r="F132" s="480" t="str">
        <f>CONCATENATE(DescontosTE[[#This Row],[Permissionária]],DescontosTE[[#This Row],[codsariSUP]],DescontosTE[[#This Row],[Classe]])</f>
        <v>Creral396B</v>
      </c>
      <c r="G132" s="510">
        <v>2.0743919885550688E-2</v>
      </c>
      <c r="H132" s="510">
        <v>2.0743919885550688E-2</v>
      </c>
      <c r="I132" s="510">
        <v>2.0743919885550688E-2</v>
      </c>
      <c r="J132" s="512">
        <v>2.07E-2</v>
      </c>
      <c r="K132" s="682">
        <v>2.07E-2</v>
      </c>
      <c r="L132" s="865">
        <v>2.07E-2</v>
      </c>
      <c r="M132" s="1565">
        <v>2.07E-2</v>
      </c>
    </row>
    <row r="133" spans="1:14" hidden="1">
      <c r="A133" s="480" t="s">
        <v>367</v>
      </c>
      <c r="B133" s="486" t="s">
        <v>163</v>
      </c>
      <c r="C133" s="480">
        <v>103</v>
      </c>
      <c r="D133" s="480">
        <v>383</v>
      </c>
      <c r="E133" s="480" t="s">
        <v>597</v>
      </c>
      <c r="F133" s="480" t="str">
        <f>CONCATENATE(DescontosTE[[#This Row],[Permissionária]],DescontosTE[[#This Row],[codsariSUP]],DescontosTE[[#This Row],[Classe]])</f>
        <v>Cerci383A4</v>
      </c>
      <c r="G133" s="510"/>
      <c r="H133" s="510"/>
      <c r="I133" s="510"/>
      <c r="J133" s="512">
        <v>0.38529999999999998</v>
      </c>
      <c r="K133" s="814">
        <v>0.38529999999999998</v>
      </c>
      <c r="L133" s="865">
        <f>DescontosTE[[#This Row],[2019]]</f>
        <v>0.38529999999999998</v>
      </c>
      <c r="M133" s="512">
        <f>DescontosTE[[#This Row],[2020]]</f>
        <v>0.38529999999999998</v>
      </c>
      <c r="N133" s="512">
        <f>DescontosTE[[#This Row],[2020]]</f>
        <v>0.38529999999999998</v>
      </c>
    </row>
    <row r="134" spans="1:14" hidden="1">
      <c r="A134" s="480" t="s">
        <v>196</v>
      </c>
      <c r="B134" s="486" t="s">
        <v>163</v>
      </c>
      <c r="C134" s="480">
        <v>103</v>
      </c>
      <c r="D134" s="480">
        <v>383</v>
      </c>
      <c r="E134" s="480" t="s">
        <v>597</v>
      </c>
      <c r="F134" s="480" t="str">
        <f>CONCATENATE(DescontosTE[[#This Row],[Permissionária]],DescontosTE[[#This Row],[codsariSUP]],DescontosTE[[#This Row],[Classe]])</f>
        <v>Ceral Araruama383A4</v>
      </c>
      <c r="G134" s="510"/>
      <c r="H134" s="510"/>
      <c r="I134" s="510"/>
      <c r="J134" s="512">
        <v>0.38529999999999998</v>
      </c>
      <c r="K134" s="814">
        <v>0.38030000000000003</v>
      </c>
      <c r="L134" s="865">
        <f>DescontosTE[[#This Row],[2019]]</f>
        <v>0.38030000000000003</v>
      </c>
      <c r="M134" s="510">
        <v>0.26430999999999999</v>
      </c>
      <c r="N134" s="510">
        <v>0.26430999999999999</v>
      </c>
    </row>
    <row r="135" spans="1:14" hidden="1">
      <c r="A135" s="480" t="s">
        <v>390</v>
      </c>
      <c r="B135" s="480" t="s">
        <v>206</v>
      </c>
      <c r="C135" s="607">
        <v>167</v>
      </c>
      <c r="D135" s="607">
        <v>396</v>
      </c>
      <c r="E135" s="480" t="s">
        <v>597</v>
      </c>
      <c r="F135" s="480" t="str">
        <f>CONCATENATE(DescontosTE[[#This Row],[Permissionária]],DescontosTE[[#This Row],[codsariSUP]],DescontosTE[[#This Row],[Classe]])</f>
        <v>Cerfox396A4</v>
      </c>
      <c r="G135" s="510"/>
      <c r="H135" s="510"/>
      <c r="I135" s="510"/>
      <c r="J135" s="512">
        <v>0.1401</v>
      </c>
      <c r="K135" s="814">
        <v>0.1401</v>
      </c>
      <c r="L135" s="865">
        <v>0.1401</v>
      </c>
      <c r="M135" s="1565">
        <v>0.1401</v>
      </c>
    </row>
    <row r="136" spans="1:14" hidden="1">
      <c r="A136" s="480" t="s">
        <v>494</v>
      </c>
      <c r="B136" s="480" t="s">
        <v>206</v>
      </c>
      <c r="C136" s="607">
        <v>167</v>
      </c>
      <c r="D136" s="607">
        <v>396</v>
      </c>
      <c r="E136" s="480" t="s">
        <v>597</v>
      </c>
      <c r="F136" s="480" t="str">
        <f>CONCATENATE(DescontosTE[[#This Row],[Permissionária]],DescontosTE[[#This Row],[codsariSUP]],DescontosTE[[#This Row],[Classe]])</f>
        <v>Certhil396A4</v>
      </c>
      <c r="G136" s="510"/>
      <c r="H136" s="510"/>
      <c r="I136" s="510"/>
      <c r="J136" s="512">
        <v>0.25359999999999999</v>
      </c>
      <c r="K136" s="814">
        <v>0.22370000000000001</v>
      </c>
      <c r="L136" s="865">
        <v>0.1273</v>
      </c>
      <c r="M136" s="1565">
        <v>0</v>
      </c>
    </row>
    <row r="137" spans="1:14" hidden="1">
      <c r="A137" s="480" t="s">
        <v>291</v>
      </c>
      <c r="B137" s="480" t="s">
        <v>607</v>
      </c>
      <c r="C137" s="480">
        <v>132</v>
      </c>
      <c r="D137" s="480">
        <v>2866</v>
      </c>
      <c r="E137" s="480" t="s">
        <v>601</v>
      </c>
      <c r="F137" s="480" t="str">
        <f>CONCATENATE(DescontosTE[[#This Row],[Permissionária]],DescontosTE[[#This Row],[codsariSUP]],DescontosTE[[#This Row],[Classe]])</f>
        <v>Castro Dis2866A3a</v>
      </c>
      <c r="G137" s="510"/>
      <c r="H137" s="510"/>
      <c r="I137" s="510"/>
      <c r="J137" s="512">
        <v>0.42030000000000001</v>
      </c>
      <c r="K137" s="814">
        <v>0.42030000000000001</v>
      </c>
      <c r="L137" s="865">
        <v>0.33839999999999998</v>
      </c>
      <c r="M137" s="1565">
        <v>0.33839999999999998</v>
      </c>
    </row>
    <row r="138" spans="1:14" hidden="1">
      <c r="A138" s="480" t="s">
        <v>291</v>
      </c>
      <c r="B138" s="480" t="s">
        <v>607</v>
      </c>
      <c r="C138" s="480">
        <v>132</v>
      </c>
      <c r="D138" s="480">
        <v>2866</v>
      </c>
      <c r="E138" s="480" t="s">
        <v>597</v>
      </c>
      <c r="F138" s="480" t="str">
        <f>CONCATENATE(DescontosTE[[#This Row],[Permissionária]],DescontosTE[[#This Row],[codsariSUP]],DescontosTE[[#This Row],[Classe]])</f>
        <v>Castro Dis2866A4</v>
      </c>
      <c r="G138" s="510"/>
      <c r="H138" s="510"/>
      <c r="I138" s="510"/>
      <c r="J138" s="512">
        <v>0.4153</v>
      </c>
      <c r="K138" s="814">
        <v>0.4153</v>
      </c>
      <c r="L138" s="865">
        <v>0.33839999999999998</v>
      </c>
      <c r="M138" s="1565">
        <v>0.33839999999999998</v>
      </c>
    </row>
    <row r="139" spans="1:14" hidden="1">
      <c r="A139" s="480" t="s">
        <v>510</v>
      </c>
      <c r="B139" s="480" t="s">
        <v>608</v>
      </c>
      <c r="C139" s="480">
        <v>145</v>
      </c>
      <c r="D139" s="480">
        <v>385</v>
      </c>
      <c r="E139" s="480" t="s">
        <v>597</v>
      </c>
      <c r="F139" s="480" t="str">
        <f>CONCATENATE(DescontosTE[[#This Row],[Permissionária]],DescontosTE[[#This Row],[codsariSUP]],DescontosTE[[#This Row],[Classe]])</f>
        <v>Cervam385A4</v>
      </c>
      <c r="G139" s="510"/>
      <c r="H139" s="510"/>
      <c r="I139" s="510"/>
      <c r="J139" s="512">
        <v>0.40989999999999999</v>
      </c>
      <c r="K139" s="814">
        <v>4.3299999999999998E-2</v>
      </c>
      <c r="L139" s="865">
        <v>0</v>
      </c>
      <c r="M139" s="865">
        <v>0</v>
      </c>
    </row>
    <row r="140" spans="1:14" hidden="1">
      <c r="A140" s="480" t="s">
        <v>510</v>
      </c>
      <c r="B140" s="480" t="s">
        <v>150</v>
      </c>
      <c r="C140" s="480">
        <v>136</v>
      </c>
      <c r="D140" s="480">
        <v>63</v>
      </c>
      <c r="E140" s="480" t="s">
        <v>597</v>
      </c>
      <c r="F140" s="480" t="str">
        <f>CONCATENATE(DescontosTE[[#This Row],[Permissionária]],DescontosTE[[#This Row],[codsariSUP]],DescontosTE[[#This Row],[Classe]])</f>
        <v>Cervam63A4</v>
      </c>
      <c r="G140" s="510"/>
      <c r="H140" s="510"/>
      <c r="I140" s="510"/>
      <c r="J140" s="512">
        <v>0.4103</v>
      </c>
      <c r="K140" s="814">
        <v>4.3299999999999998E-2</v>
      </c>
      <c r="L140" s="865">
        <v>0</v>
      </c>
      <c r="M140" s="865">
        <v>0</v>
      </c>
    </row>
    <row r="141" spans="1:14" hidden="1">
      <c r="A141" s="480" t="s">
        <v>186</v>
      </c>
      <c r="B141" s="480" t="s">
        <v>189</v>
      </c>
      <c r="C141" s="480">
        <v>111</v>
      </c>
      <c r="D141" s="480">
        <v>5697</v>
      </c>
      <c r="E141" s="480" t="s">
        <v>602</v>
      </c>
      <c r="F141" s="480" t="str">
        <f>CONCATENATE(DescontosTE[[#This Row],[Permissionária]],DescontosTE[[#This Row],[codsariSUP]],DescontosTE[[#This Row],[Classe]])</f>
        <v>Cegero5697A2</v>
      </c>
      <c r="G141" s="510"/>
      <c r="H141" s="510"/>
      <c r="I141" s="510"/>
      <c r="J141" s="512">
        <v>0.44009999999999999</v>
      </c>
      <c r="K141" s="814">
        <v>0.3735</v>
      </c>
      <c r="L141" s="865">
        <v>0.29289999999999999</v>
      </c>
      <c r="M141" s="1565">
        <v>0.29289999999999999</v>
      </c>
    </row>
    <row r="142" spans="1:14" hidden="1">
      <c r="A142" s="480" t="s">
        <v>472</v>
      </c>
      <c r="B142" s="480" t="s">
        <v>189</v>
      </c>
      <c r="C142" s="480">
        <v>111</v>
      </c>
      <c r="D142" s="480">
        <v>5697</v>
      </c>
      <c r="E142" s="480" t="s">
        <v>597</v>
      </c>
      <c r="F142" s="480" t="str">
        <f>CONCATENATE(DescontosTE[[#This Row],[Permissionária]],DescontosTE[[#This Row],[codsariSUP]],DescontosTE[[#This Row],[Classe]])</f>
        <v>Cersad5697A4</v>
      </c>
      <c r="G142" s="510"/>
      <c r="H142" s="510"/>
      <c r="I142" s="510"/>
      <c r="J142" s="512">
        <v>0.41320000000000001</v>
      </c>
      <c r="K142" s="814">
        <v>0.34079999999999999</v>
      </c>
      <c r="L142" s="865">
        <v>0.25679999999999997</v>
      </c>
      <c r="M142" s="1565">
        <v>0</v>
      </c>
    </row>
    <row r="143" spans="1:14" hidden="1">
      <c r="A143" s="480" t="s">
        <v>521</v>
      </c>
      <c r="B143" s="480" t="s">
        <v>189</v>
      </c>
      <c r="C143" s="480">
        <v>111</v>
      </c>
      <c r="D143" s="480">
        <v>5697</v>
      </c>
      <c r="E143" s="480" t="s">
        <v>602</v>
      </c>
      <c r="F143" s="480" t="str">
        <f>CONCATENATE(DescontosTE[[#This Row],[Permissionária]],DescontosTE[[#This Row],[codsariSUP]],DescontosTE[[#This Row],[Classe]])</f>
        <v>Codesam5697A2</v>
      </c>
      <c r="G143" s="510"/>
      <c r="H143" s="510"/>
      <c r="I143" s="510"/>
      <c r="J143" s="512">
        <v>0.44009999999999999</v>
      </c>
      <c r="K143" s="814">
        <v>0.28170000000000001</v>
      </c>
      <c r="L143" s="865">
        <v>0.25019999999999998</v>
      </c>
      <c r="M143" s="1565">
        <v>0.25019999999999998</v>
      </c>
    </row>
    <row r="144" spans="1:14" hidden="1">
      <c r="A144" s="480" t="s">
        <v>556</v>
      </c>
      <c r="B144" s="480" t="s">
        <v>189</v>
      </c>
      <c r="C144" s="480">
        <v>111</v>
      </c>
      <c r="D144" s="480">
        <v>5697</v>
      </c>
      <c r="E144" s="480" t="s">
        <v>597</v>
      </c>
      <c r="F144" s="480" t="str">
        <f>CONCATENATE(DescontosTE[[#This Row],[Permissionária]],DescontosTE[[#This Row],[codsariSUP]],DescontosTE[[#This Row],[Classe]])</f>
        <v>Cooperzem5697A4</v>
      </c>
      <c r="G144" s="510"/>
      <c r="H144" s="510"/>
      <c r="I144" s="510"/>
      <c r="J144" s="512">
        <v>0.41320000000000001</v>
      </c>
      <c r="K144" s="814">
        <v>0.16650000000000001</v>
      </c>
      <c r="L144" s="865">
        <v>0.1057</v>
      </c>
      <c r="M144" s="1565">
        <v>0.1057</v>
      </c>
    </row>
    <row r="145" spans="1:50" hidden="1">
      <c r="A145" s="480" t="s">
        <v>10</v>
      </c>
      <c r="B145" s="480" t="s">
        <v>354</v>
      </c>
      <c r="C145" s="480">
        <v>110</v>
      </c>
      <c r="D145" s="480">
        <v>5707</v>
      </c>
      <c r="E145" s="480" t="s">
        <v>597</v>
      </c>
      <c r="F145" s="480" t="str">
        <f>CONCATENATE(DescontosTE[[#This Row],[Permissionária]],DescontosTE[[#This Row],[codsariSUP]],DescontosTE[[#This Row],[Classe]])</f>
        <v>Coopersul5707A4</v>
      </c>
      <c r="G145" s="510"/>
      <c r="H145" s="510"/>
      <c r="I145" s="510"/>
      <c r="J145" s="512">
        <v>0.33779999999999999</v>
      </c>
      <c r="K145" s="814">
        <v>0.33779999999999999</v>
      </c>
      <c r="L145" s="865">
        <v>0.20419999999999999</v>
      </c>
      <c r="M145" s="1565">
        <v>9.0499999999999997E-2</v>
      </c>
    </row>
    <row r="146" spans="1:50" hidden="1">
      <c r="A146" s="480" t="s">
        <v>11</v>
      </c>
      <c r="B146" s="480" t="s">
        <v>354</v>
      </c>
      <c r="C146" s="480">
        <v>110</v>
      </c>
      <c r="D146" s="480">
        <v>5707</v>
      </c>
      <c r="E146" s="480" t="s">
        <v>597</v>
      </c>
      <c r="F146" s="480" t="str">
        <f>CONCATENATE(DescontosTE[[#This Row],[Permissionária]],DescontosTE[[#This Row],[codsariSUP]],DescontosTE[[#This Row],[Classe]])</f>
        <v>Coopernorte5707A4</v>
      </c>
      <c r="G146" s="510"/>
      <c r="H146" s="510"/>
      <c r="I146" s="510"/>
      <c r="J146" s="512">
        <v>0.49409999999999998</v>
      </c>
      <c r="K146" s="814">
        <v>0.48630000000000001</v>
      </c>
      <c r="L146" s="865">
        <v>0.37609999999999999</v>
      </c>
      <c r="M146" s="1565">
        <v>0.37609999999999999</v>
      </c>
    </row>
    <row r="147" spans="1:50" hidden="1">
      <c r="A147" s="480" t="s">
        <v>328</v>
      </c>
      <c r="B147" s="480" t="s">
        <v>150</v>
      </c>
      <c r="C147" s="480">
        <v>136</v>
      </c>
      <c r="D147" s="480">
        <v>63</v>
      </c>
      <c r="E147" s="480" t="s">
        <v>602</v>
      </c>
      <c r="F147" s="480" t="str">
        <f>CONCATENATE(DescontosTE[[#This Row],[Permissionária]],DescontosTE[[#This Row],[codsariSUP]],DescontosTE[[#This Row],[Classe]])</f>
        <v>Cemirim63A2</v>
      </c>
      <c r="G147" s="510"/>
      <c r="H147" s="510"/>
      <c r="I147" s="510"/>
      <c r="J147" s="512"/>
      <c r="K147" s="814">
        <v>0.18690000000000001</v>
      </c>
      <c r="L147" s="865">
        <v>0.1603</v>
      </c>
      <c r="M147" s="510">
        <v>0</v>
      </c>
    </row>
    <row r="148" spans="1:50" hidden="1">
      <c r="A148" s="480" t="s">
        <v>328</v>
      </c>
      <c r="B148" s="480" t="s">
        <v>164</v>
      </c>
      <c r="C148" s="480">
        <v>145</v>
      </c>
      <c r="D148" s="480">
        <v>385</v>
      </c>
      <c r="E148" s="480" t="s">
        <v>597</v>
      </c>
      <c r="F148" s="480" t="str">
        <f>CONCATENATE(DescontosTE[[#This Row],[Permissionária]],DescontosTE[[#This Row],[codsariSUP]],DescontosTE[[#This Row],[Classe]])</f>
        <v>Cemirim385A4</v>
      </c>
      <c r="G148" s="510"/>
      <c r="H148" s="510"/>
      <c r="I148" s="510"/>
      <c r="J148" s="512"/>
      <c r="K148" s="814">
        <v>0.18690000000000001</v>
      </c>
      <c r="L148" s="865">
        <v>0.1603</v>
      </c>
      <c r="M148" s="510">
        <v>0</v>
      </c>
    </row>
    <row r="149" spans="1:50" hidden="1">
      <c r="A149" s="480" t="s">
        <v>321</v>
      </c>
      <c r="B149" s="480" t="s">
        <v>206</v>
      </c>
      <c r="C149" s="480">
        <v>167</v>
      </c>
      <c r="D149" s="480">
        <v>396</v>
      </c>
      <c r="E149" s="480" t="s">
        <v>597</v>
      </c>
      <c r="F149" s="480" t="str">
        <f>CONCATENATE(DescontosTE[[#This Row],[Permissionária]],DescontosTE[[#This Row],[codsariSUP]],DescontosTE[[#This Row],[Classe]])</f>
        <v>Celetro396A4</v>
      </c>
      <c r="G149" s="866"/>
      <c r="H149" s="866"/>
      <c r="I149" s="866"/>
      <c r="J149" s="512"/>
      <c r="K149" s="814"/>
      <c r="L149" s="865">
        <v>0.1426</v>
      </c>
      <c r="M149" s="1565">
        <v>0.1426</v>
      </c>
      <c r="AS149" s="857"/>
      <c r="AX149" s="857"/>
    </row>
    <row r="150" spans="1:50" hidden="1">
      <c r="A150" s="480" t="s">
        <v>321</v>
      </c>
      <c r="B150" s="480" t="s">
        <v>609</v>
      </c>
      <c r="C150" s="480">
        <v>164</v>
      </c>
      <c r="D150" s="480">
        <v>400</v>
      </c>
      <c r="E150" s="480" t="s">
        <v>597</v>
      </c>
      <c r="F150" s="480" t="str">
        <f>CONCATENATE(DescontosTE[[#This Row],[Permissionária]],DescontosTE[[#This Row],[codsariSUP]],DescontosTE[[#This Row],[Classe]])</f>
        <v>Celetro400A4</v>
      </c>
      <c r="L150" s="512">
        <v>0.1426</v>
      </c>
      <c r="M150" s="1565">
        <v>0.1426</v>
      </c>
      <c r="AS150" s="857"/>
      <c r="AX150" s="857"/>
    </row>
    <row r="154" spans="1:50">
      <c r="A154" s="655" t="s">
        <v>610</v>
      </c>
    </row>
    <row r="156" spans="1:50">
      <c r="A156" s="9" t="s">
        <v>22</v>
      </c>
      <c r="B156" s="656" t="s">
        <v>239</v>
      </c>
      <c r="C156" t="s">
        <v>611</v>
      </c>
      <c r="D156" s="9" t="s">
        <v>612</v>
      </c>
      <c r="E156" s="9" t="s">
        <v>613</v>
      </c>
      <c r="F156" t="s">
        <v>614</v>
      </c>
      <c r="G156" t="s">
        <v>590</v>
      </c>
      <c r="H156" t="s">
        <v>591</v>
      </c>
      <c r="I156" t="s">
        <v>592</v>
      </c>
      <c r="J156" t="s">
        <v>593</v>
      </c>
      <c r="K156" t="s">
        <v>594</v>
      </c>
      <c r="L156" t="s">
        <v>595</v>
      </c>
      <c r="M156" t="s">
        <v>596</v>
      </c>
      <c r="N156" t="s">
        <v>2168</v>
      </c>
    </row>
    <row r="157" spans="1:50">
      <c r="A157" s="9" t="s">
        <v>585</v>
      </c>
      <c r="B157" s="657" t="s">
        <v>280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2">
        <v>585.49</v>
      </c>
      <c r="L157">
        <v>716.79000000000008</v>
      </c>
      <c r="M157" s="417">
        <v>802.08</v>
      </c>
    </row>
    <row r="158" spans="1:50">
      <c r="A158" s="9" t="s">
        <v>585</v>
      </c>
      <c r="B158" s="658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2">
        <v>750.67</v>
      </c>
      <c r="L158">
        <v>694.52</v>
      </c>
      <c r="M158" s="417">
        <v>683.87</v>
      </c>
    </row>
    <row r="159" spans="1:50">
      <c r="A159" s="9" t="s">
        <v>585</v>
      </c>
      <c r="B159" s="657" t="s">
        <v>297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2">
        <v>687.25</v>
      </c>
      <c r="L159">
        <v>653.32000000000005</v>
      </c>
      <c r="M159" s="417">
        <v>636.51</v>
      </c>
    </row>
    <row r="160" spans="1:50">
      <c r="A160" s="9" t="s">
        <v>585</v>
      </c>
      <c r="B160" s="658" t="s">
        <v>303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2">
        <v>521.09</v>
      </c>
      <c r="L160">
        <v>586.86</v>
      </c>
      <c r="M160">
        <v>663.81999999999994</v>
      </c>
    </row>
    <row r="161" spans="1:13">
      <c r="A161" s="9" t="s">
        <v>585</v>
      </c>
      <c r="B161" s="657" t="s">
        <v>309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2">
        <v>531.81000000000006</v>
      </c>
      <c r="L161">
        <v>604.55999999999995</v>
      </c>
      <c r="M161" s="417">
        <v>688.71</v>
      </c>
    </row>
    <row r="162" spans="1:13">
      <c r="A162" s="9" t="s">
        <v>585</v>
      </c>
      <c r="B162" s="658" t="s">
        <v>316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2">
        <v>627.79</v>
      </c>
      <c r="L162">
        <f>419.13+242.86</f>
        <v>661.99</v>
      </c>
      <c r="M162" s="417">
        <v>820.92</v>
      </c>
    </row>
    <row r="163" spans="1:13">
      <c r="A163" s="9" t="s">
        <v>585</v>
      </c>
      <c r="B163" s="657" t="s">
        <v>322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2">
        <v>550.73</v>
      </c>
      <c r="L163">
        <f>343.12+245.73</f>
        <v>588.85</v>
      </c>
      <c r="M163" s="417">
        <v>603.04999999999995</v>
      </c>
    </row>
    <row r="164" spans="1:13">
      <c r="A164" s="9" t="s">
        <v>585</v>
      </c>
      <c r="B164" s="658" t="s">
        <v>329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2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585</v>
      </c>
      <c r="B165" s="657" t="s">
        <v>334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2">
        <v>589.30000000000007</v>
      </c>
      <c r="L165">
        <v>631.75</v>
      </c>
      <c r="M165" s="417">
        <v>678.01</v>
      </c>
    </row>
    <row r="166" spans="1:13">
      <c r="A166" s="9" t="s">
        <v>585</v>
      </c>
      <c r="B166" s="658" t="s">
        <v>340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2">
        <v>697.1</v>
      </c>
      <c r="L166">
        <f>452.4+266.08</f>
        <v>718.48</v>
      </c>
      <c r="M166" s="417">
        <v>711.11</v>
      </c>
    </row>
    <row r="167" spans="1:13">
      <c r="A167" s="9" t="s">
        <v>585</v>
      </c>
      <c r="B167" s="657" t="s">
        <v>315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2">
        <v>616.29</v>
      </c>
      <c r="L167">
        <v>657.39</v>
      </c>
      <c r="M167" s="417">
        <v>548.54000000000008</v>
      </c>
    </row>
    <row r="168" spans="1:13">
      <c r="A168" s="9" t="s">
        <v>585</v>
      </c>
      <c r="B168" s="658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2">
        <v>682.83</v>
      </c>
      <c r="L168">
        <v>725.14</v>
      </c>
      <c r="M168" s="417">
        <v>632.80000000000007</v>
      </c>
    </row>
    <row r="169" spans="1:13">
      <c r="A169" s="9" t="s">
        <v>585</v>
      </c>
      <c r="B169" s="657" t="s">
        <v>339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2">
        <v>496.86</v>
      </c>
      <c r="L169">
        <v>511.66</v>
      </c>
      <c r="M169" s="417">
        <v>518.32999999999993</v>
      </c>
    </row>
    <row r="170" spans="1:13">
      <c r="A170" s="9" t="s">
        <v>585</v>
      </c>
      <c r="B170" s="658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2">
        <v>663.57999999999993</v>
      </c>
      <c r="L170">
        <v>677.53</v>
      </c>
      <c r="M170" s="417">
        <v>632.93999999999994</v>
      </c>
    </row>
    <row r="171" spans="1:13">
      <c r="A171" s="9" t="s">
        <v>585</v>
      </c>
      <c r="B171" s="657" t="s">
        <v>362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2">
        <v>544.1</v>
      </c>
      <c r="L171">
        <v>589.07999999999993</v>
      </c>
      <c r="M171" s="660">
        <v>561.9</v>
      </c>
    </row>
    <row r="172" spans="1:13">
      <c r="A172" s="9" t="s">
        <v>585</v>
      </c>
      <c r="B172" s="658" t="s">
        <v>373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2">
        <v>580.39</v>
      </c>
      <c r="L172">
        <v>610.34</v>
      </c>
      <c r="M172" s="417">
        <v>628.70000000000005</v>
      </c>
    </row>
    <row r="173" spans="1:13">
      <c r="A173" s="9" t="s">
        <v>585</v>
      </c>
      <c r="B173" s="657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2">
        <v>655.47</v>
      </c>
      <c r="L173">
        <v>654.13</v>
      </c>
      <c r="M173" s="417">
        <v>721.68</v>
      </c>
    </row>
    <row r="174" spans="1:13">
      <c r="A174" s="9" t="s">
        <v>585</v>
      </c>
      <c r="B174" s="658" t="s">
        <v>384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2">
        <v>523.83000000000004</v>
      </c>
      <c r="L174">
        <v>545.07000000000005</v>
      </c>
      <c r="M174" s="417">
        <v>563.88</v>
      </c>
    </row>
    <row r="175" spans="1:13">
      <c r="A175" s="9" t="s">
        <v>585</v>
      </c>
      <c r="B175" s="657" t="s">
        <v>391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2">
        <v>559.04</v>
      </c>
      <c r="L175">
        <v>605.22</v>
      </c>
      <c r="M175" s="417">
        <v>641.27</v>
      </c>
    </row>
    <row r="176" spans="1:13">
      <c r="A176" s="9" t="s">
        <v>585</v>
      </c>
      <c r="B176" s="658" t="s">
        <v>396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2">
        <v>562.51</v>
      </c>
      <c r="L176">
        <v>608.16999999999996</v>
      </c>
      <c r="M176" s="417">
        <v>651.74</v>
      </c>
    </row>
    <row r="177" spans="1:13">
      <c r="A177" s="9" t="s">
        <v>585</v>
      </c>
      <c r="B177" s="657" t="s">
        <v>402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2">
        <v>633.44000000000005</v>
      </c>
      <c r="L177">
        <v>707.06999999999994</v>
      </c>
      <c r="M177" s="417">
        <v>705.72</v>
      </c>
    </row>
    <row r="178" spans="1:13">
      <c r="A178" s="9" t="s">
        <v>585</v>
      </c>
      <c r="B178" s="658" t="s">
        <v>407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2">
        <v>419.84</v>
      </c>
      <c r="L178">
        <v>440.52000000000004</v>
      </c>
      <c r="M178" s="417">
        <v>466</v>
      </c>
    </row>
    <row r="179" spans="1:13">
      <c r="A179" s="9" t="s">
        <v>585</v>
      </c>
      <c r="B179" s="657" t="s">
        <v>412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2">
        <v>620.12</v>
      </c>
      <c r="L179">
        <v>691.03000000000009</v>
      </c>
      <c r="M179" s="417">
        <v>729.03</v>
      </c>
    </row>
    <row r="180" spans="1:13">
      <c r="A180" s="9" t="s">
        <v>585</v>
      </c>
      <c r="B180" s="658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2">
        <v>387.09</v>
      </c>
      <c r="L180">
        <v>395.17</v>
      </c>
      <c r="M180" s="417">
        <v>403.03</v>
      </c>
    </row>
    <row r="181" spans="1:13">
      <c r="A181" s="9" t="s">
        <v>585</v>
      </c>
      <c r="B181" s="657" t="s">
        <v>421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2">
        <v>468.2</v>
      </c>
      <c r="L181">
        <v>502.33000000000004</v>
      </c>
      <c r="M181" s="417">
        <v>550.72</v>
      </c>
    </row>
    <row r="182" spans="1:13">
      <c r="A182" s="9" t="s">
        <v>585</v>
      </c>
      <c r="B182" s="658" t="s">
        <v>428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2">
        <v>506.32999999999993</v>
      </c>
      <c r="L182">
        <v>538.1</v>
      </c>
      <c r="M182" s="417">
        <v>614.15</v>
      </c>
    </row>
    <row r="183" spans="1:13">
      <c r="A183" s="9" t="s">
        <v>585</v>
      </c>
      <c r="B183" s="657" t="s">
        <v>433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2">
        <v>592.26</v>
      </c>
      <c r="L183">
        <v>622.27</v>
      </c>
      <c r="M183" s="417">
        <v>648.42999999999995</v>
      </c>
    </row>
    <row r="184" spans="1:13">
      <c r="A184" s="9" t="s">
        <v>585</v>
      </c>
      <c r="B184" s="658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2">
        <v>514.23</v>
      </c>
      <c r="L184">
        <v>496.95</v>
      </c>
      <c r="M184" s="417">
        <v>539.69000000000005</v>
      </c>
    </row>
    <row r="185" spans="1:13">
      <c r="A185" s="9" t="s">
        <v>585</v>
      </c>
      <c r="B185" s="657" t="s">
        <v>438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2">
        <v>666.96</v>
      </c>
      <c r="L185">
        <v>631.15</v>
      </c>
      <c r="M185" s="417">
        <v>604.07000000000005</v>
      </c>
    </row>
    <row r="186" spans="1:13">
      <c r="A186" s="9" t="s">
        <v>585</v>
      </c>
      <c r="B186" s="658" t="s">
        <v>450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2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585</v>
      </c>
      <c r="B187" s="657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2">
        <v>458.66</v>
      </c>
      <c r="L187">
        <v>484.06</v>
      </c>
      <c r="M187" s="417">
        <v>508.88999999999993</v>
      </c>
    </row>
    <row r="188" spans="1:13">
      <c r="A188" s="9" t="s">
        <v>585</v>
      </c>
      <c r="B188" s="658" t="s">
        <v>461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2">
        <v>503.84</v>
      </c>
      <c r="L188">
        <v>506.04</v>
      </c>
      <c r="M188" s="417">
        <v>514.01</v>
      </c>
    </row>
    <row r="189" spans="1:13">
      <c r="A189" s="9" t="s">
        <v>585</v>
      </c>
      <c r="B189" s="657" t="s">
        <v>466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2">
        <v>571.18000000000006</v>
      </c>
      <c r="L189">
        <f>279.82+218.08</f>
        <v>497.9</v>
      </c>
      <c r="M189" s="417">
        <v>458.09</v>
      </c>
    </row>
    <row r="190" spans="1:13">
      <c r="A190" s="9" t="s">
        <v>585</v>
      </c>
      <c r="B190" s="658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2">
        <v>592.31999999999994</v>
      </c>
      <c r="L190">
        <v>573.04999999999995</v>
      </c>
      <c r="M190" s="417">
        <v>611.82000000000005</v>
      </c>
    </row>
    <row r="191" spans="1:13">
      <c r="A191" s="9" t="s">
        <v>585</v>
      </c>
      <c r="B191" s="657" t="s">
        <v>477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2">
        <v>607.33000000000004</v>
      </c>
      <c r="L191">
        <v>642.19000000000005</v>
      </c>
      <c r="M191" s="417">
        <v>700.57</v>
      </c>
    </row>
    <row r="192" spans="1:13">
      <c r="A192" s="9" t="s">
        <v>585</v>
      </c>
      <c r="B192" s="658" t="s">
        <v>357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2">
        <v>469.96</v>
      </c>
      <c r="L192">
        <v>496.82</v>
      </c>
      <c r="M192" s="417">
        <v>587.54</v>
      </c>
    </row>
    <row r="193" spans="1:16">
      <c r="A193" s="9" t="s">
        <v>585</v>
      </c>
      <c r="B193" s="657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2">
        <v>884.76</v>
      </c>
      <c r="L193">
        <f>763.76+204.91</f>
        <v>968.67</v>
      </c>
      <c r="M193">
        <v>1025.47</v>
      </c>
    </row>
    <row r="194" spans="1:16">
      <c r="A194" s="9" t="s">
        <v>585</v>
      </c>
      <c r="B194" s="659" t="s">
        <v>372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2">
        <v>782.78000000000009</v>
      </c>
      <c r="L194">
        <f>513.49+240.36</f>
        <v>753.85</v>
      </c>
      <c r="M194" s="417">
        <v>761.28</v>
      </c>
    </row>
    <row r="195" spans="1:16">
      <c r="A195" s="9" t="s">
        <v>585</v>
      </c>
      <c r="B195" s="508" t="s">
        <v>367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2">
        <v>894.62</v>
      </c>
      <c r="L195">
        <f>765.89+213.34</f>
        <v>979.23</v>
      </c>
      <c r="M195">
        <v>1023.74</v>
      </c>
    </row>
    <row r="196" spans="1:16">
      <c r="A196" s="9" t="s">
        <v>585</v>
      </c>
      <c r="B196" s="508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2">
        <v>950.33</v>
      </c>
      <c r="L196">
        <v>1054.05</v>
      </c>
      <c r="M196">
        <v>1107.67</v>
      </c>
      <c r="N196" s="234"/>
    </row>
    <row r="197" spans="1:16">
      <c r="A197" s="9" t="s">
        <v>585</v>
      </c>
      <c r="B197" s="508" t="s">
        <v>390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2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585</v>
      </c>
      <c r="B198" s="508" t="s">
        <v>494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2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585</v>
      </c>
      <c r="B199" s="508" t="s">
        <v>291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2">
        <v>350.78999999999996</v>
      </c>
      <c r="L199">
        <v>369.5</v>
      </c>
      <c r="M199" s="417">
        <v>424.29</v>
      </c>
      <c r="N199" s="8"/>
    </row>
    <row r="200" spans="1:16">
      <c r="A200" s="9" t="s">
        <v>585</v>
      </c>
      <c r="B200" s="508" t="s">
        <v>510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2">
        <v>667.26</v>
      </c>
      <c r="L200">
        <v>648.54999999999995</v>
      </c>
      <c r="M200" s="417">
        <v>635.66</v>
      </c>
      <c r="N200" s="8"/>
    </row>
    <row r="201" spans="1:16">
      <c r="A201" s="9" t="s">
        <v>585</v>
      </c>
      <c r="B201" s="508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2">
        <v>374.59</v>
      </c>
      <c r="L201">
        <v>366.5</v>
      </c>
      <c r="M201" s="417">
        <v>409.78999999999996</v>
      </c>
      <c r="N201" s="8"/>
    </row>
    <row r="202" spans="1:16">
      <c r="A202" s="9" t="s">
        <v>585</v>
      </c>
      <c r="B202" s="508" t="s">
        <v>472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2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585</v>
      </c>
      <c r="B203" s="508" t="s">
        <v>521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2">
        <v>386.85</v>
      </c>
      <c r="L203">
        <v>418.26000000000005</v>
      </c>
      <c r="M203" s="417">
        <v>463.75</v>
      </c>
      <c r="N203" s="8"/>
    </row>
    <row r="204" spans="1:16">
      <c r="A204" s="9" t="s">
        <v>585</v>
      </c>
      <c r="B204" s="508" t="s">
        <v>556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2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585</v>
      </c>
      <c r="B205" s="508" t="s">
        <v>615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2">
        <v>595.43999999999994</v>
      </c>
      <c r="L205">
        <f>413.48+197.81</f>
        <v>611.29</v>
      </c>
      <c r="M205" s="417">
        <v>640.98</v>
      </c>
    </row>
    <row r="206" spans="1:16">
      <c r="A206" s="9" t="s">
        <v>585</v>
      </c>
      <c r="B206" s="508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2">
        <v>735.09</v>
      </c>
      <c r="L206">
        <f>616.69+148.58</f>
        <v>765.2700000000001</v>
      </c>
      <c r="M206" s="417">
        <v>815.69</v>
      </c>
    </row>
    <row r="207" spans="1:16">
      <c r="A207" s="266" t="s">
        <v>585</v>
      </c>
      <c r="B207" s="808" t="s">
        <v>328</v>
      </c>
      <c r="C207" s="234"/>
      <c r="D207" s="234"/>
      <c r="E207" s="234"/>
      <c r="F207" s="234"/>
      <c r="G207" s="234"/>
      <c r="H207" s="234"/>
      <c r="K207" s="812">
        <v>470.82</v>
      </c>
      <c r="L207">
        <f>281.75+226.45</f>
        <v>508.2</v>
      </c>
      <c r="M207" s="417">
        <v>536.98</v>
      </c>
    </row>
    <row r="208" spans="1:16">
      <c r="A208" s="266" t="s">
        <v>585</v>
      </c>
      <c r="B208" s="808" t="s">
        <v>321</v>
      </c>
      <c r="C208" s="234"/>
      <c r="D208" s="234"/>
      <c r="E208" s="234"/>
      <c r="F208" s="234"/>
      <c r="G208" s="234"/>
      <c r="H208" s="234"/>
      <c r="K208" s="812"/>
      <c r="L208">
        <f>357.76+231.81</f>
        <v>589.56999999999994</v>
      </c>
      <c r="M208" s="417">
        <v>677.96999999999991</v>
      </c>
      <c r="O208" s="852" t="s">
        <v>616</v>
      </c>
      <c r="P208" s="853">
        <v>968.67</v>
      </c>
    </row>
    <row r="209" spans="1:50">
      <c r="A209" s="9" t="s">
        <v>27</v>
      </c>
      <c r="B209" s="486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2">
        <f>397.32+270.9</f>
        <v>668.22</v>
      </c>
      <c r="L209">
        <v>683.67</v>
      </c>
      <c r="M209" s="519">
        <v>714.43999999999994</v>
      </c>
      <c r="N209">
        <v>838.02</v>
      </c>
      <c r="O209" s="852" t="s">
        <v>617</v>
      </c>
      <c r="P209" s="853" t="e">
        <v>#N/A</v>
      </c>
    </row>
    <row r="210" spans="1:50">
      <c r="A210" s="9" t="s">
        <v>27</v>
      </c>
      <c r="B210" s="486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2">
        <v>469.78</v>
      </c>
      <c r="L210">
        <v>505.99000000000007</v>
      </c>
      <c r="M210" s="417">
        <v>532.24</v>
      </c>
      <c r="O210" s="852" t="s">
        <v>618</v>
      </c>
      <c r="P210" s="853" t="e">
        <v>#N/A</v>
      </c>
    </row>
    <row r="211" spans="1:50">
      <c r="A211" s="9" t="s">
        <v>27</v>
      </c>
      <c r="B211" s="486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6">
        <f>252.99+244.36</f>
        <v>497.35</v>
      </c>
      <c r="L211">
        <v>513.89</v>
      </c>
      <c r="M211" s="417">
        <v>572.45999999999992</v>
      </c>
      <c r="O211" s="852" t="s">
        <v>619</v>
      </c>
      <c r="P211" s="853" t="e">
        <v>#N/A</v>
      </c>
    </row>
    <row r="212" spans="1:50">
      <c r="A212" s="9" t="s">
        <v>27</v>
      </c>
      <c r="B212" s="486" t="s">
        <v>600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2">
        <v>517.61</v>
      </c>
      <c r="L212">
        <v>512.77</v>
      </c>
      <c r="M212" s="417">
        <v>558.81000000000006</v>
      </c>
      <c r="O212" s="852" t="s">
        <v>620</v>
      </c>
      <c r="P212" s="853" t="e">
        <v>#N/A</v>
      </c>
    </row>
    <row r="213" spans="1:50">
      <c r="A213" s="9" t="s">
        <v>27</v>
      </c>
      <c r="B213" s="486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2">
        <v>523.02</v>
      </c>
      <c r="L213">
        <v>550.20000000000005</v>
      </c>
      <c r="M213">
        <v>595.66</v>
      </c>
      <c r="N213">
        <v>678.65</v>
      </c>
      <c r="O213" s="852" t="s">
        <v>621</v>
      </c>
      <c r="P213" s="853" t="e">
        <v>#N/A</v>
      </c>
    </row>
    <row r="214" spans="1:50">
      <c r="A214" s="9" t="s">
        <v>27</v>
      </c>
      <c r="B214" s="486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2">
        <v>490.18</v>
      </c>
      <c r="L214">
        <v>533.54999999999995</v>
      </c>
      <c r="M214" s="417">
        <v>619.94000000000005</v>
      </c>
      <c r="O214" s="852" t="s">
        <v>622</v>
      </c>
      <c r="P214" s="853">
        <v>586.86</v>
      </c>
    </row>
    <row r="215" spans="1:50">
      <c r="A215" s="9" t="s">
        <v>27</v>
      </c>
      <c r="B215" s="486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2">
        <f>303.99+243.7</f>
        <v>547.69000000000005</v>
      </c>
      <c r="L215">
        <v>541.15</v>
      </c>
      <c r="M215" s="858">
        <v>564.97</v>
      </c>
      <c r="N215">
        <v>606.77</v>
      </c>
      <c r="O215" s="852" t="s">
        <v>623</v>
      </c>
      <c r="P215" s="853" t="e">
        <v>#N/A</v>
      </c>
    </row>
    <row r="216" spans="1:50">
      <c r="A216" s="9" t="s">
        <v>27</v>
      </c>
      <c r="B216" s="486" t="s">
        <v>286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0">
        <v>487.3</v>
      </c>
      <c r="J216">
        <f>241.74+319.79</f>
        <v>561.53</v>
      </c>
      <c r="K216" s="812">
        <v>525.73</v>
      </c>
      <c r="L216" s="660">
        <v>546.10945347732809</v>
      </c>
      <c r="M216" s="417">
        <v>635.92000000000007</v>
      </c>
      <c r="N216" s="850"/>
      <c r="O216" s="852" t="s">
        <v>624</v>
      </c>
      <c r="P216" s="853" t="e">
        <v>#N/A</v>
      </c>
    </row>
    <row r="217" spans="1:50">
      <c r="A217" s="9" t="s">
        <v>27</v>
      </c>
      <c r="B217" s="486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2">
        <v>531.87</v>
      </c>
      <c r="L217" s="660">
        <v>555.04999999999995</v>
      </c>
      <c r="M217" s="417">
        <v>622.58000000000004</v>
      </c>
      <c r="O217" s="852" t="s">
        <v>625</v>
      </c>
      <c r="P217" s="853" t="e">
        <v>#N/A</v>
      </c>
    </row>
    <row r="218" spans="1:50">
      <c r="A218" s="9" t="s">
        <v>27</v>
      </c>
      <c r="B218" s="486" t="s">
        <v>313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2">
        <v>515.59</v>
      </c>
      <c r="L218" s="660">
        <v>534.19000000000005</v>
      </c>
      <c r="M218" s="417">
        <v>594.49</v>
      </c>
      <c r="O218" s="852" t="s">
        <v>626</v>
      </c>
      <c r="P218" s="853" t="e">
        <v>#N/A</v>
      </c>
    </row>
    <row r="219" spans="1:50">
      <c r="A219" s="9" t="s">
        <v>27</v>
      </c>
      <c r="B219" s="486" t="s">
        <v>603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2">
        <v>530.72</v>
      </c>
      <c r="L219" s="660">
        <v>535.51</v>
      </c>
      <c r="M219" s="234">
        <v>580.43681504518099</v>
      </c>
      <c r="N219">
        <v>677.99</v>
      </c>
      <c r="O219" s="852" t="s">
        <v>627</v>
      </c>
      <c r="P219" s="853" t="e">
        <v>#N/A</v>
      </c>
    </row>
    <row r="220" spans="1:50">
      <c r="A220" s="9" t="s">
        <v>27</v>
      </c>
      <c r="B220" s="486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2">
        <v>560.27</v>
      </c>
      <c r="L220" s="660">
        <v>589.57000000000005</v>
      </c>
      <c r="M220" s="417">
        <v>643.09</v>
      </c>
      <c r="O220" s="852" t="s">
        <v>628</v>
      </c>
      <c r="P220" s="853" t="e">
        <v>#N/A</v>
      </c>
    </row>
    <row r="221" spans="1:50">
      <c r="A221" t="s">
        <v>27</v>
      </c>
      <c r="B221" s="480" t="s">
        <v>354</v>
      </c>
      <c r="J221">
        <v>547.6</v>
      </c>
      <c r="K221" s="812">
        <v>515.07000000000005</v>
      </c>
      <c r="L221">
        <v>548.96999999999991</v>
      </c>
      <c r="M221" s="417">
        <v>629.70000000000005</v>
      </c>
      <c r="O221" s="852" t="s">
        <v>629</v>
      </c>
      <c r="P221" s="853" t="e">
        <v>#N/A</v>
      </c>
    </row>
    <row r="222" spans="1:50">
      <c r="A222" t="s">
        <v>27</v>
      </c>
      <c r="B222" s="480" t="s">
        <v>609</v>
      </c>
      <c r="K222" s="812"/>
      <c r="L222">
        <v>571.71</v>
      </c>
      <c r="M222" s="417">
        <v>605.55000000000007</v>
      </c>
      <c r="O222" s="852" t="s">
        <v>630</v>
      </c>
      <c r="P222" s="867" t="e">
        <v>#N/A</v>
      </c>
      <c r="AS222" s="857"/>
      <c r="AX222" s="857"/>
    </row>
    <row r="223" spans="1:50">
      <c r="O223" s="852" t="s">
        <v>631</v>
      </c>
      <c r="P223" s="853" t="e">
        <v>#N/A</v>
      </c>
    </row>
    <row r="224" spans="1:50">
      <c r="O224" s="852" t="s">
        <v>632</v>
      </c>
      <c r="P224" s="853" t="e">
        <v>#N/A</v>
      </c>
    </row>
    <row r="225" spans="11:16">
      <c r="K225" s="853">
        <v>547.69000000000005</v>
      </c>
      <c r="O225" s="852" t="s">
        <v>633</v>
      </c>
      <c r="P225" s="853" t="e">
        <v>#N/A</v>
      </c>
    </row>
    <row r="226" spans="11:16">
      <c r="O226" s="852" t="s">
        <v>634</v>
      </c>
      <c r="P226" s="853" t="e">
        <v>#N/A</v>
      </c>
    </row>
    <row r="227" spans="11:16">
      <c r="O227" s="852" t="s">
        <v>635</v>
      </c>
      <c r="P227" s="854" t="e">
        <v>#N/A</v>
      </c>
    </row>
    <row r="228" spans="11:16">
      <c r="O228" s="852" t="s">
        <v>636</v>
      </c>
      <c r="P228" s="854" t="e">
        <v>#N/A</v>
      </c>
    </row>
    <row r="229" spans="11:16">
      <c r="O229" s="852" t="s">
        <v>637</v>
      </c>
      <c r="P229" s="854" t="e">
        <v>#N/A</v>
      </c>
    </row>
    <row r="230" spans="11:16">
      <c r="O230" s="852" t="s">
        <v>638</v>
      </c>
      <c r="P230" s="854" t="e">
        <v>#N/A</v>
      </c>
    </row>
    <row r="231" spans="11:16">
      <c r="O231" s="852" t="s">
        <v>639</v>
      </c>
      <c r="P231" s="854" t="e">
        <v>#N/A</v>
      </c>
    </row>
    <row r="232" spans="11:16">
      <c r="O232" s="852" t="s">
        <v>640</v>
      </c>
      <c r="P232" s="854" t="e">
        <v>#N/A</v>
      </c>
    </row>
    <row r="233" spans="11:16">
      <c r="O233" s="852" t="s">
        <v>641</v>
      </c>
      <c r="P233" s="854" t="e">
        <v>#N/A</v>
      </c>
    </row>
    <row r="234" spans="11:16">
      <c r="O234" s="852" t="s">
        <v>642</v>
      </c>
      <c r="P234" s="854" t="e">
        <v>#N/A</v>
      </c>
    </row>
    <row r="235" spans="11:16">
      <c r="O235" s="852" t="s">
        <v>643</v>
      </c>
      <c r="P235" s="854">
        <v>979.23</v>
      </c>
    </row>
    <row r="236" spans="11:16">
      <c r="O236" s="852" t="s">
        <v>644</v>
      </c>
      <c r="P236" s="854">
        <v>1054.05</v>
      </c>
    </row>
  </sheetData>
  <sortState xmlns:xlrd2="http://schemas.microsoft.com/office/spreadsheetml/2017/richdata2" ref="AR10:AR61">
    <sortCondition ref="AR10:AR61"/>
  </sortState>
  <phoneticPr fontId="111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abSelected="1" zoomScale="91" zoomScaleNormal="91" workbookViewId="0">
      <selection activeCell="H3" sqref="H3:H4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5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5" customWidth="1"/>
    <col min="67" max="67" width="12.42578125" style="485" customWidth="1"/>
    <col min="68" max="68" width="12" style="485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6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37" t="s">
        <v>2190</v>
      </c>
      <c r="C1" s="1038"/>
      <c r="D1" s="1038"/>
      <c r="M1" s="546"/>
      <c r="P1" s="889" t="str">
        <f>IF((VLOOKUP(LnkTXTSigla,Informacoes[],5,FALSE))="8.4","VERDADEIRO","FALSO")</f>
        <v>VERDADEIRO</v>
      </c>
      <c r="Q1" s="889" t="s">
        <v>645</v>
      </c>
      <c r="BA1" s="484"/>
      <c r="BB1" s="484"/>
      <c r="BC1" s="484"/>
      <c r="BD1" s="484"/>
    </row>
    <row r="2" spans="1:84" ht="25.5">
      <c r="B2" s="547" t="str">
        <f>CAPA!C9</f>
        <v>Certel</v>
      </c>
      <c r="C2" s="637"/>
      <c r="D2" s="548"/>
      <c r="E2" s="588" t="s">
        <v>646</v>
      </c>
      <c r="F2" s="588"/>
      <c r="G2" s="588"/>
      <c r="H2" s="615" t="s">
        <v>2333</v>
      </c>
      <c r="M2" s="546"/>
      <c r="AK2" s="485"/>
      <c r="AZ2" s="1778" t="s">
        <v>647</v>
      </c>
      <c r="BA2" s="1779"/>
      <c r="BB2" s="1779"/>
      <c r="BC2" s="1779"/>
      <c r="BD2" s="1779"/>
      <c r="BE2" s="1779"/>
      <c r="BF2" s="1779"/>
      <c r="BG2" s="486"/>
      <c r="BM2" s="489"/>
      <c r="BW2" s="421"/>
      <c r="BX2" s="421"/>
      <c r="BY2" s="421"/>
      <c r="BZ2" s="421"/>
      <c r="CA2" s="421"/>
      <c r="CB2" s="421"/>
      <c r="CC2" s="421"/>
      <c r="CD2" s="421"/>
      <c r="CE2" s="421"/>
      <c r="CF2" s="516"/>
    </row>
    <row r="3" spans="1:84">
      <c r="C3" s="560"/>
      <c r="E3" s="583" t="s">
        <v>2165</v>
      </c>
      <c r="F3" s="583"/>
      <c r="G3" s="583"/>
      <c r="H3" s="536" t="s">
        <v>2389</v>
      </c>
      <c r="M3" s="546"/>
      <c r="O3" s="381">
        <f>VALUE(RIGHT(P3,2))</f>
        <v>40</v>
      </c>
      <c r="P3" s="1039" t="str">
        <f>VLOOKUP($C$9,Informacoes[],4,FALSE)</f>
        <v>C40</v>
      </c>
      <c r="Q3" s="1039" t="str">
        <f>VLOOKUP($C$9,Informacoes[],2,FALSE)</f>
        <v>Cooperativa de Distribuição de Energia Teutônia</v>
      </c>
      <c r="AH3" s="487"/>
      <c r="AI3" s="485"/>
      <c r="BA3" s="484"/>
      <c r="BB3" s="484"/>
      <c r="BC3" s="484"/>
      <c r="BD3" s="484"/>
      <c r="BM3" s="17"/>
      <c r="BQ3" s="488"/>
      <c r="BW3" s="421"/>
      <c r="BX3" s="421"/>
      <c r="BY3" s="421"/>
      <c r="BZ3" s="421"/>
      <c r="CA3" s="421"/>
      <c r="CB3" s="421"/>
      <c r="CC3" s="421"/>
      <c r="CD3" s="421"/>
      <c r="CE3" s="421"/>
      <c r="CF3" s="516"/>
    </row>
    <row r="4" spans="1:84">
      <c r="E4" s="774" t="s">
        <v>2166</v>
      </c>
      <c r="F4" s="774"/>
      <c r="G4" s="774"/>
      <c r="H4" s="802" t="s">
        <v>2390</v>
      </c>
      <c r="I4" s="549"/>
      <c r="M4" s="546"/>
      <c r="AZ4" s="889"/>
      <c r="BA4" s="1040">
        <v>40940</v>
      </c>
      <c r="BB4" s="1040" t="s">
        <v>612</v>
      </c>
      <c r="BC4" s="1040">
        <v>41306</v>
      </c>
      <c r="BD4" s="1040">
        <v>41671</v>
      </c>
      <c r="BE4" s="1041">
        <v>42036</v>
      </c>
      <c r="BF4" s="1042">
        <v>42401</v>
      </c>
      <c r="BG4" s="1042">
        <v>42767</v>
      </c>
      <c r="BI4" s="1043"/>
      <c r="BJ4" s="1043"/>
      <c r="BK4" s="1043"/>
      <c r="BL4" s="1043"/>
      <c r="BM4" s="1044"/>
      <c r="BN4" s="1044"/>
      <c r="BO4" s="1044"/>
      <c r="BP4" s="1044"/>
      <c r="BQ4" s="1044"/>
      <c r="BR4" s="1044"/>
      <c r="BS4" s="1044"/>
      <c r="BT4" s="1044"/>
      <c r="BU4" s="1044"/>
      <c r="BV4" s="493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4" t="s">
        <v>648</v>
      </c>
      <c r="F5" s="774"/>
      <c r="G5" s="774"/>
      <c r="H5" s="785" t="s">
        <v>2332</v>
      </c>
      <c r="I5" s="549"/>
      <c r="M5" s="546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0"/>
      <c r="I6" s="549"/>
      <c r="N6" s="551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2"/>
      <c r="B7" s="542" t="s">
        <v>649</v>
      </c>
      <c r="C7" s="553"/>
      <c r="D7" s="553"/>
      <c r="E7" s="554"/>
      <c r="F7" s="554"/>
      <c r="G7" s="554"/>
      <c r="H7" s="534"/>
      <c r="I7" s="535"/>
      <c r="J7" s="554"/>
      <c r="K7" s="555"/>
      <c r="L7" s="556"/>
      <c r="M7" s="557"/>
      <c r="N7" s="558"/>
      <c r="O7" s="9"/>
      <c r="Q7" s="537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1"/>
      <c r="O8" s="9"/>
      <c r="P8" s="275"/>
      <c r="Q8" s="783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1" t="s">
        <v>114</v>
      </c>
      <c r="C9" s="1045" t="s">
        <v>201</v>
      </c>
      <c r="D9" s="9"/>
      <c r="E9" s="1780" t="s">
        <v>650</v>
      </c>
      <c r="F9" s="1781"/>
      <c r="G9" s="1781"/>
      <c r="H9" s="1781"/>
      <c r="I9" s="606"/>
      <c r="J9" s="492" t="s">
        <v>651</v>
      </c>
      <c r="K9" s="9"/>
      <c r="L9" s="9"/>
      <c r="M9" s="559"/>
      <c r="N9" s="551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46" t="s">
        <v>652</v>
      </c>
      <c r="C10" s="1047" t="str">
        <f>IF(C9="Cercos","N/NE","S/SE/CO")</f>
        <v>S/SE/CO</v>
      </c>
      <c r="D10" s="9"/>
      <c r="E10" s="610"/>
      <c r="F10" s="611" t="s">
        <v>653</v>
      </c>
      <c r="G10" s="612">
        <v>44748.656504629631</v>
      </c>
      <c r="H10" s="1048"/>
      <c r="I10" s="607"/>
      <c r="J10" s="773" t="s">
        <v>654</v>
      </c>
      <c r="K10" s="1049">
        <f>IFERROR(O3+200,0)</f>
        <v>240</v>
      </c>
      <c r="L10" s="596"/>
      <c r="M10" s="559"/>
      <c r="N10" s="551"/>
      <c r="O10" s="9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0"/>
      <c r="F11" s="611" t="s">
        <v>655</v>
      </c>
      <c r="G11" s="612">
        <v>44757.672268518516</v>
      </c>
      <c r="H11" s="608"/>
      <c r="I11" s="609"/>
      <c r="J11" s="583" t="s">
        <v>656</v>
      </c>
      <c r="K11" s="614">
        <v>7371</v>
      </c>
      <c r="L11" s="596"/>
      <c r="M11" s="559"/>
      <c r="N11" s="551"/>
      <c r="O11" s="9"/>
      <c r="Q11" s="537"/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0"/>
      <c r="B12" s="492" t="s">
        <v>657</v>
      </c>
      <c r="C12" s="9"/>
      <c r="D12" s="9"/>
      <c r="E12" s="610"/>
      <c r="F12" s="611" t="s">
        <v>825</v>
      </c>
      <c r="G12" s="612">
        <v>44748.658425925925</v>
      </c>
      <c r="H12" s="608"/>
      <c r="I12" s="609"/>
      <c r="J12" s="774" t="s">
        <v>658</v>
      </c>
      <c r="K12" s="784">
        <f>idagente</f>
        <v>7371</v>
      </c>
      <c r="L12" s="596"/>
      <c r="M12" s="559"/>
      <c r="N12" s="551"/>
      <c r="O12" s="9"/>
      <c r="Q12" s="537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0"/>
      <c r="B13" s="601" t="s">
        <v>659</v>
      </c>
      <c r="C13" s="1050">
        <f ca="1">YEAR(TODAY())</f>
        <v>2022</v>
      </c>
      <c r="D13" s="266"/>
      <c r="E13" s="610"/>
      <c r="F13" s="611" t="s">
        <v>660</v>
      </c>
      <c r="G13" s="612">
        <v>44757.4455787037</v>
      </c>
      <c r="H13" s="608"/>
      <c r="I13" s="9"/>
      <c r="J13" s="492" t="s">
        <v>661</v>
      </c>
      <c r="K13" s="9"/>
      <c r="L13" s="596"/>
      <c r="M13" s="561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2" t="s">
        <v>662</v>
      </c>
      <c r="C14" s="603">
        <v>44407</v>
      </c>
      <c r="D14" s="266"/>
      <c r="E14" s="610"/>
      <c r="F14" s="611" t="s">
        <v>663</v>
      </c>
      <c r="G14" s="612">
        <v>44757.446608796294</v>
      </c>
      <c r="H14" s="608"/>
      <c r="I14" s="9"/>
      <c r="J14" s="773" t="s">
        <v>664</v>
      </c>
      <c r="K14" s="1049">
        <f>VLOOKUP(SAS_RA0_DataFim,Índices!$B$7:$F$500,2,FALSE)</f>
        <v>1190.8820000000001</v>
      </c>
      <c r="L14" s="596"/>
      <c r="M14" s="561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2" t="s">
        <v>665</v>
      </c>
      <c r="C15" s="604">
        <v>44772</v>
      </c>
      <c r="D15" s="266"/>
      <c r="E15" s="610"/>
      <c r="F15" s="611" t="s">
        <v>666</v>
      </c>
      <c r="G15" s="612">
        <v>44756.364108796297</v>
      </c>
      <c r="H15" s="613"/>
      <c r="I15" s="9"/>
      <c r="J15" s="583" t="s">
        <v>667</v>
      </c>
      <c r="K15" s="614">
        <f>VLOOKUP(SAS_RA0_DataFim,Índices!$B$7:$F$500,3,FALSE)</f>
        <v>6455.85</v>
      </c>
      <c r="L15" s="596"/>
      <c r="M15" s="561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2" t="s">
        <v>225</v>
      </c>
      <c r="C16" s="605">
        <f>DATE(YEAR(C14),MONTH(C14),1)</f>
        <v>44378</v>
      </c>
      <c r="D16" s="266"/>
      <c r="E16" s="610"/>
      <c r="F16" s="611" t="s">
        <v>668</v>
      </c>
      <c r="G16" s="612">
        <v>44755.691157407404</v>
      </c>
      <c r="H16" s="1051"/>
      <c r="I16" s="9"/>
      <c r="J16" s="583" t="s">
        <v>669</v>
      </c>
      <c r="K16" s="590">
        <f>K14/VLOOKUP(DATE(YEAR(SAS_RA0_DataInicio),MONTH(SAS_RA0_DataInicio)-1,DAY(SAS_RA0_DataInicio)),Índices!$B$7:$F$500,2,FALSE)-1</f>
        <v>0.10704236088323049</v>
      </c>
      <c r="L16" s="596"/>
      <c r="M16" s="561"/>
      <c r="O16" s="9"/>
      <c r="Q16" s="537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2" t="s">
        <v>227</v>
      </c>
      <c r="C17" s="605">
        <f>DATE(YEAR(C15),MONTH(C15)-1,1)</f>
        <v>44713</v>
      </c>
      <c r="D17" s="266"/>
      <c r="E17" s="610"/>
      <c r="F17" s="611" t="s">
        <v>670</v>
      </c>
      <c r="G17" s="612">
        <v>44755.692060185182</v>
      </c>
      <c r="H17" s="9"/>
      <c r="I17" s="375"/>
      <c r="J17" s="583" t="s">
        <v>671</v>
      </c>
      <c r="K17" s="1052">
        <f>K15/VLOOKUP(DATE(YEAR(SAS_RA0_DataInicio),MONTH(SAS_RA0_DataInicio)-1,DAY(SAS_RA0_DataInicio)),Índices!$B$7:$F$500,3,FALSE)-1</f>
        <v>0.11886869625198027</v>
      </c>
      <c r="L17" s="9"/>
      <c r="M17" s="561"/>
      <c r="O17" s="9"/>
      <c r="Q17" s="537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2" t="s">
        <v>672</v>
      </c>
      <c r="C18" s="851" t="str">
        <f ca="1">C110</f>
        <v>REVISÃO</v>
      </c>
      <c r="D18" s="266"/>
      <c r="E18" s="610"/>
      <c r="F18" s="611" t="s">
        <v>2327</v>
      </c>
      <c r="G18" s="612">
        <v>44762.680254629631</v>
      </c>
      <c r="I18" s="375"/>
      <c r="J18" s="588" t="s">
        <v>673</v>
      </c>
      <c r="K18" s="593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1"/>
      <c r="N18" s="9"/>
      <c r="O18" s="9"/>
      <c r="Q18" s="537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0"/>
      <c r="L19" s="17"/>
      <c r="M19" s="561"/>
      <c r="N19" s="9"/>
      <c r="O19" s="9"/>
      <c r="Q19" s="537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3"/>
      <c r="L20" s="17"/>
      <c r="M20" s="561"/>
      <c r="N20" s="9"/>
      <c r="O20" s="9"/>
      <c r="Q20" s="537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0"/>
      <c r="L21" s="17"/>
      <c r="M21" s="561"/>
      <c r="N21" s="9"/>
      <c r="O21" s="9"/>
      <c r="Q21" s="537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3"/>
      <c r="I22" s="375"/>
      <c r="J22" s="49"/>
      <c r="K22" s="562"/>
      <c r="L22" s="563"/>
      <c r="M22" s="561"/>
      <c r="N22" s="9"/>
      <c r="O22" s="9"/>
      <c r="Q22" s="537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2"/>
      <c r="B23" s="542" t="s">
        <v>674</v>
      </c>
      <c r="C23" s="553"/>
      <c r="D23" s="553"/>
      <c r="E23" s="554"/>
      <c r="F23" s="554"/>
      <c r="G23" s="554"/>
      <c r="H23" s="534"/>
      <c r="I23" s="535"/>
      <c r="J23" s="554"/>
      <c r="K23" s="555"/>
      <c r="L23" s="556"/>
      <c r="M23" s="557"/>
      <c r="N23" s="9"/>
      <c r="O23" s="9"/>
      <c r="Q23" s="537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3"/>
      <c r="I24" s="375"/>
      <c r="J24" s="49"/>
      <c r="K24" s="562"/>
      <c r="L24" s="563"/>
      <c r="M24" s="628"/>
      <c r="N24" s="570"/>
      <c r="O24" s="9"/>
      <c r="Q24" s="537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4"/>
      <c r="F25" s="565"/>
      <c r="G25" s="566"/>
      <c r="L25" s="563"/>
      <c r="M25" s="561"/>
      <c r="N25" s="570"/>
      <c r="O25" s="9"/>
      <c r="Q25" s="537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1" t="s">
        <v>675</v>
      </c>
      <c r="C26" s="595"/>
      <c r="D26" s="1053"/>
      <c r="E26" s="1054"/>
      <c r="F26" s="1055"/>
      <c r="G26" s="1056"/>
      <c r="H26" s="1053"/>
      <c r="I26" s="1053"/>
      <c r="J26" s="1053"/>
      <c r="K26" s="1057"/>
      <c r="L26" s="1058"/>
      <c r="M26" s="561"/>
      <c r="N26" s="570"/>
      <c r="O26" s="9"/>
      <c r="Q26" s="537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3"/>
      <c r="M27" s="561"/>
      <c r="N27" s="570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8" t="s">
        <v>676</v>
      </c>
      <c r="C28" s="1769" t="s">
        <v>2329</v>
      </c>
      <c r="D28" s="1769"/>
      <c r="E28" s="9"/>
      <c r="F28" s="594" t="s">
        <v>677</v>
      </c>
      <c r="G28" s="595"/>
      <c r="H28" s="595"/>
      <c r="I28" s="9"/>
      <c r="J28" s="594" t="s">
        <v>678</v>
      </c>
      <c r="K28" s="595"/>
      <c r="L28" s="17"/>
      <c r="M28" s="561"/>
      <c r="N28" s="570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3" t="s">
        <v>679</v>
      </c>
      <c r="G29" s="773"/>
      <c r="H29" s="1059">
        <v>8.6099999999999996E-2</v>
      </c>
      <c r="I29" s="9"/>
      <c r="J29" s="773" t="s">
        <v>680</v>
      </c>
      <c r="K29" s="1060">
        <f>BD!C26</f>
        <v>87625428.799999997</v>
      </c>
      <c r="L29" s="17"/>
      <c r="M29" s="561"/>
      <c r="N29" s="570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2" t="s">
        <v>109</v>
      </c>
      <c r="C30" s="9"/>
      <c r="D30" s="9"/>
      <c r="E30" s="9"/>
      <c r="F30" s="774" t="s">
        <v>681</v>
      </c>
      <c r="G30" s="774"/>
      <c r="H30" s="1061"/>
      <c r="I30" s="9"/>
      <c r="J30" s="583" t="s">
        <v>682</v>
      </c>
      <c r="K30" s="597">
        <f>IFERROR(VLOOKUP(LnkTXTSigla,Informacoes[],17,FALSE)*(1+K18),0)</f>
        <v>98760388.681823671</v>
      </c>
      <c r="L30" s="17"/>
      <c r="M30" s="561"/>
      <c r="O30" s="570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74" t="s">
        <v>683</v>
      </c>
      <c r="C31" s="1774"/>
      <c r="D31" s="807"/>
      <c r="E31" s="9"/>
      <c r="F31" s="1062"/>
      <c r="G31" s="1062"/>
      <c r="H31" s="1063"/>
      <c r="I31" s="9"/>
      <c r="J31" s="774" t="s">
        <v>684</v>
      </c>
      <c r="K31" s="1064">
        <f>D32+D33+D34</f>
        <v>99696064.239999995</v>
      </c>
      <c r="L31" s="17" t="s">
        <v>685</v>
      </c>
      <c r="M31" s="561" t="s">
        <v>686</v>
      </c>
      <c r="O31" s="570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65" t="s">
        <v>687</v>
      </c>
      <c r="C32" s="1065"/>
      <c r="D32" s="818">
        <v>81492905.609999999</v>
      </c>
      <c r="E32" s="9"/>
      <c r="F32" s="1066" t="s">
        <v>688</v>
      </c>
      <c r="G32" s="1067"/>
      <c r="H32" s="1067"/>
      <c r="I32" s="9"/>
      <c r="J32" s="773" t="s">
        <v>689</v>
      </c>
      <c r="K32" s="1068">
        <f ca="1">VLOOKUP(C9,Informacoes[],30,FALSE)*(VLOOKUP(DATE(AnoRefTar,MONTH(M32)-1,1),Índices!B6:F500,3,FALSE)/VLOOKUP(DATE(YEAR(M32),MONTH(L32)-1,1),Índices!B6:F500,3,FALSE))</f>
        <v>17782212.48699066</v>
      </c>
      <c r="L32" s="17">
        <f>VLOOKUP(C9,Informacoes[],31,FALSE)</f>
        <v>43209</v>
      </c>
      <c r="M32" s="848">
        <f>VLOOKUP(C9,Informacoes[],32,FALSE)</f>
        <v>43270</v>
      </c>
      <c r="O32" s="570"/>
      <c r="Q32" s="537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65" t="s">
        <v>690</v>
      </c>
      <c r="C33" s="1065"/>
      <c r="D33" s="819">
        <v>18203158.629999999</v>
      </c>
      <c r="E33" s="9"/>
      <c r="F33" s="583" t="s">
        <v>691</v>
      </c>
      <c r="G33" s="583"/>
      <c r="H33" s="499"/>
      <c r="I33" s="9"/>
      <c r="J33" s="774" t="s">
        <v>692</v>
      </c>
      <c r="K33" s="1069">
        <f ca="1">LnkTXTISubvencaoPB/12</f>
        <v>1481851.0405825551</v>
      </c>
      <c r="L33" s="17"/>
      <c r="M33" s="546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070"/>
      <c r="C34" s="1070"/>
      <c r="D34" s="1071"/>
      <c r="E34" s="9"/>
      <c r="F34" s="774" t="s">
        <v>693</v>
      </c>
      <c r="G34" s="774"/>
      <c r="H34" s="1072"/>
      <c r="I34" s="9"/>
      <c r="J34" s="773" t="s">
        <v>694</v>
      </c>
      <c r="K34" s="1073">
        <f>LinkTXTPR</f>
        <v>4.7340786396659E-2</v>
      </c>
      <c r="L34" s="17"/>
      <c r="M34" s="561"/>
      <c r="O34" s="9"/>
      <c r="Q34" s="537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074"/>
      <c r="E35" s="9"/>
      <c r="F35" s="599"/>
      <c r="G35" s="1075"/>
      <c r="H35" s="474"/>
      <c r="I35" s="9"/>
      <c r="J35" s="583" t="s">
        <v>695</v>
      </c>
      <c r="K35" s="598">
        <f ca="1">IFERROR(Energia!M20/((Energia!M5+Energia!M6-Energia!M7+Energia!N16)+Energia!M20),0)</f>
        <v>9.5497586416059252E-2</v>
      </c>
      <c r="L35" s="17"/>
      <c r="M35" s="561"/>
      <c r="O35" s="9"/>
      <c r="Q35" s="537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7"/>
      <c r="D36" s="820"/>
      <c r="E36" s="9"/>
      <c r="F36" s="599"/>
      <c r="G36" s="599"/>
      <c r="H36" s="474"/>
      <c r="I36" s="9"/>
      <c r="J36" s="774" t="s">
        <v>696</v>
      </c>
      <c r="K36" s="1076">
        <f ca="1">IFERROR(LNKTXTPercperdas,0)</f>
        <v>8.6099999999999996E-2</v>
      </c>
      <c r="L36" s="17"/>
      <c r="M36" s="561"/>
      <c r="O36" s="9"/>
      <c r="Q36" s="537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0"/>
      <c r="E37" s="9"/>
      <c r="F37" s="599"/>
      <c r="G37" s="599"/>
      <c r="H37" s="474"/>
      <c r="I37" s="9"/>
      <c r="J37" s="275"/>
      <c r="K37" s="474"/>
      <c r="L37" s="789"/>
      <c r="M37" s="569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2"/>
      <c r="B38" s="542" t="s">
        <v>697</v>
      </c>
      <c r="C38" s="553"/>
      <c r="D38" s="553"/>
      <c r="E38" s="554"/>
      <c r="F38" s="554"/>
      <c r="G38" s="554"/>
      <c r="H38" s="534"/>
      <c r="I38" s="535"/>
      <c r="J38" s="554"/>
      <c r="K38" s="555"/>
      <c r="L38" s="556"/>
      <c r="M38" s="557"/>
      <c r="O38" s="9"/>
      <c r="Q38" s="537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94" t="s">
        <v>698</v>
      </c>
      <c r="G39" s="1794"/>
      <c r="L39" s="563"/>
      <c r="M39" s="546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2" t="str">
        <f>"Valores de "&amp;YEAR(C14)</f>
        <v>Valores de 2021</v>
      </c>
      <c r="C40" s="9"/>
      <c r="D40" s="9"/>
      <c r="E40" s="9"/>
      <c r="F40" s="1795" t="s">
        <v>699</v>
      </c>
      <c r="G40" s="1795"/>
      <c r="H40" s="591"/>
      <c r="I40" s="9"/>
      <c r="J40" s="1782" t="str">
        <f ca="1">"Variação processo anterior e "&amp;AnoRevRea</f>
        <v>Variação processo anterior e 2022</v>
      </c>
      <c r="K40" s="1782"/>
      <c r="L40" s="563"/>
      <c r="M40" s="546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8" t="s">
        <v>700</v>
      </c>
      <c r="C41" s="589"/>
      <c r="D41" s="1077">
        <f>BD!C5</f>
        <v>435964.45999999996</v>
      </c>
      <c r="E41" s="9"/>
      <c r="F41" s="1786" t="s">
        <v>701</v>
      </c>
      <c r="G41" s="1786"/>
      <c r="H41" s="1078">
        <f>LinkTXTPR</f>
        <v>4.7340786396659E-2</v>
      </c>
      <c r="I41" s="9"/>
      <c r="J41" s="588" t="s">
        <v>700</v>
      </c>
      <c r="K41" s="1079">
        <f ca="1">IFERROR(Calc_Mercado!J15,0)</f>
        <v>4.1196316782330378E-3</v>
      </c>
      <c r="L41" s="563"/>
      <c r="M41" s="546"/>
      <c r="O41" s="9"/>
      <c r="Q41" s="537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3" t="s">
        <v>40</v>
      </c>
      <c r="C42" s="583"/>
      <c r="D42" s="374">
        <f>IFERROR(VLOOKUP("TFSEE",BD!$B$7:$C$16,2,FALSE),0)</f>
        <v>448320.27033288899</v>
      </c>
      <c r="E42" s="9"/>
      <c r="F42" s="1787" t="s">
        <v>702</v>
      </c>
      <c r="G42" s="1787"/>
      <c r="H42" s="592">
        <f>SUM(H43:H44)</f>
        <v>0</v>
      </c>
      <c r="I42" s="9"/>
      <c r="J42" s="583" t="s">
        <v>40</v>
      </c>
      <c r="K42" s="1079">
        <f ca="1">LnkTxtVarTFSEE</f>
        <v>9.1862420533419753E-2</v>
      </c>
      <c r="L42" s="563"/>
      <c r="M42" s="546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3" t="s">
        <v>41</v>
      </c>
      <c r="C43" s="583"/>
      <c r="D43" s="374">
        <f>IFERROR(VLOOKUP("CDE",BD!$B$7:$C$16,2,FALSE),0)</f>
        <v>24866757.67306</v>
      </c>
      <c r="E43" s="9"/>
      <c r="F43" s="1787" t="s">
        <v>703</v>
      </c>
      <c r="G43" s="1787"/>
      <c r="H43" s="592">
        <f>VLOOKUP(B2,Informacoes[#Data],25,FALSE)</f>
        <v>0</v>
      </c>
      <c r="I43" s="9"/>
      <c r="J43" s="583" t="s">
        <v>41</v>
      </c>
      <c r="K43" s="590">
        <f ca="1">LnkTxtVarCDE</f>
        <v>0.16254707511327471</v>
      </c>
      <c r="L43" s="563"/>
      <c r="M43" s="546"/>
      <c r="O43" s="9"/>
      <c r="Q43" s="537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3" t="s">
        <v>126</v>
      </c>
      <c r="C44" s="583"/>
      <c r="D44" s="374">
        <f>IFERROR(VLOOKUP("CFURH",BD!$B$7:$C$16,2,FALSE),0)</f>
        <v>0</v>
      </c>
      <c r="E44" s="9"/>
      <c r="F44" s="1783" t="s">
        <v>264</v>
      </c>
      <c r="G44" s="1783"/>
      <c r="H44" s="1080">
        <f>VLOOKUP(B2,Informacoes[#Data],26,FALSE)</f>
        <v>0</v>
      </c>
      <c r="I44" s="9"/>
      <c r="J44" s="583" t="s">
        <v>126</v>
      </c>
      <c r="K44" s="474">
        <f ca="1">Resultado!F19</f>
        <v>-1</v>
      </c>
      <c r="L44" s="563"/>
      <c r="M44" s="546"/>
      <c r="N44" s="572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3" t="s">
        <v>46</v>
      </c>
      <c r="C45" s="583"/>
      <c r="D45" s="374">
        <f>IFERROR(VLOOKUP("ESS/ERR",BD!$B$7:$C$16,2,FALSE),0)</f>
        <v>1237876.58</v>
      </c>
      <c r="E45" s="9"/>
      <c r="I45" s="376"/>
      <c r="J45" s="583" t="s">
        <v>46</v>
      </c>
      <c r="K45" s="474">
        <f ca="1">Resultado!F20</f>
        <v>8.3476117308243118</v>
      </c>
      <c r="L45" s="563"/>
      <c r="M45" s="571"/>
      <c r="N45" s="572"/>
      <c r="O45" s="9"/>
      <c r="Q45" s="537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3" t="s">
        <v>47</v>
      </c>
      <c r="C46" s="583"/>
      <c r="D46" s="374">
        <f>IFERROR(VLOOKUP("PROINFA",BD!$B$7:$C$16,2,FALSE),0)</f>
        <v>4048042.5462799999</v>
      </c>
      <c r="E46" s="9"/>
      <c r="F46" s="9"/>
      <c r="G46" s="9"/>
      <c r="H46" s="9"/>
      <c r="I46" s="400"/>
      <c r="J46" s="583" t="s">
        <v>47</v>
      </c>
      <c r="K46" s="590">
        <f ca="1">Resultado!F21</f>
        <v>0.5156127827156276</v>
      </c>
      <c r="L46" s="563"/>
      <c r="M46" s="573"/>
      <c r="N46" s="572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3" t="s">
        <v>2176</v>
      </c>
      <c r="C47" s="583"/>
      <c r="D47" s="374">
        <f>IFERROR(VLOOKUP("CDE Covid TUSD",BD!$B$7:$C$16,2,FALSE),0)</f>
        <v>6350526.4092792096</v>
      </c>
      <c r="E47" s="9"/>
      <c r="I47" s="400"/>
      <c r="J47" s="583" t="s">
        <v>48</v>
      </c>
      <c r="K47" s="474" t="str">
        <f ca="1">Resultado!F22</f>
        <v>-</v>
      </c>
      <c r="L47" s="563"/>
      <c r="M47" s="573"/>
      <c r="N47" s="572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3" t="s">
        <v>49</v>
      </c>
      <c r="C48" s="583"/>
      <c r="D48" s="374">
        <f>IFERROR(VLOOKUP("ONS",BD!$B$7:$C$16,2,FALSE),0)</f>
        <v>0</v>
      </c>
      <c r="E48" s="9"/>
      <c r="F48" s="717" t="s">
        <v>704</v>
      </c>
      <c r="G48" s="718"/>
      <c r="I48" s="400"/>
      <c r="J48" s="583" t="s">
        <v>49</v>
      </c>
      <c r="K48" s="474" t="str">
        <f ca="1">Resultado!F23</f>
        <v>-</v>
      </c>
      <c r="L48" s="563"/>
      <c r="M48" s="573"/>
      <c r="N48" s="572"/>
      <c r="O48" s="9"/>
      <c r="Q48" s="537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3" t="s">
        <v>705</v>
      </c>
      <c r="C49" s="773"/>
      <c r="D49" s="1081">
        <f>BD!C18</f>
        <v>10280640</v>
      </c>
      <c r="E49" s="9"/>
      <c r="F49" s="717" t="s">
        <v>706</v>
      </c>
      <c r="G49" s="719"/>
      <c r="I49" s="400"/>
      <c r="J49" s="773" t="s">
        <v>705</v>
      </c>
      <c r="K49" s="1079"/>
      <c r="L49" s="563"/>
      <c r="M49" s="573"/>
      <c r="N49" s="572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3" t="s">
        <v>707</v>
      </c>
      <c r="C50" s="583"/>
      <c r="D50" s="374">
        <f>BD!C19</f>
        <v>2211840</v>
      </c>
      <c r="E50" s="9"/>
      <c r="I50" s="400"/>
      <c r="J50" s="583" t="s">
        <v>707</v>
      </c>
      <c r="K50" s="590"/>
      <c r="L50" s="563"/>
      <c r="M50" s="573"/>
      <c r="N50" s="572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4" t="s">
        <v>708</v>
      </c>
      <c r="C51" s="774"/>
      <c r="D51" s="1082"/>
      <c r="E51" s="9"/>
      <c r="I51" s="9"/>
      <c r="J51" s="774" t="s">
        <v>708</v>
      </c>
      <c r="K51" s="590"/>
      <c r="L51" s="563"/>
      <c r="M51" s="573"/>
      <c r="N51" s="572"/>
      <c r="O51" s="9"/>
      <c r="Q51" s="537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8" t="s">
        <v>709</v>
      </c>
      <c r="C52" s="588"/>
      <c r="D52" s="1083">
        <f>BD!C25</f>
        <v>1022385.3548705</v>
      </c>
      <c r="E52" s="9"/>
      <c r="F52" s="9"/>
      <c r="G52" s="9"/>
      <c r="H52" s="9"/>
      <c r="I52" s="9"/>
      <c r="J52" s="588" t="s">
        <v>709</v>
      </c>
      <c r="K52" s="593">
        <f ca="1">Resultado!F32</f>
        <v>0.10217074089518463</v>
      </c>
      <c r="L52" s="563"/>
      <c r="M52" s="573"/>
      <c r="N52" s="572"/>
      <c r="O52" s="9"/>
      <c r="Q52" s="490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8" t="s">
        <v>710</v>
      </c>
      <c r="C53" s="588"/>
      <c r="D53" s="1083">
        <f>BD!C26</f>
        <v>87625428.799999997</v>
      </c>
      <c r="E53" s="9"/>
      <c r="F53" s="9"/>
      <c r="G53" s="9"/>
      <c r="H53" s="9"/>
      <c r="I53" s="9"/>
      <c r="J53" s="9"/>
      <c r="K53" s="9"/>
      <c r="L53" s="563"/>
      <c r="M53" s="573"/>
      <c r="N53" s="572"/>
      <c r="O53" s="9"/>
      <c r="Q53" s="490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3"/>
      <c r="E54" s="9"/>
      <c r="F54" s="9"/>
      <c r="G54" s="9"/>
      <c r="H54" s="9"/>
      <c r="I54" s="9"/>
      <c r="J54" s="9"/>
      <c r="K54" s="9"/>
      <c r="L54" s="563"/>
      <c r="M54" s="573"/>
      <c r="N54" s="572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2"/>
      <c r="B55" s="542" t="s">
        <v>711</v>
      </c>
      <c r="C55" s="553"/>
      <c r="D55" s="553"/>
      <c r="E55" s="554"/>
      <c r="F55" s="554"/>
      <c r="G55" s="554"/>
      <c r="H55" s="534"/>
      <c r="I55" s="535"/>
      <c r="J55" s="554"/>
      <c r="K55" s="555"/>
      <c r="L55" s="556"/>
      <c r="M55" s="557"/>
      <c r="N55" s="572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7"/>
      <c r="E56" s="49"/>
      <c r="F56" s="49"/>
      <c r="G56" s="49"/>
      <c r="H56" s="533"/>
      <c r="I56" s="375"/>
      <c r="J56" s="49"/>
      <c r="K56" s="562"/>
      <c r="L56" s="563"/>
      <c r="M56" s="559"/>
      <c r="N56" s="572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2"/>
      <c r="C57" s="9"/>
      <c r="D57" s="1084"/>
      <c r="E57" s="586"/>
      <c r="F57" s="587" t="s">
        <v>712</v>
      </c>
      <c r="G57" s="49"/>
      <c r="H57" s="533"/>
      <c r="I57" s="375"/>
      <c r="J57" s="49"/>
      <c r="K57" s="562"/>
      <c r="L57" s="563"/>
      <c r="M57" s="559"/>
      <c r="N57" s="575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085" t="s">
        <v>271</v>
      </c>
      <c r="C58" s="1086"/>
      <c r="D58" s="803">
        <f>D59/1000</f>
        <v>21220.737000000001</v>
      </c>
      <c r="E58" s="1777">
        <f>Indexador!F17</f>
        <v>213.16735529174946</v>
      </c>
      <c r="F58" s="1777"/>
      <c r="G58" s="381"/>
      <c r="L58" s="790"/>
      <c r="M58" s="574"/>
      <c r="N58" s="577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235">
        <v>21220737</v>
      </c>
      <c r="E59" s="9"/>
      <c r="F59" s="17">
        <f>IF(VLOOKUP(LnkTXTSigla,Informacoes[],33,FALSE)=0,SAS_RA0_DataFim,VLOOKUP(LnkTXTSigla,Informacoes[],33,FALSE))</f>
        <v>44713</v>
      </c>
      <c r="G59" s="381"/>
      <c r="K59" s="576"/>
      <c r="L59" s="563"/>
      <c r="N59" s="580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8"/>
      <c r="B60" s="542" t="s">
        <v>713</v>
      </c>
      <c r="C60" s="553"/>
      <c r="D60" s="554"/>
      <c r="E60" s="554"/>
      <c r="F60" s="554"/>
      <c r="G60" s="534"/>
      <c r="H60" s="535"/>
      <c r="I60" s="554"/>
      <c r="J60" s="555"/>
      <c r="K60" s="556"/>
      <c r="L60" s="791"/>
      <c r="M60" s="579"/>
      <c r="N60" s="580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1" t="s">
        <v>714</v>
      </c>
      <c r="C61" s="581"/>
      <c r="D61" s="581" t="s">
        <v>715</v>
      </c>
      <c r="L61" s="563"/>
      <c r="M61" s="769"/>
      <c r="N61" s="479"/>
      <c r="O61" s="580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6" t="s">
        <v>716</v>
      </c>
      <c r="C62" s="747" t="s">
        <v>717</v>
      </c>
      <c r="D62" s="747" t="s">
        <v>233</v>
      </c>
      <c r="E62" s="1770" t="s">
        <v>718</v>
      </c>
      <c r="F62" s="1771"/>
      <c r="G62" s="747" t="s">
        <v>719</v>
      </c>
      <c r="H62" s="748" t="s">
        <v>720</v>
      </c>
      <c r="I62" s="9"/>
      <c r="J62" s="9"/>
      <c r="K62" s="9"/>
      <c r="L62" s="17"/>
      <c r="M62" s="568"/>
      <c r="N62" s="479"/>
      <c r="O62" s="580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2">
        <f>Indexador!B34</f>
        <v>44287</v>
      </c>
      <c r="C63" s="758"/>
      <c r="D63" s="758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88"/>
      <c r="F63" s="1789"/>
      <c r="G63" s="758"/>
      <c r="H63" s="759"/>
      <c r="I63" s="9" t="s">
        <v>721</v>
      </c>
      <c r="J63" s="484"/>
      <c r="K63" s="9"/>
      <c r="L63" s="17"/>
      <c r="M63" s="568"/>
      <c r="N63" s="479"/>
      <c r="O63" s="580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3">
        <f>Indexador!B35</f>
        <v>44317</v>
      </c>
      <c r="C64" s="764"/>
      <c r="D64" s="764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90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1"/>
      <c r="G64" s="764"/>
      <c r="H64" s="750">
        <f>SUMIF(BD!$A$41:$A$57,B64,BD!$C$41:$C$57)</f>
        <v>0</v>
      </c>
      <c r="I64" s="9" t="s">
        <v>722</v>
      </c>
      <c r="J64" s="585"/>
      <c r="K64" s="9"/>
      <c r="L64" s="17"/>
      <c r="M64" s="568"/>
      <c r="N64" s="479"/>
      <c r="O64" s="580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49">
        <f>Indexador!B36</f>
        <v>44348</v>
      </c>
      <c r="C65" s="765"/>
      <c r="D65" s="765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2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3"/>
      <c r="G65" s="765">
        <f>IFERROR(VLOOKUP(B65,transmissorapiscofins[#All],2,FALSE),0)</f>
        <v>96891.56</v>
      </c>
      <c r="H65" s="772">
        <f>SUMIF(BD!$A$41:$A$57,B65,BD!$C$41:$C$57)</f>
        <v>0</v>
      </c>
      <c r="I65" s="9"/>
      <c r="J65" s="585"/>
      <c r="K65" s="9"/>
      <c r="L65" s="17"/>
      <c r="M65" s="568"/>
      <c r="N65" s="479"/>
      <c r="O65" s="580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4">
        <f>Indexador!B37</f>
        <v>44378</v>
      </c>
      <c r="C66" s="766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612710.37</v>
      </c>
      <c r="D66" s="76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4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5"/>
      <c r="G66" s="767">
        <f>IFERROR(VLOOKUP(B66,transmissorapiscofins[#All],2,FALSE),0)</f>
        <v>84634.48</v>
      </c>
      <c r="H66" s="750">
        <f>SUMIF(BD!$A$41:$A$57,B66,BD!$C$41:$C$57)</f>
        <v>0</v>
      </c>
      <c r="I66" s="9"/>
      <c r="J66" s="9"/>
      <c r="K66" s="9"/>
      <c r="L66" s="17"/>
      <c r="M66" s="568"/>
      <c r="N66" s="479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4">
        <f>Indexador!B38</f>
        <v>44409</v>
      </c>
      <c r="C67" s="766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695483.67</v>
      </c>
      <c r="D67" s="76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72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73"/>
      <c r="G67" s="766">
        <f>IFERROR(VLOOKUP(B67,transmissorapiscofins[#All],2,FALSE),0)</f>
        <v>85130.43</v>
      </c>
      <c r="H67" s="750">
        <f>SUMIF(BD!$A$41:$A$57,B67,BD!$C$41:$C$57)</f>
        <v>0</v>
      </c>
      <c r="I67" s="9"/>
      <c r="J67" s="9"/>
      <c r="K67" s="9"/>
      <c r="L67" s="17"/>
      <c r="M67" s="568"/>
      <c r="N67" s="771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4">
        <f>Indexador!B39</f>
        <v>44440</v>
      </c>
      <c r="C68" s="766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595071.27</v>
      </c>
      <c r="D68" s="76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72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73"/>
      <c r="G68" s="766">
        <f>IFERROR(VLOOKUP(B68,transmissorapiscofins[#All],2,FALSE),0)</f>
        <v>84983.35</v>
      </c>
      <c r="H68" s="750">
        <f>SUMIF(BD!$A$41:$A$57,B68,BD!$C$41:$C$57)</f>
        <v>0</v>
      </c>
      <c r="I68" s="9"/>
      <c r="J68" s="9"/>
      <c r="K68" s="9"/>
      <c r="L68" s="17"/>
      <c r="M68" s="568"/>
      <c r="N68" s="479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4">
        <f>Indexador!B40</f>
        <v>44470</v>
      </c>
      <c r="C69" s="766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559847.02</v>
      </c>
      <c r="D69" s="76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72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-7391.46</v>
      </c>
      <c r="F69" s="1773"/>
      <c r="G69" s="766">
        <f>IFERROR(VLOOKUP(B69,transmissorapiscofins[#All],2,FALSE),0)</f>
        <v>84947.28</v>
      </c>
      <c r="H69" s="750">
        <f>SUMIF(BD!$A$41:$A$57,B69,BD!$C$41:$C$57)</f>
        <v>0</v>
      </c>
      <c r="I69" s="9"/>
      <c r="J69" s="9"/>
      <c r="K69" s="9"/>
      <c r="L69" s="17"/>
      <c r="M69" s="568"/>
      <c r="N69" s="479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4">
        <f>Indexador!B41</f>
        <v>44501</v>
      </c>
      <c r="C70" s="766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509437.65</v>
      </c>
      <c r="D70" s="76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72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-7281</v>
      </c>
      <c r="F70" s="1773"/>
      <c r="G70" s="766">
        <f>IFERROR(VLOOKUP(B70,transmissorapiscofins[#All],2,FALSE),0)</f>
        <v>85179.49</v>
      </c>
      <c r="H70" s="750">
        <f>SUMIF(BD!$A$41:$A$57,B70,BD!$C$41:$C$57)</f>
        <v>0</v>
      </c>
      <c r="I70" s="9"/>
      <c r="J70" s="9"/>
      <c r="K70" s="9"/>
      <c r="L70" s="17"/>
      <c r="M70" s="568"/>
      <c r="N70" s="479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4">
        <f>Indexador!B42</f>
        <v>44531</v>
      </c>
      <c r="C71" s="766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288787.59000000003</v>
      </c>
      <c r="D71" s="76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72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73"/>
      <c r="G71" s="766">
        <f>IFERROR(VLOOKUP(B71,transmissorapiscofins[#All],2,FALSE),0)</f>
        <v>81492.41</v>
      </c>
      <c r="H71" s="750">
        <f>SUMIF(BD!$A$41:$A$57,B71,BD!$C$41:$C$57)</f>
        <v>0</v>
      </c>
      <c r="I71" s="9"/>
      <c r="J71" s="9"/>
      <c r="K71" s="9"/>
      <c r="L71" s="17"/>
      <c r="M71" s="568"/>
      <c r="N71" s="479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4">
        <f>Indexador!B43</f>
        <v>44562</v>
      </c>
      <c r="C72" s="766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210.85999999999999</v>
      </c>
      <c r="D72" s="76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72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-12774.44</v>
      </c>
      <c r="F72" s="1773"/>
      <c r="G72" s="766">
        <f>IFERROR(VLOOKUP(B72,transmissorapiscofins[#All],2,FALSE),0)</f>
        <v>81305.89</v>
      </c>
      <c r="H72" s="750">
        <f>SUMIF(BD!$A$41:$A$57,B72,BD!$C$41:$C$57)</f>
        <v>0</v>
      </c>
      <c r="J72" s="486" t="s">
        <v>723</v>
      </c>
      <c r="K72" s="486" t="s">
        <v>724</v>
      </c>
      <c r="L72" s="606" t="s">
        <v>724</v>
      </c>
      <c r="M72" s="606" t="s">
        <v>725</v>
      </c>
      <c r="N72" s="479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4">
        <f>Indexador!B44</f>
        <v>44593</v>
      </c>
      <c r="C73" s="766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1385.72</v>
      </c>
      <c r="D73" s="76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72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-6604.59</v>
      </c>
      <c r="F73" s="1773"/>
      <c r="G73" s="766">
        <f>IFERROR(VLOOKUP(B73,transmissorapiscofins[#All],2,FALSE),0)</f>
        <v>84653.4</v>
      </c>
      <c r="H73" s="750">
        <f>SUMIF(BD!$A$41:$A$57,B73,BD!$C$41:$C$57)</f>
        <v>0</v>
      </c>
      <c r="J73" s="1087" t="str">
        <f ca="1">IFERROR(VLOOKUP(TRUE,BD!D41:F56,3,FALSE),"todos os meses")</f>
        <v>todos os meses</v>
      </c>
      <c r="K73" s="1088" t="s">
        <v>726</v>
      </c>
      <c r="L73" s="1089">
        <f ca="1">IF(Energia!F23*2/3=0,0.0000001,Energia!F23*2/3)</f>
        <v>46654901.925292633</v>
      </c>
      <c r="M73" s="1090">
        <f ca="1">IFERROR(-LnkTXTBandeira/Energia!F23," ")</f>
        <v>0</v>
      </c>
      <c r="N73" s="479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4">
        <f>Indexador!B45</f>
        <v>44621</v>
      </c>
      <c r="C74" s="766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6244.14</v>
      </c>
      <c r="D74" s="76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72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73"/>
      <c r="G74" s="766">
        <f>IFERROR(VLOOKUP(B74,transmissorapiscofins[#All],2,FALSE),0)</f>
        <v>140564.63</v>
      </c>
      <c r="H74" s="750">
        <f>SUMIF(BD!$A$41:$A$57,B74,BD!$C$41:$C$57)</f>
        <v>0</v>
      </c>
      <c r="I74" s="9"/>
      <c r="J74" s="9"/>
      <c r="K74" s="9"/>
      <c r="L74" s="17"/>
      <c r="M74" s="568"/>
      <c r="N74" s="479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4">
        <f>Indexador!B46</f>
        <v>44652</v>
      </c>
      <c r="C75" s="766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6539.3</v>
      </c>
      <c r="D75" s="76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72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73"/>
      <c r="G75" s="766">
        <f>IFERROR(VLOOKUP(B75,transmissorapiscofins[#All],2,FALSE),0)</f>
        <v>92232.97</v>
      </c>
      <c r="H75" s="750">
        <f>SUMIF(BD!$A$41:$A$57,B75,BD!$C$41:$C$57)</f>
        <v>0</v>
      </c>
      <c r="I75" s="9"/>
      <c r="J75" s="9"/>
      <c r="K75" s="9"/>
      <c r="L75" s="17"/>
      <c r="M75" s="568"/>
      <c r="N75" s="479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4">
        <f>Indexador!B47</f>
        <v>44682</v>
      </c>
      <c r="C76" s="766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5265.1</v>
      </c>
      <c r="D76" s="76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72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73"/>
      <c r="G76" s="766">
        <f>IFERROR(VLOOKUP(B76,transmissorapiscofins[#All],2,FALSE),0)</f>
        <v>82638.86</v>
      </c>
      <c r="H76" s="750">
        <f>SUMIF(BD!$A$41:$A$57,B76,BD!$C$41:$C$57)</f>
        <v>0</v>
      </c>
      <c r="I76" s="9"/>
      <c r="J76" s="9"/>
      <c r="K76" s="9"/>
      <c r="L76" s="17"/>
      <c r="M76" s="568"/>
      <c r="N76" s="479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5">
        <f>Indexador!B48</f>
        <v>44713</v>
      </c>
      <c r="C77" s="768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78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75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76"/>
      <c r="G77" s="878">
        <f>IFERROR(VLOOKUP(B77,transmissorapiscofins[#All],2,FALSE),0)</f>
        <v>0</v>
      </c>
      <c r="H77" s="868">
        <v>0</v>
      </c>
      <c r="I77" s="584">
        <f>SUM(D65:D76)+D76</f>
        <v>0</v>
      </c>
      <c r="J77" s="9"/>
      <c r="K77" s="9"/>
      <c r="L77" s="17"/>
      <c r="M77" s="568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4"/>
      <c r="K78" s="9"/>
      <c r="L78" s="17"/>
      <c r="M78" s="546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0"/>
      <c r="G79" s="531"/>
      <c r="H79" s="532"/>
      <c r="I79" s="526"/>
      <c r="J79" s="526"/>
      <c r="K79" s="527"/>
      <c r="L79" s="792"/>
      <c r="M79" s="770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8"/>
      <c r="B80" s="542" t="s">
        <v>727</v>
      </c>
      <c r="C80" s="553"/>
      <c r="D80" s="554"/>
      <c r="E80" s="554"/>
      <c r="F80" s="554"/>
      <c r="G80" s="534"/>
      <c r="H80" s="535"/>
      <c r="I80" s="554"/>
      <c r="J80" s="555"/>
      <c r="K80" s="556"/>
      <c r="L80" s="791"/>
      <c r="M80" s="579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3"/>
      <c r="M81" s="546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8" t="s">
        <v>728</v>
      </c>
      <c r="C82" s="1091" t="str">
        <f>H5</f>
        <v xml:space="preserve"> 48500.004968/2021-33</v>
      </c>
      <c r="D82" s="1092"/>
      <c r="E82" s="1092"/>
      <c r="F82" s="1092"/>
      <c r="H82" s="567"/>
      <c r="L82" s="563"/>
      <c r="M82" s="546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3" t="s">
        <v>729</v>
      </c>
      <c r="C83" s="1093">
        <f>VLOOKUP(LnkTXTSigla,Informacoes[],23,FALSE)</f>
        <v>2916</v>
      </c>
      <c r="D83" s="1094"/>
      <c r="E83" s="1094"/>
      <c r="F83" s="1094"/>
      <c r="G83" s="381"/>
      <c r="H83" s="567"/>
      <c r="I83" s="786"/>
      <c r="L83" s="563"/>
      <c r="M83" s="546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3" t="s">
        <v>730</v>
      </c>
      <c r="C84" s="617" t="str">
        <f>'Informações Gerais'!X49</f>
        <v>27 de abril de 2021</v>
      </c>
      <c r="D84" s="538"/>
      <c r="E84" s="538"/>
      <c r="F84" s="538"/>
      <c r="G84" s="381"/>
      <c r="H84" s="567"/>
      <c r="L84" s="563"/>
      <c r="M84" s="546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3" t="s">
        <v>731</v>
      </c>
      <c r="C85" s="1095"/>
      <c r="D85" s="1096"/>
      <c r="E85" s="1096"/>
      <c r="F85" s="1096"/>
      <c r="G85" s="381"/>
      <c r="H85" s="567"/>
      <c r="L85" s="563"/>
      <c r="M85" s="546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3" t="s">
        <v>732</v>
      </c>
      <c r="C86" s="661"/>
      <c r="D86" s="662"/>
      <c r="E86" s="662"/>
      <c r="F86" s="662"/>
      <c r="G86" s="381"/>
      <c r="H86" s="567"/>
      <c r="L86" s="563"/>
      <c r="M86" s="546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4" t="s">
        <v>733</v>
      </c>
      <c r="C87" s="1097"/>
      <c r="D87" s="1098"/>
      <c r="E87" s="1098"/>
      <c r="F87" s="1098"/>
      <c r="G87" s="381"/>
      <c r="H87" s="567"/>
      <c r="L87" s="563"/>
      <c r="M87" s="546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3" t="s">
        <v>734</v>
      </c>
      <c r="C88" s="619" t="str">
        <f>VLOOKUP(LnkTXTSigla,Informacoes[],20,FALSE)</f>
        <v>33/2010</v>
      </c>
      <c r="D88" s="539"/>
      <c r="E88" s="539"/>
      <c r="F88" s="539"/>
      <c r="G88" s="381"/>
      <c r="H88" s="567"/>
      <c r="L88" s="563"/>
      <c r="M88" s="546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3" t="s">
        <v>735</v>
      </c>
      <c r="C89" s="619" t="str">
        <f>VLOOKUP(LnkTXTSigla,Informacoes[],21,FALSE)</f>
        <v>31 de maio de 2010</v>
      </c>
      <c r="D89" s="620"/>
      <c r="E89" s="539"/>
      <c r="F89" s="538"/>
      <c r="H89" s="567"/>
      <c r="L89" s="563"/>
      <c r="M89" s="546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3" t="s">
        <v>736</v>
      </c>
      <c r="C90" s="621" t="str">
        <f>Q3</f>
        <v>Cooperativa de Distribuição de Energia Teutônia</v>
      </c>
      <c r="D90" s="539"/>
      <c r="E90" s="539"/>
      <c r="F90" s="539"/>
      <c r="H90" s="567"/>
      <c r="L90" s="563"/>
      <c r="M90" s="546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3" t="s">
        <v>737</v>
      </c>
      <c r="C91" s="621" t="str">
        <f>C9</f>
        <v>Certel</v>
      </c>
      <c r="D91" s="539"/>
      <c r="E91" s="540"/>
      <c r="F91" s="539"/>
      <c r="H91" s="786"/>
      <c r="L91" s="563"/>
      <c r="M91" s="546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3" t="s">
        <v>738</v>
      </c>
      <c r="C92" s="619" t="str">
        <f>D92&amp;" - "&amp;E92</f>
        <v>Teutônia - RS</v>
      </c>
      <c r="D92" s="541" t="str">
        <f>VLOOKUP(LnkTXTSigla,Informacoes[],6,FALSE)</f>
        <v>Teutônia</v>
      </c>
      <c r="E92" s="541" t="str">
        <f>VLOOKUP(LnkTXTSigla,Informacoes[],7,FALSE)</f>
        <v>RS</v>
      </c>
      <c r="F92" s="539"/>
      <c r="L92" s="563"/>
      <c r="M92" s="546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3" t="s">
        <v>739</v>
      </c>
      <c r="C93" s="622"/>
      <c r="D93" s="539"/>
      <c r="E93" s="539"/>
      <c r="F93" s="539"/>
      <c r="L93" s="563"/>
      <c r="M93" s="546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3" t="s">
        <v>740</v>
      </c>
      <c r="C94" s="621">
        <f>DataRevRea</f>
        <v>44772</v>
      </c>
      <c r="D94" s="539"/>
      <c r="E94" s="539">
        <f>DATE(YEAR(DataRevRea)+1,MONTH(DataRevRea)-1,1)</f>
        <v>45078</v>
      </c>
      <c r="F94" s="539"/>
      <c r="L94" s="563"/>
      <c r="M94" s="546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3" t="s">
        <v>741</v>
      </c>
      <c r="C95" s="623" t="str">
        <f>TEXT(E95,"mmmm")&amp;" de "&amp;TEXT(E95,"aaaa")&amp; " a "&amp;TEXT(E94,"mmmm")&amp;" de "&amp;TEXT(E94,"aaaa")</f>
        <v>julho de 2022 a junho de 2023</v>
      </c>
      <c r="D95" s="539"/>
      <c r="E95" s="539">
        <f>DATE(YEAR(DataRevRea),MONTH(DataRevRea),DAY(DataRevRea))</f>
        <v>44772</v>
      </c>
      <c r="F95" s="539"/>
      <c r="L95" s="563"/>
      <c r="M95" s="546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3" t="s">
        <v>742</v>
      </c>
      <c r="C96" s="622">
        <f>C94</f>
        <v>44772</v>
      </c>
      <c r="D96" s="624"/>
      <c r="E96" s="539"/>
      <c r="F96" s="539"/>
      <c r="L96" s="563"/>
      <c r="M96" s="546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3" t="s">
        <v>227</v>
      </c>
      <c r="C97" s="625">
        <f>DATE(YEAR(DataRevRea)+1,MONTH(DataRevRea),DAY(DataRevRea)-1)</f>
        <v>45136</v>
      </c>
      <c r="D97" s="624"/>
      <c r="E97" s="539"/>
      <c r="F97" s="539"/>
      <c r="L97" s="563"/>
      <c r="M97" s="546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3" t="s">
        <v>743</v>
      </c>
      <c r="C98" s="625" t="str">
        <f>TEXT(C14,"mmmm")&amp;" de "&amp;TEXT(C14,"aaaa")&amp; " a "&amp;TEXT(C17,"mmmm")&amp;" de "&amp;TEXT(C17,"aaaa")</f>
        <v>julho de 2021 a junho de 2022</v>
      </c>
      <c r="D98" s="539"/>
      <c r="E98" s="539"/>
      <c r="F98" s="539"/>
      <c r="L98" s="563"/>
      <c r="M98" s="546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3" t="s">
        <v>744</v>
      </c>
      <c r="C99" s="618">
        <f ca="1">IF(P1="verdadeiro",K36,H41)</f>
        <v>8.6099999999999996E-2</v>
      </c>
      <c r="D99" s="539"/>
      <c r="E99" s="539"/>
      <c r="F99" s="539"/>
      <c r="I99" s="567"/>
      <c r="L99" s="563"/>
      <c r="M99" s="546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3" t="s">
        <v>702</v>
      </c>
      <c r="C100" s="618">
        <f>H42</f>
        <v>0</v>
      </c>
      <c r="D100" s="539"/>
      <c r="E100" s="539"/>
      <c r="F100" s="539"/>
      <c r="L100" s="563"/>
      <c r="M100" s="546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3" t="s">
        <v>745</v>
      </c>
      <c r="C101" s="618">
        <f>LnkTXTIPCA-C100</f>
        <v>0.11886869625198027</v>
      </c>
      <c r="D101" s="539"/>
      <c r="E101" s="539"/>
      <c r="F101" s="539"/>
      <c r="L101" s="563"/>
      <c r="M101" s="546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3" t="s">
        <v>746</v>
      </c>
      <c r="C102" s="626">
        <f ca="1">Resultado!D33</f>
        <v>69982352.887938946</v>
      </c>
      <c r="D102" s="539"/>
      <c r="E102" s="539"/>
      <c r="F102" s="539"/>
      <c r="L102" s="563"/>
      <c r="M102" s="546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3" t="s">
        <v>747</v>
      </c>
      <c r="C103" s="626">
        <f>Resultado!D32</f>
        <v>1157274.8109167996</v>
      </c>
      <c r="D103" s="539"/>
      <c r="E103" s="539"/>
      <c r="F103" s="539"/>
      <c r="L103" s="563"/>
      <c r="M103" s="546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3" t="s">
        <v>748</v>
      </c>
      <c r="C104" s="626">
        <f>SUM(Resultado!D25:D29)</f>
        <v>17033280</v>
      </c>
      <c r="D104" s="539"/>
      <c r="E104" s="539"/>
      <c r="F104" s="539"/>
      <c r="H104" s="582"/>
      <c r="I104" s="582"/>
      <c r="L104" s="563"/>
      <c r="M104" s="546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3" t="s">
        <v>749</v>
      </c>
      <c r="C105" s="626">
        <f>Resultado!D31</f>
        <v>1146889.5423490694</v>
      </c>
      <c r="D105" s="539"/>
      <c r="E105" s="539"/>
      <c r="F105" s="539"/>
      <c r="L105" s="563"/>
      <c r="M105" s="546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3" t="s">
        <v>750</v>
      </c>
      <c r="C106" s="627">
        <f>ROUND(Calc_Mercado!J18/1000,0)</f>
        <v>72</v>
      </c>
      <c r="D106" s="539"/>
      <c r="E106" s="539"/>
      <c r="F106" s="539"/>
      <c r="L106" s="563"/>
      <c r="M106" s="546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3" t="s">
        <v>751</v>
      </c>
      <c r="C107" s="627">
        <f ca="1">ROUND(Mercado_RA0_Reais/1000000,0)</f>
        <v>211</v>
      </c>
      <c r="D107" s="539"/>
      <c r="E107" s="539"/>
      <c r="F107" s="539"/>
      <c r="L107" s="563"/>
      <c r="M107" s="546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3" t="s">
        <v>247</v>
      </c>
      <c r="C108" s="627" t="str">
        <f>VLOOKUP(LnkTXTSigla,Informacoes[],9,FALSE)</f>
        <v>RGE</v>
      </c>
      <c r="D108" s="539"/>
      <c r="E108" s="539">
        <f>VLOOKUP(LnkTXTSigla,Informacoes[],11,FALSE)</f>
        <v>0</v>
      </c>
      <c r="F108" s="539"/>
      <c r="L108" s="563"/>
      <c r="M108" s="546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4" t="s">
        <v>249</v>
      </c>
      <c r="C109" s="1099" t="str">
        <f>IF(E109=0,"!vazio!"," e "&amp;E109)</f>
        <v>!vazio!</v>
      </c>
      <c r="D109" s="1100" t="str">
        <f>IF(Energia!B29=Energia!B28,IF(Energia!B30=Energia!B28,Energia!B31,Energia!B29),Energia!B29)</f>
        <v>RGE SUL DISTRIBUIDORA DE ENERGIA S.A.</v>
      </c>
      <c r="E109" s="1100">
        <f>VLOOKUP(LnkTXTSigla,Informacoes[],11,FALSE)</f>
        <v>0</v>
      </c>
      <c r="F109" s="1100"/>
      <c r="L109" s="563"/>
      <c r="M109" s="546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4" t="s">
        <v>752</v>
      </c>
      <c r="C110" s="1099" t="str">
        <f ca="1">IF(AnoRevRea=VLOOKUP(LnkTXTSigla,Informacoes[],22,FALSE),"REVISÃO","REAJUSTE")</f>
        <v>REVISÃO</v>
      </c>
      <c r="D110" s="1100"/>
      <c r="E110" s="1100"/>
      <c r="F110" s="1100"/>
      <c r="L110" s="563"/>
      <c r="M110" s="546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4" t="s">
        <v>753</v>
      </c>
      <c r="C111" s="1099" t="str">
        <f ca="1">IF(C110="Reajuste", "Reajuste Tarifário Anual - RTA", "Revisão Tarifária Periódica - RTP")</f>
        <v>Revisão Tarifária Periódica - RTP</v>
      </c>
      <c r="D111" s="1099"/>
      <c r="E111" s="1099"/>
      <c r="F111" s="1099"/>
      <c r="L111" s="563"/>
      <c r="M111" s="546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4" t="s">
        <v>754</v>
      </c>
      <c r="C112" s="778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8"/>
      <c r="E112" s="778"/>
      <c r="F112" s="778"/>
      <c r="L112" s="563"/>
      <c r="M112" s="546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3" t="s">
        <v>755</v>
      </c>
      <c r="C113" s="776" t="str">
        <f>VLOOKUP(C9,Informacoes[],37,FALSE)</f>
        <v>Não</v>
      </c>
      <c r="D113" s="776"/>
      <c r="E113" s="776"/>
      <c r="F113" s="776"/>
      <c r="L113" s="563"/>
      <c r="M113" s="546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4" t="s">
        <v>756</v>
      </c>
      <c r="C114" s="777">
        <f>VLOOKUP(C9,Informacoes[],38,FALSE)</f>
        <v>0</v>
      </c>
      <c r="D114" s="777"/>
      <c r="E114" s="777"/>
      <c r="F114" s="777"/>
      <c r="L114" s="563"/>
      <c r="M114" s="546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3"/>
      <c r="M115" s="546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3"/>
      <c r="M116" s="546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3"/>
      <c r="M117" s="546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757</v>
      </c>
      <c r="C118" s="231"/>
      <c r="L118" s="563"/>
      <c r="M118" s="546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01" t="s">
        <v>239</v>
      </c>
      <c r="C119" s="1101" t="s">
        <v>239</v>
      </c>
      <c r="L119" s="563"/>
      <c r="M119" s="546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02" t="str">
        <f>LnkTXTSigla</f>
        <v>Certel</v>
      </c>
      <c r="C120" s="1103" t="str">
        <f>LnkTXTSuprid1</f>
        <v>RGE</v>
      </c>
      <c r="L120" s="563"/>
      <c r="M120" s="546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3"/>
      <c r="M121" s="546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3"/>
      <c r="M122" s="546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3"/>
      <c r="M123" s="546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3"/>
      <c r="M124" s="546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3"/>
      <c r="M125" s="546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3"/>
      <c r="M126" s="546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3"/>
      <c r="M127" s="546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3"/>
      <c r="M128" s="546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6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6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6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6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6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6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6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6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6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6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6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6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6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6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6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6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6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6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6"/>
    </row>
    <row r="148" spans="13:84">
      <c r="M148" s="546"/>
    </row>
    <row r="149" spans="13:84">
      <c r="M149" s="546"/>
    </row>
    <row r="150" spans="13:84">
      <c r="M150" s="546"/>
    </row>
    <row r="151" spans="13:84">
      <c r="M151" s="546"/>
    </row>
    <row r="152" spans="13:84">
      <c r="M152" s="546"/>
    </row>
    <row r="153" spans="13:84">
      <c r="M153" s="546"/>
    </row>
    <row r="154" spans="13:84">
      <c r="M154" s="546"/>
    </row>
    <row r="155" spans="13:84">
      <c r="M155" s="546"/>
    </row>
    <row r="156" spans="13:84">
      <c r="M156" s="546"/>
    </row>
    <row r="157" spans="13:84">
      <c r="M157" s="546"/>
    </row>
    <row r="158" spans="13:84">
      <c r="M158" s="546"/>
    </row>
    <row r="159" spans="13:84">
      <c r="M159" s="546"/>
    </row>
    <row r="160" spans="13:84">
      <c r="M160" s="546"/>
    </row>
    <row r="161" spans="13:13">
      <c r="M161" s="546"/>
    </row>
    <row r="162" spans="13:13">
      <c r="M162" s="546"/>
    </row>
    <row r="163" spans="13:13">
      <c r="M163" s="546"/>
    </row>
    <row r="164" spans="13:13">
      <c r="M164" s="546"/>
    </row>
    <row r="165" spans="13:13">
      <c r="M165" s="546"/>
    </row>
    <row r="166" spans="13:13">
      <c r="M166" s="546"/>
    </row>
    <row r="167" spans="13:13">
      <c r="M167" s="546"/>
    </row>
    <row r="168" spans="13:13">
      <c r="M168" s="546"/>
    </row>
    <row r="169" spans="13:13">
      <c r="M169" s="546"/>
    </row>
    <row r="170" spans="13:13">
      <c r="M170" s="546"/>
    </row>
    <row r="171" spans="13:13">
      <c r="M171" s="546"/>
    </row>
    <row r="172" spans="13:13">
      <c r="M172" s="546"/>
    </row>
    <row r="173" spans="13:13">
      <c r="M173" s="546"/>
    </row>
    <row r="174" spans="13:13">
      <c r="M174" s="546"/>
    </row>
    <row r="175" spans="13:13">
      <c r="M175" s="546"/>
    </row>
    <row r="176" spans="13:13">
      <c r="M176" s="546"/>
    </row>
    <row r="177" spans="13:13">
      <c r="M177" s="546"/>
    </row>
    <row r="178" spans="13:13">
      <c r="M178" s="546"/>
    </row>
    <row r="179" spans="13:13">
      <c r="M179" s="546"/>
    </row>
    <row r="180" spans="13:13">
      <c r="M180" s="546"/>
    </row>
    <row r="181" spans="13:13">
      <c r="M181" s="546"/>
    </row>
    <row r="182" spans="13:13">
      <c r="M182" s="546"/>
    </row>
    <row r="183" spans="13:13">
      <c r="M183" s="546"/>
    </row>
    <row r="184" spans="13:13">
      <c r="M184" s="546"/>
    </row>
    <row r="185" spans="13:13">
      <c r="M185" s="546"/>
    </row>
    <row r="186" spans="13:13">
      <c r="M186" s="546"/>
    </row>
  </sheetData>
  <dataConsolidate function="product" link="1">
    <dataRefs count="1">
      <dataRef ref="H66:H69" sheet="CAPA"/>
    </dataRefs>
  </dataConsolidate>
  <mergeCells count="28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5" priority="116" operator="containsText" text="Cuidado">
      <formula>NOT(ISERROR(SEARCH("Cuidado",I46)))</formula>
    </cfRule>
  </conditionalFormatting>
  <conditionalFormatting sqref="B30:D34 F28:H34 J28:K31 J34:K36">
    <cfRule type="expression" dxfId="454" priority="58">
      <formula>$P$1="FALSO"</formula>
    </cfRule>
  </conditionalFormatting>
  <conditionalFormatting sqref="F41">
    <cfRule type="expression" dxfId="453" priority="52">
      <formula>$P$1="VERDADEIRO"</formula>
    </cfRule>
  </conditionalFormatting>
  <conditionalFormatting sqref="F42">
    <cfRule type="expression" dxfId="452" priority="48">
      <formula>$P$1="VERDADEIRO"</formula>
    </cfRule>
  </conditionalFormatting>
  <conditionalFormatting sqref="H41">
    <cfRule type="expression" dxfId="451" priority="39">
      <formula>$P$1="VERDADEIRO"</formula>
    </cfRule>
  </conditionalFormatting>
  <conditionalFormatting sqref="H42">
    <cfRule type="expression" dxfId="450" priority="38">
      <formula>$P$1="VERDADEIRO"</formula>
    </cfRule>
  </conditionalFormatting>
  <conditionalFormatting sqref="H40">
    <cfRule type="expression" dxfId="449" priority="37">
      <formula>$P$1="VERDADEIRO"</formula>
    </cfRule>
  </conditionalFormatting>
  <conditionalFormatting sqref="F43:F44">
    <cfRule type="expression" dxfId="448" priority="36">
      <formula>$P$1="VERDADEIRO"</formula>
    </cfRule>
  </conditionalFormatting>
  <conditionalFormatting sqref="H43:H44">
    <cfRule type="expression" dxfId="447" priority="33">
      <formula>$P$1="VERDADEIRO"</formula>
    </cfRule>
  </conditionalFormatting>
  <conditionalFormatting sqref="B26">
    <cfRule type="expression" dxfId="446" priority="32">
      <formula>$P$1="FALSO"</formula>
    </cfRule>
  </conditionalFormatting>
  <conditionalFormatting sqref="C26">
    <cfRule type="expression" dxfId="445" priority="31">
      <formula>$P$1="FALSO"</formula>
    </cfRule>
  </conditionalFormatting>
  <conditionalFormatting sqref="F39">
    <cfRule type="expression" dxfId="444" priority="29">
      <formula>$P$1="VERDADEIRO"</formula>
    </cfRule>
  </conditionalFormatting>
  <conditionalFormatting sqref="F40">
    <cfRule type="expression" dxfId="443" priority="28">
      <formula>$P$1="VERDADEIRO"</formula>
    </cfRule>
  </conditionalFormatting>
  <conditionalFormatting sqref="H63:H77">
    <cfRule type="expression" dxfId="442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B1" zoomScale="70" zoomScaleNormal="70" workbookViewId="0">
      <selection activeCell="J74" sqref="J74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4" width="22.5703125" style="68" bestFit="1" customWidth="1"/>
    <col min="5" max="5" width="14.85546875" style="68" bestFit="1" customWidth="1"/>
    <col min="6" max="6" width="15.5703125" style="68" bestFit="1" customWidth="1"/>
    <col min="7" max="7" width="15.85546875" style="68" bestFit="1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04" t="s">
        <v>758</v>
      </c>
      <c r="C1" s="1105"/>
      <c r="D1" s="70"/>
      <c r="E1" s="70"/>
      <c r="F1" s="70"/>
      <c r="G1" s="75"/>
    </row>
    <row r="2" spans="1:15" ht="16.5">
      <c r="A2" s="139"/>
      <c r="B2" s="636" t="str">
        <f ca="1">CAPA!C9&amp; " - " &amp;CAPA!C110&amp;" "&amp;AnoRefTar</f>
        <v>Certel - REVISÃO 2022</v>
      </c>
      <c r="C2" s="70"/>
      <c r="D2" s="70"/>
      <c r="E2" s="70"/>
      <c r="F2" s="70"/>
      <c r="G2" s="75"/>
      <c r="H2" s="381" t="s">
        <v>759</v>
      </c>
      <c r="I2" s="687">
        <v>44762.684004629627</v>
      </c>
      <c r="K2" s="722" t="s">
        <v>760</v>
      </c>
      <c r="L2" s="723"/>
    </row>
    <row r="3" spans="1:15" ht="16.5" customHeight="1">
      <c r="A3" s="139"/>
      <c r="B3" s="1012" t="s">
        <v>761</v>
      </c>
      <c r="C3" s="822"/>
      <c r="D3" s="75"/>
      <c r="E3" s="75"/>
      <c r="F3" s="75"/>
      <c r="G3" s="75"/>
      <c r="H3" s="688" t="s">
        <v>762</v>
      </c>
      <c r="I3" s="688">
        <v>13</v>
      </c>
      <c r="K3" s="724" t="s">
        <v>763</v>
      </c>
      <c r="L3" s="685">
        <v>0.13979568405964571</v>
      </c>
    </row>
    <row r="4" spans="1:15" ht="16.5">
      <c r="A4" s="139"/>
      <c r="G4" s="75"/>
      <c r="J4" s="9"/>
      <c r="K4" s="724" t="s">
        <v>764</v>
      </c>
      <c r="L4" s="685">
        <v>0.16697603700267138</v>
      </c>
    </row>
    <row r="5" spans="1:15" ht="16.5" customHeight="1">
      <c r="A5" s="139"/>
      <c r="B5" s="1106" t="s">
        <v>765</v>
      </c>
      <c r="C5" s="1107">
        <f ca="1">D39+D34</f>
        <v>241629123.93533608</v>
      </c>
      <c r="D5" s="144"/>
      <c r="E5" s="79"/>
      <c r="G5" s="75"/>
      <c r="H5" s="686"/>
      <c r="J5" s="275"/>
      <c r="K5" s="725" t="s">
        <v>766</v>
      </c>
      <c r="L5" s="693">
        <v>0.15841300794861213</v>
      </c>
    </row>
    <row r="6" spans="1:15" ht="16.5" customHeight="1">
      <c r="A6" s="139"/>
      <c r="B6" s="76" t="s">
        <v>767</v>
      </c>
      <c r="C6" s="77">
        <f ca="1">Mercado_RA0_Reais</f>
        <v>211021808.17335004</v>
      </c>
      <c r="D6" s="77"/>
      <c r="E6" s="483"/>
      <c r="F6" s="1765"/>
      <c r="G6" s="140"/>
      <c r="H6" s="81"/>
      <c r="J6" s="275"/>
      <c r="K6" s="726" t="s">
        <v>768</v>
      </c>
      <c r="L6" s="727">
        <v>582.96</v>
      </c>
      <c r="M6" s="79"/>
    </row>
    <row r="7" spans="1:15" ht="16.5" customHeight="1">
      <c r="A7" s="139"/>
      <c r="B7" s="1108" t="str">
        <f>IF(CAPA!P1="FALSO","IRT Economico","Variação econômica")</f>
        <v>Variação econômica</v>
      </c>
      <c r="C7" s="1109">
        <f ca="1">ROUND((C5/C6-1),4)</f>
        <v>0.14499999999999999</v>
      </c>
      <c r="D7" s="500"/>
      <c r="E7" s="75"/>
      <c r="F7" s="75"/>
      <c r="G7" s="75"/>
      <c r="H7" s="81"/>
      <c r="K7" s="49" t="s">
        <v>769</v>
      </c>
      <c r="L7" s="985">
        <f>L6/'Tabelas e Gráficos'!U39-1</f>
        <v>0.14555208394741515</v>
      </c>
    </row>
    <row r="8" spans="1:15" ht="16.5" customHeight="1">
      <c r="A8" s="139"/>
      <c r="B8" s="78" t="s">
        <v>770</v>
      </c>
      <c r="C8" s="257">
        <f ca="1">ROUND(Financeiros!E7,4)</f>
        <v>-6.9000000000000006E-2</v>
      </c>
      <c r="D8" s="501"/>
      <c r="E8" s="75"/>
      <c r="F8" s="498"/>
      <c r="G8" s="75"/>
      <c r="H8" s="81"/>
      <c r="K8" s="728" t="s">
        <v>771</v>
      </c>
      <c r="L8" s="729" t="s">
        <v>2181</v>
      </c>
      <c r="M8" s="689" t="s">
        <v>773</v>
      </c>
    </row>
    <row r="9" spans="1:15" ht="16.5" customHeight="1">
      <c r="A9" s="139"/>
      <c r="B9" s="1110" t="str">
        <f>IF(CAPA!P1="FALSO","IRT Economico e Financeiro","Variação econômica e financeira")</f>
        <v>Variação econômica e financeira</v>
      </c>
      <c r="C9" s="1111">
        <f ca="1">ROUND((C7+C8),5)</f>
        <v>7.5999999999999998E-2</v>
      </c>
      <c r="D9" s="500"/>
      <c r="E9" s="500"/>
      <c r="F9" s="75"/>
      <c r="G9" s="75"/>
      <c r="K9" s="724" t="s">
        <v>774</v>
      </c>
      <c r="L9" s="730">
        <f>Aj.Subsídio!G28*12</f>
        <v>439063.32</v>
      </c>
      <c r="M9" s="730">
        <v>3639189.4347243891</v>
      </c>
    </row>
    <row r="10" spans="1:15" ht="16.5" customHeight="1">
      <c r="A10" s="139"/>
      <c r="B10" s="1110" t="s">
        <v>775</v>
      </c>
      <c r="C10" s="1111">
        <f ca="1">ROUND((LnkTXTEfeito-LnkTXTIRTTotal),4)</f>
        <v>8.2400000000000001E-2</v>
      </c>
      <c r="D10" s="733">
        <f ca="1">LnKTxTRA1+Financeiros!D5</f>
        <v>227072808.23641744</v>
      </c>
      <c r="E10" s="75"/>
      <c r="F10" s="75"/>
      <c r="G10" s="75"/>
      <c r="K10" s="724" t="s">
        <v>776</v>
      </c>
      <c r="L10" s="730">
        <f>Aj.Subsídio!G29*12</f>
        <v>160434.96</v>
      </c>
      <c r="M10" s="730">
        <v>252333.72190015638</v>
      </c>
    </row>
    <row r="11" spans="1:15" ht="16.5" customHeight="1">
      <c r="A11" s="139"/>
      <c r="B11" s="1012" t="s">
        <v>777</v>
      </c>
      <c r="C11" s="822"/>
      <c r="D11" s="1112"/>
      <c r="E11" s="1112"/>
      <c r="F11" s="1112"/>
      <c r="G11" s="75"/>
      <c r="K11" s="724" t="s">
        <v>778</v>
      </c>
      <c r="L11" s="730">
        <f>Aj.Subsídio!G30*12</f>
        <v>754124.04</v>
      </c>
      <c r="M11" s="730">
        <v>0</v>
      </c>
    </row>
    <row r="12" spans="1:15" ht="16.5" customHeight="1">
      <c r="E12" s="1113"/>
      <c r="F12" s="1113"/>
      <c r="K12" s="724" t="s">
        <v>779</v>
      </c>
      <c r="L12" s="730">
        <f>Aj.Subsídio!G31*12</f>
        <v>221646.48</v>
      </c>
      <c r="M12" s="730">
        <v>137181.29800430051</v>
      </c>
      <c r="O12" s="893"/>
    </row>
    <row r="13" spans="1:15" ht="15" customHeight="1">
      <c r="B13" s="1114"/>
      <c r="C13" s="1115" t="s">
        <v>772</v>
      </c>
      <c r="D13" s="1116" t="s">
        <v>773</v>
      </c>
      <c r="E13" s="1115" t="s">
        <v>780</v>
      </c>
      <c r="F13" s="1114" t="s">
        <v>781</v>
      </c>
      <c r="K13" s="724" t="s">
        <v>782</v>
      </c>
      <c r="L13" s="730">
        <f>Aj.Subsídio!G32*12</f>
        <v>4983980.04</v>
      </c>
      <c r="M13" s="730">
        <v>2814830.7615982434</v>
      </c>
      <c r="O13" s="893"/>
    </row>
    <row r="14" spans="1:15" ht="14.25">
      <c r="B14" s="1117" t="s">
        <v>783</v>
      </c>
      <c r="C14" s="1118">
        <f ca="1">SUM(C15:C23)</f>
        <v>43311502.991986528</v>
      </c>
      <c r="D14" s="1119">
        <f ca="1">SUM(D15:D23)</f>
        <v>53548938.012307599</v>
      </c>
      <c r="E14" s="1120">
        <f t="shared" ref="E14:E34" ca="1" si="0">(D14-C14)/LnkTXTRA0</f>
        <v>4.8513635196942448E-2</v>
      </c>
      <c r="F14" s="1121">
        <f ca="1">IF(ISERROR(D14/C14-1),"-",D14/C14-1)</f>
        <v>0.23636757704333644</v>
      </c>
      <c r="G14" s="292"/>
      <c r="H14" s="843"/>
      <c r="I14" s="142"/>
      <c r="K14" s="724" t="s">
        <v>784</v>
      </c>
      <c r="L14" s="730">
        <f>Aj.Subsídio!G33*12</f>
        <v>1163.4000000000001</v>
      </c>
      <c r="M14" s="730">
        <v>2142.9406071973804</v>
      </c>
      <c r="O14" s="893"/>
    </row>
    <row r="15" spans="1:15" ht="14.25" hidden="1">
      <c r="B15" s="78" t="s">
        <v>785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H15" s="843"/>
      <c r="I15" s="142"/>
      <c r="K15" s="49"/>
      <c r="L15" s="855"/>
      <c r="M15" s="49"/>
    </row>
    <row r="16" spans="1:15" ht="14.25" hidden="1">
      <c r="B16" s="78" t="s">
        <v>786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H16" s="843"/>
      <c r="I16" s="142"/>
      <c r="L16" s="855"/>
    </row>
    <row r="17" spans="2:14" ht="14.25">
      <c r="B17" s="78" t="s">
        <v>787</v>
      </c>
      <c r="C17" s="225">
        <f ca="1">Mercado_Faturado_Encargo_TFSEE_BRUTO</f>
        <v>452302.20791855728</v>
      </c>
      <c r="D17" s="133">
        <f ca="1">Encargos!C6</f>
        <v>493851.78355056606</v>
      </c>
      <c r="E17" s="223">
        <f t="shared" ca="1" si="0"/>
        <v>1.9689706950988054E-4</v>
      </c>
      <c r="F17" s="258">
        <f t="shared" ca="1" si="1"/>
        <v>9.1862420533419753E-2</v>
      </c>
      <c r="G17" s="292"/>
      <c r="H17" s="843"/>
      <c r="I17" s="142"/>
    </row>
    <row r="18" spans="2:14" ht="14.25">
      <c r="B18" s="78" t="s">
        <v>788</v>
      </c>
      <c r="C18" s="226">
        <f ca="1">Mercado_Faturado_Encargo_CDE_BRUTO+Calc_Mercado!S75</f>
        <v>31310818.91013528</v>
      </c>
      <c r="D18" s="227">
        <f ca="1">Encargos!C7</f>
        <v>36400300.943379179</v>
      </c>
      <c r="E18" s="224">
        <f t="shared" ca="1" si="0"/>
        <v>2.4118275155063568E-2</v>
      </c>
      <c r="F18" s="258">
        <f t="shared" ca="1" si="1"/>
        <v>0.16254707511327471</v>
      </c>
      <c r="G18" s="292"/>
      <c r="H18" s="843"/>
      <c r="I18" s="142"/>
      <c r="K18" s="49" t="s">
        <v>789</v>
      </c>
      <c r="L18" s="731">
        <v>44763.67832175926</v>
      </c>
      <c r="M18" s="49"/>
      <c r="N18" s="630"/>
    </row>
    <row r="19" spans="2:14" ht="16.5" hidden="1" customHeight="1">
      <c r="B19" s="78" t="s">
        <v>2328</v>
      </c>
      <c r="C19" s="225">
        <f ca="1">Calc_Mercado!S75</f>
        <v>6369554.1822443232</v>
      </c>
      <c r="D19" s="133">
        <f>Encargos!C8</f>
        <v>0</v>
      </c>
      <c r="E19" s="223">
        <f t="shared" ca="1" si="0"/>
        <v>-3.0184340838421149E-2</v>
      </c>
      <c r="F19" s="258">
        <f t="shared" ca="1" si="1"/>
        <v>-1</v>
      </c>
      <c r="G19" s="292"/>
      <c r="H19" s="843"/>
      <c r="I19" s="142"/>
      <c r="K19" s="724" t="s">
        <v>790</v>
      </c>
      <c r="L19" s="724"/>
      <c r="M19" s="724"/>
      <c r="N19" s="295"/>
    </row>
    <row r="20" spans="2:14" ht="14.25">
      <c r="B20" s="78" t="s">
        <v>791</v>
      </c>
      <c r="C20" s="225">
        <f ca="1">Mercado_Faturado_Encargo_ESSERR_BRUTO</f>
        <v>1124321.8870068607</v>
      </c>
      <c r="D20" s="133">
        <f>Encargos!C9</f>
        <v>10509724.460207857</v>
      </c>
      <c r="E20" s="223">
        <f t="shared" ca="1" si="0"/>
        <v>4.4475984043749091E-2</v>
      </c>
      <c r="F20" s="258">
        <f t="shared" ca="1" si="1"/>
        <v>8.3476117308243118</v>
      </c>
      <c r="G20" s="292"/>
      <c r="H20" s="843"/>
      <c r="I20" s="142"/>
      <c r="K20" s="724" t="s">
        <v>792</v>
      </c>
      <c r="L20" s="732"/>
      <c r="M20" s="732"/>
    </row>
    <row r="21" spans="2:14" ht="14.25">
      <c r="B21" s="78" t="s">
        <v>47</v>
      </c>
      <c r="C21" s="225">
        <f ca="1">Mercado_Faturado_Encargo_PROINFA_BRUTO</f>
        <v>4054505.8046815027</v>
      </c>
      <c r="D21" s="133">
        <f ca="1">Encargos!C10</f>
        <v>6145060.8251699973</v>
      </c>
      <c r="E21" s="223">
        <f t="shared" ca="1" si="0"/>
        <v>9.9068197670410772E-3</v>
      </c>
      <c r="F21" s="258">
        <f t="shared" ca="1" si="1"/>
        <v>0.5156127827156276</v>
      </c>
      <c r="G21" s="292"/>
      <c r="H21" s="843"/>
      <c r="I21" s="142"/>
      <c r="L21" s="198"/>
    </row>
    <row r="22" spans="2:14" ht="14.25" hidden="1">
      <c r="B22" s="78" t="s">
        <v>793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H22" s="843"/>
      <c r="I22" s="142"/>
      <c r="L22" s="198"/>
    </row>
    <row r="23" spans="2:14" ht="14.25" hidden="1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H23" s="843"/>
      <c r="I23" s="142"/>
      <c r="L23" s="198"/>
    </row>
    <row r="24" spans="2:14" ht="16.5">
      <c r="B24" s="1122" t="s">
        <v>794</v>
      </c>
      <c r="C24" s="1118">
        <f ca="1">SUM(C25:C32)</f>
        <v>14857571.855821922</v>
      </c>
      <c r="D24" s="1119">
        <f>SUM(D25:D32)</f>
        <v>19337444.35326587</v>
      </c>
      <c r="E24" s="1120">
        <f t="shared" ca="1" si="0"/>
        <v>2.1229429015999265E-2</v>
      </c>
      <c r="F24" s="1121">
        <f t="shared" ca="1" si="1"/>
        <v>0.30152117323858096</v>
      </c>
      <c r="G24" s="292"/>
      <c r="H24" s="843"/>
      <c r="I24" s="142"/>
      <c r="J24"/>
      <c r="K24" s="23"/>
      <c r="L24" s="198"/>
    </row>
    <row r="25" spans="2:14" ht="14.25">
      <c r="B25" s="81" t="s">
        <v>705</v>
      </c>
      <c r="C25" s="225">
        <f ca="1">IFERROR(Calc_Mercado!C91,0)</f>
        <v>10485789.81131511</v>
      </c>
      <c r="D25" s="133">
        <f>'Rede Básica + Ajuste'!D9+'Rede Básica + Ajuste'!D10</f>
        <v>14564160</v>
      </c>
      <c r="E25" s="223">
        <f t="shared" ref="E25:E32" ca="1" si="2">(D25-C25)/LnkTXTRA0</f>
        <v>1.932677112374373E-2</v>
      </c>
      <c r="F25" s="259">
        <f t="shared" ca="1" si="1"/>
        <v>0.3889425843996952</v>
      </c>
      <c r="G25" s="292"/>
      <c r="H25" s="843"/>
      <c r="I25" s="142"/>
      <c r="J25" s="198"/>
      <c r="K25" s="198"/>
      <c r="L25" s="198"/>
    </row>
    <row r="26" spans="2:14" ht="14.25">
      <c r="B26" s="81" t="s">
        <v>707</v>
      </c>
      <c r="C26" s="225">
        <f ca="1">IFERROR(Calc_Mercado!C89,0)</f>
        <v>2259181.8539222553</v>
      </c>
      <c r="D26" s="133">
        <f>'Rede Básica + Ajuste'!E9+'Rede Básica + Ajuste'!E10</f>
        <v>2469120</v>
      </c>
      <c r="E26" s="223">
        <f t="shared" ca="1" si="2"/>
        <v>9.9486469145068103E-4</v>
      </c>
      <c r="F26" s="259">
        <f t="shared" ca="1" si="1"/>
        <v>9.2926625500847848E-2</v>
      </c>
      <c r="G26" s="292"/>
      <c r="H26" s="843"/>
      <c r="I26" s="142"/>
      <c r="J26" s="198"/>
      <c r="K26" s="198"/>
      <c r="L26" s="198"/>
    </row>
    <row r="27" spans="2:14" ht="14.25" hidden="1">
      <c r="B27" s="81" t="s">
        <v>795</v>
      </c>
      <c r="C27" s="199"/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843"/>
      <c r="I27" s="142"/>
    </row>
    <row r="28" spans="2:14" ht="14.25" hidden="1">
      <c r="B28" s="81" t="s">
        <v>796</v>
      </c>
      <c r="C28" s="199"/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843"/>
      <c r="I28" s="142"/>
    </row>
    <row r="29" spans="2:14" ht="16.5" hidden="1" customHeight="1">
      <c r="B29" s="81" t="s">
        <v>797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843"/>
      <c r="I29" s="142"/>
    </row>
    <row r="30" spans="2:14" ht="14.25" hidden="1">
      <c r="B30" s="81" t="s">
        <v>798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843"/>
      <c r="I30" s="142"/>
    </row>
    <row r="31" spans="2:14" ht="14.25">
      <c r="B31" s="81" t="s">
        <v>708</v>
      </c>
      <c r="C31" s="225">
        <f ca="1">IFERROR(Calc_Mercado!C95,0)</f>
        <v>1062604.2435166286</v>
      </c>
      <c r="D31" s="133">
        <f>'Conexão '!E21</f>
        <v>1146889.5423490694</v>
      </c>
      <c r="E31" s="223">
        <f t="shared" ca="1" si="2"/>
        <v>3.9941511051408548E-4</v>
      </c>
      <c r="F31" s="259">
        <f t="shared" ca="1" si="1"/>
        <v>7.9319557913210881E-2</v>
      </c>
      <c r="G31" s="117"/>
      <c r="H31" s="843"/>
      <c r="I31" s="142"/>
    </row>
    <row r="32" spans="2:14" ht="14.25">
      <c r="B32" s="81" t="s">
        <v>709</v>
      </c>
      <c r="C32" s="225">
        <f ca="1">Calc_Mercado!C96</f>
        <v>1049995.9470679283</v>
      </c>
      <c r="D32" s="133">
        <f>CUSD!C3</f>
        <v>1157274.8109167996</v>
      </c>
      <c r="E32" s="223">
        <f t="shared" ca="1" si="2"/>
        <v>5.0837809029076258E-4</v>
      </c>
      <c r="F32" s="259">
        <f t="shared" ca="1" si="1"/>
        <v>0.10217074089518463</v>
      </c>
      <c r="G32" s="292"/>
      <c r="H32" s="843"/>
      <c r="I32" s="142"/>
    </row>
    <row r="33" spans="2:9" ht="14.25">
      <c r="B33" s="1122" t="s">
        <v>120</v>
      </c>
      <c r="C33" s="1118">
        <f ca="1">SUM(Calc_Mercado!C79:C84)</f>
        <v>69517323.217412025</v>
      </c>
      <c r="D33" s="1119">
        <f ca="1">Energia!F23</f>
        <v>69982352.887938946</v>
      </c>
      <c r="E33" s="1120">
        <f t="shared" ca="1" si="0"/>
        <v>2.2037043211425309E-3</v>
      </c>
      <c r="F33" s="1121">
        <f ca="1">IF(ISERROR(D33/C33-1),"-",D33/C33-1)</f>
        <v>6.689407028411587E-3</v>
      </c>
      <c r="G33" s="292"/>
      <c r="H33" s="843"/>
      <c r="I33" s="142"/>
    </row>
    <row r="34" spans="2:9" ht="14.25">
      <c r="B34" s="1123" t="s">
        <v>799</v>
      </c>
      <c r="C34" s="1124">
        <f ca="1">C14+C24+C33</f>
        <v>127686398.06522048</v>
      </c>
      <c r="D34" s="1125">
        <f ca="1">D33+D24+D14</f>
        <v>142868735.25351241</v>
      </c>
      <c r="E34" s="1126">
        <f t="shared" ca="1" si="0"/>
        <v>7.1946768534084216E-2</v>
      </c>
      <c r="F34" s="1127">
        <f ca="1">IF(ISERROR(D34/C34-1),"-",D34/C34-1)</f>
        <v>0.11890332422516137</v>
      </c>
      <c r="G34" s="292"/>
      <c r="H34" s="843"/>
      <c r="I34" s="142"/>
    </row>
    <row r="35" spans="2:9" ht="14.25">
      <c r="G35" s="69"/>
      <c r="H35" s="843"/>
      <c r="I35" s="142"/>
    </row>
    <row r="36" spans="2:9" ht="14.25">
      <c r="B36" s="1012" t="s">
        <v>109</v>
      </c>
      <c r="C36" s="822"/>
      <c r="D36" s="822"/>
      <c r="E36" s="1112"/>
      <c r="F36" s="1112"/>
      <c r="G36" s="69"/>
      <c r="H36" s="843"/>
      <c r="I36" s="142"/>
    </row>
    <row r="37" spans="2:9" ht="8.25" customHeight="1">
      <c r="G37" s="69"/>
      <c r="H37" s="843"/>
      <c r="I37" s="142"/>
    </row>
    <row r="38" spans="2:9" ht="15.75" customHeight="1">
      <c r="B38" s="690"/>
      <c r="C38" s="690" t="s">
        <v>772</v>
      </c>
      <c r="D38" s="690" t="s">
        <v>773</v>
      </c>
      <c r="E38" s="1128" t="s">
        <v>780</v>
      </c>
      <c r="F38" s="690" t="s">
        <v>781</v>
      </c>
      <c r="G38" s="69"/>
      <c r="H38" s="843"/>
      <c r="I38" s="142"/>
    </row>
    <row r="39" spans="2:9" ht="15.75" customHeight="1">
      <c r="B39" s="1129" t="s">
        <v>800</v>
      </c>
      <c r="C39" s="1130">
        <f ca="1">LnkTXTRA0-C34</f>
        <v>83335410.108129561</v>
      </c>
      <c r="D39" s="1131">
        <f>IFERROR(IF(CAPA!P1="VERDADEIRO",SMALL(IF(LnkTXTPBReq=0,CAPA!K29,LnkTXTPBReq):LNKTXTLImPB,1),C39*(1+LnkTXTIPCA-CAPA!H42)),0)</f>
        <v>98760388.681823671</v>
      </c>
      <c r="E39" s="1132">
        <f ca="1">(D39-C39)/LnkTXTRA0</f>
        <v>7.3096608863396764E-2</v>
      </c>
      <c r="F39" s="1133">
        <f ca="1">IF(ISERROR(D39/C39-1),"-",D39/C39-1)</f>
        <v>0.18509513007351686</v>
      </c>
      <c r="G39" s="69"/>
      <c r="H39" s="843"/>
      <c r="I39" s="142"/>
    </row>
    <row r="40" spans="2:9" ht="14.25">
      <c r="B40" s="735"/>
      <c r="C40" s="736"/>
      <c r="D40" s="737"/>
      <c r="E40" s="735"/>
      <c r="F40" s="735"/>
      <c r="I40" s="142"/>
    </row>
    <row r="41" spans="2:9" ht="14.25">
      <c r="B41" s="1012" t="s">
        <v>801</v>
      </c>
      <c r="C41" s="822"/>
      <c r="D41" s="822"/>
      <c r="E41" s="1112"/>
      <c r="F41" s="1112"/>
      <c r="I41" s="142"/>
    </row>
    <row r="42" spans="2:9" ht="9" customHeight="1">
      <c r="E42" s="75"/>
      <c r="F42" s="75"/>
      <c r="I42" s="142"/>
    </row>
    <row r="43" spans="2:9" ht="15.75" customHeight="1">
      <c r="B43" s="735"/>
      <c r="C43" s="1114" t="s">
        <v>802</v>
      </c>
      <c r="D43" s="1114" t="s">
        <v>780</v>
      </c>
      <c r="E43" s="472" t="s">
        <v>803</v>
      </c>
      <c r="F43" s="472"/>
      <c r="G43" s="472"/>
      <c r="I43" s="142"/>
    </row>
    <row r="44" spans="2:9" ht="15.75" customHeight="1">
      <c r="B44" s="1134" t="s">
        <v>804</v>
      </c>
      <c r="C44" s="1135">
        <f ca="1">SUM(C45:C100)</f>
        <v>-14684732.682611732</v>
      </c>
      <c r="D44" s="1136">
        <f ca="1">C44/Financeiros!D4</f>
        <v>-6.9588697062762953E-2</v>
      </c>
      <c r="E44" s="472">
        <f t="shared" ref="E44:E99" ca="1" si="3">IF(D44=0,0,1)</f>
        <v>1</v>
      </c>
      <c r="F44" s="472">
        <v>-11108254.720772063</v>
      </c>
      <c r="G44" s="72"/>
      <c r="H44" s="142"/>
    </row>
    <row r="45" spans="2:9" ht="15.75" customHeight="1">
      <c r="B45" s="82" t="str">
        <f>Financeiros!C9</f>
        <v>Repasse de PIS COFINS</v>
      </c>
      <c r="C45" s="77">
        <f>Financeiros!D9</f>
        <v>3591606.678375944</v>
      </c>
      <c r="D45" s="477">
        <f ca="1">C45/Financeiros!$D$4</f>
        <v>1.7020073467598731E-2</v>
      </c>
      <c r="E45" s="472">
        <f t="shared" ca="1" si="3"/>
        <v>1</v>
      </c>
      <c r="F45" s="472"/>
      <c r="G45" s="472"/>
    </row>
    <row r="46" spans="2:9" ht="15.75" customHeight="1">
      <c r="B46" s="82" t="s">
        <v>805</v>
      </c>
      <c r="C46" s="77">
        <f ca="1">LnkTXTNeutralidade</f>
        <v>34384.886719416289</v>
      </c>
      <c r="D46" s="477">
        <f ca="1">C46/Financeiros!$D$4</f>
        <v>1.6294470707581946E-4</v>
      </c>
      <c r="E46" s="472">
        <f t="shared" ca="1" si="3"/>
        <v>1</v>
      </c>
      <c r="F46" s="472"/>
      <c r="G46" s="472"/>
    </row>
    <row r="47" spans="2:9" ht="15.75" hidden="1" customHeight="1">
      <c r="B47" s="83" t="str">
        <f>Financeiros!C23</f>
        <v>Manual de Contabilidade do Setor Elétrico</v>
      </c>
      <c r="C47" s="1700">
        <f>Financeiros!D23</f>
        <v>0</v>
      </c>
      <c r="D47" s="477">
        <f ca="1">C47/Financeiros!$D$4</f>
        <v>0</v>
      </c>
      <c r="E47" s="472">
        <f t="shared" ca="1" si="3"/>
        <v>0</v>
      </c>
      <c r="F47" s="472"/>
      <c r="G47" s="472"/>
    </row>
    <row r="48" spans="2:9" ht="15.75" customHeight="1">
      <c r="B48" s="68" t="str">
        <f>Financeiros!C25</f>
        <v>Ajustes Processos anteriores - Geração Propria</v>
      </c>
      <c r="C48" s="77">
        <f>Financeiros!D25</f>
        <v>3724908.0816122931</v>
      </c>
      <c r="D48" s="477">
        <f ca="1">C48/Financeiros!$D$4</f>
        <v>1.765176838287898E-2</v>
      </c>
      <c r="E48" s="472">
        <f t="shared" ca="1" si="3"/>
        <v>1</v>
      </c>
      <c r="F48" s="472"/>
      <c r="G48" s="472"/>
    </row>
    <row r="49" spans="2:5" ht="15.75" customHeight="1">
      <c r="B49" s="83" t="str">
        <f>Financeiros!C26</f>
        <v>Ajuste CUST + PISCONFINS Transmissão</v>
      </c>
      <c r="C49" s="1700">
        <f>Financeiros!D26</f>
        <v>1160062.9278567836</v>
      </c>
      <c r="D49" s="477">
        <f ca="1">C49/Financeiros!$D$4</f>
        <v>5.4973603813678633E-3</v>
      </c>
      <c r="E49" s="472">
        <f t="shared" ca="1" si="3"/>
        <v>1</v>
      </c>
    </row>
    <row r="50" spans="2:5" ht="15.75" customHeight="1">
      <c r="B50" s="68" t="str">
        <f>Financeiros!C27</f>
        <v>Compensação DIC FIC</v>
      </c>
      <c r="C50" s="1700">
        <f>Financeiros!D27</f>
        <v>-36242.696487839901</v>
      </c>
      <c r="D50" s="477">
        <f ca="1">C50/Financeiros!$D$4</f>
        <v>-1.7174858277238948E-4</v>
      </c>
      <c r="E50" s="472">
        <f t="shared" ca="1" si="3"/>
        <v>1</v>
      </c>
    </row>
    <row r="51" spans="2:5" ht="15.75" customHeight="1">
      <c r="B51" s="68" t="str">
        <f>Financeiros!C28</f>
        <v>Subvenção CDE</v>
      </c>
      <c r="C51" s="1700">
        <f ca="1">Financeiros!D28</f>
        <v>-17782212.48699066</v>
      </c>
      <c r="D51" s="477">
        <f ca="1">C51/Financeiros!$D$4</f>
        <v>-8.4267179022477823E-2</v>
      </c>
      <c r="E51" s="472">
        <f t="shared" ca="1" si="3"/>
        <v>1</v>
      </c>
    </row>
    <row r="52" spans="2:5" ht="15.75" hidden="1" customHeight="1">
      <c r="B52" s="68" t="str">
        <f>Financeiros!C29</f>
        <v>Retenção de Adicionais de Bandeiras Tarifárias</v>
      </c>
      <c r="C52" s="1700">
        <f>Financeiros!D29</f>
        <v>0</v>
      </c>
      <c r="D52" s="477">
        <f ca="1">C52/Financeiros!$D$4</f>
        <v>0</v>
      </c>
      <c r="E52" s="472">
        <f t="shared" ca="1" si="3"/>
        <v>0</v>
      </c>
    </row>
    <row r="53" spans="2:5" ht="15.75" hidden="1" customHeight="1">
      <c r="B53" s="68" t="str">
        <f>Financeiros!C30</f>
        <v>Multa LPT</v>
      </c>
      <c r="C53" s="1700">
        <f>Financeiros!D30</f>
        <v>0</v>
      </c>
      <c r="D53" s="477">
        <f ca="1">C53/Financeiros!$D$4</f>
        <v>0</v>
      </c>
      <c r="E53" s="472">
        <f t="shared" ca="1" si="3"/>
        <v>0</v>
      </c>
    </row>
    <row r="54" spans="2:5" ht="15.75" hidden="1" customHeight="1">
      <c r="B54" s="68" t="str">
        <f>Financeiros!C34</f>
        <v>Ressarcimento P&amp;D</v>
      </c>
      <c r="C54" s="1700">
        <f>Financeiros!D34</f>
        <v>0</v>
      </c>
      <c r="D54" s="477">
        <f ca="1">C54/Financeiros!$D$4</f>
        <v>0</v>
      </c>
      <c r="E54" s="472">
        <f t="shared" ca="1" si="3"/>
        <v>0</v>
      </c>
    </row>
    <row r="55" spans="2:5" ht="15.75" hidden="1" customHeight="1">
      <c r="B55" s="68" t="str">
        <f>Financeiros!C31</f>
        <v>Repasse de ICMS</v>
      </c>
      <c r="C55" s="1700">
        <f>Financeiros!D31</f>
        <v>0</v>
      </c>
      <c r="D55" s="477">
        <f ca="1">C55/Financeiros!$D$4</f>
        <v>0</v>
      </c>
      <c r="E55" s="472">
        <f t="shared" ca="1" si="3"/>
        <v>0</v>
      </c>
    </row>
    <row r="56" spans="2:5" ht="15.75" customHeight="1">
      <c r="B56" s="68" t="str">
        <f>Financeiros!C36</f>
        <v>Previsão de Risco Hidrologico</v>
      </c>
      <c r="C56" s="1700">
        <f>Financeiros!D36</f>
        <v>6029479.2269557174</v>
      </c>
      <c r="D56" s="477">
        <f ca="1">C56/Financeiros!$D$4</f>
        <v>2.8572777757655387E-2</v>
      </c>
      <c r="E56" s="472">
        <f t="shared" ca="1" si="3"/>
        <v>1</v>
      </c>
    </row>
    <row r="57" spans="2:5" ht="15.75" hidden="1" customHeight="1">
      <c r="B57" s="68" t="str">
        <f>Financeiros!C37</f>
        <v>Efeito COVID da Supridora</v>
      </c>
      <c r="C57" s="1700">
        <f>Financeiros!D37</f>
        <v>0</v>
      </c>
      <c r="D57" s="477">
        <f ca="1">C57/Financeiros!$D$4</f>
        <v>0</v>
      </c>
      <c r="E57" s="472">
        <f t="shared" ca="1" si="3"/>
        <v>0</v>
      </c>
    </row>
    <row r="58" spans="2:5" ht="15.75" hidden="1" customHeight="1">
      <c r="B58" s="68" t="str">
        <f>Financeiros!C38</f>
        <v>Crédito de Pis Cofins sobre ICMS</v>
      </c>
      <c r="C58" s="1700">
        <f>Financeiros!D38</f>
        <v>0</v>
      </c>
      <c r="D58" s="477">
        <f ca="1">C58/Financeiros!$D$4</f>
        <v>0</v>
      </c>
      <c r="E58" s="472">
        <f t="shared" ca="1" si="3"/>
        <v>0</v>
      </c>
    </row>
    <row r="59" spans="2:5" ht="15.75" hidden="1" customHeight="1">
      <c r="B59" s="68" t="str">
        <f>Financeiros!C39</f>
        <v>Diferimento Pis Cofins TUSD</v>
      </c>
      <c r="C59" s="1700">
        <f>Financeiros!D39</f>
        <v>0</v>
      </c>
      <c r="D59" s="477">
        <f ca="1">C59/Financeiros!$D$4</f>
        <v>0</v>
      </c>
      <c r="E59" s="472">
        <f t="shared" ca="1" si="3"/>
        <v>0</v>
      </c>
    </row>
    <row r="60" spans="2:5" ht="15.75" hidden="1" customHeight="1">
      <c r="B60" s="68" t="str">
        <f>Financeiros!C40</f>
        <v>Diferimento Pis Cofins TE</v>
      </c>
      <c r="C60" s="1700">
        <f>Financeiros!D40</f>
        <v>0</v>
      </c>
      <c r="D60" s="477">
        <f ca="1">C60/Financeiros!$D$4</f>
        <v>0</v>
      </c>
      <c r="E60" s="472">
        <f t="shared" ca="1" si="3"/>
        <v>0</v>
      </c>
    </row>
    <row r="61" spans="2:5" ht="15.75" hidden="1" customHeight="1">
      <c r="B61" s="68" t="str">
        <f>Financeiros!C41</f>
        <v>Financeiros associados ao §7º do Art. 88 da Ren 414/2021</v>
      </c>
      <c r="C61" s="1700">
        <f>Financeiros!D41</f>
        <v>0</v>
      </c>
      <c r="D61" s="477">
        <f ca="1">C61/Financeiros!$D$4</f>
        <v>0</v>
      </c>
      <c r="E61" s="472">
        <f t="shared" ca="1" si="3"/>
        <v>0</v>
      </c>
    </row>
    <row r="62" spans="2:5" ht="15.75" customHeight="1">
      <c r="B62" s="68" t="str">
        <f>Financeiros!C42</f>
        <v>Custo Distribuidora - Conta Covid - Art 4º - REN 952/2021</v>
      </c>
      <c r="C62" s="1700">
        <f>Financeiros!D42</f>
        <v>-625769.9</v>
      </c>
      <c r="D62" s="477">
        <f ca="1">C62/Financeiros!$D$4</f>
        <v>-2.965427627678856E-3</v>
      </c>
      <c r="E62" s="472">
        <f t="shared" ca="1" si="3"/>
        <v>1</v>
      </c>
    </row>
    <row r="63" spans="2:5" ht="15.75" customHeight="1">
      <c r="B63" s="68" t="str">
        <f>Financeiros!C35</f>
        <v>Efeito Conta COVID</v>
      </c>
      <c r="C63" s="1700">
        <f>Financeiros!D35</f>
        <v>-6504386.7004942941</v>
      </c>
      <c r="D63" s="477">
        <f ca="1">C63/Financeiros!$D$4</f>
        <v>-3.0823291473036168E-2</v>
      </c>
      <c r="E63" s="472">
        <f t="shared" ca="1" si="3"/>
        <v>1</v>
      </c>
    </row>
    <row r="64" spans="2:5" ht="15.75" customHeight="1">
      <c r="B64" s="68" t="str">
        <f>Financeiros!C44</f>
        <v>Ajustes Processos anteriores - Encargo de Conexão</v>
      </c>
      <c r="C64" s="1700">
        <f>Financeiros!D44</f>
        <v>-41834.775229867715</v>
      </c>
      <c r="D64" s="477">
        <f ca="1">C64/Financeiros!$D$4</f>
        <v>-1.9824858668399483E-4</v>
      </c>
      <c r="E64" s="472">
        <f t="shared" ca="1" si="3"/>
        <v>1</v>
      </c>
    </row>
    <row r="65" spans="2:5" ht="15.75" hidden="1" customHeight="1">
      <c r="B65" s="68" t="str">
        <f>Financeiros!C48</f>
        <v>CVE ccc</v>
      </c>
      <c r="C65" s="1700">
        <f>Financeiros!D48</f>
        <v>0</v>
      </c>
      <c r="D65" s="477">
        <f ca="1">C65/Financeiros!$D$4</f>
        <v>0</v>
      </c>
      <c r="E65" s="472">
        <f t="shared" ca="1" si="3"/>
        <v>0</v>
      </c>
    </row>
    <row r="66" spans="2:5" ht="15.75" hidden="1" customHeight="1">
      <c r="B66" s="68" t="str">
        <f>Financeiros!C49</f>
        <v>CVE cde</v>
      </c>
      <c r="C66" s="1700">
        <f>Financeiros!D49</f>
        <v>0</v>
      </c>
      <c r="D66" s="477">
        <f ca="1">C66/Financeiros!$D$4</f>
        <v>0</v>
      </c>
      <c r="E66" s="472">
        <f t="shared" ca="1" si="3"/>
        <v>0</v>
      </c>
    </row>
    <row r="67" spans="2:5" ht="15.75" hidden="1" customHeight="1">
      <c r="B67" s="68" t="str">
        <f>Financeiros!C50</f>
        <v>CVE cde energia</v>
      </c>
      <c r="C67" s="1700">
        <f>Financeiros!D50</f>
        <v>0</v>
      </c>
      <c r="D67" s="477">
        <f ca="1">C67/Financeiros!$D$4</f>
        <v>0</v>
      </c>
      <c r="E67" s="472">
        <f t="shared" ca="1" si="3"/>
        <v>0</v>
      </c>
    </row>
    <row r="68" spans="2:5" ht="15.75" hidden="1" customHeight="1">
      <c r="B68" s="68" t="str">
        <f>Financeiros!C51</f>
        <v>CVE RB - Nodal</v>
      </c>
      <c r="C68" s="1700">
        <f>Financeiros!D51</f>
        <v>0</v>
      </c>
      <c r="D68" s="477">
        <f ca="1">C68/Financeiros!$D$4</f>
        <v>0</v>
      </c>
      <c r="E68" s="472">
        <f t="shared" ca="1" si="3"/>
        <v>0</v>
      </c>
    </row>
    <row r="69" spans="2:5" ht="15.75" hidden="1" customHeight="1">
      <c r="B69" s="68" t="str">
        <f>Financeiros!C52</f>
        <v>CVE RB - Fronteira</v>
      </c>
      <c r="C69" s="1700">
        <f>Financeiros!D52</f>
        <v>0</v>
      </c>
      <c r="D69" s="477">
        <f ca="1">C69/Financeiros!$D$4</f>
        <v>0</v>
      </c>
      <c r="E69" s="472">
        <f t="shared" ca="1" si="3"/>
        <v>0</v>
      </c>
    </row>
    <row r="70" spans="2:5" ht="15.75" hidden="1" customHeight="1">
      <c r="B70" s="68" t="str">
        <f>Financeiros!C53</f>
        <v>CVE RB - TUSDg EXP</v>
      </c>
      <c r="C70" s="1700">
        <f>Financeiros!D53</f>
        <v>0</v>
      </c>
      <c r="D70" s="477">
        <f ca="1">C70/Financeiros!$D$4</f>
        <v>0</v>
      </c>
      <c r="E70" s="472">
        <f t="shared" ca="1" si="3"/>
        <v>0</v>
      </c>
    </row>
    <row r="71" spans="2:5" ht="15.75" hidden="1" customHeight="1">
      <c r="B71" s="68" t="str">
        <f>Financeiros!C54</f>
        <v>CVE RB - TUSDg ONS</v>
      </c>
      <c r="C71" s="1700">
        <f>Financeiros!D54</f>
        <v>0</v>
      </c>
      <c r="D71" s="477">
        <f ca="1">C71/Financeiros!$D$4</f>
        <v>0</v>
      </c>
      <c r="E71" s="472">
        <f t="shared" ca="1" si="3"/>
        <v>0</v>
      </c>
    </row>
    <row r="72" spans="2:5" ht="15.75" hidden="1" customHeight="1">
      <c r="B72" s="68" t="str">
        <f>Financeiros!C55</f>
        <v>CVE RB - EUST Itaipu</v>
      </c>
      <c r="C72" s="1700">
        <f>Financeiros!D55</f>
        <v>0</v>
      </c>
      <c r="D72" s="477">
        <f ca="1">C72/Financeiros!$D$4</f>
        <v>0</v>
      </c>
      <c r="E72" s="472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1700">
        <f>Financeiros!D56</f>
        <v>0</v>
      </c>
      <c r="D73" s="477">
        <f ca="1">C73/Financeiros!$D$4</f>
        <v>0</v>
      </c>
      <c r="E73" s="472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1700">
        <f ca="1">Financeiros!D57</f>
        <v>-318463.24383891874</v>
      </c>
      <c r="D74" s="477">
        <f ca="1">C74/Financeiros!$D$4</f>
        <v>-1.5091484932083787E-3</v>
      </c>
      <c r="E74" s="472">
        <f t="shared" ca="1" si="3"/>
        <v>1</v>
      </c>
    </row>
    <row r="75" spans="2:5" ht="15.75" hidden="1" customHeight="1">
      <c r="B75" s="68" t="str">
        <f>Financeiros!C58</f>
        <v>CVE - Energia - Perda Não Técnica</v>
      </c>
      <c r="C75" s="1700">
        <f ca="1">Financeiros!D58</f>
        <v>0</v>
      </c>
      <c r="D75" s="477">
        <f ca="1">C75/Financeiros!$D$4</f>
        <v>0</v>
      </c>
      <c r="E75" s="472">
        <f t="shared" ca="1" si="3"/>
        <v>0</v>
      </c>
    </row>
    <row r="76" spans="2:5" ht="15.75" customHeight="1">
      <c r="B76" s="68" t="str">
        <f>Financeiros!C59</f>
        <v>CVE - Energia - Perda Técnica</v>
      </c>
      <c r="C76" s="1700">
        <f ca="1">Financeiros!D59</f>
        <v>-30002.938280480252</v>
      </c>
      <c r="D76" s="477">
        <f ca="1">C76/Financeiros!$D$4</f>
        <v>-1.4217932516166036E-4</v>
      </c>
      <c r="E76" s="472">
        <f t="shared" ca="1" si="3"/>
        <v>1</v>
      </c>
    </row>
    <row r="77" spans="2:5" ht="15.75" customHeight="1">
      <c r="B77" s="68" t="str">
        <f>Financeiros!C60</f>
        <v>CVE - Energia -  Perda de RB sobre a distribuição</v>
      </c>
      <c r="C77" s="1700">
        <f ca="1">Financeiros!D60</f>
        <v>-1083.0173894497427</v>
      </c>
      <c r="D77" s="477">
        <f ca="1">C77/Financeiros!$D$4</f>
        <v>-5.1322533856788221E-6</v>
      </c>
      <c r="E77" s="472">
        <f t="shared" ca="1" si="3"/>
        <v>1</v>
      </c>
    </row>
    <row r="78" spans="2:5" ht="15.75" customHeight="1">
      <c r="B78" s="68" t="str">
        <f>Financeiros!C61</f>
        <v>CVE - Energia -  Perda de RB sobre o mercado cativo</v>
      </c>
      <c r="C78" s="1700">
        <f ca="1">Financeiros!D61</f>
        <v>-11495.581791151219</v>
      </c>
      <c r="D78" s="477">
        <f ca="1">C78/Financeiros!$D$4</f>
        <v>-5.4475799874237818E-5</v>
      </c>
      <c r="E78" s="472">
        <f t="shared" ca="1" si="3"/>
        <v>1</v>
      </c>
    </row>
    <row r="79" spans="2:5" ht="15.75" hidden="1" customHeight="1">
      <c r="B79" s="68" t="str">
        <f>Financeiros!C62</f>
        <v>CVE - Encargos - PROINFA</v>
      </c>
      <c r="C79" s="1700">
        <f ca="1">Financeiros!D62</f>
        <v>0</v>
      </c>
      <c r="D79" s="477">
        <f ca="1">C79/Financeiros!$D$4</f>
        <v>0</v>
      </c>
      <c r="E79" s="472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1700">
        <f>Financeiros!D63</f>
        <v>0</v>
      </c>
      <c r="D80" s="477">
        <f ca="1">C80/Financeiros!$D$4</f>
        <v>0</v>
      </c>
      <c r="E80" s="472">
        <f t="shared" ca="1" si="3"/>
        <v>0</v>
      </c>
    </row>
    <row r="81" spans="2:5" ht="15.75" customHeight="1">
      <c r="B81" s="68" t="str">
        <f>Financeiros!C64</f>
        <v>CVE - Encargos - ESS/EER</v>
      </c>
      <c r="C81" s="1700">
        <f>Financeiros!D64</f>
        <v>2907185.43</v>
      </c>
      <c r="D81" s="477">
        <f ca="1">C81/Financeiros!$D$4</f>
        <v>1.3776706091020732E-2</v>
      </c>
      <c r="E81" s="472">
        <f t="shared" ca="1" si="3"/>
        <v>1</v>
      </c>
    </row>
    <row r="82" spans="2:5" ht="15.75" hidden="1" customHeight="1">
      <c r="B82" s="68" t="str">
        <f>Financeiros!C65</f>
        <v>Conta Escassez H. - Importação julho- agosto/2021 - RTA 2022 - Energia de Revenda</v>
      </c>
      <c r="C82" s="1700">
        <f ca="1">Financeiros!D65</f>
        <v>0</v>
      </c>
      <c r="D82" s="477">
        <f ca="1">C82/Financeiros!$D$4</f>
        <v>0</v>
      </c>
      <c r="E82" s="472">
        <f t="shared" ca="1" si="3"/>
        <v>0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1700">
        <f ca="1">Financeiros!D66</f>
        <v>0</v>
      </c>
      <c r="D83" s="477">
        <f ca="1">C83/Financeiros!$D$4</f>
        <v>0</v>
      </c>
      <c r="E83" s="472">
        <f t="shared" ca="1" si="3"/>
        <v>0</v>
      </c>
    </row>
    <row r="84" spans="2:5" ht="15.75" hidden="1" customHeight="1">
      <c r="B84" s="68" t="str">
        <f>Financeiros!C67</f>
        <v>Conta Escassez H. - Importação julho- agosto/2021 - RTA 2022 - Perda Técnica</v>
      </c>
      <c r="C84" s="1700">
        <f ca="1">Financeiros!D67</f>
        <v>0</v>
      </c>
      <c r="D84" s="477">
        <f ca="1">C84/Financeiros!$D$4</f>
        <v>0</v>
      </c>
      <c r="E84" s="472">
        <f t="shared" ca="1" si="3"/>
        <v>0</v>
      </c>
    </row>
    <row r="85" spans="2:5" ht="15.75" hidden="1" customHeight="1">
      <c r="B85" s="68" t="str">
        <f>Financeiros!C68</f>
        <v>Conta Escassez H. - Importação julho- agosto/2021 - RTA 2022 - Perda RB Perda RB sobre Dist.</v>
      </c>
      <c r="C85" s="1700">
        <f ca="1">Financeiros!D68</f>
        <v>0</v>
      </c>
      <c r="D85" s="477">
        <f ca="1">C85/Financeiros!$D$4</f>
        <v>0</v>
      </c>
      <c r="E85" s="472">
        <f t="shared" ca="1" si="3"/>
        <v>0</v>
      </c>
    </row>
    <row r="86" spans="2:5" ht="15.75" hidden="1" customHeight="1">
      <c r="B86" s="68" t="str">
        <f>Financeiros!C69</f>
        <v>Conta Escassez H. - Importação julho- agosto/2021 - RTA 2022 - Perda RB sobre Merc. Cat.</v>
      </c>
      <c r="C86" s="1700">
        <f ca="1">Financeiros!D69</f>
        <v>0</v>
      </c>
      <c r="D86" s="477">
        <f ca="1">C86/Financeiros!$D$4</f>
        <v>0</v>
      </c>
      <c r="E86" s="472">
        <f t="shared" ca="1" si="3"/>
        <v>0</v>
      </c>
    </row>
    <row r="87" spans="2:5" ht="15.75" customHeight="1">
      <c r="B87" s="68" t="str">
        <f>Financeiros!C70</f>
        <v>Conta Escassez H. - Bônus Redução Voluntária</v>
      </c>
      <c r="C87" s="1700">
        <f>Financeiros!D70</f>
        <v>-2357071.1438916875</v>
      </c>
      <c r="D87" s="477">
        <f ca="1">C87/Financeiros!$D$4</f>
        <v>-1.116979881982341E-2</v>
      </c>
      <c r="E87" s="472">
        <f t="shared" ca="1" si="3"/>
        <v>1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1700">
        <f ca="1">Financeiros!D71</f>
        <v>0</v>
      </c>
      <c r="D88" s="477">
        <f ca="1">C88/Financeiros!$D$4</f>
        <v>0</v>
      </c>
      <c r="E88" s="472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1700">
        <f ca="1">Financeiros!D72</f>
        <v>0</v>
      </c>
      <c r="D89" s="477">
        <f ca="1">C89/Financeiros!$D$4</f>
        <v>0</v>
      </c>
      <c r="E89" s="472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1700">
        <f ca="1">Financeiros!D73</f>
        <v>0</v>
      </c>
      <c r="D90" s="477">
        <f ca="1">C90/Financeiros!$D$4</f>
        <v>0</v>
      </c>
      <c r="E90" s="472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1700">
        <f ca="1">Financeiros!D74</f>
        <v>0</v>
      </c>
      <c r="D91" s="477">
        <f ca="1">C91/Financeiros!$D$4</f>
        <v>0</v>
      </c>
      <c r="E91" s="472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1700">
        <f ca="1">Financeiros!D75</f>
        <v>0</v>
      </c>
      <c r="D92" s="477">
        <f ca="1">C92/Financeiros!$D$4</f>
        <v>0</v>
      </c>
      <c r="E92" s="472">
        <f t="shared" ca="1" si="3"/>
        <v>0</v>
      </c>
    </row>
    <row r="93" spans="2:5" ht="15.75" customHeight="1">
      <c r="B93" s="68" t="str">
        <f>Financeiros!C76</f>
        <v>Sobrecontratação/Reversão de Energia - Energia de Revenda</v>
      </c>
      <c r="C93" s="1700">
        <f ca="1">Financeiros!D76</f>
        <v>-55096.796922042129</v>
      </c>
      <c r="D93" s="477">
        <f ca="1">C93/Financeiros!$D$4</f>
        <v>-2.6109527445988546E-4</v>
      </c>
      <c r="E93" s="472">
        <f t="shared" ca="1" si="3"/>
        <v>1</v>
      </c>
    </row>
    <row r="94" spans="2:5" ht="15.75" hidden="1" customHeight="1">
      <c r="B94" s="68" t="str">
        <f>Financeiros!C77</f>
        <v>Sobrecontratação/Reversão de Energia - Perda Não Técnica</v>
      </c>
      <c r="C94" s="1700">
        <f ca="1">Financeiros!D77</f>
        <v>0</v>
      </c>
      <c r="D94" s="477">
        <f ca="1">C94/Financeiros!$D$4</f>
        <v>0</v>
      </c>
      <c r="E94" s="472">
        <f t="shared" ca="1" si="3"/>
        <v>0</v>
      </c>
    </row>
    <row r="95" spans="2:5" ht="15.75" customHeight="1">
      <c r="B95" s="68" t="str">
        <f>Financeiros!C78</f>
        <v>Sobrecontratação/Reversão de Energia - Perda Técnica</v>
      </c>
      <c r="C95" s="1700">
        <f ca="1">Financeiros!D78</f>
        <v>-5190.7585238952042</v>
      </c>
      <c r="D95" s="477">
        <f ca="1">C95/Financeiros!$D$4</f>
        <v>-2.4598208918914694E-5</v>
      </c>
      <c r="E95" s="472">
        <f t="shared" ca="1" si="3"/>
        <v>1</v>
      </c>
    </row>
    <row r="96" spans="2:5" ht="15.75" customHeight="1">
      <c r="B96" s="68" t="str">
        <f>Financeiros!C79</f>
        <v>Sobrecontratação/Reversão de Energia - Perda Rede Básica sobre Dist.</v>
      </c>
      <c r="C96" s="1700">
        <f ca="1">Financeiros!D79</f>
        <v>-187.37103990479557</v>
      </c>
      <c r="D96" s="477">
        <f ca="1">C96/Financeiros!$D$4</f>
        <v>-8.8792263475855607E-7</v>
      </c>
      <c r="E96" s="472">
        <f t="shared" ca="1" si="3"/>
        <v>1</v>
      </c>
    </row>
    <row r="97" spans="2:5" ht="15.75" customHeight="1">
      <c r="B97" s="68" t="str">
        <f>Financeiros!C80</f>
        <v>Sobrecontratação/Reversão de Energia - Perda Rede Básica sobre mercado Cat.</v>
      </c>
      <c r="C97" s="1700">
        <f ca="1">Financeiros!D80</f>
        <v>-1988.8315141578707</v>
      </c>
      <c r="D97" s="477">
        <f ca="1">C97/Financeiros!$D$4</f>
        <v>-9.424767664411666E-6</v>
      </c>
      <c r="E97" s="472">
        <f t="shared" ca="1" si="3"/>
        <v>1</v>
      </c>
    </row>
    <row r="98" spans="2:5" ht="15.75" hidden="1" customHeight="1">
      <c r="B98" s="68">
        <f>Financeiros!C81</f>
        <v>0</v>
      </c>
      <c r="C98" s="1700">
        <f>Financeiros!D81</f>
        <v>0</v>
      </c>
      <c r="D98" s="477">
        <f ca="1">C98/Financeiros!$D$4</f>
        <v>0</v>
      </c>
      <c r="E98" s="472">
        <f t="shared" ca="1" si="3"/>
        <v>0</v>
      </c>
    </row>
    <row r="99" spans="2:5" ht="15.75" customHeight="1">
      <c r="B99" s="822" t="str">
        <f>Financeiros!C82</f>
        <v>Reversão de Risco Hidrológico</v>
      </c>
      <c r="C99" s="1700">
        <f>Financeiros!D82</f>
        <v>-4361333.6717375368</v>
      </c>
      <c r="D99" s="986">
        <f ca="1">C99/Financeiros!$D$4</f>
        <v>-2.0667691692579905E-2</v>
      </c>
      <c r="E99" s="472">
        <f t="shared" ca="1" si="3"/>
        <v>1</v>
      </c>
    </row>
    <row r="100" spans="2:5" ht="15.75" customHeight="1">
      <c r="B100" s="735"/>
      <c r="C100" s="987"/>
      <c r="D100" s="988"/>
    </row>
    <row r="101" spans="2:5" ht="15.75" customHeight="1">
      <c r="C101" s="459"/>
      <c r="D101" s="477"/>
    </row>
    <row r="102" spans="2:5" ht="15.75" customHeight="1">
      <c r="C102" s="459"/>
      <c r="D102" s="477"/>
    </row>
    <row r="103" spans="2:5" ht="15.75" customHeight="1">
      <c r="C103" s="459"/>
      <c r="D103" s="477"/>
    </row>
    <row r="104" spans="2:5" ht="15.75" customHeight="1">
      <c r="C104" s="459"/>
      <c r="D104" s="477"/>
    </row>
    <row r="105" spans="2:5" ht="15.75" customHeight="1">
      <c r="C105" s="459"/>
      <c r="D105" s="477"/>
    </row>
    <row r="106" spans="2:5" ht="15.75" customHeight="1">
      <c r="C106" s="459"/>
      <c r="D106" s="477"/>
    </row>
    <row r="107" spans="2:5" ht="15.75" customHeight="1">
      <c r="C107" s="459"/>
      <c r="D107" s="477"/>
    </row>
    <row r="108" spans="2:5" ht="15.75" customHeight="1">
      <c r="C108" s="459"/>
      <c r="D108" s="477"/>
    </row>
    <row r="109" spans="2:5" ht="15.75" customHeight="1">
      <c r="C109" s="459"/>
      <c r="D109" s="477"/>
    </row>
    <row r="110" spans="2:5" ht="15.75" customHeight="1">
      <c r="C110" s="459"/>
      <c r="D110" s="477"/>
    </row>
    <row r="111" spans="2:5" ht="15.75" customHeight="1">
      <c r="C111" s="459"/>
      <c r="D111" s="477"/>
    </row>
    <row r="112" spans="2:5" ht="15.75" customHeight="1">
      <c r="C112" s="459"/>
      <c r="D112" s="477"/>
    </row>
    <row r="113" spans="3:4" ht="15.75" customHeight="1">
      <c r="C113" s="459"/>
      <c r="D113" s="477"/>
    </row>
  </sheetData>
  <phoneticPr fontId="111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Q205" zoomScale="88" zoomScaleNormal="88" workbookViewId="0">
      <selection activeCell="AV227" sqref="AV227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806</v>
      </c>
      <c r="E2" s="303" t="s">
        <v>807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808</v>
      </c>
    </row>
    <row r="5" spans="2:49" ht="15" customHeight="1">
      <c r="B5" s="304" t="s">
        <v>809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304" t="s">
        <v>810</v>
      </c>
      <c r="K6" s="358" t="s">
        <v>811</v>
      </c>
      <c r="L6" s="308"/>
      <c r="S6" s="358" t="s">
        <v>811</v>
      </c>
      <c r="T6" s="358"/>
      <c r="U6" s="358"/>
      <c r="V6" s="358"/>
      <c r="AC6" s="23" t="str">
        <f>IF(LnkTXTSuprid2="!vazio!","","s")</f>
        <v/>
      </c>
      <c r="AD6" s="23">
        <f>SMALL(N41:N42,1)</f>
        <v>316.50198023638831</v>
      </c>
      <c r="AE6" s="23">
        <f>SMALL(Q41:Q42,1)</f>
        <v>386.38185493767355</v>
      </c>
    </row>
    <row r="7" spans="2:49" ht="18.75" customHeight="1">
      <c r="B7" s="304" t="s">
        <v>812</v>
      </c>
      <c r="K7" s="1137" t="s">
        <v>813</v>
      </c>
      <c r="L7" s="1137" t="s">
        <v>814</v>
      </c>
      <c r="S7" s="1796" t="s">
        <v>815</v>
      </c>
      <c r="T7" s="1796"/>
      <c r="U7" s="1796"/>
      <c r="V7" s="301" t="s">
        <v>816</v>
      </c>
      <c r="W7" s="301" t="s">
        <v>817</v>
      </c>
      <c r="X7" s="60" t="s">
        <v>818</v>
      </c>
    </row>
    <row r="8" spans="2:49" ht="15" customHeight="1">
      <c r="B8" s="306" t="s">
        <v>819</v>
      </c>
      <c r="K8" s="358" t="s">
        <v>820</v>
      </c>
      <c r="L8" s="20">
        <f ca="1">Resultado!E14</f>
        <v>4.8513635196942448E-2</v>
      </c>
      <c r="S8" s="47" t="s">
        <v>821</v>
      </c>
      <c r="T8" s="369">
        <f ca="1">U8/$U$15</f>
        <v>0.30636350816581825</v>
      </c>
      <c r="U8" s="56">
        <f>AU228</f>
        <v>98760388.681823671</v>
      </c>
      <c r="V8" s="61" t="s">
        <v>233</v>
      </c>
      <c r="W8" s="62">
        <f ca="1">T12</f>
        <v>0.24349817755939715</v>
      </c>
      <c r="X8" s="62">
        <f ca="1">W8/(1-$W$10)</f>
        <v>0.32485697229792138</v>
      </c>
    </row>
    <row r="9" spans="2:49" ht="15" customHeight="1">
      <c r="B9" s="306" t="s">
        <v>822</v>
      </c>
      <c r="K9" s="365" t="s">
        <v>794</v>
      </c>
      <c r="L9" s="366">
        <f ca="1">Resultado!E24</f>
        <v>2.1229429015999265E-2</v>
      </c>
      <c r="S9" s="47" t="s">
        <v>823</v>
      </c>
      <c r="T9" s="369">
        <f ca="1">U9/$U$15</f>
        <v>0.21709148198596737</v>
      </c>
      <c r="U9" s="56">
        <f ca="1">AU219</f>
        <v>69982352.887938946</v>
      </c>
      <c r="V9" s="47" t="s">
        <v>824</v>
      </c>
      <c r="W9" s="57">
        <f ca="1">T13</f>
        <v>6.9467926163124171E-3</v>
      </c>
      <c r="X9" s="62">
        <f ca="1">W9/(1-$W$10)</f>
        <v>9.2678887338543698E-3</v>
      </c>
      <c r="AD9" s="425"/>
      <c r="AE9" s="425"/>
    </row>
    <row r="10" spans="2:49" ht="27.75" customHeight="1">
      <c r="B10" s="306" t="s">
        <v>825</v>
      </c>
      <c r="K10" s="358" t="s">
        <v>826</v>
      </c>
      <c r="L10" s="25">
        <f ca="1">Resultado!E33</f>
        <v>2.2037043211425309E-3</v>
      </c>
      <c r="S10" s="47" t="s">
        <v>827</v>
      </c>
      <c r="T10" s="369">
        <f ca="1">U10/$U$15</f>
        <v>5.9986472006647321E-2</v>
      </c>
      <c r="U10" s="56">
        <f>AU221</f>
        <v>19337444.35326587</v>
      </c>
      <c r="V10" s="1138" t="s">
        <v>828</v>
      </c>
      <c r="W10" s="1139">
        <f ca="1">SUM(W8:W9)</f>
        <v>0.25044497017570955</v>
      </c>
      <c r="X10" s="1139">
        <f ca="1">SUM(X8:X9)</f>
        <v>0.33412486103177574</v>
      </c>
      <c r="AE10" s="425"/>
    </row>
    <row r="11" spans="2:49" ht="15" customHeight="1">
      <c r="B11" s="304" t="s">
        <v>823</v>
      </c>
      <c r="K11" s="358" t="s">
        <v>829</v>
      </c>
      <c r="L11" s="25">
        <f ca="1">Resultado!E39</f>
        <v>7.3096608863396764E-2</v>
      </c>
      <c r="S11" s="1140" t="s">
        <v>820</v>
      </c>
      <c r="T11" s="1141">
        <f ca="1">U11/$U$15</f>
        <v>0.16611356766585741</v>
      </c>
      <c r="U11" s="1142">
        <f ca="1">AU208</f>
        <v>53548938.012307599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830</v>
      </c>
      <c r="K12" s="23" t="s">
        <v>801</v>
      </c>
      <c r="L12" s="19">
        <f ca="1">LnkTXTIRTFin</f>
        <v>-6.9000000000000006E-2</v>
      </c>
      <c r="S12" s="47" t="s">
        <v>233</v>
      </c>
      <c r="T12" s="57">
        <f ca="1">Calc_Mercado!J8</f>
        <v>0.24349817755939715</v>
      </c>
      <c r="U12" s="56">
        <f ca="1">T12*U15</f>
        <v>78494905.620632499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801</v>
      </c>
      <c r="K13" s="23" t="s">
        <v>831</v>
      </c>
      <c r="L13" s="19">
        <f ca="1">LnkTXTERFIN</f>
        <v>8.2400000000000001E-2</v>
      </c>
      <c r="S13" s="47" t="s">
        <v>832</v>
      </c>
      <c r="T13" s="58">
        <f ca="1">Calc_Mercado!J9</f>
        <v>6.9467926163124171E-3</v>
      </c>
      <c r="U13" s="56">
        <f ca="1">T13*U15</f>
        <v>2239391.8354914025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833</v>
      </c>
      <c r="K14" s="358" t="s">
        <v>834</v>
      </c>
      <c r="L14" s="366">
        <f>LnkTXTEfeito</f>
        <v>0.15841300794861213</v>
      </c>
      <c r="S14" s="47" t="s">
        <v>835</v>
      </c>
      <c r="T14" s="369">
        <f ca="1">SUM(T12:T13)</f>
        <v>0.25044497017570955</v>
      </c>
      <c r="U14" s="56">
        <f ca="1">SUM(U12:U13)</f>
        <v>80734297.456123903</v>
      </c>
      <c r="V14" s="56"/>
      <c r="AD14" s="23" t="s">
        <v>109</v>
      </c>
      <c r="AE14" s="23" t="s">
        <v>120</v>
      </c>
      <c r="AF14" s="23" t="s">
        <v>794</v>
      </c>
      <c r="AG14" s="23" t="s">
        <v>783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836</v>
      </c>
      <c r="S15" s="1138" t="s">
        <v>837</v>
      </c>
      <c r="T15" s="1143">
        <f ca="1">SUM(T8:T11)+T14</f>
        <v>0.99999999999999989</v>
      </c>
      <c r="U15" s="1144">
        <f ca="1">SUM(U8:U11)/(1-T14)</f>
        <v>322363421.39146</v>
      </c>
      <c r="V15" s="664"/>
      <c r="AC15" s="23" t="s">
        <v>838</v>
      </c>
      <c r="AD15" s="425">
        <f ca="1">Resultado!C39</f>
        <v>83335410.108129561</v>
      </c>
      <c r="AE15" s="425">
        <f ca="1">Resultado!C33</f>
        <v>69517323.217412025</v>
      </c>
      <c r="AF15" s="425">
        <f ca="1">Resultado!C24</f>
        <v>14857571.855821922</v>
      </c>
      <c r="AG15" s="425">
        <f ca="1">Resultado!C14</f>
        <v>43311502.991986528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839</v>
      </c>
      <c r="AC16" s="23" t="s">
        <v>840</v>
      </c>
      <c r="AD16" s="425">
        <f>Resultado!D39</f>
        <v>98760388.681823671</v>
      </c>
      <c r="AE16" s="425">
        <f ca="1">Resultado!D33</f>
        <v>69982352.887938946</v>
      </c>
      <c r="AF16" s="425">
        <f>Resultado!D24</f>
        <v>19337444.35326587</v>
      </c>
      <c r="AG16" s="425">
        <f ca="1">Resultado!D14</f>
        <v>53548938.012307599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705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841</v>
      </c>
      <c r="S19" s="358" t="s">
        <v>811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702</v>
      </c>
      <c r="S20" s="1800" t="s">
        <v>842</v>
      </c>
      <c r="T20" s="1800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821</v>
      </c>
      <c r="T21" s="55">
        <f ca="1">AX228</f>
        <v>0.4087271727569296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823</v>
      </c>
      <c r="T22" s="55">
        <f ca="1">AX219</f>
        <v>0.28962714323571098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827</v>
      </c>
      <c r="T23" s="55">
        <f ca="1">AX221</f>
        <v>8.0029443629654876E-2</v>
      </c>
      <c r="Z23" s="30" t="s">
        <v>843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844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2.5431788706126817E-2</v>
      </c>
      <c r="AL26" s="358"/>
    </row>
    <row r="27" spans="2:46" ht="15" customHeight="1">
      <c r="S27" s="47" t="s">
        <v>41</v>
      </c>
      <c r="T27" s="55">
        <f ca="1">AX212</f>
        <v>0.15120186647648187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2.8325965352841494E-2</v>
      </c>
      <c r="AD28" s="47"/>
      <c r="AE28" s="397"/>
      <c r="AF28" s="56"/>
      <c r="AL28" s="358"/>
    </row>
    <row r="29" spans="2:46" ht="15" customHeight="1">
      <c r="S29" s="47" t="s">
        <v>845</v>
      </c>
      <c r="T29" s="55">
        <f ca="1">AX215</f>
        <v>4.349527196489953E-2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45" t="s">
        <v>846</v>
      </c>
      <c r="T31" s="1146">
        <f ca="1">SUM(T21:T30)</f>
        <v>1.0268386521226451</v>
      </c>
    </row>
    <row r="36" spans="1:36" ht="15" customHeight="1">
      <c r="N36" s="663" t="s">
        <v>847</v>
      </c>
      <c r="O36" s="663"/>
      <c r="P36" s="1147">
        <f>VLOOKUP(LnkTXTSigla,Informacoes[],35,FALSE)</f>
        <v>41365</v>
      </c>
      <c r="Q36" s="1148">
        <f>DATE(2013,MONTH(DataRevRea),1)</f>
        <v>41456</v>
      </c>
    </row>
    <row r="37" spans="1:36" ht="15" customHeight="1">
      <c r="L37" s="358" t="s">
        <v>811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49"/>
      <c r="M38" s="1150">
        <f t="shared" ref="M38:V38" si="0">DATE(M37,MONTH(DataRevRea),1)</f>
        <v>41456</v>
      </c>
      <c r="N38" s="1150">
        <f t="shared" si="0"/>
        <v>41821</v>
      </c>
      <c r="O38" s="1150">
        <f t="shared" si="0"/>
        <v>42186</v>
      </c>
      <c r="P38" s="1150">
        <f t="shared" si="0"/>
        <v>42552</v>
      </c>
      <c r="Q38" s="1150">
        <f t="shared" si="0"/>
        <v>42917</v>
      </c>
      <c r="R38" s="1150">
        <f t="shared" si="0"/>
        <v>43282</v>
      </c>
      <c r="S38" s="1150">
        <f t="shared" si="0"/>
        <v>43647</v>
      </c>
      <c r="T38" s="1150">
        <f t="shared" si="0"/>
        <v>44013</v>
      </c>
      <c r="U38" s="1150">
        <f t="shared" si="0"/>
        <v>44378</v>
      </c>
      <c r="V38" s="1150">
        <f t="shared" si="0"/>
        <v>44743</v>
      </c>
      <c r="W38" s="1150" t="s">
        <v>781</v>
      </c>
    </row>
    <row r="39" spans="1:36" ht="15" customHeight="1">
      <c r="L39" s="65" t="str">
        <f>CAPA!C9</f>
        <v>Certel</v>
      </c>
      <c r="M39" s="410">
        <f>SUMIF(TAbtarifasb1[[#All],[Sigla]],LnkTXTSigla,TAbtarifasb1[[#All],[2013]])</f>
        <v>297.12</v>
      </c>
      <c r="N39" s="410">
        <f>SUMIF(TAbtarifasb1[[#All],[Sigla]],LnkTXTSigla,TAbtarifasb1[[#All],[2014]])</f>
        <v>269.27</v>
      </c>
      <c r="O39" s="410">
        <f>SUMIF(TAbtarifasb1[[#All],[Sigla]],LnkTXTSigla,TAbtarifasb1[[#All],[2015]])</f>
        <v>373.22999999999996</v>
      </c>
      <c r="P39" s="422">
        <f>SUMIF(TAbtarifasb1[[#All],[Sigla]],LnkTXTSigla,TAbtarifasb1[[#All],[2016]])</f>
        <v>358.46</v>
      </c>
      <c r="Q39" s="422">
        <f>SUMIF(TAbtarifasb1[[#All],[Sigla]],LnkTXTSigla,TAbtarifasb1[[#All],[2017]])</f>
        <v>384</v>
      </c>
      <c r="R39" s="788">
        <f>SUMIF(TAbtarifasb1[[#All],[Sigla]],LnkTXTSigla,TAbtarifasb1[[#All],[2018]])</f>
        <v>422.87</v>
      </c>
      <c r="S39" s="788">
        <f>SUMIF(TAbtarifasb1[[#All],[Sigla]],LnkTXTSigla,TAbtarifasb1[[#All],[2019]])</f>
        <v>458.66</v>
      </c>
      <c r="T39" s="425">
        <f>SUMIF(TAbtarifasb1[[#All],[Sigla]],LnkTXTSigla,TAbtarifasb1[[#All],[2020]])</f>
        <v>484.06</v>
      </c>
      <c r="U39" s="425">
        <f>SUMIF(TAbtarifasb1[[#All],[Sigla]],LnkTXTSigla,TAbtarifasb1[[#All],[2021]])</f>
        <v>508.88999999999993</v>
      </c>
      <c r="V39" s="425">
        <f>Resultado!L6</f>
        <v>582.96</v>
      </c>
      <c r="W39" s="775">
        <f>V39/M39-1</f>
        <v>0.96203554119547663</v>
      </c>
    </row>
    <row r="40" spans="1:36" ht="15" customHeight="1">
      <c r="L40" s="65" t="str">
        <f>LnkTXTSuprid1</f>
        <v>RGE</v>
      </c>
      <c r="M40" s="410">
        <f>SUMIF(TAbtarifasb1[[#All],[Sigla]],LnkTXTSuprid1,TAbtarifasb1[[#All],[2013]])</f>
        <v>284.77999999999997</v>
      </c>
      <c r="N40" s="410">
        <f>SUMIF(TAbtarifasb1[[#All],[Sigla]],LnkTXTSuprid1,TAbtarifasb1[[#All],[2014]])</f>
        <v>350.69</v>
      </c>
      <c r="O40" s="410">
        <f>SUMIF(TAbtarifasb1[[#All],[Sigla]],LnkTXTSuprid1,TAbtarifasb1[[#All],[2015]])</f>
        <v>446.79999999999995</v>
      </c>
      <c r="P40" s="410">
        <f>SUMIF(TAbtarifasb1[[#All],[Sigla]],LnkTXTSuprid1,TAbtarifasb1[[#All],[2016]])</f>
        <v>415.49</v>
      </c>
      <c r="Q40" s="410">
        <f>SUMIF(TAbtarifasb1[[#All],[Sigla]],LnkTXTSuprid1,TAbtarifasb1[[#All],[2017]])</f>
        <v>433.86</v>
      </c>
      <c r="R40" s="410">
        <f>SUMIF(TAbtarifasb1[[#All],[Sigla]],LnkTXTSuprid1,TAbtarifasb1[[#All],[2018]])</f>
        <v>527.58999999999992</v>
      </c>
      <c r="S40" s="410">
        <f>SUMIF(TAbtarifasb1[[#All],[Sigla]],LnkTXTSuprid1,TAbtarifasb1[[#All],[2019]])</f>
        <v>560.27</v>
      </c>
      <c r="T40" s="410">
        <f>SUMIF(TAbtarifasb1[[#All],[Sigla]],LnkTXTSuprid1,TAbtarifasb1[[#All],[2020]])</f>
        <v>589.57000000000005</v>
      </c>
      <c r="U40" s="410">
        <f>SUMIF(TAbtarifasb1[[#All],[Sigla]],LnkTXTSuprid1,TAbtarifasb1[[#All],[2021]])</f>
        <v>643.09</v>
      </c>
      <c r="V40" s="410">
        <f>SUMIF(TAbtarifasb1[[#All],[Sigla]],LnkTXTSuprid1,TAbtarifasb1[[#All],[2022]])</f>
        <v>0</v>
      </c>
      <c r="W40" s="775">
        <f>V40/M40-1</f>
        <v>-1</v>
      </c>
    </row>
    <row r="41" spans="1:36" ht="15" customHeight="1">
      <c r="L41" s="65" t="s">
        <v>848</v>
      </c>
      <c r="M41" s="411">
        <f>M39</f>
        <v>297.12</v>
      </c>
      <c r="N41" s="411">
        <f>VLOOKUP(DATE(YEAR(O38),MONTH(O38)-1,1),Índices!$B:$F,2,FALSE)/VLOOKUP(DATE(YEAR(Q36),MONTH(Q36)-1,1),Índices!$B:$F,2,FALSE)*M41</f>
        <v>333.31789495582223</v>
      </c>
      <c r="O41" s="411">
        <f>VLOOKUP(DATE(YEAR(O38),MONTH(O38)-1,1),Índices!$B:$F,2,FALSE)/VLOOKUP(DATE(YEAR(N38),MONTH(N38)-1,1),Índices!$B:$F,2,FALSE)*N41</f>
        <v>351.95950956781354</v>
      </c>
      <c r="P41" s="411">
        <f>VLOOKUP(DATE(YEAR(P38),MONTH(P38)-1,1),Índices!$B:$F,2,FALSE)/VLOOKUP(DATE(YEAR(O38),MONTH(O38)-1,1),Índices!$B:$F,2,FALSE)*O41</f>
        <v>394.92399852426058</v>
      </c>
      <c r="Q41" s="411">
        <f>VLOOKUP(DATE(YEAR(Q38),MONTH(Q38)-1,1),Índices!$B:$F,2,FALSE)/VLOOKUP(DATE(YEAR(P38),MONTH(P38)-1,1),Índices!$B:$F,2,FALSE)*P41</f>
        <v>391.84979702877644</v>
      </c>
      <c r="R41" s="368">
        <f>IF(R37=YEAR(CAPA!$C$114),'Tabelas e Gráficos'!R39,(VLOOKUP(DATE(YEAR(R38),MONTH(R38)-1,1),Índices!$B:$F,2,FALSE)/VLOOKUP(DATE(YEAR(Q38),MONTH(Q38)-1,1),Índices!$B:$F,2,FALSE)*Q41))</f>
        <v>418.97069632390878</v>
      </c>
      <c r="S41" s="368">
        <f>IF(S37=YEAR(CAPA!$C$114),'Tabelas e Gráficos'!S39,(VLOOKUP(DATE(YEAR(S38),MONTH(S38)-1,1),Índices!$B:$F,2,FALSE)/VLOOKUP(DATE(YEAR(R38),MONTH(R38)-1,1),Índices!$B:$F,2,FALSE)*R41))</f>
        <v>446.24630283013676</v>
      </c>
      <c r="T41" s="368">
        <f>IF(T37=YEAR(CAPA!$C$114),'Tabelas e Gráficos'!T39,(VLOOKUP(DATE(YEAR(T38),MONTH(T38)-1,1),Índices!$B:$F,2,FALSE)/VLOOKUP(DATE(YEAR(S38),MONTH(S38)-1,1),Índices!$B:$F,2,FALSE)*S41))</f>
        <v>478.88468977098756</v>
      </c>
      <c r="U41" s="411">
        <f>VLOOKUP(DATE(YEAR(U38),MONTH(U38)-1,1),Índices!$B:$F,2,FALSE)/VLOOKUP(DATE(YEAR(T38),MONTH(T38)-1,1),Índices!$B:$F,2,FALSE)*T41</f>
        <v>650.09239185013894</v>
      </c>
      <c r="V41" s="411">
        <f>VLOOKUP(DATE(YEAR(V38),MONTH(V38)-1,1),Índices!$B:$F,2,FALSE)/VLOOKUP(DATE(YEAR(U38),MONTH(U38)-1,1),Índices!$B:$F,2,FALSE)*U41</f>
        <v>719.67981626600397</v>
      </c>
      <c r="W41" s="775">
        <f>V41/M41-1</f>
        <v>1.4221857036416394</v>
      </c>
    </row>
    <row r="42" spans="1:36" ht="15" customHeight="1">
      <c r="L42" s="1151" t="s">
        <v>849</v>
      </c>
      <c r="M42" s="1153">
        <f>M39</f>
        <v>297.12</v>
      </c>
      <c r="N42" s="1153">
        <f>VLOOKUP(DATE(YEAR(N38),MONTH(N38)-1,1),Índices!$B:$F,3,FALSE)/VLOOKUP(DATE(YEAR(Q36),MONTH(Q36)-1,1),Índices!$B:$F,3,FALSE)*M42</f>
        <v>316.50198023638831</v>
      </c>
      <c r="O42" s="1153">
        <f>VLOOKUP(DATE(YEAR(O38),MONTH(O38)-1,1),Índices!$B:$F,3,FALSE)/VLOOKUP(DATE(YEAR(N38),MONTH(N38)-1,1),Índices!$B:$F,3,FALSE)*N42</f>
        <v>344.65302719111281</v>
      </c>
      <c r="P42" s="1153">
        <f>VLOOKUP(DATE(YEAR(P38),MONTH(P38)-1,1),Índices!$B:$F,3,FALSE)/VLOOKUP(DATE(YEAR(O38),MONTH(O38)-1,1),Índices!$B:$F,3,FALSE)*O42</f>
        <v>375.13327003810628</v>
      </c>
      <c r="Q42" s="1153">
        <f>VLOOKUP(DATE(YEAR(Q38),MONTH(Q38)-1,1),Índices!$B:$F,3,FALSE)/VLOOKUP(DATE(YEAR(P38),MONTH(P38)-1,1),Índices!$B:$F,3,FALSE)*P42</f>
        <v>386.38185493767355</v>
      </c>
      <c r="R42" s="1152">
        <f>IF(R37=YEAR(CAPA!$C$114),'Tabelas e Gráficos'!R39,(VLOOKUP(DATE(YEAR(R38),MONTH(R38)-1,1),Índices!$B:$F,3,FALSE)/VLOOKUP(DATE(YEAR(Q38),MONTH(Q38)-1,1),Índices!$B:$F,3,FALSE)*'Tabelas e Gráficos'!Q42))</f>
        <v>403.34828392430404</v>
      </c>
      <c r="S42" s="1152">
        <f>IF(S37=YEAR(CAPA!$C$114),'Tabelas e Gráficos'!S39,(VLOOKUP(DATE(YEAR(S38),MONTH(S38)-1,1),Índices!$B:$F,3,FALSE)/VLOOKUP(DATE(YEAR(R38),MONTH(R38)-1,1),Índices!$B:$F,3,FALSE)*'Tabelas e Gráficos'!R42))</f>
        <v>416.92606471614033</v>
      </c>
      <c r="T42" s="1152">
        <f>IF(T37=YEAR(CAPA!$C$114),'Tabelas e Gráficos'!T39,(VLOOKUP(DATE(YEAR(T38),MONTH(T38)-1,1),Índices!$B:$F,3,FALSE)/VLOOKUP(DATE(YEAR(S38),MONTH(S38)-1,1),Índices!$B:$F,3,FALSE)*'Tabelas e Gráficos'!S42))</f>
        <v>425.81666860427566</v>
      </c>
      <c r="U42" s="1153">
        <f>VLOOKUP(DATE(YEAR(U38),MONTH(U38)-1,1),Índices!$B:$F,3,FALSE)/VLOOKUP(DATE(YEAR(T38),MONTH(T38)-1,1),Índices!$B:$F,3,FALSE)*T42</f>
        <v>461.35989407737515</v>
      </c>
      <c r="V42" s="1153">
        <f>VLOOKUP(DATE(YEAR(V38),MONTH(V38)-1,1),Índices!$B:$F,3,FALSE)/VLOOKUP(DATE(YEAR(U38),MONTH(U38)-1,1),Índices!$B:$F,3,FALSE)*U42</f>
        <v>516.20114318930439</v>
      </c>
      <c r="W42" s="775">
        <f>V42/M42-1</f>
        <v>0.73734902796615631</v>
      </c>
    </row>
    <row r="43" spans="1:36" ht="15" customHeight="1">
      <c r="X43" s="23">
        <v>938.62</v>
      </c>
    </row>
    <row r="44" spans="1:36" ht="15" customHeight="1">
      <c r="X44" s="892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806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4"/>
      <c r="B49" s="674"/>
      <c r="C49" s="674"/>
      <c r="D49" s="674"/>
      <c r="E49" s="674"/>
      <c r="F49" s="674"/>
      <c r="G49" s="674"/>
      <c r="H49" s="675"/>
      <c r="I49" s="674"/>
      <c r="J49" s="674"/>
      <c r="K49" s="676"/>
      <c r="L49" s="676"/>
      <c r="M49" s="676"/>
      <c r="N49" s="676"/>
      <c r="O49" s="676"/>
      <c r="P49" s="676"/>
      <c r="Q49" s="674"/>
      <c r="R49" s="674"/>
      <c r="S49" s="677"/>
      <c r="T49" s="674"/>
      <c r="U49" s="674"/>
      <c r="V49" s="674"/>
      <c r="W49" s="674"/>
      <c r="X49" s="674"/>
      <c r="Y49" s="674"/>
      <c r="Z49" s="674"/>
      <c r="AA49" s="674"/>
      <c r="AB49" s="674"/>
      <c r="AC49" s="674"/>
      <c r="AD49" s="674"/>
    </row>
    <row r="50" spans="1:47" ht="15" customHeight="1">
      <c r="B50" s="307" t="s">
        <v>808</v>
      </c>
      <c r="C50" s="308" t="s">
        <v>850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851</v>
      </c>
      <c r="C51" s="309" t="s">
        <v>852</v>
      </c>
      <c r="H51" s="23"/>
      <c r="K51" s="49"/>
      <c r="L51" s="1801"/>
      <c r="M51" s="1801"/>
      <c r="N51" s="1801"/>
      <c r="O51" s="49"/>
      <c r="P51" s="49"/>
    </row>
    <row r="52" spans="1:47" ht="15" customHeight="1">
      <c r="B52" s="310" t="s">
        <v>853</v>
      </c>
      <c r="C52" s="311">
        <f ca="1">Resultado!C5</f>
        <v>241629123.93533608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854</v>
      </c>
      <c r="C53" s="311">
        <f ca="1">Resultado!C6</f>
        <v>211021808.17335004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0.14504337739748108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801</v>
      </c>
      <c r="C55" s="314">
        <f ca="1">Resultado!C8</f>
        <v>-6.9000000000000006E-2</v>
      </c>
      <c r="D55" s="312"/>
      <c r="E55" s="28"/>
      <c r="H55" s="23"/>
      <c r="K55" s="49"/>
      <c r="L55" s="673"/>
      <c r="M55" s="670"/>
      <c r="N55" s="671"/>
      <c r="O55" s="49"/>
      <c r="P55" s="49"/>
    </row>
    <row r="56" spans="1:47" ht="15" customHeight="1">
      <c r="B56" s="1154" t="str">
        <f>Resultado!B9</f>
        <v>Variação econômica e financeira</v>
      </c>
      <c r="C56" s="1155">
        <f ca="1">C54+C55</f>
        <v>7.6043377397481071E-2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29"/>
      <c r="M57" s="529"/>
      <c r="N57" s="529"/>
      <c r="O57" s="529"/>
      <c r="P57" s="529"/>
      <c r="Q57" s="529"/>
      <c r="R57" s="529"/>
      <c r="S57" s="49"/>
    </row>
    <row r="58" spans="1:47" ht="15" customHeight="1">
      <c r="C58" s="315"/>
      <c r="D58" s="312"/>
      <c r="E58" s="307" t="s">
        <v>809</v>
      </c>
      <c r="F58" s="316"/>
      <c r="G58" s="308" t="s">
        <v>850</v>
      </c>
      <c r="H58" s="23"/>
      <c r="L58" s="530"/>
      <c r="M58" s="531"/>
      <c r="N58" s="532"/>
      <c r="O58" s="526"/>
      <c r="P58" s="526"/>
      <c r="Q58" s="527"/>
      <c r="R58" s="528"/>
      <c r="S58" s="49"/>
      <c r="AT58" s="19"/>
      <c r="AU58" s="409"/>
    </row>
    <row r="59" spans="1:47" ht="15" customHeight="1">
      <c r="C59" s="315"/>
      <c r="D59" s="312"/>
      <c r="E59" s="309" t="s">
        <v>855</v>
      </c>
      <c r="F59" s="309" t="s">
        <v>856</v>
      </c>
      <c r="G59" s="309" t="s">
        <v>857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858</v>
      </c>
      <c r="F60" s="311">
        <f ca="1">Calc_Mercado!C8</f>
        <v>395242.39399999974</v>
      </c>
      <c r="G60" s="311">
        <f ca="1">Calc_Mercado!D8</f>
        <v>198618656.21031004</v>
      </c>
      <c r="H60" s="318" t="s">
        <v>859</v>
      </c>
    </row>
    <row r="61" spans="1:47" ht="15" hidden="1" customHeight="1">
      <c r="E61" s="310" t="s">
        <v>860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861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862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863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864</v>
      </c>
      <c r="F65" s="311">
        <f ca="1">Calc_Mercado!C13</f>
        <v>120047.26600000005</v>
      </c>
      <c r="G65" s="311">
        <f ca="1">Calc_Mercado!D13</f>
        <v>54512754.622410014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865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866</v>
      </c>
      <c r="F67" s="311">
        <f ca="1">Calc_Mercado!C15</f>
        <v>275195.12799999968</v>
      </c>
      <c r="G67" s="311">
        <f ca="1">Calc_Mercado!D15</f>
        <v>144105901.58790004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867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868</v>
      </c>
      <c r="F69" s="311">
        <f ca="1">Calc_Mercado!C18</f>
        <v>42518.079000000012</v>
      </c>
      <c r="G69" s="311">
        <f ca="1">Calc_Mercado!D18</f>
        <v>11824423.163039995</v>
      </c>
      <c r="H69" s="318">
        <f t="shared" ca="1" si="1"/>
        <v>1</v>
      </c>
    </row>
    <row r="70" spans="2:43" ht="15" customHeight="1">
      <c r="C70" s="315"/>
      <c r="D70" s="312"/>
      <c r="E70" s="1154" t="s">
        <v>846</v>
      </c>
      <c r="F70" s="1156">
        <f ca="1">Calc_Mercado!C25</f>
        <v>437760.47299999977</v>
      </c>
      <c r="G70" s="1156">
        <f ca="1">Calc_Mercado!D25</f>
        <v>211021808.17335004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810</v>
      </c>
      <c r="J72" s="316"/>
      <c r="K72" s="308" t="s">
        <v>850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869</v>
      </c>
      <c r="J73" s="301" t="s">
        <v>870</v>
      </c>
      <c r="K73" s="301" t="s">
        <v>871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98"/>
      <c r="D74" s="1798"/>
      <c r="E74" s="1798"/>
      <c r="I74" s="1157" t="s">
        <v>820</v>
      </c>
      <c r="J74" s="1158">
        <f ca="1">SUM(J75:J83)</f>
        <v>30572394.627497878</v>
      </c>
      <c r="K74" s="1159">
        <f ca="1">SUM(K75:K83)</f>
        <v>0.14487789149443403</v>
      </c>
      <c r="L74" s="318" t="s">
        <v>859</v>
      </c>
      <c r="N74" s="34"/>
      <c r="AG74" s="49"/>
      <c r="AH74" s="1805"/>
      <c r="AI74" s="1805"/>
      <c r="AJ74" s="1805"/>
      <c r="AK74" s="666"/>
      <c r="AL74" s="49"/>
      <c r="AM74" s="49"/>
      <c r="AN74" s="49"/>
      <c r="AO74" s="49"/>
    </row>
    <row r="75" spans="2:43" ht="15" hidden="1" customHeight="1">
      <c r="B75" s="30"/>
      <c r="C75" s="1797"/>
      <c r="D75" s="1797"/>
      <c r="E75" s="1797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806"/>
      <c r="AI75" s="1806"/>
      <c r="AJ75" s="1806"/>
      <c r="AK75" s="667"/>
      <c r="AL75" s="429"/>
      <c r="AM75" s="49"/>
      <c r="AN75" s="49"/>
      <c r="AO75" s="49"/>
    </row>
    <row r="76" spans="2:43" ht="15" hidden="1" customHeight="1">
      <c r="B76" s="30"/>
      <c r="C76" s="1797"/>
      <c r="D76" s="1797"/>
      <c r="E76" s="1797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8"/>
      <c r="AL76" s="49"/>
      <c r="AM76" s="49"/>
      <c r="AN76" s="49"/>
      <c r="AO76" s="49"/>
    </row>
    <row r="77" spans="2:43" ht="15" customHeight="1">
      <c r="B77" s="30"/>
      <c r="C77" s="1797"/>
      <c r="D77" s="1797"/>
      <c r="E77" s="1797"/>
      <c r="I77" s="35" t="str">
        <f>Resultado!B17</f>
        <v>Taxa de Fisc. de Serviços de E.E. – TFSEE</v>
      </c>
      <c r="J77" s="320">
        <f ca="1">Mercado_Faturado_Encargo_TFSEE_BRUTO</f>
        <v>452302.20791855728</v>
      </c>
      <c r="K77" s="36">
        <f t="shared" ca="1" si="2"/>
        <v>2.143390826918706E-3</v>
      </c>
      <c r="L77" s="318">
        <f ca="1">IF(J77=0,0,1)</f>
        <v>1</v>
      </c>
      <c r="N77" s="36"/>
      <c r="AG77" s="49"/>
      <c r="AH77" s="49"/>
      <c r="AI77" s="49"/>
      <c r="AJ77" s="49"/>
      <c r="AK77" s="668"/>
      <c r="AL77" s="49"/>
      <c r="AM77" s="49"/>
      <c r="AN77" s="49"/>
      <c r="AO77" s="49"/>
    </row>
    <row r="78" spans="2:43" ht="15" customHeight="1">
      <c r="B78" s="30"/>
      <c r="C78" s="1797"/>
      <c r="D78" s="1797"/>
      <c r="E78" s="1797"/>
      <c r="I78" s="35" t="str">
        <f>Resultado!B18</f>
        <v>Conta de Desenvolvimento Energético – CDE</v>
      </c>
      <c r="J78" s="320">
        <f ca="1">Mercado_Faturado_Encargo_CDE_BRUTO</f>
        <v>24941264.727890957</v>
      </c>
      <c r="K78" s="36">
        <f t="shared" ca="1" si="2"/>
        <v>0.1181928301334724</v>
      </c>
      <c r="L78" s="318">
        <f t="shared" ref="L78:L94" ca="1" si="3">IF(J78=0,0,1)</f>
        <v>1</v>
      </c>
      <c r="N78" s="36"/>
      <c r="AG78" s="49"/>
      <c r="AH78" s="1806"/>
      <c r="AI78" s="1806"/>
      <c r="AJ78" s="1806"/>
      <c r="AK78" s="667"/>
      <c r="AL78" s="429"/>
      <c r="AM78" s="49"/>
      <c r="AN78" s="49"/>
      <c r="AO78" s="49"/>
    </row>
    <row r="79" spans="2:43" ht="15" hidden="1" customHeight="1">
      <c r="B79" s="30"/>
      <c r="C79" s="1797"/>
      <c r="D79" s="1797"/>
      <c r="E79" s="1797"/>
      <c r="I79" s="35" t="str">
        <f>Resultado!B19</f>
        <v>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8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97"/>
      <c r="D80" s="1797"/>
      <c r="E80" s="1797"/>
      <c r="I80" s="35" t="str">
        <f>Resultado!B20</f>
        <v>Encargos Serv. Sist. - ESS e Energ. Reserv. – EER</v>
      </c>
      <c r="J80" s="320">
        <f ca="1">Mercado_Faturado_Encargo_ESSERR_BRUTO</f>
        <v>1124321.8870068607</v>
      </c>
      <c r="K80" s="36">
        <f t="shared" ca="1" si="2"/>
        <v>5.3279890677614397E-3</v>
      </c>
      <c r="L80" s="318">
        <v>0</v>
      </c>
      <c r="N80" s="36"/>
      <c r="AG80" s="49"/>
      <c r="AH80" s="49"/>
      <c r="AI80" s="49"/>
      <c r="AJ80" s="49"/>
      <c r="AK80" s="668"/>
      <c r="AL80" s="49"/>
      <c r="AM80" s="49"/>
      <c r="AN80" s="49"/>
      <c r="AO80" s="49"/>
    </row>
    <row r="81" spans="2:41" ht="15" customHeight="1">
      <c r="B81" s="30"/>
      <c r="C81" s="1797"/>
      <c r="D81" s="1797"/>
      <c r="E81" s="1797"/>
      <c r="I81" s="35" t="str">
        <f>Resultado!B21</f>
        <v>PROINFA</v>
      </c>
      <c r="J81" s="320">
        <f ca="1">Mercado_Faturado_Encargo_PROINFA_BRUTO</f>
        <v>4054505.8046815027</v>
      </c>
      <c r="K81" s="36">
        <f t="shared" ca="1" si="2"/>
        <v>1.9213681466281485E-2</v>
      </c>
      <c r="L81" s="318">
        <f t="shared" ca="1" si="3"/>
        <v>1</v>
      </c>
      <c r="N81" s="34"/>
      <c r="AG81" s="49"/>
      <c r="AH81" s="49"/>
      <c r="AI81" s="49"/>
      <c r="AJ81" s="49"/>
      <c r="AK81" s="668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806"/>
      <c r="AI82" s="1806"/>
      <c r="AJ82" s="1806"/>
      <c r="AK82" s="667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8"/>
      <c r="AL83" s="49"/>
      <c r="AM83" s="49"/>
      <c r="AN83" s="49"/>
      <c r="AO83" s="49"/>
    </row>
    <row r="84" spans="2:41" ht="15" customHeight="1">
      <c r="I84" s="1157" t="s">
        <v>872</v>
      </c>
      <c r="J84" s="1158">
        <f ca="1">SUM(Calc_Mercado!C79:C85)</f>
        <v>69517323.217412025</v>
      </c>
      <c r="K84" s="1159">
        <f ca="1">SUM(K85)</f>
        <v>0.32943193795546</v>
      </c>
      <c r="L84" s="318">
        <f t="shared" ca="1" si="3"/>
        <v>1</v>
      </c>
      <c r="N84" s="36"/>
      <c r="AG84" s="49"/>
      <c r="AH84" s="49"/>
      <c r="AI84" s="49"/>
      <c r="AJ84" s="49"/>
      <c r="AK84" s="668"/>
      <c r="AL84" s="49"/>
      <c r="AM84" s="49"/>
      <c r="AN84" s="49"/>
      <c r="AO84" s="49"/>
    </row>
    <row r="85" spans="2:41" ht="15" customHeight="1">
      <c r="B85" s="30"/>
      <c r="I85" s="37" t="s">
        <v>873</v>
      </c>
      <c r="J85" s="320">
        <f ca="1">J84</f>
        <v>69517323.217412025</v>
      </c>
      <c r="K85" s="36">
        <f t="shared" ref="K85:K96" ca="1" si="4">J85/$J$97</f>
        <v>0.32943193795546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2"/>
      <c r="AL85" s="49"/>
      <c r="AM85" s="49"/>
      <c r="AN85" s="49"/>
      <c r="AO85" s="49"/>
    </row>
    <row r="86" spans="2:41" ht="15" customHeight="1">
      <c r="B86" s="1804"/>
      <c r="C86" s="1804"/>
      <c r="D86" s="1804"/>
      <c r="E86" s="1804"/>
      <c r="F86" s="1804"/>
      <c r="G86" s="39"/>
      <c r="I86" s="1157" t="s">
        <v>874</v>
      </c>
      <c r="J86" s="1158">
        <f ca="1">Resultado!C24</f>
        <v>14857571.855821922</v>
      </c>
      <c r="K86" s="1159">
        <f t="shared" ca="1" si="4"/>
        <v>7.0407755408942077E-2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2"/>
      <c r="AL86" s="49"/>
      <c r="AM86" s="49"/>
      <c r="AN86" s="49"/>
      <c r="AO86" s="49"/>
    </row>
    <row r="87" spans="2:41" ht="15" customHeight="1">
      <c r="B87" s="1803"/>
      <c r="C87" s="1803"/>
      <c r="D87" s="1803"/>
      <c r="E87" s="1803"/>
      <c r="F87" s="1803"/>
      <c r="G87" s="42"/>
      <c r="I87" s="37" t="s">
        <v>705</v>
      </c>
      <c r="J87" s="320">
        <f ca="1">Resultado!C25</f>
        <v>10485789.81131511</v>
      </c>
      <c r="K87" s="36">
        <f t="shared" ca="1" si="4"/>
        <v>4.9690550479508974E-2</v>
      </c>
      <c r="L87" s="318">
        <f t="shared" ca="1" si="3"/>
        <v>1</v>
      </c>
      <c r="M87" s="321"/>
      <c r="N87" s="41"/>
      <c r="AG87" s="49"/>
      <c r="AH87" s="669"/>
      <c r="AI87" s="670"/>
      <c r="AJ87" s="671"/>
      <c r="AK87" s="672"/>
      <c r="AL87" s="429"/>
      <c r="AM87" s="49"/>
      <c r="AN87" s="49"/>
      <c r="AO87" s="49"/>
    </row>
    <row r="88" spans="2:41" ht="15" customHeight="1">
      <c r="B88" s="302"/>
      <c r="C88" s="302"/>
      <c r="D88" s="302"/>
      <c r="E88" s="302"/>
      <c r="F88" s="302"/>
      <c r="G88" s="42"/>
      <c r="I88" s="37" t="s">
        <v>707</v>
      </c>
      <c r="J88" s="320">
        <f ca="1">Resultado!C26</f>
        <v>2259181.8539222553</v>
      </c>
      <c r="K88" s="36">
        <f t="shared" ca="1" si="4"/>
        <v>1.0705916480757213E-2</v>
      </c>
      <c r="L88" s="318">
        <f t="shared" ca="1" si="3"/>
        <v>1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customHeight="1">
      <c r="B89" s="1803"/>
      <c r="C89" s="1803"/>
      <c r="D89" s="1803"/>
      <c r="E89" s="1803"/>
      <c r="F89" s="1803"/>
      <c r="G89" s="42"/>
      <c r="I89" s="37" t="s">
        <v>795</v>
      </c>
      <c r="J89" s="320">
        <f ca="1">Resultado!C31</f>
        <v>1062604.2435166286</v>
      </c>
      <c r="K89" s="36">
        <f t="shared" ca="1" si="4"/>
        <v>5.0355186163684148E-3</v>
      </c>
      <c r="L89" s="318">
        <f t="shared" ca="1" si="3"/>
        <v>1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796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797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798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customHeight="1">
      <c r="B93" s="302"/>
      <c r="C93" s="302"/>
      <c r="D93" s="302"/>
      <c r="E93" s="302"/>
      <c r="F93" s="302"/>
      <c r="G93" s="42"/>
      <c r="I93" s="37" t="s">
        <v>708</v>
      </c>
      <c r="J93" s="320">
        <f ca="1">Resultado!C31</f>
        <v>1062604.2435166286</v>
      </c>
      <c r="K93" s="36">
        <f t="shared" ca="1" si="4"/>
        <v>5.0355186163684148E-3</v>
      </c>
      <c r="L93" s="318">
        <f t="shared" ca="1" si="3"/>
        <v>1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804"/>
      <c r="C94" s="1804"/>
      <c r="D94" s="1804"/>
      <c r="E94" s="1804"/>
      <c r="F94" s="1804"/>
      <c r="G94" s="42"/>
      <c r="I94" s="37" t="s">
        <v>709</v>
      </c>
      <c r="J94" s="320">
        <f ca="1">Resultado!C32</f>
        <v>1049995.9470679283</v>
      </c>
      <c r="K94" s="36">
        <f t="shared" ca="1" si="4"/>
        <v>4.9757698323074665E-3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03"/>
      <c r="C95" s="1803"/>
      <c r="D95" s="1803"/>
      <c r="E95" s="1803"/>
      <c r="F95" s="1803"/>
      <c r="I95" s="1157" t="s">
        <v>875</v>
      </c>
      <c r="J95" s="1158">
        <f ca="1">J86+J84+J74</f>
        <v>114947289.70073183</v>
      </c>
      <c r="K95" s="1159">
        <f t="shared" ca="1" si="4"/>
        <v>0.54471758485883603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03"/>
      <c r="C96" s="1803"/>
      <c r="D96" s="1803"/>
      <c r="E96" s="1803"/>
      <c r="F96" s="1803"/>
      <c r="I96" s="1157" t="s">
        <v>876</v>
      </c>
      <c r="J96" s="1158">
        <f ca="1">J97-J95</f>
        <v>96074518.472618207</v>
      </c>
      <c r="K96" s="1159">
        <f t="shared" ca="1" si="4"/>
        <v>0.45528241514116391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04"/>
      <c r="C97" s="1804"/>
      <c r="D97" s="1804"/>
      <c r="E97" s="1804"/>
      <c r="F97" s="1804"/>
      <c r="G97" s="28"/>
      <c r="I97" s="1154" t="s">
        <v>877</v>
      </c>
      <c r="J97" s="1156">
        <f ca="1">Mercado_RA0_Reais</f>
        <v>211021808.17335004</v>
      </c>
      <c r="K97" s="1160">
        <f ca="1">K95+K96</f>
        <v>1</v>
      </c>
      <c r="L97" s="31"/>
      <c r="AG97" s="49"/>
      <c r="AH97" s="665"/>
      <c r="AI97" s="665"/>
      <c r="AJ97" s="665"/>
      <c r="AK97" s="49"/>
      <c r="AL97" s="49"/>
      <c r="AM97" s="49"/>
      <c r="AN97" s="49"/>
      <c r="AO97" s="49"/>
    </row>
    <row r="98" spans="2:41" ht="15" customHeight="1">
      <c r="B98" s="1803"/>
      <c r="C98" s="1803"/>
      <c r="D98" s="1803"/>
      <c r="E98" s="1803"/>
      <c r="F98" s="1803"/>
      <c r="G98" s="42"/>
      <c r="M98" s="307" t="s">
        <v>812</v>
      </c>
      <c r="N98" s="308" t="s">
        <v>850</v>
      </c>
      <c r="AH98" s="430"/>
      <c r="AI98" s="431"/>
      <c r="AJ98" s="431"/>
      <c r="AL98" s="49"/>
      <c r="AM98" s="49"/>
      <c r="AN98" s="49"/>
    </row>
    <row r="99" spans="2:41" ht="15" customHeight="1">
      <c r="B99" s="1803"/>
      <c r="C99" s="1803"/>
      <c r="D99" s="1803"/>
      <c r="E99" s="1803"/>
      <c r="F99" s="1803"/>
      <c r="G99" s="42"/>
      <c r="M99" s="301" t="s">
        <v>820</v>
      </c>
      <c r="N99" s="301" t="s">
        <v>852</v>
      </c>
      <c r="O99" s="323" t="s">
        <v>859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493851.78355056606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30049774.534099974</v>
      </c>
      <c r="O103" s="324">
        <f t="shared" ca="1" si="5"/>
        <v>1</v>
      </c>
    </row>
    <row r="104" spans="2:41" ht="15" customHeight="1">
      <c r="B104" s="1803"/>
      <c r="C104" s="1803"/>
      <c r="D104" s="1803"/>
      <c r="E104" s="1803"/>
      <c r="F104" s="1803"/>
      <c r="G104" s="45"/>
      <c r="M104" s="35" t="s">
        <v>878</v>
      </c>
      <c r="N104" s="320">
        <f>Encargos!I20</f>
        <v>6350526.4092792068</v>
      </c>
      <c r="O104" s="324">
        <f t="shared" si="5"/>
        <v>1</v>
      </c>
    </row>
    <row r="105" spans="2:41" ht="15" customHeight="1">
      <c r="B105" s="1803"/>
      <c r="C105" s="1803"/>
      <c r="D105" s="1803"/>
      <c r="E105" s="1803"/>
      <c r="F105" s="1803"/>
      <c r="G105" s="45"/>
      <c r="M105" s="35" t="str">
        <f>Resultado!B20</f>
        <v>Encargos Serv. Sist. - ESS e Energ. Reserv. – EER</v>
      </c>
      <c r="N105" s="320">
        <f>Resultado!D20</f>
        <v>10509724.460207857</v>
      </c>
      <c r="O105" s="324">
        <f t="shared" si="5"/>
        <v>1</v>
      </c>
    </row>
    <row r="106" spans="2:41" ht="15" customHeight="1">
      <c r="B106" s="1804"/>
      <c r="C106" s="1804"/>
      <c r="D106" s="1804"/>
      <c r="E106" s="1804"/>
      <c r="F106" s="1804"/>
      <c r="G106" s="39"/>
      <c r="M106" s="35" t="str">
        <f>Resultado!B21</f>
        <v>PROINFA</v>
      </c>
      <c r="N106" s="320">
        <f ca="1">Resultado!D21</f>
        <v>6145060.8251699973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54" t="s">
        <v>846</v>
      </c>
      <c r="N109" s="1156">
        <f ca="1">SUM(N100:N108)</f>
        <v>53548938.012307599</v>
      </c>
    </row>
    <row r="110" spans="2:41" ht="15" customHeight="1">
      <c r="B110" s="29"/>
      <c r="C110" s="29"/>
      <c r="D110" s="29"/>
      <c r="P110" s="326" t="s">
        <v>819</v>
      </c>
      <c r="Q110" s="308" t="s">
        <v>850</v>
      </c>
    </row>
    <row r="111" spans="2:41" ht="15" customHeight="1">
      <c r="B111" s="46"/>
      <c r="C111" s="312"/>
      <c r="D111" s="312"/>
      <c r="P111" s="301" t="s">
        <v>855</v>
      </c>
      <c r="Q111" s="301" t="s">
        <v>879</v>
      </c>
    </row>
    <row r="112" spans="2:41" ht="15" customHeight="1">
      <c r="B112" s="46"/>
      <c r="C112" s="312"/>
      <c r="D112" s="312"/>
      <c r="P112" s="35" t="s">
        <v>880</v>
      </c>
      <c r="Q112" s="48">
        <f ca="1">Energia!N15</f>
        <v>3.6097044206978485E-2</v>
      </c>
    </row>
    <row r="113" spans="2:44" ht="15" customHeight="1">
      <c r="B113" s="46"/>
      <c r="C113" s="312"/>
      <c r="D113" s="312"/>
      <c r="P113" s="35" t="s">
        <v>744</v>
      </c>
      <c r="Q113" s="1161">
        <f ca="1">Energia!N14</f>
        <v>8.6099999999999996E-2</v>
      </c>
    </row>
    <row r="114" spans="2:44" ht="15" customHeight="1">
      <c r="B114" s="46"/>
      <c r="C114" s="312"/>
      <c r="D114" s="312"/>
      <c r="P114" s="1154" t="s">
        <v>846</v>
      </c>
      <c r="Q114" s="1160">
        <f ca="1">SUM(Q112:Q113)</f>
        <v>0.12219704420697848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881</v>
      </c>
      <c r="T117" s="308" t="s">
        <v>850</v>
      </c>
    </row>
    <row r="118" spans="2:44" ht="15" customHeight="1">
      <c r="B118" s="46"/>
      <c r="C118" s="312"/>
      <c r="D118" s="312"/>
      <c r="P118" s="44"/>
      <c r="Q118" s="312"/>
      <c r="S118" s="301" t="s">
        <v>855</v>
      </c>
      <c r="T118" s="301" t="s">
        <v>856</v>
      </c>
    </row>
    <row r="119" spans="2:44" ht="15" customHeight="1">
      <c r="B119" s="46"/>
      <c r="C119" s="312"/>
      <c r="D119" s="312"/>
      <c r="P119" s="44"/>
      <c r="Q119" s="312"/>
      <c r="S119" s="1162" t="s">
        <v>882</v>
      </c>
      <c r="T119" s="1163">
        <f ca="1">SUM(T120:T121)</f>
        <v>395242.39399999974</v>
      </c>
      <c r="U119" s="323" t="s">
        <v>859</v>
      </c>
    </row>
    <row r="120" spans="2:44" ht="15" customHeight="1">
      <c r="B120" s="46"/>
      <c r="C120" s="312"/>
      <c r="D120" s="312"/>
      <c r="P120" s="44"/>
      <c r="Q120" s="312"/>
      <c r="S120" s="47" t="s">
        <v>883</v>
      </c>
      <c r="T120" s="327">
        <f ca="1">Energia!C7</f>
        <v>395242.39399999974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884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62" t="s">
        <v>885</v>
      </c>
      <c r="T122" s="1164">
        <f ca="1">SUM(T123:T124)</f>
        <v>52847.633539873044</v>
      </c>
      <c r="U122" s="323">
        <v>1</v>
      </c>
    </row>
    <row r="123" spans="2:44" ht="15" customHeight="1">
      <c r="B123" s="46"/>
      <c r="C123" s="312"/>
      <c r="D123" s="312"/>
      <c r="P123" s="44"/>
      <c r="Q123" s="312"/>
      <c r="S123" s="47" t="s">
        <v>886</v>
      </c>
      <c r="T123" s="327">
        <f ca="1">SUM(Energia!C11:C12)</f>
        <v>15611.207099999998</v>
      </c>
      <c r="U123" s="323">
        <f ca="1">IF(T123=0,0,1)</f>
        <v>1</v>
      </c>
    </row>
    <row r="124" spans="2:44" ht="15" customHeight="1">
      <c r="B124" s="46"/>
      <c r="C124" s="312"/>
      <c r="D124" s="312"/>
      <c r="P124" s="44"/>
      <c r="Q124" s="312"/>
      <c r="S124" s="47" t="s">
        <v>887</v>
      </c>
      <c r="T124" s="327">
        <f ca="1">SUM(Energia!C10:C10)</f>
        <v>37236.426439873045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54" t="s">
        <v>881</v>
      </c>
      <c r="T125" s="1165">
        <f ca="1">T119+T122</f>
        <v>448090.0275398728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66" t="s">
        <v>888</v>
      </c>
      <c r="W127" s="1166"/>
      <c r="X127" s="308" t="s">
        <v>850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49" t="s">
        <v>27</v>
      </c>
      <c r="W128" s="1167" t="s">
        <v>77</v>
      </c>
      <c r="X128" s="1149" t="s">
        <v>889</v>
      </c>
      <c r="Y128" s="323" t="s">
        <v>859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RGE SUL DISTRIBUIDORA DE ENERGIA S.A.</v>
      </c>
      <c r="W129" s="329" t="str">
        <f>Energia!C28</f>
        <v>A3 ( 69 kV)</v>
      </c>
      <c r="X129" s="330">
        <f>Energia!H28</f>
        <v>183.608576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RGE SUL DISTRIBUIDORA DE ENERGIA S.A.</v>
      </c>
      <c r="W130" s="329" t="str">
        <f>Energia!C29</f>
        <v>A4 (2,3 a 25 kV)</v>
      </c>
      <c r="X130" s="330">
        <f>Energia!H29</f>
        <v>183.608576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68">
        <f>Energia!B32</f>
        <v>0</v>
      </c>
      <c r="W133" s="1168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69"/>
      <c r="W134" s="1170"/>
      <c r="X134" s="1171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66" t="s">
        <v>890</v>
      </c>
      <c r="AA136" s="1166"/>
      <c r="AB136" s="1166"/>
      <c r="AC136" s="308" t="s">
        <v>850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855</v>
      </c>
      <c r="AA137" s="301" t="s">
        <v>856</v>
      </c>
      <c r="AB137" s="301" t="s">
        <v>889</v>
      </c>
      <c r="AC137" s="301" t="s">
        <v>891</v>
      </c>
      <c r="AD137" s="334" t="s">
        <v>859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RGE SUL DISTRIBUIDORA DE ENERGIA S.A.</v>
      </c>
      <c r="AA138" s="335">
        <f>Energia!E35</f>
        <v>203238.45861</v>
      </c>
      <c r="AB138" s="336">
        <f>Energia!G35</f>
        <v>273.92000000000007</v>
      </c>
      <c r="AC138" s="337">
        <f>AA138*AB138</f>
        <v>55671078.582451217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20249.868736240525</v>
      </c>
      <c r="AB139" s="336">
        <f>Energia!E18</f>
        <v>213.16735529174946</v>
      </c>
      <c r="AC139" s="337">
        <f ca="1">AA139*AB139</f>
        <v>4316610.9635094739</v>
      </c>
      <c r="AD139" s="340">
        <f ca="1">IF(AA139=0,0,1)</f>
        <v>1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172">
        <f>Energia!C19</f>
        <v>7485.8213413858921</v>
      </c>
      <c r="AB140" s="1173">
        <f>Energia!D19</f>
        <v>0</v>
      </c>
      <c r="AC140" s="1174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62" t="s">
        <v>892</v>
      </c>
      <c r="AA141" s="1175">
        <f ca="1">Energia!N30-Energia!M30</f>
        <v>-29734.759548367583</v>
      </c>
      <c r="AB141" s="1176">
        <f>Energia!N34</f>
        <v>0</v>
      </c>
      <c r="AC141" s="1176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54" t="s">
        <v>846</v>
      </c>
      <c r="AA142" s="1177">
        <f ca="1">SUM(AA138:AA141)</f>
        <v>201239.38913925883</v>
      </c>
      <c r="AB142" s="1178">
        <f ca="1">AC142/AA142</f>
        <v>298.09119279550617</v>
      </c>
      <c r="AC142" s="1178">
        <f ca="1">SUM(AC138:AC141)</f>
        <v>59987689.545960695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179" t="s">
        <v>830</v>
      </c>
      <c r="AF144" s="1179"/>
      <c r="AG144" s="1179"/>
      <c r="AH144" s="1179"/>
      <c r="AI144" s="1179"/>
      <c r="AJ144" s="1179"/>
      <c r="AK144" s="308" t="s">
        <v>850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49" t="s">
        <v>27</v>
      </c>
      <c r="AF145" s="1149" t="s">
        <v>77</v>
      </c>
      <c r="AG145" s="1149" t="s">
        <v>893</v>
      </c>
      <c r="AH145" s="1149" t="s">
        <v>894</v>
      </c>
      <c r="AI145" s="1149" t="s">
        <v>60</v>
      </c>
      <c r="AJ145" s="1149" t="s">
        <v>895</v>
      </c>
      <c r="AK145" s="1149" t="s">
        <v>891</v>
      </c>
      <c r="AL145" s="323" t="s">
        <v>859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RGE SUL DISTRIBUIDORA DE ENERGIA S.A.</v>
      </c>
      <c r="AF146" s="387" t="str">
        <f>CUSD!C6</f>
        <v>A3 ( 69 kV)</v>
      </c>
      <c r="AG146" s="339" t="str">
        <f>CUSD!F6</f>
        <v>Potência</v>
      </c>
      <c r="AH146" s="339" t="str">
        <f>CUSD!F6</f>
        <v>Potência</v>
      </c>
      <c r="AI146" s="405">
        <f>CUSD!H6</f>
        <v>0</v>
      </c>
      <c r="AJ146" s="406">
        <f>CUSD!J6</f>
        <v>0</v>
      </c>
      <c r="AK146" s="339">
        <f>IFERROR(AI146*AJ146,0)</f>
        <v>0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RGE SUL DISTRIBUIDORA DE ENERGIA S.A.</v>
      </c>
      <c r="AF147" s="387" t="str">
        <f>CUSD!C7</f>
        <v>A3 ( 69 kV)</v>
      </c>
      <c r="AG147" s="339" t="str">
        <f>CUSD!F7</f>
        <v>Potência</v>
      </c>
      <c r="AH147" s="339" t="str">
        <f>CUSD!F7</f>
        <v>Potência</v>
      </c>
      <c r="AI147" s="405">
        <f>CUSD!H7</f>
        <v>0</v>
      </c>
      <c r="AJ147" s="406">
        <f>CUSD!J7</f>
        <v>0</v>
      </c>
      <c r="AK147" s="339">
        <f t="shared" ref="AK147:AK153" si="7">IFERROR(AI147*AJ147,0)</f>
        <v>0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RGE SUL DISTRIBUIDORA DE ENERGIA S.A.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5">
        <f>CUSD!H8</f>
        <v>26756.129999999997</v>
      </c>
      <c r="AJ148" s="406">
        <f>CUSD!J8</f>
        <v>19.98</v>
      </c>
      <c r="AK148" s="339">
        <f t="shared" si="7"/>
        <v>534587.47739999997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RGE SUL DISTRIBUIDORA DE ENERGIA S.A.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5">
        <f>CUSD!H9</f>
        <v>19959.099999999999</v>
      </c>
      <c r="AJ149" s="406">
        <f>CUSD!J9</f>
        <v>26.9</v>
      </c>
      <c r="AK149" s="339">
        <f t="shared" si="7"/>
        <v>536899.78999999992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RGE SUL DISTRIBUIDORA DE ENERGIA S.A.</v>
      </c>
      <c r="AF150" s="387" t="str">
        <f>CUSD!C10</f>
        <v>A3 ( 69 kV)</v>
      </c>
      <c r="AG150" s="339" t="str">
        <f>CUSD!F10</f>
        <v>Energia</v>
      </c>
      <c r="AH150" s="339" t="str">
        <f>CUSD!F10</f>
        <v>Energia</v>
      </c>
      <c r="AI150" s="405">
        <f>CUSD!H10</f>
        <v>176035.14300000001</v>
      </c>
      <c r="AJ150" s="406">
        <f>CUSD!J10</f>
        <v>0</v>
      </c>
      <c r="AK150" s="339">
        <f t="shared" si="7"/>
        <v>0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RGE SUL DISTRIBUIDORA DE ENERGIA S.A.</v>
      </c>
      <c r="AF151" s="387" t="str">
        <f>CUSD!C11</f>
        <v>A3 ( 69 kV)</v>
      </c>
      <c r="AG151" s="339" t="str">
        <f>CUSD!F11</f>
        <v>Energia</v>
      </c>
      <c r="AH151" s="339" t="str">
        <f>CUSD!F11</f>
        <v>Energia</v>
      </c>
      <c r="AI151" s="405">
        <f>CUSD!H11</f>
        <v>23911.088</v>
      </c>
      <c r="AJ151" s="406">
        <f>CUSD!J11</f>
        <v>0</v>
      </c>
      <c r="AK151" s="339">
        <f t="shared" si="7"/>
        <v>0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RGE SUL DISTRIBUIDORA DE ENERGIA S.A.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5">
        <f>CUSD!H12</f>
        <v>6708.2917200000011</v>
      </c>
      <c r="AJ152" s="406">
        <f>CUSD!J12</f>
        <v>11.36</v>
      </c>
      <c r="AK152" s="339">
        <f t="shared" si="7"/>
        <v>76206.193939200006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RGE SUL DISTRIBUIDORA DE ENERGIA S.A.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5">
        <f>CUSD!H13</f>
        <v>843.42865999999992</v>
      </c>
      <c r="AJ153" s="406">
        <f>CUSD!J13</f>
        <v>11.36</v>
      </c>
      <c r="AK153" s="339">
        <f t="shared" si="7"/>
        <v>9581.3495775999982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54" t="s">
        <v>896</v>
      </c>
      <c r="AF161" s="1154"/>
      <c r="AG161" s="1154"/>
      <c r="AH161" s="1154"/>
      <c r="AI161" s="1180">
        <f>SUM(AI146:AI160)</f>
        <v>254213.18138000002</v>
      </c>
      <c r="AJ161" s="1156"/>
      <c r="AK161" s="1156">
        <f>SUM(AK146:AK160)</f>
        <v>1157274.8109167996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179" t="s">
        <v>897</v>
      </c>
      <c r="AN163" s="308" t="s">
        <v>850</v>
      </c>
    </row>
    <row r="164" spans="2:42" ht="15" customHeight="1">
      <c r="B164" s="46"/>
      <c r="C164" s="312"/>
      <c r="D164" s="312"/>
      <c r="P164" s="44"/>
      <c r="Q164" s="312"/>
      <c r="AM164" s="1181" t="s">
        <v>801</v>
      </c>
      <c r="AN164" s="1149" t="s">
        <v>852</v>
      </c>
      <c r="AO164" s="23" t="s">
        <v>859</v>
      </c>
      <c r="AP164" s="680" t="s">
        <v>898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87">
        <f>LnkTXTPISCOFINS</f>
        <v>3591606.678375944</v>
      </c>
      <c r="AO165" s="23">
        <f t="shared" ref="AO165:AO196" si="9">IF(AN165=0,0,1)</f>
        <v>1</v>
      </c>
      <c r="AP165" s="680"/>
    </row>
    <row r="166" spans="2:42" ht="15" customHeight="1">
      <c r="B166" s="46"/>
      <c r="C166" s="312"/>
      <c r="D166" s="312"/>
      <c r="P166" s="44"/>
      <c r="Q166" s="312"/>
      <c r="AM166" s="53" t="s">
        <v>805</v>
      </c>
      <c r="AN166" s="887">
        <f ca="1">SUM(Financeiros!D12:D17)</f>
        <v>34384.886719416289</v>
      </c>
      <c r="AO166" s="23">
        <f t="shared" ca="1" si="9"/>
        <v>1</v>
      </c>
      <c r="AP166" s="680"/>
    </row>
    <row r="167" spans="2:42" ht="15" customHeight="1">
      <c r="B167" s="46"/>
      <c r="C167" s="312"/>
      <c r="D167" s="312"/>
      <c r="P167" s="44"/>
      <c r="Q167" s="312"/>
      <c r="AM167" s="23" t="s">
        <v>2276</v>
      </c>
      <c r="AN167" s="425">
        <f ca="1">Financeiros!D19+Financeiros!D18</f>
        <v>128416.98369309015</v>
      </c>
      <c r="AO167" s="23">
        <f t="shared" ca="1" si="9"/>
        <v>1</v>
      </c>
      <c r="AP167" s="680"/>
    </row>
    <row r="168" spans="2:42" ht="15" hidden="1" customHeight="1">
      <c r="B168" s="46"/>
      <c r="C168" s="312"/>
      <c r="D168" s="312"/>
      <c r="P168" s="44"/>
      <c r="Q168" s="312"/>
      <c r="AM168" s="23" t="s">
        <v>2388</v>
      </c>
      <c r="AN168" s="425">
        <f ca="1">Financeiros!D20</f>
        <v>0</v>
      </c>
      <c r="AO168" s="680">
        <f ca="1">IF(AN168=0,0,1)</f>
        <v>0</v>
      </c>
      <c r="AP168" s="680"/>
    </row>
    <row r="169" spans="2:42" ht="15" customHeight="1">
      <c r="B169" s="46"/>
      <c r="C169" s="312"/>
      <c r="D169" s="312"/>
      <c r="P169" s="44"/>
      <c r="Q169" s="312"/>
      <c r="AM169" s="53" t="str">
        <f>Financeiros!C25</f>
        <v>Ajustes Processos anteriores - Geração Propria</v>
      </c>
      <c r="AN169" s="887">
        <f>Financeiros!D25</f>
        <v>3724908.0816122931</v>
      </c>
      <c r="AO169" s="23">
        <f t="shared" si="9"/>
        <v>1</v>
      </c>
      <c r="AP169" s="680"/>
    </row>
    <row r="170" spans="2:42" ht="15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87">
        <f>Financeiros!D26</f>
        <v>1160062.9278567836</v>
      </c>
      <c r="AO170" s="23">
        <f t="shared" si="9"/>
        <v>1</v>
      </c>
      <c r="AP170" s="680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87">
        <f>LnkTXTDICFIC</f>
        <v>-36242.696487839901</v>
      </c>
      <c r="AO171" s="23">
        <f t="shared" si="9"/>
        <v>1</v>
      </c>
      <c r="AP171" s="680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87">
        <f ca="1">LnkTxTSubvencaoCDE</f>
        <v>-17782212.48699066</v>
      </c>
      <c r="AO172" s="23">
        <f t="shared" ca="1" si="9"/>
        <v>1</v>
      </c>
      <c r="AP172" s="680"/>
    </row>
    <row r="173" spans="2:42" ht="15" hidden="1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87">
        <f>Financeiros!D29</f>
        <v>0</v>
      </c>
      <c r="AO173" s="23">
        <f t="shared" si="9"/>
        <v>0</v>
      </c>
      <c r="AP173" s="680"/>
    </row>
    <row r="174" spans="2:42" ht="15" customHeight="1">
      <c r="B174" s="46"/>
      <c r="C174" s="312"/>
      <c r="D174" s="312"/>
      <c r="P174" s="44"/>
      <c r="Q174" s="312"/>
      <c r="AM174" s="53" t="s">
        <v>899</v>
      </c>
      <c r="AN174" s="887">
        <f>Financeiros!D35</f>
        <v>-6504386.7004942941</v>
      </c>
      <c r="AO174" s="23">
        <f t="shared" si="9"/>
        <v>1</v>
      </c>
      <c r="AP174" s="680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87">
        <f>Financeiros!D31</f>
        <v>0</v>
      </c>
      <c r="AO175" s="680">
        <f>IF(AN175=0,0,1)</f>
        <v>0</v>
      </c>
      <c r="AP175" s="680"/>
    </row>
    <row r="176" spans="2:42" ht="15" hidden="1" customHeight="1">
      <c r="B176" s="46"/>
      <c r="C176" s="312"/>
      <c r="D176" s="312"/>
      <c r="P176" s="44"/>
      <c r="Q176" s="312"/>
      <c r="AM176" s="53" t="s">
        <v>900</v>
      </c>
      <c r="AN176" s="887">
        <f>Financeiros!D38</f>
        <v>0</v>
      </c>
      <c r="AO176" s="23">
        <f t="shared" si="9"/>
        <v>0</v>
      </c>
      <c r="AP176" s="680"/>
    </row>
    <row r="177" spans="2:42" ht="15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88">
        <f>Financeiros!D36</f>
        <v>6029479.2269557174</v>
      </c>
      <c r="AO177" s="23">
        <f t="shared" si="9"/>
        <v>1</v>
      </c>
      <c r="AP177" s="680"/>
    </row>
    <row r="178" spans="2:42" ht="15" customHeight="1">
      <c r="B178" s="46"/>
      <c r="C178" s="312"/>
      <c r="D178" s="312"/>
      <c r="P178" s="44"/>
      <c r="Q178" s="312"/>
      <c r="AM178" s="53" t="s">
        <v>1398</v>
      </c>
      <c r="AN178" s="888">
        <f>Financeiros!D82</f>
        <v>-4361333.6717375368</v>
      </c>
      <c r="AO178" s="680">
        <f>IF(AN178=0,0,1)</f>
        <v>1</v>
      </c>
      <c r="AP178" s="680"/>
    </row>
    <row r="179" spans="2:42" ht="15" hidden="1" customHeight="1">
      <c r="B179" s="46"/>
      <c r="C179" s="312"/>
      <c r="D179" s="312"/>
      <c r="P179" s="44"/>
      <c r="Q179" s="312"/>
      <c r="AM179" s="53" t="str">
        <f>Financeiros!C37</f>
        <v>Efeito COVID da Supridora</v>
      </c>
      <c r="AN179" s="887">
        <f>Financeiros!D37</f>
        <v>0</v>
      </c>
      <c r="AO179" s="23">
        <f t="shared" si="9"/>
        <v>0</v>
      </c>
      <c r="AP179" s="680"/>
    </row>
    <row r="180" spans="2:42" ht="15" hidden="1" customHeight="1">
      <c r="B180" s="46"/>
      <c r="C180" s="312"/>
      <c r="D180" s="312"/>
      <c r="P180" s="44"/>
      <c r="Q180" s="312"/>
      <c r="AM180" s="53" t="s">
        <v>901</v>
      </c>
      <c r="AN180" s="887">
        <f>Financeiros!D39+Financeiros!D40</f>
        <v>0</v>
      </c>
      <c r="AO180" s="23">
        <f t="shared" si="9"/>
        <v>0</v>
      </c>
      <c r="AP180" s="680"/>
    </row>
    <row r="181" spans="2:42" ht="15" hidden="1" customHeight="1">
      <c r="B181" s="46"/>
      <c r="C181" s="312"/>
      <c r="D181" s="312"/>
      <c r="P181" s="44"/>
      <c r="Q181" s="312"/>
      <c r="AM181" s="53" t="str">
        <f>Financeiros!C41</f>
        <v>Financeiros associados ao §7º do Art. 88 da Ren 414/2021</v>
      </c>
      <c r="AN181" s="887">
        <f>Financeiros!D41</f>
        <v>0</v>
      </c>
      <c r="AO181" s="23">
        <f t="shared" si="9"/>
        <v>0</v>
      </c>
      <c r="AP181" s="680"/>
    </row>
    <row r="182" spans="2:42" ht="15" customHeight="1">
      <c r="B182" s="46"/>
      <c r="C182" s="312"/>
      <c r="D182" s="312"/>
      <c r="P182" s="44"/>
      <c r="Q182" s="312"/>
      <c r="AM182" s="53" t="str">
        <f>Financeiros!C42</f>
        <v>Custo Distribuidora - Conta Covid - Art 4º - REN 952/2021</v>
      </c>
      <c r="AN182" s="887">
        <f>Financeiros!D42</f>
        <v>-625769.9</v>
      </c>
      <c r="AO182" s="23">
        <f t="shared" ref="AO182:AO187" si="10">IF(AN182=0,0,1)</f>
        <v>1</v>
      </c>
      <c r="AP182" s="680"/>
    </row>
    <row r="183" spans="2:42" ht="15" hidden="1" customHeight="1">
      <c r="B183" s="46"/>
      <c r="C183" s="312"/>
      <c r="D183" s="312"/>
      <c r="P183" s="44"/>
      <c r="Q183" s="312"/>
      <c r="AM183" s="53">
        <f>Financeiros!C43</f>
        <v>0</v>
      </c>
      <c r="AN183" s="887">
        <f>Financeiros!D43</f>
        <v>0</v>
      </c>
      <c r="AO183" s="23">
        <f t="shared" si="10"/>
        <v>0</v>
      </c>
      <c r="AP183" s="680"/>
    </row>
    <row r="184" spans="2:42" ht="15" customHeight="1">
      <c r="B184" s="46"/>
      <c r="C184" s="312"/>
      <c r="D184" s="312"/>
      <c r="P184" s="44"/>
      <c r="Q184" s="312"/>
      <c r="AM184" s="53" t="str">
        <f>Financeiros!C44</f>
        <v>Ajustes Processos anteriores - Encargo de Conexão</v>
      </c>
      <c r="AN184" s="887">
        <f>Financeiros!D44</f>
        <v>-41834.775229867715</v>
      </c>
      <c r="AO184" s="23">
        <f t="shared" si="10"/>
        <v>1</v>
      </c>
      <c r="AP184" s="680"/>
    </row>
    <row r="185" spans="2:42" ht="15" hidden="1" customHeight="1">
      <c r="B185" s="46"/>
      <c r="C185" s="312"/>
      <c r="D185" s="312"/>
      <c r="P185" s="44"/>
      <c r="Q185" s="312"/>
      <c r="AM185" s="53">
        <f>Financeiros!C45</f>
        <v>0</v>
      </c>
      <c r="AN185" s="887">
        <f>Financeiros!D45</f>
        <v>0</v>
      </c>
      <c r="AO185" s="23">
        <f t="shared" si="10"/>
        <v>0</v>
      </c>
      <c r="AP185" s="680"/>
    </row>
    <row r="186" spans="2:42" ht="15" hidden="1" customHeight="1">
      <c r="B186" s="46"/>
      <c r="C186" s="312"/>
      <c r="D186" s="312"/>
      <c r="P186" s="44"/>
      <c r="Q186" s="312"/>
      <c r="AM186" s="53">
        <f>Financeiros!C46</f>
        <v>0</v>
      </c>
      <c r="AN186" s="887">
        <f>Financeiros!D46</f>
        <v>0</v>
      </c>
      <c r="AO186" s="23">
        <f t="shared" si="10"/>
        <v>0</v>
      </c>
      <c r="AP186" s="989"/>
    </row>
    <row r="187" spans="2:42" ht="15" hidden="1" customHeight="1">
      <c r="B187" s="46"/>
      <c r="C187" s="312"/>
      <c r="D187" s="312"/>
      <c r="P187" s="44"/>
      <c r="Q187" s="312"/>
      <c r="AM187" s="53">
        <f>Financeiros!C47</f>
        <v>0</v>
      </c>
      <c r="AN187" s="887">
        <f>Financeiros!D47</f>
        <v>0</v>
      </c>
      <c r="AO187" s="23">
        <f t="shared" si="10"/>
        <v>0</v>
      </c>
      <c r="AP187" s="989"/>
    </row>
    <row r="188" spans="2:42" ht="15" customHeight="1">
      <c r="B188" s="46"/>
      <c r="C188" s="312"/>
      <c r="D188" s="312"/>
      <c r="P188" s="44"/>
      <c r="Q188" s="312"/>
      <c r="AM188" s="53" t="s">
        <v>2294</v>
      </c>
      <c r="AN188" s="887">
        <f ca="1">SUM(Financeiros!D57:D61)</f>
        <v>-361044.78129999997</v>
      </c>
      <c r="AO188" s="23">
        <f t="shared" ca="1" si="9"/>
        <v>1</v>
      </c>
      <c r="AP188" s="680"/>
    </row>
    <row r="189" spans="2:42" ht="15" customHeight="1">
      <c r="B189" s="46"/>
      <c r="C189" s="312"/>
      <c r="D189" s="312"/>
      <c r="P189" s="44"/>
      <c r="Q189" s="312"/>
      <c r="AM189" s="53" t="s">
        <v>2304</v>
      </c>
      <c r="AN189" s="887">
        <f>Financeiros!D64</f>
        <v>2907185.43</v>
      </c>
      <c r="AO189" s="23">
        <f t="shared" si="9"/>
        <v>1</v>
      </c>
      <c r="AP189" s="680"/>
    </row>
    <row r="190" spans="2:42" ht="15" hidden="1" customHeight="1">
      <c r="B190" s="46"/>
      <c r="C190" s="312"/>
      <c r="D190" s="312"/>
      <c r="P190" s="44"/>
      <c r="Q190" s="312"/>
      <c r="AM190" s="53" t="s">
        <v>2385</v>
      </c>
      <c r="AN190" s="887">
        <f ca="1">SUM(Financeiros!D65:D69)</f>
        <v>0</v>
      </c>
      <c r="AO190" s="23">
        <f t="shared" ca="1" si="9"/>
        <v>0</v>
      </c>
      <c r="AP190" s="680"/>
    </row>
    <row r="191" spans="2:42" ht="15" customHeight="1">
      <c r="B191" s="46"/>
      <c r="C191" s="312"/>
      <c r="D191" s="312"/>
      <c r="P191" s="44"/>
      <c r="Q191" s="312"/>
      <c r="AM191" s="53" t="s">
        <v>2270</v>
      </c>
      <c r="AN191" s="887">
        <f>Financeiros!D70</f>
        <v>-2357071.1438916875</v>
      </c>
      <c r="AO191" s="23">
        <f t="shared" si="9"/>
        <v>1</v>
      </c>
      <c r="AP191" s="680"/>
    </row>
    <row r="192" spans="2:42" ht="15" hidden="1" customHeight="1">
      <c r="B192" s="46"/>
      <c r="C192" s="312"/>
      <c r="D192" s="312"/>
      <c r="P192" s="44"/>
      <c r="Q192" s="312"/>
      <c r="AM192" s="53" t="s">
        <v>2386</v>
      </c>
      <c r="AN192" s="887">
        <f ca="1">SUM(Financeiros!D71:D75)</f>
        <v>0</v>
      </c>
      <c r="AO192" s="23">
        <f t="shared" ca="1" si="9"/>
        <v>0</v>
      </c>
      <c r="AP192" s="680"/>
    </row>
    <row r="193" spans="2:54" ht="15" customHeight="1">
      <c r="B193" s="46"/>
      <c r="C193" s="312"/>
      <c r="D193" s="312"/>
      <c r="P193" s="44"/>
      <c r="Q193" s="312"/>
      <c r="AM193" s="53" t="s">
        <v>2387</v>
      </c>
      <c r="AN193" s="887">
        <f ca="1">SUM(Financeiros!D76:D80)</f>
        <v>-62463.757999999994</v>
      </c>
      <c r="AO193" s="23">
        <f t="shared" ca="1" si="9"/>
        <v>1</v>
      </c>
      <c r="AP193" s="680"/>
    </row>
    <row r="194" spans="2:54" ht="15" hidden="1" customHeight="1">
      <c r="B194" s="46"/>
      <c r="C194" s="312"/>
      <c r="D194" s="312"/>
      <c r="P194" s="44"/>
      <c r="Q194" s="312"/>
      <c r="AM194" s="53"/>
      <c r="AN194" s="887"/>
      <c r="AO194" s="23">
        <f t="shared" si="9"/>
        <v>0</v>
      </c>
      <c r="AP194" s="680"/>
    </row>
    <row r="195" spans="2:54" ht="15" hidden="1" customHeight="1">
      <c r="B195" s="46"/>
      <c r="C195" s="312"/>
      <c r="D195" s="312"/>
      <c r="P195" s="44"/>
      <c r="Q195" s="312"/>
      <c r="AM195" s="53"/>
      <c r="AN195" s="887"/>
      <c r="AO195" s="23">
        <f t="shared" si="9"/>
        <v>0</v>
      </c>
      <c r="AP195" s="680"/>
    </row>
    <row r="196" spans="2:54" ht="15" hidden="1" customHeight="1">
      <c r="B196" s="46"/>
      <c r="C196" s="312"/>
      <c r="D196" s="312"/>
      <c r="P196" s="44"/>
      <c r="Q196" s="312"/>
      <c r="AM196" s="53"/>
      <c r="AN196" s="887"/>
      <c r="AO196" s="23">
        <f t="shared" si="9"/>
        <v>0</v>
      </c>
      <c r="AP196" s="680"/>
    </row>
    <row r="197" spans="2:54" ht="15" customHeight="1">
      <c r="B197" s="46"/>
      <c r="C197" s="312"/>
      <c r="D197" s="312"/>
      <c r="P197" s="44"/>
      <c r="Q197" s="312"/>
      <c r="AM197" s="1154" t="s">
        <v>804</v>
      </c>
      <c r="AN197" s="1182">
        <f ca="1">SUM(AN165:AN196)</f>
        <v>-14556315.698918642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  <c r="AN199" s="1701">
        <f ca="1">Financeiros!D7</f>
        <v>-14556315.698918642</v>
      </c>
    </row>
    <row r="200" spans="2:54" ht="15" customHeight="1">
      <c r="B200" s="46"/>
      <c r="C200" s="312"/>
      <c r="D200" s="312"/>
      <c r="P200" s="44"/>
      <c r="Q200" s="312"/>
      <c r="AM200" s="53"/>
      <c r="AN200" s="1702">
        <f ca="1">AN197-AN199</f>
        <v>0</v>
      </c>
      <c r="AP200" s="1179" t="s">
        <v>902</v>
      </c>
      <c r="AQ200" s="308" t="s">
        <v>850</v>
      </c>
    </row>
    <row r="201" spans="2:54" ht="15" customHeight="1">
      <c r="B201" s="46"/>
      <c r="C201" s="312"/>
      <c r="D201" s="312"/>
      <c r="P201" s="44"/>
      <c r="Q201" s="312"/>
      <c r="AM201" s="53"/>
      <c r="AN201" s="344"/>
      <c r="AP201" s="1167" t="s">
        <v>903</v>
      </c>
      <c r="AQ201" s="1149" t="s">
        <v>904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905</v>
      </c>
      <c r="AQ202" s="230">
        <f>LnkTXTEfeitoAT</f>
        <v>0.13979568405964571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906</v>
      </c>
      <c r="AQ203" s="230">
        <f>LnkTXTEfeitoBT</f>
        <v>0.16697603700267138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54" t="s">
        <v>907</v>
      </c>
      <c r="AQ204" s="1160">
        <f>LnkTXTEfeito</f>
        <v>0.15841300794861213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179" t="s">
        <v>908</v>
      </c>
      <c r="AT206" s="30"/>
      <c r="AU206" s="30"/>
      <c r="AV206" s="30"/>
      <c r="AW206" s="30"/>
      <c r="AX206" s="308" t="s">
        <v>850</v>
      </c>
    </row>
    <row r="207" spans="2:54" ht="39" customHeight="1" thickBot="1">
      <c r="B207" s="54"/>
      <c r="C207" s="322"/>
      <c r="D207" s="54"/>
      <c r="AS207" s="991" t="s">
        <v>909</v>
      </c>
      <c r="AT207" s="991" t="s">
        <v>870</v>
      </c>
      <c r="AU207" s="991" t="s">
        <v>910</v>
      </c>
      <c r="AV207" s="991" t="s">
        <v>911</v>
      </c>
      <c r="AW207" s="991" t="s">
        <v>912</v>
      </c>
      <c r="AX207" s="991" t="s">
        <v>913</v>
      </c>
      <c r="AY207" s="323" t="s">
        <v>859</v>
      </c>
      <c r="BB207" s="412"/>
    </row>
    <row r="208" spans="2:54" ht="15" customHeight="1" thickTop="1">
      <c r="B208" s="54"/>
      <c r="C208" s="322"/>
      <c r="D208" s="54"/>
      <c r="AS208" s="1183" t="s">
        <v>914</v>
      </c>
      <c r="AT208" s="1184">
        <f ca="1">SUM(AT209:AT218)</f>
        <v>36941948.809742205</v>
      </c>
      <c r="AU208" s="1184">
        <f ca="1">SUM(AU209:AU218)</f>
        <v>53548938.012307599</v>
      </c>
      <c r="AV208" s="1185">
        <f ca="1">IF(AU208=0,0,ROUND(AU208/AT208-1,4))</f>
        <v>0.44950000000000001</v>
      </c>
      <c r="AW208" s="1185">
        <f ca="1">SUM(AW209:AW218)</f>
        <v>7.8697976035363632E-2</v>
      </c>
      <c r="AX208" s="1185">
        <f t="shared" ref="AX208:AX214" ca="1" si="11">AU208/$AU$226</f>
        <v>0.22161624037770453</v>
      </c>
      <c r="AY208" s="323">
        <v>1</v>
      </c>
    </row>
    <row r="209" spans="2:51" ht="15" hidden="1" customHeight="1">
      <c r="AS209" s="992" t="str">
        <f t="shared" ref="AS209:AT212" si="12">I75</f>
        <v>Reserva Global de Reversão – RGR</v>
      </c>
      <c r="AT209" s="993">
        <f t="shared" si="12"/>
        <v>0</v>
      </c>
      <c r="AU209" s="993">
        <f>Resultado!D15</f>
        <v>0</v>
      </c>
      <c r="AV209" s="994">
        <f t="shared" ref="AV209:AV224" si="13">IF(AU209=0,0,ROUND(AU209/AT209-1,3))</f>
        <v>0</v>
      </c>
      <c r="AW209" s="994">
        <f t="shared" ref="AW209:AW218" ca="1" si="14">(AU209-AT209)/$AT$226</f>
        <v>0</v>
      </c>
      <c r="AX209" s="994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992" t="str">
        <f t="shared" si="12"/>
        <v>Conta de Consumo de Combustíveis – CCC</v>
      </c>
      <c r="AT210" s="993">
        <f t="shared" si="12"/>
        <v>0</v>
      </c>
      <c r="AU210" s="993">
        <f>Resultado!D16</f>
        <v>0</v>
      </c>
      <c r="AV210" s="994">
        <f t="shared" si="13"/>
        <v>0</v>
      </c>
      <c r="AW210" s="994">
        <f t="shared" ca="1" si="14"/>
        <v>0</v>
      </c>
      <c r="AX210" s="994">
        <f t="shared" ca="1" si="11"/>
        <v>0</v>
      </c>
      <c r="AY210" s="323">
        <f t="shared" ref="AY210:AY264" ca="1" si="15">IF(AW210=0,0,1)</f>
        <v>0</v>
      </c>
    </row>
    <row r="211" spans="2:51" ht="15" customHeight="1">
      <c r="B211" s="29"/>
      <c r="C211" s="39"/>
      <c r="H211" s="23"/>
      <c r="AS211" s="992" t="str">
        <f t="shared" si="12"/>
        <v>Taxa de Fisc. de Serviços de E.E. – TFSEE</v>
      </c>
      <c r="AT211" s="993">
        <f t="shared" ca="1" si="12"/>
        <v>452302.20791855728</v>
      </c>
      <c r="AU211" s="993">
        <f ca="1">Resultado!D17</f>
        <v>493851.78355056606</v>
      </c>
      <c r="AV211" s="994">
        <f ca="1">IF(AU211=0,0,ROUND(AU211/AT211-1,4))</f>
        <v>9.1899999999999996E-2</v>
      </c>
      <c r="AW211" s="994">
        <f t="shared" ca="1" si="14"/>
        <v>1.9689706950988054E-4</v>
      </c>
      <c r="AX211" s="994">
        <f t="shared" ca="1" si="11"/>
        <v>2.0438421308961452E-3</v>
      </c>
      <c r="AY211" s="323">
        <f t="shared" ca="1" si="15"/>
        <v>1</v>
      </c>
    </row>
    <row r="212" spans="2:51" ht="15" customHeight="1">
      <c r="C212" s="28"/>
      <c r="H212" s="23"/>
      <c r="AS212" s="992" t="str">
        <f t="shared" si="12"/>
        <v>Conta de Desenvolvimento Energético – CDE</v>
      </c>
      <c r="AT212" s="993">
        <f t="shared" ca="1" si="12"/>
        <v>24941264.727890957</v>
      </c>
      <c r="AU212" s="993">
        <f ca="1">Encargos!I19</f>
        <v>36534774.534099974</v>
      </c>
      <c r="AV212" s="994">
        <f ca="1">IF(AU212=0,0,ROUND(AU212/AT212-1,4))</f>
        <v>0.46479999999999999</v>
      </c>
      <c r="AW212" s="994">
        <f t="shared" ca="1" si="14"/>
        <v>5.4939865725561352E-2</v>
      </c>
      <c r="AX212" s="994">
        <f t="shared" ca="1" si="11"/>
        <v>0.15120186647648187</v>
      </c>
      <c r="AY212" s="323">
        <f t="shared" ca="1" si="15"/>
        <v>1</v>
      </c>
    </row>
    <row r="213" spans="2:51" ht="15" customHeight="1">
      <c r="C213" s="28"/>
      <c r="H213" s="23"/>
      <c r="AS213" s="992" t="s">
        <v>915</v>
      </c>
      <c r="AT213" s="993">
        <f ca="1">Calc_Mercado!S75</f>
        <v>6369554.1822443232</v>
      </c>
      <c r="AU213" s="993">
        <f>Encargos!I20</f>
        <v>6350526.4092792068</v>
      </c>
      <c r="AV213" s="994">
        <f ca="1">IF(AU213=0,0,IF(AT213=0, 100%,ROUND(AU213/AT213-1,4)))</f>
        <v>-3.0000000000000001E-3</v>
      </c>
      <c r="AW213" s="994">
        <f t="shared" ca="1" si="14"/>
        <v>-9.0169699188083472E-5</v>
      </c>
      <c r="AX213" s="994">
        <f t="shared" ca="1" si="11"/>
        <v>2.6282123221945349E-2</v>
      </c>
      <c r="AY213" s="323">
        <f t="shared" ca="1" si="15"/>
        <v>1</v>
      </c>
    </row>
    <row r="214" spans="2:51" ht="15" customHeight="1">
      <c r="C214" s="28"/>
      <c r="H214" s="23"/>
      <c r="AS214" s="992" t="s">
        <v>2216</v>
      </c>
      <c r="AT214" s="993">
        <v>0</v>
      </c>
      <c r="AU214" s="999">
        <f>Encargos!I21</f>
        <v>-6485000</v>
      </c>
      <c r="AV214" s="994">
        <f>IF(AU214=0,0,IF(AT214=0, 100%,ROUND(AU214/AT214-1,4)))</f>
        <v>1</v>
      </c>
      <c r="AW214" s="994">
        <f t="shared" ca="1" si="14"/>
        <v>-3.0731420871309693E-2</v>
      </c>
      <c r="AX214" s="994">
        <f t="shared" ca="1" si="11"/>
        <v>-2.6838652122645166E-2</v>
      </c>
      <c r="AY214" s="984">
        <f ca="1">IF(AW214=0,0,1)</f>
        <v>1</v>
      </c>
    </row>
    <row r="215" spans="2:51" ht="12.75">
      <c r="C215" s="28"/>
      <c r="H215" s="23"/>
      <c r="AS215" s="992" t="str">
        <f>I80</f>
        <v>Encargos Serv. Sist. - ESS e Energ. Reserv. – EER</v>
      </c>
      <c r="AT215" s="993">
        <f ca="1">Calc_Mercado!F75</f>
        <v>1124321.8870068607</v>
      </c>
      <c r="AU215" s="993">
        <f>Resultado!D20</f>
        <v>10509724.460207857</v>
      </c>
      <c r="AV215" s="994">
        <f t="shared" ref="AV215:AV216" ca="1" si="16">IF(AU215=0,0,IF(AT215=0, 100%,ROUND(AU215/AT215-1,4)))</f>
        <v>8.3475999999999999</v>
      </c>
      <c r="AW215" s="994">
        <f t="shared" ca="1" si="14"/>
        <v>4.4475984043749091E-2</v>
      </c>
      <c r="AX215" s="994">
        <f t="shared" ref="AX215:AX228" ca="1" si="17">AU215/$AU$226</f>
        <v>4.349527196489953E-2</v>
      </c>
      <c r="AY215" s="323">
        <f ca="1">IF(AW215=0,0,1)</f>
        <v>1</v>
      </c>
    </row>
    <row r="216" spans="2:51" ht="15" customHeight="1">
      <c r="C216" s="28"/>
      <c r="H216" s="23"/>
      <c r="AS216" s="992" t="str">
        <f>I81</f>
        <v>PROINFA</v>
      </c>
      <c r="AT216" s="993">
        <f ca="1">J81</f>
        <v>4054505.8046815027</v>
      </c>
      <c r="AU216" s="993">
        <f ca="1">Resultado!D21</f>
        <v>6145060.8251699973</v>
      </c>
      <c r="AV216" s="994">
        <f t="shared" ca="1" si="16"/>
        <v>0.51559999999999995</v>
      </c>
      <c r="AW216" s="994">
        <f t="shared" ca="1" si="14"/>
        <v>9.9068197670410772E-3</v>
      </c>
      <c r="AX216" s="994">
        <f t="shared" ca="1" si="17"/>
        <v>2.5431788706126817E-2</v>
      </c>
      <c r="AY216" s="323">
        <f t="shared" ca="1" si="15"/>
        <v>1</v>
      </c>
    </row>
    <row r="217" spans="2:51" ht="15" hidden="1" customHeight="1">
      <c r="B217" s="29"/>
      <c r="C217" s="39"/>
      <c r="H217" s="23"/>
      <c r="AS217" s="992" t="str">
        <f>I82</f>
        <v>P&amp;D e Eficiência Energética</v>
      </c>
      <c r="AT217" s="993">
        <f ca="1">J82</f>
        <v>0</v>
      </c>
      <c r="AU217" s="993">
        <f>Resultado!D22</f>
        <v>0</v>
      </c>
      <c r="AV217" s="994">
        <f>IF(AU217=0,0,ROUND(AU217/AT217-1,4))</f>
        <v>0</v>
      </c>
      <c r="AW217" s="994">
        <f t="shared" ca="1" si="14"/>
        <v>0</v>
      </c>
      <c r="AX217" s="994">
        <f t="shared" ca="1" si="17"/>
        <v>0</v>
      </c>
      <c r="AY217" s="323">
        <v>0</v>
      </c>
    </row>
    <row r="218" spans="2:51" ht="15" hidden="1" customHeight="1">
      <c r="C218" s="345"/>
      <c r="H218" s="23"/>
      <c r="AS218" s="992" t="str">
        <f>I83</f>
        <v>ONS</v>
      </c>
      <c r="AT218" s="993">
        <f ca="1">J83</f>
        <v>0</v>
      </c>
      <c r="AU218" s="993">
        <f>Resultado!D23</f>
        <v>0</v>
      </c>
      <c r="AV218" s="994">
        <f t="shared" si="13"/>
        <v>0</v>
      </c>
      <c r="AW218" s="994">
        <f t="shared" ca="1" si="14"/>
        <v>0</v>
      </c>
      <c r="AX218" s="994">
        <f t="shared" ca="1" si="17"/>
        <v>0</v>
      </c>
      <c r="AY218" s="323">
        <v>0</v>
      </c>
    </row>
    <row r="219" spans="2:51" ht="15" customHeight="1">
      <c r="C219" s="312"/>
      <c r="H219" s="23"/>
      <c r="AS219" s="1183" t="s">
        <v>916</v>
      </c>
      <c r="AT219" s="1184">
        <f ca="1">AT220</f>
        <v>69517323.217412025</v>
      </c>
      <c r="AU219" s="1184">
        <f ca="1">AU220</f>
        <v>69982352.887938946</v>
      </c>
      <c r="AV219" s="1185">
        <f ca="1">IF(AU219=0,0,ROUND(AU219/AT219-1,4))</f>
        <v>6.7000000000000002E-3</v>
      </c>
      <c r="AW219" s="1185">
        <f ca="1">AW220</f>
        <v>2.2037043211425309E-3</v>
      </c>
      <c r="AX219" s="1185">
        <f t="shared" ca="1" si="17"/>
        <v>0.28962714323571098</v>
      </c>
      <c r="AY219" s="323">
        <f t="shared" ca="1" si="15"/>
        <v>1</v>
      </c>
    </row>
    <row r="220" spans="2:51" ht="15" customHeight="1">
      <c r="C220" s="312"/>
      <c r="H220" s="23"/>
      <c r="AS220" s="992" t="s">
        <v>873</v>
      </c>
      <c r="AT220" s="993">
        <f ca="1">J85</f>
        <v>69517323.217412025</v>
      </c>
      <c r="AU220" s="993">
        <f ca="1">Resultado!D33</f>
        <v>69982352.887938946</v>
      </c>
      <c r="AV220" s="994">
        <f ca="1">IF(AU220=0,0,ROUND(AU220/AT220-1,4))</f>
        <v>6.7000000000000002E-3</v>
      </c>
      <c r="AW220" s="994">
        <f ca="1">(AU220-AT220)/$AT$226</f>
        <v>2.2037043211425309E-3</v>
      </c>
      <c r="AX220" s="994">
        <f t="shared" ca="1" si="17"/>
        <v>0.28962714323571098</v>
      </c>
      <c r="AY220" s="323">
        <f t="shared" ca="1" si="15"/>
        <v>1</v>
      </c>
    </row>
    <row r="221" spans="2:51" ht="15" customHeight="1">
      <c r="AS221" s="1183" t="s">
        <v>917</v>
      </c>
      <c r="AT221" s="1184">
        <f ca="1">SUM(AT222:AT225)</f>
        <v>14857571.855821922</v>
      </c>
      <c r="AU221" s="1184">
        <f>SUM(AU222:AU225)</f>
        <v>19337444.35326587</v>
      </c>
      <c r="AV221" s="1185">
        <f ca="1">IF(AU221=0,0,ROUND(AU221/AT221-1,4))</f>
        <v>0.30149999999999999</v>
      </c>
      <c r="AW221" s="1185">
        <f ca="1">SUM(AW222:AW225)</f>
        <v>2.1229429015999255E-2</v>
      </c>
      <c r="AX221" s="1185">
        <f t="shared" ca="1" si="17"/>
        <v>8.0029443629654876E-2</v>
      </c>
      <c r="AY221" s="323">
        <f t="shared" ca="1" si="15"/>
        <v>1</v>
      </c>
    </row>
    <row r="222" spans="2:51" ht="15" customHeight="1">
      <c r="AS222" s="992" t="str">
        <f>Resultado!B25</f>
        <v>Rede Básica</v>
      </c>
      <c r="AT222" s="993">
        <f ca="1">J87</f>
        <v>10485789.81131511</v>
      </c>
      <c r="AU222" s="993">
        <f>Resultado!D25</f>
        <v>14564160</v>
      </c>
      <c r="AV222" s="994">
        <f t="shared" ca="1" si="13"/>
        <v>0.38900000000000001</v>
      </c>
      <c r="AW222" s="994">
        <f ca="1">(AU222-AT222)/$AT$226</f>
        <v>1.932677112374373E-2</v>
      </c>
      <c r="AX222" s="994">
        <f t="shared" ca="1" si="17"/>
        <v>6.0274853307408456E-2</v>
      </c>
      <c r="AY222" s="323">
        <f t="shared" ca="1" si="15"/>
        <v>1</v>
      </c>
    </row>
    <row r="223" spans="2:51" ht="15" customHeight="1">
      <c r="AS223" s="992" t="str">
        <f>Resultado!B26</f>
        <v>Rede Básica Fronteira</v>
      </c>
      <c r="AT223" s="993">
        <f ca="1">J88</f>
        <v>2259181.8539222553</v>
      </c>
      <c r="AU223" s="993">
        <f>Resultado!D26</f>
        <v>2469120</v>
      </c>
      <c r="AV223" s="994">
        <f t="shared" ca="1" si="13"/>
        <v>9.2999999999999999E-2</v>
      </c>
      <c r="AW223" s="994">
        <f ca="1">(AU223-AT223)/$AT$226</f>
        <v>9.9486469145068103E-4</v>
      </c>
      <c r="AX223" s="994">
        <f t="shared" ca="1" si="17"/>
        <v>1.0218635733086451E-2</v>
      </c>
      <c r="AY223" s="323">
        <f t="shared" ca="1" si="15"/>
        <v>1</v>
      </c>
    </row>
    <row r="224" spans="2:51" ht="15" customHeight="1">
      <c r="H224" s="23"/>
      <c r="AS224" s="992" t="str">
        <f>Resultado!B31</f>
        <v>Conexão</v>
      </c>
      <c r="AT224" s="993">
        <f ca="1">J93</f>
        <v>1062604.2435166286</v>
      </c>
      <c r="AU224" s="993">
        <f>Resultado!D31</f>
        <v>1146889.5423490694</v>
      </c>
      <c r="AV224" s="994">
        <f t="shared" ca="1" si="13"/>
        <v>7.9000000000000001E-2</v>
      </c>
      <c r="AW224" s="994">
        <f ca="1">(AU224-AT224)/$AT$226</f>
        <v>3.9941511051408548E-4</v>
      </c>
      <c r="AX224" s="994">
        <f t="shared" ca="1" si="17"/>
        <v>4.7464871935553425E-3</v>
      </c>
      <c r="AY224" s="323">
        <f t="shared" ca="1" si="15"/>
        <v>1</v>
      </c>
    </row>
    <row r="225" spans="2:51" ht="15" customHeight="1">
      <c r="H225" s="23"/>
      <c r="AS225" s="992" t="str">
        <f>Resultado!B32</f>
        <v>Uso do sistema de distribuição</v>
      </c>
      <c r="AT225" s="993">
        <f ca="1">J94</f>
        <v>1049995.9470679283</v>
      </c>
      <c r="AU225" s="993">
        <f>Resultado!D32</f>
        <v>1157274.8109167996</v>
      </c>
      <c r="AV225" s="994">
        <f ca="1">IF(AU225=0,0,ROUND(AU225/AT225-1,4))</f>
        <v>0.1022</v>
      </c>
      <c r="AW225" s="994">
        <f ca="1">(AU225-AT225)/$AT$226</f>
        <v>5.0837809029076258E-4</v>
      </c>
      <c r="AX225" s="994">
        <f t="shared" ca="1" si="17"/>
        <v>4.789467395604618E-3</v>
      </c>
      <c r="AY225" s="323">
        <f t="shared" ca="1" si="15"/>
        <v>1</v>
      </c>
    </row>
    <row r="226" spans="2:51" ht="15" hidden="1" customHeight="1">
      <c r="C226" s="19"/>
      <c r="AS226" s="1183" t="s">
        <v>918</v>
      </c>
      <c r="AT226" s="1184">
        <f ca="1">Mercado_RA0_Reais</f>
        <v>211021808.17335004</v>
      </c>
      <c r="AU226" s="1184">
        <f ca="1">AU208+AU219+AU221+AU228</f>
        <v>241629123.93533608</v>
      </c>
      <c r="AV226" s="1186"/>
      <c r="AW226" s="1186"/>
      <c r="AX226" s="1185">
        <f t="shared" ca="1" si="17"/>
        <v>1</v>
      </c>
      <c r="AY226" s="323">
        <f t="shared" si="15"/>
        <v>0</v>
      </c>
    </row>
    <row r="227" spans="2:51" ht="15" customHeight="1">
      <c r="C227" s="19"/>
      <c r="AS227" s="1187" t="s">
        <v>919</v>
      </c>
      <c r="AT227" s="1188">
        <f ca="1">AT208+AT219+AT221</f>
        <v>121316843.88297616</v>
      </c>
      <c r="AU227" s="1188">
        <f ca="1">AU208+AU219+AU221</f>
        <v>142868735.25351241</v>
      </c>
      <c r="AV227" s="1189">
        <f ca="1">IF(AU227=0,0,ROUND(AU227/AT227-1,4))</f>
        <v>0.17760000000000001</v>
      </c>
      <c r="AW227" s="1189">
        <f ca="1">(AU227-AT227)/AT226</f>
        <v>0.10213110937250533</v>
      </c>
      <c r="AX227" s="1189">
        <f t="shared" ca="1" si="17"/>
        <v>0.5912728272430704</v>
      </c>
      <c r="AY227" s="323">
        <f t="shared" ca="1" si="15"/>
        <v>1</v>
      </c>
    </row>
    <row r="228" spans="2:51" ht="15" customHeight="1">
      <c r="B228" s="28"/>
      <c r="C228" s="19"/>
      <c r="AS228" s="1187" t="s">
        <v>920</v>
      </c>
      <c r="AT228" s="1188">
        <f ca="1">AT226-AT227</f>
        <v>89704964.290373877</v>
      </c>
      <c r="AU228" s="1188">
        <f>Resultado!D39</f>
        <v>98760388.681823671</v>
      </c>
      <c r="AV228" s="1189">
        <f ca="1">IF(AU228=0,0,ROUND(AU228/AT228-1,4))</f>
        <v>0.1009</v>
      </c>
      <c r="AW228" s="1189">
        <f ca="1">(AU228-AT228)/AT226</f>
        <v>4.291226802497565E-2</v>
      </c>
      <c r="AX228" s="1189">
        <f t="shared" ca="1" si="17"/>
        <v>0.4087271727569296</v>
      </c>
      <c r="AY228" s="323">
        <f t="shared" ca="1" si="15"/>
        <v>1</v>
      </c>
    </row>
    <row r="229" spans="2:51" ht="15" customHeight="1">
      <c r="AS229" s="1190" t="str">
        <f>Resultado!B7</f>
        <v>Variação econômica</v>
      </c>
      <c r="AT229" s="1190"/>
      <c r="AU229" s="1190"/>
      <c r="AV229" s="1191"/>
      <c r="AW229" s="1192">
        <f ca="1">ROUND((AU228+AU227)/(AT227+AT228)-1,4)</f>
        <v>0.14499999999999999</v>
      </c>
      <c r="AX229" s="1191"/>
      <c r="AY229" s="323">
        <v>1</v>
      </c>
    </row>
    <row r="230" spans="2:51" ht="15" hidden="1" customHeight="1">
      <c r="AS230" s="995"/>
      <c r="AT230" s="995"/>
      <c r="AU230" s="995"/>
      <c r="AV230" s="996"/>
      <c r="AW230" s="997"/>
      <c r="AX230" s="997"/>
      <c r="AY230" s="323">
        <f t="shared" si="15"/>
        <v>0</v>
      </c>
    </row>
    <row r="231" spans="2:51" ht="15" customHeight="1">
      <c r="AS231" s="1183" t="s">
        <v>921</v>
      </c>
      <c r="AT231" s="1193"/>
      <c r="AU231" s="1193"/>
      <c r="AV231" s="1194"/>
      <c r="AW231" s="1185" t="s">
        <v>922</v>
      </c>
      <c r="AX231" s="1185"/>
      <c r="AY231" s="323">
        <v>1</v>
      </c>
    </row>
    <row r="232" spans="2:51" ht="15" customHeight="1">
      <c r="AS232" s="998" t="str">
        <f>Financeiros!C9</f>
        <v>Repasse de PIS COFINS</v>
      </c>
      <c r="AT232" s="998"/>
      <c r="AU232" s="999">
        <f>LnkTXTPISCOFINS</f>
        <v>3591606.678375944</v>
      </c>
      <c r="AV232" s="1000"/>
      <c r="AW232" s="1000">
        <f ca="1">LnkTXTPISCOFINSPer</f>
        <v>1.7020073467598731E-2</v>
      </c>
      <c r="AX232" s="997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998" t="str">
        <f>AM166</f>
        <v>Neutralidade Encargos Setoriais</v>
      </c>
      <c r="AT233" s="998"/>
      <c r="AU233" s="999">
        <f ca="1">LnkTXTNeutralidade</f>
        <v>34384.886719416289</v>
      </c>
      <c r="AV233" s="1000"/>
      <c r="AW233" s="994">
        <f ca="1">AU233/Financeiros!$D$4</f>
        <v>1.6294470707581946E-4</v>
      </c>
      <c r="AX233" s="997"/>
      <c r="AY233" s="323">
        <f t="shared" ref="AY233:AY241" ca="1" si="18">IF(AW233=0,0,1)</f>
        <v>1</v>
      </c>
    </row>
    <row r="234" spans="2:51" ht="15" customHeight="1">
      <c r="B234" s="348"/>
      <c r="C234" s="349"/>
      <c r="D234" s="349"/>
      <c r="E234" s="349"/>
      <c r="F234" s="350"/>
      <c r="G234" s="350"/>
      <c r="H234" s="350"/>
      <c r="AS234" s="1001" t="str">
        <f>AM167</f>
        <v>Neutralidade Financeiros e Encargos Conta Covid</v>
      </c>
      <c r="AT234" s="1001"/>
      <c r="AU234" s="1002">
        <f ca="1">AN167</f>
        <v>128416.98369309015</v>
      </c>
      <c r="AV234" s="1001"/>
      <c r="AW234" s="994">
        <f ca="1">AU234/Financeiros!$D$4</f>
        <v>6.0854839982983308E-4</v>
      </c>
      <c r="AX234" s="997"/>
      <c r="AY234" s="323">
        <f t="shared" ca="1" si="18"/>
        <v>1</v>
      </c>
    </row>
    <row r="235" spans="2:51" ht="15" customHeight="1">
      <c r="B235" s="348"/>
      <c r="C235" s="349"/>
      <c r="D235" s="349"/>
      <c r="E235" s="349"/>
      <c r="F235" s="350"/>
      <c r="G235" s="350"/>
      <c r="H235" s="350"/>
      <c r="AS235" s="1001" t="str">
        <f t="shared" ref="AS235:AS243" si="19">AM169</f>
        <v>Ajustes Processos anteriores - Geração Propria</v>
      </c>
      <c r="AT235" s="1001"/>
      <c r="AU235" s="1002">
        <f t="shared" ref="AU235:AU243" si="20">AN169</f>
        <v>3724908.0816122931</v>
      </c>
      <c r="AV235" s="1000"/>
      <c r="AW235" s="994">
        <f ca="1">AU235/Financeiros!$D$4</f>
        <v>1.765176838287898E-2</v>
      </c>
      <c r="AX235" s="997"/>
      <c r="AY235" s="323">
        <f t="shared" ca="1" si="18"/>
        <v>1</v>
      </c>
    </row>
    <row r="236" spans="2:51" ht="15" customHeight="1">
      <c r="B236" s="348"/>
      <c r="C236" s="349"/>
      <c r="D236" s="349"/>
      <c r="E236" s="349"/>
      <c r="F236" s="350"/>
      <c r="G236" s="350"/>
      <c r="H236" s="350"/>
      <c r="AS236" s="1001" t="str">
        <f t="shared" si="19"/>
        <v>Ajuste CUST + PISCONFINS Transmissão</v>
      </c>
      <c r="AT236" s="1001"/>
      <c r="AU236" s="1002">
        <f t="shared" si="20"/>
        <v>1160062.9278567836</v>
      </c>
      <c r="AV236" s="1000"/>
      <c r="AW236" s="994">
        <f ca="1">AU236/Financeiros!$D$4</f>
        <v>5.4973603813678633E-3</v>
      </c>
      <c r="AX236" s="997"/>
      <c r="AY236" s="323">
        <f t="shared" ca="1" si="18"/>
        <v>1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01" t="str">
        <f t="shared" si="19"/>
        <v>Compensação DIC FIC</v>
      </c>
      <c r="AT237" s="1001"/>
      <c r="AU237" s="1002">
        <f t="shared" si="20"/>
        <v>-36242.696487839901</v>
      </c>
      <c r="AV237" s="1000"/>
      <c r="AW237" s="994">
        <f ca="1">AU237/Financeiros!$D$4</f>
        <v>-1.7174858277238948E-4</v>
      </c>
      <c r="AX237" s="997"/>
      <c r="AY237" s="323">
        <f t="shared" ca="1" si="18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1001" t="str">
        <f t="shared" si="19"/>
        <v>Subvenção CDE</v>
      </c>
      <c r="AT238" s="1001"/>
      <c r="AU238" s="1002">
        <f t="shared" ca="1" si="20"/>
        <v>-17782212.48699066</v>
      </c>
      <c r="AV238" s="1000"/>
      <c r="AW238" s="994">
        <f ca="1">AU238/Financeiros!$D$4</f>
        <v>-8.4267179022477823E-2</v>
      </c>
      <c r="AX238" s="997"/>
      <c r="AY238" s="323">
        <f t="shared" ca="1" si="18"/>
        <v>1</v>
      </c>
    </row>
    <row r="239" spans="2:51" ht="15" hidden="1" customHeight="1">
      <c r="B239" s="348"/>
      <c r="C239" s="349"/>
      <c r="D239" s="349"/>
      <c r="E239" s="349"/>
      <c r="F239" s="350"/>
      <c r="G239" s="350"/>
      <c r="H239" s="350"/>
      <c r="AS239" s="1001" t="str">
        <f t="shared" si="19"/>
        <v>Retenção de Adicionais de Bandeiras Tarifárias</v>
      </c>
      <c r="AT239" s="1001"/>
      <c r="AU239" s="1002">
        <f t="shared" si="20"/>
        <v>0</v>
      </c>
      <c r="AV239" s="1000"/>
      <c r="AW239" s="994">
        <f ca="1">AU239/Financeiros!$D$4</f>
        <v>0</v>
      </c>
      <c r="AX239" s="997"/>
      <c r="AY239" s="323">
        <f t="shared" ca="1" si="18"/>
        <v>0</v>
      </c>
    </row>
    <row r="240" spans="2:51" ht="15" customHeight="1">
      <c r="B240" s="348"/>
      <c r="C240" s="349"/>
      <c r="D240" s="349"/>
      <c r="E240" s="349"/>
      <c r="F240" s="350"/>
      <c r="G240" s="350"/>
      <c r="H240" s="350"/>
      <c r="AS240" s="1001" t="str">
        <f t="shared" si="19"/>
        <v>Conta Covid-19</v>
      </c>
      <c r="AT240" s="1001"/>
      <c r="AU240" s="1002">
        <f t="shared" si="20"/>
        <v>-6504386.7004942941</v>
      </c>
      <c r="AV240" s="1000"/>
      <c r="AW240" s="994">
        <f ca="1">AU240/Financeiros!$D$4</f>
        <v>-3.0823291473036168E-2</v>
      </c>
      <c r="AX240" s="997"/>
      <c r="AY240" s="323">
        <f t="shared" ca="1" si="18"/>
        <v>1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01" t="str">
        <f t="shared" si="19"/>
        <v>Repasse de ICMS</v>
      </c>
      <c r="AT241" s="1001"/>
      <c r="AU241" s="1002">
        <f t="shared" si="20"/>
        <v>0</v>
      </c>
      <c r="AV241" s="1000"/>
      <c r="AW241" s="994">
        <f ca="1">AU241/Financeiros!$D$4</f>
        <v>0</v>
      </c>
      <c r="AX241" s="997"/>
      <c r="AY241" s="323">
        <f t="shared" ca="1" si="18"/>
        <v>0</v>
      </c>
    </row>
    <row r="242" spans="2:51" ht="15" hidden="1" customHeight="1">
      <c r="B242" s="348"/>
      <c r="C242" s="349"/>
      <c r="D242" s="349"/>
      <c r="E242" s="349"/>
      <c r="F242" s="350"/>
      <c r="G242" s="350"/>
      <c r="H242" s="350"/>
      <c r="AS242" s="1001" t="str">
        <f t="shared" si="19"/>
        <v>Crédito Pis Cofins sobre ICMS</v>
      </c>
      <c r="AT242" s="1001"/>
      <c r="AU242" s="1002">
        <f t="shared" si="20"/>
        <v>0</v>
      </c>
      <c r="AV242" s="1000"/>
      <c r="AW242" s="994">
        <f ca="1">AU242/Financeiros!$D$4</f>
        <v>0</v>
      </c>
      <c r="AX242" s="997"/>
      <c r="AY242" s="984">
        <f ca="1">IF(AW242=0,0,1)</f>
        <v>0</v>
      </c>
    </row>
    <row r="243" spans="2:51" ht="15" customHeight="1">
      <c r="B243" s="348"/>
      <c r="C243" s="349"/>
      <c r="D243" s="349"/>
      <c r="E243" s="349"/>
      <c r="F243" s="350"/>
      <c r="G243" s="350"/>
      <c r="H243" s="350"/>
      <c r="AS243" s="1001" t="str">
        <f t="shared" si="19"/>
        <v>Previsão de Risco Hidrologico</v>
      </c>
      <c r="AT243" s="1001"/>
      <c r="AU243" s="1002">
        <f t="shared" si="20"/>
        <v>6029479.2269557174</v>
      </c>
      <c r="AV243" s="1000"/>
      <c r="AW243" s="994">
        <f ca="1">AU243/Financeiros!$D$4</f>
        <v>2.8572777757655387E-2</v>
      </c>
      <c r="AX243" s="997"/>
      <c r="AY243" s="984">
        <f t="shared" ref="AY243:AY245" ca="1" si="21">IF(AW243=0,0,1)</f>
        <v>1</v>
      </c>
    </row>
    <row r="244" spans="2:51" ht="15" customHeight="1">
      <c r="B244" s="348"/>
      <c r="C244" s="349"/>
      <c r="D244" s="349"/>
      <c r="E244" s="349"/>
      <c r="F244" s="350"/>
      <c r="G244" s="350"/>
      <c r="H244" s="350"/>
      <c r="AS244" s="1001" t="str">
        <f t="shared" ref="AS244:AS255" si="22">AM178</f>
        <v>Reversão de Risco Hidrológico</v>
      </c>
      <c r="AT244" s="1001"/>
      <c r="AU244" s="1002">
        <f t="shared" ref="AU244:AU255" si="23">AN178</f>
        <v>-4361333.6717375368</v>
      </c>
      <c r="AV244" s="1000"/>
      <c r="AW244" s="994">
        <f ca="1">AU244/Financeiros!$D$4</f>
        <v>-2.0667691692579905E-2</v>
      </c>
      <c r="AX244" s="997"/>
      <c r="AY244" s="984">
        <f t="shared" ca="1" si="21"/>
        <v>1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01" t="str">
        <f t="shared" si="22"/>
        <v>Efeito COVID da Supridora</v>
      </c>
      <c r="AT245" s="1001"/>
      <c r="AU245" s="1002">
        <f t="shared" si="23"/>
        <v>0</v>
      </c>
      <c r="AV245" s="1000"/>
      <c r="AW245" s="994">
        <f ca="1">AU245/Financeiros!$D$4</f>
        <v>0</v>
      </c>
      <c r="AX245" s="997"/>
      <c r="AY245" s="984">
        <f t="shared" ca="1" si="21"/>
        <v>0</v>
      </c>
    </row>
    <row r="246" spans="2:51" ht="15" hidden="1" customHeight="1">
      <c r="B246" s="348"/>
      <c r="C246" s="349"/>
      <c r="D246" s="349"/>
      <c r="E246" s="349"/>
      <c r="F246" s="350"/>
      <c r="G246" s="350"/>
      <c r="H246" s="350"/>
      <c r="AS246" s="1001" t="str">
        <f t="shared" si="22"/>
        <v>Diferimento Pis Cofins</v>
      </c>
      <c r="AT246" s="1001"/>
      <c r="AU246" s="1002">
        <f t="shared" si="23"/>
        <v>0</v>
      </c>
      <c r="AV246" s="1000"/>
      <c r="AW246" s="994">
        <f ca="1">AU246/Financeiros!$D$4</f>
        <v>0</v>
      </c>
      <c r="AX246" s="997"/>
      <c r="AY246" s="984">
        <f t="shared" ref="AY246:AY250" ca="1" si="24">IF(AW246=0,0,1)</f>
        <v>0</v>
      </c>
    </row>
    <row r="247" spans="2:51" ht="15" hidden="1" customHeight="1">
      <c r="B247" s="348"/>
      <c r="C247" s="349"/>
      <c r="D247" s="349"/>
      <c r="E247" s="349"/>
      <c r="F247" s="350"/>
      <c r="G247" s="350"/>
      <c r="H247" s="350"/>
      <c r="AS247" s="1001" t="str">
        <f t="shared" si="22"/>
        <v>Financeiros associados ao §7º do Art. 88 da Ren 414/2021</v>
      </c>
      <c r="AT247" s="1001"/>
      <c r="AU247" s="1002">
        <f t="shared" si="23"/>
        <v>0</v>
      </c>
      <c r="AV247" s="1000"/>
      <c r="AW247" s="994">
        <f ca="1">AU247/Financeiros!$D$4</f>
        <v>0</v>
      </c>
      <c r="AX247" s="997"/>
      <c r="AY247" s="984">
        <f t="shared" ref="AY247:AY249" ca="1" si="25">IF(AW247=0,0,1)</f>
        <v>0</v>
      </c>
    </row>
    <row r="248" spans="2:51" ht="15" customHeight="1">
      <c r="B248" s="348"/>
      <c r="C248" s="349"/>
      <c r="D248" s="349"/>
      <c r="E248" s="349"/>
      <c r="F248" s="350"/>
      <c r="G248" s="350"/>
      <c r="H248" s="350"/>
      <c r="AS248" s="1001" t="str">
        <f t="shared" si="22"/>
        <v>Custo Distribuidora - Conta Covid - Art 4º - REN 952/2021</v>
      </c>
      <c r="AT248" s="1001"/>
      <c r="AU248" s="1002">
        <f t="shared" si="23"/>
        <v>-625769.9</v>
      </c>
      <c r="AV248" s="1000"/>
      <c r="AW248" s="994">
        <f ca="1">AU248/Financeiros!$D$4</f>
        <v>-2.965427627678856E-3</v>
      </c>
      <c r="AX248" s="997"/>
      <c r="AY248" s="984">
        <f t="shared" ca="1" si="25"/>
        <v>1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01">
        <f t="shared" si="22"/>
        <v>0</v>
      </c>
      <c r="AT249" s="1001"/>
      <c r="AU249" s="1002">
        <f t="shared" si="23"/>
        <v>0</v>
      </c>
      <c r="AV249" s="1000"/>
      <c r="AW249" s="994">
        <f ca="1">AU249/Financeiros!$D$4</f>
        <v>0</v>
      </c>
      <c r="AX249" s="997"/>
      <c r="AY249" s="984">
        <f t="shared" ca="1" si="25"/>
        <v>0</v>
      </c>
    </row>
    <row r="250" spans="2:51" ht="15" customHeight="1">
      <c r="B250" s="348"/>
      <c r="C250" s="349"/>
      <c r="D250" s="349"/>
      <c r="E250" s="349"/>
      <c r="F250" s="350"/>
      <c r="G250" s="350"/>
      <c r="H250" s="350"/>
      <c r="AS250" s="1001" t="str">
        <f t="shared" si="22"/>
        <v>Ajustes Processos anteriores - Encargo de Conexão</v>
      </c>
      <c r="AT250" s="1001"/>
      <c r="AU250" s="1002">
        <f t="shared" si="23"/>
        <v>-41834.775229867715</v>
      </c>
      <c r="AV250" s="1000"/>
      <c r="AW250" s="994">
        <f ca="1">AU250/Financeiros!$D$4</f>
        <v>-1.9824858668399483E-4</v>
      </c>
      <c r="AX250" s="997"/>
      <c r="AY250" s="984">
        <f t="shared" ca="1" si="24"/>
        <v>1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01">
        <f t="shared" si="22"/>
        <v>0</v>
      </c>
      <c r="AT251" s="1001"/>
      <c r="AU251" s="1002">
        <f t="shared" si="23"/>
        <v>0</v>
      </c>
      <c r="AV251" s="1000"/>
      <c r="AW251" s="994">
        <f ca="1">AU251/Financeiros!$D$4</f>
        <v>0</v>
      </c>
      <c r="AX251" s="997"/>
      <c r="AY251" s="990">
        <f t="shared" ref="AY251:AY252" ca="1" si="26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01">
        <f t="shared" si="22"/>
        <v>0</v>
      </c>
      <c r="AT252" s="1001"/>
      <c r="AU252" s="1002">
        <f t="shared" si="23"/>
        <v>0</v>
      </c>
      <c r="AV252" s="1000"/>
      <c r="AW252" s="994">
        <f ca="1">AU252/Financeiros!$D$4</f>
        <v>0</v>
      </c>
      <c r="AX252" s="997"/>
      <c r="AY252" s="990">
        <f t="shared" ca="1" si="26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01">
        <f t="shared" si="22"/>
        <v>0</v>
      </c>
      <c r="AT253" s="1001"/>
      <c r="AU253" s="1002">
        <f t="shared" si="23"/>
        <v>0</v>
      </c>
      <c r="AV253" s="1000"/>
      <c r="AW253" s="994">
        <f ca="1">AU253/Financeiros!$D$4</f>
        <v>0</v>
      </c>
      <c r="AX253" s="997"/>
      <c r="AY253" s="990">
        <f t="shared" ref="AY253:AY260" ca="1" si="27">IF(AW253=0,0,1)</f>
        <v>0</v>
      </c>
    </row>
    <row r="254" spans="2:51" ht="15" customHeight="1">
      <c r="B254" s="348"/>
      <c r="C254" s="349"/>
      <c r="D254" s="349"/>
      <c r="E254" s="349"/>
      <c r="F254" s="350"/>
      <c r="G254" s="350"/>
      <c r="H254" s="350"/>
      <c r="AS254" s="1001" t="str">
        <f t="shared" si="22"/>
        <v>CVE Energia</v>
      </c>
      <c r="AT254" s="1001"/>
      <c r="AU254" s="1002">
        <f t="shared" ca="1" si="23"/>
        <v>-361044.78129999997</v>
      </c>
      <c r="AV254" s="1000"/>
      <c r="AW254" s="994">
        <f ca="1">AU254/Financeiros!$D$4</f>
        <v>-1.7109358716299557E-3</v>
      </c>
      <c r="AX254" s="997"/>
      <c r="AY254" s="990">
        <f t="shared" ca="1" si="27"/>
        <v>1</v>
      </c>
    </row>
    <row r="255" spans="2:51" ht="15" customHeight="1">
      <c r="B255" s="348"/>
      <c r="C255" s="349"/>
      <c r="D255" s="349"/>
      <c r="E255" s="349"/>
      <c r="F255" s="350"/>
      <c r="G255" s="350"/>
      <c r="H255" s="350"/>
      <c r="AS255" s="1001" t="str">
        <f t="shared" si="22"/>
        <v>CVE Encargos</v>
      </c>
      <c r="AT255" s="1001"/>
      <c r="AU255" s="1002">
        <f t="shared" si="23"/>
        <v>2907185.43</v>
      </c>
      <c r="AV255" s="1000"/>
      <c r="AW255" s="994">
        <f ca="1">AU255/Financeiros!$D$4</f>
        <v>1.3776706091020732E-2</v>
      </c>
      <c r="AX255" s="997"/>
      <c r="AY255" s="990">
        <f t="shared" ca="1" si="27"/>
        <v>1</v>
      </c>
    </row>
    <row r="256" spans="2:51" ht="15" hidden="1" customHeight="1">
      <c r="B256" s="348"/>
      <c r="C256" s="349"/>
      <c r="D256" s="349"/>
      <c r="E256" s="349"/>
      <c r="F256" s="350"/>
      <c r="G256" s="350"/>
      <c r="H256" s="350"/>
      <c r="AS256" s="1001" t="str">
        <f t="shared" ref="AS256:AS260" si="28">AM190</f>
        <v xml:space="preserve">Conta Escassez H. - Importação julho- agosto/2021 - RTA 2022 </v>
      </c>
      <c r="AT256" s="1001"/>
      <c r="AU256" s="1002">
        <f t="shared" ref="AU256:AU260" ca="1" si="29">AN190</f>
        <v>0</v>
      </c>
      <c r="AV256" s="1000"/>
      <c r="AW256" s="994">
        <f ca="1">AU256/Financeiros!$D$4</f>
        <v>0</v>
      </c>
      <c r="AX256" s="997"/>
      <c r="AY256" s="990">
        <f t="shared" ca="1" si="27"/>
        <v>0</v>
      </c>
    </row>
    <row r="257" spans="2:84" ht="15" customHeight="1">
      <c r="B257" s="348"/>
      <c r="C257" s="349"/>
      <c r="D257" s="349"/>
      <c r="E257" s="349"/>
      <c r="F257" s="350"/>
      <c r="G257" s="350"/>
      <c r="H257" s="350"/>
      <c r="AS257" s="1001" t="str">
        <f t="shared" si="28"/>
        <v>Conta Escassez H. - Bônus Redução Voluntária</v>
      </c>
      <c r="AT257" s="1001"/>
      <c r="AU257" s="1002">
        <f t="shared" si="29"/>
        <v>-2357071.1438916875</v>
      </c>
      <c r="AV257" s="1000"/>
      <c r="AW257" s="994">
        <f ca="1">AU257/Financeiros!$D$4</f>
        <v>-1.116979881982341E-2</v>
      </c>
      <c r="AX257" s="997"/>
      <c r="AY257" s="990">
        <f t="shared" ca="1" si="27"/>
        <v>1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1001" t="str">
        <f t="shared" si="28"/>
        <v>Conta Escassez H. - Diferimento de energia - RTA 2022</v>
      </c>
      <c r="AT258" s="1001"/>
      <c r="AU258" s="1002">
        <f t="shared" ca="1" si="29"/>
        <v>0</v>
      </c>
      <c r="AV258" s="1000"/>
      <c r="AW258" s="994">
        <f ca="1">AU258/Financeiros!$D$4</f>
        <v>0</v>
      </c>
      <c r="AX258" s="997"/>
      <c r="AY258" s="990">
        <f t="shared" ca="1" si="27"/>
        <v>0</v>
      </c>
    </row>
    <row r="259" spans="2:84" ht="15" customHeight="1">
      <c r="B259" s="348"/>
      <c r="C259" s="349"/>
      <c r="D259" s="349"/>
      <c r="E259" s="349"/>
      <c r="F259" s="350"/>
      <c r="G259" s="350"/>
      <c r="H259" s="350"/>
      <c r="AS259" s="1001" t="str">
        <f t="shared" si="28"/>
        <v>Sobrecontratação/Reversão de Energia</v>
      </c>
      <c r="AT259" s="1001"/>
      <c r="AU259" s="1002">
        <f t="shared" ca="1" si="29"/>
        <v>-62463.757999999994</v>
      </c>
      <c r="AV259" s="1000"/>
      <c r="AW259" s="994">
        <f ca="1">AU259/Financeiros!$D$4</f>
        <v>-2.9600617367797036E-4</v>
      </c>
      <c r="AX259" s="997"/>
      <c r="AY259" s="990">
        <f t="shared" ca="1" si="27"/>
        <v>1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01">
        <f t="shared" si="28"/>
        <v>0</v>
      </c>
      <c r="AT260" s="1001"/>
      <c r="AU260" s="1002">
        <f t="shared" si="29"/>
        <v>0</v>
      </c>
      <c r="AV260" s="1000"/>
      <c r="AW260" s="994">
        <f ca="1">AU260/Financeiros!$D$4</f>
        <v>0</v>
      </c>
      <c r="AX260" s="997"/>
      <c r="AY260" s="990">
        <f t="shared" ca="1" si="27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190" t="s">
        <v>923</v>
      </c>
      <c r="AT261" s="1190"/>
      <c r="AU261" s="1703">
        <f ca="1">SUM(AU232:AU260)</f>
        <v>-14556315.698918642</v>
      </c>
      <c r="AV261" s="1196"/>
      <c r="AW261" s="1196">
        <f ca="1">ROUND(SUM(AW232:AW260),4)</f>
        <v>-6.9000000000000006E-2</v>
      </c>
      <c r="AX261" s="1196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197" t="str">
        <f>Resultado!B9</f>
        <v>Variação econômica e financeira</v>
      </c>
      <c r="AT262" s="1197"/>
      <c r="AU262" s="1197"/>
      <c r="AV262" s="1198"/>
      <c r="AW262" s="1198">
        <f ca="1">ROUND(AW229+AW261,4)</f>
        <v>7.5999999999999998E-2</v>
      </c>
      <c r="AX262" s="1198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190" t="s">
        <v>924</v>
      </c>
      <c r="AT263" s="1190"/>
      <c r="AU263" s="1190"/>
      <c r="AV263" s="1190"/>
      <c r="AW263" s="1199">
        <f ca="1">ROUND(AW265-AW262,4)</f>
        <v>8.2400000000000001E-2</v>
      </c>
      <c r="AX263" s="1199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200" t="s">
        <v>925</v>
      </c>
      <c r="AT264" s="1200"/>
      <c r="AU264" s="1195"/>
      <c r="AV264" s="1195"/>
      <c r="AW264" s="1201">
        <v>0</v>
      </c>
      <c r="AX264" s="1202"/>
      <c r="AY264" s="323">
        <f t="shared" si="15"/>
        <v>0</v>
      </c>
      <c r="BA264" s="804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99" t="s">
        <v>926</v>
      </c>
      <c r="AT265" s="1799"/>
      <c r="AU265" s="1799"/>
      <c r="AV265" s="1799"/>
      <c r="AW265" s="1198">
        <f>Resultado!L5</f>
        <v>0.15841300794861213</v>
      </c>
      <c r="AX265" s="1198"/>
      <c r="AY265" s="323"/>
    </row>
    <row r="266" spans="2:84" ht="15" customHeight="1">
      <c r="AW266" s="806">
        <v>-0.1116</v>
      </c>
      <c r="BA266" s="1179" t="s">
        <v>927</v>
      </c>
      <c r="BB266" s="30" t="s">
        <v>928</v>
      </c>
      <c r="BC266" s="30"/>
      <c r="BD266" s="30"/>
      <c r="BE266" s="30"/>
      <c r="BF266" s="30"/>
      <c r="BG266" s="30"/>
      <c r="BH266" s="308" t="s">
        <v>850</v>
      </c>
      <c r="BI266" s="308" t="s">
        <v>850</v>
      </c>
    </row>
    <row r="267" spans="2:84" ht="45" customHeight="1">
      <c r="AU267" s="425"/>
      <c r="BA267" s="1003" t="s">
        <v>929</v>
      </c>
      <c r="BB267" s="1003" t="str">
        <f>"Cobertura "&amp;YEAR(CAPA!C14)&amp;"/"&amp;YEAR(CAPA!C14)+1</f>
        <v>Cobertura 2021/2022</v>
      </c>
      <c r="BC267" s="1003" t="str">
        <f>"Cobertura "&amp;YEAR(CAPA!C14)&amp;"/"&amp;YEAR(CAPA!C14)+1&amp;" Atualizada"</f>
        <v>Cobertura 2021/2022 Atualizada</v>
      </c>
      <c r="BD267" s="1003" t="s">
        <v>930</v>
      </c>
      <c r="BE267" s="1003" t="s">
        <v>931</v>
      </c>
      <c r="BF267" s="1003" t="s">
        <v>932</v>
      </c>
      <c r="BG267" s="1003" t="str">
        <f>"Previsão "&amp;YEAR(CAPA!C14)+1&amp;"/"&amp;YEAR(CAPA!C14)+2</f>
        <v>Previsão 2022/2023</v>
      </c>
      <c r="BH267" s="1003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803</v>
      </c>
    </row>
    <row r="268" spans="2:84" ht="15" customHeight="1">
      <c r="B268" s="356"/>
      <c r="C268" s="356"/>
      <c r="D268" s="356"/>
      <c r="E268" s="356"/>
      <c r="BA268" s="448" t="str">
        <f>BO288</f>
        <v>Subsidio Carga Fonte Incentivda</v>
      </c>
      <c r="BB268" s="1004" t="e">
        <f>Indexador!#REF!</f>
        <v>#REF!</v>
      </c>
      <c r="BC268" s="1004" t="e">
        <f>Indexador!#REF!</f>
        <v>#REF!</v>
      </c>
      <c r="BD268" s="1004" t="e">
        <f>Indexador!#REF!</f>
        <v>#REF!</v>
      </c>
      <c r="BE268" s="1004" t="e">
        <f>Indexador!#REF!</f>
        <v>#REF!</v>
      </c>
      <c r="BF268" s="1004">
        <f>BP288</f>
        <v>261352.52202709275</v>
      </c>
      <c r="BG268" s="1004">
        <f t="shared" ref="BG268:BH273" si="30">BQ288</f>
        <v>303265.78622703243</v>
      </c>
      <c r="BH268" s="1004">
        <f t="shared" si="30"/>
        <v>564618.30825412518</v>
      </c>
      <c r="BI268" s="357" t="e">
        <f>Indexador!#REF!</f>
        <v>#REF!</v>
      </c>
      <c r="BJ268" s="338">
        <f t="shared" ref="BJ268:BJ274" si="31">IF(BH268=0,0,1)</f>
        <v>1</v>
      </c>
    </row>
    <row r="269" spans="2:84" ht="15" customHeight="1">
      <c r="B269" s="348"/>
      <c r="C269" s="349"/>
      <c r="D269" s="349"/>
      <c r="E269" s="21"/>
      <c r="AZ269" s="358"/>
      <c r="BA269" s="448" t="str">
        <f t="shared" ref="BA269:BA273" si="32">BO289</f>
        <v>Subsidio Geração Fonte Incentivda</v>
      </c>
      <c r="BB269" s="1004" t="e">
        <f>Indexador!#REF!</f>
        <v>#REF!</v>
      </c>
      <c r="BC269" s="1004" t="e">
        <f>Indexador!#REF!</f>
        <v>#REF!</v>
      </c>
      <c r="BD269" s="1004" t="e">
        <f>Indexador!#REF!</f>
        <v>#REF!</v>
      </c>
      <c r="BE269" s="1004" t="e">
        <f>Indexador!#REF!</f>
        <v>#REF!</v>
      </c>
      <c r="BF269" s="1005">
        <f t="shared" ref="BF269:BF273" si="33">BP289</f>
        <v>7121.2211251076269</v>
      </c>
      <c r="BG269" s="1005">
        <f t="shared" si="30"/>
        <v>21027.810158346365</v>
      </c>
      <c r="BH269" s="1005">
        <f t="shared" si="30"/>
        <v>28149.031283453991</v>
      </c>
      <c r="BI269" s="357" t="e">
        <f>Indexador!#REF!</f>
        <v>#REF!</v>
      </c>
      <c r="BJ269" s="338">
        <f t="shared" si="31"/>
        <v>1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customHeight="1">
      <c r="B270" s="348"/>
      <c r="C270" s="349"/>
      <c r="D270" s="349"/>
      <c r="E270" s="21"/>
      <c r="AZ270" s="358"/>
      <c r="BA270" s="448" t="str">
        <f t="shared" si="32"/>
        <v>Subsidio Distribuição</v>
      </c>
      <c r="BB270" s="1004" t="e">
        <f>Indexador!#REF!</f>
        <v>#REF!</v>
      </c>
      <c r="BC270" s="1004" t="e">
        <f>Indexador!#REF!</f>
        <v>#REF!</v>
      </c>
      <c r="BD270" s="1004" t="e">
        <f>Indexador!#REF!</f>
        <v>#REF!</v>
      </c>
      <c r="BE270" s="1004" t="e">
        <f>Indexador!#REF!</f>
        <v>#REF!</v>
      </c>
      <c r="BF270" s="1005">
        <f t="shared" si="33"/>
        <v>-12965.473602868597</v>
      </c>
      <c r="BG270" s="1005">
        <f t="shared" si="30"/>
        <v>0</v>
      </c>
      <c r="BH270" s="1005">
        <f t="shared" si="30"/>
        <v>-12965.473602868597</v>
      </c>
      <c r="BI270" s="357" t="e">
        <f>Indexador!#REF!</f>
        <v>#REF!</v>
      </c>
      <c r="BJ270" s="338">
        <f t="shared" si="31"/>
        <v>1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32"/>
        <v>Subsidio Água, Esgoto e Saneamento</v>
      </c>
      <c r="BB271" s="1004" t="e">
        <f>Indexador!#REF!</f>
        <v>#REF!</v>
      </c>
      <c r="BC271" s="1004" t="e">
        <f>Indexador!#REF!</f>
        <v>#REF!</v>
      </c>
      <c r="BD271" s="1004" t="e">
        <f>Indexador!#REF!</f>
        <v>#REF!</v>
      </c>
      <c r="BE271" s="1004" t="e">
        <f>Indexador!#REF!</f>
        <v>#REF!</v>
      </c>
      <c r="BF271" s="1005">
        <f t="shared" si="33"/>
        <v>1608.8906230133773</v>
      </c>
      <c r="BG271" s="1005">
        <f t="shared" si="30"/>
        <v>11431.774833691708</v>
      </c>
      <c r="BH271" s="1005">
        <f t="shared" si="30"/>
        <v>13040.665456705086</v>
      </c>
      <c r="BI271" s="357" t="e">
        <f>Indexador!#REF!</f>
        <v>#REF!</v>
      </c>
      <c r="BJ271" s="338">
        <f t="shared" si="31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32"/>
        <v>Subsidio Rural</v>
      </c>
      <c r="BB272" s="1004" t="e">
        <f>Indexador!#REF!</f>
        <v>#REF!</v>
      </c>
      <c r="BC272" s="1004" t="e">
        <f>Indexador!#REF!</f>
        <v>#REF!</v>
      </c>
      <c r="BD272" s="1004" t="e">
        <f>Indexador!#REF!</f>
        <v>#REF!</v>
      </c>
      <c r="BE272" s="1004" t="e">
        <f>Indexador!#REF!</f>
        <v>#REF!</v>
      </c>
      <c r="BF272" s="1005">
        <f t="shared" si="33"/>
        <v>-6069.3825799463475</v>
      </c>
      <c r="BG272" s="1005">
        <f t="shared" si="30"/>
        <v>234569.23013318694</v>
      </c>
      <c r="BH272" s="1005">
        <f t="shared" si="30"/>
        <v>228499.8475532406</v>
      </c>
      <c r="BI272" s="357" t="e">
        <f>Indexador!#REF!</f>
        <v>#REF!</v>
      </c>
      <c r="BJ272" s="338">
        <f t="shared" si="31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32"/>
        <v>Subsidio - Irrigante/Aquicultor</v>
      </c>
      <c r="BB273" s="1004" t="e">
        <f>Indexador!#REF!</f>
        <v>#REF!</v>
      </c>
      <c r="BC273" s="1004" t="e">
        <f>Indexador!#REF!</f>
        <v>#REF!</v>
      </c>
      <c r="BD273" s="1004" t="e">
        <f>Indexador!#REF!</f>
        <v>#REF!</v>
      </c>
      <c r="BE273" s="1004" t="e">
        <f>Indexador!#REF!</f>
        <v>#REF!</v>
      </c>
      <c r="BF273" s="1005">
        <f t="shared" si="33"/>
        <v>70.169784695085355</v>
      </c>
      <c r="BG273" s="1005">
        <f t="shared" si="30"/>
        <v>178.57838393311502</v>
      </c>
      <c r="BH273" s="1005">
        <f t="shared" si="30"/>
        <v>248.74816862820037</v>
      </c>
      <c r="BI273" s="357" t="e">
        <f>Indexador!#REF!</f>
        <v>#REF!</v>
      </c>
      <c r="BJ273" s="338">
        <f t="shared" si="31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190" t="s">
        <v>837</v>
      </c>
      <c r="BB274" s="1203" t="e">
        <f t="shared" ref="BB274:BI274" si="34">SUM(BB268:BB273)</f>
        <v>#REF!</v>
      </c>
      <c r="BC274" s="1203" t="e">
        <f t="shared" si="34"/>
        <v>#REF!</v>
      </c>
      <c r="BD274" s="1203" t="e">
        <f t="shared" si="34"/>
        <v>#REF!</v>
      </c>
      <c r="BE274" s="1203" t="e">
        <f t="shared" si="34"/>
        <v>#REF!</v>
      </c>
      <c r="BF274" s="1204">
        <f t="shared" si="34"/>
        <v>251117.94737709389</v>
      </c>
      <c r="BG274" s="1204">
        <f t="shared" si="34"/>
        <v>570473.17973619059</v>
      </c>
      <c r="BH274" s="1204">
        <f t="shared" si="34"/>
        <v>821591.12711328454</v>
      </c>
      <c r="BI274" s="1205" t="e">
        <f t="shared" si="34"/>
        <v>#REF!</v>
      </c>
      <c r="BJ274" s="340">
        <f t="shared" si="31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179" t="s">
        <v>705</v>
      </c>
      <c r="BL275" s="358"/>
      <c r="BM275" s="308" t="s">
        <v>850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206" t="s">
        <v>933</v>
      </c>
      <c r="BL276" s="1206" t="s">
        <v>870</v>
      </c>
      <c r="BM276" s="1206" t="s">
        <v>910</v>
      </c>
      <c r="BN276" s="473" t="s">
        <v>803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705</v>
      </c>
      <c r="BL277" s="360">
        <f ca="1">Resultado!C25</f>
        <v>10485789.81131511</v>
      </c>
      <c r="BM277" s="360">
        <f>Resultado!D25</f>
        <v>14564160</v>
      </c>
      <c r="BN277" s="338">
        <f t="shared" ref="BN277:BN284" si="35">IF(BM277=0,0,1)</f>
        <v>1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707</v>
      </c>
      <c r="BL278" s="360">
        <f ca="1">Resultado!C26</f>
        <v>2259181.8539222553</v>
      </c>
      <c r="BM278" s="360">
        <f>Resultado!D26</f>
        <v>2469120</v>
      </c>
      <c r="BN278" s="338">
        <f t="shared" si="35"/>
        <v>1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795</v>
      </c>
      <c r="BL279" s="360"/>
      <c r="BM279" s="360"/>
      <c r="BN279" s="338">
        <f t="shared" si="35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796</v>
      </c>
      <c r="BL280" s="360"/>
      <c r="BM280" s="360"/>
      <c r="BN280" s="338">
        <f t="shared" si="35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797</v>
      </c>
      <c r="BL281" s="360"/>
      <c r="BM281" s="360"/>
      <c r="BN281" s="338">
        <f t="shared" si="35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798</v>
      </c>
      <c r="BL282" s="360"/>
      <c r="BM282" s="360"/>
      <c r="BN282" s="338">
        <f t="shared" si="35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708</v>
      </c>
      <c r="BL283" s="360">
        <f ca="1">Resultado!C31</f>
        <v>1062604.2435166286</v>
      </c>
      <c r="BM283" s="360">
        <f>Resultado!D31</f>
        <v>1146889.5423490694</v>
      </c>
      <c r="BN283" s="338">
        <f t="shared" si="35"/>
        <v>1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709</v>
      </c>
      <c r="BL284" s="360">
        <f>Resultado!DJ283</f>
        <v>0</v>
      </c>
      <c r="BM284" s="360">
        <f>Resultado!DK283</f>
        <v>0</v>
      </c>
      <c r="BN284" s="340">
        <f t="shared" si="35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07" t="s">
        <v>934</v>
      </c>
      <c r="BL285" s="1205">
        <f ca="1">SUM(BL277:BL284)</f>
        <v>13807575.908753995</v>
      </c>
      <c r="BM285" s="1205">
        <f>SUM(BM277:BM284)</f>
        <v>18180169.54234907</v>
      </c>
      <c r="BN285" s="338">
        <f ca="1">IF(BL285=0,0,1)</f>
        <v>1</v>
      </c>
      <c r="BO285" s="1179" t="s">
        <v>935</v>
      </c>
      <c r="BP285" s="358"/>
      <c r="BQ285" s="358"/>
      <c r="BR285" s="308" t="s">
        <v>850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(Certel).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08" t="s">
        <v>936</v>
      </c>
      <c r="BP287" s="1208" t="s">
        <v>937</v>
      </c>
      <c r="BQ287" s="1208" t="s">
        <v>938</v>
      </c>
      <c r="BR287" s="1209" t="s">
        <v>939</v>
      </c>
      <c r="BS287" s="413" t="s">
        <v>803</v>
      </c>
      <c r="BU287" s="358"/>
      <c r="BV287" s="358"/>
      <c r="BW287" s="308" t="s">
        <v>850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10" t="s">
        <v>940</v>
      </c>
      <c r="BP288" s="1211">
        <f>IFERROR(Aj.Subsídio!L5,0)</f>
        <v>261352.52202709275</v>
      </c>
      <c r="BQ288" s="1211">
        <f>IFERROR(Aj.Subsídio!M5,0)</f>
        <v>303265.78622703243</v>
      </c>
      <c r="BR288" s="1211">
        <f t="shared" ref="BR288:BR294" si="36">BP288+BQ288</f>
        <v>564618.30825412518</v>
      </c>
      <c r="BS288" s="414">
        <f t="shared" ref="BS288:BS294" si="37">IF(BR288=0,0,1)</f>
        <v>1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10" t="s">
        <v>941</v>
      </c>
      <c r="BP289" s="1211">
        <f>IFERROR(Aj.Subsídio!L6,0)</f>
        <v>7121.2211251076269</v>
      </c>
      <c r="BQ289" s="1211">
        <f>IFERROR(Aj.Subsídio!M6,0)</f>
        <v>21027.810158346365</v>
      </c>
      <c r="BR289" s="1212">
        <f t="shared" si="36"/>
        <v>28149.031283453991</v>
      </c>
      <c r="BS289" s="363">
        <f t="shared" si="37"/>
        <v>1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10" t="s">
        <v>942</v>
      </c>
      <c r="BP290" s="1211">
        <f>IFERROR(Aj.Subsídio!L7,0)</f>
        <v>-12965.473602868597</v>
      </c>
      <c r="BQ290" s="1211">
        <f>IFERROR(Aj.Subsídio!M7,0)</f>
        <v>0</v>
      </c>
      <c r="BR290" s="1212">
        <f t="shared" si="36"/>
        <v>-12965.473602868597</v>
      </c>
      <c r="BS290" s="363">
        <f t="shared" si="37"/>
        <v>1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10" t="s">
        <v>943</v>
      </c>
      <c r="BP291" s="1211">
        <f>IFERROR(Aj.Subsídio!L8,0)</f>
        <v>1608.8906230133773</v>
      </c>
      <c r="BQ291" s="1211">
        <f>IFERROR(Aj.Subsídio!M8,0)</f>
        <v>11431.774833691708</v>
      </c>
      <c r="BR291" s="1212">
        <f t="shared" si="36"/>
        <v>13040.665456705086</v>
      </c>
      <c r="BS291" s="363">
        <f t="shared" si="37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10" t="s">
        <v>944</v>
      </c>
      <c r="BP292" s="1211">
        <f>IFERROR(Aj.Subsídio!L9,0)</f>
        <v>-6069.3825799463475</v>
      </c>
      <c r="BQ292" s="1211">
        <f>IFERROR(Aj.Subsídio!M9,0)</f>
        <v>234569.23013318694</v>
      </c>
      <c r="BR292" s="1212">
        <f t="shared" si="36"/>
        <v>228499.8475532406</v>
      </c>
      <c r="BS292" s="363">
        <f t="shared" si="37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10" t="s">
        <v>945</v>
      </c>
      <c r="BP293" s="1211">
        <f>IFERROR(Aj.Subsídio!L10,0)</f>
        <v>70.169784695085355</v>
      </c>
      <c r="BQ293" s="1211">
        <f>IFERROR(Aj.Subsídio!M10,0)</f>
        <v>178.57838393311502</v>
      </c>
      <c r="BR293" s="1212">
        <f t="shared" si="36"/>
        <v>248.74816862820037</v>
      </c>
      <c r="BS293" s="363">
        <f t="shared" si="37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13" t="s">
        <v>846</v>
      </c>
      <c r="BP294" s="1211">
        <f>SUM(BP288:BP293)</f>
        <v>251117.94737709389</v>
      </c>
      <c r="BQ294" s="1211">
        <f>SUM(BQ288:BQ293)</f>
        <v>570473.17973619059</v>
      </c>
      <c r="BR294" s="1212">
        <f t="shared" si="36"/>
        <v>821591.12711328454</v>
      </c>
      <c r="BS294" s="414">
        <f t="shared" si="37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8" t="s">
        <v>946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947</v>
      </c>
      <c r="BW296" s="60" t="s">
        <v>948</v>
      </c>
      <c r="BY296" s="23" t="s">
        <v>803</v>
      </c>
      <c r="BZ296" s="680" t="s">
        <v>949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RGE SUL DISTRIBUIDORA DE ENERGIA S.A.</v>
      </c>
      <c r="BU297" s="311" t="str">
        <f>Energia!C28</f>
        <v>A3 ( 69 kV)</v>
      </c>
      <c r="BV297" s="432">
        <f>Energia!I28</f>
        <v>0.32969999999999999</v>
      </c>
      <c r="BW297" s="432">
        <f>Energia!F28</f>
        <v>0.32969999999999999</v>
      </c>
      <c r="BY297" s="23">
        <f t="shared" ref="BY297:BY303" si="38">IF(BU297=0,0,1)</f>
        <v>1</v>
      </c>
      <c r="BZ297" s="679"/>
      <c r="CA297" s="358"/>
      <c r="CB297" s="358"/>
      <c r="CC297" s="358"/>
      <c r="CD297" s="358"/>
      <c r="CE297" s="358"/>
      <c r="CF297" s="358"/>
    </row>
    <row r="298" spans="2:84" ht="15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 t="str">
        <f>Energia!B29</f>
        <v>RGE SUL DISTRIBUIDORA DE ENERGIA S.A.</v>
      </c>
      <c r="BU298" s="311" t="str">
        <f>Energia!C29</f>
        <v>A4 (2,3 a 25 kV)</v>
      </c>
      <c r="BV298" s="432">
        <f>Energia!I29</f>
        <v>0.32969999999999999</v>
      </c>
      <c r="BW298" s="432">
        <f>Energia!F29</f>
        <v>0.32969999999999999</v>
      </c>
      <c r="BY298" s="23">
        <f t="shared" si="38"/>
        <v>1</v>
      </c>
      <c r="BZ298" s="679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8"/>
        <v>0</v>
      </c>
      <c r="BZ299" s="679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8"/>
        <v>0</v>
      </c>
      <c r="BZ300" s="679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8"/>
        <v>0</v>
      </c>
      <c r="BZ301" s="679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8"/>
        <v>0</v>
      </c>
      <c r="BZ302" s="679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8"/>
        <v>#REF!</v>
      </c>
      <c r="BZ303" s="681" t="s">
        <v>702</v>
      </c>
      <c r="CB303" s="308" t="s">
        <v>850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14" t="s">
        <v>702</v>
      </c>
      <c r="CA304" s="1215">
        <f>SUM(CA305:CA306)</f>
        <v>0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950</v>
      </c>
      <c r="CA305" s="434">
        <f>CAPA!H42</f>
        <v>0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16" t="s">
        <v>951</v>
      </c>
      <c r="CA306" s="1217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802"/>
      <c r="C315" s="1802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802"/>
      <c r="C321" s="1802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802"/>
      <c r="C330" s="1802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 AS212:AT212 AX212 AS208 AU208:AV208 AS230:AX231 AS228 AU228:AX228 AS227:AV227 AS226:AT226 AV226:AX226 AX227 AX208 AS262:AV262 AX262 AX263 AS211:AV211 AX211 AS217:AX218 AS216:AU216 AX216 AS221:AV221 AS219:AV219 AX219 AS220:AV220 AX220 AX221 AS225:AV225 AX225 K84 AW213:AX213 AV212 AW219:AW221 AW215:AX215 AX265 AS229:AV229 AX229 AU21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28" zoomScale="90" zoomScaleNormal="90" workbookViewId="0">
      <selection activeCell="D35" sqref="D35:D43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13.140625" style="95" bestFit="1" customWidth="1"/>
    <col min="5" max="5" width="10.28515625" style="95" customWidth="1"/>
    <col min="6" max="6" width="29" style="95" customWidth="1"/>
    <col min="7" max="7" width="21" style="95" bestFit="1" customWidth="1"/>
    <col min="8" max="8" width="18.42578125" style="95" bestFit="1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7.285156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08" t="s">
        <v>952</v>
      </c>
      <c r="C1" s="1105"/>
      <c r="D1" s="1009"/>
      <c r="E1" s="1009"/>
      <c r="F1" s="1009"/>
      <c r="G1" s="1218" t="s">
        <v>953</v>
      </c>
      <c r="H1" s="1219">
        <f ca="1">LnkTXTIRTEco</f>
        <v>0.14499999999999999</v>
      </c>
      <c r="I1" s="70"/>
      <c r="J1" s="70"/>
      <c r="P1" s="1220" t="s">
        <v>954</v>
      </c>
      <c r="Q1" s="1221"/>
      <c r="S1" s="1222" t="s">
        <v>955</v>
      </c>
      <c r="T1" s="1221" t="s">
        <v>956</v>
      </c>
      <c r="W1" s="1220" t="s">
        <v>955</v>
      </c>
      <c r="X1" s="1221" t="s">
        <v>956</v>
      </c>
    </row>
    <row r="2" spans="2:24" ht="14.25">
      <c r="B2" s="138" t="str">
        <f>CAPA!C9</f>
        <v>Certel</v>
      </c>
      <c r="C2" s="70"/>
      <c r="D2" s="70"/>
      <c r="G2" s="121" t="s">
        <v>957</v>
      </c>
      <c r="H2" s="122">
        <f ca="1">LnkTXTIRTTotal</f>
        <v>7.5999999999999998E-2</v>
      </c>
      <c r="P2" s="1223">
        <f>DATE(YEAR(P4),MONTH(P4)-1,1)</f>
        <v>44378</v>
      </c>
      <c r="Q2" s="692"/>
      <c r="S2" s="691" t="s">
        <v>958</v>
      </c>
      <c r="T2" s="692" t="s">
        <v>959</v>
      </c>
      <c r="W2" s="691" t="s">
        <v>960</v>
      </c>
      <c r="X2" s="692" t="s">
        <v>959</v>
      </c>
    </row>
    <row r="3" spans="2:24" ht="14.25">
      <c r="P3" s="1220" t="s">
        <v>954</v>
      </c>
      <c r="Q3" s="1221"/>
      <c r="S3" s="1222" t="s">
        <v>955</v>
      </c>
      <c r="T3" s="1221" t="s">
        <v>956</v>
      </c>
      <c r="W3" s="1220" t="s">
        <v>955</v>
      </c>
      <c r="X3" s="1221" t="s">
        <v>956</v>
      </c>
    </row>
    <row r="4" spans="2:24" ht="14.25">
      <c r="P4" s="1223">
        <f>DATE(YEAR(P6),MONTH(P6)-1,1)</f>
        <v>44409</v>
      </c>
      <c r="Q4" s="692"/>
      <c r="S4" s="691" t="s">
        <v>602</v>
      </c>
      <c r="T4" s="692" t="s">
        <v>959</v>
      </c>
      <c r="W4" s="691" t="s">
        <v>960</v>
      </c>
      <c r="X4" s="692" t="s">
        <v>959</v>
      </c>
    </row>
    <row r="5" spans="2:24" ht="14.25">
      <c r="P5" s="1220" t="s">
        <v>954</v>
      </c>
      <c r="Q5" s="1221"/>
      <c r="S5" s="1220" t="s">
        <v>955</v>
      </c>
      <c r="T5" s="1221" t="s">
        <v>956</v>
      </c>
      <c r="V5" s="96"/>
      <c r="W5" s="1220" t="s">
        <v>955</v>
      </c>
      <c r="X5" s="1221" t="s">
        <v>956</v>
      </c>
    </row>
    <row r="6" spans="2:24" ht="14.25">
      <c r="B6" s="112" t="s">
        <v>961</v>
      </c>
      <c r="F6" s="112" t="s">
        <v>962</v>
      </c>
      <c r="I6" s="112" t="s">
        <v>963</v>
      </c>
      <c r="P6" s="1223">
        <f>DATE(YEAR(P8),MONTH(P8)-1,1)</f>
        <v>44440</v>
      </c>
      <c r="Q6" s="692"/>
      <c r="S6" s="691" t="str">
        <f>"=A3"</f>
        <v>=A3</v>
      </c>
      <c r="T6" s="692" t="s">
        <v>959</v>
      </c>
      <c r="W6" s="691" t="s">
        <v>960</v>
      </c>
      <c r="X6" s="692" t="s">
        <v>959</v>
      </c>
    </row>
    <row r="7" spans="2:24" ht="14.25">
      <c r="B7" s="1224" t="s">
        <v>855</v>
      </c>
      <c r="C7" s="1224" t="s">
        <v>120</v>
      </c>
      <c r="D7" s="1224" t="s">
        <v>964</v>
      </c>
      <c r="E7" s="97"/>
      <c r="F7" s="1224" t="s">
        <v>855</v>
      </c>
      <c r="G7" s="1224" t="s">
        <v>964</v>
      </c>
      <c r="I7" s="1225" t="s">
        <v>855</v>
      </c>
      <c r="J7" s="1225" t="s">
        <v>965</v>
      </c>
      <c r="L7" s="428" t="s">
        <v>966</v>
      </c>
      <c r="M7" s="428"/>
      <c r="N7" s="428" t="s">
        <v>802</v>
      </c>
      <c r="P7" s="1220" t="s">
        <v>954</v>
      </c>
      <c r="Q7" s="1221"/>
      <c r="S7" s="1220" t="s">
        <v>955</v>
      </c>
      <c r="T7" s="1221" t="s">
        <v>956</v>
      </c>
      <c r="W7" s="1220" t="s">
        <v>955</v>
      </c>
      <c r="X7" s="1221" t="s">
        <v>956</v>
      </c>
    </row>
    <row r="8" spans="2:24" ht="14.25">
      <c r="B8" s="1226" t="s">
        <v>967</v>
      </c>
      <c r="C8" s="1227">
        <f ca="1">SUM(C9:C15)</f>
        <v>395242.39399999974</v>
      </c>
      <c r="D8" s="1228">
        <f ca="1">SUM(D9:D15)</f>
        <v>198618656.21031004</v>
      </c>
      <c r="E8" s="97"/>
      <c r="F8" s="97" t="s">
        <v>968</v>
      </c>
      <c r="G8" s="116">
        <f t="shared" ref="G8:G14" ca="1" si="0">SUM(INDIRECT("dados_Mercadobase["&amp;F8&amp;"]"))</f>
        <v>0</v>
      </c>
      <c r="I8" s="229" t="s">
        <v>233</v>
      </c>
      <c r="J8" s="117">
        <f ca="1">SUM(INDIRECT("dados_MercadoBase[ICMS]"))/SUM(INDIRECT("dados_MercadoBase[[PisPasep]:[ICMS]]"),INDIRECT("dados_MercadoBase[FinTotAj]"))</f>
        <v>0.24349817755939715</v>
      </c>
      <c r="L8" s="1229" t="s">
        <v>969</v>
      </c>
      <c r="M8" s="1230"/>
      <c r="N8" s="1231">
        <f>DSUM('BD MERCADO'!A2:AAA999998,"Total",S27:S28)</f>
        <v>65024205.91884999</v>
      </c>
      <c r="P8" s="1223">
        <f>DATE(YEAR(P10),MONTH(P10)-1,1)</f>
        <v>44470</v>
      </c>
      <c r="Q8" s="692"/>
      <c r="S8" s="691" t="str">
        <f>"=A3a"</f>
        <v>=A3a</v>
      </c>
      <c r="T8" s="692" t="s">
        <v>959</v>
      </c>
      <c r="W8" s="691" t="s">
        <v>960</v>
      </c>
      <c r="X8" s="692" t="s">
        <v>959</v>
      </c>
    </row>
    <row r="9" spans="2:24" ht="14.25">
      <c r="B9" s="113" t="s">
        <v>958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32" t="s">
        <v>832</v>
      </c>
      <c r="J9" s="1233">
        <f ca="1">SUM(INDIRECT("dados_MercadoBase[[PisPasep]:[Cofins]]"))/SUM(INDIRECT("dados_MercadoBase[[PisPasep]:[ICMS]]"),INDIRECT("dados_MercadoBase[FinTotAj]"))</f>
        <v>6.9467926163124171E-3</v>
      </c>
      <c r="L9" s="97" t="s">
        <v>970</v>
      </c>
      <c r="M9" s="427"/>
      <c r="N9" s="116">
        <f>DSUM('BD MERCADO'!A2:AAA999998,"Total",S29:S30)</f>
        <v>62536263.767699979</v>
      </c>
      <c r="P9" s="1220" t="s">
        <v>954</v>
      </c>
      <c r="Q9" s="1221"/>
      <c r="S9" s="1220" t="s">
        <v>955</v>
      </c>
      <c r="T9" s="1221" t="s">
        <v>956</v>
      </c>
      <c r="X9" s="98"/>
    </row>
    <row r="10" spans="2:24" ht="14.25">
      <c r="B10" s="113" t="s">
        <v>602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971</v>
      </c>
      <c r="G10" s="116">
        <f t="shared" ca="1" si="0"/>
        <v>1124321.8870068614</v>
      </c>
      <c r="L10" s="97" t="s">
        <v>972</v>
      </c>
      <c r="M10" s="427"/>
      <c r="N10" s="116">
        <f>DSUM('BD MERCADO'!A2:AAA999998,"Total",S31:S32)</f>
        <v>25381057.519430004</v>
      </c>
      <c r="P10" s="1223">
        <f>DATE(YEAR(P12),MONTH(P12)-1,1)</f>
        <v>44501</v>
      </c>
      <c r="Q10" s="692"/>
      <c r="S10" s="691" t="s">
        <v>597</v>
      </c>
      <c r="T10" s="692" t="s">
        <v>959</v>
      </c>
      <c r="U10" s="95" t="s">
        <v>973</v>
      </c>
      <c r="X10" s="98"/>
    </row>
    <row r="11" spans="2:24" ht="14.25">
      <c r="B11" s="113" t="s">
        <v>599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4054505.8046815046</v>
      </c>
      <c r="L11" s="97" t="s">
        <v>974</v>
      </c>
      <c r="M11" s="427"/>
      <c r="N11" s="116">
        <f>DSUM('BD MERCADO'!A2:AAA999998,"Total",S33:S34)</f>
        <v>44074718.425699987</v>
      </c>
      <c r="P11" s="1220" t="s">
        <v>954</v>
      </c>
      <c r="Q11" s="1221"/>
      <c r="S11" s="1220" t="s">
        <v>955</v>
      </c>
      <c r="T11" s="1221" t="s">
        <v>956</v>
      </c>
      <c r="X11" s="98"/>
    </row>
    <row r="12" spans="2:24" ht="14.25">
      <c r="B12" s="113" t="s">
        <v>601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24941264.727890939</v>
      </c>
      <c r="I12" s="112" t="s">
        <v>975</v>
      </c>
      <c r="L12" s="97" t="s">
        <v>976</v>
      </c>
      <c r="M12" s="427"/>
      <c r="N12" s="116">
        <f>DSUM('BD MERCADO'!A2:AAA999998,"Total",S35:S36)</f>
        <v>5566561.3053600006</v>
      </c>
      <c r="P12" s="1223">
        <f>DATE(YEAR(P14),MONTH(P14)-1,1)</f>
        <v>44531</v>
      </c>
      <c r="Q12" s="692"/>
      <c r="S12" s="691" t="s">
        <v>977</v>
      </c>
      <c r="T12" s="692" t="s">
        <v>959</v>
      </c>
      <c r="X12" s="98"/>
    </row>
    <row r="13" spans="2:24" ht="14.25">
      <c r="B13" s="113" t="s">
        <v>597</v>
      </c>
      <c r="C13" s="99">
        <f t="shared" ca="1" si="2"/>
        <v>120047.26600000005</v>
      </c>
      <c r="D13" s="114">
        <f t="shared" ca="1" si="1"/>
        <v>54512754.622410014</v>
      </c>
      <c r="E13" s="97"/>
      <c r="F13" s="97" t="s">
        <v>40</v>
      </c>
      <c r="G13" s="116">
        <f t="shared" ca="1" si="0"/>
        <v>452302.20791855658</v>
      </c>
      <c r="I13" s="1225" t="s">
        <v>855</v>
      </c>
      <c r="J13" s="1225" t="s">
        <v>978</v>
      </c>
      <c r="L13" s="97" t="s">
        <v>979</v>
      </c>
      <c r="M13" s="427"/>
      <c r="N13" s="116">
        <f>DSUM('BD MERCADO'!A2:AAA999998,"Total",S37:S38)</f>
        <v>3526033.985510001</v>
      </c>
      <c r="P13" s="1220" t="s">
        <v>954</v>
      </c>
      <c r="Q13" s="1221"/>
      <c r="S13" s="1220" t="s">
        <v>955</v>
      </c>
      <c r="T13" s="1221" t="s">
        <v>956</v>
      </c>
      <c r="X13" s="98"/>
    </row>
    <row r="14" spans="2:24" ht="14.25">
      <c r="B14" s="113" t="s">
        <v>980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34" t="s">
        <v>981</v>
      </c>
      <c r="J14" s="1235">
        <f>CAPA!D41</f>
        <v>435964.45999999996</v>
      </c>
      <c r="L14" s="97" t="s">
        <v>982</v>
      </c>
      <c r="M14" s="427"/>
      <c r="N14" s="116">
        <f>DSUM('BD MERCADO'!A2:AAA999998,"Total",S39:S40)</f>
        <v>4251395.3542100005</v>
      </c>
      <c r="P14" s="1223">
        <f>DATE(YEAR(P16),MONTH(P16)-1,1)</f>
        <v>44562</v>
      </c>
      <c r="Q14" s="692"/>
      <c r="S14" s="691" t="s">
        <v>960</v>
      </c>
      <c r="T14" s="692" t="s">
        <v>959</v>
      </c>
      <c r="X14" s="98"/>
    </row>
    <row r="15" spans="2:24" ht="14.25">
      <c r="B15" s="113" t="s">
        <v>604</v>
      </c>
      <c r="C15" s="99">
        <f t="shared" ca="1" si="2"/>
        <v>275195.12799999968</v>
      </c>
      <c r="D15" s="114">
        <f t="shared" ca="1" si="1"/>
        <v>144105901.58790004</v>
      </c>
      <c r="E15" s="97"/>
      <c r="F15" s="97" t="s">
        <v>120</v>
      </c>
      <c r="G15" s="116">
        <f ca="1">SUM(C79:C84)</f>
        <v>69517323.217412025</v>
      </c>
      <c r="I15" s="1236" t="s">
        <v>911</v>
      </c>
      <c r="J15" s="1237">
        <f ca="1">IFERROR(Mercado_RA0_MWh/J14-1,0)</f>
        <v>4.1196316782330378E-3</v>
      </c>
      <c r="L15" s="1238" t="s">
        <v>983</v>
      </c>
      <c r="M15" s="1239"/>
      <c r="N15" s="1240">
        <f ca="1">D25-SUM(N8:N14)</f>
        <v>661571.89659011364</v>
      </c>
      <c r="P15" s="1220" t="s">
        <v>954</v>
      </c>
      <c r="Q15" s="1221"/>
      <c r="S15" s="1220" t="s">
        <v>984</v>
      </c>
      <c r="T15" s="1221" t="s">
        <v>956</v>
      </c>
      <c r="X15" s="98"/>
    </row>
    <row r="16" spans="2:24" ht="14.25">
      <c r="B16" s="1226" t="s">
        <v>985</v>
      </c>
      <c r="C16" s="1241">
        <f ca="1">DSUM(MercadoBase,"TUSD_E",INDIRECT("Mercado_CriterioResBr"))</f>
        <v>2865.864</v>
      </c>
      <c r="D16" s="1242">
        <f ca="1">DSUM(MercadoBase,"Total",INDIRECT("Mercado_CriterioResBr"))</f>
        <v>1303165.67808</v>
      </c>
      <c r="E16" s="97"/>
      <c r="F16" s="97" t="s">
        <v>986</v>
      </c>
      <c r="G16" s="116">
        <f ca="1">SUM(C87:C97)</f>
        <v>104562181.70737715</v>
      </c>
      <c r="P16" s="1223">
        <f>DATE(YEAR(P18),MONTH(P18)-1,1)</f>
        <v>44593</v>
      </c>
      <c r="Q16" s="692"/>
      <c r="S16" s="691" t="s">
        <v>987</v>
      </c>
      <c r="T16" s="692" t="s">
        <v>959</v>
      </c>
      <c r="X16" s="98"/>
    </row>
    <row r="17" spans="2:24" ht="14.25">
      <c r="B17" s="1226" t="s">
        <v>988</v>
      </c>
      <c r="C17" s="1241">
        <f ca="1">DSUM(MercadoBase,"TUSD_E",INDIRECT("Mercado_Criterio"&amp;$B17))</f>
        <v>0</v>
      </c>
      <c r="D17" s="1242">
        <f ca="1">DSUM(MercadoBase,"Total",INDIRECT("Mercado_Criterio"&amp;$B17))</f>
        <v>0</v>
      </c>
      <c r="E17" s="97"/>
      <c r="F17" s="1243" t="s">
        <v>837</v>
      </c>
      <c r="G17" s="1244">
        <f ca="1">SUM(G8:G16)</f>
        <v>204651899.55228704</v>
      </c>
      <c r="I17" s="228" t="str">
        <f>"Dado referente à "&amp;TEXT(P20,"mmmm/aaaa")</f>
        <v>Dado referente à abril/2022</v>
      </c>
      <c r="L17" s="79"/>
      <c r="P17" s="1220" t="s">
        <v>954</v>
      </c>
      <c r="Q17" s="1221"/>
      <c r="S17" s="1220" t="s">
        <v>956</v>
      </c>
      <c r="T17" s="1221"/>
      <c r="X17" s="98"/>
    </row>
    <row r="18" spans="2:24" ht="14.25">
      <c r="B18" s="1226" t="s">
        <v>989</v>
      </c>
      <c r="C18" s="1241">
        <f ca="1">DSUM(MercadoBase,"TUSD_E",INDIRECT("Mercado_Criterio"&amp;$B18))</f>
        <v>42518.079000000012</v>
      </c>
      <c r="D18" s="1242">
        <f ca="1">DSUM(MercadoBase,"Total",INDIRECT("Mercado_Criterio"&amp;$B18))</f>
        <v>11824423.163039995</v>
      </c>
      <c r="E18" s="97"/>
      <c r="I18" s="1245" t="s">
        <v>990</v>
      </c>
      <c r="J18" s="1246">
        <f>DSUM('BD MERCADO'!B2:BU1000,"UC",C101:C102)</f>
        <v>71686</v>
      </c>
      <c r="L18" s="79"/>
      <c r="P18" s="1223">
        <f>DATE(YEAR(P20),MONTH(P20)-1,1)</f>
        <v>44621</v>
      </c>
      <c r="Q18" s="692"/>
      <c r="S18" s="691" t="s">
        <v>867</v>
      </c>
      <c r="T18" s="692"/>
      <c r="X18" s="98"/>
    </row>
    <row r="19" spans="2:24" ht="14.25">
      <c r="B19" s="115" t="s">
        <v>991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20" t="s">
        <v>954</v>
      </c>
      <c r="Q19" s="1221"/>
      <c r="S19" s="1220" t="s">
        <v>956</v>
      </c>
      <c r="T19" s="1221" t="s">
        <v>955</v>
      </c>
      <c r="X19" s="98"/>
    </row>
    <row r="20" spans="2:24" ht="14.25">
      <c r="B20" s="115" t="s">
        <v>992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23">
        <f>DATE(YEAR(P22),MONTH(P22)-1,1)</f>
        <v>44652</v>
      </c>
      <c r="Q20" s="692"/>
      <c r="S20" s="691" t="s">
        <v>989</v>
      </c>
      <c r="T20" s="692" t="s">
        <v>958</v>
      </c>
    </row>
    <row r="21" spans="2:24" ht="14.25">
      <c r="B21" s="115" t="s">
        <v>993</v>
      </c>
      <c r="C21" s="99"/>
      <c r="D21" s="114">
        <f ca="1">DSUM(MercadoBase,"Total",INDIRECT("Mercado_Criterio"&amp;$B21))</f>
        <v>578728.80000000016</v>
      </c>
      <c r="E21" s="631"/>
      <c r="F21" s="632"/>
      <c r="G21" s="630"/>
      <c r="L21" s="79"/>
      <c r="P21" s="1220" t="s">
        <v>954</v>
      </c>
      <c r="Q21" s="1221"/>
      <c r="S21" s="1220" t="s">
        <v>956</v>
      </c>
      <c r="T21" s="1221"/>
    </row>
    <row r="22" spans="2:24" ht="14.25">
      <c r="B22" s="115" t="s">
        <v>994</v>
      </c>
      <c r="C22" s="99">
        <f ca="1">C18-C19</f>
        <v>42518.079000000012</v>
      </c>
      <c r="D22" s="114">
        <f ca="1">D18-D19</f>
        <v>11824423.163039995</v>
      </c>
      <c r="F22" s="633"/>
      <c r="G22" s="634"/>
      <c r="L22" s="79"/>
      <c r="M22" s="101"/>
      <c r="N22" s="98"/>
      <c r="O22" s="98"/>
      <c r="P22" s="1223">
        <f>DATE(YEAR(P24),MONTH(P24)-1,1)</f>
        <v>44682</v>
      </c>
      <c r="Q22" s="692"/>
      <c r="S22" s="691" t="s">
        <v>829</v>
      </c>
      <c r="T22" s="692"/>
      <c r="X22" s="98"/>
    </row>
    <row r="23" spans="2:24" ht="14.25">
      <c r="B23" s="1226" t="s">
        <v>995</v>
      </c>
      <c r="C23" s="1241">
        <v>0</v>
      </c>
      <c r="D23" s="1242">
        <v>0</v>
      </c>
      <c r="E23" s="631"/>
      <c r="F23" s="633"/>
      <c r="G23" s="634"/>
      <c r="L23" s="79"/>
      <c r="M23" s="101"/>
      <c r="N23" s="98"/>
      <c r="O23" s="98"/>
      <c r="P23" s="1220" t="s">
        <v>954</v>
      </c>
      <c r="Q23" s="1221"/>
      <c r="S23" s="1220" t="s">
        <v>956</v>
      </c>
      <c r="T23" s="1221"/>
      <c r="X23" s="98"/>
    </row>
    <row r="24" spans="2:24" ht="14.25">
      <c r="B24" s="1226" t="s">
        <v>996</v>
      </c>
      <c r="C24" s="1247"/>
      <c r="D24" s="1248"/>
      <c r="E24" s="631"/>
      <c r="F24" s="633"/>
      <c r="G24" s="634"/>
      <c r="L24" s="79"/>
      <c r="P24" s="1223">
        <f>SAS_RA0_DataFim</f>
        <v>44713</v>
      </c>
      <c r="Q24" s="692"/>
      <c r="S24" s="691" t="s">
        <v>993</v>
      </c>
      <c r="T24" s="692"/>
      <c r="X24" s="98"/>
    </row>
    <row r="25" spans="2:24" ht="14.25">
      <c r="B25" s="1249" t="s">
        <v>837</v>
      </c>
      <c r="C25" s="1250">
        <f ca="1">C18+C8+C24+C20+C21+SuprimentoE</f>
        <v>437760.47299999977</v>
      </c>
      <c r="D25" s="1251">
        <f ca="1">D18+D8+D24+D20+D21+D17</f>
        <v>211021808.17335004</v>
      </c>
      <c r="E25" s="631"/>
      <c r="N25" s="69">
        <f>SUMIFS('BD MERCADO'!$P$3:$P$6000,'BD MERCADO'!$D$3:$D$6000,"A4",'BD MERCADO'!$I$3:$I$6000,U10)</f>
        <v>9883.9339999999993</v>
      </c>
      <c r="S25" s="102" t="s">
        <v>956</v>
      </c>
      <c r="T25" s="103"/>
      <c r="X25" s="98"/>
    </row>
    <row r="26" spans="2:24" ht="14.25">
      <c r="F26" s="633"/>
      <c r="G26" s="634"/>
      <c r="S26" s="691" t="s">
        <v>997</v>
      </c>
      <c r="T26" s="692"/>
      <c r="X26" s="98"/>
    </row>
    <row r="27" spans="2:24" ht="14.25">
      <c r="F27" s="633"/>
      <c r="G27" s="634"/>
      <c r="I27" s="98"/>
      <c r="S27" s="1252" t="s">
        <v>588</v>
      </c>
      <c r="T27" s="1253"/>
      <c r="X27" s="98"/>
    </row>
    <row r="28" spans="2:24" ht="14.25">
      <c r="F28" s="228"/>
      <c r="G28" s="635"/>
      <c r="I28" s="98"/>
      <c r="S28" s="1254" t="s">
        <v>969</v>
      </c>
      <c r="T28" s="1255"/>
      <c r="X28" s="98"/>
    </row>
    <row r="29" spans="2:24" ht="14.25">
      <c r="I29" s="98"/>
      <c r="S29" s="1252" t="s">
        <v>588</v>
      </c>
      <c r="T29" s="1253"/>
    </row>
    <row r="30" spans="2:24" ht="14.25">
      <c r="I30" s="98"/>
      <c r="S30" s="1254" t="s">
        <v>970</v>
      </c>
      <c r="T30" s="1255"/>
    </row>
    <row r="31" spans="2:24" ht="16.5">
      <c r="B31"/>
      <c r="C31"/>
      <c r="H31" s="98"/>
      <c r="I31" s="98"/>
      <c r="S31" s="1252" t="s">
        <v>588</v>
      </c>
      <c r="T31" s="1253"/>
      <c r="X31" s="98"/>
    </row>
    <row r="32" spans="2:24" ht="14.25">
      <c r="H32" s="98"/>
      <c r="I32" s="98"/>
      <c r="S32" s="1254" t="s">
        <v>998</v>
      </c>
      <c r="T32" s="1255"/>
      <c r="X32" s="98"/>
    </row>
    <row r="33" spans="2:24" ht="14.25">
      <c r="B33" s="1662" t="s">
        <v>999</v>
      </c>
      <c r="C33" s="68" t="s">
        <v>1000</v>
      </c>
      <c r="D33" s="68" t="s">
        <v>2379</v>
      </c>
      <c r="S33" s="1252" t="s">
        <v>588</v>
      </c>
      <c r="T33" s="1253"/>
      <c r="X33" s="98"/>
    </row>
    <row r="34" spans="2:24" ht="14.25">
      <c r="B34" s="1663">
        <v>44378</v>
      </c>
      <c r="C34" s="93">
        <v>35295.489999999991</v>
      </c>
      <c r="D34" s="93">
        <v>33771.500999999989</v>
      </c>
      <c r="S34" s="1254" t="s">
        <v>974</v>
      </c>
      <c r="T34" s="1255"/>
      <c r="X34" s="98"/>
    </row>
    <row r="35" spans="2:24" ht="14.25">
      <c r="B35" s="1663">
        <v>44409</v>
      </c>
      <c r="C35" s="93">
        <v>35600.283999999992</v>
      </c>
      <c r="D35" s="93">
        <v>34030.535999999993</v>
      </c>
      <c r="S35" s="1252" t="s">
        <v>588</v>
      </c>
      <c r="T35" s="1253"/>
    </row>
    <row r="36" spans="2:24" ht="14.25">
      <c r="B36" s="1663">
        <v>44440</v>
      </c>
      <c r="C36" s="93">
        <v>34728.017</v>
      </c>
      <c r="D36" s="93">
        <v>30756.751000000004</v>
      </c>
      <c r="M36" s="98"/>
      <c r="S36" s="1254" t="s">
        <v>976</v>
      </c>
      <c r="T36" s="1255"/>
    </row>
    <row r="37" spans="2:24" ht="14.25">
      <c r="B37" s="1663">
        <v>44470</v>
      </c>
      <c r="C37" s="93">
        <v>34050.485000000001</v>
      </c>
      <c r="D37" s="93">
        <v>30057.174000000006</v>
      </c>
      <c r="M37" s="98"/>
      <c r="S37" s="1252" t="s">
        <v>588</v>
      </c>
      <c r="T37" s="1253"/>
    </row>
    <row r="38" spans="2:24" ht="14.25">
      <c r="B38" s="1663">
        <v>44501</v>
      </c>
      <c r="C38" s="93">
        <v>35713.196000000011</v>
      </c>
      <c r="D38" s="93">
        <v>31606.674000000006</v>
      </c>
      <c r="M38" s="98"/>
      <c r="S38" s="1254" t="s">
        <v>979</v>
      </c>
      <c r="T38" s="1255"/>
    </row>
    <row r="39" spans="2:24" ht="14.25">
      <c r="B39" s="1663">
        <v>44531</v>
      </c>
      <c r="C39" s="93">
        <v>35870.325999999986</v>
      </c>
      <c r="D39" s="93">
        <v>31980.788999999993</v>
      </c>
      <c r="S39" s="1252" t="s">
        <v>588</v>
      </c>
      <c r="T39" s="1253"/>
    </row>
    <row r="40" spans="2:24" ht="14.25">
      <c r="B40" s="1663">
        <v>44562</v>
      </c>
      <c r="C40" s="93">
        <v>42925.852000000006</v>
      </c>
      <c r="D40" s="93">
        <v>38857.957000000002</v>
      </c>
      <c r="S40" s="1254" t="s">
        <v>1001</v>
      </c>
      <c r="T40" s="1255"/>
    </row>
    <row r="41" spans="2:24" ht="14.25">
      <c r="B41" s="1663">
        <v>44593</v>
      </c>
      <c r="C41" s="93">
        <v>42195.740999999995</v>
      </c>
      <c r="D41" s="93">
        <v>38446.239999999991</v>
      </c>
      <c r="N41" s="98"/>
      <c r="O41" s="98"/>
      <c r="P41" s="98"/>
      <c r="Q41" s="98"/>
      <c r="R41" s="98"/>
      <c r="S41" s="1252" t="s">
        <v>588</v>
      </c>
      <c r="T41" s="1253"/>
    </row>
    <row r="42" spans="2:24" ht="14.25">
      <c r="B42" s="1663">
        <v>44621</v>
      </c>
      <c r="C42" s="93">
        <v>39166.471999999987</v>
      </c>
      <c r="D42" s="93">
        <v>35092.945999999989</v>
      </c>
      <c r="N42" s="98"/>
      <c r="O42" s="98"/>
      <c r="P42" s="98"/>
      <c r="Q42" s="98"/>
      <c r="R42" s="98"/>
      <c r="S42" s="1254" t="s">
        <v>1002</v>
      </c>
      <c r="T42" s="1255"/>
    </row>
    <row r="43" spans="2:24" ht="14.25">
      <c r="B43" s="1663">
        <v>44652</v>
      </c>
      <c r="C43" s="93">
        <v>33477.207999999991</v>
      </c>
      <c r="D43" s="93">
        <v>29707.53899999999</v>
      </c>
      <c r="N43" s="98"/>
      <c r="O43" s="98"/>
      <c r="P43" s="98"/>
      <c r="Q43" s="98"/>
      <c r="R43" s="98"/>
      <c r="S43" s="1220" t="s">
        <v>955</v>
      </c>
      <c r="T43" s="1221" t="s">
        <v>956</v>
      </c>
    </row>
    <row r="44" spans="2:24" ht="14.25">
      <c r="B44" s="1663">
        <v>44682</v>
      </c>
      <c r="C44" s="93">
        <v>33166.970999999998</v>
      </c>
      <c r="D44" s="93">
        <v>29390.972999999994</v>
      </c>
      <c r="S44" s="691" t="s">
        <v>602</v>
      </c>
      <c r="T44" s="692" t="s">
        <v>989</v>
      </c>
    </row>
    <row r="45" spans="2:24" ht="14.25">
      <c r="B45" s="1663">
        <v>44713</v>
      </c>
      <c r="C45" s="93">
        <v>35570.431000000004</v>
      </c>
      <c r="D45" s="93">
        <v>31543.313999999998</v>
      </c>
      <c r="S45" s="1220" t="s">
        <v>955</v>
      </c>
      <c r="T45" s="1221" t="s">
        <v>956</v>
      </c>
    </row>
    <row r="46" spans="2:24" ht="14.25">
      <c r="B46" s="1663" t="s">
        <v>1003</v>
      </c>
      <c r="C46" s="93">
        <v>437760.47299999994</v>
      </c>
      <c r="D46" s="93">
        <v>395242.39399999997</v>
      </c>
      <c r="S46" s="691" t="s">
        <v>599</v>
      </c>
      <c r="T46" s="692" t="s">
        <v>989</v>
      </c>
    </row>
    <row r="47" spans="2:24" ht="16.5">
      <c r="B47"/>
      <c r="C47"/>
      <c r="D47"/>
      <c r="S47" s="1220" t="s">
        <v>955</v>
      </c>
      <c r="T47" s="1221" t="s">
        <v>956</v>
      </c>
    </row>
    <row r="48" spans="2:24" ht="16.5">
      <c r="B48"/>
      <c r="C48"/>
      <c r="D48"/>
      <c r="S48" s="691" t="s">
        <v>601</v>
      </c>
      <c r="T48" s="692" t="s">
        <v>989</v>
      </c>
    </row>
    <row r="49" spans="2:21" ht="16.5">
      <c r="B49"/>
      <c r="C49"/>
      <c r="D49"/>
      <c r="S49" s="1220" t="s">
        <v>955</v>
      </c>
      <c r="T49" s="1221" t="s">
        <v>956</v>
      </c>
    </row>
    <row r="50" spans="2:21" ht="16.5">
      <c r="B50"/>
      <c r="C50"/>
      <c r="D50"/>
      <c r="S50" s="691" t="s">
        <v>597</v>
      </c>
      <c r="T50" s="692" t="s">
        <v>989</v>
      </c>
    </row>
    <row r="51" spans="2:21" ht="16.5">
      <c r="B51"/>
      <c r="C51"/>
      <c r="S51" s="1220" t="s">
        <v>955</v>
      </c>
      <c r="T51" s="1221" t="s">
        <v>956</v>
      </c>
    </row>
    <row r="52" spans="2:21" ht="16.5">
      <c r="B52"/>
      <c r="C52"/>
      <c r="S52" s="691" t="s">
        <v>960</v>
      </c>
      <c r="T52" s="692" t="s">
        <v>989</v>
      </c>
    </row>
    <row r="53" spans="2:21" ht="16.5">
      <c r="B53"/>
      <c r="C53"/>
      <c r="S53" s="1220" t="s">
        <v>955</v>
      </c>
      <c r="T53" s="1221" t="s">
        <v>956</v>
      </c>
    </row>
    <row r="54" spans="2:21" ht="14.25">
      <c r="S54" s="691" t="s">
        <v>977</v>
      </c>
      <c r="T54" s="692" t="s">
        <v>989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1004</v>
      </c>
      <c r="K61" s="68"/>
    </row>
    <row r="62" spans="2:21" ht="14.25">
      <c r="B62" s="1256" t="s">
        <v>1005</v>
      </c>
      <c r="C62" s="1256"/>
      <c r="D62" s="1256" t="s">
        <v>968</v>
      </c>
      <c r="E62" s="1256" t="s">
        <v>49</v>
      </c>
      <c r="F62" s="1256" t="s">
        <v>971</v>
      </c>
      <c r="G62" s="1256" t="s">
        <v>47</v>
      </c>
      <c r="H62" s="1256" t="s">
        <v>41</v>
      </c>
      <c r="I62" s="1256" t="s">
        <v>40</v>
      </c>
      <c r="J62" s="1256" t="s">
        <v>126</v>
      </c>
      <c r="K62" s="1256" t="s">
        <v>1006</v>
      </c>
      <c r="L62" s="1256" t="s">
        <v>1007</v>
      </c>
      <c r="M62" s="1256" t="s">
        <v>1008</v>
      </c>
      <c r="N62" s="1256" t="s">
        <v>1009</v>
      </c>
      <c r="O62" s="1256" t="s">
        <v>1010</v>
      </c>
      <c r="P62" s="1256" t="s">
        <v>1011</v>
      </c>
      <c r="Q62" s="1256" t="s">
        <v>1012</v>
      </c>
      <c r="R62" s="1256" t="s">
        <v>1013</v>
      </c>
      <c r="S62" s="1256" t="s">
        <v>2169</v>
      </c>
      <c r="T62" s="1256" t="s">
        <v>1133</v>
      </c>
      <c r="U62" s="1256" t="s">
        <v>2257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96087.199565624032</v>
      </c>
      <c r="G63" s="104">
        <f t="shared" ca="1" si="4"/>
        <v>327354.35893690499</v>
      </c>
      <c r="H63" s="104">
        <f t="shared" ca="1" si="4"/>
        <v>2010124.7937471888</v>
      </c>
      <c r="I63" s="104">
        <f t="shared" ca="1" si="4"/>
        <v>36236.370099524633</v>
      </c>
      <c r="J63" s="104">
        <f t="shared" ca="1" si="4"/>
        <v>0</v>
      </c>
      <c r="K63" s="104">
        <f t="shared" ca="1" si="4"/>
        <v>124642.82331752252</v>
      </c>
      <c r="L63" s="104">
        <f t="shared" ca="1" si="4"/>
        <v>20042.099999999999</v>
      </c>
      <c r="M63" s="104">
        <f t="shared" ca="1" si="4"/>
        <v>0</v>
      </c>
      <c r="N63" s="104">
        <f t="shared" ca="1" si="4"/>
        <v>18179.116873200008</v>
      </c>
      <c r="O63" s="104">
        <f t="shared" ca="1" si="4"/>
        <v>378332.52134039992</v>
      </c>
      <c r="P63" s="104">
        <f t="shared" ca="1" si="4"/>
        <v>87.715628000000009</v>
      </c>
      <c r="Q63" s="104">
        <f t="shared" ca="1" si="4"/>
        <v>16676.12616</v>
      </c>
      <c r="R63" s="104">
        <f t="shared" ca="1" si="4"/>
        <v>7168259.0482107084</v>
      </c>
      <c r="S63" s="104">
        <f ca="1">DSUM(MercadoBase,S$62,INDIRECT("P"&amp;5+2*(ROW()-65)&amp;":P"&amp;6+2*(ROW()-65)))</f>
        <v>513350.02160205541</v>
      </c>
      <c r="T63" s="104">
        <f t="shared" ca="1" si="4"/>
        <v>-1780717.1396436547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96838.35035997229</v>
      </c>
      <c r="G64" s="104">
        <f t="shared" ca="1" si="4"/>
        <v>330248.54688562389</v>
      </c>
      <c r="H64" s="104">
        <f t="shared" ca="1" si="4"/>
        <v>2024847.3019745087</v>
      </c>
      <c r="I64" s="104">
        <f t="shared" ca="1" si="4"/>
        <v>36399.735008022333</v>
      </c>
      <c r="J64" s="104">
        <f t="shared" ca="1" si="4"/>
        <v>0</v>
      </c>
      <c r="K64" s="104">
        <f t="shared" ca="1" si="4"/>
        <v>126436.41229635211</v>
      </c>
      <c r="L64" s="104">
        <f t="shared" ca="1" si="4"/>
        <v>20042.099999999999</v>
      </c>
      <c r="M64" s="104">
        <f t="shared" ca="1" si="4"/>
        <v>0</v>
      </c>
      <c r="N64" s="104">
        <f t="shared" ca="1" si="4"/>
        <v>18989.292493200021</v>
      </c>
      <c r="O64" s="104">
        <f t="shared" ca="1" si="4"/>
        <v>377419.80537999998</v>
      </c>
      <c r="P64" s="104">
        <f t="shared" ca="1" si="4"/>
        <v>87.715628000000009</v>
      </c>
      <c r="Q64" s="104">
        <f t="shared" ca="1" si="4"/>
        <v>16844.439299999998</v>
      </c>
      <c r="R64" s="104">
        <f t="shared" ca="1" si="4"/>
        <v>7139269.6384511655</v>
      </c>
      <c r="S64" s="104">
        <f t="shared" ca="1" si="4"/>
        <v>517109.88762631471</v>
      </c>
      <c r="T64" s="104">
        <f t="shared" ca="1" si="4"/>
        <v>-1773515.6785246055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87390.883338210537</v>
      </c>
      <c r="G65" s="104">
        <f t="shared" ca="1" si="4"/>
        <v>322210.35819714662</v>
      </c>
      <c r="H65" s="104">
        <f t="shared" ca="1" si="4"/>
        <v>1977176.3848231749</v>
      </c>
      <c r="I65" s="104">
        <f t="shared" ca="1" si="4"/>
        <v>35596.860384846492</v>
      </c>
      <c r="J65" s="104">
        <f t="shared" ca="1" si="4"/>
        <v>0</v>
      </c>
      <c r="K65" s="104">
        <f t="shared" ca="1" si="4"/>
        <v>294442.62310069002</v>
      </c>
      <c r="L65" s="104">
        <f t="shared" ca="1" si="4"/>
        <v>20042.099999999999</v>
      </c>
      <c r="M65" s="104">
        <f t="shared" ca="1" si="4"/>
        <v>0</v>
      </c>
      <c r="N65" s="104">
        <f t="shared" ca="1" si="4"/>
        <v>19087.979923199964</v>
      </c>
      <c r="O65" s="104">
        <f t="shared" ca="1" si="4"/>
        <v>381872.59647560003</v>
      </c>
      <c r="P65" s="104">
        <f t="shared" ca="1" si="4"/>
        <v>90.683450000000008</v>
      </c>
      <c r="Q65" s="104">
        <f t="shared" ca="1" si="4"/>
        <v>16945.56192</v>
      </c>
      <c r="R65" s="104">
        <f t="shared" ca="1" si="4"/>
        <v>7032754.3235494485</v>
      </c>
      <c r="S65" s="104">
        <f t="shared" ca="1" si="4"/>
        <v>504935.58560011705</v>
      </c>
      <c r="T65" s="104">
        <f t="shared" ca="1" si="4"/>
        <v>-1747055.4675299467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85290.964429062282</v>
      </c>
      <c r="G66" s="104">
        <f t="shared" ca="1" si="4"/>
        <v>315627.13957508182</v>
      </c>
      <c r="H66" s="104">
        <f t="shared" ca="1" si="4"/>
        <v>1932868.9599389301</v>
      </c>
      <c r="I66" s="104">
        <f t="shared" ca="1" si="4"/>
        <v>34664.60954131672</v>
      </c>
      <c r="J66" s="104">
        <f t="shared" ca="1" si="4"/>
        <v>0</v>
      </c>
      <c r="K66" s="104">
        <f t="shared" ca="1" si="4"/>
        <v>294141.89801523957</v>
      </c>
      <c r="L66" s="104">
        <f t="shared" ca="1" si="4"/>
        <v>20042.099999999999</v>
      </c>
      <c r="M66" s="104">
        <f t="shared" ca="1" si="4"/>
        <v>0</v>
      </c>
      <c r="N66" s="104">
        <f t="shared" ca="1" si="4"/>
        <v>18736.370655600003</v>
      </c>
      <c r="O66" s="104">
        <f t="shared" ca="1" si="4"/>
        <v>365019.39862680004</v>
      </c>
      <c r="P66" s="104">
        <f t="shared" ca="1" si="4"/>
        <v>64.302810000000008</v>
      </c>
      <c r="Q66" s="104">
        <f t="shared" ca="1" si="4"/>
        <v>16843.526145</v>
      </c>
      <c r="R66" s="104">
        <f t="shared" ca="1" si="4"/>
        <v>6807706.6946990024</v>
      </c>
      <c r="S66" s="104">
        <f t="shared" ca="1" si="4"/>
        <v>493620.25951080606</v>
      </c>
      <c r="T66" s="104">
        <f t="shared" ca="1" si="4"/>
        <v>-1691149.8191382103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89863.698410792058</v>
      </c>
      <c r="G67" s="104">
        <f t="shared" ca="1" si="4"/>
        <v>331499.6371620206</v>
      </c>
      <c r="H67" s="104">
        <f t="shared" ca="1" si="4"/>
        <v>2035995.883875248</v>
      </c>
      <c r="I67" s="104">
        <f t="shared" ca="1" si="4"/>
        <v>36721.291135120075</v>
      </c>
      <c r="J67" s="104">
        <f t="shared" ca="1" si="4"/>
        <v>0</v>
      </c>
      <c r="K67" s="104">
        <f t="shared" ca="1" si="4"/>
        <v>312649.6361956789</v>
      </c>
      <c r="L67" s="104">
        <f t="shared" ca="1" si="4"/>
        <v>20042.099999999999</v>
      </c>
      <c r="M67" s="104">
        <f t="shared" ca="1" si="4"/>
        <v>0</v>
      </c>
      <c r="N67" s="104">
        <f t="shared" ca="1" si="4"/>
        <v>19451.104660199973</v>
      </c>
      <c r="O67" s="104">
        <f t="shared" ca="1" si="4"/>
        <v>393103.64443120011</v>
      </c>
      <c r="P67" s="104">
        <f t="shared" ca="1" si="4"/>
        <v>240.06382399999998</v>
      </c>
      <c r="Q67" s="104">
        <f t="shared" ca="1" si="4"/>
        <v>17518.430759999999</v>
      </c>
      <c r="R67" s="104">
        <f t="shared" ca="1" si="4"/>
        <v>7237529.8831573986</v>
      </c>
      <c r="S67" s="104">
        <f t="shared" ca="1" si="4"/>
        <v>519957.0366079997</v>
      </c>
      <c r="T67" s="104">
        <f t="shared" ca="1" si="4"/>
        <v>-1797925.1900555333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90884.081997213245</v>
      </c>
      <c r="G68" s="104">
        <f t="shared" ca="1" si="4"/>
        <v>332775.81511299813</v>
      </c>
      <c r="H68" s="104">
        <f t="shared" ca="1" si="4"/>
        <v>2046112.197959872</v>
      </c>
      <c r="I68" s="104">
        <f t="shared" ca="1" si="4"/>
        <v>36977.58927453083</v>
      </c>
      <c r="J68" s="104">
        <f t="shared" ca="1" si="4"/>
        <v>0</v>
      </c>
      <c r="K68" s="104">
        <f t="shared" ca="1" si="4"/>
        <v>311610.72950306989</v>
      </c>
      <c r="L68" s="104">
        <f t="shared" ca="1" si="4"/>
        <v>20042.099999999999</v>
      </c>
      <c r="M68" s="104">
        <f t="shared" ca="1" si="4"/>
        <v>0</v>
      </c>
      <c r="N68" s="104">
        <f t="shared" ca="1" si="4"/>
        <v>19218.2546004</v>
      </c>
      <c r="O68" s="104">
        <f t="shared" ca="1" si="4"/>
        <v>407803.8278952</v>
      </c>
      <c r="P68" s="104">
        <f t="shared" ca="1" si="4"/>
        <v>369.65871800000002</v>
      </c>
      <c r="Q68" s="104">
        <f t="shared" ca="1" si="4"/>
        <v>17747.855100000001</v>
      </c>
      <c r="R68" s="104">
        <f t="shared" ca="1" si="4"/>
        <v>7361952.3431801666</v>
      </c>
      <c r="S68" s="104">
        <f t="shared" ca="1" si="4"/>
        <v>522540.56280001992</v>
      </c>
      <c r="T68" s="104">
        <f t="shared" ca="1" si="4"/>
        <v>-1828833.8396493937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110866.82098924131</v>
      </c>
      <c r="G69" s="104">
        <f t="shared" ca="1" si="4"/>
        <v>399259.37989212456</v>
      </c>
      <c r="H69" s="104">
        <f t="shared" ca="1" si="4"/>
        <v>2472559.9521694724</v>
      </c>
      <c r="I69" s="104">
        <f t="shared" ca="1" si="4"/>
        <v>45299.146930040799</v>
      </c>
      <c r="J69" s="104">
        <f t="shared" ca="1" si="4"/>
        <v>0</v>
      </c>
      <c r="K69" s="104">
        <f t="shared" ca="1" si="4"/>
        <v>316464.78162763134</v>
      </c>
      <c r="L69" s="104">
        <f t="shared" ca="1" si="4"/>
        <v>20042.099999999999</v>
      </c>
      <c r="M69" s="104">
        <f t="shared" ca="1" si="4"/>
        <v>0</v>
      </c>
      <c r="N69" s="104">
        <f t="shared" ca="1" si="4"/>
        <v>23303.089048799982</v>
      </c>
      <c r="O69" s="104">
        <f t="shared" ca="1" si="4"/>
        <v>529369.50562439999</v>
      </c>
      <c r="P69" s="104">
        <f t="shared" ca="1" si="4"/>
        <v>370.64799200000004</v>
      </c>
      <c r="Q69" s="104">
        <f t="shared" ca="1" si="4"/>
        <v>19167.624834000002</v>
      </c>
      <c r="R69" s="104">
        <f t="shared" ca="1" si="4"/>
        <v>8935250.0345497541</v>
      </c>
      <c r="S69" s="104">
        <f t="shared" ca="1" si="4"/>
        <v>631447.71349863405</v>
      </c>
      <c r="T69" s="104">
        <f t="shared" ca="1" si="4"/>
        <v>-2219667.6733517265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109868.09556581425</v>
      </c>
      <c r="G70" s="104">
        <f t="shared" ca="1" si="4"/>
        <v>391021.78113331378</v>
      </c>
      <c r="H70" s="104">
        <f t="shared" ca="1" si="4"/>
        <v>2425280.0032562185</v>
      </c>
      <c r="I70" s="104">
        <f t="shared" ca="1" si="4"/>
        <v>44806.724754418239</v>
      </c>
      <c r="J70" s="104">
        <f t="shared" ca="1" si="4"/>
        <v>0</v>
      </c>
      <c r="K70" s="104">
        <f t="shared" ca="1" si="4"/>
        <v>324884.82253227552</v>
      </c>
      <c r="L70" s="104">
        <f t="shared" ca="1" si="4"/>
        <v>20042.099999999999</v>
      </c>
      <c r="M70" s="104">
        <f t="shared" ca="1" si="4"/>
        <v>0</v>
      </c>
      <c r="N70" s="104">
        <f t="shared" ca="1" si="4"/>
        <v>21762.78797160001</v>
      </c>
      <c r="O70" s="104">
        <f t="shared" ca="1" si="4"/>
        <v>549848.03871120012</v>
      </c>
      <c r="P70" s="104">
        <f t="shared" ca="1" si="4"/>
        <v>202.80117000000001</v>
      </c>
      <c r="Q70" s="104">
        <f t="shared" ca="1" si="4"/>
        <v>41085.507680000002</v>
      </c>
      <c r="R70" s="104">
        <f t="shared" ca="1" si="4"/>
        <v>8966282.7026593033</v>
      </c>
      <c r="S70" s="104">
        <f t="shared" ca="1" si="4"/>
        <v>619373.25778749539</v>
      </c>
      <c r="T70" s="104">
        <f t="shared" ca="1" si="4"/>
        <v>-2227376.7145038247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99910.307451630666</v>
      </c>
      <c r="G71" s="104">
        <f t="shared" ca="1" si="4"/>
        <v>362000.62438525184</v>
      </c>
      <c r="H71" s="104">
        <f t="shared" ca="1" si="4"/>
        <v>2227754.1941553284</v>
      </c>
      <c r="I71" s="104">
        <f t="shared" ca="1" si="4"/>
        <v>40567.872846733895</v>
      </c>
      <c r="J71" s="104">
        <f t="shared" ca="1" si="4"/>
        <v>0</v>
      </c>
      <c r="K71" s="104">
        <f t="shared" ca="1" si="4"/>
        <v>324709.07010957121</v>
      </c>
      <c r="L71" s="104">
        <f t="shared" ca="1" si="4"/>
        <v>20042.099999999999</v>
      </c>
      <c r="M71" s="104">
        <f t="shared" ca="1" si="4"/>
        <v>0</v>
      </c>
      <c r="N71" s="104">
        <f t="shared" ca="1" si="4"/>
        <v>20274.097005000014</v>
      </c>
      <c r="O71" s="104">
        <f t="shared" ca="1" si="4"/>
        <v>445315.91089000012</v>
      </c>
      <c r="P71" s="104">
        <f t="shared" ca="1" si="4"/>
        <v>136.519812</v>
      </c>
      <c r="Q71" s="104">
        <f t="shared" ca="1" si="4"/>
        <v>41629.900922000015</v>
      </c>
      <c r="R71" s="104">
        <f t="shared" ca="1" si="4"/>
        <v>7960024.0270064594</v>
      </c>
      <c r="S71" s="104">
        <f t="shared" ca="1" si="4"/>
        <v>568928.68903020932</v>
      </c>
      <c r="T71" s="104">
        <f t="shared" ca="1" si="4"/>
        <v>-1977404.9907423307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84315.404278491667</v>
      </c>
      <c r="G72" s="104">
        <f t="shared" ca="1" si="4"/>
        <v>308489.62293734879</v>
      </c>
      <c r="H72" s="104">
        <f t="shared" ca="1" si="4"/>
        <v>1895871.3567819234</v>
      </c>
      <c r="I72" s="104">
        <f t="shared" ca="1" si="4"/>
        <v>34457.139847412313</v>
      </c>
      <c r="J72" s="104">
        <f t="shared" ca="1" si="4"/>
        <v>0</v>
      </c>
      <c r="K72" s="104">
        <f t="shared" ca="1" si="4"/>
        <v>320319.26225456299</v>
      </c>
      <c r="L72" s="104">
        <f t="shared" ca="1" si="4"/>
        <v>20042.099999999999</v>
      </c>
      <c r="M72" s="104">
        <f t="shared" ca="1" si="4"/>
        <v>0</v>
      </c>
      <c r="N72" s="104">
        <f t="shared" ca="1" si="4"/>
        <v>20065.52519399998</v>
      </c>
      <c r="O72" s="104">
        <f t="shared" ca="1" si="4"/>
        <v>364099.55821800011</v>
      </c>
      <c r="P72" s="104">
        <f t="shared" ca="1" si="4"/>
        <v>93.651271999999992</v>
      </c>
      <c r="Q72" s="104">
        <f t="shared" ca="1" si="4"/>
        <v>41978.056250000001</v>
      </c>
      <c r="R72" s="104">
        <f t="shared" ca="1" si="4"/>
        <v>6980339.8980452809</v>
      </c>
      <c r="S72" s="104">
        <f t="shared" ca="1" si="4"/>
        <v>484171.73151943274</v>
      </c>
      <c r="T72" s="104">
        <f t="shared" ca="1" si="4"/>
        <v>-1734034.8351515529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83342.284895831515</v>
      </c>
      <c r="G73" s="104">
        <f t="shared" ca="1" si="4"/>
        <v>305405.73506456398</v>
      </c>
      <c r="H73" s="104">
        <f t="shared" ca="1" si="4"/>
        <v>1871901.1000996579</v>
      </c>
      <c r="I73" s="104">
        <f t="shared" ca="1" si="4"/>
        <v>33856.45569146207</v>
      </c>
      <c r="J73" s="104">
        <f t="shared" ca="1" si="4"/>
        <v>0</v>
      </c>
      <c r="K73" s="104">
        <f t="shared" ca="1" si="4"/>
        <v>322456.34151584783</v>
      </c>
      <c r="L73" s="104">
        <f t="shared" ca="1" si="4"/>
        <v>20042.099999999999</v>
      </c>
      <c r="M73" s="104">
        <f t="shared" ca="1" si="4"/>
        <v>0</v>
      </c>
      <c r="N73" s="104">
        <f t="shared" ca="1" si="4"/>
        <v>20254.595016000014</v>
      </c>
      <c r="O73" s="104">
        <f t="shared" ca="1" si="4"/>
        <v>350225.41851520003</v>
      </c>
      <c r="P73" s="104">
        <f t="shared" ca="1" si="4"/>
        <v>99.586916000000002</v>
      </c>
      <c r="Q73" s="104">
        <f t="shared" ca="1" si="4"/>
        <v>43070.361646999998</v>
      </c>
      <c r="R73" s="104">
        <f t="shared" ca="1" si="4"/>
        <v>6805708.7196491128</v>
      </c>
      <c r="S73" s="104">
        <f t="shared" ca="1" si="4"/>
        <v>478050.15547404252</v>
      </c>
      <c r="T73" s="104">
        <f t="shared" ca="1" si="4"/>
        <v>-1690653.4882450318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89663.795724976881</v>
      </c>
      <c r="G74" s="104">
        <f t="shared" ca="1" si="4"/>
        <v>328612.80539912451</v>
      </c>
      <c r="H74" s="104">
        <f t="shared" ca="1" si="4"/>
        <v>2020772.5991094336</v>
      </c>
      <c r="I74" s="104">
        <f t="shared" ca="1" si="4"/>
        <v>36718.412405128904</v>
      </c>
      <c r="J74" s="104">
        <f t="shared" ca="1" si="4"/>
        <v>0</v>
      </c>
      <c r="K74" s="104">
        <f t="shared" ca="1" si="4"/>
        <v>319868.19295962475</v>
      </c>
      <c r="L74" s="104">
        <f t="shared" ca="1" si="4"/>
        <v>20042.099999999999</v>
      </c>
      <c r="M74" s="104">
        <f t="shared" ca="1" si="4"/>
        <v>0</v>
      </c>
      <c r="N74" s="104">
        <f t="shared" ca="1" si="4"/>
        <v>20620.385277599962</v>
      </c>
      <c r="O74" s="104">
        <f t="shared" ca="1" si="4"/>
        <v>370437.21798680007</v>
      </c>
      <c r="P74" s="104">
        <f t="shared" ca="1" si="4"/>
        <v>99.25715799999999</v>
      </c>
      <c r="Q74" s="104">
        <f t="shared" ca="1" si="4"/>
        <v>35301.182670000002</v>
      </c>
      <c r="R74" s="104">
        <f t="shared" ca="1" si="4"/>
        <v>7309532.5383974938</v>
      </c>
      <c r="S74" s="104">
        <f t="shared" ca="1" si="4"/>
        <v>516069.28118719498</v>
      </c>
      <c r="T74" s="104">
        <f t="shared" ca="1" si="4"/>
        <v>-1815811.870966973</v>
      </c>
      <c r="U74" s="104">
        <f t="shared" ca="1" si="4"/>
        <v>0</v>
      </c>
    </row>
    <row r="75" spans="2:21" ht="14.25">
      <c r="B75" s="1257" t="s">
        <v>1014</v>
      </c>
      <c r="C75" s="1258"/>
      <c r="D75" s="1258">
        <f t="shared" ref="D75:Q75" ca="1" si="5">SUM(D63:D74)</f>
        <v>0</v>
      </c>
      <c r="E75" s="1258">
        <f t="shared" ca="1" si="5"/>
        <v>0</v>
      </c>
      <c r="F75" s="1258">
        <f t="shared" ca="1" si="5"/>
        <v>1124321.8870068607</v>
      </c>
      <c r="G75" s="1258">
        <f t="shared" ca="1" si="5"/>
        <v>4054505.8046815027</v>
      </c>
      <c r="H75" s="1258">
        <f t="shared" ca="1" si="5"/>
        <v>24941264.727890957</v>
      </c>
      <c r="I75" s="1258">
        <f t="shared" ca="1" si="5"/>
        <v>452302.20791855728</v>
      </c>
      <c r="J75" s="1258">
        <f t="shared" ca="1" si="5"/>
        <v>0</v>
      </c>
      <c r="K75" s="1258">
        <f t="shared" ca="1" si="5"/>
        <v>3392626.5934280674</v>
      </c>
      <c r="L75" s="1258">
        <f t="shared" ca="1" si="5"/>
        <v>240505.20000000004</v>
      </c>
      <c r="M75" s="1258">
        <f t="shared" ca="1" si="5"/>
        <v>0</v>
      </c>
      <c r="N75" s="1258">
        <f t="shared" ca="1" si="5"/>
        <v>239942.59871879994</v>
      </c>
      <c r="O75" s="1258">
        <f t="shared" ca="1" si="5"/>
        <v>4912847.4440948004</v>
      </c>
      <c r="P75" s="1258">
        <f t="shared" ca="1" si="5"/>
        <v>1942.604378</v>
      </c>
      <c r="Q75" s="1258">
        <f t="shared" ca="1" si="5"/>
        <v>324808.57338800002</v>
      </c>
      <c r="R75" s="1258">
        <f t="shared" ref="R75:S75" ca="1" si="6">SUM(R63:R74)</f>
        <v>89704609.851555288</v>
      </c>
      <c r="S75" s="1258">
        <f t="shared" ca="1" si="6"/>
        <v>6369554.1822443232</v>
      </c>
      <c r="T75" s="1258">
        <f t="shared" ref="T75:U75" ca="1" si="7">SUM(T63:T74)</f>
        <v>-22284146.707502786</v>
      </c>
      <c r="U75" s="1258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1015</v>
      </c>
    </row>
    <row r="78" spans="2:21" ht="14.25">
      <c r="J78" s="95" t="s">
        <v>1016</v>
      </c>
      <c r="K78" s="1259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60" t="s">
        <v>1017</v>
      </c>
      <c r="C79" s="1261">
        <f t="shared" ref="C79:C84" ca="1" si="8">SUM(INDIRECT("dados_MercadoBase["&amp;B79&amp;"]"))</f>
        <v>65876207.504548229</v>
      </c>
      <c r="J79" s="95" t="s">
        <v>1018</v>
      </c>
      <c r="K79" s="1262"/>
      <c r="L79" s="1262"/>
      <c r="M79" s="1262">
        <f>SUMIFS(M63:M74,$B$63:$B$74,42826)</f>
        <v>0</v>
      </c>
      <c r="N79" s="1262">
        <f>SUMIFS(N63:N74,$B$63:$B$74,42826)</f>
        <v>0</v>
      </c>
      <c r="O79" s="1262">
        <f>SUMIFS(O63:O74,$B$63:$B$74,42826)</f>
        <v>0</v>
      </c>
      <c r="P79" s="1262">
        <f>SUMIFS(P63:P74,$B$63:$B$74,42826)</f>
        <v>0</v>
      </c>
      <c r="Q79" s="1262">
        <f>SUMIFS(Q63:Q74,$B$63:$B$74,42826)</f>
        <v>0</v>
      </c>
    </row>
    <row r="80" spans="2:21" ht="14.25">
      <c r="B80" s="118" t="s">
        <v>1019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1020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1021</v>
      </c>
      <c r="C82" s="104">
        <f t="shared" ca="1" si="8"/>
        <v>0</v>
      </c>
    </row>
    <row r="83" spans="2:13" ht="14.25">
      <c r="B83" s="118" t="s">
        <v>1022</v>
      </c>
      <c r="C83" s="104">
        <f t="shared" ca="1" si="8"/>
        <v>3641115.7128637964</v>
      </c>
    </row>
    <row r="84" spans="2:13" ht="14.25">
      <c r="B84" s="118" t="s">
        <v>1021</v>
      </c>
      <c r="C84" s="104">
        <f t="shared" ca="1" si="8"/>
        <v>0</v>
      </c>
    </row>
    <row r="85" spans="2:13" ht="14.25">
      <c r="B85" s="1263"/>
      <c r="C85" s="1264"/>
    </row>
    <row r="86" spans="2:13" ht="14.25"/>
    <row r="87" spans="2:13" ht="14.25">
      <c r="B87" s="1260" t="s">
        <v>1023</v>
      </c>
      <c r="C87" s="1261">
        <f t="shared" ref="C87:C97" ca="1" si="9">SUM(INDIRECT("dados_MercadoBase["&amp;B87&amp;"]"))</f>
        <v>0</v>
      </c>
    </row>
    <row r="88" spans="2:13" ht="14.25">
      <c r="B88" s="118" t="s">
        <v>1024</v>
      </c>
      <c r="C88" s="104">
        <f t="shared" ca="1" si="9"/>
        <v>0</v>
      </c>
    </row>
    <row r="89" spans="2:13" ht="14.25">
      <c r="B89" s="118" t="s">
        <v>1025</v>
      </c>
      <c r="C89" s="104">
        <f t="shared" ca="1" si="9"/>
        <v>2259181.8539222553</v>
      </c>
    </row>
    <row r="90" spans="2:13" ht="14.25">
      <c r="B90" s="118" t="s">
        <v>1026</v>
      </c>
      <c r="C90" s="104">
        <f t="shared" ca="1" si="9"/>
        <v>0</v>
      </c>
    </row>
    <row r="91" spans="2:13" ht="14.25">
      <c r="B91" s="118" t="s">
        <v>1027</v>
      </c>
      <c r="C91" s="104">
        <f t="shared" ca="1" si="9"/>
        <v>10485789.81131511</v>
      </c>
    </row>
    <row r="92" spans="2:13" ht="14.25">
      <c r="B92" s="118" t="s">
        <v>1028</v>
      </c>
      <c r="C92" s="104">
        <f t="shared" ca="1" si="9"/>
        <v>0</v>
      </c>
      <c r="G92" s="105"/>
    </row>
    <row r="93" spans="2:13" ht="14.25">
      <c r="B93" s="118" t="s">
        <v>1029</v>
      </c>
      <c r="C93" s="104">
        <f t="shared" ca="1" si="9"/>
        <v>0</v>
      </c>
      <c r="E93" s="106"/>
      <c r="G93" s="79"/>
    </row>
    <row r="94" spans="2:13" ht="14.25">
      <c r="B94" s="118" t="s">
        <v>1030</v>
      </c>
      <c r="C94" s="104">
        <f t="shared" ca="1" si="9"/>
        <v>0</v>
      </c>
      <c r="E94" s="106"/>
      <c r="G94" s="106"/>
    </row>
    <row r="95" spans="2:13" ht="14.25">
      <c r="B95" s="118" t="s">
        <v>1031</v>
      </c>
      <c r="C95" s="104">
        <f t="shared" ca="1" si="9"/>
        <v>1062604.2435166286</v>
      </c>
      <c r="E95" s="106"/>
      <c r="G95" s="106"/>
    </row>
    <row r="96" spans="2:13" ht="14.25">
      <c r="B96" s="118" t="s">
        <v>1032</v>
      </c>
      <c r="C96" s="104">
        <f ca="1">SUM(INDIRECT("dados_MercadoBase["&amp;B96&amp;"]"))</f>
        <v>1049995.9470679283</v>
      </c>
      <c r="E96" s="106"/>
      <c r="G96" s="106"/>
    </row>
    <row r="97" spans="1:7" ht="14.25">
      <c r="B97" s="1263" t="s">
        <v>1033</v>
      </c>
      <c r="C97" s="1264">
        <f t="shared" ca="1" si="9"/>
        <v>89704609.851555228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1034</v>
      </c>
      <c r="C100" s="231"/>
      <c r="D100" s="232"/>
      <c r="E100" s="106"/>
      <c r="G100" s="252"/>
    </row>
    <row r="101" spans="1:7" ht="12.75" customHeight="1">
      <c r="A101" s="232"/>
      <c r="B101" s="1252" t="s">
        <v>1035</v>
      </c>
      <c r="C101" s="1253" t="s">
        <v>954</v>
      </c>
      <c r="D101" s="232"/>
    </row>
    <row r="102" spans="1:7" ht="12.75" customHeight="1">
      <c r="A102" s="232"/>
      <c r="B102" s="1254" t="s">
        <v>1036</v>
      </c>
      <c r="C102" s="1265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1037</v>
      </c>
      <c r="E109" s="111"/>
    </row>
    <row r="111" spans="1:7" ht="12.75" customHeight="1">
      <c r="B111" s="1224" t="s">
        <v>855</v>
      </c>
      <c r="C111" s="1224" t="s">
        <v>120</v>
      </c>
      <c r="D111" s="1224" t="s">
        <v>964</v>
      </c>
    </row>
    <row r="112" spans="1:7" ht="12.75" customHeight="1">
      <c r="B112" s="1226" t="s">
        <v>989</v>
      </c>
      <c r="C112" s="1227"/>
      <c r="D112" s="1228"/>
    </row>
    <row r="113" spans="2:4" ht="12.75" customHeight="1">
      <c r="B113" s="113"/>
      <c r="C113" s="99"/>
      <c r="D113" s="114"/>
    </row>
    <row r="114" spans="2:4" ht="12.75" customHeight="1">
      <c r="B114" s="113" t="s">
        <v>602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599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601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597</v>
      </c>
      <c r="C117" s="99">
        <f ca="1">DSUM(MercadoBase,"TUSD_E",INDIRECT("Mercado_Livre"&amp;$B117))</f>
        <v>42518.079000000012</v>
      </c>
      <c r="D117" s="114">
        <f t="shared" ca="1" si="11"/>
        <v>11824423.163039995</v>
      </c>
    </row>
    <row r="118" spans="2:4" ht="12.75" customHeight="1">
      <c r="B118" s="113" t="s">
        <v>977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604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49" t="s">
        <v>846</v>
      </c>
      <c r="C120" s="1250">
        <f ca="1">SUM(C114:C119)</f>
        <v>42518.079000000012</v>
      </c>
      <c r="D120" s="1251">
        <f ca="1">SUM(D114:D119)</f>
        <v>11824423.163039995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E698" sqref="E698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7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2"/>
      <c r="S1" s="502"/>
      <c r="T1" s="502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1038</v>
      </c>
      <c r="B2" s="264" t="s">
        <v>1035</v>
      </c>
      <c r="C2" s="265" t="s">
        <v>58</v>
      </c>
      <c r="D2" s="264" t="s">
        <v>955</v>
      </c>
      <c r="E2" s="265" t="s">
        <v>588</v>
      </c>
      <c r="F2" s="265" t="s">
        <v>984</v>
      </c>
      <c r="G2" s="265" t="s">
        <v>1039</v>
      </c>
      <c r="H2" s="265" t="s">
        <v>1040</v>
      </c>
      <c r="I2" s="265" t="s">
        <v>1041</v>
      </c>
      <c r="J2" s="265" t="s">
        <v>1042</v>
      </c>
      <c r="K2" s="497" t="s">
        <v>954</v>
      </c>
      <c r="L2" s="291" t="s">
        <v>1043</v>
      </c>
      <c r="M2" s="291" t="s">
        <v>1044</v>
      </c>
      <c r="N2" s="291" t="s">
        <v>1045</v>
      </c>
      <c r="O2" s="291" t="s">
        <v>1046</v>
      </c>
      <c r="P2" s="291" t="s">
        <v>1047</v>
      </c>
      <c r="Q2" s="291" t="s">
        <v>1048</v>
      </c>
      <c r="R2" s="265" t="s">
        <v>1049</v>
      </c>
      <c r="S2" s="265" t="s">
        <v>1050</v>
      </c>
      <c r="T2" s="265" t="s">
        <v>1051</v>
      </c>
      <c r="U2" s="265" t="s">
        <v>1052</v>
      </c>
      <c r="V2" s="265" t="s">
        <v>1053</v>
      </c>
      <c r="W2" s="265" t="s">
        <v>846</v>
      </c>
      <c r="X2" s="265" t="s">
        <v>1054</v>
      </c>
      <c r="Y2" s="265" t="s">
        <v>39</v>
      </c>
      <c r="Z2" s="265" t="s">
        <v>41</v>
      </c>
      <c r="AA2" s="265" t="s">
        <v>126</v>
      </c>
      <c r="AB2" s="265" t="s">
        <v>1030</v>
      </c>
      <c r="AC2" s="265" t="s">
        <v>1031</v>
      </c>
      <c r="AD2" s="265" t="s">
        <v>1032</v>
      </c>
      <c r="AE2" s="265" t="s">
        <v>1033</v>
      </c>
      <c r="AF2" s="265" t="s">
        <v>1017</v>
      </c>
      <c r="AG2" s="265" t="s">
        <v>971</v>
      </c>
      <c r="AH2" s="265" t="s">
        <v>1055</v>
      </c>
      <c r="AI2" s="265" t="s">
        <v>49</v>
      </c>
      <c r="AJ2" s="265" t="s">
        <v>1029</v>
      </c>
      <c r="AK2" s="265" t="s">
        <v>968</v>
      </c>
      <c r="AL2" s="265" t="s">
        <v>47</v>
      </c>
      <c r="AM2" s="265" t="s">
        <v>38</v>
      </c>
      <c r="AN2" s="265" t="s">
        <v>40</v>
      </c>
      <c r="AO2" s="265" t="s">
        <v>1025</v>
      </c>
      <c r="AP2" s="265" t="s">
        <v>1027</v>
      </c>
      <c r="AQ2" s="265" t="s">
        <v>1026</v>
      </c>
      <c r="AR2" s="265" t="s">
        <v>1023</v>
      </c>
      <c r="AS2" s="265" t="s">
        <v>1024</v>
      </c>
      <c r="AT2" s="265" t="s">
        <v>1028</v>
      </c>
      <c r="AU2" s="265" t="s">
        <v>1056</v>
      </c>
      <c r="AV2" s="265" t="s">
        <v>1057</v>
      </c>
      <c r="AW2" s="265" t="s">
        <v>1058</v>
      </c>
      <c r="AX2" s="265" t="s">
        <v>1059</v>
      </c>
      <c r="AY2" s="265" t="s">
        <v>1060</v>
      </c>
      <c r="AZ2" s="265" t="s">
        <v>1061</v>
      </c>
      <c r="BA2" s="265" t="s">
        <v>1062</v>
      </c>
      <c r="BB2" s="265" t="s">
        <v>1063</v>
      </c>
      <c r="BC2" s="265" t="s">
        <v>1064</v>
      </c>
      <c r="BD2" s="265" t="s">
        <v>1065</v>
      </c>
      <c r="BE2" s="265" t="s">
        <v>1066</v>
      </c>
      <c r="BF2" s="265" t="s">
        <v>1067</v>
      </c>
      <c r="BG2" s="265" t="s">
        <v>1068</v>
      </c>
      <c r="BH2" s="265" t="s">
        <v>1069</v>
      </c>
      <c r="BI2" s="265" t="s">
        <v>1070</v>
      </c>
      <c r="BJ2" s="265" t="s">
        <v>1071</v>
      </c>
      <c r="BK2" s="265" t="s">
        <v>233</v>
      </c>
      <c r="BL2" s="265" t="s">
        <v>1072</v>
      </c>
      <c r="BM2" s="265" t="s">
        <v>1073</v>
      </c>
      <c r="BN2" s="265" t="s">
        <v>1006</v>
      </c>
      <c r="BO2" s="265" t="s">
        <v>1007</v>
      </c>
      <c r="BP2" s="265" t="s">
        <v>1008</v>
      </c>
      <c r="BQ2" s="265" t="s">
        <v>1009</v>
      </c>
      <c r="BR2" s="291" t="s">
        <v>1010</v>
      </c>
      <c r="BS2" s="291" t="s">
        <v>1011</v>
      </c>
      <c r="BT2" s="291" t="s">
        <v>1012</v>
      </c>
      <c r="BU2" s="291" t="s">
        <v>1074</v>
      </c>
      <c r="BV2" s="291" t="s">
        <v>1075</v>
      </c>
      <c r="BW2" s="266" t="s">
        <v>1076</v>
      </c>
      <c r="BX2" s="266" t="s">
        <v>1077</v>
      </c>
      <c r="BY2" s="266" t="s">
        <v>1078</v>
      </c>
      <c r="BZ2" s="266" t="s">
        <v>1079</v>
      </c>
      <c r="CA2" s="266" t="s">
        <v>1080</v>
      </c>
      <c r="CB2" s="266" t="s">
        <v>1081</v>
      </c>
      <c r="CC2" s="266" t="s">
        <v>1082</v>
      </c>
      <c r="CD2" s="266" t="s">
        <v>1083</v>
      </c>
      <c r="CE2" s="266" t="s">
        <v>1084</v>
      </c>
      <c r="CF2" s="266" t="s">
        <v>1085</v>
      </c>
      <c r="CG2" s="266" t="s">
        <v>1086</v>
      </c>
      <c r="CH2" s="266" t="s">
        <v>1087</v>
      </c>
      <c r="CI2" s="266" t="s">
        <v>1088</v>
      </c>
      <c r="CJ2" s="291" t="s">
        <v>1089</v>
      </c>
      <c r="CK2" s="266" t="s">
        <v>1090</v>
      </c>
      <c r="CL2" s="266" t="s">
        <v>1091</v>
      </c>
      <c r="CM2" s="266" t="s">
        <v>1092</v>
      </c>
      <c r="CN2" s="266" t="s">
        <v>1093</v>
      </c>
      <c r="CO2" s="291" t="s">
        <v>1094</v>
      </c>
      <c r="CP2" s="291" t="s">
        <v>1095</v>
      </c>
      <c r="CQ2" s="291" t="s">
        <v>1096</v>
      </c>
      <c r="CR2" s="291" t="s">
        <v>1097</v>
      </c>
      <c r="CS2" s="291" t="s">
        <v>1098</v>
      </c>
      <c r="CT2" s="291" t="s">
        <v>1099</v>
      </c>
      <c r="CU2" s="291" t="s">
        <v>1100</v>
      </c>
      <c r="CV2" s="291" t="s">
        <v>1101</v>
      </c>
      <c r="CW2" s="291" t="s">
        <v>1102</v>
      </c>
      <c r="CX2" s="291" t="s">
        <v>1103</v>
      </c>
      <c r="CY2" s="291" t="s">
        <v>1104</v>
      </c>
      <c r="CZ2" s="291" t="s">
        <v>1105</v>
      </c>
      <c r="DA2" s="291" t="s">
        <v>1106</v>
      </c>
      <c r="DB2" s="291" t="s">
        <v>1107</v>
      </c>
      <c r="DC2" s="291" t="s">
        <v>1108</v>
      </c>
      <c r="DD2" s="291" t="s">
        <v>1109</v>
      </c>
      <c r="DE2" s="291" t="s">
        <v>1110</v>
      </c>
      <c r="DF2" s="291" t="s">
        <v>1111</v>
      </c>
      <c r="DG2" s="291" t="s">
        <v>1112</v>
      </c>
      <c r="DH2" s="291" t="s">
        <v>1113</v>
      </c>
      <c r="DI2" s="291" t="s">
        <v>1114</v>
      </c>
      <c r="DJ2" s="291" t="s">
        <v>1115</v>
      </c>
      <c r="DK2" s="291" t="s">
        <v>1116</v>
      </c>
      <c r="DL2" s="291" t="s">
        <v>1117</v>
      </c>
      <c r="DM2" s="291" t="s">
        <v>1118</v>
      </c>
      <c r="DN2" s="291" t="s">
        <v>1119</v>
      </c>
      <c r="DO2" s="291" t="s">
        <v>1120</v>
      </c>
      <c r="DP2" s="291" t="s">
        <v>1121</v>
      </c>
      <c r="DQ2" s="291" t="s">
        <v>1122</v>
      </c>
      <c r="DR2" s="291" t="s">
        <v>2257</v>
      </c>
      <c r="DS2" s="291" t="s">
        <v>1123</v>
      </c>
      <c r="DT2" s="266" t="s">
        <v>1124</v>
      </c>
      <c r="DU2" s="266" t="s">
        <v>1125</v>
      </c>
      <c r="DV2" s="266" t="s">
        <v>1126</v>
      </c>
      <c r="DW2" s="266" t="s">
        <v>1127</v>
      </c>
      <c r="DX2" s="266" t="s">
        <v>1128</v>
      </c>
      <c r="DY2" s="291" t="s">
        <v>1129</v>
      </c>
      <c r="DZ2" s="266" t="s">
        <v>1130</v>
      </c>
      <c r="EA2" s="266" t="s">
        <v>1131</v>
      </c>
      <c r="EB2" s="266" t="s">
        <v>1132</v>
      </c>
      <c r="EC2" s="291" t="s">
        <v>1133</v>
      </c>
      <c r="ED2" s="266" t="s">
        <v>1134</v>
      </c>
      <c r="EE2" s="266" t="s">
        <v>1135</v>
      </c>
      <c r="EF2" s="266" t="s">
        <v>1136</v>
      </c>
      <c r="EG2" s="266" t="s">
        <v>1137</v>
      </c>
      <c r="EH2" s="266" t="s">
        <v>1138</v>
      </c>
      <c r="EI2" s="266" t="s">
        <v>1139</v>
      </c>
      <c r="EJ2" s="266" t="s">
        <v>1140</v>
      </c>
      <c r="EK2" s="266" t="s">
        <v>1141</v>
      </c>
      <c r="EL2" s="266" t="s">
        <v>1142</v>
      </c>
      <c r="EM2" s="266" t="s">
        <v>1143</v>
      </c>
      <c r="EN2" s="266" t="s">
        <v>1144</v>
      </c>
      <c r="EO2" s="266" t="s">
        <v>1145</v>
      </c>
      <c r="EP2" s="291" t="s">
        <v>2169</v>
      </c>
      <c r="EQ2" s="266" t="s">
        <v>2170</v>
      </c>
      <c r="ER2" s="266" t="s">
        <v>2171</v>
      </c>
      <c r="ES2" s="266" t="s">
        <v>2172</v>
      </c>
      <c r="ET2" s="266" t="s">
        <v>2173</v>
      </c>
      <c r="EU2" s="266" t="s">
        <v>2174</v>
      </c>
      <c r="EV2" s="266" t="s">
        <v>1146</v>
      </c>
      <c r="EW2" s="266" t="s">
        <v>1147</v>
      </c>
      <c r="EX2" s="266" t="s">
        <v>1148</v>
      </c>
      <c r="EY2" s="266" t="s">
        <v>1149</v>
      </c>
      <c r="EZ2" s="266" t="s">
        <v>1150</v>
      </c>
      <c r="FA2" s="266" t="s">
        <v>1151</v>
      </c>
      <c r="FB2" s="266" t="s">
        <v>1152</v>
      </c>
      <c r="FC2" s="266" t="s">
        <v>1153</v>
      </c>
      <c r="FD2" s="266" t="s">
        <v>1154</v>
      </c>
      <c r="FE2" s="266" t="s">
        <v>1155</v>
      </c>
      <c r="FF2" s="266" t="s">
        <v>1156</v>
      </c>
      <c r="FG2" s="266" t="s">
        <v>1157</v>
      </c>
      <c r="FH2" s="266" t="s">
        <v>1158</v>
      </c>
      <c r="FI2" s="266" t="s">
        <v>1159</v>
      </c>
    </row>
    <row r="3" spans="1:165" customFormat="1">
      <c r="A3" s="408">
        <v>1</v>
      </c>
      <c r="B3" s="408" t="s">
        <v>1036</v>
      </c>
      <c r="C3" s="408" t="s">
        <v>2235</v>
      </c>
      <c r="D3" s="408" t="s">
        <v>1955</v>
      </c>
      <c r="E3" s="408" t="s">
        <v>969</v>
      </c>
      <c r="F3" s="408" t="s">
        <v>969</v>
      </c>
      <c r="G3" s="408" t="s">
        <v>1322</v>
      </c>
      <c r="H3" s="408" t="s">
        <v>1322</v>
      </c>
      <c r="I3" s="408" t="s">
        <v>1322</v>
      </c>
      <c r="J3" s="408" t="s">
        <v>2236</v>
      </c>
      <c r="K3" s="826">
        <v>44378</v>
      </c>
      <c r="L3" s="408">
        <v>0</v>
      </c>
      <c r="M3" s="408">
        <v>0</v>
      </c>
      <c r="N3" s="408">
        <v>9449.3459999999995</v>
      </c>
      <c r="O3" s="408">
        <v>9449.3459999999995</v>
      </c>
      <c r="P3" s="408">
        <v>9449.3459999999995</v>
      </c>
      <c r="Q3" s="408">
        <v>9449.3459999999995</v>
      </c>
      <c r="R3" s="408"/>
      <c r="S3" s="408">
        <v>368.24</v>
      </c>
      <c r="T3" s="408">
        <v>173.25</v>
      </c>
      <c r="U3" s="408"/>
      <c r="V3" s="408">
        <v>5116726.3655399997</v>
      </c>
      <c r="W3" s="408">
        <v>5116726.3655399997</v>
      </c>
      <c r="X3" s="408">
        <v>4808677.6859400002</v>
      </c>
      <c r="Y3" s="408">
        <v>0</v>
      </c>
      <c r="Z3" s="408">
        <v>581561.7306842379</v>
      </c>
      <c r="AA3" s="408">
        <v>0</v>
      </c>
      <c r="AB3" s="408">
        <v>0</v>
      </c>
      <c r="AC3" s="408">
        <v>24185.954160687117</v>
      </c>
      <c r="AD3" s="408">
        <v>23237.278537410879</v>
      </c>
      <c r="AE3" s="408">
        <v>2225671.6084834458</v>
      </c>
      <c r="AF3" s="408">
        <v>1609606.0443634449</v>
      </c>
      <c r="AG3" s="408">
        <v>27471.455532885841</v>
      </c>
      <c r="AH3" s="408">
        <v>0</v>
      </c>
      <c r="AI3" s="408">
        <v>0</v>
      </c>
      <c r="AJ3" s="408">
        <v>0</v>
      </c>
      <c r="AK3" s="408">
        <v>0</v>
      </c>
      <c r="AL3" s="408">
        <v>89854.117214923754</v>
      </c>
      <c r="AM3" s="408"/>
      <c r="AN3" s="408">
        <v>11413.456012436509</v>
      </c>
      <c r="AO3" s="408">
        <v>51342.034485508164</v>
      </c>
      <c r="AP3" s="408">
        <v>239400.33247145894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0</v>
      </c>
      <c r="BF3" s="408">
        <v>0</v>
      </c>
      <c r="BG3" s="408">
        <v>84475.186122736442</v>
      </c>
      <c r="BH3" s="408">
        <v>0</v>
      </c>
      <c r="BI3" s="408">
        <v>3531.47</v>
      </c>
      <c r="BJ3" s="408">
        <v>32180.33</v>
      </c>
      <c r="BK3" s="408">
        <v>2270175.1800000002</v>
      </c>
      <c r="BL3" s="408">
        <v>46089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1694081.2304861813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4808679.7215</v>
      </c>
      <c r="CJ3" s="408">
        <v>-308046.67403999902</v>
      </c>
      <c r="CK3" s="408"/>
      <c r="CL3" s="408"/>
      <c r="CM3" s="408"/>
      <c r="CN3" s="408"/>
      <c r="CO3" s="408">
        <v>-512060.05973999994</v>
      </c>
      <c r="CP3" s="408">
        <v>204011.38014000002</v>
      </c>
      <c r="CQ3" s="408">
        <v>31</v>
      </c>
      <c r="CR3" s="408">
        <v>244806.02940146811</v>
      </c>
      <c r="CS3" s="408">
        <v>5116.1239958279111</v>
      </c>
      <c r="CT3" s="408">
        <v>23855.731426306069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23926.697522315277</v>
      </c>
      <c r="DA3" s="408">
        <v>0</v>
      </c>
      <c r="DB3" s="408">
        <v>0</v>
      </c>
      <c r="DC3" s="408">
        <v>203988.3460754219</v>
      </c>
      <c r="DD3" s="408">
        <v>0</v>
      </c>
      <c r="DE3" s="408">
        <v>0</v>
      </c>
      <c r="DF3" s="408">
        <v>0</v>
      </c>
      <c r="DG3" s="408">
        <v>10705.696317390306</v>
      </c>
      <c r="DH3" s="408">
        <v>0</v>
      </c>
      <c r="DI3" s="408">
        <v>-19747.9960754934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-2715.6668699176516</v>
      </c>
      <c r="DP3" s="408">
        <v>-322.9029903831397</v>
      </c>
      <c r="DQ3" s="408">
        <v>0</v>
      </c>
      <c r="DR3" s="408">
        <v>0</v>
      </c>
      <c r="DS3" s="408"/>
      <c r="DT3" s="408"/>
      <c r="DU3" s="408"/>
      <c r="DV3" s="408">
        <v>2225671.6084834458</v>
      </c>
      <c r="DW3" s="408">
        <v>0</v>
      </c>
      <c r="DX3" s="408">
        <v>0</v>
      </c>
      <c r="DY3" s="408">
        <v>-512060.05973999994</v>
      </c>
      <c r="DZ3" s="408">
        <v>204011.38014000002</v>
      </c>
      <c r="EA3" s="408">
        <v>0</v>
      </c>
      <c r="EB3" s="408">
        <v>0</v>
      </c>
      <c r="EC3" s="408">
        <v>-552894.58064912446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148520.4938212556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240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2237</v>
      </c>
      <c r="C4" s="408" t="s">
        <v>2235</v>
      </c>
      <c r="D4" s="408" t="s">
        <v>1955</v>
      </c>
      <c r="E4" s="408" t="s">
        <v>969</v>
      </c>
      <c r="F4" s="408" t="s">
        <v>969</v>
      </c>
      <c r="G4" s="408" t="s">
        <v>1322</v>
      </c>
      <c r="H4" s="408" t="s">
        <v>1322</v>
      </c>
      <c r="I4" s="408" t="s">
        <v>1322</v>
      </c>
      <c r="J4" s="408" t="s">
        <v>2236</v>
      </c>
      <c r="K4" s="826">
        <v>44378</v>
      </c>
      <c r="L4" s="408">
        <v>0</v>
      </c>
      <c r="M4" s="408">
        <v>0</v>
      </c>
      <c r="N4" s="408">
        <v>-2.7050000000000001</v>
      </c>
      <c r="O4" s="408">
        <v>-2.7050000000000001</v>
      </c>
      <c r="P4" s="408">
        <v>-2.7050000000000001</v>
      </c>
      <c r="Q4" s="408">
        <v>-2.7050000000000001</v>
      </c>
      <c r="R4" s="408"/>
      <c r="S4" s="408">
        <v>368.24</v>
      </c>
      <c r="T4" s="408">
        <v>173.25</v>
      </c>
      <c r="U4" s="408"/>
      <c r="V4" s="408">
        <v>-1464.73045</v>
      </c>
      <c r="W4" s="408">
        <v>-1464.73045</v>
      </c>
      <c r="X4" s="408">
        <v>-1376.54745</v>
      </c>
      <c r="Y4" s="408">
        <v>0</v>
      </c>
      <c r="Z4" s="408">
        <v>-166.47972055429693</v>
      </c>
      <c r="AA4" s="408">
        <v>0</v>
      </c>
      <c r="AB4" s="408">
        <v>0</v>
      </c>
      <c r="AC4" s="408">
        <v>-6.923548572002618</v>
      </c>
      <c r="AD4" s="408">
        <v>-6.6519776547177374</v>
      </c>
      <c r="AE4" s="408">
        <v>-637.12787117200719</v>
      </c>
      <c r="AF4" s="408">
        <v>-460.77097293327165</v>
      </c>
      <c r="AG4" s="408">
        <v>-7.8640667001140825</v>
      </c>
      <c r="AH4" s="408">
        <v>0</v>
      </c>
      <c r="AI4" s="408">
        <v>0</v>
      </c>
      <c r="AJ4" s="408">
        <v>0</v>
      </c>
      <c r="AK4" s="408">
        <v>0</v>
      </c>
      <c r="AL4" s="408">
        <v>-25.721926900165233</v>
      </c>
      <c r="AM4" s="408"/>
      <c r="AN4" s="408">
        <v>-3.2672524123511573</v>
      </c>
      <c r="AO4" s="408">
        <v>-14.697334956651982</v>
      </c>
      <c r="AP4" s="408">
        <v>-68.531504649665322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0</v>
      </c>
      <c r="BF4" s="408">
        <v>0</v>
      </c>
      <c r="BG4" s="408">
        <v>-24.182136886722329</v>
      </c>
      <c r="BH4" s="408">
        <v>0</v>
      </c>
      <c r="BI4" s="408">
        <v>-1.47</v>
      </c>
      <c r="BJ4" s="408">
        <v>-13.53</v>
      </c>
      <c r="BK4" s="408">
        <v>-657.48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-484.95310981999398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-1379.0918999999999</v>
      </c>
      <c r="CJ4" s="408">
        <v>85.60855000000015</v>
      </c>
      <c r="CK4" s="408"/>
      <c r="CL4" s="408"/>
      <c r="CM4" s="408"/>
      <c r="CN4" s="408"/>
      <c r="CO4" s="408">
        <v>146.58394999999999</v>
      </c>
      <c r="CP4" s="408">
        <v>-58.400950000000009</v>
      </c>
      <c r="CQ4" s="408">
        <v>31</v>
      </c>
      <c r="CR4" s="408">
        <v>-70.078956737426211</v>
      </c>
      <c r="CS4" s="408">
        <v>-1.4645580137201577</v>
      </c>
      <c r="CT4" s="408">
        <v>-6.8290179561800386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-6.8493329377358831</v>
      </c>
      <c r="DA4" s="408">
        <v>0</v>
      </c>
      <c r="DB4" s="408">
        <v>0</v>
      </c>
      <c r="DC4" s="408">
        <v>-58.394356195023079</v>
      </c>
      <c r="DD4" s="408">
        <v>0</v>
      </c>
      <c r="DE4" s="408">
        <v>0</v>
      </c>
      <c r="DF4" s="408">
        <v>0</v>
      </c>
      <c r="DG4" s="408">
        <v>-3.0646468590038687</v>
      </c>
      <c r="DH4" s="408">
        <v>0</v>
      </c>
      <c r="DI4" s="408">
        <v>5.6531245002785795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0.77739548145736492</v>
      </c>
      <c r="DP4" s="408">
        <v>9.2435242501057058E-2</v>
      </c>
      <c r="DQ4" s="408">
        <v>0</v>
      </c>
      <c r="DR4" s="408">
        <v>0</v>
      </c>
      <c r="DS4" s="408"/>
      <c r="DT4" s="408"/>
      <c r="DU4" s="408"/>
      <c r="DV4" s="408">
        <v>-637.12787117200719</v>
      </c>
      <c r="DW4" s="408">
        <v>0</v>
      </c>
      <c r="DX4" s="408">
        <v>0</v>
      </c>
      <c r="DY4" s="408">
        <v>146.58394999999996</v>
      </c>
      <c r="DZ4" s="408">
        <v>-58.400949999999966</v>
      </c>
      <c r="EA4" s="408">
        <v>0</v>
      </c>
      <c r="EB4" s="408">
        <v>0</v>
      </c>
      <c r="EC4" s="408">
        <v>158.27337052277289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-42.515951451719133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240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2238</v>
      </c>
      <c r="C5" s="408" t="s">
        <v>2235</v>
      </c>
      <c r="D5" s="408" t="s">
        <v>1955</v>
      </c>
      <c r="E5" s="408" t="s">
        <v>969</v>
      </c>
      <c r="F5" s="408" t="s">
        <v>969</v>
      </c>
      <c r="G5" s="408" t="s">
        <v>1322</v>
      </c>
      <c r="H5" s="408" t="s">
        <v>1322</v>
      </c>
      <c r="I5" s="408" t="s">
        <v>1322</v>
      </c>
      <c r="J5" s="408" t="s">
        <v>2236</v>
      </c>
      <c r="K5" s="826">
        <v>44378</v>
      </c>
      <c r="L5" s="408">
        <v>0</v>
      </c>
      <c r="M5" s="408">
        <v>0</v>
      </c>
      <c r="N5" s="408">
        <v>134.80699999999999</v>
      </c>
      <c r="O5" s="408">
        <v>134.80699999999999</v>
      </c>
      <c r="P5" s="408">
        <v>134.80699999999999</v>
      </c>
      <c r="Q5" s="408">
        <v>134.80699999999999</v>
      </c>
      <c r="R5" s="408"/>
      <c r="S5" s="408">
        <v>368.24</v>
      </c>
      <c r="T5" s="408">
        <v>173.25</v>
      </c>
      <c r="U5" s="408"/>
      <c r="V5" s="408">
        <v>72996.642429999993</v>
      </c>
      <c r="W5" s="408">
        <v>72996.642429999993</v>
      </c>
      <c r="X5" s="408">
        <v>68601.934229999999</v>
      </c>
      <c r="Y5" s="408">
        <v>0</v>
      </c>
      <c r="Z5" s="408">
        <v>8296.7215115575254</v>
      </c>
      <c r="AA5" s="408">
        <v>0</v>
      </c>
      <c r="AB5" s="408">
        <v>0</v>
      </c>
      <c r="AC5" s="408">
        <v>345.04355354748867</v>
      </c>
      <c r="AD5" s="408">
        <v>331.50948306821954</v>
      </c>
      <c r="AE5" s="408">
        <v>31752.050620733742</v>
      </c>
      <c r="AF5" s="408">
        <v>22963.087818194286</v>
      </c>
      <c r="AG5" s="408">
        <v>391.91543055167426</v>
      </c>
      <c r="AH5" s="408">
        <v>0</v>
      </c>
      <c r="AI5" s="408">
        <v>0</v>
      </c>
      <c r="AJ5" s="408">
        <v>0</v>
      </c>
      <c r="AK5" s="408">
        <v>0</v>
      </c>
      <c r="AL5" s="408">
        <v>1281.8838445954063</v>
      </c>
      <c r="AM5" s="408"/>
      <c r="AN5" s="408">
        <v>162.82754009309517</v>
      </c>
      <c r="AO5" s="408">
        <v>732.45975360494776</v>
      </c>
      <c r="AP5" s="408">
        <v>3415.3517734962784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0</v>
      </c>
      <c r="BF5" s="408">
        <v>0</v>
      </c>
      <c r="BG5" s="408">
        <v>1205.1465165576253</v>
      </c>
      <c r="BH5" s="408">
        <v>0</v>
      </c>
      <c r="BI5" s="408">
        <v>50.29</v>
      </c>
      <c r="BJ5" s="408">
        <v>459.91</v>
      </c>
      <c r="BK5" s="408">
        <v>61796.65</v>
      </c>
      <c r="BL5" s="408">
        <v>792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24168.234334751913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68603.460900000005</v>
      </c>
      <c r="CJ5" s="408">
        <v>-4393.2115299999859</v>
      </c>
      <c r="CK5" s="408"/>
      <c r="CL5" s="408"/>
      <c r="CM5" s="408"/>
      <c r="CN5" s="408"/>
      <c r="CO5" s="408">
        <v>-7305.1913299999987</v>
      </c>
      <c r="CP5" s="408">
        <v>2910.4831300000001</v>
      </c>
      <c r="CQ5" s="408">
        <v>31</v>
      </c>
      <c r="CR5" s="408">
        <v>3492.4709504259517</v>
      </c>
      <c r="CS5" s="408">
        <v>72.988048856034311</v>
      </c>
      <c r="CT5" s="408">
        <v>340.33250411044764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341.34492618756417</v>
      </c>
      <c r="DA5" s="408">
        <v>0</v>
      </c>
      <c r="DB5" s="408">
        <v>0</v>
      </c>
      <c r="DC5" s="408">
        <v>2910.154519623833</v>
      </c>
      <c r="DD5" s="408">
        <v>0</v>
      </c>
      <c r="DE5" s="408">
        <v>0</v>
      </c>
      <c r="DF5" s="408">
        <v>0</v>
      </c>
      <c r="DG5" s="408">
        <v>152.73044329823824</v>
      </c>
      <c r="DH5" s="408">
        <v>0</v>
      </c>
      <c r="DI5" s="408">
        <v>-281.73040832127845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-38.742459396976983</v>
      </c>
      <c r="DP5" s="408">
        <v>-4.6066239319186764</v>
      </c>
      <c r="DQ5" s="408">
        <v>0</v>
      </c>
      <c r="DR5" s="408">
        <v>0</v>
      </c>
      <c r="DS5" s="408"/>
      <c r="DT5" s="408"/>
      <c r="DU5" s="408"/>
      <c r="DV5" s="408">
        <v>31752.050620733742</v>
      </c>
      <c r="DW5" s="408">
        <v>0</v>
      </c>
      <c r="DX5" s="408">
        <v>0</v>
      </c>
      <c r="DY5" s="408">
        <v>-7305.1913299999942</v>
      </c>
      <c r="DZ5" s="408">
        <v>2910.4831300000005</v>
      </c>
      <c r="EA5" s="408">
        <v>0</v>
      </c>
      <c r="EB5" s="408">
        <v>0</v>
      </c>
      <c r="EC5" s="408">
        <v>-7887.7479704485959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2118.834701423993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240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1036</v>
      </c>
      <c r="C6" s="408" t="s">
        <v>2235</v>
      </c>
      <c r="D6" s="408" t="s">
        <v>1955</v>
      </c>
      <c r="E6" s="408" t="s">
        <v>969</v>
      </c>
      <c r="F6" s="408" t="s">
        <v>2239</v>
      </c>
      <c r="G6" s="408" t="s">
        <v>1322</v>
      </c>
      <c r="H6" s="408" t="s">
        <v>1322</v>
      </c>
      <c r="I6" s="408" t="s">
        <v>1322</v>
      </c>
      <c r="J6" s="408" t="s">
        <v>2236</v>
      </c>
      <c r="K6" s="826">
        <v>44378</v>
      </c>
      <c r="L6" s="408">
        <v>0</v>
      </c>
      <c r="M6" s="408">
        <v>0</v>
      </c>
      <c r="N6" s="408">
        <v>22.736999999999998</v>
      </c>
      <c r="O6" s="408">
        <v>22.736999999999998</v>
      </c>
      <c r="P6" s="408">
        <v>22.736999999999998</v>
      </c>
      <c r="Q6" s="408">
        <v>22.736999999999998</v>
      </c>
      <c r="R6" s="408"/>
      <c r="S6" s="408">
        <v>281.47000000000003</v>
      </c>
      <c r="T6" s="408">
        <v>173.25</v>
      </c>
      <c r="U6" s="408"/>
      <c r="V6" s="408">
        <v>10338.968639999999</v>
      </c>
      <c r="W6" s="408">
        <v>10338.968639999999</v>
      </c>
      <c r="X6" s="408">
        <v>9651.8564999999999</v>
      </c>
      <c r="Y6" s="408">
        <v>0</v>
      </c>
      <c r="Z6" s="408">
        <v>0</v>
      </c>
      <c r="AA6" s="408">
        <v>0</v>
      </c>
      <c r="AB6" s="408">
        <v>0</v>
      </c>
      <c r="AC6" s="408">
        <v>58.196201065295199</v>
      </c>
      <c r="AD6" s="408">
        <v>55.913499421559031</v>
      </c>
      <c r="AE6" s="408">
        <v>5355.4071744317662</v>
      </c>
      <c r="AF6" s="408">
        <v>3873.0312796982612</v>
      </c>
      <c r="AG6" s="408">
        <v>66.101768783916398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27.46303811446516</v>
      </c>
      <c r="AO6" s="408">
        <v>123.53911456909283</v>
      </c>
      <c r="AP6" s="408">
        <v>576.04466588519051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0</v>
      </c>
      <c r="BF6" s="408">
        <v>0</v>
      </c>
      <c r="BG6" s="408">
        <v>203.26404672584306</v>
      </c>
      <c r="BH6" s="408">
        <v>0</v>
      </c>
      <c r="BI6" s="408">
        <v>0</v>
      </c>
      <c r="BJ6" s="408">
        <v>15.54</v>
      </c>
      <c r="BK6" s="408">
        <v>1387.89</v>
      </c>
      <c r="BL6" s="408">
        <v>20</v>
      </c>
      <c r="BM6" s="408"/>
      <c r="BN6" s="408"/>
      <c r="BO6" s="408"/>
      <c r="BP6" s="408"/>
      <c r="BQ6" s="408"/>
      <c r="BR6" s="408"/>
      <c r="BS6" s="408"/>
      <c r="BT6" s="408">
        <v>6273.8204099999994</v>
      </c>
      <c r="BU6" s="408"/>
      <c r="BV6" s="408">
        <v>4076.2953264241041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3378.4817999999996</v>
      </c>
      <c r="CJ6" s="408">
        <v>-240.36912000000075</v>
      </c>
      <c r="CK6" s="408"/>
      <c r="CL6" s="408"/>
      <c r="CM6" s="408"/>
      <c r="CN6" s="408"/>
      <c r="CO6" s="408">
        <v>-1178.0039700000007</v>
      </c>
      <c r="CP6" s="408">
        <v>490.89183000000003</v>
      </c>
      <c r="CQ6" s="408">
        <v>31</v>
      </c>
      <c r="CR6" s="408">
        <v>643.10387140982766</v>
      </c>
      <c r="CS6" s="408">
        <v>12.310408709040715</v>
      </c>
      <c r="CT6" s="408">
        <v>57.401619693037105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57.572378190499357</v>
      </c>
      <c r="DA6" s="408">
        <v>0</v>
      </c>
      <c r="DB6" s="408">
        <v>0</v>
      </c>
      <c r="DC6" s="408">
        <v>490.83640547365621</v>
      </c>
      <c r="DD6" s="408">
        <v>0</v>
      </c>
      <c r="DE6" s="408">
        <v>0</v>
      </c>
      <c r="DF6" s="408">
        <v>0</v>
      </c>
      <c r="DG6" s="408">
        <v>25.760027960506847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-0.77696861691184438</v>
      </c>
      <c r="DQ6" s="408">
        <v>0</v>
      </c>
      <c r="DR6" s="408">
        <v>0</v>
      </c>
      <c r="DS6" s="408"/>
      <c r="DT6" s="408"/>
      <c r="DU6" s="408"/>
      <c r="DV6" s="408">
        <v>5355.4071744317662</v>
      </c>
      <c r="DW6" s="408">
        <v>0</v>
      </c>
      <c r="DX6" s="408">
        <v>0</v>
      </c>
      <c r="DY6" s="408">
        <v>-1178.0039700000007</v>
      </c>
      <c r="DZ6" s="408">
        <v>490.89183000000048</v>
      </c>
      <c r="EA6" s="408">
        <v>0</v>
      </c>
      <c r="EB6" s="408">
        <v>0</v>
      </c>
      <c r="EC6" s="408">
        <v>-1330.3739835771862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240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1036</v>
      </c>
      <c r="C7" s="408" t="s">
        <v>2235</v>
      </c>
      <c r="D7" s="408" t="s">
        <v>1955</v>
      </c>
      <c r="E7" s="408" t="s">
        <v>969</v>
      </c>
      <c r="F7" s="408" t="s">
        <v>2240</v>
      </c>
      <c r="G7" s="408" t="s">
        <v>1322</v>
      </c>
      <c r="H7" s="408" t="s">
        <v>1322</v>
      </c>
      <c r="I7" s="408" t="s">
        <v>1322</v>
      </c>
      <c r="J7" s="408" t="s">
        <v>2236</v>
      </c>
      <c r="K7" s="826">
        <v>44378</v>
      </c>
      <c r="L7" s="408">
        <v>0</v>
      </c>
      <c r="M7" s="408">
        <v>0</v>
      </c>
      <c r="N7" s="408">
        <v>48.524999999999999</v>
      </c>
      <c r="O7" s="408">
        <v>48.524999999999999</v>
      </c>
      <c r="P7" s="408">
        <v>48.524999999999999</v>
      </c>
      <c r="Q7" s="408">
        <v>48.524999999999999</v>
      </c>
      <c r="R7" s="408"/>
      <c r="S7" s="408">
        <v>281.47000000000003</v>
      </c>
      <c r="T7" s="408">
        <v>173.25</v>
      </c>
      <c r="U7" s="408"/>
      <c r="V7" s="408">
        <v>22065.288</v>
      </c>
      <c r="W7" s="408">
        <v>22065.288</v>
      </c>
      <c r="X7" s="408">
        <v>20598.862500000003</v>
      </c>
      <c r="Y7" s="408">
        <v>0</v>
      </c>
      <c r="Z7" s="408">
        <v>0</v>
      </c>
      <c r="AA7" s="408">
        <v>0</v>
      </c>
      <c r="AB7" s="408">
        <v>0</v>
      </c>
      <c r="AC7" s="408">
        <v>124.20155063084178</v>
      </c>
      <c r="AD7" s="408">
        <v>119.32983944368878</v>
      </c>
      <c r="AE7" s="408">
        <v>11429.438058640166</v>
      </c>
      <c r="AF7" s="408">
        <v>8265.7713351523125</v>
      </c>
      <c r="AG7" s="408">
        <v>141.07350706951416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58.611247064450978</v>
      </c>
      <c r="AO7" s="408">
        <v>263.65551895435766</v>
      </c>
      <c r="AP7" s="408">
        <v>1229.3867885859556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  <c r="AY7" s="408">
        <v>0</v>
      </c>
      <c r="AZ7" s="408">
        <v>0</v>
      </c>
      <c r="BA7" s="408"/>
      <c r="BB7" s="408">
        <v>0</v>
      </c>
      <c r="BC7" s="408">
        <v>0</v>
      </c>
      <c r="BD7" s="408">
        <v>0</v>
      </c>
      <c r="BE7" s="408">
        <v>0</v>
      </c>
      <c r="BF7" s="408">
        <v>0</v>
      </c>
      <c r="BG7" s="408">
        <v>433.80339830987094</v>
      </c>
      <c r="BH7" s="408">
        <v>0</v>
      </c>
      <c r="BI7" s="408">
        <v>7.33</v>
      </c>
      <c r="BJ7" s="408">
        <v>80.739999999999995</v>
      </c>
      <c r="BK7" s="408">
        <v>5520.89</v>
      </c>
      <c r="BL7" s="408">
        <v>116</v>
      </c>
      <c r="BM7" s="408"/>
      <c r="BN7" s="408"/>
      <c r="BO7" s="408"/>
      <c r="BP7" s="408"/>
      <c r="BQ7" s="408"/>
      <c r="BR7" s="408"/>
      <c r="BS7" s="408"/>
      <c r="BT7" s="408">
        <v>8240.0302499999998</v>
      </c>
      <c r="BU7" s="408"/>
      <c r="BV7" s="408">
        <v>8699.5747334621828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12360.1057</v>
      </c>
      <c r="CJ7" s="408">
        <v>-879.00005000000056</v>
      </c>
      <c r="CK7" s="408"/>
      <c r="CL7" s="408"/>
      <c r="CM7" s="408"/>
      <c r="CN7" s="408"/>
      <c r="CO7" s="408">
        <v>-2514.0802500000013</v>
      </c>
      <c r="CP7" s="408">
        <v>1047.6547500000001</v>
      </c>
      <c r="CQ7" s="408">
        <v>31</v>
      </c>
      <c r="CR7" s="408">
        <v>1372.5036442873698</v>
      </c>
      <c r="CS7" s="408">
        <v>26.272708915257112</v>
      </c>
      <c r="CT7" s="408">
        <v>122.50576573886724</v>
      </c>
      <c r="CU7" s="408">
        <v>0</v>
      </c>
      <c r="CV7" s="408">
        <v>0</v>
      </c>
      <c r="CW7" s="408">
        <v>0</v>
      </c>
      <c r="CX7" s="408">
        <v>0</v>
      </c>
      <c r="CY7" s="408">
        <v>0</v>
      </c>
      <c r="CZ7" s="408">
        <v>122.87019623054853</v>
      </c>
      <c r="DA7" s="408">
        <v>0</v>
      </c>
      <c r="DB7" s="408">
        <v>0</v>
      </c>
      <c r="DC7" s="408">
        <v>1047.5364637203311</v>
      </c>
      <c r="DD7" s="408">
        <v>0</v>
      </c>
      <c r="DE7" s="408">
        <v>0</v>
      </c>
      <c r="DF7" s="408">
        <v>0</v>
      </c>
      <c r="DG7" s="408">
        <v>54.976705668452041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>
        <v>0</v>
      </c>
      <c r="DN7" s="408">
        <v>0</v>
      </c>
      <c r="DO7" s="408">
        <v>0</v>
      </c>
      <c r="DP7" s="408">
        <v>-1.658195986086433</v>
      </c>
      <c r="DQ7" s="408">
        <v>0</v>
      </c>
      <c r="DR7" s="408">
        <v>0</v>
      </c>
      <c r="DS7" s="408"/>
      <c r="DT7" s="408"/>
      <c r="DU7" s="408"/>
      <c r="DV7" s="408">
        <v>11429.438058640166</v>
      </c>
      <c r="DW7" s="408">
        <v>0</v>
      </c>
      <c r="DX7" s="408">
        <v>0</v>
      </c>
      <c r="DY7" s="408">
        <v>-2514.0802500000009</v>
      </c>
      <c r="DZ7" s="408">
        <v>1047.6547500000015</v>
      </c>
      <c r="EA7" s="408">
        <v>0</v>
      </c>
      <c r="EB7" s="408">
        <v>0</v>
      </c>
      <c r="EC7" s="408">
        <v>-2839.2662863650858</v>
      </c>
      <c r="ED7" s="408">
        <v>0</v>
      </c>
      <c r="EE7" s="408">
        <v>0</v>
      </c>
      <c r="EF7" s="408">
        <v>0</v>
      </c>
      <c r="EG7" s="408">
        <v>0</v>
      </c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>
        <v>0</v>
      </c>
      <c r="EN7" s="408">
        <v>0</v>
      </c>
      <c r="EO7" s="408">
        <v>0</v>
      </c>
      <c r="EP7" s="408">
        <v>0</v>
      </c>
      <c r="EQ7" s="408">
        <v>0</v>
      </c>
      <c r="ER7" s="408">
        <v>0</v>
      </c>
      <c r="ES7" s="408">
        <v>0</v>
      </c>
      <c r="ET7" s="408">
        <v>0</v>
      </c>
      <c r="EU7" s="408">
        <v>0</v>
      </c>
      <c r="EV7" s="408">
        <v>240</v>
      </c>
      <c r="EW7" s="408">
        <v>0</v>
      </c>
      <c r="EX7" s="408">
        <v>0</v>
      </c>
      <c r="EY7" s="408">
        <v>0</v>
      </c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1036</v>
      </c>
      <c r="C8" s="408" t="s">
        <v>2235</v>
      </c>
      <c r="D8" s="408" t="s">
        <v>1955</v>
      </c>
      <c r="E8" s="408" t="s">
        <v>969</v>
      </c>
      <c r="F8" s="408" t="s">
        <v>2241</v>
      </c>
      <c r="G8" s="408" t="s">
        <v>1322</v>
      </c>
      <c r="H8" s="408" t="s">
        <v>1322</v>
      </c>
      <c r="I8" s="408" t="s">
        <v>1322</v>
      </c>
      <c r="J8" s="408" t="s">
        <v>2236</v>
      </c>
      <c r="K8" s="826">
        <v>44378</v>
      </c>
      <c r="L8" s="408">
        <v>0</v>
      </c>
      <c r="M8" s="408">
        <v>0</v>
      </c>
      <c r="N8" s="408">
        <v>50.924999999999997</v>
      </c>
      <c r="O8" s="408">
        <v>50.924999999999997</v>
      </c>
      <c r="P8" s="408">
        <v>50.924999999999997</v>
      </c>
      <c r="Q8" s="408">
        <v>50.924999999999997</v>
      </c>
      <c r="R8" s="408"/>
      <c r="S8" s="408">
        <v>281.47000000000003</v>
      </c>
      <c r="T8" s="408">
        <v>173.25</v>
      </c>
      <c r="U8" s="408"/>
      <c r="V8" s="408">
        <v>23156.616000000002</v>
      </c>
      <c r="W8" s="408">
        <v>23156.616000000002</v>
      </c>
      <c r="X8" s="408">
        <v>21617.662499999999</v>
      </c>
      <c r="Y8" s="408">
        <v>0</v>
      </c>
      <c r="Z8" s="408">
        <v>0</v>
      </c>
      <c r="AA8" s="408">
        <v>0</v>
      </c>
      <c r="AB8" s="408">
        <v>0</v>
      </c>
      <c r="AC8" s="408">
        <v>130.34444030655575</v>
      </c>
      <c r="AD8" s="408">
        <v>125.23177895249565</v>
      </c>
      <c r="AE8" s="408">
        <v>11994.72711254509</v>
      </c>
      <c r="AF8" s="408">
        <v>8674.5884645570641</v>
      </c>
      <c r="AG8" s="408">
        <v>148.05086754281317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61.510103178921511</v>
      </c>
      <c r="AO8" s="408">
        <v>276.6956682689472</v>
      </c>
      <c r="AP8" s="408">
        <v>1290.19108106625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0</v>
      </c>
      <c r="BF8" s="408">
        <v>0</v>
      </c>
      <c r="BG8" s="408">
        <v>455.25889868995728</v>
      </c>
      <c r="BH8" s="408">
        <v>0</v>
      </c>
      <c r="BI8" s="408">
        <v>16.63</v>
      </c>
      <c r="BJ8" s="408">
        <v>146.47999999999999</v>
      </c>
      <c r="BK8" s="408">
        <v>10283.290000000001</v>
      </c>
      <c r="BL8" s="408">
        <v>375</v>
      </c>
      <c r="BM8" s="408"/>
      <c r="BN8" s="408"/>
      <c r="BO8" s="408"/>
      <c r="BP8" s="408"/>
      <c r="BQ8" s="408"/>
      <c r="BR8" s="408"/>
      <c r="BS8" s="408"/>
      <c r="BT8" s="408">
        <v>2162.2755000000002</v>
      </c>
      <c r="BU8" s="408"/>
      <c r="BV8" s="408">
        <v>9129.8473632470213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19457.297200000001</v>
      </c>
      <c r="CJ8" s="408">
        <v>-1383.279799999993</v>
      </c>
      <c r="CK8" s="408"/>
      <c r="CL8" s="408"/>
      <c r="CM8" s="408"/>
      <c r="CN8" s="408"/>
      <c r="CO8" s="408">
        <v>-2638.4242500000014</v>
      </c>
      <c r="CP8" s="408">
        <v>1099.4707500000002</v>
      </c>
      <c r="CQ8" s="408">
        <v>31</v>
      </c>
      <c r="CR8" s="408">
        <v>1440.3863593062179</v>
      </c>
      <c r="CS8" s="408">
        <v>27.572131921884989</v>
      </c>
      <c r="CT8" s="408">
        <v>128.56478351884221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128.94723839341952</v>
      </c>
      <c r="DA8" s="408">
        <v>0</v>
      </c>
      <c r="DB8" s="408">
        <v>0</v>
      </c>
      <c r="DC8" s="408">
        <v>1099.3466133942875</v>
      </c>
      <c r="DD8" s="408">
        <v>0</v>
      </c>
      <c r="DE8" s="408">
        <v>0</v>
      </c>
      <c r="DF8" s="408">
        <v>0</v>
      </c>
      <c r="DG8" s="408">
        <v>57.695800848344561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-1.7402087705605709</v>
      </c>
      <c r="DQ8" s="408">
        <v>0</v>
      </c>
      <c r="DR8" s="408">
        <v>0</v>
      </c>
      <c r="DS8" s="408"/>
      <c r="DT8" s="408"/>
      <c r="DU8" s="408"/>
      <c r="DV8" s="408">
        <v>11994.72711254509</v>
      </c>
      <c r="DW8" s="408">
        <v>0</v>
      </c>
      <c r="DX8" s="408">
        <v>0</v>
      </c>
      <c r="DY8" s="408">
        <v>-2638.4242500000018</v>
      </c>
      <c r="DZ8" s="408">
        <v>1099.4707499999986</v>
      </c>
      <c r="EA8" s="408">
        <v>0</v>
      </c>
      <c r="EB8" s="408">
        <v>0</v>
      </c>
      <c r="EC8" s="408">
        <v>-2979.6936761080269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240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1036</v>
      </c>
      <c r="C9" s="408" t="s">
        <v>2235</v>
      </c>
      <c r="D9" s="408" t="s">
        <v>1955</v>
      </c>
      <c r="E9" s="408" t="s">
        <v>969</v>
      </c>
      <c r="F9" s="408" t="s">
        <v>2242</v>
      </c>
      <c r="G9" s="408" t="s">
        <v>1322</v>
      </c>
      <c r="H9" s="408" t="s">
        <v>1322</v>
      </c>
      <c r="I9" s="408" t="s">
        <v>1322</v>
      </c>
      <c r="J9" s="408" t="s">
        <v>2236</v>
      </c>
      <c r="K9" s="826">
        <v>44378</v>
      </c>
      <c r="L9" s="408">
        <v>0</v>
      </c>
      <c r="M9" s="408">
        <v>0</v>
      </c>
      <c r="N9" s="408">
        <v>27.248999999999999</v>
      </c>
      <c r="O9" s="408">
        <v>27.248999999999999</v>
      </c>
      <c r="P9" s="408">
        <v>27.248999999999999</v>
      </c>
      <c r="Q9" s="408">
        <v>27.248999999999999</v>
      </c>
      <c r="R9" s="408"/>
      <c r="S9" s="408">
        <v>281.47000000000003</v>
      </c>
      <c r="T9" s="408">
        <v>173.25</v>
      </c>
      <c r="U9" s="408"/>
      <c r="V9" s="408">
        <v>12390.665280000001</v>
      </c>
      <c r="W9" s="408">
        <v>12390.665280000001</v>
      </c>
      <c r="X9" s="408">
        <v>11567.200499999999</v>
      </c>
      <c r="Y9" s="408">
        <v>0</v>
      </c>
      <c r="Z9" s="408">
        <v>0</v>
      </c>
      <c r="AA9" s="408">
        <v>0</v>
      </c>
      <c r="AB9" s="408">
        <v>0</v>
      </c>
      <c r="AC9" s="408">
        <v>69.744833655637464</v>
      </c>
      <c r="AD9" s="408">
        <v>67.00914569811593</v>
      </c>
      <c r="AE9" s="408">
        <v>6418.1505957730215</v>
      </c>
      <c r="AF9" s="408">
        <v>4641.6074829791942</v>
      </c>
      <c r="AG9" s="408">
        <v>79.219206473718529</v>
      </c>
      <c r="AH9" s="408">
        <v>0</v>
      </c>
      <c r="AI9" s="408">
        <v>0</v>
      </c>
      <c r="AJ9" s="408">
        <v>0</v>
      </c>
      <c r="AK9" s="408">
        <v>0</v>
      </c>
      <c r="AL9" s="408">
        <v>0</v>
      </c>
      <c r="AM9" s="408"/>
      <c r="AN9" s="408">
        <v>32.912887609669752</v>
      </c>
      <c r="AO9" s="408">
        <v>148.0545952805212</v>
      </c>
      <c r="AP9" s="408">
        <v>690.35673574814439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0</v>
      </c>
      <c r="BE9" s="408">
        <v>0</v>
      </c>
      <c r="BF9" s="408">
        <v>0</v>
      </c>
      <c r="BG9" s="408">
        <v>243.60038744040543</v>
      </c>
      <c r="BH9" s="408">
        <v>0</v>
      </c>
      <c r="BI9" s="408">
        <v>13.26</v>
      </c>
      <c r="BJ9" s="408">
        <v>107.1</v>
      </c>
      <c r="BK9" s="408">
        <v>7710.57</v>
      </c>
      <c r="BL9" s="408">
        <v>247</v>
      </c>
      <c r="BM9" s="408"/>
      <c r="BN9" s="408"/>
      <c r="BO9" s="408"/>
      <c r="BP9" s="408"/>
      <c r="BQ9" s="408"/>
      <c r="BR9" s="408"/>
      <c r="BS9" s="408"/>
      <c r="BT9" s="408"/>
      <c r="BU9" s="408"/>
      <c r="BV9" s="408">
        <v>4885.2078704195992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11567.625</v>
      </c>
      <c r="CJ9" s="408">
        <v>-823.07028000000173</v>
      </c>
      <c r="CK9" s="408"/>
      <c r="CL9" s="408"/>
      <c r="CM9" s="408"/>
      <c r="CN9" s="408"/>
      <c r="CO9" s="408">
        <v>-1411.7706900000007</v>
      </c>
      <c r="CP9" s="408">
        <v>588.30591000000004</v>
      </c>
      <c r="CQ9" s="408">
        <v>31</v>
      </c>
      <c r="CR9" s="408">
        <v>770.72337564526424</v>
      </c>
      <c r="CS9" s="408">
        <v>14.75332396150111</v>
      </c>
      <c r="CT9" s="408">
        <v>68.792573119389772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68.997217456696887</v>
      </c>
      <c r="DA9" s="408">
        <v>0</v>
      </c>
      <c r="DB9" s="408">
        <v>0</v>
      </c>
      <c r="DC9" s="408">
        <v>588.23948686069525</v>
      </c>
      <c r="DD9" s="408">
        <v>0</v>
      </c>
      <c r="DE9" s="408">
        <v>0</v>
      </c>
      <c r="DF9" s="408">
        <v>0</v>
      </c>
      <c r="DG9" s="408">
        <v>30.871926898704771</v>
      </c>
      <c r="DH9" s="408">
        <v>0</v>
      </c>
      <c r="DI9" s="408">
        <v>0</v>
      </c>
      <c r="DJ9" s="408"/>
      <c r="DK9" s="408">
        <v>0</v>
      </c>
      <c r="DL9" s="408">
        <v>0</v>
      </c>
      <c r="DM9" s="408">
        <v>0</v>
      </c>
      <c r="DN9" s="408">
        <v>0</v>
      </c>
      <c r="DO9" s="408">
        <v>0</v>
      </c>
      <c r="DP9" s="408">
        <v>-0.93115265172322026</v>
      </c>
      <c r="DQ9" s="408">
        <v>0</v>
      </c>
      <c r="DR9" s="408">
        <v>0</v>
      </c>
      <c r="DS9" s="408"/>
      <c r="DT9" s="408"/>
      <c r="DU9" s="408"/>
      <c r="DV9" s="408">
        <v>6418.1505957730215</v>
      </c>
      <c r="DW9" s="408">
        <v>0</v>
      </c>
      <c r="DX9" s="408">
        <v>0</v>
      </c>
      <c r="DY9" s="408">
        <v>-1411.7706900000003</v>
      </c>
      <c r="DZ9" s="408">
        <v>588.30591000000004</v>
      </c>
      <c r="EA9" s="408">
        <v>0</v>
      </c>
      <c r="EB9" s="408">
        <v>0</v>
      </c>
      <c r="EC9" s="408">
        <v>-1594.3774762939147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240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1036</v>
      </c>
      <c r="C10" s="408" t="s">
        <v>2316</v>
      </c>
      <c r="D10" s="408" t="s">
        <v>1955</v>
      </c>
      <c r="E10" s="408" t="s">
        <v>969</v>
      </c>
      <c r="F10" s="408" t="s">
        <v>969</v>
      </c>
      <c r="G10" s="408" t="s">
        <v>1322</v>
      </c>
      <c r="H10" s="408" t="s">
        <v>1322</v>
      </c>
      <c r="I10" s="408" t="s">
        <v>973</v>
      </c>
      <c r="J10" s="408" t="s">
        <v>2236</v>
      </c>
      <c r="K10" s="826">
        <v>44378</v>
      </c>
      <c r="L10" s="408">
        <v>0</v>
      </c>
      <c r="M10" s="408">
        <v>0</v>
      </c>
      <c r="N10" s="408">
        <v>0.65200000000000002</v>
      </c>
      <c r="O10" s="408">
        <v>0.65200000000000002</v>
      </c>
      <c r="P10" s="408">
        <v>0.65200000000000002</v>
      </c>
      <c r="Q10" s="408">
        <v>0.65200000000000002</v>
      </c>
      <c r="R10" s="408"/>
      <c r="S10" s="408">
        <v>775.22</v>
      </c>
      <c r="T10" s="408">
        <v>173.25</v>
      </c>
      <c r="U10" s="408"/>
      <c r="V10" s="408">
        <v>618.40244000000007</v>
      </c>
      <c r="W10" s="408">
        <v>618.40244000000007</v>
      </c>
      <c r="X10" s="408">
        <v>545.39800000000002</v>
      </c>
      <c r="Y10" s="408">
        <v>0</v>
      </c>
      <c r="Z10" s="408">
        <v>40.127459445989501</v>
      </c>
      <c r="AA10" s="408">
        <v>0</v>
      </c>
      <c r="AB10" s="408">
        <v>0</v>
      </c>
      <c r="AC10" s="408">
        <v>4.1717501897477156</v>
      </c>
      <c r="AD10" s="408">
        <v>4.0081352245441026</v>
      </c>
      <c r="AE10" s="408">
        <v>383.9254122290086</v>
      </c>
      <c r="AF10" s="408">
        <v>111.06198682162407</v>
      </c>
      <c r="AG10" s="408">
        <v>1.8955162619128951</v>
      </c>
      <c r="AH10" s="408">
        <v>0</v>
      </c>
      <c r="AI10" s="408">
        <v>0</v>
      </c>
      <c r="AJ10" s="408">
        <v>0</v>
      </c>
      <c r="AK10" s="408">
        <v>0</v>
      </c>
      <c r="AL10" s="408">
        <v>6.199887740816167</v>
      </c>
      <c r="AM10" s="408"/>
      <c r="AN10" s="408">
        <v>0.78752257776449341</v>
      </c>
      <c r="AO10" s="408">
        <v>8.8559328196323026</v>
      </c>
      <c r="AP10" s="408">
        <v>41.293601179479055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0</v>
      </c>
      <c r="BF10" s="408">
        <v>0</v>
      </c>
      <c r="BG10" s="408">
        <v>5.8287442699234591</v>
      </c>
      <c r="BH10" s="408">
        <v>0</v>
      </c>
      <c r="BI10" s="408">
        <v>0</v>
      </c>
      <c r="BJ10" s="408">
        <v>0</v>
      </c>
      <c r="BK10" s="408">
        <v>0</v>
      </c>
      <c r="BL10" s="408">
        <v>0</v>
      </c>
      <c r="BM10" s="408"/>
      <c r="BN10" s="408"/>
      <c r="BO10" s="408"/>
      <c r="BP10" s="408"/>
      <c r="BQ10" s="408"/>
      <c r="BR10" s="408"/>
      <c r="BS10" s="408"/>
      <c r="BT10" s="408"/>
      <c r="BU10" s="408"/>
      <c r="BV10" s="408">
        <v>116.89073109154754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543.72500000000002</v>
      </c>
      <c r="CJ10" s="408">
        <v>-74.70744000000002</v>
      </c>
      <c r="CK10" s="408"/>
      <c r="CL10" s="408"/>
      <c r="CM10" s="408"/>
      <c r="CN10" s="408"/>
      <c r="CO10" s="408">
        <v>-87.081120000000041</v>
      </c>
      <c r="CP10" s="408">
        <v>14.076680000000003</v>
      </c>
      <c r="CQ10" s="408">
        <v>31</v>
      </c>
      <c r="CR10" s="408">
        <v>22.365861997959456</v>
      </c>
      <c r="CS10" s="408">
        <v>0.88247477642803851</v>
      </c>
      <c r="CT10" s="408">
        <v>4.1148190948317946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4.1270512375968265</v>
      </c>
      <c r="DA10" s="408">
        <v>0</v>
      </c>
      <c r="DB10" s="408">
        <v>0</v>
      </c>
      <c r="DC10" s="408">
        <v>14.075090661425151</v>
      </c>
      <c r="DD10" s="408">
        <v>0</v>
      </c>
      <c r="DE10" s="408">
        <v>0</v>
      </c>
      <c r="DF10" s="408">
        <v>0</v>
      </c>
      <c r="DG10" s="408">
        <v>0.73868752387080416</v>
      </c>
      <c r="DH10" s="408">
        <v>0</v>
      </c>
      <c r="DI10" s="408">
        <v>-1.3626015431355398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-0.18737961327548991</v>
      </c>
      <c r="DP10" s="408">
        <v>-2.2280139782140274E-2</v>
      </c>
      <c r="DQ10" s="408">
        <v>0</v>
      </c>
      <c r="DR10" s="408">
        <v>0</v>
      </c>
      <c r="DS10" s="408"/>
      <c r="DT10" s="408"/>
      <c r="DU10" s="408"/>
      <c r="DV10" s="408">
        <v>383.9254122290086</v>
      </c>
      <c r="DW10" s="408">
        <v>0</v>
      </c>
      <c r="DX10" s="408">
        <v>0</v>
      </c>
      <c r="DY10" s="408">
        <v>-87.081119999999999</v>
      </c>
      <c r="DZ10" s="408">
        <v>14.07668000000001</v>
      </c>
      <c r="EA10" s="408">
        <v>0</v>
      </c>
      <c r="EB10" s="408">
        <v>0</v>
      </c>
      <c r="EC10" s="408">
        <v>-95.373584757877836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10.247837466366313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240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1036</v>
      </c>
      <c r="C11" s="408" t="s">
        <v>2316</v>
      </c>
      <c r="D11" s="408" t="s">
        <v>1955</v>
      </c>
      <c r="E11" s="408" t="s">
        <v>969</v>
      </c>
      <c r="F11" s="408" t="s">
        <v>969</v>
      </c>
      <c r="G11" s="408" t="s">
        <v>1322</v>
      </c>
      <c r="H11" s="408" t="s">
        <v>1322</v>
      </c>
      <c r="I11" s="408" t="s">
        <v>2244</v>
      </c>
      <c r="J11" s="408" t="s">
        <v>2236</v>
      </c>
      <c r="K11" s="826">
        <v>44378</v>
      </c>
      <c r="L11" s="408">
        <v>0</v>
      </c>
      <c r="M11" s="408">
        <v>0</v>
      </c>
      <c r="N11" s="408">
        <v>4.569</v>
      </c>
      <c r="O11" s="408">
        <v>4.569</v>
      </c>
      <c r="P11" s="408">
        <v>4.569</v>
      </c>
      <c r="Q11" s="408">
        <v>4.569</v>
      </c>
      <c r="R11" s="408"/>
      <c r="S11" s="408">
        <v>232.58</v>
      </c>
      <c r="T11" s="408">
        <v>173.25</v>
      </c>
      <c r="U11" s="408"/>
      <c r="V11" s="408">
        <v>1854.2372700000001</v>
      </c>
      <c r="W11" s="408">
        <v>1854.2372700000001</v>
      </c>
      <c r="X11" s="408">
        <v>1826.18361</v>
      </c>
      <c r="Y11" s="408">
        <v>0</v>
      </c>
      <c r="Z11" s="408">
        <v>281.19994203792334</v>
      </c>
      <c r="AA11" s="408">
        <v>0</v>
      </c>
      <c r="AB11" s="408">
        <v>0</v>
      </c>
      <c r="AC11" s="408">
        <v>5.8472631100702328</v>
      </c>
      <c r="AD11" s="408">
        <v>5.6179086699455345</v>
      </c>
      <c r="AE11" s="408">
        <v>538.08451818574883</v>
      </c>
      <c r="AF11" s="408">
        <v>778.28561010429507</v>
      </c>
      <c r="AG11" s="408">
        <v>13.283150001042973</v>
      </c>
      <c r="AH11" s="408">
        <v>0</v>
      </c>
      <c r="AI11" s="408">
        <v>0</v>
      </c>
      <c r="AJ11" s="408">
        <v>0</v>
      </c>
      <c r="AK11" s="408">
        <v>0</v>
      </c>
      <c r="AL11" s="408">
        <v>43.446759337099799</v>
      </c>
      <c r="AM11" s="408"/>
      <c r="AN11" s="408">
        <v>5.5186973279232676</v>
      </c>
      <c r="AO11" s="408">
        <v>12.413094601890133</v>
      </c>
      <c r="AP11" s="408">
        <v>57.878085904680383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0</v>
      </c>
      <c r="BE11" s="408">
        <v>0</v>
      </c>
      <c r="BF11" s="408">
        <v>0</v>
      </c>
      <c r="BG11" s="408">
        <v>40.845908848589396</v>
      </c>
      <c r="BH11" s="408">
        <v>0</v>
      </c>
      <c r="BI11" s="408">
        <v>0</v>
      </c>
      <c r="BJ11" s="408">
        <v>0</v>
      </c>
      <c r="BK11" s="408">
        <v>0</v>
      </c>
      <c r="BL11" s="408">
        <v>0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>
        <v>819.13151895288445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1826.5833</v>
      </c>
      <c r="CJ11" s="408">
        <v>-27.683970000000045</v>
      </c>
      <c r="CK11" s="408"/>
      <c r="CL11" s="408"/>
      <c r="CM11" s="408"/>
      <c r="CN11" s="408"/>
      <c r="CO11" s="408">
        <v>-126.69837000000008</v>
      </c>
      <c r="CP11" s="408">
        <v>98.644710000000018</v>
      </c>
      <c r="CQ11" s="408">
        <v>31</v>
      </c>
      <c r="CR11" s="408">
        <v>105.58111400153302</v>
      </c>
      <c r="CS11" s="408">
        <v>1.2369383448008353</v>
      </c>
      <c r="CT11" s="408">
        <v>5.7674275493135951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5.7845845087828556</v>
      </c>
      <c r="DA11" s="408">
        <v>0</v>
      </c>
      <c r="DB11" s="408">
        <v>0</v>
      </c>
      <c r="DC11" s="408">
        <v>98.633572441796787</v>
      </c>
      <c r="DD11" s="408">
        <v>0</v>
      </c>
      <c r="DE11" s="408">
        <v>0</v>
      </c>
      <c r="DF11" s="408">
        <v>0</v>
      </c>
      <c r="DG11" s="408">
        <v>5.1764774487203979</v>
      </c>
      <c r="DH11" s="408">
        <v>0</v>
      </c>
      <c r="DI11" s="408">
        <v>-9.5486602002857239</v>
      </c>
      <c r="DJ11" s="408"/>
      <c r="DK11" s="408">
        <v>0</v>
      </c>
      <c r="DL11" s="408">
        <v>0</v>
      </c>
      <c r="DM11" s="408">
        <v>0</v>
      </c>
      <c r="DN11" s="408">
        <v>0</v>
      </c>
      <c r="DO11" s="408">
        <v>-1.3130942531529399</v>
      </c>
      <c r="DP11" s="408">
        <v>-0.15613183844263645</v>
      </c>
      <c r="DQ11" s="408">
        <v>0</v>
      </c>
      <c r="DR11" s="408">
        <v>0</v>
      </c>
      <c r="DS11" s="408"/>
      <c r="DT11" s="408"/>
      <c r="DU11" s="408"/>
      <c r="DV11" s="408">
        <v>538.08451818574883</v>
      </c>
      <c r="DW11" s="408">
        <v>0</v>
      </c>
      <c r="DX11" s="408">
        <v>0</v>
      </c>
      <c r="DY11" s="408">
        <v>-126.69837000000007</v>
      </c>
      <c r="DZ11" s="408">
        <v>98.644710000000032</v>
      </c>
      <c r="EA11" s="408">
        <v>0</v>
      </c>
      <c r="EB11" s="408">
        <v>0</v>
      </c>
      <c r="EC11" s="408">
        <v>-133.66932161156137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71.813449975195837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240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1036</v>
      </c>
      <c r="C12" s="408" t="s">
        <v>2316</v>
      </c>
      <c r="D12" s="408" t="s">
        <v>1955</v>
      </c>
      <c r="E12" s="408" t="s">
        <v>969</v>
      </c>
      <c r="F12" s="408" t="s">
        <v>969</v>
      </c>
      <c r="G12" s="408" t="s">
        <v>1322</v>
      </c>
      <c r="H12" s="408" t="s">
        <v>1322</v>
      </c>
      <c r="I12" s="408" t="s">
        <v>1322</v>
      </c>
      <c r="J12" s="408" t="s">
        <v>2236</v>
      </c>
      <c r="K12" s="826">
        <v>44378</v>
      </c>
      <c r="L12" s="408">
        <v>0</v>
      </c>
      <c r="M12" s="408">
        <v>0</v>
      </c>
      <c r="N12" s="408">
        <v>0</v>
      </c>
      <c r="O12" s="408">
        <v>0</v>
      </c>
      <c r="P12" s="408">
        <v>0</v>
      </c>
      <c r="Q12" s="408">
        <v>0</v>
      </c>
      <c r="R12" s="408"/>
      <c r="S12" s="408"/>
      <c r="T12" s="408"/>
      <c r="U12" s="408"/>
      <c r="V12" s="408"/>
      <c r="W12" s="408"/>
      <c r="X12" s="408"/>
      <c r="Y12" s="408"/>
      <c r="Z12" s="408"/>
      <c r="AA12" s="408">
        <v>0</v>
      </c>
      <c r="AB12" s="408"/>
      <c r="AC12" s="408"/>
      <c r="AD12" s="408"/>
      <c r="AE12" s="408"/>
      <c r="AF12" s="408"/>
      <c r="AG12" s="408"/>
      <c r="AH12" s="408"/>
      <c r="AI12" s="408"/>
      <c r="AJ12" s="408"/>
      <c r="AK12" s="408"/>
      <c r="AL12" s="408"/>
      <c r="AM12" s="408"/>
      <c r="AN12" s="408"/>
      <c r="AO12" s="408"/>
      <c r="AP12" s="408"/>
      <c r="AQ12" s="408"/>
      <c r="AR12" s="408"/>
      <c r="AS12" s="408"/>
      <c r="AT12" s="408"/>
      <c r="AU12" s="408"/>
      <c r="AV12" s="408"/>
      <c r="AW12" s="408"/>
      <c r="AX12" s="408"/>
      <c r="AY12" s="408"/>
      <c r="AZ12" s="408">
        <v>0</v>
      </c>
      <c r="BA12" s="408"/>
      <c r="BB12" s="408"/>
      <c r="BC12" s="408"/>
      <c r="BD12" s="408"/>
      <c r="BE12" s="408"/>
      <c r="BF12" s="408"/>
      <c r="BG12" s="408"/>
      <c r="BH12" s="408"/>
      <c r="BI12" s="408">
        <v>1.95</v>
      </c>
      <c r="BJ12" s="408">
        <v>17.77</v>
      </c>
      <c r="BK12" s="408">
        <v>1265.48</v>
      </c>
      <c r="BL12" s="408">
        <v>18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/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/>
      <c r="CJ12" s="408">
        <v>-0.03</v>
      </c>
      <c r="CK12" s="408"/>
      <c r="CL12" s="408"/>
      <c r="CM12" s="408"/>
      <c r="CN12" s="408"/>
      <c r="CO12" s="408">
        <v>0</v>
      </c>
      <c r="CP12" s="408">
        <v>0</v>
      </c>
      <c r="CQ12" s="408">
        <v>31</v>
      </c>
      <c r="CR12" s="408"/>
      <c r="CS12" s="408"/>
      <c r="CT12" s="408"/>
      <c r="CU12" s="408"/>
      <c r="CV12" s="408"/>
      <c r="CW12" s="408"/>
      <c r="CX12" s="408"/>
      <c r="CY12" s="408"/>
      <c r="CZ12" s="408"/>
      <c r="DA12" s="408"/>
      <c r="DB12" s="408"/>
      <c r="DC12" s="408"/>
      <c r="DD12" s="408"/>
      <c r="DE12" s="408"/>
      <c r="DF12" s="408"/>
      <c r="DG12" s="408"/>
      <c r="DH12" s="408"/>
      <c r="DI12" s="408"/>
      <c r="DJ12" s="408"/>
      <c r="DK12" s="408">
        <v>0</v>
      </c>
      <c r="DL12" s="408"/>
      <c r="DM12" s="408"/>
      <c r="DN12" s="408"/>
      <c r="DO12" s="408"/>
      <c r="DP12" s="408"/>
      <c r="DQ12" s="408"/>
      <c r="DR12" s="408"/>
      <c r="DS12" s="408"/>
      <c r="DT12" s="408"/>
      <c r="DU12" s="408"/>
      <c r="DV12" s="408"/>
      <c r="DW12" s="408"/>
      <c r="DX12" s="408"/>
      <c r="DY12" s="408"/>
      <c r="DZ12" s="408"/>
      <c r="EA12" s="408"/>
      <c r="EB12" s="408"/>
      <c r="EC12" s="408"/>
      <c r="ED12" s="408"/>
      <c r="EE12" s="408"/>
      <c r="EF12" s="408"/>
      <c r="EG12" s="408"/>
      <c r="EH12" s="408"/>
      <c r="EI12" s="408"/>
      <c r="EJ12" s="408"/>
      <c r="EK12" s="408"/>
      <c r="EL12" s="408"/>
      <c r="EM12" s="408"/>
      <c r="EN12" s="408"/>
      <c r="EO12" s="408"/>
      <c r="EP12" s="408"/>
      <c r="EQ12" s="408"/>
      <c r="ER12" s="408"/>
      <c r="ES12" s="408"/>
      <c r="ET12" s="408"/>
      <c r="EU12" s="408"/>
      <c r="EV12" s="408">
        <v>240</v>
      </c>
      <c r="EW12" s="408"/>
      <c r="EX12" s="408"/>
      <c r="EY12" s="408"/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1036</v>
      </c>
      <c r="C13" s="408" t="s">
        <v>2316</v>
      </c>
      <c r="D13" s="408" t="s">
        <v>1955</v>
      </c>
      <c r="E13" s="408" t="s">
        <v>969</v>
      </c>
      <c r="F13" s="408" t="s">
        <v>969</v>
      </c>
      <c r="G13" s="408" t="s">
        <v>1322</v>
      </c>
      <c r="H13" s="408" t="s">
        <v>1322</v>
      </c>
      <c r="I13" s="408" t="s">
        <v>2317</v>
      </c>
      <c r="J13" s="408" t="s">
        <v>2236</v>
      </c>
      <c r="K13" s="826">
        <v>44378</v>
      </c>
      <c r="L13" s="408">
        <v>0</v>
      </c>
      <c r="M13" s="408">
        <v>0</v>
      </c>
      <c r="N13" s="408">
        <v>0.40799999999999997</v>
      </c>
      <c r="O13" s="408">
        <v>0.40799999999999997</v>
      </c>
      <c r="P13" s="408">
        <v>0.40799999999999997</v>
      </c>
      <c r="Q13" s="408">
        <v>0.40799999999999997</v>
      </c>
      <c r="R13" s="408"/>
      <c r="S13" s="408">
        <v>503.9</v>
      </c>
      <c r="T13" s="408">
        <v>173.25</v>
      </c>
      <c r="U13" s="408"/>
      <c r="V13" s="408">
        <v>276.27719999999999</v>
      </c>
      <c r="W13" s="408">
        <v>276.27719999999999</v>
      </c>
      <c r="X13" s="408">
        <v>252.18071999999998</v>
      </c>
      <c r="Y13" s="408">
        <v>0</v>
      </c>
      <c r="Z13" s="408">
        <v>25.11043474534312</v>
      </c>
      <c r="AA13" s="408">
        <v>0</v>
      </c>
      <c r="AB13" s="408">
        <v>0</v>
      </c>
      <c r="AC13" s="408">
        <v>1.5662518186517354</v>
      </c>
      <c r="AD13" s="408">
        <v>1.5048313851499706</v>
      </c>
      <c r="AE13" s="408">
        <v>144.14862086962484</v>
      </c>
      <c r="AF13" s="408">
        <v>69.498911998807699</v>
      </c>
      <c r="AG13" s="408">
        <v>1.1861512804608301</v>
      </c>
      <c r="AH13" s="408">
        <v>0</v>
      </c>
      <c r="AI13" s="408">
        <v>0</v>
      </c>
      <c r="AJ13" s="408">
        <v>0</v>
      </c>
      <c r="AK13" s="408">
        <v>0</v>
      </c>
      <c r="AL13" s="408">
        <v>3.8796843531487668</v>
      </c>
      <c r="AM13" s="408"/>
      <c r="AN13" s="408">
        <v>0.49280553945998967</v>
      </c>
      <c r="AO13" s="408">
        <v>3.3249239883142083</v>
      </c>
      <c r="AP13" s="408">
        <v>15.503437887594485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  <c r="AY13" s="408">
        <v>0</v>
      </c>
      <c r="AZ13" s="408">
        <v>0</v>
      </c>
      <c r="BA13" s="408"/>
      <c r="BB13" s="408">
        <v>0</v>
      </c>
      <c r="BC13" s="408">
        <v>0</v>
      </c>
      <c r="BD13" s="408">
        <v>0</v>
      </c>
      <c r="BE13" s="408">
        <v>0</v>
      </c>
      <c r="BF13" s="408">
        <v>0</v>
      </c>
      <c r="BG13" s="408">
        <v>3.6474350646146796</v>
      </c>
      <c r="BH13" s="408">
        <v>0</v>
      </c>
      <c r="BI13" s="408">
        <v>0</v>
      </c>
      <c r="BJ13" s="408">
        <v>0</v>
      </c>
      <c r="BK13" s="408">
        <v>0</v>
      </c>
      <c r="BL13" s="408">
        <v>0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>
        <v>73.146347063422382</v>
      </c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>
        <v>253.4169</v>
      </c>
      <c r="CJ13" s="408">
        <v>-22.890299999999968</v>
      </c>
      <c r="CK13" s="408"/>
      <c r="CL13" s="408"/>
      <c r="CM13" s="408"/>
      <c r="CN13" s="408"/>
      <c r="CO13" s="408">
        <v>-32.905199999999986</v>
      </c>
      <c r="CP13" s="408">
        <v>8.808720000000001</v>
      </c>
      <c r="CQ13" s="408">
        <v>31</v>
      </c>
      <c r="CR13" s="408">
        <v>11.71178632989114</v>
      </c>
      <c r="CS13" s="408">
        <v>0.33132156860125095</v>
      </c>
      <c r="CT13" s="408">
        <v>1.5448844477898103</v>
      </c>
      <c r="CU13" s="408">
        <v>0</v>
      </c>
      <c r="CV13" s="408">
        <v>0</v>
      </c>
      <c r="CW13" s="408">
        <v>0</v>
      </c>
      <c r="CX13" s="408">
        <v>0</v>
      </c>
      <c r="CY13" s="408">
        <v>0</v>
      </c>
      <c r="CZ13" s="408">
        <v>1.5494777203192183</v>
      </c>
      <c r="DA13" s="408">
        <v>0</v>
      </c>
      <c r="DB13" s="408">
        <v>0</v>
      </c>
      <c r="DC13" s="408">
        <v>8.8077254445727959</v>
      </c>
      <c r="DD13" s="408">
        <v>0</v>
      </c>
      <c r="DE13" s="408">
        <v>0</v>
      </c>
      <c r="DF13" s="408">
        <v>0</v>
      </c>
      <c r="DG13" s="408">
        <v>0.46224618058173039</v>
      </c>
      <c r="DH13" s="408">
        <v>0</v>
      </c>
      <c r="DI13" s="408">
        <v>-0.85267090429340442</v>
      </c>
      <c r="DJ13" s="408"/>
      <c r="DK13" s="408">
        <v>0</v>
      </c>
      <c r="DL13" s="408">
        <v>0</v>
      </c>
      <c r="DM13" s="408">
        <v>0</v>
      </c>
      <c r="DN13" s="408">
        <v>0</v>
      </c>
      <c r="DO13" s="408">
        <v>-0.11725595431963187</v>
      </c>
      <c r="DP13" s="408">
        <v>-1.3942173360603105E-2</v>
      </c>
      <c r="DQ13" s="408">
        <v>0</v>
      </c>
      <c r="DR13" s="408">
        <v>0</v>
      </c>
      <c r="DS13" s="408"/>
      <c r="DT13" s="408"/>
      <c r="DU13" s="408"/>
      <c r="DV13" s="408">
        <v>144.14862086962484</v>
      </c>
      <c r="DW13" s="408">
        <v>0</v>
      </c>
      <c r="DX13" s="408">
        <v>0</v>
      </c>
      <c r="DY13" s="408">
        <v>-32.905200000000008</v>
      </c>
      <c r="DZ13" s="408">
        <v>8.8087200000000081</v>
      </c>
      <c r="EA13" s="408">
        <v>0</v>
      </c>
      <c r="EB13" s="408">
        <v>0</v>
      </c>
      <c r="EC13" s="408">
        <v>-35.808962554528222</v>
      </c>
      <c r="ED13" s="408">
        <v>0</v>
      </c>
      <c r="EE13" s="408">
        <v>0</v>
      </c>
      <c r="EF13" s="408">
        <v>0</v>
      </c>
      <c r="EG13" s="408">
        <v>0</v>
      </c>
      <c r="EH13" s="408">
        <v>0</v>
      </c>
      <c r="EI13" s="408">
        <v>0</v>
      </c>
      <c r="EJ13" s="408">
        <v>0</v>
      </c>
      <c r="EK13" s="408">
        <v>0</v>
      </c>
      <c r="EL13" s="408">
        <v>0</v>
      </c>
      <c r="EM13" s="408">
        <v>0</v>
      </c>
      <c r="EN13" s="408">
        <v>0</v>
      </c>
      <c r="EO13" s="408">
        <v>0</v>
      </c>
      <c r="EP13" s="408">
        <v>6.412757187542109</v>
      </c>
      <c r="EQ13" s="408">
        <v>0</v>
      </c>
      <c r="ER13" s="408">
        <v>0</v>
      </c>
      <c r="ES13" s="408">
        <v>0</v>
      </c>
      <c r="ET13" s="408">
        <v>0</v>
      </c>
      <c r="EU13" s="408">
        <v>0</v>
      </c>
      <c r="EV13" s="408">
        <v>240</v>
      </c>
      <c r="EW13" s="408">
        <v>0</v>
      </c>
      <c r="EX13" s="408">
        <v>0</v>
      </c>
      <c r="EY13" s="408">
        <v>0</v>
      </c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12</v>
      </c>
      <c r="B14" s="408" t="s">
        <v>1036</v>
      </c>
      <c r="C14" s="408" t="s">
        <v>2235</v>
      </c>
      <c r="D14" s="408" t="s">
        <v>1958</v>
      </c>
      <c r="E14" s="408" t="s">
        <v>970</v>
      </c>
      <c r="F14" s="408" t="s">
        <v>1322</v>
      </c>
      <c r="G14" s="408" t="s">
        <v>1322</v>
      </c>
      <c r="H14" s="408" t="s">
        <v>1322</v>
      </c>
      <c r="I14" s="408" t="s">
        <v>1322</v>
      </c>
      <c r="J14" s="408" t="s">
        <v>2236</v>
      </c>
      <c r="K14" s="826">
        <v>44378</v>
      </c>
      <c r="L14" s="408">
        <v>0</v>
      </c>
      <c r="M14" s="408">
        <v>0</v>
      </c>
      <c r="N14" s="408">
        <v>557.70600000000002</v>
      </c>
      <c r="O14" s="408">
        <v>557.70600000000002</v>
      </c>
      <c r="P14" s="408">
        <v>557.70600000000002</v>
      </c>
      <c r="Q14" s="408">
        <v>557.70600000000002</v>
      </c>
      <c r="R14" s="408"/>
      <c r="S14" s="408">
        <v>368.24</v>
      </c>
      <c r="T14" s="408">
        <v>173.25</v>
      </c>
      <c r="U14" s="408"/>
      <c r="V14" s="408">
        <v>301992.22194000002</v>
      </c>
      <c r="W14" s="408">
        <v>301992.22194000002</v>
      </c>
      <c r="X14" s="408">
        <v>283811.00634000002</v>
      </c>
      <c r="Y14" s="408">
        <v>0</v>
      </c>
      <c r="Z14" s="408">
        <v>34324.117941388067</v>
      </c>
      <c r="AA14" s="408">
        <v>0</v>
      </c>
      <c r="AB14" s="408">
        <v>0</v>
      </c>
      <c r="AC14" s="408">
        <v>1427.4693456182226</v>
      </c>
      <c r="AD14" s="408">
        <v>1371.4779482077672</v>
      </c>
      <c r="AE14" s="408">
        <v>131360.4571237913</v>
      </c>
      <c r="AF14" s="408">
        <v>94999.90248825257</v>
      </c>
      <c r="AG14" s="408">
        <v>1621.3815833840385</v>
      </c>
      <c r="AH14" s="408">
        <v>0</v>
      </c>
      <c r="AI14" s="408">
        <v>0</v>
      </c>
      <c r="AJ14" s="408">
        <v>0</v>
      </c>
      <c r="AK14" s="408">
        <v>0</v>
      </c>
      <c r="AL14" s="408">
        <v>5303.2432398460451</v>
      </c>
      <c r="AM14" s="408"/>
      <c r="AN14" s="408">
        <v>673.62893674037514</v>
      </c>
      <c r="AO14" s="408">
        <v>3030.2372973510355</v>
      </c>
      <c r="AP14" s="408">
        <v>14129.549475839649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>
        <v>0</v>
      </c>
      <c r="BG14" s="408">
        <v>4985.7755395735167</v>
      </c>
      <c r="BH14" s="408">
        <v>0</v>
      </c>
      <c r="BI14" s="408">
        <v>219.62</v>
      </c>
      <c r="BJ14" s="408">
        <v>1898.55</v>
      </c>
      <c r="BK14" s="408">
        <v>67188.92</v>
      </c>
      <c r="BL14" s="408">
        <v>347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99985.678027826085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283813.04190000001</v>
      </c>
      <c r="CJ14" s="408">
        <v>-18179.210040000034</v>
      </c>
      <c r="CK14" s="408"/>
      <c r="CL14" s="408"/>
      <c r="CM14" s="408"/>
      <c r="CN14" s="408"/>
      <c r="CO14" s="408">
        <v>-30222.08814</v>
      </c>
      <c r="CP14" s="408">
        <v>12040.872540000002</v>
      </c>
      <c r="CQ14" s="408">
        <v>31</v>
      </c>
      <c r="CR14" s="408">
        <v>14448.596911720117</v>
      </c>
      <c r="CS14" s="408">
        <v>301.95666972266645</v>
      </c>
      <c r="CT14" s="408">
        <v>1407.9794041661135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1412.1678652025614</v>
      </c>
      <c r="DA14" s="408">
        <v>0</v>
      </c>
      <c r="DB14" s="408">
        <v>0</v>
      </c>
      <c r="DC14" s="408">
        <v>12039.513055860079</v>
      </c>
      <c r="DD14" s="408">
        <v>0</v>
      </c>
      <c r="DE14" s="408">
        <v>0</v>
      </c>
      <c r="DF14" s="408">
        <v>0</v>
      </c>
      <c r="DG14" s="408">
        <v>631.85654016547596</v>
      </c>
      <c r="DH14" s="408">
        <v>0</v>
      </c>
      <c r="DI14" s="408">
        <v>-1165.5384297790661</v>
      </c>
      <c r="DJ14" s="408"/>
      <c r="DK14" s="408">
        <v>0</v>
      </c>
      <c r="DL14" s="408">
        <v>0</v>
      </c>
      <c r="DM14" s="408">
        <v>0</v>
      </c>
      <c r="DN14" s="408">
        <v>0</v>
      </c>
      <c r="DO14" s="408">
        <v>-160.2802677935897</v>
      </c>
      <c r="DP14" s="408">
        <v>-19.057925824138579</v>
      </c>
      <c r="DQ14" s="408">
        <v>0</v>
      </c>
      <c r="DR14" s="408">
        <v>0</v>
      </c>
      <c r="DS14" s="408"/>
      <c r="DT14" s="408"/>
      <c r="DU14" s="408"/>
      <c r="DV14" s="408">
        <v>131360.4571237913</v>
      </c>
      <c r="DW14" s="408">
        <v>0</v>
      </c>
      <c r="DX14" s="408">
        <v>0</v>
      </c>
      <c r="DY14" s="408">
        <v>-30222.088140000007</v>
      </c>
      <c r="DZ14" s="408">
        <v>12040.872539999997</v>
      </c>
      <c r="EA14" s="408">
        <v>0</v>
      </c>
      <c r="EB14" s="408">
        <v>0</v>
      </c>
      <c r="EC14" s="408">
        <v>-32632.165759990239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8765.7675491062746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240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13</v>
      </c>
      <c r="B15" s="408" t="s">
        <v>2238</v>
      </c>
      <c r="C15" s="408" t="s">
        <v>2235</v>
      </c>
      <c r="D15" s="408" t="s">
        <v>1958</v>
      </c>
      <c r="E15" s="408" t="s">
        <v>970</v>
      </c>
      <c r="F15" s="408" t="s">
        <v>1322</v>
      </c>
      <c r="G15" s="408" t="s">
        <v>1322</v>
      </c>
      <c r="H15" s="408" t="s">
        <v>1322</v>
      </c>
      <c r="I15" s="408" t="s">
        <v>1322</v>
      </c>
      <c r="J15" s="408" t="s">
        <v>2236</v>
      </c>
      <c r="K15" s="826">
        <v>44378</v>
      </c>
      <c r="L15" s="408">
        <v>0</v>
      </c>
      <c r="M15" s="408">
        <v>0</v>
      </c>
      <c r="N15" s="408">
        <v>58.402000000000001</v>
      </c>
      <c r="O15" s="408">
        <v>58.402000000000001</v>
      </c>
      <c r="P15" s="408">
        <v>58.402000000000001</v>
      </c>
      <c r="Q15" s="408">
        <v>58.402000000000001</v>
      </c>
      <c r="R15" s="408"/>
      <c r="S15" s="408">
        <v>368.24</v>
      </c>
      <c r="T15" s="408">
        <v>173.25</v>
      </c>
      <c r="U15" s="408"/>
      <c r="V15" s="408">
        <v>31624.098980000002</v>
      </c>
      <c r="W15" s="408">
        <v>31624.098980000002</v>
      </c>
      <c r="X15" s="408">
        <v>29720.193780000001</v>
      </c>
      <c r="Y15" s="408">
        <v>0</v>
      </c>
      <c r="Z15" s="408">
        <v>3594.3617892096299</v>
      </c>
      <c r="AA15" s="408">
        <v>0</v>
      </c>
      <c r="AB15" s="408">
        <v>0</v>
      </c>
      <c r="AC15" s="408">
        <v>149.48210118376966</v>
      </c>
      <c r="AD15" s="408">
        <v>143.61877966389105</v>
      </c>
      <c r="AE15" s="408">
        <v>13755.838052564719</v>
      </c>
      <c r="AF15" s="408">
        <v>9948.2241631234501</v>
      </c>
      <c r="AG15" s="408">
        <v>169.7882526506701</v>
      </c>
      <c r="AH15" s="408">
        <v>0</v>
      </c>
      <c r="AI15" s="408">
        <v>0</v>
      </c>
      <c r="AJ15" s="408">
        <v>0</v>
      </c>
      <c r="AK15" s="408">
        <v>0</v>
      </c>
      <c r="AL15" s="408">
        <v>555.34638625635864</v>
      </c>
      <c r="AM15" s="408"/>
      <c r="AN15" s="408">
        <v>70.541247832211567</v>
      </c>
      <c r="AO15" s="408">
        <v>317.32116677944146</v>
      </c>
      <c r="AP15" s="408">
        <v>1479.6217872642346</v>
      </c>
      <c r="AQ15" s="408">
        <v>0</v>
      </c>
      <c r="AR15" s="408">
        <v>0</v>
      </c>
      <c r="AS15" s="408">
        <v>0</v>
      </c>
      <c r="AT15" s="408">
        <v>0</v>
      </c>
      <c r="AU15" s="408">
        <v>0</v>
      </c>
      <c r="AV15" s="408">
        <v>0</v>
      </c>
      <c r="AW15" s="408">
        <v>0</v>
      </c>
      <c r="AX15" s="408">
        <v>0</v>
      </c>
      <c r="AY15" s="408">
        <v>0</v>
      </c>
      <c r="AZ15" s="408">
        <v>0</v>
      </c>
      <c r="BA15" s="408"/>
      <c r="BB15" s="408">
        <v>0</v>
      </c>
      <c r="BC15" s="408">
        <v>0</v>
      </c>
      <c r="BD15" s="408">
        <v>0</v>
      </c>
      <c r="BE15" s="408">
        <v>0</v>
      </c>
      <c r="BF15" s="408">
        <v>0</v>
      </c>
      <c r="BG15" s="408">
        <v>522.10172216575131</v>
      </c>
      <c r="BH15" s="408">
        <v>0</v>
      </c>
      <c r="BI15" s="408">
        <v>23.12</v>
      </c>
      <c r="BJ15" s="408">
        <v>199.78</v>
      </c>
      <c r="BK15" s="408">
        <v>10138.65</v>
      </c>
      <c r="BL15" s="408">
        <v>39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10470.325885289201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29719.175999999999</v>
      </c>
      <c r="CJ15" s="408">
        <v>-1904.9529799999982</v>
      </c>
      <c r="CK15" s="408"/>
      <c r="CL15" s="408"/>
      <c r="CM15" s="408"/>
      <c r="CN15" s="408"/>
      <c r="CO15" s="408">
        <v>-3164.80438</v>
      </c>
      <c r="CP15" s="408">
        <v>1260.8991800000001</v>
      </c>
      <c r="CQ15" s="408">
        <v>31</v>
      </c>
      <c r="CR15" s="408">
        <v>1513.0318785135496</v>
      </c>
      <c r="CS15" s="408">
        <v>31.620376013783527</v>
      </c>
      <c r="CT15" s="408">
        <v>147.44114849420544</v>
      </c>
      <c r="CU15" s="408">
        <v>0</v>
      </c>
      <c r="CV15" s="408">
        <v>0</v>
      </c>
      <c r="CW15" s="408">
        <v>0</v>
      </c>
      <c r="CX15" s="408">
        <v>0</v>
      </c>
      <c r="CY15" s="408">
        <v>0</v>
      </c>
      <c r="CZ15" s="408">
        <v>147.87975683166397</v>
      </c>
      <c r="DA15" s="408">
        <v>0</v>
      </c>
      <c r="DB15" s="408">
        <v>0</v>
      </c>
      <c r="DC15" s="408">
        <v>1260.7568171910298</v>
      </c>
      <c r="DD15" s="408">
        <v>0</v>
      </c>
      <c r="DE15" s="408">
        <v>0</v>
      </c>
      <c r="DF15" s="408">
        <v>0</v>
      </c>
      <c r="DG15" s="408">
        <v>66.166915290034808</v>
      </c>
      <c r="DH15" s="408">
        <v>0</v>
      </c>
      <c r="DI15" s="408">
        <v>-122.05315233466536</v>
      </c>
      <c r="DJ15" s="408"/>
      <c r="DK15" s="408">
        <v>0</v>
      </c>
      <c r="DL15" s="408">
        <v>0</v>
      </c>
      <c r="DM15" s="408">
        <v>0</v>
      </c>
      <c r="DN15" s="408">
        <v>0</v>
      </c>
      <c r="DO15" s="408">
        <v>-16.784270206311703</v>
      </c>
      <c r="DP15" s="408">
        <v>-1.9957127661910334</v>
      </c>
      <c r="DQ15" s="408">
        <v>0</v>
      </c>
      <c r="DR15" s="408">
        <v>0</v>
      </c>
      <c r="DS15" s="408"/>
      <c r="DT15" s="408"/>
      <c r="DU15" s="408"/>
      <c r="DV15" s="408">
        <v>13755.838052564719</v>
      </c>
      <c r="DW15" s="408">
        <v>0</v>
      </c>
      <c r="DX15" s="408">
        <v>0</v>
      </c>
      <c r="DY15" s="408">
        <v>-3164.8043799999978</v>
      </c>
      <c r="DZ15" s="408">
        <v>1260.8991800000003</v>
      </c>
      <c r="EA15" s="408">
        <v>0</v>
      </c>
      <c r="EB15" s="408">
        <v>0</v>
      </c>
      <c r="EC15" s="408">
        <v>-3417.1835065696796</v>
      </c>
      <c r="ED15" s="408">
        <v>0</v>
      </c>
      <c r="EE15" s="408">
        <v>0</v>
      </c>
      <c r="EF15" s="408">
        <v>0</v>
      </c>
      <c r="EG15" s="408">
        <v>0</v>
      </c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>
        <v>0</v>
      </c>
      <c r="EN15" s="408">
        <v>0</v>
      </c>
      <c r="EO15" s="408">
        <v>0</v>
      </c>
      <c r="EP15" s="408">
        <v>917.93589526184871</v>
      </c>
      <c r="EQ15" s="408">
        <v>0</v>
      </c>
      <c r="ER15" s="408">
        <v>0</v>
      </c>
      <c r="ES15" s="408">
        <v>0</v>
      </c>
      <c r="ET15" s="408">
        <v>0</v>
      </c>
      <c r="EU15" s="408">
        <v>0</v>
      </c>
      <c r="EV15" s="408">
        <v>240</v>
      </c>
      <c r="EW15" s="408">
        <v>0</v>
      </c>
      <c r="EX15" s="408">
        <v>0</v>
      </c>
      <c r="EY15" s="408">
        <v>0</v>
      </c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14</v>
      </c>
      <c r="B16" s="408" t="s">
        <v>1036</v>
      </c>
      <c r="C16" s="408" t="s">
        <v>2247</v>
      </c>
      <c r="D16" s="408" t="s">
        <v>597</v>
      </c>
      <c r="E16" s="408" t="s">
        <v>970</v>
      </c>
      <c r="F16" s="408" t="s">
        <v>1322</v>
      </c>
      <c r="G16" s="408" t="s">
        <v>1322</v>
      </c>
      <c r="H16" s="408" t="s">
        <v>1322</v>
      </c>
      <c r="I16" s="408" t="s">
        <v>973</v>
      </c>
      <c r="J16" s="408" t="s">
        <v>2236</v>
      </c>
      <c r="K16" s="826">
        <v>44378</v>
      </c>
      <c r="L16" s="408">
        <v>15378</v>
      </c>
      <c r="M16" s="408">
        <v>15378</v>
      </c>
      <c r="N16" s="408">
        <v>649.05799999999999</v>
      </c>
      <c r="O16" s="408">
        <v>649.05799999999999</v>
      </c>
      <c r="P16" s="408">
        <v>649.05799999999999</v>
      </c>
      <c r="Q16" s="408">
        <v>649.05799999999999</v>
      </c>
      <c r="R16" s="408">
        <v>52.95</v>
      </c>
      <c r="S16" s="408">
        <v>85.01</v>
      </c>
      <c r="T16" s="408">
        <v>173.25</v>
      </c>
      <c r="U16" s="408">
        <v>814265.10000000009</v>
      </c>
      <c r="V16" s="408">
        <v>167625.71908000001</v>
      </c>
      <c r="W16" s="408">
        <v>981890.81908000016</v>
      </c>
      <c r="X16" s="408">
        <v>861349.49286</v>
      </c>
      <c r="Y16" s="408">
        <v>0</v>
      </c>
      <c r="Z16" s="408">
        <v>34753.36235980472</v>
      </c>
      <c r="AA16" s="408">
        <v>0</v>
      </c>
      <c r="AB16" s="408">
        <v>0</v>
      </c>
      <c r="AC16" s="408">
        <v>12112.731645663607</v>
      </c>
      <c r="AD16" s="408">
        <v>11637.328457168247</v>
      </c>
      <c r="AE16" s="408">
        <v>644856.65372117341</v>
      </c>
      <c r="AF16" s="408">
        <v>110560.84515716208</v>
      </c>
      <c r="AG16" s="408">
        <v>1886.9631808660429</v>
      </c>
      <c r="AH16" s="408">
        <v>0</v>
      </c>
      <c r="AI16" s="408">
        <v>0</v>
      </c>
      <c r="AJ16" s="408">
        <v>0</v>
      </c>
      <c r="AK16" s="408">
        <v>0</v>
      </c>
      <c r="AL16" s="408">
        <v>6171.9121737402756</v>
      </c>
      <c r="AM16" s="408"/>
      <c r="AN16" s="408">
        <v>519.77462114249056</v>
      </c>
      <c r="AO16" s="408">
        <v>25712.798473304199</v>
      </c>
      <c r="AP16" s="408">
        <v>119893.42234273053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0</v>
      </c>
      <c r="BF16" s="408">
        <v>0</v>
      </c>
      <c r="BG16" s="408">
        <v>4854.0818844521373</v>
      </c>
      <c r="BH16" s="408">
        <v>0</v>
      </c>
      <c r="BI16" s="408">
        <v>0</v>
      </c>
      <c r="BJ16" s="408">
        <v>0</v>
      </c>
      <c r="BK16" s="408">
        <v>0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115414.92704161422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861350.05019999994</v>
      </c>
      <c r="CJ16" s="408">
        <v>-120540.79888000025</v>
      </c>
      <c r="CK16" s="408"/>
      <c r="CL16" s="408"/>
      <c r="CM16" s="408"/>
      <c r="CN16" s="408"/>
      <c r="CO16" s="408">
        <v>-134554.48844000004</v>
      </c>
      <c r="CP16" s="408">
        <v>14013.162220000002</v>
      </c>
      <c r="CQ16" s="408">
        <v>31</v>
      </c>
      <c r="CR16" s="408">
        <v>39737.334440216364</v>
      </c>
      <c r="CS16" s="408">
        <v>2562.2254082333311</v>
      </c>
      <c r="CT16" s="408">
        <v>11947.123271141711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11982.592432853837</v>
      </c>
      <c r="DA16" s="408">
        <v>0</v>
      </c>
      <c r="DB16" s="408">
        <v>0</v>
      </c>
      <c r="DC16" s="408">
        <v>14011.580052949823</v>
      </c>
      <c r="DD16" s="408">
        <v>0</v>
      </c>
      <c r="DE16" s="408">
        <v>0</v>
      </c>
      <c r="DF16" s="408">
        <v>0</v>
      </c>
      <c r="DG16" s="408">
        <v>615.16676008484865</v>
      </c>
      <c r="DH16" s="408">
        <v>0</v>
      </c>
      <c r="DI16" s="408">
        <v>-1180.1142119240321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-186.53410587939197</v>
      </c>
      <c r="DP16" s="408">
        <v>-14.705167243760229</v>
      </c>
      <c r="DQ16" s="408">
        <v>0</v>
      </c>
      <c r="DR16" s="408">
        <v>0</v>
      </c>
      <c r="DS16" s="408"/>
      <c r="DT16" s="408"/>
      <c r="DU16" s="408">
        <v>644856.65372117341</v>
      </c>
      <c r="DV16" s="408">
        <v>0</v>
      </c>
      <c r="DW16" s="408">
        <v>0</v>
      </c>
      <c r="DX16" s="408">
        <v>0</v>
      </c>
      <c r="DY16" s="408">
        <v>-134554.4884400001</v>
      </c>
      <c r="DZ16" s="408">
        <v>14013.162219999998</v>
      </c>
      <c r="EA16" s="408">
        <v>0</v>
      </c>
      <c r="EB16" s="408">
        <v>0</v>
      </c>
      <c r="EC16" s="408">
        <v>-160193.33120796847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8875.3889179646885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240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15</v>
      </c>
      <c r="B17" s="408" t="s">
        <v>1036</v>
      </c>
      <c r="C17" s="408" t="s">
        <v>2247</v>
      </c>
      <c r="D17" s="408" t="s">
        <v>597</v>
      </c>
      <c r="E17" s="408" t="s">
        <v>970</v>
      </c>
      <c r="F17" s="408" t="s">
        <v>1322</v>
      </c>
      <c r="G17" s="408" t="s">
        <v>1322</v>
      </c>
      <c r="H17" s="408" t="s">
        <v>1322</v>
      </c>
      <c r="I17" s="408" t="s">
        <v>2244</v>
      </c>
      <c r="J17" s="408" t="s">
        <v>2236</v>
      </c>
      <c r="K17" s="826">
        <v>44378</v>
      </c>
      <c r="L17" s="408">
        <v>16598</v>
      </c>
      <c r="M17" s="408">
        <v>16598</v>
      </c>
      <c r="N17" s="408">
        <v>6617.8419999999996</v>
      </c>
      <c r="O17" s="408">
        <v>6617.8419999999996</v>
      </c>
      <c r="P17" s="408">
        <v>6617.8419999999996</v>
      </c>
      <c r="Q17" s="408">
        <v>6617.8419999999996</v>
      </c>
      <c r="R17" s="408">
        <v>27.19</v>
      </c>
      <c r="S17" s="408">
        <v>85.01</v>
      </c>
      <c r="T17" s="408">
        <v>173.25</v>
      </c>
      <c r="U17" s="408">
        <v>451299.62</v>
      </c>
      <c r="V17" s="408">
        <v>1709123.8749199999</v>
      </c>
      <c r="W17" s="408">
        <v>2160423.49492</v>
      </c>
      <c r="X17" s="408">
        <v>2205366.5101399999</v>
      </c>
      <c r="Y17" s="408">
        <v>0</v>
      </c>
      <c r="Z17" s="408">
        <v>354347.77949880407</v>
      </c>
      <c r="AA17" s="408">
        <v>0</v>
      </c>
      <c r="AB17" s="408">
        <v>0</v>
      </c>
      <c r="AC17" s="408">
        <v>3870.6637816707075</v>
      </c>
      <c r="AD17" s="408">
        <v>3718.5302638702979</v>
      </c>
      <c r="AE17" s="408">
        <v>397223.83797596139</v>
      </c>
      <c r="AF17" s="408">
        <v>1127286.3205392489</v>
      </c>
      <c r="AG17" s="408">
        <v>19239.612162224166</v>
      </c>
      <c r="AH17" s="408">
        <v>0</v>
      </c>
      <c r="AI17" s="408">
        <v>0</v>
      </c>
      <c r="AJ17" s="408">
        <v>0</v>
      </c>
      <c r="AK17" s="408">
        <v>0</v>
      </c>
      <c r="AL17" s="408">
        <v>62929.259948555744</v>
      </c>
      <c r="AM17" s="408"/>
      <c r="AN17" s="408">
        <v>5299.6593807192303</v>
      </c>
      <c r="AO17" s="408">
        <v>8214.0984264395211</v>
      </c>
      <c r="AP17" s="408">
        <v>38309.65861630471</v>
      </c>
      <c r="AQ17" s="408">
        <v>0</v>
      </c>
      <c r="AR17" s="408">
        <v>0</v>
      </c>
      <c r="AS17" s="408">
        <v>0</v>
      </c>
      <c r="AT17" s="408">
        <v>0</v>
      </c>
      <c r="AU17" s="408">
        <v>0</v>
      </c>
      <c r="AV17" s="408">
        <v>0</v>
      </c>
      <c r="AW17" s="408">
        <v>0</v>
      </c>
      <c r="AX17" s="408">
        <v>0</v>
      </c>
      <c r="AY17" s="408">
        <v>0</v>
      </c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>
        <v>0</v>
      </c>
      <c r="BG17" s="408">
        <v>49492.567638587767</v>
      </c>
      <c r="BH17" s="408">
        <v>0</v>
      </c>
      <c r="BI17" s="408">
        <v>0</v>
      </c>
      <c r="BJ17" s="408">
        <v>0</v>
      </c>
      <c r="BK17" s="408">
        <v>0</v>
      </c>
      <c r="BL17" s="408">
        <v>0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1176778.8881778365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2205365.9528000001</v>
      </c>
      <c r="CJ17" s="408">
        <v>44942.427880000323</v>
      </c>
      <c r="CK17" s="408"/>
      <c r="CL17" s="408"/>
      <c r="CM17" s="408"/>
      <c r="CN17" s="408"/>
      <c r="CO17" s="408">
        <v>-97936.193560000043</v>
      </c>
      <c r="CP17" s="408">
        <v>142879.20878000002</v>
      </c>
      <c r="CQ17" s="408">
        <v>31</v>
      </c>
      <c r="CR17" s="408">
        <v>143515.8290285808</v>
      </c>
      <c r="CS17" s="408">
        <v>818.51735103059036</v>
      </c>
      <c r="CT17" s="408">
        <v>3817.475596417491</v>
      </c>
      <c r="CU17" s="408">
        <v>0</v>
      </c>
      <c r="CV17" s="408">
        <v>0</v>
      </c>
      <c r="CW17" s="408">
        <v>0</v>
      </c>
      <c r="CX17" s="408">
        <v>0</v>
      </c>
      <c r="CY17" s="408">
        <v>0</v>
      </c>
      <c r="CZ17" s="408">
        <v>3828.8540849548799</v>
      </c>
      <c r="DA17" s="408">
        <v>0</v>
      </c>
      <c r="DB17" s="408">
        <v>0</v>
      </c>
      <c r="DC17" s="408">
        <v>142863.07689108443</v>
      </c>
      <c r="DD17" s="408">
        <v>0</v>
      </c>
      <c r="DE17" s="408">
        <v>0</v>
      </c>
      <c r="DF17" s="408">
        <v>0</v>
      </c>
      <c r="DG17" s="408">
        <v>6272.2844828866364</v>
      </c>
      <c r="DH17" s="408">
        <v>0</v>
      </c>
      <c r="DI17" s="408">
        <v>-12032.529290861159</v>
      </c>
      <c r="DJ17" s="408"/>
      <c r="DK17" s="408">
        <v>0</v>
      </c>
      <c r="DL17" s="408">
        <v>0</v>
      </c>
      <c r="DM17" s="408">
        <v>0</v>
      </c>
      <c r="DN17" s="408">
        <v>0</v>
      </c>
      <c r="DO17" s="408">
        <v>-1901.9151452121223</v>
      </c>
      <c r="DP17" s="408">
        <v>-149.93494171981729</v>
      </c>
      <c r="DQ17" s="408">
        <v>0</v>
      </c>
      <c r="DR17" s="408">
        <v>0</v>
      </c>
      <c r="DS17" s="408"/>
      <c r="DT17" s="408"/>
      <c r="DU17" s="408">
        <v>397223.83797596139</v>
      </c>
      <c r="DV17" s="408">
        <v>0</v>
      </c>
      <c r="DW17" s="408">
        <v>0</v>
      </c>
      <c r="DX17" s="408">
        <v>0</v>
      </c>
      <c r="DY17" s="408">
        <v>-97936.193560000043</v>
      </c>
      <c r="DZ17" s="408">
        <v>142879.20877999999</v>
      </c>
      <c r="EA17" s="408">
        <v>0</v>
      </c>
      <c r="EB17" s="408">
        <v>0</v>
      </c>
      <c r="EC17" s="408">
        <v>-98677.13928884652</v>
      </c>
      <c r="ED17" s="408">
        <v>0</v>
      </c>
      <c r="EE17" s="408">
        <v>0</v>
      </c>
      <c r="EF17" s="408">
        <v>0</v>
      </c>
      <c r="EG17" s="408">
        <v>0</v>
      </c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>
        <v>0</v>
      </c>
      <c r="EN17" s="408">
        <v>0</v>
      </c>
      <c r="EO17" s="408">
        <v>0</v>
      </c>
      <c r="EP17" s="408">
        <v>90494.103065737218</v>
      </c>
      <c r="EQ17" s="408">
        <v>0</v>
      </c>
      <c r="ER17" s="408">
        <v>0</v>
      </c>
      <c r="ES17" s="408">
        <v>0</v>
      </c>
      <c r="ET17" s="408">
        <v>0</v>
      </c>
      <c r="EU17" s="408">
        <v>0</v>
      </c>
      <c r="EV17" s="408">
        <v>240</v>
      </c>
      <c r="EW17" s="408">
        <v>0</v>
      </c>
      <c r="EX17" s="408">
        <v>0</v>
      </c>
      <c r="EY17" s="408">
        <v>0</v>
      </c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16</v>
      </c>
      <c r="B18" s="408" t="s">
        <v>1036</v>
      </c>
      <c r="C18" s="408" t="s">
        <v>2247</v>
      </c>
      <c r="D18" s="408" t="s">
        <v>597</v>
      </c>
      <c r="E18" s="408" t="s">
        <v>970</v>
      </c>
      <c r="F18" s="408" t="s">
        <v>1322</v>
      </c>
      <c r="G18" s="408" t="s">
        <v>1322</v>
      </c>
      <c r="H18" s="408" t="s">
        <v>1322</v>
      </c>
      <c r="I18" s="408" t="s">
        <v>1322</v>
      </c>
      <c r="J18" s="408" t="s">
        <v>2236</v>
      </c>
      <c r="K18" s="826">
        <v>44378</v>
      </c>
      <c r="L18" s="408">
        <v>0</v>
      </c>
      <c r="M18" s="408">
        <v>0</v>
      </c>
      <c r="N18" s="408">
        <v>0</v>
      </c>
      <c r="O18" s="408">
        <v>0</v>
      </c>
      <c r="P18" s="408">
        <v>0</v>
      </c>
      <c r="Q18" s="408">
        <v>0</v>
      </c>
      <c r="R18" s="408"/>
      <c r="S18" s="408"/>
      <c r="T18" s="408"/>
      <c r="U18" s="408"/>
      <c r="V18" s="408"/>
      <c r="W18" s="408"/>
      <c r="X18" s="408"/>
      <c r="Y18" s="408"/>
      <c r="Z18" s="408"/>
      <c r="AA18" s="408">
        <v>0</v>
      </c>
      <c r="AB18" s="408"/>
      <c r="AC18" s="408"/>
      <c r="AD18" s="408"/>
      <c r="AE18" s="408"/>
      <c r="AF18" s="408"/>
      <c r="AG18" s="408"/>
      <c r="AH18" s="408"/>
      <c r="AI18" s="408"/>
      <c r="AJ18" s="408"/>
      <c r="AK18" s="408"/>
      <c r="AL18" s="408"/>
      <c r="AM18" s="408"/>
      <c r="AN18" s="408"/>
      <c r="AO18" s="408"/>
      <c r="AP18" s="408"/>
      <c r="AQ18" s="408"/>
      <c r="AR18" s="408"/>
      <c r="AS18" s="408"/>
      <c r="AT18" s="408"/>
      <c r="AU18" s="408"/>
      <c r="AV18" s="408"/>
      <c r="AW18" s="408"/>
      <c r="AX18" s="408"/>
      <c r="AY18" s="408"/>
      <c r="AZ18" s="408">
        <v>0</v>
      </c>
      <c r="BA18" s="408"/>
      <c r="BB18" s="408"/>
      <c r="BC18" s="408"/>
      <c r="BD18" s="408"/>
      <c r="BE18" s="408"/>
      <c r="BF18" s="408"/>
      <c r="BG18" s="408"/>
      <c r="BH18" s="408"/>
      <c r="BI18" s="408">
        <v>2550.34</v>
      </c>
      <c r="BJ18" s="408">
        <v>21860.31</v>
      </c>
      <c r="BK18" s="408">
        <v>741185.52</v>
      </c>
      <c r="BL18" s="408">
        <v>6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/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/>
      <c r="CJ18" s="408">
        <v>-0.03</v>
      </c>
      <c r="CK18" s="408"/>
      <c r="CL18" s="408"/>
      <c r="CM18" s="408"/>
      <c r="CN18" s="408"/>
      <c r="CO18" s="408">
        <v>0</v>
      </c>
      <c r="CP18" s="408">
        <v>0</v>
      </c>
      <c r="CQ18" s="408">
        <v>31</v>
      </c>
      <c r="CR18" s="408"/>
      <c r="CS18" s="408"/>
      <c r="CT18" s="408"/>
      <c r="CU18" s="408"/>
      <c r="CV18" s="408"/>
      <c r="CW18" s="408"/>
      <c r="CX18" s="408"/>
      <c r="CY18" s="408"/>
      <c r="CZ18" s="408"/>
      <c r="DA18" s="408"/>
      <c r="DB18" s="408"/>
      <c r="DC18" s="408"/>
      <c r="DD18" s="408"/>
      <c r="DE18" s="408"/>
      <c r="DF18" s="408"/>
      <c r="DG18" s="408"/>
      <c r="DH18" s="408"/>
      <c r="DI18" s="408"/>
      <c r="DJ18" s="408"/>
      <c r="DK18" s="408">
        <v>0</v>
      </c>
      <c r="DL18" s="408"/>
      <c r="DM18" s="408"/>
      <c r="DN18" s="408"/>
      <c r="DO18" s="408"/>
      <c r="DP18" s="408"/>
      <c r="DQ18" s="408"/>
      <c r="DR18" s="408"/>
      <c r="DS18" s="408"/>
      <c r="DT18" s="408"/>
      <c r="DU18" s="408"/>
      <c r="DV18" s="408"/>
      <c r="DW18" s="408"/>
      <c r="DX18" s="408"/>
      <c r="DY18" s="408"/>
      <c r="DZ18" s="408"/>
      <c r="EA18" s="408"/>
      <c r="EB18" s="408"/>
      <c r="EC18" s="408"/>
      <c r="ED18" s="408"/>
      <c r="EE18" s="408"/>
      <c r="EF18" s="408"/>
      <c r="EG18" s="408"/>
      <c r="EH18" s="408"/>
      <c r="EI18" s="408"/>
      <c r="EJ18" s="408"/>
      <c r="EK18" s="408"/>
      <c r="EL18" s="408"/>
      <c r="EM18" s="408"/>
      <c r="EN18" s="408"/>
      <c r="EO18" s="408"/>
      <c r="EP18" s="408"/>
      <c r="EQ18" s="408"/>
      <c r="ER18" s="408"/>
      <c r="ES18" s="408"/>
      <c r="ET18" s="408"/>
      <c r="EU18" s="408"/>
      <c r="EV18" s="408">
        <v>240</v>
      </c>
      <c r="EW18" s="408"/>
      <c r="EX18" s="408"/>
      <c r="EY18" s="408"/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17</v>
      </c>
      <c r="B19" s="408" t="s">
        <v>1036</v>
      </c>
      <c r="C19" s="408" t="s">
        <v>2243</v>
      </c>
      <c r="D19" s="408" t="s">
        <v>597</v>
      </c>
      <c r="E19" s="408" t="s">
        <v>970</v>
      </c>
      <c r="F19" s="408" t="s">
        <v>1322</v>
      </c>
      <c r="G19" s="408" t="s">
        <v>1322</v>
      </c>
      <c r="H19" s="408" t="s">
        <v>1322</v>
      </c>
      <c r="I19" s="408" t="s">
        <v>973</v>
      </c>
      <c r="J19" s="408" t="s">
        <v>2236</v>
      </c>
      <c r="K19" s="826">
        <v>44378</v>
      </c>
      <c r="L19" s="408">
        <v>0</v>
      </c>
      <c r="M19" s="408">
        <v>0</v>
      </c>
      <c r="N19" s="408">
        <v>205.518</v>
      </c>
      <c r="O19" s="408">
        <v>205.518</v>
      </c>
      <c r="P19" s="408">
        <v>205.518</v>
      </c>
      <c r="Q19" s="408">
        <v>205.518</v>
      </c>
      <c r="R19" s="408"/>
      <c r="S19" s="408">
        <v>1358.36</v>
      </c>
      <c r="T19" s="408">
        <v>173.25</v>
      </c>
      <c r="U19" s="408"/>
      <c r="V19" s="408">
        <v>314773.42397999996</v>
      </c>
      <c r="W19" s="408">
        <v>314773.42397999996</v>
      </c>
      <c r="X19" s="408">
        <v>275994.23255999997</v>
      </c>
      <c r="Y19" s="408">
        <v>0</v>
      </c>
      <c r="Z19" s="408">
        <v>11004.31937586833</v>
      </c>
      <c r="AA19" s="408">
        <v>0</v>
      </c>
      <c r="AB19" s="408">
        <v>0</v>
      </c>
      <c r="AC19" s="408">
        <v>3892.9401105429547</v>
      </c>
      <c r="AD19" s="408">
        <v>3740.2540389319479</v>
      </c>
      <c r="AE19" s="408">
        <v>207266.48894137639</v>
      </c>
      <c r="AF19" s="408">
        <v>35008.032833752361</v>
      </c>
      <c r="AG19" s="408">
        <v>597.48882072977665</v>
      </c>
      <c r="AH19" s="408">
        <v>0</v>
      </c>
      <c r="AI19" s="408">
        <v>0</v>
      </c>
      <c r="AJ19" s="408">
        <v>0</v>
      </c>
      <c r="AK19" s="408">
        <v>0</v>
      </c>
      <c r="AL19" s="408">
        <v>1954.2768845353635</v>
      </c>
      <c r="AM19" s="408"/>
      <c r="AN19" s="408">
        <v>164.58165616626309</v>
      </c>
      <c r="AO19" s="408">
        <v>8264.0477555411271</v>
      </c>
      <c r="AP19" s="408">
        <v>38533.823722008921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0</v>
      </c>
      <c r="BF19" s="408">
        <v>0</v>
      </c>
      <c r="BG19" s="408">
        <v>1536.9985436260463</v>
      </c>
      <c r="BH19" s="408">
        <v>0</v>
      </c>
      <c r="BI19" s="408">
        <v>0</v>
      </c>
      <c r="BJ19" s="408">
        <v>0</v>
      </c>
      <c r="BK19" s="408">
        <v>0</v>
      </c>
      <c r="BL19" s="408">
        <v>0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36545.031377378407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275996.91839999997</v>
      </c>
      <c r="CJ19" s="408">
        <v>-38776.535580000025</v>
      </c>
      <c r="CK19" s="408"/>
      <c r="CL19" s="408"/>
      <c r="CM19" s="408"/>
      <c r="CN19" s="408"/>
      <c r="CO19" s="408">
        <v>-43216.325039999996</v>
      </c>
      <c r="CP19" s="408">
        <v>4437.1336200000005</v>
      </c>
      <c r="CQ19" s="408">
        <v>31</v>
      </c>
      <c r="CR19" s="408">
        <v>12708.557193227956</v>
      </c>
      <c r="CS19" s="408">
        <v>823.49469491173113</v>
      </c>
      <c r="CT19" s="408">
        <v>3839.8131700609229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3851.2223753769235</v>
      </c>
      <c r="DA19" s="408">
        <v>0</v>
      </c>
      <c r="DB19" s="408">
        <v>0</v>
      </c>
      <c r="DC19" s="408">
        <v>4436.6326419551697</v>
      </c>
      <c r="DD19" s="408">
        <v>0</v>
      </c>
      <c r="DE19" s="408">
        <v>0</v>
      </c>
      <c r="DF19" s="408">
        <v>0</v>
      </c>
      <c r="DG19" s="408">
        <v>194.78666344012072</v>
      </c>
      <c r="DH19" s="408">
        <v>0</v>
      </c>
      <c r="DI19" s="408">
        <v>-373.67186384915294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-59.064238283975783</v>
      </c>
      <c r="DP19" s="408">
        <v>-4.6562503837917859</v>
      </c>
      <c r="DQ19" s="408">
        <v>0</v>
      </c>
      <c r="DR19" s="408">
        <v>0</v>
      </c>
      <c r="DS19" s="408"/>
      <c r="DT19" s="408"/>
      <c r="DU19" s="408"/>
      <c r="DV19" s="408">
        <v>207266.48894137639</v>
      </c>
      <c r="DW19" s="408">
        <v>0</v>
      </c>
      <c r="DX19" s="408">
        <v>0</v>
      </c>
      <c r="DY19" s="408">
        <v>-43216.325039999996</v>
      </c>
      <c r="DZ19" s="408">
        <v>4437.1336200000005</v>
      </c>
      <c r="EA19" s="408">
        <v>0</v>
      </c>
      <c r="EB19" s="408">
        <v>0</v>
      </c>
      <c r="EC19" s="408">
        <v>-51488.511624562409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2810.3069057653815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240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18</v>
      </c>
      <c r="B20" s="408" t="s">
        <v>2238</v>
      </c>
      <c r="C20" s="408" t="s">
        <v>2243</v>
      </c>
      <c r="D20" s="408" t="s">
        <v>597</v>
      </c>
      <c r="E20" s="408" t="s">
        <v>970</v>
      </c>
      <c r="F20" s="408" t="s">
        <v>1322</v>
      </c>
      <c r="G20" s="408" t="s">
        <v>1322</v>
      </c>
      <c r="H20" s="408" t="s">
        <v>1322</v>
      </c>
      <c r="I20" s="408" t="s">
        <v>973</v>
      </c>
      <c r="J20" s="408" t="s">
        <v>2236</v>
      </c>
      <c r="K20" s="826">
        <v>44378</v>
      </c>
      <c r="L20" s="408">
        <v>0</v>
      </c>
      <c r="M20" s="408">
        <v>0</v>
      </c>
      <c r="N20" s="408">
        <v>0.36699999999999999</v>
      </c>
      <c r="O20" s="408">
        <v>0.36699999999999999</v>
      </c>
      <c r="P20" s="408">
        <v>0.36699999999999999</v>
      </c>
      <c r="Q20" s="408">
        <v>0.36699999999999999</v>
      </c>
      <c r="R20" s="408"/>
      <c r="S20" s="408">
        <v>1358.36</v>
      </c>
      <c r="T20" s="408">
        <v>173.25</v>
      </c>
      <c r="U20" s="408"/>
      <c r="V20" s="408">
        <v>562.10086999999999</v>
      </c>
      <c r="W20" s="408">
        <v>562.10086999999999</v>
      </c>
      <c r="X20" s="408">
        <v>492.85163999999997</v>
      </c>
      <c r="Y20" s="408">
        <v>0</v>
      </c>
      <c r="Z20" s="408">
        <v>19.650761543726958</v>
      </c>
      <c r="AA20" s="408">
        <v>0</v>
      </c>
      <c r="AB20" s="408">
        <v>0</v>
      </c>
      <c r="AC20" s="408">
        <v>6.9517464191421885</v>
      </c>
      <c r="AD20" s="408">
        <v>6.6790900665052444</v>
      </c>
      <c r="AE20" s="408">
        <v>370.12233206573211</v>
      </c>
      <c r="AF20" s="408">
        <v>62.514952704809872</v>
      </c>
      <c r="AG20" s="408">
        <v>1.0669547057086388</v>
      </c>
      <c r="AH20" s="408">
        <v>0</v>
      </c>
      <c r="AI20" s="408">
        <v>0</v>
      </c>
      <c r="AJ20" s="408">
        <v>0</v>
      </c>
      <c r="AK20" s="408">
        <v>0</v>
      </c>
      <c r="AL20" s="408">
        <v>3.4898141117784252</v>
      </c>
      <c r="AM20" s="408"/>
      <c r="AN20" s="408">
        <v>0.29389867463199598</v>
      </c>
      <c r="AO20" s="408">
        <v>14.75737174497413</v>
      </c>
      <c r="AP20" s="408">
        <v>68.811069132520132</v>
      </c>
      <c r="AQ20" s="408">
        <v>0</v>
      </c>
      <c r="AR20" s="408">
        <v>0</v>
      </c>
      <c r="AS20" s="408">
        <v>0</v>
      </c>
      <c r="AT20" s="408">
        <v>0</v>
      </c>
      <c r="AU20" s="408">
        <v>0</v>
      </c>
      <c r="AV20" s="408">
        <v>0</v>
      </c>
      <c r="AW20" s="408">
        <v>0</v>
      </c>
      <c r="AX20" s="408">
        <v>0</v>
      </c>
      <c r="AY20" s="408">
        <v>0</v>
      </c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>
        <v>0</v>
      </c>
      <c r="BG20" s="408">
        <v>2.7446669659628791</v>
      </c>
      <c r="BH20" s="408">
        <v>0</v>
      </c>
      <c r="BI20" s="408">
        <v>0</v>
      </c>
      <c r="BJ20" s="408">
        <v>0</v>
      </c>
      <c r="BK20" s="408">
        <v>0</v>
      </c>
      <c r="BL20" s="408">
        <v>0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65.25961967077275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496.88039999999995</v>
      </c>
      <c r="CJ20" s="408">
        <v>-65.250470000000007</v>
      </c>
      <c r="CK20" s="408"/>
      <c r="CL20" s="408"/>
      <c r="CM20" s="408"/>
      <c r="CN20" s="408"/>
      <c r="CO20" s="408">
        <v>-77.172759999999982</v>
      </c>
      <c r="CP20" s="408">
        <v>7.9235300000000013</v>
      </c>
      <c r="CQ20" s="408">
        <v>31</v>
      </c>
      <c r="CR20" s="408">
        <v>22.69407297616101</v>
      </c>
      <c r="CS20" s="408">
        <v>1.4705405513512453</v>
      </c>
      <c r="CT20" s="408">
        <v>6.8568759593435118</v>
      </c>
      <c r="CU20" s="408">
        <v>0</v>
      </c>
      <c r="CV20" s="408">
        <v>0</v>
      </c>
      <c r="CW20" s="408">
        <v>0</v>
      </c>
      <c r="CX20" s="408">
        <v>0</v>
      </c>
      <c r="CY20" s="408">
        <v>0</v>
      </c>
      <c r="CZ20" s="408">
        <v>6.8772497385305957</v>
      </c>
      <c r="DA20" s="408">
        <v>0</v>
      </c>
      <c r="DB20" s="408">
        <v>0</v>
      </c>
      <c r="DC20" s="408">
        <v>7.9226353876426714</v>
      </c>
      <c r="DD20" s="408">
        <v>0</v>
      </c>
      <c r="DE20" s="408">
        <v>0</v>
      </c>
      <c r="DF20" s="408">
        <v>0</v>
      </c>
      <c r="DG20" s="408">
        <v>0.34783671251435067</v>
      </c>
      <c r="DH20" s="408">
        <v>0</v>
      </c>
      <c r="DI20" s="408">
        <v>-0.66727767899959645</v>
      </c>
      <c r="DJ20" s="408"/>
      <c r="DK20" s="408">
        <v>0</v>
      </c>
      <c r="DL20" s="408">
        <v>0</v>
      </c>
      <c r="DM20" s="408">
        <v>0</v>
      </c>
      <c r="DN20" s="408">
        <v>0</v>
      </c>
      <c r="DO20" s="408">
        <v>-0.10547288047868841</v>
      </c>
      <c r="DP20" s="408">
        <v>-8.3148137430861802E-3</v>
      </c>
      <c r="DQ20" s="408">
        <v>0</v>
      </c>
      <c r="DR20" s="408">
        <v>0</v>
      </c>
      <c r="DS20" s="408"/>
      <c r="DT20" s="408"/>
      <c r="DU20" s="408"/>
      <c r="DV20" s="408">
        <v>370.12233206573211</v>
      </c>
      <c r="DW20" s="408">
        <v>0</v>
      </c>
      <c r="DX20" s="408">
        <v>0</v>
      </c>
      <c r="DY20" s="408">
        <v>-77.172759999999982</v>
      </c>
      <c r="DZ20" s="408">
        <v>7.9235300000000066</v>
      </c>
      <c r="EA20" s="408">
        <v>0</v>
      </c>
      <c r="EB20" s="408">
        <v>0</v>
      </c>
      <c r="EC20" s="408">
        <v>-91.944665509660524</v>
      </c>
      <c r="ED20" s="408">
        <v>0</v>
      </c>
      <c r="EE20" s="408">
        <v>0</v>
      </c>
      <c r="EF20" s="408">
        <v>0</v>
      </c>
      <c r="EG20" s="408">
        <v>0</v>
      </c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>
        <v>0</v>
      </c>
      <c r="EN20" s="408">
        <v>0</v>
      </c>
      <c r="EO20" s="408">
        <v>0</v>
      </c>
      <c r="EP20" s="408">
        <v>5.0184540255155019</v>
      </c>
      <c r="EQ20" s="408">
        <v>0</v>
      </c>
      <c r="ER20" s="408">
        <v>0</v>
      </c>
      <c r="ES20" s="408">
        <v>0</v>
      </c>
      <c r="ET20" s="408">
        <v>0</v>
      </c>
      <c r="EU20" s="408">
        <v>0</v>
      </c>
      <c r="EV20" s="408">
        <v>240</v>
      </c>
      <c r="EW20" s="408">
        <v>0</v>
      </c>
      <c r="EX20" s="408">
        <v>0</v>
      </c>
      <c r="EY20" s="408">
        <v>0</v>
      </c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19</v>
      </c>
      <c r="B21" s="408" t="s">
        <v>1036</v>
      </c>
      <c r="C21" s="408" t="s">
        <v>2243</v>
      </c>
      <c r="D21" s="408" t="s">
        <v>597</v>
      </c>
      <c r="E21" s="408" t="s">
        <v>970</v>
      </c>
      <c r="F21" s="408" t="s">
        <v>1322</v>
      </c>
      <c r="G21" s="408" t="s">
        <v>1322</v>
      </c>
      <c r="H21" s="408" t="s">
        <v>1322</v>
      </c>
      <c r="I21" s="408" t="s">
        <v>2244</v>
      </c>
      <c r="J21" s="408" t="s">
        <v>2236</v>
      </c>
      <c r="K21" s="826">
        <v>44378</v>
      </c>
      <c r="L21" s="408">
        <v>0</v>
      </c>
      <c r="M21" s="408">
        <v>0</v>
      </c>
      <c r="N21" s="408">
        <v>3479.0419999999999</v>
      </c>
      <c r="O21" s="408">
        <v>3479.0419999999999</v>
      </c>
      <c r="P21" s="408">
        <v>3479.0419999999999</v>
      </c>
      <c r="Q21" s="408">
        <v>3479.0419999999999</v>
      </c>
      <c r="R21" s="408"/>
      <c r="S21" s="408">
        <v>85.01</v>
      </c>
      <c r="T21" s="408">
        <v>173.25</v>
      </c>
      <c r="U21" s="408"/>
      <c r="V21" s="408">
        <v>898497.38691999996</v>
      </c>
      <c r="W21" s="408">
        <v>898497.38691999996</v>
      </c>
      <c r="X21" s="408">
        <v>969504.63413999998</v>
      </c>
      <c r="Y21" s="408">
        <v>0</v>
      </c>
      <c r="Z21" s="408">
        <v>186282.90120602431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592621.65146606846</v>
      </c>
      <c r="AG21" s="408">
        <v>10114.387556561293</v>
      </c>
      <c r="AH21" s="408">
        <v>0</v>
      </c>
      <c r="AI21" s="408">
        <v>0</v>
      </c>
      <c r="AJ21" s="408">
        <v>0</v>
      </c>
      <c r="AK21" s="408">
        <v>0</v>
      </c>
      <c r="AL21" s="408">
        <v>33082.315714086748</v>
      </c>
      <c r="AM21" s="408"/>
      <c r="AN21" s="408">
        <v>2786.0649394796965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0</v>
      </c>
      <c r="BE21" s="408">
        <v>0</v>
      </c>
      <c r="BF21" s="408">
        <v>0</v>
      </c>
      <c r="BG21" s="408">
        <v>26018.560355851296</v>
      </c>
      <c r="BH21" s="408">
        <v>0</v>
      </c>
      <c r="BI21" s="408">
        <v>0</v>
      </c>
      <c r="BJ21" s="408">
        <v>0</v>
      </c>
      <c r="BK21" s="408">
        <v>0</v>
      </c>
      <c r="BL21" s="408">
        <v>0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618640.21182191977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969504.07679999992</v>
      </c>
      <c r="CJ21" s="408">
        <v>71006.659879999934</v>
      </c>
      <c r="CK21" s="408"/>
      <c r="CL21" s="408"/>
      <c r="CM21" s="408"/>
      <c r="CN21" s="408"/>
      <c r="CO21" s="408">
        <v>-4105.2695600000234</v>
      </c>
      <c r="CP21" s="408">
        <v>75112.516780000005</v>
      </c>
      <c r="CQ21" s="408">
        <v>31</v>
      </c>
      <c r="CR21" s="408">
        <v>70997.167733219918</v>
      </c>
      <c r="CS21" s="408">
        <v>0</v>
      </c>
      <c r="CT21" s="408">
        <v>0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0</v>
      </c>
      <c r="DA21" s="408">
        <v>0</v>
      </c>
      <c r="DB21" s="408">
        <v>0</v>
      </c>
      <c r="DC21" s="408">
        <v>75104.036142493715</v>
      </c>
      <c r="DD21" s="408">
        <v>0</v>
      </c>
      <c r="DE21" s="408">
        <v>0</v>
      </c>
      <c r="DF21" s="408">
        <v>0</v>
      </c>
      <c r="DG21" s="408">
        <v>3297.3801961290264</v>
      </c>
      <c r="DH21" s="408">
        <v>0</v>
      </c>
      <c r="DI21" s="408">
        <v>-6325.577849869529</v>
      </c>
      <c r="DJ21" s="408"/>
      <c r="DK21" s="408">
        <v>0</v>
      </c>
      <c r="DL21" s="408">
        <v>0</v>
      </c>
      <c r="DM21" s="408">
        <v>0</v>
      </c>
      <c r="DN21" s="408">
        <v>0</v>
      </c>
      <c r="DO21" s="408">
        <v>-999.84899467667128</v>
      </c>
      <c r="DP21" s="408">
        <v>-78.821760856604669</v>
      </c>
      <c r="DQ21" s="408">
        <v>0</v>
      </c>
      <c r="DR21" s="408">
        <v>0</v>
      </c>
      <c r="DS21" s="408"/>
      <c r="DT21" s="408"/>
      <c r="DU21" s="408"/>
      <c r="DV21" s="408">
        <v>0</v>
      </c>
      <c r="DW21" s="408">
        <v>0</v>
      </c>
      <c r="DX21" s="408">
        <v>0</v>
      </c>
      <c r="DY21" s="408">
        <v>-4105.2695599999861</v>
      </c>
      <c r="DZ21" s="408">
        <v>75112.516779999947</v>
      </c>
      <c r="EA21" s="408">
        <v>0</v>
      </c>
      <c r="EB21" s="408">
        <v>0</v>
      </c>
      <c r="EC21" s="408">
        <v>0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47573.330599012268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240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20</v>
      </c>
      <c r="B22" s="408" t="s">
        <v>2238</v>
      </c>
      <c r="C22" s="408" t="s">
        <v>2243</v>
      </c>
      <c r="D22" s="408" t="s">
        <v>597</v>
      </c>
      <c r="E22" s="408" t="s">
        <v>970</v>
      </c>
      <c r="F22" s="408" t="s">
        <v>1322</v>
      </c>
      <c r="G22" s="408" t="s">
        <v>1322</v>
      </c>
      <c r="H22" s="408" t="s">
        <v>1322</v>
      </c>
      <c r="I22" s="408" t="s">
        <v>2244</v>
      </c>
      <c r="J22" s="408" t="s">
        <v>2236</v>
      </c>
      <c r="K22" s="826">
        <v>44378</v>
      </c>
      <c r="L22" s="408">
        <v>0</v>
      </c>
      <c r="M22" s="408">
        <v>0</v>
      </c>
      <c r="N22" s="408">
        <v>11.845000000000001</v>
      </c>
      <c r="O22" s="408">
        <v>11.845000000000001</v>
      </c>
      <c r="P22" s="408">
        <v>11.845000000000001</v>
      </c>
      <c r="Q22" s="408">
        <v>11.845000000000001</v>
      </c>
      <c r="R22" s="408"/>
      <c r="S22" s="408">
        <v>85.01</v>
      </c>
      <c r="T22" s="408">
        <v>173.25</v>
      </c>
      <c r="U22" s="408"/>
      <c r="V22" s="408">
        <v>3059.0897000000004</v>
      </c>
      <c r="W22" s="408">
        <v>3059.0897000000004</v>
      </c>
      <c r="X22" s="408">
        <v>3300.8461500000003</v>
      </c>
      <c r="Y22" s="408">
        <v>0</v>
      </c>
      <c r="Z22" s="408">
        <v>634.23234464699135</v>
      </c>
      <c r="AA22" s="408">
        <v>0</v>
      </c>
      <c r="AB22" s="408">
        <v>0</v>
      </c>
      <c r="AC22" s="408">
        <v>0</v>
      </c>
      <c r="AD22" s="408">
        <v>0</v>
      </c>
      <c r="AE22" s="408">
        <v>0</v>
      </c>
      <c r="AF22" s="408">
        <v>2017.6828740830326</v>
      </c>
      <c r="AG22" s="408">
        <v>34.436181169261111</v>
      </c>
      <c r="AH22" s="408">
        <v>0</v>
      </c>
      <c r="AI22" s="408">
        <v>0</v>
      </c>
      <c r="AJ22" s="408">
        <v>0</v>
      </c>
      <c r="AK22" s="408">
        <v>0</v>
      </c>
      <c r="AL22" s="408">
        <v>112.63446363491948</v>
      </c>
      <c r="AM22" s="408"/>
      <c r="AN22" s="408">
        <v>9.4856397847847216</v>
      </c>
      <c r="AO22" s="408">
        <v>0</v>
      </c>
      <c r="AP22" s="408">
        <v>0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0</v>
      </c>
      <c r="BF22" s="408">
        <v>0</v>
      </c>
      <c r="BG22" s="408">
        <v>88.584687225695646</v>
      </c>
      <c r="BH22" s="408">
        <v>0</v>
      </c>
      <c r="BI22" s="408">
        <v>0</v>
      </c>
      <c r="BJ22" s="408">
        <v>0</v>
      </c>
      <c r="BK22" s="408">
        <v>0</v>
      </c>
      <c r="BL22" s="408">
        <v>0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2106.2675613087281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3302.2394999999997</v>
      </c>
      <c r="CJ22" s="408">
        <v>243.11979999999903</v>
      </c>
      <c r="CK22" s="408"/>
      <c r="CL22" s="408"/>
      <c r="CM22" s="408"/>
      <c r="CN22" s="408"/>
      <c r="CO22" s="408">
        <v>-13.977100000000082</v>
      </c>
      <c r="CP22" s="408">
        <v>255.73355000000006</v>
      </c>
      <c r="CQ22" s="408">
        <v>31</v>
      </c>
      <c r="CR22" s="408">
        <v>241.72213264455831</v>
      </c>
      <c r="CS22" s="408">
        <v>0</v>
      </c>
      <c r="CT22" s="408">
        <v>0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0</v>
      </c>
      <c r="DA22" s="408">
        <v>0</v>
      </c>
      <c r="DB22" s="408">
        <v>0</v>
      </c>
      <c r="DC22" s="408">
        <v>255.70467620334489</v>
      </c>
      <c r="DD22" s="408">
        <v>0</v>
      </c>
      <c r="DE22" s="408">
        <v>0</v>
      </c>
      <c r="DF22" s="408">
        <v>0</v>
      </c>
      <c r="DG22" s="408">
        <v>11.226500980197514</v>
      </c>
      <c r="DH22" s="408">
        <v>0</v>
      </c>
      <c r="DI22" s="408">
        <v>-21.536523454360236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-3.4041587718530479</v>
      </c>
      <c r="DP22" s="408">
        <v>-0.26836231277072464</v>
      </c>
      <c r="DQ22" s="408">
        <v>0</v>
      </c>
      <c r="DR22" s="408">
        <v>0</v>
      </c>
      <c r="DS22" s="408"/>
      <c r="DT22" s="408"/>
      <c r="DU22" s="408"/>
      <c r="DV22" s="408">
        <v>0</v>
      </c>
      <c r="DW22" s="408">
        <v>0</v>
      </c>
      <c r="DX22" s="408">
        <v>0</v>
      </c>
      <c r="DY22" s="408">
        <v>-13.977100000000064</v>
      </c>
      <c r="DZ22" s="408">
        <v>255.73354999999992</v>
      </c>
      <c r="EA22" s="408">
        <v>0</v>
      </c>
      <c r="EB22" s="408">
        <v>0</v>
      </c>
      <c r="EC22" s="408">
        <v>0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161.97162924313659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240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21</v>
      </c>
      <c r="B23" s="408" t="s">
        <v>1036</v>
      </c>
      <c r="C23" s="408" t="s">
        <v>2243</v>
      </c>
      <c r="D23" s="408" t="s">
        <v>597</v>
      </c>
      <c r="E23" s="408" t="s">
        <v>970</v>
      </c>
      <c r="F23" s="408" t="s">
        <v>1322</v>
      </c>
      <c r="G23" s="408" t="s">
        <v>1322</v>
      </c>
      <c r="H23" s="408" t="s">
        <v>1322</v>
      </c>
      <c r="I23" s="408" t="s">
        <v>1322</v>
      </c>
      <c r="J23" s="408" t="s">
        <v>2236</v>
      </c>
      <c r="K23" s="826">
        <v>44378</v>
      </c>
      <c r="L23" s="408">
        <v>19218</v>
      </c>
      <c r="M23" s="408">
        <v>19218</v>
      </c>
      <c r="N23" s="408">
        <v>0</v>
      </c>
      <c r="O23" s="408">
        <v>0</v>
      </c>
      <c r="P23" s="408">
        <v>0</v>
      </c>
      <c r="Q23" s="408">
        <v>0</v>
      </c>
      <c r="R23" s="408">
        <v>27.19</v>
      </c>
      <c r="S23" s="408"/>
      <c r="T23" s="408"/>
      <c r="U23" s="408">
        <v>522537.42000000004</v>
      </c>
      <c r="V23" s="408"/>
      <c r="W23" s="408">
        <v>522537.42000000004</v>
      </c>
      <c r="X23" s="408">
        <v>418183.68000000005</v>
      </c>
      <c r="Y23" s="408">
        <v>0</v>
      </c>
      <c r="Z23" s="408">
        <v>0</v>
      </c>
      <c r="AA23" s="408">
        <v>0</v>
      </c>
      <c r="AB23" s="408">
        <v>0</v>
      </c>
      <c r="AC23" s="408">
        <v>4481.6493888509249</v>
      </c>
      <c r="AD23" s="408">
        <v>4305.5015430208086</v>
      </c>
      <c r="AE23" s="408">
        <v>459925.75721303927</v>
      </c>
      <c r="AF23" s="408"/>
      <c r="AG23" s="408"/>
      <c r="AH23" s="408"/>
      <c r="AI23" s="408">
        <v>0</v>
      </c>
      <c r="AJ23" s="408">
        <v>0</v>
      </c>
      <c r="AK23" s="408">
        <v>0</v>
      </c>
      <c r="AL23" s="408">
        <v>0</v>
      </c>
      <c r="AM23" s="408"/>
      <c r="AN23" s="408">
        <v>0</v>
      </c>
      <c r="AO23" s="408">
        <v>9510.6966838965363</v>
      </c>
      <c r="AP23" s="408">
        <v>44356.851384994814</v>
      </c>
      <c r="AQ23" s="408">
        <v>0</v>
      </c>
      <c r="AR23" s="408">
        <v>0</v>
      </c>
      <c r="AS23" s="408"/>
      <c r="AT23" s="408"/>
      <c r="AU23" s="408">
        <v>0</v>
      </c>
      <c r="AV23" s="408">
        <v>0</v>
      </c>
      <c r="AW23" s="408">
        <v>0</v>
      </c>
      <c r="AX23" s="408"/>
      <c r="AY23" s="408"/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0</v>
      </c>
      <c r="BF23" s="408"/>
      <c r="BG23" s="408">
        <v>0</v>
      </c>
      <c r="BH23" s="408">
        <v>0</v>
      </c>
      <c r="BI23" s="408">
        <v>1380.1</v>
      </c>
      <c r="BJ23" s="408">
        <v>11834.48</v>
      </c>
      <c r="BK23" s="408">
        <v>419336.5</v>
      </c>
      <c r="BL23" s="408">
        <v>113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0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418183.68000000005</v>
      </c>
      <c r="CJ23" s="408">
        <v>-104353.77000000002</v>
      </c>
      <c r="CK23" s="408"/>
      <c r="CL23" s="408"/>
      <c r="CM23" s="408"/>
      <c r="CN23" s="408"/>
      <c r="CO23" s="408">
        <v>-104353.73999999999</v>
      </c>
      <c r="CP23" s="408">
        <v>0</v>
      </c>
      <c r="CQ23" s="408">
        <v>31</v>
      </c>
      <c r="CR23" s="408">
        <v>9801.0260434221127</v>
      </c>
      <c r="CS23" s="408">
        <v>947.7205959817984</v>
      </c>
      <c r="CT23" s="408">
        <v>4420.0654302898765</v>
      </c>
      <c r="CU23" s="408">
        <v>0</v>
      </c>
      <c r="CV23" s="408">
        <v>0</v>
      </c>
      <c r="CW23" s="408"/>
      <c r="CX23" s="408"/>
      <c r="CY23" s="408"/>
      <c r="CZ23" s="408">
        <v>4433.2400171504332</v>
      </c>
      <c r="DA23" s="408">
        <v>0</v>
      </c>
      <c r="DB23" s="408">
        <v>0</v>
      </c>
      <c r="DC23" s="408"/>
      <c r="DD23" s="408"/>
      <c r="DE23" s="408">
        <v>0</v>
      </c>
      <c r="DF23" s="408">
        <v>0</v>
      </c>
      <c r="DG23" s="408">
        <v>0</v>
      </c>
      <c r="DH23" s="408">
        <v>0</v>
      </c>
      <c r="DI23" s="408">
        <v>0</v>
      </c>
      <c r="DJ23" s="408"/>
      <c r="DK23" s="408">
        <v>0</v>
      </c>
      <c r="DL23" s="408">
        <v>0</v>
      </c>
      <c r="DM23" s="408"/>
      <c r="DN23" s="408">
        <v>0</v>
      </c>
      <c r="DO23" s="408">
        <v>0</v>
      </c>
      <c r="DP23" s="408">
        <v>0</v>
      </c>
      <c r="DQ23" s="408">
        <v>0</v>
      </c>
      <c r="DR23" s="408">
        <v>0</v>
      </c>
      <c r="DS23" s="408"/>
      <c r="DT23" s="408"/>
      <c r="DU23" s="408">
        <v>459925.75721303927</v>
      </c>
      <c r="DV23" s="408"/>
      <c r="DW23" s="408">
        <v>0</v>
      </c>
      <c r="DX23" s="408">
        <v>0</v>
      </c>
      <c r="DY23" s="408">
        <v>-104353.73999999999</v>
      </c>
      <c r="DZ23" s="408"/>
      <c r="EA23" s="408">
        <v>0</v>
      </c>
      <c r="EB23" s="408"/>
      <c r="EC23" s="408">
        <v>-114253.35961278784</v>
      </c>
      <c r="ED23" s="408"/>
      <c r="EE23" s="408">
        <v>0</v>
      </c>
      <c r="EF23" s="408">
        <v>0</v>
      </c>
      <c r="EG23" s="408"/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/>
      <c r="EN23" s="408"/>
      <c r="EO23" s="408">
        <v>0</v>
      </c>
      <c r="EP23" s="408">
        <v>0</v>
      </c>
      <c r="EQ23" s="408"/>
      <c r="ER23" s="408">
        <v>0</v>
      </c>
      <c r="ES23" s="408"/>
      <c r="ET23" s="408">
        <v>0</v>
      </c>
      <c r="EU23" s="408"/>
      <c r="EV23" s="408">
        <v>240</v>
      </c>
      <c r="EW23" s="408"/>
      <c r="EX23" s="408"/>
      <c r="EY23" s="408"/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22</v>
      </c>
      <c r="B24" s="408" t="s">
        <v>2238</v>
      </c>
      <c r="C24" s="408" t="s">
        <v>2243</v>
      </c>
      <c r="D24" s="408" t="s">
        <v>597</v>
      </c>
      <c r="E24" s="408" t="s">
        <v>970</v>
      </c>
      <c r="F24" s="408" t="s">
        <v>1322</v>
      </c>
      <c r="G24" s="408" t="s">
        <v>1322</v>
      </c>
      <c r="H24" s="408" t="s">
        <v>1322</v>
      </c>
      <c r="I24" s="408" t="s">
        <v>1322</v>
      </c>
      <c r="J24" s="408" t="s">
        <v>2236</v>
      </c>
      <c r="K24" s="826">
        <v>44378</v>
      </c>
      <c r="L24" s="408">
        <v>275</v>
      </c>
      <c r="M24" s="408">
        <v>275</v>
      </c>
      <c r="N24" s="408">
        <v>0</v>
      </c>
      <c r="O24" s="408">
        <v>0</v>
      </c>
      <c r="P24" s="408">
        <v>0</v>
      </c>
      <c r="Q24" s="408">
        <v>0</v>
      </c>
      <c r="R24" s="408">
        <v>27.19</v>
      </c>
      <c r="S24" s="408"/>
      <c r="T24" s="408"/>
      <c r="U24" s="408">
        <v>7477.25</v>
      </c>
      <c r="V24" s="408"/>
      <c r="W24" s="408">
        <v>7477.25</v>
      </c>
      <c r="X24" s="408">
        <v>5984</v>
      </c>
      <c r="Y24" s="408">
        <v>0</v>
      </c>
      <c r="Z24" s="408">
        <v>0</v>
      </c>
      <c r="AA24" s="408">
        <v>0</v>
      </c>
      <c r="AB24" s="408">
        <v>0</v>
      </c>
      <c r="AC24" s="408">
        <v>64.130168692580099</v>
      </c>
      <c r="AD24" s="408">
        <v>61.609580826866605</v>
      </c>
      <c r="AE24" s="408">
        <v>6581.3083168688618</v>
      </c>
      <c r="AF24" s="408"/>
      <c r="AG24" s="408"/>
      <c r="AH24" s="408"/>
      <c r="AI24" s="408">
        <v>0</v>
      </c>
      <c r="AJ24" s="408">
        <v>0</v>
      </c>
      <c r="AK24" s="408">
        <v>0</v>
      </c>
      <c r="AL24" s="408">
        <v>0</v>
      </c>
      <c r="AM24" s="408"/>
      <c r="AN24" s="408">
        <v>0</v>
      </c>
      <c r="AO24" s="408">
        <v>136.09332854987761</v>
      </c>
      <c r="AP24" s="408">
        <v>634.72443182815982</v>
      </c>
      <c r="AQ24" s="408">
        <v>0</v>
      </c>
      <c r="AR24" s="408">
        <v>0</v>
      </c>
      <c r="AS24" s="408"/>
      <c r="AT24" s="408"/>
      <c r="AU24" s="408">
        <v>0</v>
      </c>
      <c r="AV24" s="408">
        <v>0</v>
      </c>
      <c r="AW24" s="408">
        <v>0</v>
      </c>
      <c r="AX24" s="408"/>
      <c r="AY24" s="408"/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</v>
      </c>
      <c r="BF24" s="408"/>
      <c r="BG24" s="408">
        <v>0</v>
      </c>
      <c r="BH24" s="408">
        <v>0</v>
      </c>
      <c r="BI24" s="408">
        <v>7.58</v>
      </c>
      <c r="BJ24" s="408">
        <v>64.989999999999995</v>
      </c>
      <c r="BK24" s="408">
        <v>1687.58</v>
      </c>
      <c r="BL24" s="408">
        <v>1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>
        <v>0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5984</v>
      </c>
      <c r="CJ24" s="408">
        <v>-1493.2800000000007</v>
      </c>
      <c r="CK24" s="408"/>
      <c r="CL24" s="408"/>
      <c r="CM24" s="408"/>
      <c r="CN24" s="408"/>
      <c r="CO24" s="408">
        <v>-1493.25</v>
      </c>
      <c r="CP24" s="408">
        <v>0</v>
      </c>
      <c r="CQ24" s="408">
        <v>31</v>
      </c>
      <c r="CR24" s="408">
        <v>140.2477969581164</v>
      </c>
      <c r="CS24" s="408">
        <v>13.561409298313777</v>
      </c>
      <c r="CT24" s="408">
        <v>63.248932944620378</v>
      </c>
      <c r="CU24" s="408">
        <v>0</v>
      </c>
      <c r="CV24" s="408">
        <v>0</v>
      </c>
      <c r="CW24" s="408"/>
      <c r="CX24" s="408"/>
      <c r="CY24" s="408"/>
      <c r="CZ24" s="408">
        <v>63.437454715182071</v>
      </c>
      <c r="DA24" s="408">
        <v>0</v>
      </c>
      <c r="DB24" s="408">
        <v>0</v>
      </c>
      <c r="DC24" s="408"/>
      <c r="DD24" s="408"/>
      <c r="DE24" s="408">
        <v>0</v>
      </c>
      <c r="DF24" s="408">
        <v>0</v>
      </c>
      <c r="DG24" s="408">
        <v>0</v>
      </c>
      <c r="DH24" s="408">
        <v>0</v>
      </c>
      <c r="DI24" s="408">
        <v>0</v>
      </c>
      <c r="DJ24" s="408"/>
      <c r="DK24" s="408">
        <v>0</v>
      </c>
      <c r="DL24" s="408">
        <v>0</v>
      </c>
      <c r="DM24" s="408"/>
      <c r="DN24" s="408">
        <v>0</v>
      </c>
      <c r="DO24" s="408">
        <v>0</v>
      </c>
      <c r="DP24" s="408">
        <v>0</v>
      </c>
      <c r="DQ24" s="408">
        <v>0</v>
      </c>
      <c r="DR24" s="408">
        <v>0</v>
      </c>
      <c r="DS24" s="408"/>
      <c r="DT24" s="408"/>
      <c r="DU24" s="408">
        <v>6581.3083168688618</v>
      </c>
      <c r="DV24" s="408"/>
      <c r="DW24" s="408">
        <v>0</v>
      </c>
      <c r="DX24" s="408">
        <v>0</v>
      </c>
      <c r="DY24" s="408">
        <v>-1493.25</v>
      </c>
      <c r="DZ24" s="408"/>
      <c r="EA24" s="408">
        <v>0</v>
      </c>
      <c r="EB24" s="408"/>
      <c r="EC24" s="408">
        <v>-1634.908621787732</v>
      </c>
      <c r="ED24" s="408"/>
      <c r="EE24" s="408">
        <v>0</v>
      </c>
      <c r="EF24" s="408">
        <v>0</v>
      </c>
      <c r="EG24" s="408"/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/>
      <c r="EN24" s="408"/>
      <c r="EO24" s="408">
        <v>0</v>
      </c>
      <c r="EP24" s="408">
        <v>0</v>
      </c>
      <c r="EQ24" s="408"/>
      <c r="ER24" s="408">
        <v>0</v>
      </c>
      <c r="ES24" s="408"/>
      <c r="ET24" s="408">
        <v>0</v>
      </c>
      <c r="EU24" s="408"/>
      <c r="EV24" s="408">
        <v>240</v>
      </c>
      <c r="EW24" s="408"/>
      <c r="EX24" s="408"/>
      <c r="EY24" s="408"/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23</v>
      </c>
      <c r="B25" s="408" t="s">
        <v>1036</v>
      </c>
      <c r="C25" s="408" t="s">
        <v>2316</v>
      </c>
      <c r="D25" s="408" t="s">
        <v>1958</v>
      </c>
      <c r="E25" s="408" t="s">
        <v>970</v>
      </c>
      <c r="F25" s="408" t="s">
        <v>1322</v>
      </c>
      <c r="G25" s="408" t="s">
        <v>1322</v>
      </c>
      <c r="H25" s="408" t="s">
        <v>1322</v>
      </c>
      <c r="I25" s="408" t="s">
        <v>973</v>
      </c>
      <c r="J25" s="408" t="s">
        <v>2236</v>
      </c>
      <c r="K25" s="826">
        <v>44378</v>
      </c>
      <c r="L25" s="408">
        <v>0</v>
      </c>
      <c r="M25" s="408">
        <v>0</v>
      </c>
      <c r="N25" s="408">
        <v>1.6E-2</v>
      </c>
      <c r="O25" s="408">
        <v>1.6E-2</v>
      </c>
      <c r="P25" s="408">
        <v>1.6E-2</v>
      </c>
      <c r="Q25" s="408">
        <v>1.6E-2</v>
      </c>
      <c r="R25" s="408"/>
      <c r="S25" s="408">
        <v>1553.42</v>
      </c>
      <c r="T25" s="408">
        <v>173.25</v>
      </c>
      <c r="U25" s="408"/>
      <c r="V25" s="408">
        <v>27.626719999999999</v>
      </c>
      <c r="W25" s="408">
        <v>27.626719999999999</v>
      </c>
      <c r="X25" s="408">
        <v>26.211840000000002</v>
      </c>
      <c r="Y25" s="408">
        <v>0</v>
      </c>
      <c r="Z25" s="408">
        <v>0.98472293118992638</v>
      </c>
      <c r="AA25" s="408">
        <v>0</v>
      </c>
      <c r="AB25" s="408">
        <v>0</v>
      </c>
      <c r="AC25" s="408">
        <v>1.7351879368097121</v>
      </c>
      <c r="AD25" s="408">
        <v>0.1199939216662472</v>
      </c>
      <c r="AE25" s="408">
        <v>11.494206455079985</v>
      </c>
      <c r="AF25" s="408">
        <v>2.7254475293650082</v>
      </c>
      <c r="AG25" s="408">
        <v>4.6515736488660003E-2</v>
      </c>
      <c r="AH25" s="408">
        <v>0</v>
      </c>
      <c r="AI25" s="408">
        <v>0</v>
      </c>
      <c r="AJ25" s="408">
        <v>0</v>
      </c>
      <c r="AK25" s="408">
        <v>0</v>
      </c>
      <c r="AL25" s="408">
        <v>0.15214448443720657</v>
      </c>
      <c r="AM25" s="408"/>
      <c r="AN25" s="408">
        <v>1.932570742980352E-2</v>
      </c>
      <c r="AO25" s="408">
        <v>5.0488634355239519</v>
      </c>
      <c r="AP25" s="408">
        <v>4.9056975117085759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  <c r="AY25" s="408">
        <v>0</v>
      </c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0</v>
      </c>
      <c r="BF25" s="408">
        <v>0</v>
      </c>
      <c r="BG25" s="408">
        <v>0.1430366692005757</v>
      </c>
      <c r="BH25" s="408">
        <v>0</v>
      </c>
      <c r="BI25" s="408">
        <v>0</v>
      </c>
      <c r="BJ25" s="408">
        <v>0</v>
      </c>
      <c r="BK25" s="408">
        <v>0</v>
      </c>
      <c r="BL25" s="408">
        <v>0</v>
      </c>
      <c r="BM25" s="408"/>
      <c r="BN25" s="408"/>
      <c r="BO25" s="408"/>
      <c r="BP25" s="408"/>
      <c r="BQ25" s="408"/>
      <c r="BR25" s="408"/>
      <c r="BS25" s="408"/>
      <c r="BT25" s="408"/>
      <c r="BU25" s="408"/>
      <c r="BV25" s="408">
        <v>2.868484198565584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32.764800000000001</v>
      </c>
      <c r="CJ25" s="408">
        <v>5.1080799999999975</v>
      </c>
      <c r="CK25" s="408"/>
      <c r="CL25" s="408"/>
      <c r="CM25" s="408"/>
      <c r="CN25" s="408"/>
      <c r="CO25" s="408">
        <v>-1.7603199999999997</v>
      </c>
      <c r="CP25" s="408">
        <v>0.34544000000000008</v>
      </c>
      <c r="CQ25" s="408">
        <v>31</v>
      </c>
      <c r="CR25" s="408">
        <v>1.4404499017061703</v>
      </c>
      <c r="CS25" s="408">
        <v>0.50310844969404833</v>
      </c>
      <c r="CT25" s="408">
        <v>0.48884227139479997</v>
      </c>
      <c r="CU25" s="408">
        <v>0</v>
      </c>
      <c r="CV25" s="408">
        <v>0</v>
      </c>
      <c r="CW25" s="408">
        <v>0</v>
      </c>
      <c r="CX25" s="408">
        <v>0</v>
      </c>
      <c r="CY25" s="408">
        <v>0</v>
      </c>
      <c r="CZ25" s="408">
        <v>0.12355398088474159</v>
      </c>
      <c r="DA25" s="408">
        <v>0</v>
      </c>
      <c r="DB25" s="408">
        <v>0</v>
      </c>
      <c r="DC25" s="408">
        <v>0.34540099782638389</v>
      </c>
      <c r="DD25" s="408">
        <v>0</v>
      </c>
      <c r="DE25" s="408">
        <v>0</v>
      </c>
      <c r="DF25" s="408">
        <v>0</v>
      </c>
      <c r="DG25" s="408">
        <v>1.8127301199283519E-2</v>
      </c>
      <c r="DH25" s="408">
        <v>0</v>
      </c>
      <c r="DI25" s="408">
        <v>-3.3438074678172836E-2</v>
      </c>
      <c r="DJ25" s="408"/>
      <c r="DK25" s="408">
        <v>0</v>
      </c>
      <c r="DL25" s="408">
        <v>0</v>
      </c>
      <c r="DM25" s="408">
        <v>0</v>
      </c>
      <c r="DN25" s="408">
        <v>0</v>
      </c>
      <c r="DO25" s="408">
        <v>-4.5982727184169514E-3</v>
      </c>
      <c r="DP25" s="408">
        <v>-5.4675189649424152E-4</v>
      </c>
      <c r="DQ25" s="408">
        <v>0</v>
      </c>
      <c r="DR25" s="408">
        <v>0</v>
      </c>
      <c r="DS25" s="408"/>
      <c r="DT25" s="408"/>
      <c r="DU25" s="408"/>
      <c r="DV25" s="408">
        <v>11.494206455079985</v>
      </c>
      <c r="DW25" s="408">
        <v>0</v>
      </c>
      <c r="DX25" s="408">
        <v>0</v>
      </c>
      <c r="DY25" s="408">
        <v>-1.7603200000000001</v>
      </c>
      <c r="DZ25" s="408">
        <v>0.34543999999999997</v>
      </c>
      <c r="EA25" s="408">
        <v>0</v>
      </c>
      <c r="EB25" s="408">
        <v>0</v>
      </c>
      <c r="EC25" s="408">
        <v>-2.8553558546789279</v>
      </c>
      <c r="ED25" s="408">
        <v>0</v>
      </c>
      <c r="EE25" s="408">
        <v>0</v>
      </c>
      <c r="EF25" s="408">
        <v>0</v>
      </c>
      <c r="EG25" s="408">
        <v>0</v>
      </c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>
        <v>0</v>
      </c>
      <c r="EN25" s="408">
        <v>0</v>
      </c>
      <c r="EO25" s="408">
        <v>0</v>
      </c>
      <c r="EP25" s="408">
        <v>0.25148067402125923</v>
      </c>
      <c r="EQ25" s="408">
        <v>0</v>
      </c>
      <c r="ER25" s="408">
        <v>0</v>
      </c>
      <c r="ES25" s="408">
        <v>0</v>
      </c>
      <c r="ET25" s="408">
        <v>0</v>
      </c>
      <c r="EU25" s="408">
        <v>0</v>
      </c>
      <c r="EV25" s="408">
        <v>240</v>
      </c>
      <c r="EW25" s="408">
        <v>0</v>
      </c>
      <c r="EX25" s="408">
        <v>0</v>
      </c>
      <c r="EY25" s="408">
        <v>0</v>
      </c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24</v>
      </c>
      <c r="B26" s="408" t="s">
        <v>1036</v>
      </c>
      <c r="C26" s="408" t="s">
        <v>2316</v>
      </c>
      <c r="D26" s="408" t="s">
        <v>1958</v>
      </c>
      <c r="E26" s="408" t="s">
        <v>970</v>
      </c>
      <c r="F26" s="408" t="s">
        <v>1322</v>
      </c>
      <c r="G26" s="408" t="s">
        <v>1322</v>
      </c>
      <c r="H26" s="408" t="s">
        <v>1322</v>
      </c>
      <c r="I26" s="408" t="s">
        <v>2244</v>
      </c>
      <c r="J26" s="408" t="s">
        <v>2236</v>
      </c>
      <c r="K26" s="826">
        <v>44378</v>
      </c>
      <c r="L26" s="408">
        <v>0</v>
      </c>
      <c r="M26" s="408">
        <v>0</v>
      </c>
      <c r="N26" s="408">
        <v>1.3340000000000001</v>
      </c>
      <c r="O26" s="408">
        <v>1.3340000000000001</v>
      </c>
      <c r="P26" s="408">
        <v>1.3340000000000001</v>
      </c>
      <c r="Q26" s="408">
        <v>1.3340000000000001</v>
      </c>
      <c r="R26" s="408"/>
      <c r="S26" s="408">
        <v>388.22</v>
      </c>
      <c r="T26" s="408">
        <v>173.25</v>
      </c>
      <c r="U26" s="408"/>
      <c r="V26" s="408">
        <v>749.00098000000003</v>
      </c>
      <c r="W26" s="408">
        <v>749.00098000000003</v>
      </c>
      <c r="X26" s="408">
        <v>747.0800200000001</v>
      </c>
      <c r="Y26" s="408">
        <v>0</v>
      </c>
      <c r="Z26" s="408">
        <v>82.101274387960117</v>
      </c>
      <c r="AA26" s="408">
        <v>0</v>
      </c>
      <c r="AB26" s="408">
        <v>0</v>
      </c>
      <c r="AC26" s="408">
        <v>28.934258846301951</v>
      </c>
      <c r="AD26" s="408">
        <v>2.0009005159460185</v>
      </c>
      <c r="AE26" s="408">
        <v>191.66603629870124</v>
      </c>
      <c r="AF26" s="408">
        <v>227.23418776080754</v>
      </c>
      <c r="AG26" s="408">
        <v>3.8782495297420279</v>
      </c>
      <c r="AH26" s="408">
        <v>0</v>
      </c>
      <c r="AI26" s="408">
        <v>0</v>
      </c>
      <c r="AJ26" s="408">
        <v>0</v>
      </c>
      <c r="AK26" s="408">
        <v>0</v>
      </c>
      <c r="AL26" s="408">
        <v>12.685046389952097</v>
      </c>
      <c r="AM26" s="408"/>
      <c r="AN26" s="408">
        <v>1.6112808569598684</v>
      </c>
      <c r="AO26" s="408">
        <v>84.189797787361911</v>
      </c>
      <c r="AP26" s="408">
        <v>81.802506007740519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0</v>
      </c>
      <c r="BF26" s="408">
        <v>0</v>
      </c>
      <c r="BG26" s="408">
        <v>11.925682294597999</v>
      </c>
      <c r="BH26" s="408">
        <v>0</v>
      </c>
      <c r="BI26" s="408">
        <v>0</v>
      </c>
      <c r="BJ26" s="408">
        <v>0</v>
      </c>
      <c r="BK26" s="408">
        <v>0</v>
      </c>
      <c r="BL26" s="408">
        <v>0</v>
      </c>
      <c r="BM26" s="408"/>
      <c r="BN26" s="408"/>
      <c r="BO26" s="408"/>
      <c r="BP26" s="408"/>
      <c r="BQ26" s="408"/>
      <c r="BR26" s="408"/>
      <c r="BS26" s="408"/>
      <c r="BT26" s="408"/>
      <c r="BU26" s="408"/>
      <c r="BV26" s="408">
        <v>239.15987005540555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744.83990000000006</v>
      </c>
      <c r="CJ26" s="408">
        <v>-4.1910799999999426</v>
      </c>
      <c r="CK26" s="408"/>
      <c r="CL26" s="408"/>
      <c r="CM26" s="408"/>
      <c r="CN26" s="408"/>
      <c r="CO26" s="408">
        <v>-30.72202000000004</v>
      </c>
      <c r="CP26" s="408">
        <v>28.801060000000007</v>
      </c>
      <c r="CQ26" s="408">
        <v>31</v>
      </c>
      <c r="CR26" s="408">
        <v>45.693348860819469</v>
      </c>
      <c r="CS26" s="408">
        <v>8.3893333986481053</v>
      </c>
      <c r="CT26" s="408">
        <v>8.1514448755081474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2.0602645589589312</v>
      </c>
      <c r="DA26" s="408">
        <v>0</v>
      </c>
      <c r="DB26" s="408">
        <v>0</v>
      </c>
      <c r="DC26" s="408">
        <v>28.797808193774785</v>
      </c>
      <c r="DD26" s="408">
        <v>0</v>
      </c>
      <c r="DE26" s="408">
        <v>0</v>
      </c>
      <c r="DF26" s="408">
        <v>0</v>
      </c>
      <c r="DG26" s="408">
        <v>1.5113637374902638</v>
      </c>
      <c r="DH26" s="408">
        <v>0</v>
      </c>
      <c r="DI26" s="408">
        <v>-2.7878994762926652</v>
      </c>
      <c r="DJ26" s="408"/>
      <c r="DK26" s="408">
        <v>0</v>
      </c>
      <c r="DL26" s="408">
        <v>0</v>
      </c>
      <c r="DM26" s="408">
        <v>0</v>
      </c>
      <c r="DN26" s="408">
        <v>0</v>
      </c>
      <c r="DO26" s="408">
        <v>-0.383380987898013</v>
      </c>
      <c r="DP26" s="408">
        <v>-4.5585439370207093E-2</v>
      </c>
      <c r="DQ26" s="408">
        <v>0</v>
      </c>
      <c r="DR26" s="408">
        <v>0</v>
      </c>
      <c r="DS26" s="408"/>
      <c r="DT26" s="408"/>
      <c r="DU26" s="408"/>
      <c r="DV26" s="408">
        <v>191.66603629870124</v>
      </c>
      <c r="DW26" s="408">
        <v>0</v>
      </c>
      <c r="DX26" s="408">
        <v>0</v>
      </c>
      <c r="DY26" s="408">
        <v>-30.722019999999986</v>
      </c>
      <c r="DZ26" s="408">
        <v>28.801059999999978</v>
      </c>
      <c r="EA26" s="408">
        <v>0</v>
      </c>
      <c r="EB26" s="408">
        <v>0</v>
      </c>
      <c r="EC26" s="408">
        <v>-47.613094564411909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20.967201196522488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240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25</v>
      </c>
      <c r="B27" s="408" t="s">
        <v>1036</v>
      </c>
      <c r="C27" s="408" t="s">
        <v>2316</v>
      </c>
      <c r="D27" s="408" t="s">
        <v>1958</v>
      </c>
      <c r="E27" s="408" t="s">
        <v>970</v>
      </c>
      <c r="F27" s="408" t="s">
        <v>1322</v>
      </c>
      <c r="G27" s="408" t="s">
        <v>1322</v>
      </c>
      <c r="H27" s="408" t="s">
        <v>1322</v>
      </c>
      <c r="I27" s="408" t="s">
        <v>1322</v>
      </c>
      <c r="J27" s="408" t="s">
        <v>2236</v>
      </c>
      <c r="K27" s="826">
        <v>44378</v>
      </c>
      <c r="L27" s="408">
        <v>0</v>
      </c>
      <c r="M27" s="408">
        <v>0</v>
      </c>
      <c r="N27" s="408">
        <v>0</v>
      </c>
      <c r="O27" s="408">
        <v>0</v>
      </c>
      <c r="P27" s="408">
        <v>0</v>
      </c>
      <c r="Q27" s="408">
        <v>0</v>
      </c>
      <c r="R27" s="408"/>
      <c r="S27" s="408"/>
      <c r="T27" s="408"/>
      <c r="U27" s="408"/>
      <c r="V27" s="408"/>
      <c r="W27" s="408"/>
      <c r="X27" s="408"/>
      <c r="Y27" s="408"/>
      <c r="Z27" s="408"/>
      <c r="AA27" s="408">
        <v>0</v>
      </c>
      <c r="AB27" s="408"/>
      <c r="AC27" s="408"/>
      <c r="AD27" s="408"/>
      <c r="AE27" s="408"/>
      <c r="AF27" s="408"/>
      <c r="AG27" s="408"/>
      <c r="AH27" s="408"/>
      <c r="AI27" s="408"/>
      <c r="AJ27" s="408"/>
      <c r="AK27" s="408"/>
      <c r="AL27" s="408"/>
      <c r="AM27" s="408"/>
      <c r="AN27" s="408"/>
      <c r="AO27" s="408"/>
      <c r="AP27" s="408"/>
      <c r="AQ27" s="408"/>
      <c r="AR27" s="408"/>
      <c r="AS27" s="408"/>
      <c r="AT27" s="408"/>
      <c r="AU27" s="408"/>
      <c r="AV27" s="408"/>
      <c r="AW27" s="408"/>
      <c r="AX27" s="408"/>
      <c r="AY27" s="408"/>
      <c r="AZ27" s="408">
        <v>0</v>
      </c>
      <c r="BA27" s="408"/>
      <c r="BB27" s="408"/>
      <c r="BC27" s="408"/>
      <c r="BD27" s="408"/>
      <c r="BE27" s="408"/>
      <c r="BF27" s="408"/>
      <c r="BG27" s="408"/>
      <c r="BH27" s="408"/>
      <c r="BI27" s="408">
        <v>0.5</v>
      </c>
      <c r="BJ27" s="408">
        <v>4.29</v>
      </c>
      <c r="BK27" s="408">
        <v>151.87</v>
      </c>
      <c r="BL27" s="408">
        <v>1</v>
      </c>
      <c r="BM27" s="408"/>
      <c r="BN27" s="408"/>
      <c r="BO27" s="408"/>
      <c r="BP27" s="408"/>
      <c r="BQ27" s="408"/>
      <c r="BR27" s="408"/>
      <c r="BS27" s="408"/>
      <c r="BT27" s="408"/>
      <c r="BU27" s="408"/>
      <c r="BV27" s="408"/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/>
      <c r="CJ27" s="408">
        <v>-0.03</v>
      </c>
      <c r="CK27" s="408"/>
      <c r="CL27" s="408"/>
      <c r="CM27" s="408"/>
      <c r="CN27" s="408"/>
      <c r="CO27" s="408">
        <v>0</v>
      </c>
      <c r="CP27" s="408">
        <v>0</v>
      </c>
      <c r="CQ27" s="408">
        <v>31</v>
      </c>
      <c r="CR27" s="408"/>
      <c r="CS27" s="408"/>
      <c r="CT27" s="408"/>
      <c r="CU27" s="408"/>
      <c r="CV27" s="408"/>
      <c r="CW27" s="408"/>
      <c r="CX27" s="408"/>
      <c r="CY27" s="408"/>
      <c r="CZ27" s="408"/>
      <c r="DA27" s="408"/>
      <c r="DB27" s="408"/>
      <c r="DC27" s="408"/>
      <c r="DD27" s="408"/>
      <c r="DE27" s="408"/>
      <c r="DF27" s="408"/>
      <c r="DG27" s="408"/>
      <c r="DH27" s="408"/>
      <c r="DI27" s="408"/>
      <c r="DJ27" s="408"/>
      <c r="DK27" s="408">
        <v>0</v>
      </c>
      <c r="DL27" s="408"/>
      <c r="DM27" s="408"/>
      <c r="DN27" s="408"/>
      <c r="DO27" s="408"/>
      <c r="DP27" s="408"/>
      <c r="DQ27" s="408"/>
      <c r="DR27" s="408"/>
      <c r="DS27" s="408"/>
      <c r="DT27" s="408"/>
      <c r="DU27" s="408"/>
      <c r="DV27" s="408"/>
      <c r="DW27" s="408"/>
      <c r="DX27" s="408"/>
      <c r="DY27" s="408"/>
      <c r="DZ27" s="408"/>
      <c r="EA27" s="408"/>
      <c r="EB27" s="408"/>
      <c r="EC27" s="408"/>
      <c r="ED27" s="408"/>
      <c r="EE27" s="408"/>
      <c r="EF27" s="408"/>
      <c r="EG27" s="408"/>
      <c r="EH27" s="408"/>
      <c r="EI27" s="408"/>
      <c r="EJ27" s="408"/>
      <c r="EK27" s="408"/>
      <c r="EL27" s="408"/>
      <c r="EM27" s="408"/>
      <c r="EN27" s="408"/>
      <c r="EO27" s="408"/>
      <c r="EP27" s="408"/>
      <c r="EQ27" s="408"/>
      <c r="ER27" s="408"/>
      <c r="ES27" s="408"/>
      <c r="ET27" s="408"/>
      <c r="EU27" s="408"/>
      <c r="EV27" s="408">
        <v>240</v>
      </c>
      <c r="EW27" s="408"/>
      <c r="EX27" s="408"/>
      <c r="EY27" s="408"/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26</v>
      </c>
      <c r="B28" s="408" t="s">
        <v>1036</v>
      </c>
      <c r="C28" s="408" t="s">
        <v>2316</v>
      </c>
      <c r="D28" s="408" t="s">
        <v>1958</v>
      </c>
      <c r="E28" s="408" t="s">
        <v>970</v>
      </c>
      <c r="F28" s="408" t="s">
        <v>1322</v>
      </c>
      <c r="G28" s="408" t="s">
        <v>1322</v>
      </c>
      <c r="H28" s="408" t="s">
        <v>1322</v>
      </c>
      <c r="I28" s="408" t="s">
        <v>2317</v>
      </c>
      <c r="J28" s="408" t="s">
        <v>2236</v>
      </c>
      <c r="K28" s="826">
        <v>44378</v>
      </c>
      <c r="L28" s="408">
        <v>0</v>
      </c>
      <c r="M28" s="408">
        <v>0</v>
      </c>
      <c r="N28" s="408">
        <v>6.6000000000000003E-2</v>
      </c>
      <c r="O28" s="408">
        <v>6.6000000000000003E-2</v>
      </c>
      <c r="P28" s="408">
        <v>6.6000000000000003E-2</v>
      </c>
      <c r="Q28" s="408">
        <v>6.6000000000000003E-2</v>
      </c>
      <c r="R28" s="408"/>
      <c r="S28" s="408">
        <v>970.82</v>
      </c>
      <c r="T28" s="408">
        <v>173.25</v>
      </c>
      <c r="U28" s="408"/>
      <c r="V28" s="408">
        <v>75.508620000000008</v>
      </c>
      <c r="W28" s="408">
        <v>75.508620000000008</v>
      </c>
      <c r="X28" s="408">
        <v>72.542580000000001</v>
      </c>
      <c r="Y28" s="408">
        <v>0</v>
      </c>
      <c r="Z28" s="408">
        <v>4.0619820911584466</v>
      </c>
      <c r="AA28" s="408">
        <v>0</v>
      </c>
      <c r="AB28" s="408">
        <v>0</v>
      </c>
      <c r="AC28" s="408">
        <v>4.2945901436040437</v>
      </c>
      <c r="AD28" s="408">
        <v>0.29698523400098259</v>
      </c>
      <c r="AE28" s="408">
        <v>28.44816808395111</v>
      </c>
      <c r="AF28" s="408">
        <v>11.242471058630658</v>
      </c>
      <c r="AG28" s="408">
        <v>0.19187741301572253</v>
      </c>
      <c r="AH28" s="408">
        <v>0</v>
      </c>
      <c r="AI28" s="408">
        <v>0</v>
      </c>
      <c r="AJ28" s="408">
        <v>0</v>
      </c>
      <c r="AK28" s="408">
        <v>0</v>
      </c>
      <c r="AL28" s="408">
        <v>0.62759599830347712</v>
      </c>
      <c r="AM28" s="408"/>
      <c r="AN28" s="408">
        <v>7.9718543147939525E-2</v>
      </c>
      <c r="AO28" s="408">
        <v>12.495937002921769</v>
      </c>
      <c r="AP28" s="408">
        <v>12.141601341478752</v>
      </c>
      <c r="AQ28" s="408">
        <v>0</v>
      </c>
      <c r="AR28" s="408">
        <v>0</v>
      </c>
      <c r="AS28" s="408">
        <v>0</v>
      </c>
      <c r="AT28" s="408">
        <v>0</v>
      </c>
      <c r="AU28" s="408">
        <v>0</v>
      </c>
      <c r="AV28" s="408">
        <v>0</v>
      </c>
      <c r="AW28" s="408">
        <v>0</v>
      </c>
      <c r="AX28" s="408">
        <v>0</v>
      </c>
      <c r="AY28" s="408">
        <v>0</v>
      </c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>
        <v>0</v>
      </c>
      <c r="BG28" s="408">
        <v>0.59002626045237472</v>
      </c>
      <c r="BH28" s="408">
        <v>0</v>
      </c>
      <c r="BI28" s="408">
        <v>0</v>
      </c>
      <c r="BJ28" s="408">
        <v>0</v>
      </c>
      <c r="BK28" s="408">
        <v>0</v>
      </c>
      <c r="BL28" s="408">
        <v>0</v>
      </c>
      <c r="BM28" s="408"/>
      <c r="BN28" s="408"/>
      <c r="BO28" s="408"/>
      <c r="BP28" s="408"/>
      <c r="BQ28" s="408"/>
      <c r="BR28" s="408"/>
      <c r="BS28" s="408"/>
      <c r="BT28" s="408"/>
      <c r="BU28" s="408"/>
      <c r="BV28" s="408">
        <v>11.832497319083032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76.939099999999996</v>
      </c>
      <c r="CJ28" s="408">
        <v>1.4004799999999733</v>
      </c>
      <c r="CK28" s="408"/>
      <c r="CL28" s="408"/>
      <c r="CM28" s="408"/>
      <c r="CN28" s="408"/>
      <c r="CO28" s="408">
        <v>-4.3909800000000061</v>
      </c>
      <c r="CP28" s="408">
        <v>1.4249400000000003</v>
      </c>
      <c r="CQ28" s="408">
        <v>31</v>
      </c>
      <c r="CR28" s="408">
        <v>4.1012733724027441</v>
      </c>
      <c r="CS28" s="408">
        <v>1.2451934129927817</v>
      </c>
      <c r="CT28" s="408">
        <v>1.2098846217020629</v>
      </c>
      <c r="CU28" s="408">
        <v>0</v>
      </c>
      <c r="CV28" s="408">
        <v>0</v>
      </c>
      <c r="CW28" s="408">
        <v>0</v>
      </c>
      <c r="CX28" s="408">
        <v>0</v>
      </c>
      <c r="CY28" s="408">
        <v>0</v>
      </c>
      <c r="CZ28" s="408">
        <v>0.30579638881099708</v>
      </c>
      <c r="DA28" s="408">
        <v>0</v>
      </c>
      <c r="DB28" s="408">
        <v>0</v>
      </c>
      <c r="DC28" s="408">
        <v>1.4247791160338341</v>
      </c>
      <c r="DD28" s="408">
        <v>0</v>
      </c>
      <c r="DE28" s="408">
        <v>0</v>
      </c>
      <c r="DF28" s="408">
        <v>0</v>
      </c>
      <c r="DG28" s="408">
        <v>7.477511744704457E-2</v>
      </c>
      <c r="DH28" s="408">
        <v>0</v>
      </c>
      <c r="DI28" s="408">
        <v>-0.137932058047463</v>
      </c>
      <c r="DJ28" s="408"/>
      <c r="DK28" s="408">
        <v>0</v>
      </c>
      <c r="DL28" s="408">
        <v>0</v>
      </c>
      <c r="DM28" s="408">
        <v>0</v>
      </c>
      <c r="DN28" s="408">
        <v>0</v>
      </c>
      <c r="DO28" s="408">
        <v>-1.8967874963469966E-2</v>
      </c>
      <c r="DP28" s="408">
        <v>-2.2553515730387441E-3</v>
      </c>
      <c r="DQ28" s="408">
        <v>0</v>
      </c>
      <c r="DR28" s="408">
        <v>0</v>
      </c>
      <c r="DS28" s="408"/>
      <c r="DT28" s="408"/>
      <c r="DU28" s="408"/>
      <c r="DV28" s="408">
        <v>28.44816808395111</v>
      </c>
      <c r="DW28" s="408">
        <v>0</v>
      </c>
      <c r="DX28" s="408">
        <v>0</v>
      </c>
      <c r="DY28" s="408">
        <v>-4.3909800000000061</v>
      </c>
      <c r="DZ28" s="408">
        <v>1.4249400000000012</v>
      </c>
      <c r="EA28" s="408">
        <v>0</v>
      </c>
      <c r="EB28" s="408">
        <v>0</v>
      </c>
      <c r="EC28" s="408">
        <v>-7.0670075059857247</v>
      </c>
      <c r="ED28" s="408">
        <v>0</v>
      </c>
      <c r="EE28" s="408">
        <v>0</v>
      </c>
      <c r="EF28" s="408">
        <v>0</v>
      </c>
      <c r="EG28" s="408">
        <v>0</v>
      </c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>
        <v>0</v>
      </c>
      <c r="EN28" s="408">
        <v>0</v>
      </c>
      <c r="EO28" s="408">
        <v>0</v>
      </c>
      <c r="EP28" s="408">
        <v>1.0373577803376943</v>
      </c>
      <c r="EQ28" s="408">
        <v>0</v>
      </c>
      <c r="ER28" s="408">
        <v>0</v>
      </c>
      <c r="ES28" s="408">
        <v>0</v>
      </c>
      <c r="ET28" s="408">
        <v>0</v>
      </c>
      <c r="EU28" s="408">
        <v>0</v>
      </c>
      <c r="EV28" s="408">
        <v>240</v>
      </c>
      <c r="EW28" s="408">
        <v>0</v>
      </c>
      <c r="EX28" s="408">
        <v>0</v>
      </c>
      <c r="EY28" s="408">
        <v>0</v>
      </c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27</v>
      </c>
      <c r="B29" s="408" t="s">
        <v>1036</v>
      </c>
      <c r="C29" s="408" t="s">
        <v>2235</v>
      </c>
      <c r="D29" s="408" t="s">
        <v>1958</v>
      </c>
      <c r="E29" s="408" t="s">
        <v>998</v>
      </c>
      <c r="F29" s="408" t="s">
        <v>1322</v>
      </c>
      <c r="G29" s="408" t="s">
        <v>1322</v>
      </c>
      <c r="H29" s="408" t="s">
        <v>1322</v>
      </c>
      <c r="I29" s="408" t="s">
        <v>1322</v>
      </c>
      <c r="J29" s="408" t="s">
        <v>2236</v>
      </c>
      <c r="K29" s="826">
        <v>44378</v>
      </c>
      <c r="L29" s="408">
        <v>0</v>
      </c>
      <c r="M29" s="408">
        <v>0</v>
      </c>
      <c r="N29" s="408">
        <v>2379.7240000000002</v>
      </c>
      <c r="O29" s="408">
        <v>2379.7240000000002</v>
      </c>
      <c r="P29" s="408">
        <v>2379.7240000000002</v>
      </c>
      <c r="Q29" s="408">
        <v>2379.7240000000002</v>
      </c>
      <c r="R29" s="408"/>
      <c r="S29" s="408">
        <v>368.24</v>
      </c>
      <c r="T29" s="408">
        <v>173.25</v>
      </c>
      <c r="U29" s="408"/>
      <c r="V29" s="408">
        <v>1288596.7487600001</v>
      </c>
      <c r="W29" s="408">
        <v>1288596.7487600001</v>
      </c>
      <c r="X29" s="408">
        <v>1211017.7463600002</v>
      </c>
      <c r="Y29" s="408">
        <v>0</v>
      </c>
      <c r="Z29" s="408">
        <v>146460.54954393854</v>
      </c>
      <c r="AA29" s="408">
        <v>0</v>
      </c>
      <c r="AB29" s="408">
        <v>0</v>
      </c>
      <c r="AC29" s="408">
        <v>6090.992496103645</v>
      </c>
      <c r="AD29" s="408">
        <v>5852.0779565232951</v>
      </c>
      <c r="AE29" s="408">
        <v>560513.30354784988</v>
      </c>
      <c r="AF29" s="408">
        <v>405363.30602316343</v>
      </c>
      <c r="AG29" s="408">
        <v>6918.4134062337462</v>
      </c>
      <c r="AH29" s="408">
        <v>0</v>
      </c>
      <c r="AI29" s="408">
        <v>0</v>
      </c>
      <c r="AJ29" s="408">
        <v>0</v>
      </c>
      <c r="AK29" s="408">
        <v>0</v>
      </c>
      <c r="AL29" s="408">
        <v>22628.867567677935</v>
      </c>
      <c r="AM29" s="408"/>
      <c r="AN29" s="408">
        <v>2874.3656117301093</v>
      </c>
      <c r="AO29" s="408">
        <v>12929.98178646347</v>
      </c>
      <c r="AP29" s="408">
        <v>60290.597549323546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0</v>
      </c>
      <c r="BF29" s="408">
        <v>0</v>
      </c>
      <c r="BG29" s="408">
        <v>21274.237161041925</v>
      </c>
      <c r="BH29" s="408">
        <v>0</v>
      </c>
      <c r="BI29" s="408">
        <v>924.76</v>
      </c>
      <c r="BJ29" s="408">
        <v>8106.55</v>
      </c>
      <c r="BK29" s="408">
        <v>578965.61</v>
      </c>
      <c r="BL29" s="408">
        <v>4221</v>
      </c>
      <c r="BM29" s="408"/>
      <c r="BN29" s="408"/>
      <c r="BO29" s="408"/>
      <c r="BP29" s="408"/>
      <c r="BQ29" s="408"/>
      <c r="BR29" s="408"/>
      <c r="BS29" s="408"/>
      <c r="BT29" s="408"/>
      <c r="BU29" s="408"/>
      <c r="BV29" s="408">
        <v>426637.54318420537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1211015.7108</v>
      </c>
      <c r="CJ29" s="408">
        <v>-77581.067960000131</v>
      </c>
      <c r="CK29" s="408"/>
      <c r="CL29" s="408"/>
      <c r="CM29" s="408"/>
      <c r="CN29" s="408"/>
      <c r="CO29" s="408">
        <v>-128957.24356</v>
      </c>
      <c r="CP29" s="408">
        <v>51378.241160000012</v>
      </c>
      <c r="CQ29" s="408">
        <v>31</v>
      </c>
      <c r="CR29" s="408">
        <v>61651.968666548491</v>
      </c>
      <c r="CS29" s="408">
        <v>1288.4450479268708</v>
      </c>
      <c r="CT29" s="408">
        <v>6007.8291780970612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6025.7012849983694</v>
      </c>
      <c r="DA29" s="408">
        <v>0</v>
      </c>
      <c r="DB29" s="408">
        <v>0</v>
      </c>
      <c r="DC29" s="408">
        <v>51372.440259462106</v>
      </c>
      <c r="DD29" s="408">
        <v>0</v>
      </c>
      <c r="DE29" s="408">
        <v>0</v>
      </c>
      <c r="DF29" s="408">
        <v>0</v>
      </c>
      <c r="DG29" s="408">
        <v>2696.1233574477374</v>
      </c>
      <c r="DH29" s="408">
        <v>0</v>
      </c>
      <c r="DI29" s="408">
        <v>-4973.3368015900196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-683.9137466601278</v>
      </c>
      <c r="DP29" s="408">
        <v>-81.319913133303544</v>
      </c>
      <c r="DQ29" s="408">
        <v>0</v>
      </c>
      <c r="DR29" s="408">
        <v>0</v>
      </c>
      <c r="DS29" s="408"/>
      <c r="DT29" s="408"/>
      <c r="DU29" s="408"/>
      <c r="DV29" s="408">
        <v>560513.30354784988</v>
      </c>
      <c r="DW29" s="408">
        <v>0</v>
      </c>
      <c r="DX29" s="408">
        <v>0</v>
      </c>
      <c r="DY29" s="408">
        <v>-128957.24355999997</v>
      </c>
      <c r="DZ29" s="408">
        <v>51378.241160000034</v>
      </c>
      <c r="EA29" s="408">
        <v>0</v>
      </c>
      <c r="EB29" s="408">
        <v>0</v>
      </c>
      <c r="EC29" s="408">
        <v>-139241.01234526263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37403.412219035439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240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28</v>
      </c>
      <c r="B30" s="408" t="s">
        <v>2237</v>
      </c>
      <c r="C30" s="408" t="s">
        <v>2235</v>
      </c>
      <c r="D30" s="408" t="s">
        <v>1958</v>
      </c>
      <c r="E30" s="408" t="s">
        <v>998</v>
      </c>
      <c r="F30" s="408" t="s">
        <v>1322</v>
      </c>
      <c r="G30" s="408" t="s">
        <v>1322</v>
      </c>
      <c r="H30" s="408" t="s">
        <v>1322</v>
      </c>
      <c r="I30" s="408" t="s">
        <v>1322</v>
      </c>
      <c r="J30" s="408" t="s">
        <v>2236</v>
      </c>
      <c r="K30" s="826">
        <v>44378</v>
      </c>
      <c r="L30" s="408">
        <v>0</v>
      </c>
      <c r="M30" s="408">
        <v>0</v>
      </c>
      <c r="N30" s="408">
        <v>-0.38100000000000001</v>
      </c>
      <c r="O30" s="408">
        <v>-0.38100000000000001</v>
      </c>
      <c r="P30" s="408">
        <v>-0.38100000000000001</v>
      </c>
      <c r="Q30" s="408">
        <v>-0.38100000000000001</v>
      </c>
      <c r="R30" s="408"/>
      <c r="S30" s="408">
        <v>368.24</v>
      </c>
      <c r="T30" s="408">
        <v>173.25</v>
      </c>
      <c r="U30" s="408"/>
      <c r="V30" s="408">
        <v>-206.30769000000001</v>
      </c>
      <c r="W30" s="408">
        <v>-206.30769000000001</v>
      </c>
      <c r="X30" s="408">
        <v>-193.88709</v>
      </c>
      <c r="Y30" s="408">
        <v>0</v>
      </c>
      <c r="Z30" s="408">
        <v>-23.448714798960122</v>
      </c>
      <c r="AA30" s="408">
        <v>0</v>
      </c>
      <c r="AB30" s="408">
        <v>0</v>
      </c>
      <c r="AC30" s="408">
        <v>-0.97518373601959241</v>
      </c>
      <c r="AD30" s="408">
        <v>-0.93693289702308979</v>
      </c>
      <c r="AE30" s="408">
        <v>-89.739637307406568</v>
      </c>
      <c r="AF30" s="408">
        <v>-64.899719293004253</v>
      </c>
      <c r="AG30" s="408">
        <v>-1.1076559751362163</v>
      </c>
      <c r="AH30" s="408">
        <v>0</v>
      </c>
      <c r="AI30" s="408">
        <v>0</v>
      </c>
      <c r="AJ30" s="408">
        <v>0</v>
      </c>
      <c r="AK30" s="408">
        <v>0</v>
      </c>
      <c r="AL30" s="408">
        <v>-3.6229405356609812</v>
      </c>
      <c r="AM30" s="408"/>
      <c r="AN30" s="408">
        <v>-0.46019340817219628</v>
      </c>
      <c r="AO30" s="408">
        <v>-2.0701237036910927</v>
      </c>
      <c r="AP30" s="408">
        <v>-9.6526814312467621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0</v>
      </c>
      <c r="BE30" s="408">
        <v>0</v>
      </c>
      <c r="BF30" s="408">
        <v>0</v>
      </c>
      <c r="BG30" s="408">
        <v>-3.4060606853387085</v>
      </c>
      <c r="BH30" s="408">
        <v>0</v>
      </c>
      <c r="BI30" s="408">
        <v>-0.32</v>
      </c>
      <c r="BJ30" s="408">
        <v>-3.13</v>
      </c>
      <c r="BK30" s="408">
        <v>-89.66</v>
      </c>
      <c r="BL30" s="408">
        <v>0</v>
      </c>
      <c r="BM30" s="408"/>
      <c r="BN30" s="408"/>
      <c r="BO30" s="408"/>
      <c r="BP30" s="408"/>
      <c r="BQ30" s="408"/>
      <c r="BR30" s="408"/>
      <c r="BS30" s="408"/>
      <c r="BT30" s="408"/>
      <c r="BU30" s="408"/>
      <c r="BV30" s="408">
        <v>-68.305779978342969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-193.37819999999999</v>
      </c>
      <c r="CJ30" s="408">
        <v>12.899490000000043</v>
      </c>
      <c r="CK30" s="408"/>
      <c r="CL30" s="408"/>
      <c r="CM30" s="408"/>
      <c r="CN30" s="408"/>
      <c r="CO30" s="408">
        <v>20.64639</v>
      </c>
      <c r="CP30" s="408">
        <v>-8.2257900000000017</v>
      </c>
      <c r="CQ30" s="408">
        <v>31</v>
      </c>
      <c r="CR30" s="408">
        <v>-9.8706404868611202</v>
      </c>
      <c r="CS30" s="408">
        <v>-0.20628340230217335</v>
      </c>
      <c r="CT30" s="408">
        <v>-0.9618690725710124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-0.96473044335577496</v>
      </c>
      <c r="DA30" s="408">
        <v>0</v>
      </c>
      <c r="DB30" s="408">
        <v>0</v>
      </c>
      <c r="DC30" s="408">
        <v>-8.2248612607407665</v>
      </c>
      <c r="DD30" s="408">
        <v>0</v>
      </c>
      <c r="DE30" s="408">
        <v>0</v>
      </c>
      <c r="DF30" s="408">
        <v>0</v>
      </c>
      <c r="DG30" s="408">
        <v>-0.43165635980793882</v>
      </c>
      <c r="DH30" s="408">
        <v>0</v>
      </c>
      <c r="DI30" s="408">
        <v>0.79624415327398879</v>
      </c>
      <c r="DJ30" s="408"/>
      <c r="DK30" s="408">
        <v>0</v>
      </c>
      <c r="DL30" s="408">
        <v>0</v>
      </c>
      <c r="DM30" s="408">
        <v>0</v>
      </c>
      <c r="DN30" s="408">
        <v>0</v>
      </c>
      <c r="DO30" s="408">
        <v>0.10949636910730343</v>
      </c>
      <c r="DP30" s="408">
        <v>1.3019529535269081E-2</v>
      </c>
      <c r="DQ30" s="408">
        <v>0</v>
      </c>
      <c r="DR30" s="408">
        <v>0</v>
      </c>
      <c r="DS30" s="408"/>
      <c r="DT30" s="408"/>
      <c r="DU30" s="408"/>
      <c r="DV30" s="408">
        <v>-89.739637307406568</v>
      </c>
      <c r="DW30" s="408">
        <v>0</v>
      </c>
      <c r="DX30" s="408">
        <v>0</v>
      </c>
      <c r="DY30" s="408">
        <v>20.646389999999997</v>
      </c>
      <c r="DZ30" s="408">
        <v>-8.2257900000000035</v>
      </c>
      <c r="EA30" s="408">
        <v>0</v>
      </c>
      <c r="EB30" s="408">
        <v>0</v>
      </c>
      <c r="EC30" s="408">
        <v>22.292848121691861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-5.9883835501312346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240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29</v>
      </c>
      <c r="B31" s="408" t="s">
        <v>2238</v>
      </c>
      <c r="C31" s="408" t="s">
        <v>2235</v>
      </c>
      <c r="D31" s="408" t="s">
        <v>1958</v>
      </c>
      <c r="E31" s="408" t="s">
        <v>998</v>
      </c>
      <c r="F31" s="408" t="s">
        <v>1322</v>
      </c>
      <c r="G31" s="408" t="s">
        <v>1322</v>
      </c>
      <c r="H31" s="408" t="s">
        <v>1322</v>
      </c>
      <c r="I31" s="408" t="s">
        <v>1322</v>
      </c>
      <c r="J31" s="408" t="s">
        <v>2236</v>
      </c>
      <c r="K31" s="826">
        <v>44378</v>
      </c>
      <c r="L31" s="408">
        <v>0</v>
      </c>
      <c r="M31" s="408">
        <v>0</v>
      </c>
      <c r="N31" s="408">
        <v>160.89500000000001</v>
      </c>
      <c r="O31" s="408">
        <v>160.89500000000001</v>
      </c>
      <c r="P31" s="408">
        <v>160.89500000000001</v>
      </c>
      <c r="Q31" s="408">
        <v>160.89500000000001</v>
      </c>
      <c r="R31" s="408"/>
      <c r="S31" s="408">
        <v>368.24</v>
      </c>
      <c r="T31" s="408">
        <v>173.25</v>
      </c>
      <c r="U31" s="408"/>
      <c r="V31" s="408">
        <v>87123.033550000007</v>
      </c>
      <c r="W31" s="408">
        <v>87123.033550000007</v>
      </c>
      <c r="X31" s="408">
        <v>81877.856550000011</v>
      </c>
      <c r="Y31" s="408">
        <v>0</v>
      </c>
      <c r="Z31" s="408">
        <v>9902.3122508627002</v>
      </c>
      <c r="AA31" s="408">
        <v>0</v>
      </c>
      <c r="AB31" s="408">
        <v>0</v>
      </c>
      <c r="AC31" s="408">
        <v>411.81676432249958</v>
      </c>
      <c r="AD31" s="408">
        <v>395.66356552895024</v>
      </c>
      <c r="AE31" s="408">
        <v>37896.742636680261</v>
      </c>
      <c r="AF31" s="408">
        <v>27406.930014823938</v>
      </c>
      <c r="AG31" s="408">
        <v>467.75933889643449</v>
      </c>
      <c r="AH31" s="408">
        <v>0</v>
      </c>
      <c r="AI31" s="408">
        <v>0</v>
      </c>
      <c r="AJ31" s="408">
        <v>0</v>
      </c>
      <c r="AK31" s="408">
        <v>0</v>
      </c>
      <c r="AL31" s="408">
        <v>1529.955426470272</v>
      </c>
      <c r="AM31" s="408"/>
      <c r="AN31" s="408">
        <v>194.33810605738984</v>
      </c>
      <c r="AO31" s="408">
        <v>874.20617665453642</v>
      </c>
      <c r="AP31" s="408">
        <v>4076.2944327570808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0</v>
      </c>
      <c r="BF31" s="408">
        <v>0</v>
      </c>
      <c r="BG31" s="408">
        <v>1438.3678056891642</v>
      </c>
      <c r="BH31" s="408">
        <v>0</v>
      </c>
      <c r="BI31" s="408">
        <v>63.06</v>
      </c>
      <c r="BJ31" s="408">
        <v>549.79999999999995</v>
      </c>
      <c r="BK31" s="408">
        <v>62665.72</v>
      </c>
      <c r="BL31" s="408">
        <v>199</v>
      </c>
      <c r="BM31" s="408"/>
      <c r="BN31" s="408"/>
      <c r="BO31" s="408"/>
      <c r="BP31" s="408"/>
      <c r="BQ31" s="408"/>
      <c r="BR31" s="408"/>
      <c r="BS31" s="408"/>
      <c r="BT31" s="408"/>
      <c r="BU31" s="408"/>
      <c r="BV31" s="408">
        <v>28845.297820513104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81880.401000000013</v>
      </c>
      <c r="CJ31" s="408">
        <v>-5242.6625499999936</v>
      </c>
      <c r="CK31" s="408"/>
      <c r="CL31" s="408"/>
      <c r="CM31" s="408"/>
      <c r="CN31" s="408"/>
      <c r="CO31" s="408">
        <v>-8718.9000500000002</v>
      </c>
      <c r="CP31" s="408">
        <v>3473.723050000001</v>
      </c>
      <c r="CQ31" s="408">
        <v>31</v>
      </c>
      <c r="CR31" s="408">
        <v>4168.3377982506936</v>
      </c>
      <c r="CS31" s="408">
        <v>87.112776938079264</v>
      </c>
      <c r="CT31" s="408">
        <v>406.19402737877454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407.40237449797223</v>
      </c>
      <c r="DA31" s="408">
        <v>0</v>
      </c>
      <c r="DB31" s="408">
        <v>0</v>
      </c>
      <c r="DC31" s="408">
        <v>3473.3308465797527</v>
      </c>
      <c r="DD31" s="408">
        <v>0</v>
      </c>
      <c r="DE31" s="408">
        <v>0</v>
      </c>
      <c r="DF31" s="408">
        <v>0</v>
      </c>
      <c r="DG31" s="408">
        <v>182.28700790366997</v>
      </c>
      <c r="DH31" s="408">
        <v>0</v>
      </c>
      <c r="DI31" s="408">
        <v>-336.25118908403783</v>
      </c>
      <c r="DJ31" s="408"/>
      <c r="DK31" s="408">
        <v>0</v>
      </c>
      <c r="DL31" s="408">
        <v>0</v>
      </c>
      <c r="DM31" s="408">
        <v>0</v>
      </c>
      <c r="DN31" s="408">
        <v>0</v>
      </c>
      <c r="DO31" s="408">
        <v>-46.239943064356112</v>
      </c>
      <c r="DP31" s="408">
        <v>-5.498102899152542</v>
      </c>
      <c r="DQ31" s="408">
        <v>0</v>
      </c>
      <c r="DR31" s="408">
        <v>0</v>
      </c>
      <c r="DS31" s="408"/>
      <c r="DT31" s="408"/>
      <c r="DU31" s="408"/>
      <c r="DV31" s="408">
        <v>37896.742636680261</v>
      </c>
      <c r="DW31" s="408">
        <v>0</v>
      </c>
      <c r="DX31" s="408">
        <v>0</v>
      </c>
      <c r="DY31" s="408">
        <v>-8718.9000499999966</v>
      </c>
      <c r="DZ31" s="408">
        <v>3473.7230500000042</v>
      </c>
      <c r="EA31" s="408">
        <v>0</v>
      </c>
      <c r="EB31" s="408">
        <v>0</v>
      </c>
      <c r="EC31" s="408">
        <v>-9414.193696954364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2528.8739404156563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240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30</v>
      </c>
      <c r="B32" s="408" t="s">
        <v>2238</v>
      </c>
      <c r="C32" s="408" t="s">
        <v>2235</v>
      </c>
      <c r="D32" s="408" t="s">
        <v>1958</v>
      </c>
      <c r="E32" s="408" t="s">
        <v>998</v>
      </c>
      <c r="F32" s="408" t="s">
        <v>1322</v>
      </c>
      <c r="G32" s="408" t="s">
        <v>1322</v>
      </c>
      <c r="H32" s="408" t="s">
        <v>1322</v>
      </c>
      <c r="I32" s="408" t="s">
        <v>1322</v>
      </c>
      <c r="J32" s="408" t="s">
        <v>2236</v>
      </c>
      <c r="K32" s="826">
        <v>44378</v>
      </c>
      <c r="L32" s="408">
        <v>0</v>
      </c>
      <c r="M32" s="408">
        <v>0</v>
      </c>
      <c r="N32" s="408">
        <v>-10</v>
      </c>
      <c r="O32" s="408">
        <v>-10</v>
      </c>
      <c r="P32" s="408">
        <v>-10</v>
      </c>
      <c r="Q32" s="408">
        <v>-10</v>
      </c>
      <c r="R32" s="408"/>
      <c r="S32" s="408">
        <v>368.24</v>
      </c>
      <c r="T32" s="408">
        <v>173.25</v>
      </c>
      <c r="U32" s="408"/>
      <c r="V32" s="408">
        <v>-5414.9</v>
      </c>
      <c r="W32" s="408">
        <v>-5414.9</v>
      </c>
      <c r="X32" s="408">
        <v>-5088.8999999999996</v>
      </c>
      <c r="Y32" s="408">
        <v>0</v>
      </c>
      <c r="Z32" s="408">
        <v>-615.45183199370399</v>
      </c>
      <c r="AA32" s="408">
        <v>0</v>
      </c>
      <c r="AB32" s="408">
        <v>0</v>
      </c>
      <c r="AC32" s="408">
        <v>-25.595373648808199</v>
      </c>
      <c r="AD32" s="408">
        <v>-24.591414620028601</v>
      </c>
      <c r="AE32" s="408">
        <v>-2355.37105793718</v>
      </c>
      <c r="AF32" s="408">
        <v>-1703.4047058531301</v>
      </c>
      <c r="AG32" s="408">
        <v>-29.072335305412501</v>
      </c>
      <c r="AH32" s="408">
        <v>0</v>
      </c>
      <c r="AI32" s="408">
        <v>0</v>
      </c>
      <c r="AJ32" s="408">
        <v>0</v>
      </c>
      <c r="AK32" s="408">
        <v>0</v>
      </c>
      <c r="AL32" s="408">
        <v>-95.090302773254095</v>
      </c>
      <c r="AM32" s="408"/>
      <c r="AN32" s="408">
        <v>-12.078567143627199</v>
      </c>
      <c r="AO32" s="408">
        <v>-54.333955477456499</v>
      </c>
      <c r="AP32" s="408">
        <v>-253.35121866789399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0</v>
      </c>
      <c r="BE32" s="408">
        <v>0</v>
      </c>
      <c r="BF32" s="408">
        <v>0</v>
      </c>
      <c r="BG32" s="408">
        <v>-89.397918250359808</v>
      </c>
      <c r="BH32" s="408">
        <v>0</v>
      </c>
      <c r="BI32" s="408">
        <v>-3.92</v>
      </c>
      <c r="BJ32" s="408">
        <v>-33.6</v>
      </c>
      <c r="BK32" s="408">
        <v>-2399.96</v>
      </c>
      <c r="BL32" s="408">
        <v>1</v>
      </c>
      <c r="BM32" s="408"/>
      <c r="BN32" s="408"/>
      <c r="BO32" s="408"/>
      <c r="BP32" s="408"/>
      <c r="BQ32" s="408"/>
      <c r="BR32" s="408"/>
      <c r="BS32" s="408"/>
      <c r="BT32" s="408"/>
      <c r="BU32" s="408"/>
      <c r="BV32" s="408">
        <v>-1792.80262410349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-5088.8999999999996</v>
      </c>
      <c r="CJ32" s="408">
        <v>325.96999999999935</v>
      </c>
      <c r="CK32" s="408"/>
      <c r="CL32" s="408"/>
      <c r="CM32" s="408"/>
      <c r="CN32" s="408"/>
      <c r="CO32" s="408">
        <v>541.9</v>
      </c>
      <c r="CP32" s="408">
        <v>-215.90000000000003</v>
      </c>
      <c r="CQ32" s="408">
        <v>31</v>
      </c>
      <c r="CR32" s="408">
        <v>-259.0719287890056</v>
      </c>
      <c r="CS32" s="408">
        <v>-5.4142625276161027</v>
      </c>
      <c r="CT32" s="408">
        <v>-25.245907416562034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-25.321009011962602</v>
      </c>
      <c r="DA32" s="408">
        <v>0</v>
      </c>
      <c r="DB32" s="408">
        <v>0</v>
      </c>
      <c r="DC32" s="408">
        <v>-215.87562364148994</v>
      </c>
      <c r="DD32" s="408">
        <v>0</v>
      </c>
      <c r="DE32" s="408">
        <v>0</v>
      </c>
      <c r="DF32" s="408">
        <v>0</v>
      </c>
      <c r="DG32" s="408">
        <v>-11.329563249552194</v>
      </c>
      <c r="DH32" s="408">
        <v>0</v>
      </c>
      <c r="DI32" s="408">
        <v>20.898796673857987</v>
      </c>
      <c r="DJ32" s="408"/>
      <c r="DK32" s="408">
        <v>0</v>
      </c>
      <c r="DL32" s="408">
        <v>0</v>
      </c>
      <c r="DM32" s="408">
        <v>0</v>
      </c>
      <c r="DN32" s="408">
        <v>0</v>
      </c>
      <c r="DO32" s="408">
        <v>2.8739204490105834</v>
      </c>
      <c r="DP32" s="408">
        <v>0.34171993530889999</v>
      </c>
      <c r="DQ32" s="408">
        <v>0</v>
      </c>
      <c r="DR32" s="408">
        <v>0</v>
      </c>
      <c r="DS32" s="408"/>
      <c r="DT32" s="408"/>
      <c r="DU32" s="408"/>
      <c r="DV32" s="408">
        <v>-2355.37105793718</v>
      </c>
      <c r="DW32" s="408">
        <v>0</v>
      </c>
      <c r="DX32" s="408">
        <v>0</v>
      </c>
      <c r="DY32" s="408">
        <v>541.90000000000009</v>
      </c>
      <c r="DZ32" s="408">
        <v>-215.90000000000009</v>
      </c>
      <c r="EA32" s="408">
        <v>0</v>
      </c>
      <c r="EB32" s="408">
        <v>0</v>
      </c>
      <c r="EC32" s="408">
        <v>585.11412392892021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-157.17542126328701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240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31</v>
      </c>
      <c r="B33" s="408" t="s">
        <v>1036</v>
      </c>
      <c r="C33" s="408" t="s">
        <v>2243</v>
      </c>
      <c r="D33" s="408" t="s">
        <v>597</v>
      </c>
      <c r="E33" s="408" t="s">
        <v>998</v>
      </c>
      <c r="F33" s="408" t="s">
        <v>1322</v>
      </c>
      <c r="G33" s="408" t="s">
        <v>1322</v>
      </c>
      <c r="H33" s="408" t="s">
        <v>1322</v>
      </c>
      <c r="I33" s="408" t="s">
        <v>973</v>
      </c>
      <c r="J33" s="408" t="s">
        <v>2236</v>
      </c>
      <c r="K33" s="826">
        <v>44378</v>
      </c>
      <c r="L33" s="408">
        <v>0</v>
      </c>
      <c r="M33" s="408">
        <v>0</v>
      </c>
      <c r="N33" s="408">
        <v>73.894999999999996</v>
      </c>
      <c r="O33" s="408">
        <v>73.894999999999996</v>
      </c>
      <c r="P33" s="408">
        <v>73.894999999999996</v>
      </c>
      <c r="Q33" s="408">
        <v>73.894999999999996</v>
      </c>
      <c r="R33" s="408"/>
      <c r="S33" s="408">
        <v>1358.36</v>
      </c>
      <c r="T33" s="408">
        <v>173.25</v>
      </c>
      <c r="U33" s="408"/>
      <c r="V33" s="408">
        <v>113178.32094999998</v>
      </c>
      <c r="W33" s="408">
        <v>113178.32094999998</v>
      </c>
      <c r="X33" s="408">
        <v>99235.073399999979</v>
      </c>
      <c r="Y33" s="408">
        <v>0</v>
      </c>
      <c r="Z33" s="408">
        <v>3956.6567418902</v>
      </c>
      <c r="AA33" s="408">
        <v>0</v>
      </c>
      <c r="AB33" s="408">
        <v>0</v>
      </c>
      <c r="AC33" s="408">
        <v>1399.7256175545288</v>
      </c>
      <c r="AD33" s="408">
        <v>1344.8265952708584</v>
      </c>
      <c r="AE33" s="408">
        <v>74523.677732962591</v>
      </c>
      <c r="AF33" s="408">
        <v>12587.309073901704</v>
      </c>
      <c r="AG33" s="408">
        <v>214.83002173934568</v>
      </c>
      <c r="AH33" s="408">
        <v>0</v>
      </c>
      <c r="AI33" s="408">
        <v>0</v>
      </c>
      <c r="AJ33" s="408">
        <v>0</v>
      </c>
      <c r="AK33" s="408">
        <v>0</v>
      </c>
      <c r="AL33" s="408">
        <v>702.66979234296116</v>
      </c>
      <c r="AM33" s="408"/>
      <c r="AN33" s="408">
        <v>59.17613777093009</v>
      </c>
      <c r="AO33" s="408">
        <v>2971.3787059805541</v>
      </c>
      <c r="AP33" s="408">
        <v>13855.0243965874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>
        <v>0</v>
      </c>
      <c r="BG33" s="408">
        <v>552.63532820116325</v>
      </c>
      <c r="BH33" s="408">
        <v>0</v>
      </c>
      <c r="BI33" s="408">
        <v>0</v>
      </c>
      <c r="BJ33" s="408">
        <v>0</v>
      </c>
      <c r="BK33" s="408">
        <v>0</v>
      </c>
      <c r="BL33" s="408">
        <v>0</v>
      </c>
      <c r="BM33" s="408"/>
      <c r="BN33" s="408"/>
      <c r="BO33" s="408"/>
      <c r="BP33" s="408"/>
      <c r="BQ33" s="408"/>
      <c r="BR33" s="408"/>
      <c r="BS33" s="408"/>
      <c r="BT33" s="408"/>
      <c r="BU33" s="408"/>
      <c r="BV33" s="408">
        <v>13139.944402102868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99241.788000000015</v>
      </c>
      <c r="CJ33" s="408">
        <v>-13936.562949999949</v>
      </c>
      <c r="CK33" s="408"/>
      <c r="CL33" s="408"/>
      <c r="CM33" s="408"/>
      <c r="CN33" s="408"/>
      <c r="CO33" s="408">
        <v>-15538.640599999997</v>
      </c>
      <c r="CP33" s="408">
        <v>1595.3930500000001</v>
      </c>
      <c r="CQ33" s="408">
        <v>31</v>
      </c>
      <c r="CR33" s="408">
        <v>4569.4237672300151</v>
      </c>
      <c r="CS33" s="408">
        <v>296.0915368994556</v>
      </c>
      <c r="CT33" s="408">
        <v>1380.6235668002391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1384.7258022580882</v>
      </c>
      <c r="DA33" s="408">
        <v>0</v>
      </c>
      <c r="DB33" s="408">
        <v>0</v>
      </c>
      <c r="DC33" s="408">
        <v>1595.2129208987881</v>
      </c>
      <c r="DD33" s="408">
        <v>0</v>
      </c>
      <c r="DE33" s="408">
        <v>0</v>
      </c>
      <c r="DF33" s="408">
        <v>0</v>
      </c>
      <c r="DG33" s="408">
        <v>70.036495561983543</v>
      </c>
      <c r="DH33" s="408">
        <v>0</v>
      </c>
      <c r="DI33" s="408">
        <v>-134.35554247867867</v>
      </c>
      <c r="DJ33" s="408"/>
      <c r="DK33" s="408">
        <v>0</v>
      </c>
      <c r="DL33" s="408">
        <v>0</v>
      </c>
      <c r="DM33" s="408">
        <v>0</v>
      </c>
      <c r="DN33" s="408">
        <v>0</v>
      </c>
      <c r="DO33" s="408">
        <v>-21.23683515796381</v>
      </c>
      <c r="DP33" s="408">
        <v>-1.6741775518946937</v>
      </c>
      <c r="DQ33" s="408">
        <v>0</v>
      </c>
      <c r="DR33" s="408">
        <v>0</v>
      </c>
      <c r="DS33" s="408"/>
      <c r="DT33" s="408"/>
      <c r="DU33" s="408"/>
      <c r="DV33" s="408">
        <v>74523.677732962591</v>
      </c>
      <c r="DW33" s="408">
        <v>0</v>
      </c>
      <c r="DX33" s="408">
        <v>0</v>
      </c>
      <c r="DY33" s="408">
        <v>-15538.640599999999</v>
      </c>
      <c r="DZ33" s="408">
        <v>1595.3930499999988</v>
      </c>
      <c r="EA33" s="408">
        <v>0</v>
      </c>
      <c r="EB33" s="408">
        <v>0</v>
      </c>
      <c r="EC33" s="408">
        <v>-18512.945661679456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1010.4595646198038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240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32</v>
      </c>
      <c r="B34" s="408" t="s">
        <v>2238</v>
      </c>
      <c r="C34" s="408" t="s">
        <v>2243</v>
      </c>
      <c r="D34" s="408" t="s">
        <v>597</v>
      </c>
      <c r="E34" s="408" t="s">
        <v>998</v>
      </c>
      <c r="F34" s="408" t="s">
        <v>1322</v>
      </c>
      <c r="G34" s="408" t="s">
        <v>1322</v>
      </c>
      <c r="H34" s="408" t="s">
        <v>1322</v>
      </c>
      <c r="I34" s="408" t="s">
        <v>973</v>
      </c>
      <c r="J34" s="408" t="s">
        <v>2236</v>
      </c>
      <c r="K34" s="826">
        <v>44378</v>
      </c>
      <c r="L34" s="408">
        <v>0</v>
      </c>
      <c r="M34" s="408">
        <v>0</v>
      </c>
      <c r="N34" s="408">
        <v>3.7669999999999999</v>
      </c>
      <c r="O34" s="408">
        <v>3.7669999999999999</v>
      </c>
      <c r="P34" s="408">
        <v>3.7669999999999999</v>
      </c>
      <c r="Q34" s="408">
        <v>3.7669999999999999</v>
      </c>
      <c r="R34" s="408"/>
      <c r="S34" s="408">
        <v>1358.36</v>
      </c>
      <c r="T34" s="408">
        <v>173.25</v>
      </c>
      <c r="U34" s="408"/>
      <c r="V34" s="408">
        <v>5769.5748699999995</v>
      </c>
      <c r="W34" s="408">
        <v>5769.5748699999995</v>
      </c>
      <c r="X34" s="408">
        <v>5058.7796399999997</v>
      </c>
      <c r="Y34" s="408">
        <v>0</v>
      </c>
      <c r="Z34" s="408">
        <v>201.70141344746443</v>
      </c>
      <c r="AA34" s="408">
        <v>0</v>
      </c>
      <c r="AB34" s="408">
        <v>0</v>
      </c>
      <c r="AC34" s="408">
        <v>71.354846759969007</v>
      </c>
      <c r="AD34" s="408">
        <v>68.556218748025216</v>
      </c>
      <c r="AE34" s="408">
        <v>3799.0485691869558</v>
      </c>
      <c r="AF34" s="408">
        <v>641.67255269487407</v>
      </c>
      <c r="AG34" s="408">
        <v>10.95154870954889</v>
      </c>
      <c r="AH34" s="408">
        <v>0</v>
      </c>
      <c r="AI34" s="408">
        <v>0</v>
      </c>
      <c r="AJ34" s="408">
        <v>0</v>
      </c>
      <c r="AK34" s="408">
        <v>0</v>
      </c>
      <c r="AL34" s="408">
        <v>35.820517054684821</v>
      </c>
      <c r="AM34" s="408"/>
      <c r="AN34" s="408">
        <v>3.0166656875714684</v>
      </c>
      <c r="AO34" s="408">
        <v>151.47416720250013</v>
      </c>
      <c r="AP34" s="408">
        <v>706.29781313951867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>
        <v>0</v>
      </c>
      <c r="BG34" s="408">
        <v>28.172099348180286</v>
      </c>
      <c r="BH34" s="408">
        <v>0</v>
      </c>
      <c r="BI34" s="408">
        <v>0</v>
      </c>
      <c r="BJ34" s="408">
        <v>0</v>
      </c>
      <c r="BK34" s="408">
        <v>0</v>
      </c>
      <c r="BL34" s="408">
        <v>0</v>
      </c>
      <c r="BM34" s="408"/>
      <c r="BN34" s="408"/>
      <c r="BO34" s="408"/>
      <c r="BP34" s="408"/>
      <c r="BQ34" s="408"/>
      <c r="BR34" s="408"/>
      <c r="BS34" s="408"/>
      <c r="BT34" s="408"/>
      <c r="BU34" s="408"/>
      <c r="BV34" s="408">
        <v>669.84465204305434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5062.8083999999999</v>
      </c>
      <c r="CJ34" s="408">
        <v>-706.79647000000023</v>
      </c>
      <c r="CK34" s="408"/>
      <c r="CL34" s="408"/>
      <c r="CM34" s="408"/>
      <c r="CN34" s="408"/>
      <c r="CO34" s="408">
        <v>-792.12475999999992</v>
      </c>
      <c r="CP34" s="408">
        <v>81.329530000000005</v>
      </c>
      <c r="CQ34" s="408">
        <v>31</v>
      </c>
      <c r="CR34" s="408">
        <v>232.93889073896048</v>
      </c>
      <c r="CS34" s="408">
        <v>15.094076994387308</v>
      </c>
      <c r="CT34" s="408">
        <v>70.381067408302442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70.590190095489803</v>
      </c>
      <c r="DA34" s="408">
        <v>0</v>
      </c>
      <c r="DB34" s="408">
        <v>0</v>
      </c>
      <c r="DC34" s="408">
        <v>81.320347425749219</v>
      </c>
      <c r="DD34" s="408">
        <v>0</v>
      </c>
      <c r="DE34" s="408">
        <v>0</v>
      </c>
      <c r="DF34" s="408">
        <v>0</v>
      </c>
      <c r="DG34" s="408">
        <v>3.5703021690505707</v>
      </c>
      <c r="DH34" s="408">
        <v>0</v>
      </c>
      <c r="DI34" s="408">
        <v>-6.8491417351266364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-1.0826058331422956</v>
      </c>
      <c r="DP34" s="408">
        <v>-8.5345785749879166E-2</v>
      </c>
      <c r="DQ34" s="408">
        <v>0</v>
      </c>
      <c r="DR34" s="408">
        <v>0</v>
      </c>
      <c r="DS34" s="408"/>
      <c r="DT34" s="408"/>
      <c r="DU34" s="408"/>
      <c r="DV34" s="408">
        <v>3799.0485691869558</v>
      </c>
      <c r="DW34" s="408">
        <v>0</v>
      </c>
      <c r="DX34" s="408">
        <v>0</v>
      </c>
      <c r="DY34" s="408">
        <v>-792.1247599999997</v>
      </c>
      <c r="DZ34" s="408">
        <v>81.329529999999977</v>
      </c>
      <c r="EA34" s="408">
        <v>0</v>
      </c>
      <c r="EB34" s="408">
        <v>0</v>
      </c>
      <c r="EC34" s="408">
        <v>-943.74810619861319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51.5109436351959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240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33</v>
      </c>
      <c r="B35" s="408" t="s">
        <v>1036</v>
      </c>
      <c r="C35" s="408" t="s">
        <v>2243</v>
      </c>
      <c r="D35" s="408" t="s">
        <v>597</v>
      </c>
      <c r="E35" s="408" t="s">
        <v>998</v>
      </c>
      <c r="F35" s="408" t="s">
        <v>1322</v>
      </c>
      <c r="G35" s="408" t="s">
        <v>1322</v>
      </c>
      <c r="H35" s="408" t="s">
        <v>1322</v>
      </c>
      <c r="I35" s="408" t="s">
        <v>2244</v>
      </c>
      <c r="J35" s="408" t="s">
        <v>2236</v>
      </c>
      <c r="K35" s="826">
        <v>44378</v>
      </c>
      <c r="L35" s="408">
        <v>0</v>
      </c>
      <c r="M35" s="408">
        <v>0</v>
      </c>
      <c r="N35" s="408">
        <v>823.31899999999996</v>
      </c>
      <c r="O35" s="408">
        <v>823.31899999999996</v>
      </c>
      <c r="P35" s="408">
        <v>823.31899999999996</v>
      </c>
      <c r="Q35" s="408">
        <v>823.31899999999996</v>
      </c>
      <c r="R35" s="408"/>
      <c r="S35" s="408">
        <v>85.01</v>
      </c>
      <c r="T35" s="408">
        <v>173.25</v>
      </c>
      <c r="U35" s="408"/>
      <c r="V35" s="408">
        <v>212630.36494</v>
      </c>
      <c r="W35" s="408">
        <v>212630.36494</v>
      </c>
      <c r="X35" s="408">
        <v>229434.30572999999</v>
      </c>
      <c r="Y35" s="408">
        <v>0</v>
      </c>
      <c r="Z35" s="408">
        <v>44084.047257274484</v>
      </c>
      <c r="AA35" s="408">
        <v>0</v>
      </c>
      <c r="AB35" s="408">
        <v>0</v>
      </c>
      <c r="AC35" s="408">
        <v>0</v>
      </c>
      <c r="AD35" s="408">
        <v>0</v>
      </c>
      <c r="AE35" s="408">
        <v>0</v>
      </c>
      <c r="AF35" s="408">
        <v>140244.54590182932</v>
      </c>
      <c r="AG35" s="408">
        <v>2393.5806031316915</v>
      </c>
      <c r="AH35" s="408">
        <v>0</v>
      </c>
      <c r="AI35" s="408">
        <v>0</v>
      </c>
      <c r="AJ35" s="408">
        <v>0</v>
      </c>
      <c r="AK35" s="408">
        <v>0</v>
      </c>
      <c r="AL35" s="408">
        <v>7828.9652988972784</v>
      </c>
      <c r="AM35" s="408"/>
      <c r="AN35" s="408">
        <v>659.32523950773918</v>
      </c>
      <c r="AO35" s="408">
        <v>0</v>
      </c>
      <c r="AP35" s="408">
        <v>0</v>
      </c>
      <c r="AQ35" s="408">
        <v>0</v>
      </c>
      <c r="AR35" s="408">
        <v>0</v>
      </c>
      <c r="AS35" s="408">
        <v>0</v>
      </c>
      <c r="AT35" s="408">
        <v>0</v>
      </c>
      <c r="AU35" s="408">
        <v>0</v>
      </c>
      <c r="AV35" s="408">
        <v>0</v>
      </c>
      <c r="AW35" s="408">
        <v>0</v>
      </c>
      <c r="AX35" s="408">
        <v>0</v>
      </c>
      <c r="AY35" s="408">
        <v>0</v>
      </c>
      <c r="AZ35" s="408">
        <v>0</v>
      </c>
      <c r="BA35" s="408"/>
      <c r="BB35" s="408">
        <v>0</v>
      </c>
      <c r="BC35" s="408">
        <v>0</v>
      </c>
      <c r="BD35" s="408">
        <v>0</v>
      </c>
      <c r="BE35" s="408">
        <v>0</v>
      </c>
      <c r="BF35" s="408">
        <v>0</v>
      </c>
      <c r="BG35" s="408">
        <v>6157.320059263192</v>
      </c>
      <c r="BH35" s="408">
        <v>0</v>
      </c>
      <c r="BI35" s="408">
        <v>0</v>
      </c>
      <c r="BJ35" s="408">
        <v>0</v>
      </c>
      <c r="BK35" s="408">
        <v>0</v>
      </c>
      <c r="BL35" s="408">
        <v>0</v>
      </c>
      <c r="BM35" s="408"/>
      <c r="BN35" s="408"/>
      <c r="BO35" s="408"/>
      <c r="BP35" s="408"/>
      <c r="BQ35" s="408"/>
      <c r="BR35" s="408"/>
      <c r="BS35" s="408"/>
      <c r="BT35" s="408"/>
      <c r="BU35" s="408"/>
      <c r="BV35" s="408">
        <v>146401.86596109252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229434.58440000002</v>
      </c>
      <c r="CJ35" s="408">
        <v>16804.189460000052</v>
      </c>
      <c r="CK35" s="408"/>
      <c r="CL35" s="408"/>
      <c r="CM35" s="408"/>
      <c r="CN35" s="408"/>
      <c r="CO35" s="408">
        <v>-971.51642000000561</v>
      </c>
      <c r="CP35" s="408">
        <v>17775.45721</v>
      </c>
      <c r="CQ35" s="408">
        <v>31</v>
      </c>
      <c r="CR35" s="408">
        <v>16801.555468702834</v>
      </c>
      <c r="CS35" s="408">
        <v>0</v>
      </c>
      <c r="CT35" s="408">
        <v>0</v>
      </c>
      <c r="CU35" s="408">
        <v>0</v>
      </c>
      <c r="CV35" s="408">
        <v>0</v>
      </c>
      <c r="CW35" s="408">
        <v>0</v>
      </c>
      <c r="CX35" s="408">
        <v>0</v>
      </c>
      <c r="CY35" s="408">
        <v>0</v>
      </c>
      <c r="CZ35" s="408">
        <v>0</v>
      </c>
      <c r="DA35" s="408">
        <v>0</v>
      </c>
      <c r="DB35" s="408">
        <v>0</v>
      </c>
      <c r="DC35" s="408">
        <v>17773.450258088764</v>
      </c>
      <c r="DD35" s="408">
        <v>0</v>
      </c>
      <c r="DE35" s="408">
        <v>0</v>
      </c>
      <c r="DF35" s="408">
        <v>0</v>
      </c>
      <c r="DG35" s="408">
        <v>780.3285403558657</v>
      </c>
      <c r="DH35" s="408">
        <v>0</v>
      </c>
      <c r="DI35" s="408">
        <v>-1496.9547449489619</v>
      </c>
      <c r="DJ35" s="408"/>
      <c r="DK35" s="408">
        <v>0</v>
      </c>
      <c r="DL35" s="408">
        <v>0</v>
      </c>
      <c r="DM35" s="408">
        <v>0</v>
      </c>
      <c r="DN35" s="408">
        <v>0</v>
      </c>
      <c r="DO35" s="408">
        <v>-236.61533101589521</v>
      </c>
      <c r="DP35" s="408">
        <v>-18.653253776958991</v>
      </c>
      <c r="DQ35" s="408">
        <v>0</v>
      </c>
      <c r="DR35" s="408">
        <v>0</v>
      </c>
      <c r="DS35" s="408"/>
      <c r="DT35" s="408"/>
      <c r="DU35" s="408"/>
      <c r="DV35" s="408">
        <v>0</v>
      </c>
      <c r="DW35" s="408">
        <v>0</v>
      </c>
      <c r="DX35" s="408">
        <v>0</v>
      </c>
      <c r="DY35" s="408">
        <v>-971.51642000001448</v>
      </c>
      <c r="DZ35" s="408">
        <v>17775.457210000022</v>
      </c>
      <c r="EA35" s="408">
        <v>0</v>
      </c>
      <c r="EB35" s="408">
        <v>0</v>
      </c>
      <c r="EC35" s="408">
        <v>0</v>
      </c>
      <c r="ED35" s="408">
        <v>0</v>
      </c>
      <c r="EE35" s="408">
        <v>0</v>
      </c>
      <c r="EF35" s="408">
        <v>0</v>
      </c>
      <c r="EG35" s="408">
        <v>0</v>
      </c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>
        <v>0</v>
      </c>
      <c r="EN35" s="408">
        <v>0</v>
      </c>
      <c r="EO35" s="408">
        <v>0</v>
      </c>
      <c r="EP35" s="408">
        <v>11258.279427338957</v>
      </c>
      <c r="EQ35" s="408">
        <v>0</v>
      </c>
      <c r="ER35" s="408">
        <v>0</v>
      </c>
      <c r="ES35" s="408">
        <v>0</v>
      </c>
      <c r="ET35" s="408">
        <v>0</v>
      </c>
      <c r="EU35" s="408">
        <v>0</v>
      </c>
      <c r="EV35" s="408">
        <v>240</v>
      </c>
      <c r="EW35" s="408">
        <v>0</v>
      </c>
      <c r="EX35" s="408">
        <v>0</v>
      </c>
      <c r="EY35" s="408">
        <v>0</v>
      </c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34</v>
      </c>
      <c r="B36" s="408" t="s">
        <v>2238</v>
      </c>
      <c r="C36" s="408" t="s">
        <v>2243</v>
      </c>
      <c r="D36" s="408" t="s">
        <v>597</v>
      </c>
      <c r="E36" s="408" t="s">
        <v>998</v>
      </c>
      <c r="F36" s="408" t="s">
        <v>1322</v>
      </c>
      <c r="G36" s="408" t="s">
        <v>1322</v>
      </c>
      <c r="H36" s="408" t="s">
        <v>1322</v>
      </c>
      <c r="I36" s="408" t="s">
        <v>2244</v>
      </c>
      <c r="J36" s="408" t="s">
        <v>2236</v>
      </c>
      <c r="K36" s="826">
        <v>44378</v>
      </c>
      <c r="L36" s="408">
        <v>0</v>
      </c>
      <c r="M36" s="408">
        <v>0</v>
      </c>
      <c r="N36" s="408">
        <v>33.32</v>
      </c>
      <c r="O36" s="408">
        <v>33.32</v>
      </c>
      <c r="P36" s="408">
        <v>33.32</v>
      </c>
      <c r="Q36" s="408">
        <v>33.32</v>
      </c>
      <c r="R36" s="408"/>
      <c r="S36" s="408">
        <v>85.01</v>
      </c>
      <c r="T36" s="408">
        <v>173.25</v>
      </c>
      <c r="U36" s="408"/>
      <c r="V36" s="408">
        <v>8605.2232000000004</v>
      </c>
      <c r="W36" s="408">
        <v>8605.2232000000004</v>
      </c>
      <c r="X36" s="408">
        <v>9285.2844000000005</v>
      </c>
      <c r="Y36" s="408">
        <v>0</v>
      </c>
      <c r="Z36" s="408">
        <v>1784.0963886566274</v>
      </c>
      <c r="AA36" s="408">
        <v>0</v>
      </c>
      <c r="AB36" s="408">
        <v>0</v>
      </c>
      <c r="AC36" s="408">
        <v>0</v>
      </c>
      <c r="AD36" s="408">
        <v>0</v>
      </c>
      <c r="AE36" s="408">
        <v>0</v>
      </c>
      <c r="AF36" s="408">
        <v>5675.7444799026289</v>
      </c>
      <c r="AG36" s="408">
        <v>96.869021237634456</v>
      </c>
      <c r="AH36" s="408">
        <v>0</v>
      </c>
      <c r="AI36" s="408">
        <v>0</v>
      </c>
      <c r="AJ36" s="408">
        <v>0</v>
      </c>
      <c r="AK36" s="408">
        <v>0</v>
      </c>
      <c r="AL36" s="408">
        <v>316.84088884048265</v>
      </c>
      <c r="AM36" s="408"/>
      <c r="AN36" s="408">
        <v>26.68311672680683</v>
      </c>
      <c r="AO36" s="408">
        <v>0</v>
      </c>
      <c r="AP36" s="408">
        <v>0</v>
      </c>
      <c r="AQ36" s="408">
        <v>0</v>
      </c>
      <c r="AR36" s="408">
        <v>0</v>
      </c>
      <c r="AS36" s="408">
        <v>0</v>
      </c>
      <c r="AT36" s="408">
        <v>0</v>
      </c>
      <c r="AU36" s="408">
        <v>0</v>
      </c>
      <c r="AV36" s="408">
        <v>0</v>
      </c>
      <c r="AW36" s="408">
        <v>0</v>
      </c>
      <c r="AX36" s="408">
        <v>0</v>
      </c>
      <c r="AY36" s="408">
        <v>0</v>
      </c>
      <c r="AZ36" s="408">
        <v>0</v>
      </c>
      <c r="BA36" s="408"/>
      <c r="BB36" s="408">
        <v>0</v>
      </c>
      <c r="BC36" s="408">
        <v>0</v>
      </c>
      <c r="BD36" s="408">
        <v>0</v>
      </c>
      <c r="BE36" s="408">
        <v>0</v>
      </c>
      <c r="BF36" s="408">
        <v>0</v>
      </c>
      <c r="BG36" s="408">
        <v>249.1888373457306</v>
      </c>
      <c r="BH36" s="408">
        <v>0</v>
      </c>
      <c r="BI36" s="408">
        <v>0</v>
      </c>
      <c r="BJ36" s="408">
        <v>0</v>
      </c>
      <c r="BK36" s="408">
        <v>0</v>
      </c>
      <c r="BL36" s="408">
        <v>0</v>
      </c>
      <c r="BM36" s="408"/>
      <c r="BN36" s="408"/>
      <c r="BO36" s="408"/>
      <c r="BP36" s="408"/>
      <c r="BQ36" s="408"/>
      <c r="BR36" s="408"/>
      <c r="BS36" s="408"/>
      <c r="BT36" s="408"/>
      <c r="BU36" s="408"/>
      <c r="BV36" s="408">
        <v>5924.9333172483593</v>
      </c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>
        <v>9285.2844000000005</v>
      </c>
      <c r="CJ36" s="408">
        <v>680.03119999999944</v>
      </c>
      <c r="CK36" s="408"/>
      <c r="CL36" s="408"/>
      <c r="CM36" s="408"/>
      <c r="CN36" s="408"/>
      <c r="CO36" s="408">
        <v>-39.317600000000226</v>
      </c>
      <c r="CP36" s="408">
        <v>719.37880000000007</v>
      </c>
      <c r="CQ36" s="408">
        <v>31</v>
      </c>
      <c r="CR36" s="408">
        <v>679.96466523568597</v>
      </c>
      <c r="CS36" s="408">
        <v>0</v>
      </c>
      <c r="CT36" s="408">
        <v>0</v>
      </c>
      <c r="CU36" s="408">
        <v>0</v>
      </c>
      <c r="CV36" s="408">
        <v>0</v>
      </c>
      <c r="CW36" s="408">
        <v>0</v>
      </c>
      <c r="CX36" s="408">
        <v>0</v>
      </c>
      <c r="CY36" s="408">
        <v>0</v>
      </c>
      <c r="CZ36" s="408">
        <v>0</v>
      </c>
      <c r="DA36" s="408">
        <v>0</v>
      </c>
      <c r="DB36" s="408">
        <v>0</v>
      </c>
      <c r="DC36" s="408">
        <v>719.29757797344519</v>
      </c>
      <c r="DD36" s="408">
        <v>0</v>
      </c>
      <c r="DE36" s="408">
        <v>0</v>
      </c>
      <c r="DF36" s="408">
        <v>0</v>
      </c>
      <c r="DG36" s="408">
        <v>31.580161474054961</v>
      </c>
      <c r="DH36" s="408">
        <v>0</v>
      </c>
      <c r="DI36" s="408">
        <v>-60.582267750045048</v>
      </c>
      <c r="DJ36" s="408"/>
      <c r="DK36" s="408">
        <v>0</v>
      </c>
      <c r="DL36" s="408">
        <v>0</v>
      </c>
      <c r="DM36" s="408">
        <v>0</v>
      </c>
      <c r="DN36" s="408">
        <v>0</v>
      </c>
      <c r="DO36" s="408">
        <v>-9.5759029361032617</v>
      </c>
      <c r="DP36" s="408">
        <v>-0.75490352566657037</v>
      </c>
      <c r="DQ36" s="408">
        <v>0</v>
      </c>
      <c r="DR36" s="408">
        <v>0</v>
      </c>
      <c r="DS36" s="408"/>
      <c r="DT36" s="408"/>
      <c r="DU36" s="408"/>
      <c r="DV36" s="408">
        <v>0</v>
      </c>
      <c r="DW36" s="408">
        <v>0</v>
      </c>
      <c r="DX36" s="408">
        <v>0</v>
      </c>
      <c r="DY36" s="408">
        <v>-39.317600000000311</v>
      </c>
      <c r="DZ36" s="408">
        <v>719.37880000000041</v>
      </c>
      <c r="EA36" s="408">
        <v>0</v>
      </c>
      <c r="EB36" s="408">
        <v>0</v>
      </c>
      <c r="EC36" s="408">
        <v>0</v>
      </c>
      <c r="ED36" s="408">
        <v>0</v>
      </c>
      <c r="EE36" s="408">
        <v>0</v>
      </c>
      <c r="EF36" s="408">
        <v>0</v>
      </c>
      <c r="EG36" s="408">
        <v>0</v>
      </c>
      <c r="EH36" s="408">
        <v>0</v>
      </c>
      <c r="EI36" s="408">
        <v>0</v>
      </c>
      <c r="EJ36" s="408">
        <v>0</v>
      </c>
      <c r="EK36" s="408">
        <v>0</v>
      </c>
      <c r="EL36" s="408">
        <v>0</v>
      </c>
      <c r="EM36" s="408">
        <v>0</v>
      </c>
      <c r="EN36" s="408">
        <v>0</v>
      </c>
      <c r="EO36" s="408">
        <v>0</v>
      </c>
      <c r="EP36" s="408">
        <v>455.62639817486792</v>
      </c>
      <c r="EQ36" s="408">
        <v>0</v>
      </c>
      <c r="ER36" s="408">
        <v>0</v>
      </c>
      <c r="ES36" s="408">
        <v>0</v>
      </c>
      <c r="ET36" s="408">
        <v>0</v>
      </c>
      <c r="EU36" s="408">
        <v>0</v>
      </c>
      <c r="EV36" s="408">
        <v>240</v>
      </c>
      <c r="EW36" s="408">
        <v>0</v>
      </c>
      <c r="EX36" s="408">
        <v>0</v>
      </c>
      <c r="EY36" s="408">
        <v>0</v>
      </c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35</v>
      </c>
      <c r="B37" s="408" t="s">
        <v>1036</v>
      </c>
      <c r="C37" s="408" t="s">
        <v>2243</v>
      </c>
      <c r="D37" s="408" t="s">
        <v>597</v>
      </c>
      <c r="E37" s="408" t="s">
        <v>998</v>
      </c>
      <c r="F37" s="408" t="s">
        <v>1322</v>
      </c>
      <c r="G37" s="408" t="s">
        <v>1322</v>
      </c>
      <c r="H37" s="408" t="s">
        <v>1322</v>
      </c>
      <c r="I37" s="408" t="s">
        <v>1322</v>
      </c>
      <c r="J37" s="408" t="s">
        <v>2236</v>
      </c>
      <c r="K37" s="826">
        <v>44378</v>
      </c>
      <c r="L37" s="408">
        <v>3721</v>
      </c>
      <c r="M37" s="408">
        <v>3721</v>
      </c>
      <c r="N37" s="408">
        <v>0</v>
      </c>
      <c r="O37" s="408">
        <v>0</v>
      </c>
      <c r="P37" s="408">
        <v>0</v>
      </c>
      <c r="Q37" s="408">
        <v>0</v>
      </c>
      <c r="R37" s="408">
        <v>27.19</v>
      </c>
      <c r="S37" s="408"/>
      <c r="T37" s="408"/>
      <c r="U37" s="408">
        <v>101173.99</v>
      </c>
      <c r="V37" s="408"/>
      <c r="W37" s="408">
        <v>101173.99</v>
      </c>
      <c r="X37" s="408">
        <v>80968.960000000006</v>
      </c>
      <c r="Y37" s="408">
        <v>0</v>
      </c>
      <c r="Z37" s="408">
        <v>0</v>
      </c>
      <c r="AA37" s="408">
        <v>0</v>
      </c>
      <c r="AB37" s="408">
        <v>0</v>
      </c>
      <c r="AC37" s="408">
        <v>867.73948256396568</v>
      </c>
      <c r="AD37" s="408">
        <v>833.63363729734772</v>
      </c>
      <c r="AE37" s="408">
        <v>89051.084534796493</v>
      </c>
      <c r="AF37" s="408"/>
      <c r="AG37" s="408"/>
      <c r="AH37" s="408"/>
      <c r="AI37" s="408">
        <v>0</v>
      </c>
      <c r="AJ37" s="408">
        <v>0</v>
      </c>
      <c r="AK37" s="408">
        <v>0</v>
      </c>
      <c r="AL37" s="408">
        <v>0</v>
      </c>
      <c r="AM37" s="408"/>
      <c r="AN37" s="408">
        <v>0</v>
      </c>
      <c r="AO37" s="408">
        <v>1841.4664564876166</v>
      </c>
      <c r="AP37" s="408">
        <v>8588.3985848457542</v>
      </c>
      <c r="AQ37" s="408">
        <v>0</v>
      </c>
      <c r="AR37" s="408">
        <v>0</v>
      </c>
      <c r="AS37" s="408"/>
      <c r="AT37" s="408"/>
      <c r="AU37" s="408">
        <v>0</v>
      </c>
      <c r="AV37" s="408">
        <v>0</v>
      </c>
      <c r="AW37" s="408">
        <v>0</v>
      </c>
      <c r="AX37" s="408"/>
      <c r="AY37" s="408"/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/>
      <c r="BG37" s="408">
        <v>0</v>
      </c>
      <c r="BH37" s="408">
        <v>0</v>
      </c>
      <c r="BI37" s="408">
        <v>339.81</v>
      </c>
      <c r="BJ37" s="408">
        <v>2913.98</v>
      </c>
      <c r="BK37" s="408">
        <v>196295.24</v>
      </c>
      <c r="BL37" s="408">
        <v>37</v>
      </c>
      <c r="BM37" s="408"/>
      <c r="BN37" s="408"/>
      <c r="BO37" s="408"/>
      <c r="BP37" s="408"/>
      <c r="BQ37" s="408"/>
      <c r="BR37" s="408"/>
      <c r="BS37" s="408"/>
      <c r="BT37" s="408"/>
      <c r="BU37" s="408"/>
      <c r="BV37" s="408">
        <v>0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80968.960000000006</v>
      </c>
      <c r="CJ37" s="408">
        <v>-20205.059999999983</v>
      </c>
      <c r="CK37" s="408"/>
      <c r="CL37" s="408"/>
      <c r="CM37" s="408"/>
      <c r="CN37" s="408"/>
      <c r="CO37" s="408">
        <v>-20205.03</v>
      </c>
      <c r="CP37" s="408">
        <v>0</v>
      </c>
      <c r="CQ37" s="408">
        <v>31</v>
      </c>
      <c r="CR37" s="408">
        <v>1897.6801908405505</v>
      </c>
      <c r="CS37" s="408">
        <v>183.49819636009306</v>
      </c>
      <c r="CT37" s="408">
        <v>855.81556177066523</v>
      </c>
      <c r="CU37" s="408">
        <v>0</v>
      </c>
      <c r="CV37" s="408">
        <v>0</v>
      </c>
      <c r="CW37" s="408"/>
      <c r="CX37" s="408"/>
      <c r="CY37" s="408"/>
      <c r="CZ37" s="408">
        <v>858.36643270979096</v>
      </c>
      <c r="DA37" s="408">
        <v>0</v>
      </c>
      <c r="DB37" s="408">
        <v>0</v>
      </c>
      <c r="DC37" s="408"/>
      <c r="DD37" s="408"/>
      <c r="DE37" s="408">
        <v>0</v>
      </c>
      <c r="DF37" s="408">
        <v>0</v>
      </c>
      <c r="DG37" s="408">
        <v>0</v>
      </c>
      <c r="DH37" s="408">
        <v>0</v>
      </c>
      <c r="DI37" s="408">
        <v>0</v>
      </c>
      <c r="DJ37" s="408"/>
      <c r="DK37" s="408">
        <v>0</v>
      </c>
      <c r="DL37" s="408">
        <v>0</v>
      </c>
      <c r="DM37" s="408"/>
      <c r="DN37" s="408">
        <v>0</v>
      </c>
      <c r="DO37" s="408">
        <v>0</v>
      </c>
      <c r="DP37" s="408">
        <v>0</v>
      </c>
      <c r="DQ37" s="408">
        <v>0</v>
      </c>
      <c r="DR37" s="408">
        <v>0</v>
      </c>
      <c r="DS37" s="408"/>
      <c r="DT37" s="408"/>
      <c r="DU37" s="408">
        <v>89051.084534796493</v>
      </c>
      <c r="DV37" s="408"/>
      <c r="DW37" s="408">
        <v>0</v>
      </c>
      <c r="DX37" s="408">
        <v>0</v>
      </c>
      <c r="DY37" s="408">
        <v>-20205.03</v>
      </c>
      <c r="DZ37" s="408"/>
      <c r="EA37" s="408">
        <v>0</v>
      </c>
      <c r="EB37" s="408"/>
      <c r="EC37" s="408">
        <v>-22121.799933353279</v>
      </c>
      <c r="ED37" s="408"/>
      <c r="EE37" s="408">
        <v>0</v>
      </c>
      <c r="EF37" s="408">
        <v>0</v>
      </c>
      <c r="EG37" s="408"/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/>
      <c r="EN37" s="408"/>
      <c r="EO37" s="408">
        <v>0</v>
      </c>
      <c r="EP37" s="408">
        <v>0</v>
      </c>
      <c r="EQ37" s="408"/>
      <c r="ER37" s="408">
        <v>0</v>
      </c>
      <c r="ES37" s="408"/>
      <c r="ET37" s="408">
        <v>0</v>
      </c>
      <c r="EU37" s="408"/>
      <c r="EV37" s="408">
        <v>240</v>
      </c>
      <c r="EW37" s="408"/>
      <c r="EX37" s="408"/>
      <c r="EY37" s="408"/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36</v>
      </c>
      <c r="B38" s="408" t="s">
        <v>2238</v>
      </c>
      <c r="C38" s="408" t="s">
        <v>2243</v>
      </c>
      <c r="D38" s="408" t="s">
        <v>597</v>
      </c>
      <c r="E38" s="408" t="s">
        <v>998</v>
      </c>
      <c r="F38" s="408" t="s">
        <v>1322</v>
      </c>
      <c r="G38" s="408" t="s">
        <v>1322</v>
      </c>
      <c r="H38" s="408" t="s">
        <v>1322</v>
      </c>
      <c r="I38" s="408" t="s">
        <v>1322</v>
      </c>
      <c r="J38" s="408" t="s">
        <v>2236</v>
      </c>
      <c r="K38" s="826">
        <v>44378</v>
      </c>
      <c r="L38" s="408">
        <v>660</v>
      </c>
      <c r="M38" s="408">
        <v>660</v>
      </c>
      <c r="N38" s="408">
        <v>0</v>
      </c>
      <c r="O38" s="408">
        <v>0</v>
      </c>
      <c r="P38" s="408">
        <v>0</v>
      </c>
      <c r="Q38" s="408">
        <v>0</v>
      </c>
      <c r="R38" s="408">
        <v>27.19</v>
      </c>
      <c r="S38" s="408"/>
      <c r="T38" s="408"/>
      <c r="U38" s="408">
        <v>17945.400000000001</v>
      </c>
      <c r="V38" s="408"/>
      <c r="W38" s="408">
        <v>17945.400000000001</v>
      </c>
      <c r="X38" s="408">
        <v>14361.6</v>
      </c>
      <c r="Y38" s="408">
        <v>0</v>
      </c>
      <c r="Z38" s="408">
        <v>0</v>
      </c>
      <c r="AA38" s="408">
        <v>0</v>
      </c>
      <c r="AB38" s="408">
        <v>0</v>
      </c>
      <c r="AC38" s="408">
        <v>153.91240486219226</v>
      </c>
      <c r="AD38" s="408">
        <v>147.86299398447986</v>
      </c>
      <c r="AE38" s="408">
        <v>15795.139960485269</v>
      </c>
      <c r="AF38" s="408"/>
      <c r="AG38" s="408"/>
      <c r="AH38" s="408"/>
      <c r="AI38" s="408">
        <v>0</v>
      </c>
      <c r="AJ38" s="408">
        <v>0</v>
      </c>
      <c r="AK38" s="408">
        <v>0</v>
      </c>
      <c r="AL38" s="408">
        <v>0</v>
      </c>
      <c r="AM38" s="408"/>
      <c r="AN38" s="408">
        <v>0</v>
      </c>
      <c r="AO38" s="408">
        <v>326.62398851970624</v>
      </c>
      <c r="AP38" s="408">
        <v>1523.3386363875834</v>
      </c>
      <c r="AQ38" s="408">
        <v>0</v>
      </c>
      <c r="AR38" s="408">
        <v>0</v>
      </c>
      <c r="AS38" s="408"/>
      <c r="AT38" s="408"/>
      <c r="AU38" s="408">
        <v>0</v>
      </c>
      <c r="AV38" s="408">
        <v>0</v>
      </c>
      <c r="AW38" s="408">
        <v>0</v>
      </c>
      <c r="AX38" s="408"/>
      <c r="AY38" s="408"/>
      <c r="AZ38" s="408">
        <v>0</v>
      </c>
      <c r="BA38" s="408"/>
      <c r="BB38" s="408">
        <v>0</v>
      </c>
      <c r="BC38" s="408">
        <v>0</v>
      </c>
      <c r="BD38" s="408">
        <v>0</v>
      </c>
      <c r="BE38" s="408">
        <v>0</v>
      </c>
      <c r="BF38" s="408"/>
      <c r="BG38" s="408">
        <v>0</v>
      </c>
      <c r="BH38" s="408">
        <v>0</v>
      </c>
      <c r="BI38" s="408">
        <v>22.34</v>
      </c>
      <c r="BJ38" s="408">
        <v>191.72</v>
      </c>
      <c r="BK38" s="408">
        <v>13982.51</v>
      </c>
      <c r="BL38" s="408">
        <v>6</v>
      </c>
      <c r="BM38" s="408"/>
      <c r="BN38" s="408"/>
      <c r="BO38" s="408"/>
      <c r="BP38" s="408"/>
      <c r="BQ38" s="408"/>
      <c r="BR38" s="408"/>
      <c r="BS38" s="408"/>
      <c r="BT38" s="408"/>
      <c r="BU38" s="408"/>
      <c r="BV38" s="408">
        <v>0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14361.6</v>
      </c>
      <c r="CJ38" s="408">
        <v>-3583.8299999999963</v>
      </c>
      <c r="CK38" s="408"/>
      <c r="CL38" s="408"/>
      <c r="CM38" s="408"/>
      <c r="CN38" s="408"/>
      <c r="CO38" s="408">
        <v>-3583.7999999999997</v>
      </c>
      <c r="CP38" s="408">
        <v>0</v>
      </c>
      <c r="CQ38" s="408">
        <v>31</v>
      </c>
      <c r="CR38" s="408">
        <v>336.59471269947881</v>
      </c>
      <c r="CS38" s="408">
        <v>32.547382315953087</v>
      </c>
      <c r="CT38" s="408">
        <v>151.79743906708904</v>
      </c>
      <c r="CU38" s="408">
        <v>0</v>
      </c>
      <c r="CV38" s="408">
        <v>0</v>
      </c>
      <c r="CW38" s="408"/>
      <c r="CX38" s="408"/>
      <c r="CY38" s="408"/>
      <c r="CZ38" s="408">
        <v>152.24989131643699</v>
      </c>
      <c r="DA38" s="408">
        <v>0</v>
      </c>
      <c r="DB38" s="408">
        <v>0</v>
      </c>
      <c r="DC38" s="408"/>
      <c r="DD38" s="408"/>
      <c r="DE38" s="408">
        <v>0</v>
      </c>
      <c r="DF38" s="408">
        <v>0</v>
      </c>
      <c r="DG38" s="408">
        <v>0</v>
      </c>
      <c r="DH38" s="408">
        <v>0</v>
      </c>
      <c r="DI38" s="408">
        <v>0</v>
      </c>
      <c r="DJ38" s="408"/>
      <c r="DK38" s="408">
        <v>0</v>
      </c>
      <c r="DL38" s="408">
        <v>0</v>
      </c>
      <c r="DM38" s="408"/>
      <c r="DN38" s="408">
        <v>0</v>
      </c>
      <c r="DO38" s="408">
        <v>0</v>
      </c>
      <c r="DP38" s="408">
        <v>0</v>
      </c>
      <c r="DQ38" s="408">
        <v>0</v>
      </c>
      <c r="DR38" s="408">
        <v>0</v>
      </c>
      <c r="DS38" s="408"/>
      <c r="DT38" s="408"/>
      <c r="DU38" s="408">
        <v>15795.139960485269</v>
      </c>
      <c r="DV38" s="408"/>
      <c r="DW38" s="408">
        <v>0</v>
      </c>
      <c r="DX38" s="408">
        <v>0</v>
      </c>
      <c r="DY38" s="408">
        <v>-3583.8000000000011</v>
      </c>
      <c r="DZ38" s="408"/>
      <c r="EA38" s="408">
        <v>0</v>
      </c>
      <c r="EB38" s="408"/>
      <c r="EC38" s="408">
        <v>-3923.7806922905584</v>
      </c>
      <c r="ED38" s="408"/>
      <c r="EE38" s="408">
        <v>0</v>
      </c>
      <c r="EF38" s="408">
        <v>0</v>
      </c>
      <c r="EG38" s="408"/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/>
      <c r="EN38" s="408"/>
      <c r="EO38" s="408">
        <v>0</v>
      </c>
      <c r="EP38" s="408">
        <v>0</v>
      </c>
      <c r="EQ38" s="408"/>
      <c r="ER38" s="408">
        <v>0</v>
      </c>
      <c r="ES38" s="408"/>
      <c r="ET38" s="408">
        <v>0</v>
      </c>
      <c r="EU38" s="408"/>
      <c r="EV38" s="408">
        <v>240</v>
      </c>
      <c r="EW38" s="408"/>
      <c r="EX38" s="408"/>
      <c r="EY38" s="408"/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37</v>
      </c>
      <c r="B39" s="408" t="s">
        <v>1036</v>
      </c>
      <c r="C39" s="408" t="s">
        <v>2316</v>
      </c>
      <c r="D39" s="408" t="s">
        <v>1958</v>
      </c>
      <c r="E39" s="408" t="s">
        <v>998</v>
      </c>
      <c r="F39" s="408" t="s">
        <v>1322</v>
      </c>
      <c r="G39" s="408" t="s">
        <v>1322</v>
      </c>
      <c r="H39" s="408" t="s">
        <v>1322</v>
      </c>
      <c r="I39" s="408" t="s">
        <v>973</v>
      </c>
      <c r="J39" s="408" t="s">
        <v>2236</v>
      </c>
      <c r="K39" s="826">
        <v>44378</v>
      </c>
      <c r="L39" s="408">
        <v>0</v>
      </c>
      <c r="M39" s="408">
        <v>0</v>
      </c>
      <c r="N39" s="408">
        <v>0.56599999999999995</v>
      </c>
      <c r="O39" s="408">
        <v>0.56599999999999995</v>
      </c>
      <c r="P39" s="408">
        <v>0.56599999999999995</v>
      </c>
      <c r="Q39" s="408">
        <v>0.56599999999999995</v>
      </c>
      <c r="R39" s="408"/>
      <c r="S39" s="408">
        <v>1553.42</v>
      </c>
      <c r="T39" s="408">
        <v>173.25</v>
      </c>
      <c r="U39" s="408"/>
      <c r="V39" s="408">
        <v>977.29521999999997</v>
      </c>
      <c r="W39" s="408">
        <v>977.29521999999997</v>
      </c>
      <c r="X39" s="408">
        <v>927.24383999999998</v>
      </c>
      <c r="Y39" s="408">
        <v>0</v>
      </c>
      <c r="Z39" s="408">
        <v>34.834573690843641</v>
      </c>
      <c r="AA39" s="408">
        <v>0</v>
      </c>
      <c r="AB39" s="408">
        <v>0</v>
      </c>
      <c r="AC39" s="408">
        <v>61.382273264643558</v>
      </c>
      <c r="AD39" s="408">
        <v>4.2447849789434944</v>
      </c>
      <c r="AE39" s="408">
        <v>406.60755334845442</v>
      </c>
      <c r="AF39" s="408">
        <v>96.412706351287156</v>
      </c>
      <c r="AG39" s="408">
        <v>1.6454941782863475</v>
      </c>
      <c r="AH39" s="408">
        <v>0</v>
      </c>
      <c r="AI39" s="408">
        <v>0</v>
      </c>
      <c r="AJ39" s="408">
        <v>0</v>
      </c>
      <c r="AK39" s="408">
        <v>0</v>
      </c>
      <c r="AL39" s="408">
        <v>5.3821111369661816</v>
      </c>
      <c r="AM39" s="408"/>
      <c r="AN39" s="408">
        <v>0.68364690032929942</v>
      </c>
      <c r="AO39" s="408">
        <v>178.60354403165979</v>
      </c>
      <c r="AP39" s="408">
        <v>173.53904947669085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0</v>
      </c>
      <c r="BF39" s="408">
        <v>0</v>
      </c>
      <c r="BG39" s="408">
        <v>5.0599221729703645</v>
      </c>
      <c r="BH39" s="408">
        <v>0</v>
      </c>
      <c r="BI39" s="408">
        <v>0</v>
      </c>
      <c r="BJ39" s="408">
        <v>0</v>
      </c>
      <c r="BK39" s="408">
        <v>0</v>
      </c>
      <c r="BL39" s="408">
        <v>0</v>
      </c>
      <c r="BM39" s="408"/>
      <c r="BN39" s="408"/>
      <c r="BO39" s="408"/>
      <c r="BP39" s="408"/>
      <c r="BQ39" s="408"/>
      <c r="BR39" s="408"/>
      <c r="BS39" s="408"/>
      <c r="BT39" s="408"/>
      <c r="BU39" s="408"/>
      <c r="BV39" s="408">
        <v>101.47262852425752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933.79679999999996</v>
      </c>
      <c r="CJ39" s="408">
        <v>-43.528419999999983</v>
      </c>
      <c r="CK39" s="408"/>
      <c r="CL39" s="408"/>
      <c r="CM39" s="408"/>
      <c r="CN39" s="408"/>
      <c r="CO39" s="408">
        <v>-62.271319999999982</v>
      </c>
      <c r="CP39" s="408">
        <v>12.219940000000001</v>
      </c>
      <c r="CQ39" s="408">
        <v>31</v>
      </c>
      <c r="CR39" s="408">
        <v>50.955915272855918</v>
      </c>
      <c r="CS39" s="408">
        <v>17.79746140792696</v>
      </c>
      <c r="CT39" s="408">
        <v>17.292795350591064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4.370722073797733</v>
      </c>
      <c r="DA39" s="408">
        <v>0</v>
      </c>
      <c r="DB39" s="408">
        <v>0</v>
      </c>
      <c r="DC39" s="408">
        <v>12.218560298108329</v>
      </c>
      <c r="DD39" s="408">
        <v>0</v>
      </c>
      <c r="DE39" s="408">
        <v>0</v>
      </c>
      <c r="DF39" s="408">
        <v>0</v>
      </c>
      <c r="DG39" s="408">
        <v>0.64125327992465486</v>
      </c>
      <c r="DH39" s="408">
        <v>0</v>
      </c>
      <c r="DI39" s="408">
        <v>-1.182871891740362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-0.16266389741399934</v>
      </c>
      <c r="DP39" s="408">
        <v>-1.9341348338483777E-2</v>
      </c>
      <c r="DQ39" s="408">
        <v>0</v>
      </c>
      <c r="DR39" s="408">
        <v>0</v>
      </c>
      <c r="DS39" s="408"/>
      <c r="DT39" s="408"/>
      <c r="DU39" s="408"/>
      <c r="DV39" s="408">
        <v>406.60755334845442</v>
      </c>
      <c r="DW39" s="408">
        <v>0</v>
      </c>
      <c r="DX39" s="408">
        <v>0</v>
      </c>
      <c r="DY39" s="408">
        <v>-62.27132000000006</v>
      </c>
      <c r="DZ39" s="408">
        <v>12.219940000000008</v>
      </c>
      <c r="EA39" s="408">
        <v>0</v>
      </c>
      <c r="EB39" s="408">
        <v>0</v>
      </c>
      <c r="EC39" s="408">
        <v>-101.00821335926707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8.8961288435020442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240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38</v>
      </c>
      <c r="B40" s="408" t="s">
        <v>1036</v>
      </c>
      <c r="C40" s="408" t="s">
        <v>2316</v>
      </c>
      <c r="D40" s="408" t="s">
        <v>1958</v>
      </c>
      <c r="E40" s="408" t="s">
        <v>998</v>
      </c>
      <c r="F40" s="408" t="s">
        <v>1322</v>
      </c>
      <c r="G40" s="408" t="s">
        <v>1322</v>
      </c>
      <c r="H40" s="408" t="s">
        <v>1322</v>
      </c>
      <c r="I40" s="408" t="s">
        <v>2244</v>
      </c>
      <c r="J40" s="408" t="s">
        <v>2236</v>
      </c>
      <c r="K40" s="826">
        <v>44378</v>
      </c>
      <c r="L40" s="408">
        <v>0</v>
      </c>
      <c r="M40" s="408">
        <v>0</v>
      </c>
      <c r="N40" s="408">
        <v>5.5490000000000004</v>
      </c>
      <c r="O40" s="408">
        <v>5.5490000000000004</v>
      </c>
      <c r="P40" s="408">
        <v>5.5490000000000004</v>
      </c>
      <c r="Q40" s="408">
        <v>5.5490000000000004</v>
      </c>
      <c r="R40" s="408"/>
      <c r="S40" s="408">
        <v>388.22</v>
      </c>
      <c r="T40" s="408">
        <v>173.25</v>
      </c>
      <c r="U40" s="408"/>
      <c r="V40" s="408">
        <v>3115.5970300000004</v>
      </c>
      <c r="W40" s="408">
        <v>3115.5970300000004</v>
      </c>
      <c r="X40" s="408">
        <v>3107.6064700000006</v>
      </c>
      <c r="Y40" s="408">
        <v>0</v>
      </c>
      <c r="Z40" s="408">
        <v>341.51422157330637</v>
      </c>
      <c r="AA40" s="408">
        <v>0</v>
      </c>
      <c r="AB40" s="408">
        <v>0</v>
      </c>
      <c r="AC40" s="408">
        <v>120.35697326696366</v>
      </c>
      <c r="AD40" s="408">
        <v>8.3230861791487687</v>
      </c>
      <c r="AE40" s="408">
        <v>797.26749281971013</v>
      </c>
      <c r="AF40" s="408">
        <v>945.21927127790195</v>
      </c>
      <c r="AG40" s="408">
        <v>16.132238860973398</v>
      </c>
      <c r="AH40" s="408">
        <v>0</v>
      </c>
      <c r="AI40" s="408">
        <v>0</v>
      </c>
      <c r="AJ40" s="408">
        <v>0</v>
      </c>
      <c r="AK40" s="408">
        <v>0</v>
      </c>
      <c r="AL40" s="408">
        <v>52.765609008878705</v>
      </c>
      <c r="AM40" s="408"/>
      <c r="AN40" s="408">
        <v>6.7023969079987333</v>
      </c>
      <c r="AO40" s="408">
        <v>350.20179004653016</v>
      </c>
      <c r="AP40" s="408">
        <v>340.27144365588612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0</v>
      </c>
      <c r="BF40" s="408">
        <v>0</v>
      </c>
      <c r="BG40" s="408">
        <v>49.606904837124659</v>
      </c>
      <c r="BH40" s="408">
        <v>0</v>
      </c>
      <c r="BI40" s="408">
        <v>0</v>
      </c>
      <c r="BJ40" s="408">
        <v>0</v>
      </c>
      <c r="BK40" s="408">
        <v>0</v>
      </c>
      <c r="BL40" s="408">
        <v>0</v>
      </c>
      <c r="BM40" s="408"/>
      <c r="BN40" s="408"/>
      <c r="BO40" s="408"/>
      <c r="BP40" s="408"/>
      <c r="BQ40" s="408"/>
      <c r="BR40" s="408"/>
      <c r="BS40" s="408"/>
      <c r="BT40" s="408"/>
      <c r="BU40" s="408"/>
      <c r="BV40" s="408">
        <v>994.82617611502656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3108.1665000000003</v>
      </c>
      <c r="CJ40" s="408">
        <v>-7.4605300000007446</v>
      </c>
      <c r="CK40" s="408"/>
      <c r="CL40" s="408"/>
      <c r="CM40" s="408"/>
      <c r="CN40" s="408"/>
      <c r="CO40" s="408">
        <v>-127.79347000000017</v>
      </c>
      <c r="CP40" s="408">
        <v>119.80291000000003</v>
      </c>
      <c r="CQ40" s="408">
        <v>31</v>
      </c>
      <c r="CR40" s="408">
        <v>190.06925999151917</v>
      </c>
      <c r="CS40" s="408">
        <v>34.896859841902824</v>
      </c>
      <c r="CT40" s="408">
        <v>33.907322049621257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8.5700210177384601</v>
      </c>
      <c r="DA40" s="408">
        <v>0</v>
      </c>
      <c r="DB40" s="408">
        <v>0</v>
      </c>
      <c r="DC40" s="408">
        <v>119.78938355866262</v>
      </c>
      <c r="DD40" s="408">
        <v>0</v>
      </c>
      <c r="DE40" s="408">
        <v>0</v>
      </c>
      <c r="DF40" s="408">
        <v>0</v>
      </c>
      <c r="DG40" s="408">
        <v>6.2867746471765145</v>
      </c>
      <c r="DH40" s="408">
        <v>0</v>
      </c>
      <c r="DI40" s="408">
        <v>-11.596742274323844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-1.5947384571559837</v>
      </c>
      <c r="DP40" s="408">
        <v>-0.18962039210290804</v>
      </c>
      <c r="DQ40" s="408">
        <v>0</v>
      </c>
      <c r="DR40" s="408">
        <v>0</v>
      </c>
      <c r="DS40" s="408"/>
      <c r="DT40" s="408"/>
      <c r="DU40" s="408"/>
      <c r="DV40" s="408">
        <v>797.26749281971013</v>
      </c>
      <c r="DW40" s="408">
        <v>0</v>
      </c>
      <c r="DX40" s="408">
        <v>0</v>
      </c>
      <c r="DY40" s="408">
        <v>-127.79347000000007</v>
      </c>
      <c r="DZ40" s="408">
        <v>119.80291000000011</v>
      </c>
      <c r="EA40" s="408">
        <v>0</v>
      </c>
      <c r="EB40" s="408">
        <v>0</v>
      </c>
      <c r="EC40" s="408">
        <v>-198.05476891898184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87.216641258997967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240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39</v>
      </c>
      <c r="B41" s="408" t="s">
        <v>1036</v>
      </c>
      <c r="C41" s="408" t="s">
        <v>2316</v>
      </c>
      <c r="D41" s="408" t="s">
        <v>1958</v>
      </c>
      <c r="E41" s="408" t="s">
        <v>998</v>
      </c>
      <c r="F41" s="408" t="s">
        <v>1322</v>
      </c>
      <c r="G41" s="408" t="s">
        <v>1322</v>
      </c>
      <c r="H41" s="408" t="s">
        <v>1322</v>
      </c>
      <c r="I41" s="408" t="s">
        <v>1322</v>
      </c>
      <c r="J41" s="408" t="s">
        <v>2236</v>
      </c>
      <c r="K41" s="826">
        <v>44378</v>
      </c>
      <c r="L41" s="408">
        <v>0</v>
      </c>
      <c r="M41" s="408">
        <v>0</v>
      </c>
      <c r="N41" s="408">
        <v>0</v>
      </c>
      <c r="O41" s="408">
        <v>0</v>
      </c>
      <c r="P41" s="408">
        <v>0</v>
      </c>
      <c r="Q41" s="408">
        <v>0</v>
      </c>
      <c r="R41" s="408"/>
      <c r="S41" s="408"/>
      <c r="T41" s="408"/>
      <c r="U41" s="408"/>
      <c r="V41" s="408"/>
      <c r="W41" s="408"/>
      <c r="X41" s="408"/>
      <c r="Y41" s="408"/>
      <c r="Z41" s="408"/>
      <c r="AA41" s="408">
        <v>0</v>
      </c>
      <c r="AB41" s="408"/>
      <c r="AC41" s="408"/>
      <c r="AD41" s="408"/>
      <c r="AE41" s="408"/>
      <c r="AF41" s="408"/>
      <c r="AG41" s="408"/>
      <c r="AH41" s="408"/>
      <c r="AI41" s="408"/>
      <c r="AJ41" s="408"/>
      <c r="AK41" s="408"/>
      <c r="AL41" s="408"/>
      <c r="AM41" s="408"/>
      <c r="AN41" s="408"/>
      <c r="AO41" s="408"/>
      <c r="AP41" s="408"/>
      <c r="AQ41" s="408"/>
      <c r="AR41" s="408"/>
      <c r="AS41" s="408"/>
      <c r="AT41" s="408"/>
      <c r="AU41" s="408"/>
      <c r="AV41" s="408"/>
      <c r="AW41" s="408"/>
      <c r="AX41" s="408"/>
      <c r="AY41" s="408"/>
      <c r="AZ41" s="408">
        <v>0</v>
      </c>
      <c r="BA41" s="408"/>
      <c r="BB41" s="408"/>
      <c r="BC41" s="408"/>
      <c r="BD41" s="408"/>
      <c r="BE41" s="408"/>
      <c r="BF41" s="408"/>
      <c r="BG41" s="408"/>
      <c r="BH41" s="408"/>
      <c r="BI41" s="408">
        <v>2.46</v>
      </c>
      <c r="BJ41" s="408">
        <v>21.38</v>
      </c>
      <c r="BK41" s="408">
        <v>1526.66</v>
      </c>
      <c r="BL41" s="408">
        <v>5</v>
      </c>
      <c r="BM41" s="408"/>
      <c r="BN41" s="408"/>
      <c r="BO41" s="408"/>
      <c r="BP41" s="408"/>
      <c r="BQ41" s="408"/>
      <c r="BR41" s="408"/>
      <c r="BS41" s="408"/>
      <c r="BT41" s="408"/>
      <c r="BU41" s="408"/>
      <c r="BV41" s="408"/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/>
      <c r="CJ41" s="408">
        <v>-0.03</v>
      </c>
      <c r="CK41" s="408"/>
      <c r="CL41" s="408"/>
      <c r="CM41" s="408"/>
      <c r="CN41" s="408"/>
      <c r="CO41" s="408">
        <v>0</v>
      </c>
      <c r="CP41" s="408">
        <v>0</v>
      </c>
      <c r="CQ41" s="408">
        <v>31</v>
      </c>
      <c r="CR41" s="408"/>
      <c r="CS41" s="408"/>
      <c r="CT41" s="408"/>
      <c r="CU41" s="408"/>
      <c r="CV41" s="408"/>
      <c r="CW41" s="408"/>
      <c r="CX41" s="408"/>
      <c r="CY41" s="408"/>
      <c r="CZ41" s="408"/>
      <c r="DA41" s="408"/>
      <c r="DB41" s="408"/>
      <c r="DC41" s="408"/>
      <c r="DD41" s="408"/>
      <c r="DE41" s="408"/>
      <c r="DF41" s="408"/>
      <c r="DG41" s="408"/>
      <c r="DH41" s="408"/>
      <c r="DI41" s="408"/>
      <c r="DJ41" s="408"/>
      <c r="DK41" s="408">
        <v>0</v>
      </c>
      <c r="DL41" s="408"/>
      <c r="DM41" s="408"/>
      <c r="DN41" s="408"/>
      <c r="DO41" s="408"/>
      <c r="DP41" s="408"/>
      <c r="DQ41" s="408"/>
      <c r="DR41" s="408"/>
      <c r="DS41" s="408"/>
      <c r="DT41" s="408"/>
      <c r="DU41" s="408"/>
      <c r="DV41" s="408"/>
      <c r="DW41" s="408"/>
      <c r="DX41" s="408"/>
      <c r="DY41" s="408"/>
      <c r="DZ41" s="408"/>
      <c r="EA41" s="408"/>
      <c r="EB41" s="408"/>
      <c r="EC41" s="408"/>
      <c r="ED41" s="408"/>
      <c r="EE41" s="408"/>
      <c r="EF41" s="408"/>
      <c r="EG41" s="408"/>
      <c r="EH41" s="408"/>
      <c r="EI41" s="408"/>
      <c r="EJ41" s="408"/>
      <c r="EK41" s="408"/>
      <c r="EL41" s="408"/>
      <c r="EM41" s="408"/>
      <c r="EN41" s="408"/>
      <c r="EO41" s="408"/>
      <c r="EP41" s="408"/>
      <c r="EQ41" s="408"/>
      <c r="ER41" s="408"/>
      <c r="ES41" s="408"/>
      <c r="ET41" s="408"/>
      <c r="EU41" s="408"/>
      <c r="EV41" s="408">
        <v>240</v>
      </c>
      <c r="EW41" s="408"/>
      <c r="EX41" s="408"/>
      <c r="EY41" s="408"/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40</v>
      </c>
      <c r="B42" s="408" t="s">
        <v>1036</v>
      </c>
      <c r="C42" s="408" t="s">
        <v>2316</v>
      </c>
      <c r="D42" s="408" t="s">
        <v>1958</v>
      </c>
      <c r="E42" s="408" t="s">
        <v>998</v>
      </c>
      <c r="F42" s="408" t="s">
        <v>1322</v>
      </c>
      <c r="G42" s="408" t="s">
        <v>1322</v>
      </c>
      <c r="H42" s="408" t="s">
        <v>1322</v>
      </c>
      <c r="I42" s="408" t="s">
        <v>2317</v>
      </c>
      <c r="J42" s="408" t="s">
        <v>2236</v>
      </c>
      <c r="K42" s="826">
        <v>44378</v>
      </c>
      <c r="L42" s="408">
        <v>0</v>
      </c>
      <c r="M42" s="408">
        <v>0</v>
      </c>
      <c r="N42" s="408">
        <v>0.41599999999999998</v>
      </c>
      <c r="O42" s="408">
        <v>0.41599999999999998</v>
      </c>
      <c r="P42" s="408">
        <v>0.41599999999999998</v>
      </c>
      <c r="Q42" s="408">
        <v>0.41599999999999998</v>
      </c>
      <c r="R42" s="408"/>
      <c r="S42" s="408">
        <v>970.82</v>
      </c>
      <c r="T42" s="408">
        <v>173.25</v>
      </c>
      <c r="U42" s="408"/>
      <c r="V42" s="408">
        <v>475.93312000000003</v>
      </c>
      <c r="W42" s="408">
        <v>475.93312000000003</v>
      </c>
      <c r="X42" s="408">
        <v>457.23807999999997</v>
      </c>
      <c r="Y42" s="408">
        <v>0</v>
      </c>
      <c r="Z42" s="408">
        <v>25.602796210938084</v>
      </c>
      <c r="AA42" s="408">
        <v>0</v>
      </c>
      <c r="AB42" s="408">
        <v>0</v>
      </c>
      <c r="AC42" s="408">
        <v>27.068931814231547</v>
      </c>
      <c r="AD42" s="408">
        <v>1.8719069294607384</v>
      </c>
      <c r="AE42" s="408">
        <v>179.30966549884334</v>
      </c>
      <c r="AF42" s="408">
        <v>70.861635763490199</v>
      </c>
      <c r="AG42" s="408">
        <v>1.2094091487051601</v>
      </c>
      <c r="AH42" s="408">
        <v>0</v>
      </c>
      <c r="AI42" s="408">
        <v>0</v>
      </c>
      <c r="AJ42" s="408">
        <v>0</v>
      </c>
      <c r="AK42" s="408">
        <v>0</v>
      </c>
      <c r="AL42" s="408">
        <v>3.9557565953673701</v>
      </c>
      <c r="AM42" s="408"/>
      <c r="AN42" s="408">
        <v>0.50246839317489145</v>
      </c>
      <c r="AO42" s="408">
        <v>78.762269594173574</v>
      </c>
      <c r="AP42" s="408">
        <v>76.528881182653947</v>
      </c>
      <c r="AQ42" s="408">
        <v>0</v>
      </c>
      <c r="AR42" s="408">
        <v>0</v>
      </c>
      <c r="AS42" s="408">
        <v>0</v>
      </c>
      <c r="AT42" s="408">
        <v>0</v>
      </c>
      <c r="AU42" s="408">
        <v>0</v>
      </c>
      <c r="AV42" s="408">
        <v>0</v>
      </c>
      <c r="AW42" s="408">
        <v>0</v>
      </c>
      <c r="AX42" s="408">
        <v>0</v>
      </c>
      <c r="AY42" s="408">
        <v>0</v>
      </c>
      <c r="AZ42" s="408">
        <v>0</v>
      </c>
      <c r="BA42" s="408"/>
      <c r="BB42" s="408">
        <v>0</v>
      </c>
      <c r="BC42" s="408">
        <v>0</v>
      </c>
      <c r="BD42" s="408">
        <v>0</v>
      </c>
      <c r="BE42" s="408">
        <v>0</v>
      </c>
      <c r="BF42" s="408">
        <v>0</v>
      </c>
      <c r="BG42" s="408">
        <v>3.7189533992149677</v>
      </c>
      <c r="BH42" s="408">
        <v>0</v>
      </c>
      <c r="BI42" s="408">
        <v>0</v>
      </c>
      <c r="BJ42" s="408">
        <v>0</v>
      </c>
      <c r="BK42" s="408">
        <v>0</v>
      </c>
      <c r="BL42" s="408">
        <v>0</v>
      </c>
      <c r="BM42" s="408"/>
      <c r="BN42" s="408"/>
      <c r="BO42" s="408"/>
      <c r="BP42" s="408"/>
      <c r="BQ42" s="408"/>
      <c r="BR42" s="408"/>
      <c r="BS42" s="408"/>
      <c r="BT42" s="408"/>
      <c r="BU42" s="408"/>
      <c r="BV42" s="408">
        <v>74.580589162705166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461.63459999999998</v>
      </c>
      <c r="CJ42" s="408">
        <v>-14.328520000000026</v>
      </c>
      <c r="CK42" s="408"/>
      <c r="CL42" s="408"/>
      <c r="CM42" s="408"/>
      <c r="CN42" s="408"/>
      <c r="CO42" s="408">
        <v>-27.676480000000033</v>
      </c>
      <c r="CP42" s="408">
        <v>8.981440000000001</v>
      </c>
      <c r="CQ42" s="408">
        <v>31</v>
      </c>
      <c r="CR42" s="408">
        <v>25.850450347265792</v>
      </c>
      <c r="CS42" s="408">
        <v>7.8484918152272201</v>
      </c>
      <c r="CT42" s="408">
        <v>7.625939433758461</v>
      </c>
      <c r="CU42" s="408">
        <v>0</v>
      </c>
      <c r="CV42" s="408">
        <v>0</v>
      </c>
      <c r="CW42" s="408">
        <v>0</v>
      </c>
      <c r="CX42" s="408">
        <v>0</v>
      </c>
      <c r="CY42" s="408">
        <v>0</v>
      </c>
      <c r="CZ42" s="408">
        <v>1.9274439052329508</v>
      </c>
      <c r="DA42" s="408">
        <v>0</v>
      </c>
      <c r="DB42" s="408">
        <v>0</v>
      </c>
      <c r="DC42" s="408">
        <v>8.980425943485983</v>
      </c>
      <c r="DD42" s="408">
        <v>0</v>
      </c>
      <c r="DE42" s="408">
        <v>0</v>
      </c>
      <c r="DF42" s="408">
        <v>0</v>
      </c>
      <c r="DG42" s="408">
        <v>0.47130983118137149</v>
      </c>
      <c r="DH42" s="408">
        <v>0</v>
      </c>
      <c r="DI42" s="408">
        <v>-0.86938994163249461</v>
      </c>
      <c r="DJ42" s="408"/>
      <c r="DK42" s="408">
        <v>0</v>
      </c>
      <c r="DL42" s="408">
        <v>0</v>
      </c>
      <c r="DM42" s="408">
        <v>0</v>
      </c>
      <c r="DN42" s="408">
        <v>0</v>
      </c>
      <c r="DO42" s="408">
        <v>-0.11955509067884051</v>
      </c>
      <c r="DP42" s="408">
        <v>-1.4215549308850217E-2</v>
      </c>
      <c r="DQ42" s="408">
        <v>0</v>
      </c>
      <c r="DR42" s="408">
        <v>0</v>
      </c>
      <c r="DS42" s="408"/>
      <c r="DT42" s="408"/>
      <c r="DU42" s="408"/>
      <c r="DV42" s="408">
        <v>179.30966549884334</v>
      </c>
      <c r="DW42" s="408">
        <v>0</v>
      </c>
      <c r="DX42" s="408">
        <v>0</v>
      </c>
      <c r="DY42" s="408">
        <v>-27.676480000000083</v>
      </c>
      <c r="DZ42" s="408">
        <v>8.9814399999999921</v>
      </c>
      <c r="EA42" s="408">
        <v>0</v>
      </c>
      <c r="EB42" s="408">
        <v>0</v>
      </c>
      <c r="EC42" s="408">
        <v>-44.543562461970623</v>
      </c>
      <c r="ED42" s="408">
        <v>0</v>
      </c>
      <c r="EE42" s="408">
        <v>0</v>
      </c>
      <c r="EF42" s="408">
        <v>0</v>
      </c>
      <c r="EG42" s="408">
        <v>0</v>
      </c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>
        <v>0</v>
      </c>
      <c r="EN42" s="408">
        <v>0</v>
      </c>
      <c r="EO42" s="408">
        <v>0</v>
      </c>
      <c r="EP42" s="408">
        <v>6.5384975245527386</v>
      </c>
      <c r="EQ42" s="408">
        <v>0</v>
      </c>
      <c r="ER42" s="408">
        <v>0</v>
      </c>
      <c r="ES42" s="408">
        <v>0</v>
      </c>
      <c r="ET42" s="408">
        <v>0</v>
      </c>
      <c r="EU42" s="408">
        <v>0</v>
      </c>
      <c r="EV42" s="408">
        <v>240</v>
      </c>
      <c r="EW42" s="408">
        <v>0</v>
      </c>
      <c r="EX42" s="408">
        <v>0</v>
      </c>
      <c r="EY42" s="408">
        <v>0</v>
      </c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41</v>
      </c>
      <c r="B43" s="408" t="s">
        <v>1036</v>
      </c>
      <c r="C43" s="408" t="s">
        <v>2235</v>
      </c>
      <c r="D43" s="408" t="s">
        <v>2245</v>
      </c>
      <c r="E43" s="408" t="s">
        <v>974</v>
      </c>
      <c r="F43" s="408" t="s">
        <v>1322</v>
      </c>
      <c r="G43" s="408" t="s">
        <v>1322</v>
      </c>
      <c r="H43" s="408" t="s">
        <v>1322</v>
      </c>
      <c r="I43" s="408" t="s">
        <v>1322</v>
      </c>
      <c r="J43" s="408" t="s">
        <v>2236</v>
      </c>
      <c r="K43" s="826">
        <v>44378</v>
      </c>
      <c r="L43" s="408">
        <v>0</v>
      </c>
      <c r="M43" s="408">
        <v>0</v>
      </c>
      <c r="N43" s="408">
        <v>5986.2250000000004</v>
      </c>
      <c r="O43" s="408">
        <v>5986.2250000000004</v>
      </c>
      <c r="P43" s="408">
        <v>5986.2250000000004</v>
      </c>
      <c r="Q43" s="408">
        <v>5986.2250000000004</v>
      </c>
      <c r="R43" s="408"/>
      <c r="S43" s="408">
        <v>368.24</v>
      </c>
      <c r="T43" s="408">
        <v>173.25</v>
      </c>
      <c r="U43" s="408"/>
      <c r="V43" s="408">
        <v>3241480.9752500006</v>
      </c>
      <c r="W43" s="408">
        <v>3241480.9752500006</v>
      </c>
      <c r="X43" s="408">
        <v>3046330.0402500005</v>
      </c>
      <c r="Y43" s="408">
        <v>0</v>
      </c>
      <c r="Z43" s="408">
        <v>368423.31429765112</v>
      </c>
      <c r="AA43" s="408">
        <v>0</v>
      </c>
      <c r="AB43" s="408">
        <v>0</v>
      </c>
      <c r="AC43" s="408">
        <v>15321.966562083688</v>
      </c>
      <c r="AD43" s="408">
        <v>14720.974098378072</v>
      </c>
      <c r="AE43" s="408">
        <v>1409978.1111299996</v>
      </c>
      <c r="AF43" s="408">
        <v>1019696.3835295654</v>
      </c>
      <c r="AG43" s="408">
        <v>17403.354041364295</v>
      </c>
      <c r="AH43" s="408">
        <v>0</v>
      </c>
      <c r="AI43" s="408">
        <v>0</v>
      </c>
      <c r="AJ43" s="408">
        <v>0</v>
      </c>
      <c r="AK43" s="408">
        <v>0</v>
      </c>
      <c r="AL43" s="408">
        <v>56923.194771882307</v>
      </c>
      <c r="AM43" s="408"/>
      <c r="AN43" s="408">
        <v>7230.5020599359732</v>
      </c>
      <c r="AO43" s="408">
        <v>32525.528262803702</v>
      </c>
      <c r="AP43" s="408">
        <v>151661.73989702138</v>
      </c>
      <c r="AQ43" s="408">
        <v>0</v>
      </c>
      <c r="AR43" s="408">
        <v>0</v>
      </c>
      <c r="AS43" s="408">
        <v>0</v>
      </c>
      <c r="AT43" s="408">
        <v>0</v>
      </c>
      <c r="AU43" s="408">
        <v>0</v>
      </c>
      <c r="AV43" s="408">
        <v>0</v>
      </c>
      <c r="AW43" s="408">
        <v>0</v>
      </c>
      <c r="AX43" s="408">
        <v>0</v>
      </c>
      <c r="AY43" s="408">
        <v>0</v>
      </c>
      <c r="AZ43" s="408">
        <v>0</v>
      </c>
      <c r="BA43" s="408"/>
      <c r="BB43" s="408">
        <v>0</v>
      </c>
      <c r="BC43" s="408">
        <v>0</v>
      </c>
      <c r="BD43" s="408">
        <v>0</v>
      </c>
      <c r="BE43" s="408">
        <v>0</v>
      </c>
      <c r="BF43" s="408">
        <v>0</v>
      </c>
      <c r="BG43" s="408">
        <v>53515.605317826019</v>
      </c>
      <c r="BH43" s="408">
        <v>0</v>
      </c>
      <c r="BI43" s="408">
        <v>1903.7</v>
      </c>
      <c r="BJ43" s="408">
        <v>17010.27</v>
      </c>
      <c r="BK43" s="408">
        <v>173819.34</v>
      </c>
      <c r="BL43" s="408">
        <v>15966</v>
      </c>
      <c r="BM43" s="408"/>
      <c r="BN43" s="408"/>
      <c r="BO43" s="408"/>
      <c r="BP43" s="408"/>
      <c r="BQ43" s="408"/>
      <c r="BR43" s="408">
        <v>365518.89850000001</v>
      </c>
      <c r="BS43" s="408"/>
      <c r="BT43" s="408"/>
      <c r="BU43" s="408"/>
      <c r="BV43" s="408">
        <v>1073211.9888473914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2680813.3808999998</v>
      </c>
      <c r="CJ43" s="408">
        <v>-171682.72385000018</v>
      </c>
      <c r="CK43" s="408"/>
      <c r="CL43" s="408"/>
      <c r="CM43" s="408"/>
      <c r="CN43" s="408"/>
      <c r="CO43" s="408">
        <v>-324393.53275000001</v>
      </c>
      <c r="CP43" s="408">
        <v>129242.59775000003</v>
      </c>
      <c r="CQ43" s="408">
        <v>31</v>
      </c>
      <c r="CR43" s="408">
        <v>155086.28569149622</v>
      </c>
      <c r="CS43" s="408">
        <v>3241.0993699378741</v>
      </c>
      <c r="CT43" s="408">
        <v>15112.768212470895</v>
      </c>
      <c r="CU43" s="408">
        <v>0</v>
      </c>
      <c r="CV43" s="408">
        <v>0</v>
      </c>
      <c r="CW43" s="408">
        <v>0</v>
      </c>
      <c r="CX43" s="408">
        <v>0</v>
      </c>
      <c r="CY43" s="408">
        <v>0</v>
      </c>
      <c r="CZ43" s="408">
        <v>15157.725717263584</v>
      </c>
      <c r="DA43" s="408">
        <v>0</v>
      </c>
      <c r="DB43" s="408">
        <v>0</v>
      </c>
      <c r="DC43" s="408">
        <v>129228.00551332778</v>
      </c>
      <c r="DD43" s="408">
        <v>0</v>
      </c>
      <c r="DE43" s="408">
        <v>0</v>
      </c>
      <c r="DF43" s="408">
        <v>0</v>
      </c>
      <c r="DG43" s="408">
        <v>6782.1314763550617</v>
      </c>
      <c r="DH43" s="408">
        <v>0</v>
      </c>
      <c r="DI43" s="408">
        <v>-12510.489911896584</v>
      </c>
      <c r="DJ43" s="408"/>
      <c r="DK43" s="408">
        <v>0</v>
      </c>
      <c r="DL43" s="408">
        <v>0</v>
      </c>
      <c r="DM43" s="408">
        <v>0</v>
      </c>
      <c r="DN43" s="408">
        <v>0</v>
      </c>
      <c r="DO43" s="408">
        <v>-1720.3934439878431</v>
      </c>
      <c r="DP43" s="408">
        <v>-204.56124197445115</v>
      </c>
      <c r="DQ43" s="408">
        <v>0</v>
      </c>
      <c r="DR43" s="408">
        <v>0</v>
      </c>
      <c r="DS43" s="408"/>
      <c r="DT43" s="408"/>
      <c r="DU43" s="408"/>
      <c r="DV43" s="408">
        <v>1409978.1111299996</v>
      </c>
      <c r="DW43" s="408">
        <v>0</v>
      </c>
      <c r="DX43" s="408">
        <v>0</v>
      </c>
      <c r="DY43" s="408">
        <v>-324393.53275000025</v>
      </c>
      <c r="DZ43" s="408">
        <v>129242.59775000007</v>
      </c>
      <c r="EA43" s="408">
        <v>0</v>
      </c>
      <c r="EB43" s="408">
        <v>0</v>
      </c>
      <c r="EC43" s="408">
        <v>-350262.47965163994</v>
      </c>
      <c r="ED43" s="408">
        <v>0</v>
      </c>
      <c r="EE43" s="408">
        <v>0</v>
      </c>
      <c r="EF43" s="408">
        <v>0</v>
      </c>
      <c r="EG43" s="408">
        <v>0</v>
      </c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>
        <v>0</v>
      </c>
      <c r="EN43" s="408">
        <v>0</v>
      </c>
      <c r="EO43" s="408">
        <v>0</v>
      </c>
      <c r="EP43" s="408">
        <v>94088.743615182029</v>
      </c>
      <c r="EQ43" s="408">
        <v>0</v>
      </c>
      <c r="ER43" s="408">
        <v>0</v>
      </c>
      <c r="ES43" s="408">
        <v>0</v>
      </c>
      <c r="ET43" s="408">
        <v>0</v>
      </c>
      <c r="EU43" s="408">
        <v>0</v>
      </c>
      <c r="EV43" s="408">
        <v>240</v>
      </c>
      <c r="EW43" s="408">
        <v>0</v>
      </c>
      <c r="EX43" s="408">
        <v>0</v>
      </c>
      <c r="EY43" s="408">
        <v>0</v>
      </c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42</v>
      </c>
      <c r="B44" s="408" t="s">
        <v>2237</v>
      </c>
      <c r="C44" s="408" t="s">
        <v>2235</v>
      </c>
      <c r="D44" s="408" t="s">
        <v>2245</v>
      </c>
      <c r="E44" s="408" t="s">
        <v>974</v>
      </c>
      <c r="F44" s="408" t="s">
        <v>1322</v>
      </c>
      <c r="G44" s="408" t="s">
        <v>1322</v>
      </c>
      <c r="H44" s="408" t="s">
        <v>1322</v>
      </c>
      <c r="I44" s="408" t="s">
        <v>1322</v>
      </c>
      <c r="J44" s="408" t="s">
        <v>2236</v>
      </c>
      <c r="K44" s="826">
        <v>44378</v>
      </c>
      <c r="L44" s="408">
        <v>0</v>
      </c>
      <c r="M44" s="408">
        <v>0</v>
      </c>
      <c r="N44" s="408">
        <v>-34.091999999999999</v>
      </c>
      <c r="O44" s="408">
        <v>-34.091999999999999</v>
      </c>
      <c r="P44" s="408">
        <v>-34.091999999999999</v>
      </c>
      <c r="Q44" s="408">
        <v>-34.091999999999999</v>
      </c>
      <c r="R44" s="408"/>
      <c r="S44" s="408">
        <v>368.24</v>
      </c>
      <c r="T44" s="408">
        <v>173.25</v>
      </c>
      <c r="U44" s="408"/>
      <c r="V44" s="408">
        <v>-18460.477080000001</v>
      </c>
      <c r="W44" s="408">
        <v>-18460.477080000001</v>
      </c>
      <c r="X44" s="408">
        <v>-17349.077880000001</v>
      </c>
      <c r="Y44" s="408">
        <v>0</v>
      </c>
      <c r="Z44" s="408">
        <v>-2098.1983856329357</v>
      </c>
      <c r="AA44" s="408">
        <v>0</v>
      </c>
      <c r="AB44" s="408">
        <v>0</v>
      </c>
      <c r="AC44" s="408">
        <v>-87.259747843516905</v>
      </c>
      <c r="AD44" s="408">
        <v>-83.837050722601504</v>
      </c>
      <c r="AE44" s="408">
        <v>-8029.9310107194342</v>
      </c>
      <c r="AF44" s="408">
        <v>-5807.2473231944905</v>
      </c>
      <c r="AG44" s="408">
        <v>-99.113405523212293</v>
      </c>
      <c r="AH44" s="408">
        <v>0</v>
      </c>
      <c r="AI44" s="408">
        <v>0</v>
      </c>
      <c r="AJ44" s="408">
        <v>0</v>
      </c>
      <c r="AK44" s="408">
        <v>0</v>
      </c>
      <c r="AL44" s="408">
        <v>-324.18186021457785</v>
      </c>
      <c r="AM44" s="408"/>
      <c r="AN44" s="408">
        <v>-41.178251106053843</v>
      </c>
      <c r="AO44" s="408">
        <v>-185.23532101374468</v>
      </c>
      <c r="AP44" s="408">
        <v>-863.72497468258416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</v>
      </c>
      <c r="BF44" s="408">
        <v>0</v>
      </c>
      <c r="BG44" s="408">
        <v>-304.77538289912661</v>
      </c>
      <c r="BH44" s="408">
        <v>0</v>
      </c>
      <c r="BI44" s="408">
        <v>-11.33</v>
      </c>
      <c r="BJ44" s="408">
        <v>-97.37</v>
      </c>
      <c r="BK44" s="408">
        <v>-49.34</v>
      </c>
      <c r="BL44" s="408">
        <v>0</v>
      </c>
      <c r="BM44" s="408"/>
      <c r="BN44" s="408"/>
      <c r="BO44" s="408"/>
      <c r="BP44" s="408"/>
      <c r="BQ44" s="408"/>
      <c r="BR44" s="408">
        <v>-2081.6575199999997</v>
      </c>
      <c r="BS44" s="408"/>
      <c r="BT44" s="408"/>
      <c r="BU44" s="408"/>
      <c r="BV44" s="408">
        <v>-6112.0227060936168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-15266.524700000002</v>
      </c>
      <c r="CJ44" s="408">
        <v>978.62421999999788</v>
      </c>
      <c r="CK44" s="408"/>
      <c r="CL44" s="408"/>
      <c r="CM44" s="408"/>
      <c r="CN44" s="408"/>
      <c r="CO44" s="408">
        <v>1847.4454799999999</v>
      </c>
      <c r="CP44" s="408">
        <v>-736.04628000000014</v>
      </c>
      <c r="CQ44" s="408">
        <v>31</v>
      </c>
      <c r="CR44" s="408">
        <v>-883.22801962747872</v>
      </c>
      <c r="CS44" s="408">
        <v>-18.458303809148816</v>
      </c>
      <c r="CT44" s="408">
        <v>-86.068347564543274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-86.3243839235829</v>
      </c>
      <c r="DA44" s="408">
        <v>0</v>
      </c>
      <c r="DB44" s="408">
        <v>0</v>
      </c>
      <c r="DC44" s="408">
        <v>-735.96317611856739</v>
      </c>
      <c r="DD44" s="408">
        <v>0</v>
      </c>
      <c r="DE44" s="408">
        <v>0</v>
      </c>
      <c r="DF44" s="408">
        <v>0</v>
      </c>
      <c r="DG44" s="408">
        <v>-38.624747030373385</v>
      </c>
      <c r="DH44" s="408">
        <v>0</v>
      </c>
      <c r="DI44" s="408">
        <v>71.248177620516799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9.797769594766919</v>
      </c>
      <c r="DP44" s="408">
        <v>1.1649916034550998</v>
      </c>
      <c r="DQ44" s="408">
        <v>0</v>
      </c>
      <c r="DR44" s="408">
        <v>0</v>
      </c>
      <c r="DS44" s="408"/>
      <c r="DT44" s="408"/>
      <c r="DU44" s="408"/>
      <c r="DV44" s="408">
        <v>-8029.9310107194342</v>
      </c>
      <c r="DW44" s="408">
        <v>0</v>
      </c>
      <c r="DX44" s="408">
        <v>0</v>
      </c>
      <c r="DY44" s="408">
        <v>1847.4454800000003</v>
      </c>
      <c r="DZ44" s="408">
        <v>-736.04628000000048</v>
      </c>
      <c r="EA44" s="408">
        <v>0</v>
      </c>
      <c r="EB44" s="408">
        <v>0</v>
      </c>
      <c r="EC44" s="408">
        <v>1994.7710712984745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-535.84244617079798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240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43</v>
      </c>
      <c r="B45" s="408" t="s">
        <v>2238</v>
      </c>
      <c r="C45" s="408" t="s">
        <v>2235</v>
      </c>
      <c r="D45" s="408" t="s">
        <v>2245</v>
      </c>
      <c r="E45" s="408" t="s">
        <v>974</v>
      </c>
      <c r="F45" s="408" t="s">
        <v>1322</v>
      </c>
      <c r="G45" s="408" t="s">
        <v>1322</v>
      </c>
      <c r="H45" s="408" t="s">
        <v>1322</v>
      </c>
      <c r="I45" s="408" t="s">
        <v>1322</v>
      </c>
      <c r="J45" s="408" t="s">
        <v>2236</v>
      </c>
      <c r="K45" s="826">
        <v>44378</v>
      </c>
      <c r="L45" s="408">
        <v>0</v>
      </c>
      <c r="M45" s="408">
        <v>0</v>
      </c>
      <c r="N45" s="408">
        <v>210.96799999999999</v>
      </c>
      <c r="O45" s="408">
        <v>210.96799999999999</v>
      </c>
      <c r="P45" s="408">
        <v>210.96799999999999</v>
      </c>
      <c r="Q45" s="408">
        <v>210.96799999999999</v>
      </c>
      <c r="R45" s="408"/>
      <c r="S45" s="408">
        <v>368.24</v>
      </c>
      <c r="T45" s="408">
        <v>173.25</v>
      </c>
      <c r="U45" s="408"/>
      <c r="V45" s="408">
        <v>114237.06232</v>
      </c>
      <c r="W45" s="408">
        <v>114237.06232</v>
      </c>
      <c r="X45" s="408">
        <v>107359.50552000001</v>
      </c>
      <c r="Y45" s="408">
        <v>0</v>
      </c>
      <c r="Z45" s="408">
        <v>12984.064209204773</v>
      </c>
      <c r="AA45" s="408">
        <v>0</v>
      </c>
      <c r="AB45" s="408">
        <v>0</v>
      </c>
      <c r="AC45" s="408">
        <v>539.98047879417675</v>
      </c>
      <c r="AD45" s="408">
        <v>518.80015595581938</v>
      </c>
      <c r="AE45" s="408">
        <v>49690.792135089097</v>
      </c>
      <c r="AF45" s="408">
        <v>35936.388398442308</v>
      </c>
      <c r="AG45" s="408">
        <v>613.33324347122641</v>
      </c>
      <c r="AH45" s="408">
        <v>0</v>
      </c>
      <c r="AI45" s="408">
        <v>0</v>
      </c>
      <c r="AJ45" s="408">
        <v>0</v>
      </c>
      <c r="AK45" s="408">
        <v>0</v>
      </c>
      <c r="AL45" s="408">
        <v>2006.1010995467871</v>
      </c>
      <c r="AM45" s="408"/>
      <c r="AN45" s="408">
        <v>254.81911531567428</v>
      </c>
      <c r="AO45" s="408">
        <v>1146.2725919168042</v>
      </c>
      <c r="AP45" s="408">
        <v>5344.8999899928258</v>
      </c>
      <c r="AQ45" s="408">
        <v>0</v>
      </c>
      <c r="AR45" s="408">
        <v>0</v>
      </c>
      <c r="AS45" s="408">
        <v>0</v>
      </c>
      <c r="AT45" s="408">
        <v>0</v>
      </c>
      <c r="AU45" s="408">
        <v>0</v>
      </c>
      <c r="AV45" s="408">
        <v>0</v>
      </c>
      <c r="AW45" s="408">
        <v>0</v>
      </c>
      <c r="AX45" s="408">
        <v>0</v>
      </c>
      <c r="AY45" s="408">
        <v>0</v>
      </c>
      <c r="AZ45" s="408">
        <v>0</v>
      </c>
      <c r="BA45" s="408"/>
      <c r="BB45" s="408">
        <v>0</v>
      </c>
      <c r="BC45" s="408">
        <v>0</v>
      </c>
      <c r="BD45" s="408">
        <v>0</v>
      </c>
      <c r="BE45" s="408">
        <v>0</v>
      </c>
      <c r="BF45" s="408">
        <v>0</v>
      </c>
      <c r="BG45" s="408">
        <v>1886.0100017441907</v>
      </c>
      <c r="BH45" s="408">
        <v>0</v>
      </c>
      <c r="BI45" s="408">
        <v>69.88</v>
      </c>
      <c r="BJ45" s="408">
        <v>605.9</v>
      </c>
      <c r="BK45" s="408">
        <v>2192.37</v>
      </c>
      <c r="BL45" s="408">
        <v>179</v>
      </c>
      <c r="BM45" s="408"/>
      <c r="BN45" s="408"/>
      <c r="BO45" s="408"/>
      <c r="BP45" s="408"/>
      <c r="BQ45" s="408"/>
      <c r="BR45" s="408">
        <v>12881.70608</v>
      </c>
      <c r="BS45" s="408"/>
      <c r="BT45" s="408"/>
      <c r="BU45" s="408"/>
      <c r="BV45" s="408">
        <v>37822.398400186496</v>
      </c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>
        <v>94478.695099999997</v>
      </c>
      <c r="CJ45" s="408">
        <v>-6049.6965799999889</v>
      </c>
      <c r="CK45" s="408"/>
      <c r="CL45" s="408"/>
      <c r="CM45" s="408"/>
      <c r="CN45" s="408"/>
      <c r="CO45" s="408">
        <v>-11432.355919999998</v>
      </c>
      <c r="CP45" s="408">
        <v>4554.7991200000006</v>
      </c>
      <c r="CQ45" s="408">
        <v>31</v>
      </c>
      <c r="CR45" s="408">
        <v>5465.5886672759007</v>
      </c>
      <c r="CS45" s="408">
        <v>114.22361369261125</v>
      </c>
      <c r="CT45" s="408">
        <v>532.60785958572524</v>
      </c>
      <c r="CU45" s="408">
        <v>0</v>
      </c>
      <c r="CV45" s="408">
        <v>0</v>
      </c>
      <c r="CW45" s="408">
        <v>0</v>
      </c>
      <c r="CX45" s="408">
        <v>0</v>
      </c>
      <c r="CY45" s="408">
        <v>0</v>
      </c>
      <c r="CZ45" s="408">
        <v>534.19226292357268</v>
      </c>
      <c r="DA45" s="408">
        <v>0</v>
      </c>
      <c r="DB45" s="408">
        <v>0</v>
      </c>
      <c r="DC45" s="408">
        <v>4554.2848568397894</v>
      </c>
      <c r="DD45" s="408">
        <v>0</v>
      </c>
      <c r="DE45" s="408">
        <v>0</v>
      </c>
      <c r="DF45" s="408">
        <v>0</v>
      </c>
      <c r="DG45" s="408">
        <v>239.01752996315258</v>
      </c>
      <c r="DH45" s="408">
        <v>0</v>
      </c>
      <c r="DI45" s="408">
        <v>-440.89773366904774</v>
      </c>
      <c r="DJ45" s="408"/>
      <c r="DK45" s="408">
        <v>0</v>
      </c>
      <c r="DL45" s="408">
        <v>0</v>
      </c>
      <c r="DM45" s="408">
        <v>0</v>
      </c>
      <c r="DN45" s="408">
        <v>0</v>
      </c>
      <c r="DO45" s="408">
        <v>-60.630524928686782</v>
      </c>
      <c r="DP45" s="408">
        <v>-7.2091971312247836</v>
      </c>
      <c r="DQ45" s="408">
        <v>0</v>
      </c>
      <c r="DR45" s="408">
        <v>0</v>
      </c>
      <c r="DS45" s="408"/>
      <c r="DT45" s="408"/>
      <c r="DU45" s="408"/>
      <c r="DV45" s="408">
        <v>49690.792135089097</v>
      </c>
      <c r="DW45" s="408">
        <v>0</v>
      </c>
      <c r="DX45" s="408">
        <v>0</v>
      </c>
      <c r="DY45" s="408">
        <v>-11432.355919999987</v>
      </c>
      <c r="DZ45" s="408">
        <v>4554.7991200000033</v>
      </c>
      <c r="EA45" s="408">
        <v>0</v>
      </c>
      <c r="EB45" s="408">
        <v>0</v>
      </c>
      <c r="EC45" s="408">
        <v>-12344.035649703641</v>
      </c>
      <c r="ED45" s="408">
        <v>0</v>
      </c>
      <c r="EE45" s="408">
        <v>0</v>
      </c>
      <c r="EF45" s="408">
        <v>0</v>
      </c>
      <c r="EG45" s="408">
        <v>0</v>
      </c>
      <c r="EH45" s="408">
        <v>0</v>
      </c>
      <c r="EI45" s="408">
        <v>0</v>
      </c>
      <c r="EJ45" s="408">
        <v>0</v>
      </c>
      <c r="EK45" s="408">
        <v>0</v>
      </c>
      <c r="EL45" s="408">
        <v>0</v>
      </c>
      <c r="EM45" s="408">
        <v>0</v>
      </c>
      <c r="EN45" s="408">
        <v>0</v>
      </c>
      <c r="EO45" s="408">
        <v>0</v>
      </c>
      <c r="EP45" s="408">
        <v>3315.8984273073129</v>
      </c>
      <c r="EQ45" s="408">
        <v>0</v>
      </c>
      <c r="ER45" s="408">
        <v>0</v>
      </c>
      <c r="ES45" s="408">
        <v>0</v>
      </c>
      <c r="ET45" s="408">
        <v>0</v>
      </c>
      <c r="EU45" s="408">
        <v>0</v>
      </c>
      <c r="EV45" s="408">
        <v>240</v>
      </c>
      <c r="EW45" s="408">
        <v>0</v>
      </c>
      <c r="EX45" s="408">
        <v>0</v>
      </c>
      <c r="EY45" s="408">
        <v>0</v>
      </c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44</v>
      </c>
      <c r="B46" s="408" t="s">
        <v>1036</v>
      </c>
      <c r="C46" s="408" t="s">
        <v>2243</v>
      </c>
      <c r="D46" s="408" t="s">
        <v>597</v>
      </c>
      <c r="E46" s="408" t="s">
        <v>974</v>
      </c>
      <c r="F46" s="408" t="s">
        <v>1322</v>
      </c>
      <c r="G46" s="408" t="s">
        <v>1322</v>
      </c>
      <c r="H46" s="408" t="s">
        <v>1322</v>
      </c>
      <c r="I46" s="408" t="s">
        <v>973</v>
      </c>
      <c r="J46" s="408" t="s">
        <v>2236</v>
      </c>
      <c r="K46" s="826">
        <v>44378</v>
      </c>
      <c r="L46" s="408">
        <v>0</v>
      </c>
      <c r="M46" s="408">
        <v>0</v>
      </c>
      <c r="N46" s="408">
        <v>5.3550000000000004</v>
      </c>
      <c r="O46" s="408">
        <v>5.1408000000000005</v>
      </c>
      <c r="P46" s="408">
        <v>5.3550000000000004</v>
      </c>
      <c r="Q46" s="408">
        <v>5.1408000000000005</v>
      </c>
      <c r="R46" s="408"/>
      <c r="S46" s="408">
        <v>1358.36</v>
      </c>
      <c r="T46" s="408">
        <v>173.25</v>
      </c>
      <c r="U46" s="408"/>
      <c r="V46" s="408">
        <v>8201.7715499999995</v>
      </c>
      <c r="W46" s="408">
        <v>8201.7715499999995</v>
      </c>
      <c r="X46" s="408">
        <v>7191.3365999999996</v>
      </c>
      <c r="Y46" s="408">
        <v>0</v>
      </c>
      <c r="Z46" s="408">
        <v>286.72977674838654</v>
      </c>
      <c r="AA46" s="408">
        <v>0</v>
      </c>
      <c r="AB46" s="408">
        <v>0</v>
      </c>
      <c r="AC46" s="408">
        <v>101.43488303680225</v>
      </c>
      <c r="AD46" s="408">
        <v>97.456477673393977</v>
      </c>
      <c r="AE46" s="408">
        <v>5400.5588234659281</v>
      </c>
      <c r="AF46" s="408">
        <v>912.17321998435114</v>
      </c>
      <c r="AG46" s="408">
        <v>15.568235556048396</v>
      </c>
      <c r="AH46" s="408">
        <v>0</v>
      </c>
      <c r="AI46" s="408">
        <v>0</v>
      </c>
      <c r="AJ46" s="408">
        <v>0</v>
      </c>
      <c r="AK46" s="408">
        <v>0</v>
      </c>
      <c r="AL46" s="408">
        <v>50.920857135077576</v>
      </c>
      <c r="AM46" s="408"/>
      <c r="AN46" s="408">
        <v>4.2883580453796695</v>
      </c>
      <c r="AO46" s="408">
        <v>215.32895284560348</v>
      </c>
      <c r="AP46" s="408">
        <v>1004.0416218110228</v>
      </c>
      <c r="AQ46" s="408">
        <v>0</v>
      </c>
      <c r="AR46" s="408">
        <v>0</v>
      </c>
      <c r="AS46" s="408">
        <v>0</v>
      </c>
      <c r="AT46" s="408">
        <v>0</v>
      </c>
      <c r="AU46" s="408">
        <v>0</v>
      </c>
      <c r="AV46" s="408">
        <v>0</v>
      </c>
      <c r="AW46" s="408">
        <v>0</v>
      </c>
      <c r="AX46" s="408">
        <v>0</v>
      </c>
      <c r="AY46" s="408">
        <v>0</v>
      </c>
      <c r="AZ46" s="408">
        <v>0</v>
      </c>
      <c r="BA46" s="408"/>
      <c r="BB46" s="408">
        <v>0</v>
      </c>
      <c r="BC46" s="408">
        <v>0</v>
      </c>
      <c r="BD46" s="408">
        <v>0</v>
      </c>
      <c r="BE46" s="408">
        <v>0</v>
      </c>
      <c r="BF46" s="408">
        <v>0</v>
      </c>
      <c r="BG46" s="408">
        <v>40.048206001992419</v>
      </c>
      <c r="BH46" s="408">
        <v>0</v>
      </c>
      <c r="BI46" s="408">
        <v>0</v>
      </c>
      <c r="BJ46" s="408">
        <v>0</v>
      </c>
      <c r="BK46" s="408">
        <v>0</v>
      </c>
      <c r="BL46" s="408">
        <v>0</v>
      </c>
      <c r="BM46" s="408"/>
      <c r="BN46" s="408"/>
      <c r="BO46" s="408"/>
      <c r="BP46" s="408"/>
      <c r="BQ46" s="408"/>
      <c r="BR46" s="408">
        <v>287.65346399999987</v>
      </c>
      <c r="BS46" s="408"/>
      <c r="BT46" s="408"/>
      <c r="BU46" s="408"/>
      <c r="BV46" s="408">
        <v>952.22142598634355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6902.6087999999991</v>
      </c>
      <c r="CJ46" s="408">
        <v>-971.1218880000024</v>
      </c>
      <c r="CK46" s="408"/>
      <c r="CL46" s="408"/>
      <c r="CM46" s="408"/>
      <c r="CN46" s="408"/>
      <c r="CO46" s="408">
        <v>-1126.0493999999999</v>
      </c>
      <c r="CP46" s="408">
        <v>115.61445000000003</v>
      </c>
      <c r="CQ46" s="408">
        <v>31</v>
      </c>
      <c r="CR46" s="408">
        <v>331.13558797640962</v>
      </c>
      <c r="CS46" s="408">
        <v>21.457069897781793</v>
      </c>
      <c r="CT46" s="408">
        <v>100.05060153211036</v>
      </c>
      <c r="CU46" s="408">
        <v>0</v>
      </c>
      <c r="CV46" s="408">
        <v>0</v>
      </c>
      <c r="CW46" s="408">
        <v>0</v>
      </c>
      <c r="CX46" s="408">
        <v>0</v>
      </c>
      <c r="CY46" s="408">
        <v>0</v>
      </c>
      <c r="CZ46" s="408">
        <v>100.34788106221075</v>
      </c>
      <c r="DA46" s="408">
        <v>0</v>
      </c>
      <c r="DB46" s="408">
        <v>0</v>
      </c>
      <c r="DC46" s="408">
        <v>115.6013964600179</v>
      </c>
      <c r="DD46" s="408">
        <v>0</v>
      </c>
      <c r="DE46" s="408">
        <v>0</v>
      </c>
      <c r="DF46" s="408">
        <v>0</v>
      </c>
      <c r="DG46" s="408">
        <v>5.0753830940445468</v>
      </c>
      <c r="DH46" s="408">
        <v>0</v>
      </c>
      <c r="DI46" s="408">
        <v>-9.7364358884000808</v>
      </c>
      <c r="DJ46" s="408"/>
      <c r="DK46" s="408">
        <v>0</v>
      </c>
      <c r="DL46" s="408">
        <v>0</v>
      </c>
      <c r="DM46" s="408">
        <v>0</v>
      </c>
      <c r="DN46" s="408">
        <v>0</v>
      </c>
      <c r="DO46" s="408">
        <v>-1.5389844004451732</v>
      </c>
      <c r="DP46" s="408">
        <v>-0.12132378091069906</v>
      </c>
      <c r="DQ46" s="408">
        <v>0</v>
      </c>
      <c r="DR46" s="408">
        <v>0</v>
      </c>
      <c r="DS46" s="408"/>
      <c r="DT46" s="408"/>
      <c r="DU46" s="408"/>
      <c r="DV46" s="408">
        <v>5400.5588234659281</v>
      </c>
      <c r="DW46" s="408">
        <v>0</v>
      </c>
      <c r="DX46" s="408">
        <v>0</v>
      </c>
      <c r="DY46" s="408">
        <v>-1126.0493999999999</v>
      </c>
      <c r="DZ46" s="408">
        <v>115.61445000000003</v>
      </c>
      <c r="EA46" s="408">
        <v>0</v>
      </c>
      <c r="EB46" s="408">
        <v>0</v>
      </c>
      <c r="EC46" s="408">
        <v>-1341.5904190851006</v>
      </c>
      <c r="ED46" s="408">
        <v>0</v>
      </c>
      <c r="EE46" s="408">
        <v>0</v>
      </c>
      <c r="EF46" s="408">
        <v>0</v>
      </c>
      <c r="EG46" s="408">
        <v>0</v>
      </c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>
        <v>0</v>
      </c>
      <c r="EN46" s="408">
        <v>0</v>
      </c>
      <c r="EO46" s="408">
        <v>0</v>
      </c>
      <c r="EP46" s="408">
        <v>73.225671135246643</v>
      </c>
      <c r="EQ46" s="408">
        <v>0</v>
      </c>
      <c r="ER46" s="408">
        <v>0</v>
      </c>
      <c r="ES46" s="408">
        <v>0</v>
      </c>
      <c r="ET46" s="408">
        <v>0</v>
      </c>
      <c r="EU46" s="408">
        <v>0</v>
      </c>
      <c r="EV46" s="408">
        <v>240</v>
      </c>
      <c r="EW46" s="408">
        <v>0</v>
      </c>
      <c r="EX46" s="408">
        <v>0</v>
      </c>
      <c r="EY46" s="408">
        <v>0</v>
      </c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45</v>
      </c>
      <c r="B47" s="408" t="s">
        <v>1036</v>
      </c>
      <c r="C47" s="408" t="s">
        <v>2243</v>
      </c>
      <c r="D47" s="408" t="s">
        <v>597</v>
      </c>
      <c r="E47" s="408" t="s">
        <v>974</v>
      </c>
      <c r="F47" s="408" t="s">
        <v>1322</v>
      </c>
      <c r="G47" s="408" t="s">
        <v>1322</v>
      </c>
      <c r="H47" s="408" t="s">
        <v>1322</v>
      </c>
      <c r="I47" s="408" t="s">
        <v>2244</v>
      </c>
      <c r="J47" s="408" t="s">
        <v>2236</v>
      </c>
      <c r="K47" s="826">
        <v>44378</v>
      </c>
      <c r="L47" s="408">
        <v>0</v>
      </c>
      <c r="M47" s="408">
        <v>0</v>
      </c>
      <c r="N47" s="408">
        <v>65.353999999999999</v>
      </c>
      <c r="O47" s="408">
        <v>62.739839999999994</v>
      </c>
      <c r="P47" s="408">
        <v>65.353999999999999</v>
      </c>
      <c r="Q47" s="408">
        <v>62.739839999999994</v>
      </c>
      <c r="R47" s="408"/>
      <c r="S47" s="408">
        <v>85.01</v>
      </c>
      <c r="T47" s="408">
        <v>173.25</v>
      </c>
      <c r="U47" s="408"/>
      <c r="V47" s="408">
        <v>16878.32404</v>
      </c>
      <c r="W47" s="408">
        <v>16878.32404</v>
      </c>
      <c r="X47" s="408">
        <v>18212.19918</v>
      </c>
      <c r="Y47" s="408">
        <v>0</v>
      </c>
      <c r="Z47" s="408">
        <v>3499.3347954461351</v>
      </c>
      <c r="AA47" s="408">
        <v>0</v>
      </c>
      <c r="AB47" s="408">
        <v>0</v>
      </c>
      <c r="AC47" s="408">
        <v>0</v>
      </c>
      <c r="AD47" s="408">
        <v>0</v>
      </c>
      <c r="AE47" s="408">
        <v>0</v>
      </c>
      <c r="AF47" s="408">
        <v>11132.431114632545</v>
      </c>
      <c r="AG47" s="408">
        <v>189.99934015499286</v>
      </c>
      <c r="AH47" s="408">
        <v>0</v>
      </c>
      <c r="AI47" s="408">
        <v>0</v>
      </c>
      <c r="AJ47" s="408">
        <v>0</v>
      </c>
      <c r="AK47" s="408">
        <v>0</v>
      </c>
      <c r="AL47" s="408">
        <v>621.45316474432479</v>
      </c>
      <c r="AM47" s="408"/>
      <c r="AN47" s="408">
        <v>52.336386871660672</v>
      </c>
      <c r="AO47" s="408">
        <v>0</v>
      </c>
      <c r="AP47" s="408">
        <v>0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</v>
      </c>
      <c r="BE47" s="408">
        <v>0</v>
      </c>
      <c r="BF47" s="408">
        <v>0</v>
      </c>
      <c r="BG47" s="408">
        <v>488.76012232571657</v>
      </c>
      <c r="BH47" s="408">
        <v>0</v>
      </c>
      <c r="BI47" s="408">
        <v>0</v>
      </c>
      <c r="BJ47" s="408">
        <v>0</v>
      </c>
      <c r="BK47" s="408">
        <v>0</v>
      </c>
      <c r="BL47" s="408">
        <v>0</v>
      </c>
      <c r="BM47" s="408"/>
      <c r="BN47" s="408"/>
      <c r="BO47" s="408"/>
      <c r="BP47" s="408"/>
      <c r="BQ47" s="408"/>
      <c r="BR47" s="408">
        <v>728.48796720000155</v>
      </c>
      <c r="BS47" s="408"/>
      <c r="BT47" s="408"/>
      <c r="BU47" s="408"/>
      <c r="BV47" s="408">
        <v>11621.191236958262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17483.755799999999</v>
      </c>
      <c r="CJ47" s="408">
        <v>1280.5347216000009</v>
      </c>
      <c r="CK47" s="408"/>
      <c r="CL47" s="408"/>
      <c r="CM47" s="408"/>
      <c r="CN47" s="408"/>
      <c r="CO47" s="408">
        <v>-77.117720000000446</v>
      </c>
      <c r="CP47" s="408">
        <v>1410.9928600000003</v>
      </c>
      <c r="CQ47" s="408">
        <v>31</v>
      </c>
      <c r="CR47" s="408">
        <v>1333.6857962728973</v>
      </c>
      <c r="CS47" s="408">
        <v>0</v>
      </c>
      <c r="CT47" s="408">
        <v>0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0</v>
      </c>
      <c r="DA47" s="408">
        <v>0</v>
      </c>
      <c r="DB47" s="408">
        <v>0</v>
      </c>
      <c r="DC47" s="408">
        <v>1410.8335507465945</v>
      </c>
      <c r="DD47" s="408">
        <v>0</v>
      </c>
      <c r="DE47" s="408">
        <v>0</v>
      </c>
      <c r="DF47" s="408">
        <v>0</v>
      </c>
      <c r="DG47" s="408">
        <v>61.941472778373054</v>
      </c>
      <c r="DH47" s="408">
        <v>0</v>
      </c>
      <c r="DI47" s="408">
        <v>-118.82633633062551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-18.782219702463749</v>
      </c>
      <c r="DP47" s="408">
        <v>-1.4806712189799853</v>
      </c>
      <c r="DQ47" s="408">
        <v>0</v>
      </c>
      <c r="DR47" s="408">
        <v>0</v>
      </c>
      <c r="DS47" s="408"/>
      <c r="DT47" s="408"/>
      <c r="DU47" s="408"/>
      <c r="DV47" s="408">
        <v>0</v>
      </c>
      <c r="DW47" s="408">
        <v>0</v>
      </c>
      <c r="DX47" s="408">
        <v>0</v>
      </c>
      <c r="DY47" s="408">
        <v>-77.11772000000019</v>
      </c>
      <c r="DZ47" s="408">
        <v>1410.9928600000003</v>
      </c>
      <c r="EA47" s="408">
        <v>0</v>
      </c>
      <c r="EB47" s="408">
        <v>0</v>
      </c>
      <c r="EC47" s="408">
        <v>0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893.6676958679567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240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46</v>
      </c>
      <c r="B48" s="408" t="s">
        <v>2238</v>
      </c>
      <c r="C48" s="408" t="s">
        <v>2243</v>
      </c>
      <c r="D48" s="408" t="s">
        <v>597</v>
      </c>
      <c r="E48" s="408" t="s">
        <v>974</v>
      </c>
      <c r="F48" s="408" t="s">
        <v>1322</v>
      </c>
      <c r="G48" s="408" t="s">
        <v>1322</v>
      </c>
      <c r="H48" s="408" t="s">
        <v>1322</v>
      </c>
      <c r="I48" s="408" t="s">
        <v>2244</v>
      </c>
      <c r="J48" s="408" t="s">
        <v>2236</v>
      </c>
      <c r="K48" s="826">
        <v>44378</v>
      </c>
      <c r="L48" s="408">
        <v>0</v>
      </c>
      <c r="M48" s="408">
        <v>0</v>
      </c>
      <c r="N48" s="408">
        <v>27.469000000000001</v>
      </c>
      <c r="O48" s="408">
        <v>26.370239999999999</v>
      </c>
      <c r="P48" s="408">
        <v>27.469000000000001</v>
      </c>
      <c r="Q48" s="408">
        <v>26.370239999999999</v>
      </c>
      <c r="R48" s="408"/>
      <c r="S48" s="408">
        <v>85.01</v>
      </c>
      <c r="T48" s="408">
        <v>173.25</v>
      </c>
      <c r="U48" s="408"/>
      <c r="V48" s="408">
        <v>7094.1439399999999</v>
      </c>
      <c r="W48" s="408">
        <v>7094.1439399999999</v>
      </c>
      <c r="X48" s="408">
        <v>7654.7862300000006</v>
      </c>
      <c r="Y48" s="408">
        <v>0</v>
      </c>
      <c r="Z48" s="408">
        <v>1470.8086344540486</v>
      </c>
      <c r="AA48" s="408">
        <v>0</v>
      </c>
      <c r="AB48" s="408">
        <v>0</v>
      </c>
      <c r="AC48" s="408">
        <v>0</v>
      </c>
      <c r="AD48" s="408">
        <v>0</v>
      </c>
      <c r="AE48" s="408">
        <v>0</v>
      </c>
      <c r="AF48" s="408">
        <v>4679.0823865079628</v>
      </c>
      <c r="AG48" s="408">
        <v>79.858797850437611</v>
      </c>
      <c r="AH48" s="408">
        <v>0</v>
      </c>
      <c r="AI48" s="408">
        <v>0</v>
      </c>
      <c r="AJ48" s="408">
        <v>0</v>
      </c>
      <c r="AK48" s="408">
        <v>0</v>
      </c>
      <c r="AL48" s="408">
        <v>261.2035526878517</v>
      </c>
      <c r="AM48" s="408"/>
      <c r="AN48" s="408">
        <v>21.997555023068934</v>
      </c>
      <c r="AO48" s="408">
        <v>0</v>
      </c>
      <c r="AP48" s="408">
        <v>0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</v>
      </c>
      <c r="BF48" s="408">
        <v>0</v>
      </c>
      <c r="BG48" s="408">
        <v>205.43121767856763</v>
      </c>
      <c r="BH48" s="408">
        <v>0</v>
      </c>
      <c r="BI48" s="408">
        <v>0</v>
      </c>
      <c r="BJ48" s="408">
        <v>0</v>
      </c>
      <c r="BK48" s="408">
        <v>0</v>
      </c>
      <c r="BL48" s="408">
        <v>0</v>
      </c>
      <c r="BM48" s="408"/>
      <c r="BN48" s="408"/>
      <c r="BO48" s="408"/>
      <c r="BP48" s="408"/>
      <c r="BQ48" s="408"/>
      <c r="BR48" s="408">
        <v>306.19144920000059</v>
      </c>
      <c r="BS48" s="408"/>
      <c r="BT48" s="408"/>
      <c r="BU48" s="408"/>
      <c r="BV48" s="408">
        <v>4884.5136041865308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7348.5279</v>
      </c>
      <c r="CJ48" s="408">
        <v>538.1197175999996</v>
      </c>
      <c r="CK48" s="408"/>
      <c r="CL48" s="408"/>
      <c r="CM48" s="408"/>
      <c r="CN48" s="408"/>
      <c r="CO48" s="408">
        <v>-32.413420000000187</v>
      </c>
      <c r="CP48" s="408">
        <v>593.05571000000009</v>
      </c>
      <c r="CQ48" s="408">
        <v>31</v>
      </c>
      <c r="CR48" s="408">
        <v>560.56270676347594</v>
      </c>
      <c r="CS48" s="408">
        <v>0</v>
      </c>
      <c r="CT48" s="408">
        <v>0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0</v>
      </c>
      <c r="DA48" s="408">
        <v>0</v>
      </c>
      <c r="DB48" s="408">
        <v>0</v>
      </c>
      <c r="DC48" s="408">
        <v>592.98875058080921</v>
      </c>
      <c r="DD48" s="408">
        <v>0</v>
      </c>
      <c r="DE48" s="408">
        <v>0</v>
      </c>
      <c r="DF48" s="408">
        <v>0</v>
      </c>
      <c r="DG48" s="408">
        <v>26.034677536939256</v>
      </c>
      <c r="DH48" s="408">
        <v>0</v>
      </c>
      <c r="DI48" s="408">
        <v>-49.944006987574767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-7.8943720813872176</v>
      </c>
      <c r="DP48" s="408">
        <v>-0.62234228531017521</v>
      </c>
      <c r="DQ48" s="408">
        <v>0</v>
      </c>
      <c r="DR48" s="408">
        <v>0</v>
      </c>
      <c r="DS48" s="408"/>
      <c r="DT48" s="408"/>
      <c r="DU48" s="408"/>
      <c r="DV48" s="408">
        <v>0</v>
      </c>
      <c r="DW48" s="408">
        <v>0</v>
      </c>
      <c r="DX48" s="408">
        <v>0</v>
      </c>
      <c r="DY48" s="408">
        <v>-32.413420000000315</v>
      </c>
      <c r="DZ48" s="408">
        <v>593.05571000000054</v>
      </c>
      <c r="EA48" s="408">
        <v>0</v>
      </c>
      <c r="EB48" s="408">
        <v>0</v>
      </c>
      <c r="EC48" s="408">
        <v>0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375.61829326126792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240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47</v>
      </c>
      <c r="B49" s="408" t="s">
        <v>1036</v>
      </c>
      <c r="C49" s="408" t="s">
        <v>2243</v>
      </c>
      <c r="D49" s="408" t="s">
        <v>597</v>
      </c>
      <c r="E49" s="408" t="s">
        <v>974</v>
      </c>
      <c r="F49" s="408" t="s">
        <v>1322</v>
      </c>
      <c r="G49" s="408" t="s">
        <v>1322</v>
      </c>
      <c r="H49" s="408" t="s">
        <v>1322</v>
      </c>
      <c r="I49" s="408" t="s">
        <v>1322</v>
      </c>
      <c r="J49" s="408" t="s">
        <v>2236</v>
      </c>
      <c r="K49" s="826">
        <v>44378</v>
      </c>
      <c r="L49" s="408">
        <v>649</v>
      </c>
      <c r="M49" s="408">
        <v>623.04</v>
      </c>
      <c r="N49" s="408">
        <v>0</v>
      </c>
      <c r="O49" s="408">
        <v>0</v>
      </c>
      <c r="P49" s="408">
        <v>0</v>
      </c>
      <c r="Q49" s="408">
        <v>0</v>
      </c>
      <c r="R49" s="408">
        <v>27.19</v>
      </c>
      <c r="S49" s="408"/>
      <c r="T49" s="408"/>
      <c r="U49" s="408">
        <v>17646.310000000001</v>
      </c>
      <c r="V49" s="408"/>
      <c r="W49" s="408">
        <v>17646.310000000001</v>
      </c>
      <c r="X49" s="408">
        <v>14122.240000000002</v>
      </c>
      <c r="Y49" s="408">
        <v>0</v>
      </c>
      <c r="Z49" s="408">
        <v>0</v>
      </c>
      <c r="AA49" s="408">
        <v>0</v>
      </c>
      <c r="AB49" s="408">
        <v>0</v>
      </c>
      <c r="AC49" s="408">
        <v>151.34719811448903</v>
      </c>
      <c r="AD49" s="408">
        <v>145.39861075140519</v>
      </c>
      <c r="AE49" s="408">
        <v>15531.887627810514</v>
      </c>
      <c r="AF49" s="408"/>
      <c r="AG49" s="408"/>
      <c r="AH49" s="408"/>
      <c r="AI49" s="408">
        <v>0</v>
      </c>
      <c r="AJ49" s="408">
        <v>0</v>
      </c>
      <c r="AK49" s="408">
        <v>0</v>
      </c>
      <c r="AL49" s="408">
        <v>0</v>
      </c>
      <c r="AM49" s="408"/>
      <c r="AN49" s="408">
        <v>0</v>
      </c>
      <c r="AO49" s="408">
        <v>321.18025537771115</v>
      </c>
      <c r="AP49" s="408">
        <v>1497.9496591144571</v>
      </c>
      <c r="AQ49" s="408">
        <v>0</v>
      </c>
      <c r="AR49" s="408">
        <v>0</v>
      </c>
      <c r="AS49" s="408"/>
      <c r="AT49" s="408"/>
      <c r="AU49" s="408">
        <v>0</v>
      </c>
      <c r="AV49" s="408">
        <v>0</v>
      </c>
      <c r="AW49" s="408">
        <v>0</v>
      </c>
      <c r="AX49" s="408"/>
      <c r="AY49" s="408"/>
      <c r="AZ49" s="408">
        <v>0</v>
      </c>
      <c r="BA49" s="408"/>
      <c r="BB49" s="408">
        <v>0</v>
      </c>
      <c r="BC49" s="408">
        <v>0</v>
      </c>
      <c r="BD49" s="408">
        <v>0</v>
      </c>
      <c r="BE49" s="408">
        <v>0</v>
      </c>
      <c r="BF49" s="408"/>
      <c r="BG49" s="408">
        <v>0</v>
      </c>
      <c r="BH49" s="408">
        <v>0</v>
      </c>
      <c r="BI49" s="408">
        <v>30.08</v>
      </c>
      <c r="BJ49" s="408">
        <v>258</v>
      </c>
      <c r="BK49" s="408">
        <v>23.91</v>
      </c>
      <c r="BL49" s="408">
        <v>4</v>
      </c>
      <c r="BM49" s="408"/>
      <c r="BN49" s="408"/>
      <c r="BO49" s="408"/>
      <c r="BP49" s="408"/>
      <c r="BQ49" s="408"/>
      <c r="BR49" s="408">
        <v>564.88960000000088</v>
      </c>
      <c r="BS49" s="408"/>
      <c r="BT49" s="408"/>
      <c r="BU49" s="408"/>
      <c r="BV49" s="408">
        <v>0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13557.350399999999</v>
      </c>
      <c r="CJ49" s="408">
        <v>-3383.1371999999974</v>
      </c>
      <c r="CK49" s="408"/>
      <c r="CL49" s="408"/>
      <c r="CM49" s="408"/>
      <c r="CN49" s="408"/>
      <c r="CO49" s="408">
        <v>-3524.0699999999997</v>
      </c>
      <c r="CP49" s="408">
        <v>0</v>
      </c>
      <c r="CQ49" s="408">
        <v>31</v>
      </c>
      <c r="CR49" s="408">
        <v>330.98480082115429</v>
      </c>
      <c r="CS49" s="408">
        <v>32.004925944020556</v>
      </c>
      <c r="CT49" s="408">
        <v>149.26748174930435</v>
      </c>
      <c r="CU49" s="408">
        <v>0</v>
      </c>
      <c r="CV49" s="408">
        <v>0</v>
      </c>
      <c r="CW49" s="408"/>
      <c r="CX49" s="408"/>
      <c r="CY49" s="408"/>
      <c r="CZ49" s="408">
        <v>149.7123931278297</v>
      </c>
      <c r="DA49" s="408">
        <v>0</v>
      </c>
      <c r="DB49" s="408">
        <v>0</v>
      </c>
      <c r="DC49" s="408"/>
      <c r="DD49" s="408"/>
      <c r="DE49" s="408">
        <v>0</v>
      </c>
      <c r="DF49" s="408">
        <v>0</v>
      </c>
      <c r="DG49" s="408">
        <v>0</v>
      </c>
      <c r="DH49" s="408">
        <v>0</v>
      </c>
      <c r="DI49" s="408">
        <v>0</v>
      </c>
      <c r="DJ49" s="408"/>
      <c r="DK49" s="408">
        <v>0</v>
      </c>
      <c r="DL49" s="408">
        <v>0</v>
      </c>
      <c r="DM49" s="408"/>
      <c r="DN49" s="408">
        <v>0</v>
      </c>
      <c r="DO49" s="408">
        <v>0</v>
      </c>
      <c r="DP49" s="408">
        <v>0</v>
      </c>
      <c r="DQ49" s="408">
        <v>0</v>
      </c>
      <c r="DR49" s="408">
        <v>0</v>
      </c>
      <c r="DS49" s="408"/>
      <c r="DT49" s="408"/>
      <c r="DU49" s="408">
        <v>15531.887627810514</v>
      </c>
      <c r="DV49" s="408"/>
      <c r="DW49" s="408">
        <v>0</v>
      </c>
      <c r="DX49" s="408">
        <v>0</v>
      </c>
      <c r="DY49" s="408">
        <v>-3524.0699999999997</v>
      </c>
      <c r="DZ49" s="408"/>
      <c r="EA49" s="408">
        <v>0</v>
      </c>
      <c r="EB49" s="408"/>
      <c r="EC49" s="408">
        <v>-3858.3843474190489</v>
      </c>
      <c r="ED49" s="408"/>
      <c r="EE49" s="408">
        <v>0</v>
      </c>
      <c r="EF49" s="408">
        <v>0</v>
      </c>
      <c r="EG49" s="408"/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/>
      <c r="EN49" s="408"/>
      <c r="EO49" s="408">
        <v>0</v>
      </c>
      <c r="EP49" s="408">
        <v>0</v>
      </c>
      <c r="EQ49" s="408"/>
      <c r="ER49" s="408">
        <v>0</v>
      </c>
      <c r="ES49" s="408"/>
      <c r="ET49" s="408">
        <v>0</v>
      </c>
      <c r="EU49" s="408"/>
      <c r="EV49" s="408">
        <v>240</v>
      </c>
      <c r="EW49" s="408"/>
      <c r="EX49" s="408"/>
      <c r="EY49" s="408"/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48</v>
      </c>
      <c r="B50" s="408" t="s">
        <v>2238</v>
      </c>
      <c r="C50" s="408" t="s">
        <v>2243</v>
      </c>
      <c r="D50" s="408" t="s">
        <v>597</v>
      </c>
      <c r="E50" s="408" t="s">
        <v>974</v>
      </c>
      <c r="F50" s="408" t="s">
        <v>1322</v>
      </c>
      <c r="G50" s="408" t="s">
        <v>1322</v>
      </c>
      <c r="H50" s="408" t="s">
        <v>1322</v>
      </c>
      <c r="I50" s="408" t="s">
        <v>1322</v>
      </c>
      <c r="J50" s="408" t="s">
        <v>2236</v>
      </c>
      <c r="K50" s="826">
        <v>44378</v>
      </c>
      <c r="L50" s="408">
        <v>115</v>
      </c>
      <c r="M50" s="408">
        <v>110.39999999999999</v>
      </c>
      <c r="N50" s="408">
        <v>0</v>
      </c>
      <c r="O50" s="408">
        <v>0</v>
      </c>
      <c r="P50" s="408">
        <v>0</v>
      </c>
      <c r="Q50" s="408">
        <v>0</v>
      </c>
      <c r="R50" s="408">
        <v>27.19</v>
      </c>
      <c r="S50" s="408"/>
      <c r="T50" s="408"/>
      <c r="U50" s="408">
        <v>3126.8500000000004</v>
      </c>
      <c r="V50" s="408"/>
      <c r="W50" s="408">
        <v>3126.8500000000004</v>
      </c>
      <c r="X50" s="408">
        <v>2502.4</v>
      </c>
      <c r="Y50" s="408">
        <v>0</v>
      </c>
      <c r="Z50" s="408">
        <v>0</v>
      </c>
      <c r="AA50" s="408">
        <v>0</v>
      </c>
      <c r="AB50" s="408">
        <v>0</v>
      </c>
      <c r="AC50" s="408">
        <v>26.81807054416986</v>
      </c>
      <c r="AD50" s="408">
        <v>25.76400652759876</v>
      </c>
      <c r="AE50" s="408">
        <v>2752.1834779633423</v>
      </c>
      <c r="AF50" s="408"/>
      <c r="AG50" s="408"/>
      <c r="AH50" s="408"/>
      <c r="AI50" s="408">
        <v>0</v>
      </c>
      <c r="AJ50" s="408">
        <v>0</v>
      </c>
      <c r="AK50" s="408">
        <v>0</v>
      </c>
      <c r="AL50" s="408">
        <v>0</v>
      </c>
      <c r="AM50" s="408"/>
      <c r="AN50" s="408">
        <v>0</v>
      </c>
      <c r="AO50" s="408">
        <v>56.911755575403362</v>
      </c>
      <c r="AP50" s="408">
        <v>265.43021694632137</v>
      </c>
      <c r="AQ50" s="408">
        <v>0</v>
      </c>
      <c r="AR50" s="408">
        <v>0</v>
      </c>
      <c r="AS50" s="408"/>
      <c r="AT50" s="408"/>
      <c r="AU50" s="408">
        <v>0</v>
      </c>
      <c r="AV50" s="408">
        <v>0</v>
      </c>
      <c r="AW50" s="408">
        <v>0</v>
      </c>
      <c r="AX50" s="408"/>
      <c r="AY50" s="408"/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/>
      <c r="BG50" s="408">
        <v>0</v>
      </c>
      <c r="BH50" s="408">
        <v>0</v>
      </c>
      <c r="BI50" s="408">
        <v>8.16</v>
      </c>
      <c r="BJ50" s="408">
        <v>70.010000000000005</v>
      </c>
      <c r="BK50" s="408">
        <v>4.78</v>
      </c>
      <c r="BL50" s="408">
        <v>1</v>
      </c>
      <c r="BM50" s="408"/>
      <c r="BN50" s="408"/>
      <c r="BO50" s="408"/>
      <c r="BP50" s="408"/>
      <c r="BQ50" s="408"/>
      <c r="BR50" s="408">
        <v>100.09600000000019</v>
      </c>
      <c r="BS50" s="408"/>
      <c r="BT50" s="408"/>
      <c r="BU50" s="408"/>
      <c r="BV50" s="408">
        <v>0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2402.3040000000001</v>
      </c>
      <c r="CJ50" s="408">
        <v>-599.50200000000041</v>
      </c>
      <c r="CK50" s="408"/>
      <c r="CL50" s="408"/>
      <c r="CM50" s="408"/>
      <c r="CN50" s="408"/>
      <c r="CO50" s="408">
        <v>-624.44999999999993</v>
      </c>
      <c r="CP50" s="408">
        <v>0</v>
      </c>
      <c r="CQ50" s="408">
        <v>31</v>
      </c>
      <c r="CR50" s="408">
        <v>58.649078727939468</v>
      </c>
      <c r="CS50" s="408">
        <v>5.6711347974766753</v>
      </c>
      <c r="CT50" s="408">
        <v>26.449553776841242</v>
      </c>
      <c r="CU50" s="408">
        <v>0</v>
      </c>
      <c r="CV50" s="408">
        <v>0</v>
      </c>
      <c r="CW50" s="408"/>
      <c r="CX50" s="408"/>
      <c r="CY50" s="408"/>
      <c r="CZ50" s="408">
        <v>26.528390153621594</v>
      </c>
      <c r="DA50" s="408">
        <v>0</v>
      </c>
      <c r="DB50" s="408">
        <v>0</v>
      </c>
      <c r="DC50" s="408"/>
      <c r="DD50" s="408"/>
      <c r="DE50" s="408">
        <v>0</v>
      </c>
      <c r="DF50" s="408">
        <v>0</v>
      </c>
      <c r="DG50" s="408">
        <v>0</v>
      </c>
      <c r="DH50" s="408">
        <v>0</v>
      </c>
      <c r="DI50" s="408">
        <v>0</v>
      </c>
      <c r="DJ50" s="408"/>
      <c r="DK50" s="408">
        <v>0</v>
      </c>
      <c r="DL50" s="408">
        <v>0</v>
      </c>
      <c r="DM50" s="408"/>
      <c r="DN50" s="408">
        <v>0</v>
      </c>
      <c r="DO50" s="408">
        <v>0</v>
      </c>
      <c r="DP50" s="408">
        <v>0</v>
      </c>
      <c r="DQ50" s="408">
        <v>0</v>
      </c>
      <c r="DR50" s="408">
        <v>0</v>
      </c>
      <c r="DS50" s="408"/>
      <c r="DT50" s="408"/>
      <c r="DU50" s="408">
        <v>2752.1834779633423</v>
      </c>
      <c r="DV50" s="408"/>
      <c r="DW50" s="408">
        <v>0</v>
      </c>
      <c r="DX50" s="408">
        <v>0</v>
      </c>
      <c r="DY50" s="408">
        <v>-624.45000000000027</v>
      </c>
      <c r="DZ50" s="408"/>
      <c r="EA50" s="408">
        <v>0</v>
      </c>
      <c r="EB50" s="408"/>
      <c r="EC50" s="408">
        <v>-683.68906002032463</v>
      </c>
      <c r="ED50" s="408"/>
      <c r="EE50" s="408">
        <v>0</v>
      </c>
      <c r="EF50" s="408">
        <v>0</v>
      </c>
      <c r="EG50" s="408"/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/>
      <c r="EN50" s="408"/>
      <c r="EO50" s="408">
        <v>0</v>
      </c>
      <c r="EP50" s="408">
        <v>0</v>
      </c>
      <c r="EQ50" s="408"/>
      <c r="ER50" s="408">
        <v>0</v>
      </c>
      <c r="ES50" s="408"/>
      <c r="ET50" s="408">
        <v>0</v>
      </c>
      <c r="EU50" s="408"/>
      <c r="EV50" s="408">
        <v>240</v>
      </c>
      <c r="EW50" s="408"/>
      <c r="EX50" s="408"/>
      <c r="EY50" s="408"/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49</v>
      </c>
      <c r="B51" s="408" t="s">
        <v>1036</v>
      </c>
      <c r="C51" s="408" t="s">
        <v>2235</v>
      </c>
      <c r="D51" s="408" t="s">
        <v>1958</v>
      </c>
      <c r="E51" s="408" t="s">
        <v>2246</v>
      </c>
      <c r="F51" s="408" t="s">
        <v>1322</v>
      </c>
      <c r="G51" s="408" t="s">
        <v>1322</v>
      </c>
      <c r="H51" s="408" t="s">
        <v>1322</v>
      </c>
      <c r="I51" s="408" t="s">
        <v>1322</v>
      </c>
      <c r="J51" s="408" t="s">
        <v>2236</v>
      </c>
      <c r="K51" s="826">
        <v>44378</v>
      </c>
      <c r="L51" s="408">
        <v>0</v>
      </c>
      <c r="M51" s="408">
        <v>0</v>
      </c>
      <c r="N51" s="408">
        <v>482.28</v>
      </c>
      <c r="O51" s="408">
        <v>482.28</v>
      </c>
      <c r="P51" s="408">
        <v>482.28</v>
      </c>
      <c r="Q51" s="408">
        <v>482.28</v>
      </c>
      <c r="R51" s="408"/>
      <c r="S51" s="408">
        <v>368.24</v>
      </c>
      <c r="T51" s="408">
        <v>173.25</v>
      </c>
      <c r="U51" s="408"/>
      <c r="V51" s="408">
        <v>261149.79719999997</v>
      </c>
      <c r="W51" s="408">
        <v>261149.79719999997</v>
      </c>
      <c r="X51" s="408">
        <v>245427.46919999999</v>
      </c>
      <c r="Y51" s="408">
        <v>0</v>
      </c>
      <c r="Z51" s="408">
        <v>29682.010953392353</v>
      </c>
      <c r="AA51" s="408">
        <v>0</v>
      </c>
      <c r="AB51" s="408">
        <v>0</v>
      </c>
      <c r="AC51" s="408">
        <v>1234.4136803347217</v>
      </c>
      <c r="AD51" s="408">
        <v>1185.9947442947393</v>
      </c>
      <c r="AE51" s="408">
        <v>113594.83538219432</v>
      </c>
      <c r="AF51" s="408">
        <v>82151.802153884753</v>
      </c>
      <c r="AG51" s="408">
        <v>1402.1005871094342</v>
      </c>
      <c r="AH51" s="408">
        <v>0</v>
      </c>
      <c r="AI51" s="408">
        <v>0</v>
      </c>
      <c r="AJ51" s="408">
        <v>0</v>
      </c>
      <c r="AK51" s="408">
        <v>0</v>
      </c>
      <c r="AL51" s="408">
        <v>4586.0151221484984</v>
      </c>
      <c r="AM51" s="408"/>
      <c r="AN51" s="408">
        <v>582.52513620285254</v>
      </c>
      <c r="AO51" s="408">
        <v>2620.4180047667719</v>
      </c>
      <c r="AP51" s="408">
        <v>12218.622573915191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0</v>
      </c>
      <c r="BF51" s="408">
        <v>0</v>
      </c>
      <c r="BG51" s="408">
        <v>4311.4828013783526</v>
      </c>
      <c r="BH51" s="408">
        <v>0</v>
      </c>
      <c r="BI51" s="408">
        <v>188.14</v>
      </c>
      <c r="BJ51" s="408">
        <v>1637.34</v>
      </c>
      <c r="BK51" s="408">
        <v>106362.34</v>
      </c>
      <c r="BL51" s="408">
        <v>583</v>
      </c>
      <c r="BM51" s="408"/>
      <c r="BN51" s="408"/>
      <c r="BO51" s="408"/>
      <c r="BP51" s="408"/>
      <c r="BQ51" s="408"/>
      <c r="BR51" s="408"/>
      <c r="BS51" s="408"/>
      <c r="BT51" s="408"/>
      <c r="BU51" s="408"/>
      <c r="BV51" s="408">
        <v>86463.284955263109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245427.46919999999</v>
      </c>
      <c r="CJ51" s="408">
        <v>-15722.358000000007</v>
      </c>
      <c r="CK51" s="408"/>
      <c r="CL51" s="408"/>
      <c r="CM51" s="408"/>
      <c r="CN51" s="408"/>
      <c r="CO51" s="408">
        <v>-26134.753199999999</v>
      </c>
      <c r="CP51" s="408">
        <v>10412.425200000001</v>
      </c>
      <c r="CQ51" s="408">
        <v>31</v>
      </c>
      <c r="CR51" s="408">
        <v>12494.52098163616</v>
      </c>
      <c r="CS51" s="408">
        <v>261.11905318186928</v>
      </c>
      <c r="CT51" s="408">
        <v>1217.559622885954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1221.1816226289322</v>
      </c>
      <c r="DA51" s="408">
        <v>0</v>
      </c>
      <c r="DB51" s="408">
        <v>0</v>
      </c>
      <c r="DC51" s="408">
        <v>10411.249576981776</v>
      </c>
      <c r="DD51" s="408">
        <v>0</v>
      </c>
      <c r="DE51" s="408">
        <v>0</v>
      </c>
      <c r="DF51" s="408">
        <v>0</v>
      </c>
      <c r="DG51" s="408">
        <v>546.40217639940329</v>
      </c>
      <c r="DH51" s="408">
        <v>0</v>
      </c>
      <c r="DI51" s="408">
        <v>-1007.9071659868241</v>
      </c>
      <c r="DJ51" s="408"/>
      <c r="DK51" s="408">
        <v>0</v>
      </c>
      <c r="DL51" s="408">
        <v>0</v>
      </c>
      <c r="DM51" s="408">
        <v>0</v>
      </c>
      <c r="DN51" s="408">
        <v>0</v>
      </c>
      <c r="DO51" s="408">
        <v>-138.60343541488328</v>
      </c>
      <c r="DP51" s="408">
        <v>-16.480469040077651</v>
      </c>
      <c r="DQ51" s="408">
        <v>0</v>
      </c>
      <c r="DR51" s="408">
        <v>0</v>
      </c>
      <c r="DS51" s="408"/>
      <c r="DT51" s="408"/>
      <c r="DU51" s="408"/>
      <c r="DV51" s="408">
        <v>113594.83538219432</v>
      </c>
      <c r="DW51" s="408">
        <v>0</v>
      </c>
      <c r="DX51" s="408">
        <v>0</v>
      </c>
      <c r="DY51" s="408">
        <v>-26134.753200000006</v>
      </c>
      <c r="DZ51" s="408">
        <v>10412.425199999998</v>
      </c>
      <c r="EA51" s="408">
        <v>0</v>
      </c>
      <c r="EB51" s="408">
        <v>0</v>
      </c>
      <c r="EC51" s="408">
        <v>-28218.883968843962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7580.2562166858052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240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50</v>
      </c>
      <c r="B52" s="408" t="s">
        <v>2238</v>
      </c>
      <c r="C52" s="408" t="s">
        <v>2235</v>
      </c>
      <c r="D52" s="408" t="s">
        <v>1958</v>
      </c>
      <c r="E52" s="408" t="s">
        <v>2246</v>
      </c>
      <c r="F52" s="408" t="s">
        <v>1322</v>
      </c>
      <c r="G52" s="408" t="s">
        <v>1322</v>
      </c>
      <c r="H52" s="408" t="s">
        <v>1322</v>
      </c>
      <c r="I52" s="408" t="s">
        <v>1322</v>
      </c>
      <c r="J52" s="408" t="s">
        <v>2236</v>
      </c>
      <c r="K52" s="826">
        <v>44378</v>
      </c>
      <c r="L52" s="408">
        <v>0</v>
      </c>
      <c r="M52" s="408">
        <v>0</v>
      </c>
      <c r="N52" s="408">
        <v>1.25</v>
      </c>
      <c r="O52" s="408">
        <v>1.25</v>
      </c>
      <c r="P52" s="408">
        <v>1.25</v>
      </c>
      <c r="Q52" s="408">
        <v>1.25</v>
      </c>
      <c r="R52" s="408"/>
      <c r="S52" s="408">
        <v>368.24</v>
      </c>
      <c r="T52" s="408">
        <v>173.25</v>
      </c>
      <c r="U52" s="408"/>
      <c r="V52" s="408">
        <v>676.86249999999995</v>
      </c>
      <c r="W52" s="408">
        <v>676.86249999999995</v>
      </c>
      <c r="X52" s="408">
        <v>636.11249999999995</v>
      </c>
      <c r="Y52" s="408">
        <v>0</v>
      </c>
      <c r="Z52" s="408">
        <v>76.931478999212999</v>
      </c>
      <c r="AA52" s="408">
        <v>0</v>
      </c>
      <c r="AB52" s="408">
        <v>0</v>
      </c>
      <c r="AC52" s="408">
        <v>3.1994217061010248</v>
      </c>
      <c r="AD52" s="408">
        <v>3.0739268275035752</v>
      </c>
      <c r="AE52" s="408">
        <v>294.4213822421475</v>
      </c>
      <c r="AF52" s="408">
        <v>212.92558823164126</v>
      </c>
      <c r="AG52" s="408">
        <v>3.6340419131765627</v>
      </c>
      <c r="AH52" s="408">
        <v>0</v>
      </c>
      <c r="AI52" s="408">
        <v>0</v>
      </c>
      <c r="AJ52" s="408">
        <v>0</v>
      </c>
      <c r="AK52" s="408">
        <v>0</v>
      </c>
      <c r="AL52" s="408">
        <v>11.886287846656762</v>
      </c>
      <c r="AM52" s="408"/>
      <c r="AN52" s="408">
        <v>1.5098208929533998</v>
      </c>
      <c r="AO52" s="408">
        <v>6.7917444346820623</v>
      </c>
      <c r="AP52" s="408">
        <v>31.668902333486749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>
        <v>0</v>
      </c>
      <c r="BG52" s="408">
        <v>11.174739781294976</v>
      </c>
      <c r="BH52" s="408">
        <v>0</v>
      </c>
      <c r="BI52" s="408">
        <v>0.49</v>
      </c>
      <c r="BJ52" s="408">
        <v>4.26</v>
      </c>
      <c r="BK52" s="408">
        <v>324.95999999999998</v>
      </c>
      <c r="BL52" s="408">
        <v>1</v>
      </c>
      <c r="BM52" s="408"/>
      <c r="BN52" s="408"/>
      <c r="BO52" s="408"/>
      <c r="BP52" s="408"/>
      <c r="BQ52" s="408"/>
      <c r="BR52" s="408"/>
      <c r="BS52" s="408"/>
      <c r="BT52" s="408"/>
      <c r="BU52" s="408"/>
      <c r="BV52" s="408">
        <v>224.10032801293625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636.11249999999995</v>
      </c>
      <c r="CJ52" s="408">
        <v>-40.779999999999973</v>
      </c>
      <c r="CK52" s="408"/>
      <c r="CL52" s="408"/>
      <c r="CM52" s="408"/>
      <c r="CN52" s="408"/>
      <c r="CO52" s="408">
        <v>-67.737499999999997</v>
      </c>
      <c r="CP52" s="408">
        <v>26.987500000000004</v>
      </c>
      <c r="CQ52" s="408">
        <v>31</v>
      </c>
      <c r="CR52" s="408">
        <v>32.3839910986257</v>
      </c>
      <c r="CS52" s="408">
        <v>0.67678281595201284</v>
      </c>
      <c r="CT52" s="408">
        <v>3.1557384270702542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3.1651261264953252</v>
      </c>
      <c r="DA52" s="408">
        <v>0</v>
      </c>
      <c r="DB52" s="408">
        <v>0</v>
      </c>
      <c r="DC52" s="408">
        <v>26.984452955186242</v>
      </c>
      <c r="DD52" s="408">
        <v>0</v>
      </c>
      <c r="DE52" s="408">
        <v>0</v>
      </c>
      <c r="DF52" s="408">
        <v>0</v>
      </c>
      <c r="DG52" s="408">
        <v>1.4161954061940243</v>
      </c>
      <c r="DH52" s="408">
        <v>0</v>
      </c>
      <c r="DI52" s="408">
        <v>-2.6123495842322484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-0.35924005612632293</v>
      </c>
      <c r="DP52" s="408">
        <v>-4.2714991913612499E-2</v>
      </c>
      <c r="DQ52" s="408">
        <v>0</v>
      </c>
      <c r="DR52" s="408">
        <v>0</v>
      </c>
      <c r="DS52" s="408"/>
      <c r="DT52" s="408"/>
      <c r="DU52" s="408"/>
      <c r="DV52" s="408">
        <v>294.4213822421475</v>
      </c>
      <c r="DW52" s="408">
        <v>0</v>
      </c>
      <c r="DX52" s="408">
        <v>0</v>
      </c>
      <c r="DY52" s="408">
        <v>-67.737500000000011</v>
      </c>
      <c r="DZ52" s="408">
        <v>26.987500000000011</v>
      </c>
      <c r="EA52" s="408">
        <v>0</v>
      </c>
      <c r="EB52" s="408">
        <v>0</v>
      </c>
      <c r="EC52" s="408">
        <v>-73.139265491115026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19.646927657910876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240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51</v>
      </c>
      <c r="B53" s="408" t="s">
        <v>1036</v>
      </c>
      <c r="C53" s="408" t="s">
        <v>2243</v>
      </c>
      <c r="D53" s="408" t="s">
        <v>597</v>
      </c>
      <c r="E53" s="408" t="s">
        <v>2246</v>
      </c>
      <c r="F53" s="408" t="s">
        <v>1322</v>
      </c>
      <c r="G53" s="408" t="s">
        <v>1322</v>
      </c>
      <c r="H53" s="408" t="s">
        <v>1322</v>
      </c>
      <c r="I53" s="408" t="s">
        <v>973</v>
      </c>
      <c r="J53" s="408" t="s">
        <v>2236</v>
      </c>
      <c r="K53" s="826">
        <v>44378</v>
      </c>
      <c r="L53" s="408">
        <v>0</v>
      </c>
      <c r="M53" s="408">
        <v>0</v>
      </c>
      <c r="N53" s="408">
        <v>3.0990000000000002</v>
      </c>
      <c r="O53" s="408">
        <v>3.0990000000000002</v>
      </c>
      <c r="P53" s="408">
        <v>3.0990000000000002</v>
      </c>
      <c r="Q53" s="408">
        <v>3.0990000000000002</v>
      </c>
      <c r="R53" s="408"/>
      <c r="S53" s="408">
        <v>1358.36</v>
      </c>
      <c r="T53" s="408">
        <v>173.25</v>
      </c>
      <c r="U53" s="408"/>
      <c r="V53" s="408">
        <v>4746.45939</v>
      </c>
      <c r="W53" s="408">
        <v>4746.45939</v>
      </c>
      <c r="X53" s="408">
        <v>4161.7090799999996</v>
      </c>
      <c r="Y53" s="408">
        <v>0</v>
      </c>
      <c r="Z53" s="408">
        <v>165.9338147793184</v>
      </c>
      <c r="AA53" s="408">
        <v>0</v>
      </c>
      <c r="AB53" s="408">
        <v>0</v>
      </c>
      <c r="AC53" s="408">
        <v>58.701531751830096</v>
      </c>
      <c r="AD53" s="408">
        <v>56.39918287765601</v>
      </c>
      <c r="AE53" s="408">
        <v>3125.3654143643157</v>
      </c>
      <c r="AF53" s="408">
        <v>527.88511834388498</v>
      </c>
      <c r="AG53" s="408">
        <v>9.0095167111473344</v>
      </c>
      <c r="AH53" s="408">
        <v>0</v>
      </c>
      <c r="AI53" s="408">
        <v>0</v>
      </c>
      <c r="AJ53" s="408">
        <v>0</v>
      </c>
      <c r="AK53" s="408">
        <v>0</v>
      </c>
      <c r="AL53" s="408">
        <v>29.468484829431446</v>
      </c>
      <c r="AM53" s="408"/>
      <c r="AN53" s="408">
        <v>2.4817220509115958</v>
      </c>
      <c r="AO53" s="408">
        <v>124.61333797731562</v>
      </c>
      <c r="AP53" s="408">
        <v>581.05041755226137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</v>
      </c>
      <c r="BF53" s="408">
        <v>0</v>
      </c>
      <c r="BG53" s="408">
        <v>23.176356750732868</v>
      </c>
      <c r="BH53" s="408">
        <v>0</v>
      </c>
      <c r="BI53" s="408">
        <v>0</v>
      </c>
      <c r="BJ53" s="408">
        <v>0</v>
      </c>
      <c r="BK53" s="408">
        <v>0</v>
      </c>
      <c r="BL53" s="408">
        <v>0</v>
      </c>
      <c r="BM53" s="408"/>
      <c r="BN53" s="408"/>
      <c r="BO53" s="408"/>
      <c r="BP53" s="408"/>
      <c r="BQ53" s="408"/>
      <c r="BR53" s="408"/>
      <c r="BS53" s="408"/>
      <c r="BT53" s="408"/>
      <c r="BU53" s="408"/>
      <c r="BV53" s="408">
        <v>551.06147509461789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4163.0519999999997</v>
      </c>
      <c r="CJ53" s="408">
        <v>-583.43739000000096</v>
      </c>
      <c r="CK53" s="408"/>
      <c r="CL53" s="408"/>
      <c r="CM53" s="408"/>
      <c r="CN53" s="408"/>
      <c r="CO53" s="408">
        <v>-651.65771999999993</v>
      </c>
      <c r="CP53" s="408">
        <v>66.907410000000013</v>
      </c>
      <c r="CQ53" s="408">
        <v>31</v>
      </c>
      <c r="CR53" s="408">
        <v>191.63196771968114</v>
      </c>
      <c r="CS53" s="408">
        <v>12.417452775579036</v>
      </c>
      <c r="CT53" s="408">
        <v>57.900432147153992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58.072471225357809</v>
      </c>
      <c r="DA53" s="408">
        <v>0</v>
      </c>
      <c r="DB53" s="408">
        <v>0</v>
      </c>
      <c r="DC53" s="408">
        <v>66.899855766497808</v>
      </c>
      <c r="DD53" s="408">
        <v>0</v>
      </c>
      <c r="DE53" s="408">
        <v>0</v>
      </c>
      <c r="DF53" s="408">
        <v>0</v>
      </c>
      <c r="DG53" s="408">
        <v>2.9371824852369848</v>
      </c>
      <c r="DH53" s="408">
        <v>0</v>
      </c>
      <c r="DI53" s="408">
        <v>-5.634587267628774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-0.89062794714838134</v>
      </c>
      <c r="DP53" s="408">
        <v>-7.0211465367367776E-2</v>
      </c>
      <c r="DQ53" s="408">
        <v>0</v>
      </c>
      <c r="DR53" s="408">
        <v>0</v>
      </c>
      <c r="DS53" s="408"/>
      <c r="DT53" s="408"/>
      <c r="DU53" s="408"/>
      <c r="DV53" s="408">
        <v>3125.3654143643157</v>
      </c>
      <c r="DW53" s="408">
        <v>0</v>
      </c>
      <c r="DX53" s="408">
        <v>0</v>
      </c>
      <c r="DY53" s="408">
        <v>-651.65772000000015</v>
      </c>
      <c r="DZ53" s="408">
        <v>66.907410000000027</v>
      </c>
      <c r="EA53" s="408">
        <v>0</v>
      </c>
      <c r="EB53" s="408">
        <v>0</v>
      </c>
      <c r="EC53" s="408">
        <v>-776.39378314560736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42.376536853058695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240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52</v>
      </c>
      <c r="B54" s="408" t="s">
        <v>2238</v>
      </c>
      <c r="C54" s="408" t="s">
        <v>2243</v>
      </c>
      <c r="D54" s="408" t="s">
        <v>597</v>
      </c>
      <c r="E54" s="408" t="s">
        <v>2246</v>
      </c>
      <c r="F54" s="408" t="s">
        <v>1322</v>
      </c>
      <c r="G54" s="408" t="s">
        <v>1322</v>
      </c>
      <c r="H54" s="408" t="s">
        <v>1322</v>
      </c>
      <c r="I54" s="408" t="s">
        <v>973</v>
      </c>
      <c r="J54" s="408" t="s">
        <v>2236</v>
      </c>
      <c r="K54" s="826">
        <v>44378</v>
      </c>
      <c r="L54" s="408">
        <v>0</v>
      </c>
      <c r="M54" s="408">
        <v>0</v>
      </c>
      <c r="N54" s="408">
        <v>0.46100000000000002</v>
      </c>
      <c r="O54" s="408">
        <v>0.46100000000000002</v>
      </c>
      <c r="P54" s="408">
        <v>0.46100000000000002</v>
      </c>
      <c r="Q54" s="408">
        <v>0.46100000000000002</v>
      </c>
      <c r="R54" s="408"/>
      <c r="S54" s="408">
        <v>1358.36</v>
      </c>
      <c r="T54" s="408">
        <v>173.25</v>
      </c>
      <c r="U54" s="408"/>
      <c r="V54" s="408">
        <v>706.07220999999993</v>
      </c>
      <c r="W54" s="408">
        <v>706.07220999999993</v>
      </c>
      <c r="X54" s="408">
        <v>619.08611999999994</v>
      </c>
      <c r="Y54" s="408">
        <v>0</v>
      </c>
      <c r="Z54" s="408">
        <v>24.683926625771466</v>
      </c>
      <c r="AA54" s="408">
        <v>0</v>
      </c>
      <c r="AB54" s="408">
        <v>0</v>
      </c>
      <c r="AC54" s="408">
        <v>8.7323027226826948</v>
      </c>
      <c r="AD54" s="408">
        <v>8.3898106829943266</v>
      </c>
      <c r="AE54" s="408">
        <v>464.92205744496596</v>
      </c>
      <c r="AF54" s="408">
        <v>78.52695693982929</v>
      </c>
      <c r="AG54" s="408">
        <v>1.3402346575795163</v>
      </c>
      <c r="AH54" s="408">
        <v>0</v>
      </c>
      <c r="AI54" s="408">
        <v>0</v>
      </c>
      <c r="AJ54" s="408">
        <v>0</v>
      </c>
      <c r="AK54" s="408">
        <v>0</v>
      </c>
      <c r="AL54" s="408">
        <v>4.3836629578470143</v>
      </c>
      <c r="AM54" s="408"/>
      <c r="AN54" s="408">
        <v>0.36917517440149905</v>
      </c>
      <c r="AO54" s="408">
        <v>18.537189031152792</v>
      </c>
      <c r="AP54" s="408">
        <v>86.435702643301866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0</v>
      </c>
      <c r="BE54" s="408">
        <v>0</v>
      </c>
      <c r="BF54" s="408">
        <v>0</v>
      </c>
      <c r="BG54" s="408">
        <v>3.4476606847653604</v>
      </c>
      <c r="BH54" s="408">
        <v>0</v>
      </c>
      <c r="BI54" s="408">
        <v>0</v>
      </c>
      <c r="BJ54" s="408">
        <v>0</v>
      </c>
      <c r="BK54" s="408">
        <v>0</v>
      </c>
      <c r="BL54" s="408">
        <v>0</v>
      </c>
      <c r="BM54" s="408"/>
      <c r="BN54" s="408"/>
      <c r="BO54" s="408"/>
      <c r="BP54" s="408"/>
      <c r="BQ54" s="408"/>
      <c r="BR54" s="408"/>
      <c r="BS54" s="408"/>
      <c r="BT54" s="408"/>
      <c r="BU54" s="408"/>
      <c r="BV54" s="408">
        <v>81.974617624594657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617.7432</v>
      </c>
      <c r="CJ54" s="408">
        <v>-88.359009999999898</v>
      </c>
      <c r="CK54" s="408"/>
      <c r="CL54" s="408"/>
      <c r="CM54" s="408"/>
      <c r="CN54" s="408"/>
      <c r="CO54" s="408">
        <v>-96.93907999999999</v>
      </c>
      <c r="CP54" s="408">
        <v>9.9529900000000016</v>
      </c>
      <c r="CQ54" s="408">
        <v>31</v>
      </c>
      <c r="CR54" s="408">
        <v>28.506723820191382</v>
      </c>
      <c r="CS54" s="408">
        <v>1.8471912647763595</v>
      </c>
      <c r="CT54" s="408">
        <v>8.6131330170500178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8.638725148399466</v>
      </c>
      <c r="DA54" s="408">
        <v>0</v>
      </c>
      <c r="DB54" s="408">
        <v>0</v>
      </c>
      <c r="DC54" s="408">
        <v>9.951866249872694</v>
      </c>
      <c r="DD54" s="408">
        <v>0</v>
      </c>
      <c r="DE54" s="408">
        <v>0</v>
      </c>
      <c r="DF54" s="408">
        <v>0</v>
      </c>
      <c r="DG54" s="408">
        <v>0.43692840454799953</v>
      </c>
      <c r="DH54" s="408">
        <v>0</v>
      </c>
      <c r="DI54" s="408">
        <v>-0.83818803819840326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-0.13248773269938852</v>
      </c>
      <c r="DP54" s="408">
        <v>-1.0444493557391576E-2</v>
      </c>
      <c r="DQ54" s="408">
        <v>0</v>
      </c>
      <c r="DR54" s="408">
        <v>0</v>
      </c>
      <c r="DS54" s="408"/>
      <c r="DT54" s="408"/>
      <c r="DU54" s="408"/>
      <c r="DV54" s="408">
        <v>464.92205744496596</v>
      </c>
      <c r="DW54" s="408">
        <v>0</v>
      </c>
      <c r="DX54" s="408">
        <v>0</v>
      </c>
      <c r="DY54" s="408">
        <v>-96.93907999999999</v>
      </c>
      <c r="DZ54" s="408">
        <v>9.9529899999999998</v>
      </c>
      <c r="EA54" s="408">
        <v>0</v>
      </c>
      <c r="EB54" s="408">
        <v>0</v>
      </c>
      <c r="EC54" s="408">
        <v>-115.49452534047271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6.3038346206066667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240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53</v>
      </c>
      <c r="B55" s="408" t="s">
        <v>1036</v>
      </c>
      <c r="C55" s="408" t="s">
        <v>2243</v>
      </c>
      <c r="D55" s="408" t="s">
        <v>597</v>
      </c>
      <c r="E55" s="408" t="s">
        <v>2246</v>
      </c>
      <c r="F55" s="408" t="s">
        <v>1322</v>
      </c>
      <c r="G55" s="408" t="s">
        <v>1322</v>
      </c>
      <c r="H55" s="408" t="s">
        <v>1322</v>
      </c>
      <c r="I55" s="408" t="s">
        <v>2244</v>
      </c>
      <c r="J55" s="408" t="s">
        <v>2236</v>
      </c>
      <c r="K55" s="826">
        <v>44378</v>
      </c>
      <c r="L55" s="408">
        <v>0</v>
      </c>
      <c r="M55" s="408">
        <v>0</v>
      </c>
      <c r="N55" s="408">
        <v>23.513000000000002</v>
      </c>
      <c r="O55" s="408">
        <v>23.513000000000002</v>
      </c>
      <c r="P55" s="408">
        <v>23.513000000000002</v>
      </c>
      <c r="Q55" s="408">
        <v>23.513000000000002</v>
      </c>
      <c r="R55" s="408"/>
      <c r="S55" s="408">
        <v>85.01</v>
      </c>
      <c r="T55" s="408">
        <v>173.25</v>
      </c>
      <c r="U55" s="408"/>
      <c r="V55" s="408">
        <v>6072.467380000001</v>
      </c>
      <c r="W55" s="408">
        <v>6072.467380000001</v>
      </c>
      <c r="X55" s="408">
        <v>6552.3677100000004</v>
      </c>
      <c r="Y55" s="408">
        <v>0</v>
      </c>
      <c r="Z55" s="408">
        <v>1258.9873465331118</v>
      </c>
      <c r="AA55" s="408">
        <v>0</v>
      </c>
      <c r="AB55" s="408">
        <v>0</v>
      </c>
      <c r="AC55" s="408">
        <v>0</v>
      </c>
      <c r="AD55" s="408">
        <v>0</v>
      </c>
      <c r="AE55" s="408">
        <v>0</v>
      </c>
      <c r="AF55" s="408">
        <v>4005.2154848724649</v>
      </c>
      <c r="AG55" s="408">
        <v>68.357782003616421</v>
      </c>
      <c r="AH55" s="408">
        <v>0</v>
      </c>
      <c r="AI55" s="408">
        <v>0</v>
      </c>
      <c r="AJ55" s="408">
        <v>0</v>
      </c>
      <c r="AK55" s="408">
        <v>0</v>
      </c>
      <c r="AL55" s="408">
        <v>223.58582891075238</v>
      </c>
      <c r="AM55" s="408"/>
      <c r="AN55" s="408">
        <v>18.829535522131124</v>
      </c>
      <c r="AO55" s="408">
        <v>0</v>
      </c>
      <c r="AP55" s="408">
        <v>0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0</v>
      </c>
      <c r="BF55" s="408">
        <v>0</v>
      </c>
      <c r="BG55" s="408">
        <v>175.84565223619938</v>
      </c>
      <c r="BH55" s="408">
        <v>0</v>
      </c>
      <c r="BI55" s="408">
        <v>0</v>
      </c>
      <c r="BJ55" s="408">
        <v>0</v>
      </c>
      <c r="BK55" s="408">
        <v>0</v>
      </c>
      <c r="BL55" s="408">
        <v>0</v>
      </c>
      <c r="BM55" s="408"/>
      <c r="BN55" s="408"/>
      <c r="BO55" s="408"/>
      <c r="BP55" s="408"/>
      <c r="BQ55" s="408"/>
      <c r="BR55" s="408"/>
      <c r="BS55" s="408"/>
      <c r="BT55" s="408"/>
      <c r="BU55" s="408"/>
      <c r="BV55" s="408">
        <v>4181.0611371086643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6551.5316999999995</v>
      </c>
      <c r="CJ55" s="408">
        <v>479.03431999999884</v>
      </c>
      <c r="CK55" s="408"/>
      <c r="CL55" s="408"/>
      <c r="CM55" s="408"/>
      <c r="CN55" s="408"/>
      <c r="CO55" s="408">
        <v>-27.745340000000162</v>
      </c>
      <c r="CP55" s="408">
        <v>507.64567000000011</v>
      </c>
      <c r="CQ55" s="408">
        <v>31</v>
      </c>
      <c r="CR55" s="408">
        <v>479.83220809383783</v>
      </c>
      <c r="CS55" s="408">
        <v>0</v>
      </c>
      <c r="CT55" s="408">
        <v>0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0</v>
      </c>
      <c r="DA55" s="408">
        <v>0</v>
      </c>
      <c r="DB55" s="408">
        <v>0</v>
      </c>
      <c r="DC55" s="408">
        <v>507.58835386823557</v>
      </c>
      <c r="DD55" s="408">
        <v>0</v>
      </c>
      <c r="DE55" s="408">
        <v>0</v>
      </c>
      <c r="DF55" s="408">
        <v>0</v>
      </c>
      <c r="DG55" s="408">
        <v>22.285244199863598</v>
      </c>
      <c r="DH55" s="408">
        <v>0</v>
      </c>
      <c r="DI55" s="408">
        <v>-42.751226338740025</v>
      </c>
      <c r="DJ55" s="408"/>
      <c r="DK55" s="408">
        <v>0</v>
      </c>
      <c r="DL55" s="408">
        <v>0</v>
      </c>
      <c r="DM55" s="408">
        <v>0</v>
      </c>
      <c r="DN55" s="408">
        <v>0</v>
      </c>
      <c r="DO55" s="408">
        <v>-6.7574491517586068</v>
      </c>
      <c r="DP55" s="408">
        <v>-0.53271448376344566</v>
      </c>
      <c r="DQ55" s="408">
        <v>0</v>
      </c>
      <c r="DR55" s="408">
        <v>0</v>
      </c>
      <c r="DS55" s="408"/>
      <c r="DT55" s="408"/>
      <c r="DU55" s="408"/>
      <c r="DV55" s="408">
        <v>0</v>
      </c>
      <c r="DW55" s="408">
        <v>0</v>
      </c>
      <c r="DX55" s="408">
        <v>0</v>
      </c>
      <c r="DY55" s="408">
        <v>-27.745340000000169</v>
      </c>
      <c r="DZ55" s="408">
        <v>507.64566999999988</v>
      </c>
      <c r="EA55" s="408">
        <v>0</v>
      </c>
      <c r="EB55" s="408">
        <v>0</v>
      </c>
      <c r="EC55" s="408">
        <v>0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321.52291417423982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240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54</v>
      </c>
      <c r="B56" s="408" t="s">
        <v>2238</v>
      </c>
      <c r="C56" s="408" t="s">
        <v>2243</v>
      </c>
      <c r="D56" s="408" t="s">
        <v>597</v>
      </c>
      <c r="E56" s="408" t="s">
        <v>2246</v>
      </c>
      <c r="F56" s="408" t="s">
        <v>1322</v>
      </c>
      <c r="G56" s="408" t="s">
        <v>1322</v>
      </c>
      <c r="H56" s="408" t="s">
        <v>1322</v>
      </c>
      <c r="I56" s="408" t="s">
        <v>2244</v>
      </c>
      <c r="J56" s="408" t="s">
        <v>2236</v>
      </c>
      <c r="K56" s="826">
        <v>44378</v>
      </c>
      <c r="L56" s="408">
        <v>0</v>
      </c>
      <c r="M56" s="408">
        <v>0</v>
      </c>
      <c r="N56" s="408">
        <v>2.2650000000000001</v>
      </c>
      <c r="O56" s="408">
        <v>2.2650000000000001</v>
      </c>
      <c r="P56" s="408">
        <v>2.2650000000000001</v>
      </c>
      <c r="Q56" s="408">
        <v>2.2650000000000001</v>
      </c>
      <c r="R56" s="408"/>
      <c r="S56" s="408">
        <v>85.01</v>
      </c>
      <c r="T56" s="408">
        <v>173.25</v>
      </c>
      <c r="U56" s="408"/>
      <c r="V56" s="408">
        <v>584.95890000000009</v>
      </c>
      <c r="W56" s="408">
        <v>584.95890000000009</v>
      </c>
      <c r="X56" s="408">
        <v>631.1875500000001</v>
      </c>
      <c r="Y56" s="408">
        <v>0</v>
      </c>
      <c r="Z56" s="408">
        <v>121.27786075351925</v>
      </c>
      <c r="AA56" s="408">
        <v>0</v>
      </c>
      <c r="AB56" s="408">
        <v>0</v>
      </c>
      <c r="AC56" s="408">
        <v>0</v>
      </c>
      <c r="AD56" s="408">
        <v>0</v>
      </c>
      <c r="AE56" s="408">
        <v>0</v>
      </c>
      <c r="AF56" s="408">
        <v>385.82116587573398</v>
      </c>
      <c r="AG56" s="408">
        <v>6.5848839466759319</v>
      </c>
      <c r="AH56" s="408">
        <v>0</v>
      </c>
      <c r="AI56" s="408">
        <v>0</v>
      </c>
      <c r="AJ56" s="408">
        <v>0</v>
      </c>
      <c r="AK56" s="408">
        <v>0</v>
      </c>
      <c r="AL56" s="408">
        <v>21.537953578142055</v>
      </c>
      <c r="AM56" s="408"/>
      <c r="AN56" s="408">
        <v>1.8138433189140899</v>
      </c>
      <c r="AO56" s="408">
        <v>0</v>
      </c>
      <c r="AP56" s="408">
        <v>0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0</v>
      </c>
      <c r="BE56" s="408">
        <v>0</v>
      </c>
      <c r="BF56" s="408">
        <v>0</v>
      </c>
      <c r="BG56" s="408">
        <v>16.939157160506596</v>
      </c>
      <c r="BH56" s="408">
        <v>0</v>
      </c>
      <c r="BI56" s="408">
        <v>0</v>
      </c>
      <c r="BJ56" s="408">
        <v>0</v>
      </c>
      <c r="BK56" s="408">
        <v>0</v>
      </c>
      <c r="BL56" s="408">
        <v>0</v>
      </c>
      <c r="BM56" s="408"/>
      <c r="BN56" s="408"/>
      <c r="BO56" s="408"/>
      <c r="BP56" s="408"/>
      <c r="BQ56" s="408"/>
      <c r="BR56" s="408"/>
      <c r="BS56" s="408"/>
      <c r="BT56" s="408"/>
      <c r="BU56" s="408"/>
      <c r="BV56" s="408">
        <v>402.76032303624061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632.58090000000004</v>
      </c>
      <c r="CJ56" s="408">
        <v>47.591999999999985</v>
      </c>
      <c r="CK56" s="408"/>
      <c r="CL56" s="408"/>
      <c r="CM56" s="408"/>
      <c r="CN56" s="408"/>
      <c r="CO56" s="408">
        <v>-2.6727000000000154</v>
      </c>
      <c r="CP56" s="408">
        <v>48.901350000000008</v>
      </c>
      <c r="CQ56" s="408">
        <v>31</v>
      </c>
      <c r="CR56" s="408">
        <v>46.222087837899835</v>
      </c>
      <c r="CS56" s="408">
        <v>0</v>
      </c>
      <c r="CT56" s="408">
        <v>0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0</v>
      </c>
      <c r="DA56" s="408">
        <v>0</v>
      </c>
      <c r="DB56" s="408">
        <v>0</v>
      </c>
      <c r="DC56" s="408">
        <v>48.895828754797435</v>
      </c>
      <c r="DD56" s="408">
        <v>0</v>
      </c>
      <c r="DE56" s="408">
        <v>0</v>
      </c>
      <c r="DF56" s="408">
        <v>0</v>
      </c>
      <c r="DG56" s="408">
        <v>2.1467306644278068</v>
      </c>
      <c r="DH56" s="408">
        <v>0</v>
      </c>
      <c r="DI56" s="408">
        <v>-4.1182123785669944</v>
      </c>
      <c r="DJ56" s="408"/>
      <c r="DK56" s="408">
        <v>0</v>
      </c>
      <c r="DL56" s="408">
        <v>0</v>
      </c>
      <c r="DM56" s="408">
        <v>0</v>
      </c>
      <c r="DN56" s="408">
        <v>0</v>
      </c>
      <c r="DO56" s="408">
        <v>-0.6509429817009007</v>
      </c>
      <c r="DP56" s="408">
        <v>-5.1316221057466471E-2</v>
      </c>
      <c r="DQ56" s="408">
        <v>0</v>
      </c>
      <c r="DR56" s="408">
        <v>0</v>
      </c>
      <c r="DS56" s="408"/>
      <c r="DT56" s="408"/>
      <c r="DU56" s="408"/>
      <c r="DV56" s="408">
        <v>0</v>
      </c>
      <c r="DW56" s="408">
        <v>0</v>
      </c>
      <c r="DX56" s="408">
        <v>0</v>
      </c>
      <c r="DY56" s="408">
        <v>-2.6727000000000203</v>
      </c>
      <c r="DZ56" s="408">
        <v>48.901350000000036</v>
      </c>
      <c r="EA56" s="408">
        <v>0</v>
      </c>
      <c r="EB56" s="408">
        <v>0</v>
      </c>
      <c r="EC56" s="408">
        <v>0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30.972202637037093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240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55</v>
      </c>
      <c r="B57" s="408" t="s">
        <v>1036</v>
      </c>
      <c r="C57" s="408" t="s">
        <v>2243</v>
      </c>
      <c r="D57" s="408" t="s">
        <v>597</v>
      </c>
      <c r="E57" s="408" t="s">
        <v>2246</v>
      </c>
      <c r="F57" s="408" t="s">
        <v>1322</v>
      </c>
      <c r="G57" s="408" t="s">
        <v>1322</v>
      </c>
      <c r="H57" s="408" t="s">
        <v>1322</v>
      </c>
      <c r="I57" s="408" t="s">
        <v>1322</v>
      </c>
      <c r="J57" s="408" t="s">
        <v>2236</v>
      </c>
      <c r="K57" s="826">
        <v>44378</v>
      </c>
      <c r="L57" s="408">
        <v>139</v>
      </c>
      <c r="M57" s="408">
        <v>139</v>
      </c>
      <c r="N57" s="408">
        <v>0</v>
      </c>
      <c r="O57" s="408">
        <v>0</v>
      </c>
      <c r="P57" s="408">
        <v>0</v>
      </c>
      <c r="Q57" s="408">
        <v>0</v>
      </c>
      <c r="R57" s="408">
        <v>27.19</v>
      </c>
      <c r="S57" s="408"/>
      <c r="T57" s="408"/>
      <c r="U57" s="408">
        <v>3779.4100000000003</v>
      </c>
      <c r="V57" s="408"/>
      <c r="W57" s="408">
        <v>3779.4100000000003</v>
      </c>
      <c r="X57" s="408">
        <v>3024.6400000000003</v>
      </c>
      <c r="Y57" s="408">
        <v>0</v>
      </c>
      <c r="Z57" s="408">
        <v>0</v>
      </c>
      <c r="AA57" s="408">
        <v>0</v>
      </c>
      <c r="AB57" s="408">
        <v>0</v>
      </c>
      <c r="AC57" s="408">
        <v>32.414885266431398</v>
      </c>
      <c r="AD57" s="408">
        <v>31.140842672488937</v>
      </c>
      <c r="AE57" s="408">
        <v>3326.5522037991705</v>
      </c>
      <c r="AF57" s="408"/>
      <c r="AG57" s="408"/>
      <c r="AH57" s="408"/>
      <c r="AI57" s="408">
        <v>0</v>
      </c>
      <c r="AJ57" s="408">
        <v>0</v>
      </c>
      <c r="AK57" s="408">
        <v>0</v>
      </c>
      <c r="AL57" s="408">
        <v>0</v>
      </c>
      <c r="AM57" s="408"/>
      <c r="AN57" s="408">
        <v>0</v>
      </c>
      <c r="AO57" s="408">
        <v>68.788991521574502</v>
      </c>
      <c r="AP57" s="408">
        <v>320.82434917859712</v>
      </c>
      <c r="AQ57" s="408">
        <v>0</v>
      </c>
      <c r="AR57" s="408">
        <v>0</v>
      </c>
      <c r="AS57" s="408"/>
      <c r="AT57" s="408"/>
      <c r="AU57" s="408">
        <v>0</v>
      </c>
      <c r="AV57" s="408">
        <v>0</v>
      </c>
      <c r="AW57" s="408">
        <v>0</v>
      </c>
      <c r="AX57" s="408"/>
      <c r="AY57" s="408"/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0</v>
      </c>
      <c r="BF57" s="408"/>
      <c r="BG57" s="408">
        <v>0</v>
      </c>
      <c r="BH57" s="408">
        <v>0</v>
      </c>
      <c r="BI57" s="408">
        <v>11.13</v>
      </c>
      <c r="BJ57" s="408">
        <v>95.61</v>
      </c>
      <c r="BK57" s="408">
        <v>6458.74</v>
      </c>
      <c r="BL57" s="408">
        <v>4</v>
      </c>
      <c r="BM57" s="408"/>
      <c r="BN57" s="408"/>
      <c r="BO57" s="408"/>
      <c r="BP57" s="408"/>
      <c r="BQ57" s="408"/>
      <c r="BR57" s="408"/>
      <c r="BS57" s="408"/>
      <c r="BT57" s="408"/>
      <c r="BU57" s="408"/>
      <c r="BV57" s="408">
        <v>0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3024.6400000000003</v>
      </c>
      <c r="CJ57" s="408">
        <v>-754.80000000000064</v>
      </c>
      <c r="CK57" s="408"/>
      <c r="CL57" s="408"/>
      <c r="CM57" s="408"/>
      <c r="CN57" s="408"/>
      <c r="CO57" s="408">
        <v>-754.77</v>
      </c>
      <c r="CP57" s="408">
        <v>0</v>
      </c>
      <c r="CQ57" s="408">
        <v>31</v>
      </c>
      <c r="CR57" s="408">
        <v>70.888886462466075</v>
      </c>
      <c r="CS57" s="408">
        <v>6.8546759726022373</v>
      </c>
      <c r="CT57" s="408">
        <v>31.969460652008138</v>
      </c>
      <c r="CU57" s="408">
        <v>0</v>
      </c>
      <c r="CV57" s="408">
        <v>0</v>
      </c>
      <c r="CW57" s="408"/>
      <c r="CX57" s="408"/>
      <c r="CY57" s="408"/>
      <c r="CZ57" s="408">
        <v>32.064749837855665</v>
      </c>
      <c r="DA57" s="408">
        <v>0</v>
      </c>
      <c r="DB57" s="408">
        <v>0</v>
      </c>
      <c r="DC57" s="408"/>
      <c r="DD57" s="408"/>
      <c r="DE57" s="408">
        <v>0</v>
      </c>
      <c r="DF57" s="408">
        <v>0</v>
      </c>
      <c r="DG57" s="408">
        <v>0</v>
      </c>
      <c r="DH57" s="408">
        <v>0</v>
      </c>
      <c r="DI57" s="408">
        <v>0</v>
      </c>
      <c r="DJ57" s="408"/>
      <c r="DK57" s="408">
        <v>0</v>
      </c>
      <c r="DL57" s="408">
        <v>0</v>
      </c>
      <c r="DM57" s="408"/>
      <c r="DN57" s="408">
        <v>0</v>
      </c>
      <c r="DO57" s="408">
        <v>0</v>
      </c>
      <c r="DP57" s="408">
        <v>0</v>
      </c>
      <c r="DQ57" s="408">
        <v>0</v>
      </c>
      <c r="DR57" s="408">
        <v>0</v>
      </c>
      <c r="DS57" s="408"/>
      <c r="DT57" s="408"/>
      <c r="DU57" s="408">
        <v>3326.5522037991705</v>
      </c>
      <c r="DV57" s="408"/>
      <c r="DW57" s="408">
        <v>0</v>
      </c>
      <c r="DX57" s="408">
        <v>0</v>
      </c>
      <c r="DY57" s="408">
        <v>-754.77</v>
      </c>
      <c r="DZ57" s="408"/>
      <c r="EA57" s="408">
        <v>0</v>
      </c>
      <c r="EB57" s="408"/>
      <c r="EC57" s="408">
        <v>-826.3719942854359</v>
      </c>
      <c r="ED57" s="408"/>
      <c r="EE57" s="408">
        <v>0</v>
      </c>
      <c r="EF57" s="408">
        <v>0</v>
      </c>
      <c r="EG57" s="408"/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/>
      <c r="EN57" s="408"/>
      <c r="EO57" s="408">
        <v>0</v>
      </c>
      <c r="EP57" s="408">
        <v>0</v>
      </c>
      <c r="EQ57" s="408"/>
      <c r="ER57" s="408">
        <v>0</v>
      </c>
      <c r="ES57" s="408"/>
      <c r="ET57" s="408">
        <v>0</v>
      </c>
      <c r="EU57" s="408"/>
      <c r="EV57" s="408">
        <v>240</v>
      </c>
      <c r="EW57" s="408"/>
      <c r="EX57" s="408"/>
      <c r="EY57" s="408"/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56</v>
      </c>
      <c r="B58" s="408" t="s">
        <v>2238</v>
      </c>
      <c r="C58" s="408" t="s">
        <v>2243</v>
      </c>
      <c r="D58" s="408" t="s">
        <v>597</v>
      </c>
      <c r="E58" s="408" t="s">
        <v>2246</v>
      </c>
      <c r="F58" s="408" t="s">
        <v>1322</v>
      </c>
      <c r="G58" s="408" t="s">
        <v>1322</v>
      </c>
      <c r="H58" s="408" t="s">
        <v>1322</v>
      </c>
      <c r="I58" s="408" t="s">
        <v>1322</v>
      </c>
      <c r="J58" s="408" t="s">
        <v>2236</v>
      </c>
      <c r="K58" s="826">
        <v>44378</v>
      </c>
      <c r="L58" s="408">
        <v>40</v>
      </c>
      <c r="M58" s="408">
        <v>40</v>
      </c>
      <c r="N58" s="408">
        <v>0</v>
      </c>
      <c r="O58" s="408">
        <v>0</v>
      </c>
      <c r="P58" s="408">
        <v>0</v>
      </c>
      <c r="Q58" s="408">
        <v>0</v>
      </c>
      <c r="R58" s="408">
        <v>27.19</v>
      </c>
      <c r="S58" s="408"/>
      <c r="T58" s="408"/>
      <c r="U58" s="408">
        <v>1087.6000000000001</v>
      </c>
      <c r="V58" s="408"/>
      <c r="W58" s="408">
        <v>1087.6000000000001</v>
      </c>
      <c r="X58" s="408">
        <v>870.40000000000009</v>
      </c>
      <c r="Y58" s="408">
        <v>0</v>
      </c>
      <c r="Z58" s="408">
        <v>0</v>
      </c>
      <c r="AA58" s="408">
        <v>0</v>
      </c>
      <c r="AB58" s="408">
        <v>0</v>
      </c>
      <c r="AC58" s="408">
        <v>9.3280245371025607</v>
      </c>
      <c r="AD58" s="408">
        <v>8.9613935748169595</v>
      </c>
      <c r="AE58" s="408">
        <v>957.28120972637998</v>
      </c>
      <c r="AF58" s="408"/>
      <c r="AG58" s="408"/>
      <c r="AH58" s="408"/>
      <c r="AI58" s="408">
        <v>0</v>
      </c>
      <c r="AJ58" s="408">
        <v>0</v>
      </c>
      <c r="AK58" s="408">
        <v>0</v>
      </c>
      <c r="AL58" s="408">
        <v>0</v>
      </c>
      <c r="AM58" s="408"/>
      <c r="AN58" s="408">
        <v>0</v>
      </c>
      <c r="AO58" s="408">
        <v>19.795393243618559</v>
      </c>
      <c r="AP58" s="408">
        <v>92.3235537204596</v>
      </c>
      <c r="AQ58" s="408">
        <v>0</v>
      </c>
      <c r="AR58" s="408">
        <v>0</v>
      </c>
      <c r="AS58" s="408"/>
      <c r="AT58" s="408"/>
      <c r="AU58" s="408">
        <v>0</v>
      </c>
      <c r="AV58" s="408">
        <v>0</v>
      </c>
      <c r="AW58" s="408">
        <v>0</v>
      </c>
      <c r="AX58" s="408"/>
      <c r="AY58" s="408"/>
      <c r="AZ58" s="408">
        <v>0</v>
      </c>
      <c r="BA58" s="408"/>
      <c r="BB58" s="408">
        <v>0</v>
      </c>
      <c r="BC58" s="408">
        <v>0</v>
      </c>
      <c r="BD58" s="408">
        <v>0</v>
      </c>
      <c r="BE58" s="408">
        <v>0</v>
      </c>
      <c r="BF58" s="408"/>
      <c r="BG58" s="408">
        <v>0</v>
      </c>
      <c r="BH58" s="408">
        <v>0</v>
      </c>
      <c r="BI58" s="408">
        <v>1.65</v>
      </c>
      <c r="BJ58" s="408">
        <v>14.2</v>
      </c>
      <c r="BK58" s="408">
        <v>767.82</v>
      </c>
      <c r="BL58" s="408">
        <v>1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>
        <v>0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870.40000000000009</v>
      </c>
      <c r="CJ58" s="408">
        <v>-217.23000000000002</v>
      </c>
      <c r="CK58" s="408"/>
      <c r="CL58" s="408"/>
      <c r="CM58" s="408"/>
      <c r="CN58" s="408"/>
      <c r="CO58" s="408">
        <v>-217.2</v>
      </c>
      <c r="CP58" s="408">
        <v>0</v>
      </c>
      <c r="CQ58" s="408">
        <v>31</v>
      </c>
      <c r="CR58" s="408">
        <v>20.399679557544232</v>
      </c>
      <c r="CS58" s="408">
        <v>1.9725686252092807</v>
      </c>
      <c r="CT58" s="408">
        <v>9.1998447919447983</v>
      </c>
      <c r="CU58" s="408">
        <v>0</v>
      </c>
      <c r="CV58" s="408">
        <v>0</v>
      </c>
      <c r="CW58" s="408"/>
      <c r="CX58" s="408"/>
      <c r="CY58" s="408"/>
      <c r="CZ58" s="408">
        <v>9.2272661403901211</v>
      </c>
      <c r="DA58" s="408">
        <v>0</v>
      </c>
      <c r="DB58" s="408">
        <v>0</v>
      </c>
      <c r="DC58" s="408"/>
      <c r="DD58" s="408"/>
      <c r="DE58" s="408">
        <v>0</v>
      </c>
      <c r="DF58" s="408">
        <v>0</v>
      </c>
      <c r="DG58" s="408">
        <v>0</v>
      </c>
      <c r="DH58" s="408">
        <v>0</v>
      </c>
      <c r="DI58" s="408">
        <v>0</v>
      </c>
      <c r="DJ58" s="408"/>
      <c r="DK58" s="408">
        <v>0</v>
      </c>
      <c r="DL58" s="408">
        <v>0</v>
      </c>
      <c r="DM58" s="408"/>
      <c r="DN58" s="408">
        <v>0</v>
      </c>
      <c r="DO58" s="408">
        <v>0</v>
      </c>
      <c r="DP58" s="408">
        <v>0</v>
      </c>
      <c r="DQ58" s="408">
        <v>0</v>
      </c>
      <c r="DR58" s="408">
        <v>0</v>
      </c>
      <c r="DS58" s="408"/>
      <c r="DT58" s="408"/>
      <c r="DU58" s="408">
        <v>957.28120972637998</v>
      </c>
      <c r="DV58" s="408"/>
      <c r="DW58" s="408">
        <v>0</v>
      </c>
      <c r="DX58" s="408">
        <v>0</v>
      </c>
      <c r="DY58" s="408">
        <v>-217.20000000000005</v>
      </c>
      <c r="DZ58" s="408"/>
      <c r="EA58" s="408">
        <v>0</v>
      </c>
      <c r="EB58" s="408"/>
      <c r="EC58" s="408">
        <v>-237.80489044185208</v>
      </c>
      <c r="ED58" s="408"/>
      <c r="EE58" s="408">
        <v>0</v>
      </c>
      <c r="EF58" s="408">
        <v>0</v>
      </c>
      <c r="EG58" s="408"/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/>
      <c r="EN58" s="408"/>
      <c r="EO58" s="408">
        <v>0</v>
      </c>
      <c r="EP58" s="408">
        <v>0</v>
      </c>
      <c r="EQ58" s="408"/>
      <c r="ER58" s="408">
        <v>0</v>
      </c>
      <c r="ES58" s="408"/>
      <c r="ET58" s="408">
        <v>0</v>
      </c>
      <c r="EU58" s="408"/>
      <c r="EV58" s="408">
        <v>240</v>
      </c>
      <c r="EW58" s="408"/>
      <c r="EX58" s="408"/>
      <c r="EY58" s="408"/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57</v>
      </c>
      <c r="B59" s="408" t="s">
        <v>1036</v>
      </c>
      <c r="C59" s="408" t="s">
        <v>2235</v>
      </c>
      <c r="D59" s="408" t="s">
        <v>2248</v>
      </c>
      <c r="E59" s="408" t="s">
        <v>2249</v>
      </c>
      <c r="F59" s="408" t="s">
        <v>2250</v>
      </c>
      <c r="G59" s="408" t="s">
        <v>1322</v>
      </c>
      <c r="H59" s="408" t="s">
        <v>1322</v>
      </c>
      <c r="I59" s="408" t="s">
        <v>1322</v>
      </c>
      <c r="J59" s="408" t="s">
        <v>2236</v>
      </c>
      <c r="K59" s="826">
        <v>44378</v>
      </c>
      <c r="L59" s="408">
        <v>0</v>
      </c>
      <c r="M59" s="408">
        <v>0</v>
      </c>
      <c r="N59" s="408">
        <v>1600.942</v>
      </c>
      <c r="O59" s="408">
        <v>1600.942</v>
      </c>
      <c r="P59" s="408">
        <v>1600.942</v>
      </c>
      <c r="Q59" s="408">
        <v>1600.942</v>
      </c>
      <c r="R59" s="408"/>
      <c r="S59" s="408">
        <v>199.07</v>
      </c>
      <c r="T59" s="408">
        <v>95.29</v>
      </c>
      <c r="U59" s="408"/>
      <c r="V59" s="408">
        <v>471253.28711999999</v>
      </c>
      <c r="W59" s="408">
        <v>471253.28711999999</v>
      </c>
      <c r="X59" s="408">
        <v>444853.75354000006</v>
      </c>
      <c r="Y59" s="408">
        <v>0</v>
      </c>
      <c r="Z59" s="408">
        <v>54191.647774861514</v>
      </c>
      <c r="AA59" s="408">
        <v>0</v>
      </c>
      <c r="AB59" s="408">
        <v>0</v>
      </c>
      <c r="AC59" s="408">
        <v>2253.7189774038648</v>
      </c>
      <c r="AD59" s="408">
        <v>2906.6428282125025</v>
      </c>
      <c r="AE59" s="408">
        <v>201102.91150092747</v>
      </c>
      <c r="AF59" s="408">
        <v>149987.8675128856</v>
      </c>
      <c r="AG59" s="408">
        <v>2559.8717445684774</v>
      </c>
      <c r="AH59" s="408">
        <v>0</v>
      </c>
      <c r="AI59" s="408">
        <v>0</v>
      </c>
      <c r="AJ59" s="408">
        <v>0</v>
      </c>
      <c r="AK59" s="408">
        <v>0</v>
      </c>
      <c r="AL59" s="408">
        <v>8372.8732726330509</v>
      </c>
      <c r="AM59" s="408"/>
      <c r="AN59" s="408">
        <v>1063.5396992029032</v>
      </c>
      <c r="AO59" s="408">
        <v>4784.2031242494631</v>
      </c>
      <c r="AP59" s="408">
        <v>22308.033369413904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0</v>
      </c>
      <c r="BE59" s="408">
        <v>0</v>
      </c>
      <c r="BF59" s="408">
        <v>0</v>
      </c>
      <c r="BG59" s="408">
        <v>7871.6485121762153</v>
      </c>
      <c r="BH59" s="408">
        <v>0</v>
      </c>
      <c r="BI59" s="408">
        <v>407.91</v>
      </c>
      <c r="BJ59" s="408">
        <v>3498.5</v>
      </c>
      <c r="BK59" s="408">
        <v>145771.10999999999</v>
      </c>
      <c r="BL59" s="408">
        <v>60</v>
      </c>
      <c r="BM59" s="408"/>
      <c r="BN59" s="408"/>
      <c r="BO59" s="408"/>
      <c r="BP59" s="408"/>
      <c r="BQ59" s="408"/>
      <c r="BR59" s="408"/>
      <c r="BS59" s="408"/>
      <c r="BT59" s="408"/>
      <c r="BU59" s="408"/>
      <c r="BV59" s="408">
        <v>157859.51602506181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444853.19780000002</v>
      </c>
      <c r="CJ59" s="408">
        <v>-26400.119319999998</v>
      </c>
      <c r="CK59" s="408"/>
      <c r="CL59" s="408"/>
      <c r="CM59" s="408"/>
      <c r="CN59" s="408"/>
      <c r="CO59" s="408">
        <v>-45402.715119999979</v>
      </c>
      <c r="CP59" s="408">
        <v>19003.181539999983</v>
      </c>
      <c r="CQ59" s="408">
        <v>31</v>
      </c>
      <c r="CR59" s="408">
        <v>23575.070610145107</v>
      </c>
      <c r="CS59" s="408">
        <v>476.7356153717792</v>
      </c>
      <c r="CT59" s="408">
        <v>2222.9478431206917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2992.8790346116157</v>
      </c>
      <c r="DA59" s="408">
        <v>0</v>
      </c>
      <c r="DB59" s="408">
        <v>0</v>
      </c>
      <c r="DC59" s="408">
        <v>19008.239396511926</v>
      </c>
      <c r="DD59" s="408">
        <v>0</v>
      </c>
      <c r="DE59" s="408">
        <v>0</v>
      </c>
      <c r="DF59" s="408">
        <v>0</v>
      </c>
      <c r="DG59" s="408">
        <v>997.58855063251849</v>
      </c>
      <c r="DH59" s="408">
        <v>0</v>
      </c>
      <c r="DI59" s="408">
        <v>-1840.1768739550316</v>
      </c>
      <c r="DJ59" s="408"/>
      <c r="DK59" s="408">
        <v>0</v>
      </c>
      <c r="DL59" s="408">
        <v>0</v>
      </c>
      <c r="DM59" s="408">
        <v>0</v>
      </c>
      <c r="DN59" s="408">
        <v>0</v>
      </c>
      <c r="DO59" s="408">
        <v>-253.05389733139145</v>
      </c>
      <c r="DP59" s="408">
        <v>-30.089058817030718</v>
      </c>
      <c r="DQ59" s="408">
        <v>0</v>
      </c>
      <c r="DR59" s="408">
        <v>0</v>
      </c>
      <c r="DS59" s="408"/>
      <c r="DT59" s="408"/>
      <c r="DU59" s="408"/>
      <c r="DV59" s="408">
        <v>201102.91150092747</v>
      </c>
      <c r="DW59" s="408">
        <v>0</v>
      </c>
      <c r="DX59" s="408">
        <v>0</v>
      </c>
      <c r="DY59" s="408">
        <v>-45402.71511999995</v>
      </c>
      <c r="DZ59" s="408">
        <v>19003.18153999999</v>
      </c>
      <c r="EA59" s="408">
        <v>0</v>
      </c>
      <c r="EB59" s="408">
        <v>0</v>
      </c>
      <c r="EC59" s="408">
        <v>-49957.374438264698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13839.580329744929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240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58</v>
      </c>
      <c r="B60" s="408" t="s">
        <v>1036</v>
      </c>
      <c r="C60" s="408" t="s">
        <v>2235</v>
      </c>
      <c r="D60" s="408" t="s">
        <v>1958</v>
      </c>
      <c r="E60" s="408" t="s">
        <v>1001</v>
      </c>
      <c r="F60" s="408" t="s">
        <v>2251</v>
      </c>
      <c r="G60" s="408" t="s">
        <v>1322</v>
      </c>
      <c r="H60" s="408" t="s">
        <v>1322</v>
      </c>
      <c r="I60" s="408" t="s">
        <v>1322</v>
      </c>
      <c r="J60" s="408" t="s">
        <v>2236</v>
      </c>
      <c r="K60" s="826">
        <v>44378</v>
      </c>
      <c r="L60" s="408">
        <v>0</v>
      </c>
      <c r="M60" s="408">
        <v>0</v>
      </c>
      <c r="N60" s="408">
        <v>573.18600000000004</v>
      </c>
      <c r="O60" s="408">
        <v>538.79484000000002</v>
      </c>
      <c r="P60" s="408">
        <v>573.18600000000004</v>
      </c>
      <c r="Q60" s="408">
        <v>538.79484000000002</v>
      </c>
      <c r="R60" s="408"/>
      <c r="S60" s="408">
        <v>368.24</v>
      </c>
      <c r="T60" s="408">
        <v>173.25</v>
      </c>
      <c r="U60" s="408"/>
      <c r="V60" s="408">
        <v>310374.48714000004</v>
      </c>
      <c r="W60" s="408">
        <v>310374.48714000004</v>
      </c>
      <c r="X60" s="408">
        <v>291688.62354</v>
      </c>
      <c r="Y60" s="408">
        <v>0</v>
      </c>
      <c r="Z60" s="408">
        <v>35276.837377314325</v>
      </c>
      <c r="AA60" s="408">
        <v>0</v>
      </c>
      <c r="AB60" s="408">
        <v>0</v>
      </c>
      <c r="AC60" s="408">
        <v>1467.0909840265776</v>
      </c>
      <c r="AD60" s="408">
        <v>1409.5454580395715</v>
      </c>
      <c r="AE60" s="408">
        <v>135006.57152147806</v>
      </c>
      <c r="AF60" s="408">
        <v>97636.772972913226</v>
      </c>
      <c r="AG60" s="408">
        <v>1666.3855584368171</v>
      </c>
      <c r="AH60" s="408">
        <v>0</v>
      </c>
      <c r="AI60" s="408">
        <v>0</v>
      </c>
      <c r="AJ60" s="408">
        <v>0</v>
      </c>
      <c r="AK60" s="408">
        <v>0</v>
      </c>
      <c r="AL60" s="408">
        <v>5450.4430285390426</v>
      </c>
      <c r="AM60" s="408"/>
      <c r="AN60" s="408">
        <v>692.32655867871006</v>
      </c>
      <c r="AO60" s="408">
        <v>3114.346260430138</v>
      </c>
      <c r="AP60" s="408">
        <v>14521.737162337549</v>
      </c>
      <c r="AQ60" s="408">
        <v>0</v>
      </c>
      <c r="AR60" s="408">
        <v>0</v>
      </c>
      <c r="AS60" s="408">
        <v>0</v>
      </c>
      <c r="AT60" s="408">
        <v>0</v>
      </c>
      <c r="AU60" s="408">
        <v>0</v>
      </c>
      <c r="AV60" s="408">
        <v>0</v>
      </c>
      <c r="AW60" s="408">
        <v>0</v>
      </c>
      <c r="AX60" s="408">
        <v>0</v>
      </c>
      <c r="AY60" s="408">
        <v>0</v>
      </c>
      <c r="AZ60" s="408">
        <v>0</v>
      </c>
      <c r="BA60" s="408"/>
      <c r="BB60" s="408">
        <v>0</v>
      </c>
      <c r="BC60" s="408">
        <v>0</v>
      </c>
      <c r="BD60" s="408">
        <v>0</v>
      </c>
      <c r="BE60" s="408">
        <v>0</v>
      </c>
      <c r="BF60" s="408">
        <v>0</v>
      </c>
      <c r="BG60" s="408">
        <v>5124.1635170250738</v>
      </c>
      <c r="BH60" s="408">
        <v>0</v>
      </c>
      <c r="BI60" s="408">
        <v>207.43</v>
      </c>
      <c r="BJ60" s="408">
        <v>1786.46</v>
      </c>
      <c r="BK60" s="408">
        <v>138379.31</v>
      </c>
      <c r="BL60" s="408">
        <v>196</v>
      </c>
      <c r="BM60" s="408"/>
      <c r="BN60" s="408"/>
      <c r="BO60" s="408"/>
      <c r="BP60" s="408"/>
      <c r="BQ60" s="408">
        <v>17501.317412400007</v>
      </c>
      <c r="BR60" s="408"/>
      <c r="BS60" s="408"/>
      <c r="BT60" s="408"/>
      <c r="BU60" s="408"/>
      <c r="BV60" s="408">
        <v>102760.93648993829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274184.8431</v>
      </c>
      <c r="CJ60" s="408">
        <v>-17567.204811600037</v>
      </c>
      <c r="CK60" s="408"/>
      <c r="CL60" s="408"/>
      <c r="CM60" s="408"/>
      <c r="CN60" s="408"/>
      <c r="CO60" s="408">
        <v>-31060.949339999999</v>
      </c>
      <c r="CP60" s="408">
        <v>12375.085740000002</v>
      </c>
      <c r="CQ60" s="408">
        <v>31</v>
      </c>
      <c r="CR60" s="408">
        <v>14849.640257485444</v>
      </c>
      <c r="CS60" s="408">
        <v>310.33794811541657</v>
      </c>
      <c r="CT60" s="408">
        <v>1447.0600688469531</v>
      </c>
      <c r="CU60" s="408">
        <v>0</v>
      </c>
      <c r="CV60" s="408">
        <v>0</v>
      </c>
      <c r="CW60" s="408">
        <v>0</v>
      </c>
      <c r="CX60" s="408">
        <v>0</v>
      </c>
      <c r="CY60" s="408">
        <v>0</v>
      </c>
      <c r="CZ60" s="408">
        <v>1451.3647871530795</v>
      </c>
      <c r="DA60" s="408">
        <v>0</v>
      </c>
      <c r="DB60" s="408">
        <v>0</v>
      </c>
      <c r="DC60" s="408">
        <v>12373.688521257107</v>
      </c>
      <c r="DD60" s="408">
        <v>0</v>
      </c>
      <c r="DE60" s="408">
        <v>0</v>
      </c>
      <c r="DF60" s="408">
        <v>0</v>
      </c>
      <c r="DG60" s="408">
        <v>649.39470407578301</v>
      </c>
      <c r="DH60" s="408">
        <v>0</v>
      </c>
      <c r="DI60" s="408">
        <v>-1197.8897670301958</v>
      </c>
      <c r="DJ60" s="408"/>
      <c r="DK60" s="408">
        <v>0</v>
      </c>
      <c r="DL60" s="408">
        <v>0</v>
      </c>
      <c r="DM60" s="408">
        <v>0</v>
      </c>
      <c r="DN60" s="408">
        <v>0</v>
      </c>
      <c r="DO60" s="408">
        <v>-164.72909664865892</v>
      </c>
      <c r="DP60" s="408">
        <v>-19.586908283996763</v>
      </c>
      <c r="DQ60" s="408">
        <v>0</v>
      </c>
      <c r="DR60" s="408">
        <v>0</v>
      </c>
      <c r="DS60" s="408"/>
      <c r="DT60" s="408"/>
      <c r="DU60" s="408"/>
      <c r="DV60" s="408">
        <v>135006.57152147806</v>
      </c>
      <c r="DW60" s="408">
        <v>0</v>
      </c>
      <c r="DX60" s="408">
        <v>0</v>
      </c>
      <c r="DY60" s="408">
        <v>-31060.949340000021</v>
      </c>
      <c r="DZ60" s="408">
        <v>12375.085739999995</v>
      </c>
      <c r="EA60" s="408">
        <v>0</v>
      </c>
      <c r="EB60" s="408">
        <v>0</v>
      </c>
      <c r="EC60" s="408">
        <v>-33537.92242383222</v>
      </c>
      <c r="ED60" s="408">
        <v>0</v>
      </c>
      <c r="EE60" s="408">
        <v>0</v>
      </c>
      <c r="EF60" s="408">
        <v>0</v>
      </c>
      <c r="EG60" s="408">
        <v>0</v>
      </c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>
        <v>0</v>
      </c>
      <c r="EN60" s="408">
        <v>0</v>
      </c>
      <c r="EO60" s="408">
        <v>0</v>
      </c>
      <c r="EP60" s="408">
        <v>9009.0751012218425</v>
      </c>
      <c r="EQ60" s="408">
        <v>0</v>
      </c>
      <c r="ER60" s="408">
        <v>0</v>
      </c>
      <c r="ES60" s="408">
        <v>0</v>
      </c>
      <c r="ET60" s="408">
        <v>0</v>
      </c>
      <c r="EU60" s="408">
        <v>0</v>
      </c>
      <c r="EV60" s="408">
        <v>240</v>
      </c>
      <c r="EW60" s="408">
        <v>0</v>
      </c>
      <c r="EX60" s="408">
        <v>0</v>
      </c>
      <c r="EY60" s="408">
        <v>0</v>
      </c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59</v>
      </c>
      <c r="B61" s="408" t="s">
        <v>1036</v>
      </c>
      <c r="C61" s="408" t="s">
        <v>2247</v>
      </c>
      <c r="D61" s="408" t="s">
        <v>597</v>
      </c>
      <c r="E61" s="408" t="s">
        <v>1001</v>
      </c>
      <c r="F61" s="408" t="s">
        <v>2251</v>
      </c>
      <c r="G61" s="408" t="s">
        <v>1322</v>
      </c>
      <c r="H61" s="408" t="s">
        <v>1322</v>
      </c>
      <c r="I61" s="408" t="s">
        <v>973</v>
      </c>
      <c r="J61" s="408" t="s">
        <v>2236</v>
      </c>
      <c r="K61" s="826">
        <v>44378</v>
      </c>
      <c r="L61" s="408">
        <v>66</v>
      </c>
      <c r="M61" s="408">
        <v>62.04</v>
      </c>
      <c r="N61" s="408">
        <v>3.2330000000000001</v>
      </c>
      <c r="O61" s="408">
        <v>3.0390199999999998</v>
      </c>
      <c r="P61" s="408">
        <v>3.2330000000000001</v>
      </c>
      <c r="Q61" s="408">
        <v>3.0390199999999998</v>
      </c>
      <c r="R61" s="408">
        <v>52.95</v>
      </c>
      <c r="S61" s="408">
        <v>85.01</v>
      </c>
      <c r="T61" s="408">
        <v>173.25</v>
      </c>
      <c r="U61" s="408">
        <v>3494.7000000000003</v>
      </c>
      <c r="V61" s="408">
        <v>834.95458000000008</v>
      </c>
      <c r="W61" s="408">
        <v>4329.6545800000004</v>
      </c>
      <c r="X61" s="408">
        <v>3821.44011</v>
      </c>
      <c r="Y61" s="408">
        <v>0</v>
      </c>
      <c r="Z61" s="408">
        <v>173.10875223670098</v>
      </c>
      <c r="AA61" s="408">
        <v>0</v>
      </c>
      <c r="AB61" s="408">
        <v>0</v>
      </c>
      <c r="AC61" s="408">
        <v>51.98597272816999</v>
      </c>
      <c r="AD61" s="408">
        <v>49.945615696001056</v>
      </c>
      <c r="AE61" s="408">
        <v>2767.6251232668387</v>
      </c>
      <c r="AF61" s="408">
        <v>550.7107414023169</v>
      </c>
      <c r="AG61" s="408">
        <v>9.3990860042398623</v>
      </c>
      <c r="AH61" s="408">
        <v>0</v>
      </c>
      <c r="AI61" s="408">
        <v>0</v>
      </c>
      <c r="AJ61" s="408">
        <v>0</v>
      </c>
      <c r="AK61" s="408">
        <v>0</v>
      </c>
      <c r="AL61" s="408">
        <v>30.74269488659305</v>
      </c>
      <c r="AM61" s="408"/>
      <c r="AN61" s="408">
        <v>2.5890311037745044</v>
      </c>
      <c r="AO61" s="408">
        <v>110.35535825452445</v>
      </c>
      <c r="AP61" s="408">
        <v>514.56404438940137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0</v>
      </c>
      <c r="BF61" s="408">
        <v>0</v>
      </c>
      <c r="BG61" s="408">
        <v>24.178496732855553</v>
      </c>
      <c r="BH61" s="408">
        <v>0</v>
      </c>
      <c r="BI61" s="408">
        <v>0</v>
      </c>
      <c r="BJ61" s="408">
        <v>0</v>
      </c>
      <c r="BK61" s="408">
        <v>0</v>
      </c>
      <c r="BL61" s="408">
        <v>0</v>
      </c>
      <c r="BM61" s="408"/>
      <c r="BN61" s="408"/>
      <c r="BO61" s="408"/>
      <c r="BP61" s="408"/>
      <c r="BQ61" s="408">
        <v>229.28640660000011</v>
      </c>
      <c r="BR61" s="408"/>
      <c r="BS61" s="408"/>
      <c r="BT61" s="408"/>
      <c r="BU61" s="408"/>
      <c r="BV61" s="408">
        <v>574.88923813517249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3592.4267999999997</v>
      </c>
      <c r="CJ61" s="408">
        <v>-477.47850520000111</v>
      </c>
      <c r="CK61" s="408"/>
      <c r="CL61" s="408"/>
      <c r="CM61" s="408"/>
      <c r="CN61" s="408"/>
      <c r="CO61" s="408">
        <v>-578.01494000000014</v>
      </c>
      <c r="CP61" s="408">
        <v>69.800470000000018</v>
      </c>
      <c r="CQ61" s="408">
        <v>31</v>
      </c>
      <c r="CR61" s="408">
        <v>179.67548142478336</v>
      </c>
      <c r="CS61" s="408">
        <v>10.996675571816894</v>
      </c>
      <c r="CT61" s="408">
        <v>51.27520717228208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51.427435334136646</v>
      </c>
      <c r="DA61" s="408">
        <v>0</v>
      </c>
      <c r="DB61" s="408">
        <v>0</v>
      </c>
      <c r="DC61" s="408">
        <v>69.792589123293737</v>
      </c>
      <c r="DD61" s="408">
        <v>0</v>
      </c>
      <c r="DE61" s="408">
        <v>0</v>
      </c>
      <c r="DF61" s="408">
        <v>0</v>
      </c>
      <c r="DG61" s="408">
        <v>3.0641855355828227</v>
      </c>
      <c r="DH61" s="408">
        <v>0</v>
      </c>
      <c r="DI61" s="408">
        <v>-5.8782254392525886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-0.92913848116512554</v>
      </c>
      <c r="DP61" s="408">
        <v>-7.3247391911165138E-2</v>
      </c>
      <c r="DQ61" s="408">
        <v>0</v>
      </c>
      <c r="DR61" s="408">
        <v>0</v>
      </c>
      <c r="DS61" s="408"/>
      <c r="DT61" s="408"/>
      <c r="DU61" s="408">
        <v>2767.6251232668387</v>
      </c>
      <c r="DV61" s="408">
        <v>0</v>
      </c>
      <c r="DW61" s="408">
        <v>0</v>
      </c>
      <c r="DX61" s="408">
        <v>0</v>
      </c>
      <c r="DY61" s="408">
        <v>-578.01494000000002</v>
      </c>
      <c r="DZ61" s="408">
        <v>69.800470000000018</v>
      </c>
      <c r="EA61" s="408">
        <v>0</v>
      </c>
      <c r="EB61" s="408">
        <v>0</v>
      </c>
      <c r="EC61" s="408">
        <v>-687.52502664364147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44.208887914146104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240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60</v>
      </c>
      <c r="B62" s="408" t="s">
        <v>1036</v>
      </c>
      <c r="C62" s="408" t="s">
        <v>2247</v>
      </c>
      <c r="D62" s="408" t="s">
        <v>597</v>
      </c>
      <c r="E62" s="408" t="s">
        <v>1001</v>
      </c>
      <c r="F62" s="408" t="s">
        <v>2251</v>
      </c>
      <c r="G62" s="408" t="s">
        <v>1322</v>
      </c>
      <c r="H62" s="408" t="s">
        <v>1322</v>
      </c>
      <c r="I62" s="408" t="s">
        <v>2244</v>
      </c>
      <c r="J62" s="408" t="s">
        <v>2236</v>
      </c>
      <c r="K62" s="826">
        <v>44378</v>
      </c>
      <c r="L62" s="408">
        <v>66</v>
      </c>
      <c r="M62" s="408">
        <v>62.04</v>
      </c>
      <c r="N62" s="408">
        <v>21.670999999999999</v>
      </c>
      <c r="O62" s="408">
        <v>20.370739999999998</v>
      </c>
      <c r="P62" s="408">
        <v>21.670999999999999</v>
      </c>
      <c r="Q62" s="408">
        <v>20.370739999999998</v>
      </c>
      <c r="R62" s="408">
        <v>27.19</v>
      </c>
      <c r="S62" s="408">
        <v>85.01</v>
      </c>
      <c r="T62" s="408">
        <v>173.25</v>
      </c>
      <c r="U62" s="408">
        <v>1794.5400000000002</v>
      </c>
      <c r="V62" s="408">
        <v>5596.7524599999997</v>
      </c>
      <c r="W62" s="408">
        <v>7391.2924600000006</v>
      </c>
      <c r="X62" s="408">
        <v>7475.2175699999998</v>
      </c>
      <c r="Y62" s="408">
        <v>0</v>
      </c>
      <c r="Z62" s="408">
        <v>1160.3587286487925</v>
      </c>
      <c r="AA62" s="408">
        <v>0</v>
      </c>
      <c r="AB62" s="408">
        <v>0</v>
      </c>
      <c r="AC62" s="408">
        <v>15.391240486219225</v>
      </c>
      <c r="AD62" s="408">
        <v>14.786299398447985</v>
      </c>
      <c r="AE62" s="408">
        <v>1579.5139960485269</v>
      </c>
      <c r="AF62" s="408">
        <v>3691.4483380543179</v>
      </c>
      <c r="AG62" s="408">
        <v>63.002657840359433</v>
      </c>
      <c r="AH62" s="408">
        <v>0</v>
      </c>
      <c r="AI62" s="408">
        <v>0</v>
      </c>
      <c r="AJ62" s="408">
        <v>0</v>
      </c>
      <c r="AK62" s="408">
        <v>0</v>
      </c>
      <c r="AL62" s="408">
        <v>206.07019513991895</v>
      </c>
      <c r="AM62" s="408"/>
      <c r="AN62" s="408">
        <v>17.354436452179797</v>
      </c>
      <c r="AO62" s="408">
        <v>32.662398851970622</v>
      </c>
      <c r="AP62" s="408">
        <v>152.33386363875834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0</v>
      </c>
      <c r="BE62" s="408">
        <v>0</v>
      </c>
      <c r="BF62" s="408">
        <v>0</v>
      </c>
      <c r="BG62" s="408">
        <v>162.06996681030395</v>
      </c>
      <c r="BH62" s="408">
        <v>0</v>
      </c>
      <c r="BI62" s="408">
        <v>0</v>
      </c>
      <c r="BJ62" s="408">
        <v>0</v>
      </c>
      <c r="BK62" s="408">
        <v>0</v>
      </c>
      <c r="BL62" s="408">
        <v>0</v>
      </c>
      <c r="BM62" s="408"/>
      <c r="BN62" s="408"/>
      <c r="BO62" s="408"/>
      <c r="BP62" s="408"/>
      <c r="BQ62" s="408">
        <v>448.5130542000004</v>
      </c>
      <c r="BR62" s="408"/>
      <c r="BS62" s="408"/>
      <c r="BT62" s="408"/>
      <c r="BU62" s="408"/>
      <c r="BV62" s="408">
        <v>3853.5183048646218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7026.4983000000002</v>
      </c>
      <c r="CJ62" s="408">
        <v>78.653387600000315</v>
      </c>
      <c r="CK62" s="408"/>
      <c r="CL62" s="408"/>
      <c r="CM62" s="408"/>
      <c r="CN62" s="408"/>
      <c r="CO62" s="408">
        <v>-383.95178000000016</v>
      </c>
      <c r="CP62" s="408">
        <v>467.87689000000006</v>
      </c>
      <c r="CQ62" s="408">
        <v>31</v>
      </c>
      <c r="CR62" s="408">
        <v>475.90179600951888</v>
      </c>
      <c r="CS62" s="408">
        <v>3.2547382315953115</v>
      </c>
      <c r="CT62" s="408">
        <v>15.179743906708893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15.224989131643698</v>
      </c>
      <c r="DA62" s="408">
        <v>0</v>
      </c>
      <c r="DB62" s="408">
        <v>0</v>
      </c>
      <c r="DC62" s="408">
        <v>467.82406399347292</v>
      </c>
      <c r="DD62" s="408">
        <v>0</v>
      </c>
      <c r="DE62" s="408">
        <v>0</v>
      </c>
      <c r="DF62" s="408">
        <v>0</v>
      </c>
      <c r="DG62" s="408">
        <v>20.539426149587172</v>
      </c>
      <c r="DH62" s="408">
        <v>0</v>
      </c>
      <c r="DI62" s="408">
        <v>-39.402110576567338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-6.2280730050508453</v>
      </c>
      <c r="DP62" s="408">
        <v>-0.49098182187035633</v>
      </c>
      <c r="DQ62" s="408">
        <v>0</v>
      </c>
      <c r="DR62" s="408">
        <v>0</v>
      </c>
      <c r="DS62" s="408"/>
      <c r="DT62" s="408"/>
      <c r="DU62" s="408">
        <v>1579.5139960485269</v>
      </c>
      <c r="DV62" s="408">
        <v>0</v>
      </c>
      <c r="DW62" s="408">
        <v>0</v>
      </c>
      <c r="DX62" s="408">
        <v>0</v>
      </c>
      <c r="DY62" s="408">
        <v>-383.95178000000033</v>
      </c>
      <c r="DZ62" s="408">
        <v>467.87689</v>
      </c>
      <c r="EA62" s="408">
        <v>0</v>
      </c>
      <c r="EB62" s="408">
        <v>0</v>
      </c>
      <c r="EC62" s="408">
        <v>-392.37806922905588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296.33492421511295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240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61</v>
      </c>
      <c r="B63" s="408" t="s">
        <v>1036</v>
      </c>
      <c r="C63" s="408" t="s">
        <v>2247</v>
      </c>
      <c r="D63" s="408" t="s">
        <v>597</v>
      </c>
      <c r="E63" s="408" t="s">
        <v>1001</v>
      </c>
      <c r="F63" s="408" t="s">
        <v>2251</v>
      </c>
      <c r="G63" s="408" t="s">
        <v>1322</v>
      </c>
      <c r="H63" s="408" t="s">
        <v>1322</v>
      </c>
      <c r="I63" s="408" t="s">
        <v>1322</v>
      </c>
      <c r="J63" s="408" t="s">
        <v>2236</v>
      </c>
      <c r="K63" s="826">
        <v>44378</v>
      </c>
      <c r="L63" s="408">
        <v>0</v>
      </c>
      <c r="M63" s="408">
        <v>0</v>
      </c>
      <c r="N63" s="408">
        <v>0</v>
      </c>
      <c r="O63" s="408">
        <v>0</v>
      </c>
      <c r="P63" s="408">
        <v>0</v>
      </c>
      <c r="Q63" s="408">
        <v>0</v>
      </c>
      <c r="R63" s="408"/>
      <c r="S63" s="408"/>
      <c r="T63" s="408"/>
      <c r="U63" s="408"/>
      <c r="V63" s="408"/>
      <c r="W63" s="408"/>
      <c r="X63" s="408"/>
      <c r="Y63" s="408"/>
      <c r="Z63" s="408"/>
      <c r="AA63" s="408">
        <v>0</v>
      </c>
      <c r="AB63" s="408"/>
      <c r="AC63" s="408"/>
      <c r="AD63" s="408"/>
      <c r="AE63" s="408"/>
      <c r="AF63" s="408"/>
      <c r="AG63" s="408"/>
      <c r="AH63" s="408"/>
      <c r="AI63" s="408"/>
      <c r="AJ63" s="408"/>
      <c r="AK63" s="408"/>
      <c r="AL63" s="408"/>
      <c r="AM63" s="408"/>
      <c r="AN63" s="408"/>
      <c r="AO63" s="408"/>
      <c r="AP63" s="408"/>
      <c r="AQ63" s="408"/>
      <c r="AR63" s="408"/>
      <c r="AS63" s="408"/>
      <c r="AT63" s="408"/>
      <c r="AU63" s="408"/>
      <c r="AV63" s="408"/>
      <c r="AW63" s="408"/>
      <c r="AX63" s="408"/>
      <c r="AY63" s="408"/>
      <c r="AZ63" s="408">
        <v>0</v>
      </c>
      <c r="BA63" s="408"/>
      <c r="BB63" s="408"/>
      <c r="BC63" s="408"/>
      <c r="BD63" s="408"/>
      <c r="BE63" s="408"/>
      <c r="BF63" s="408"/>
      <c r="BG63" s="408"/>
      <c r="BH63" s="408"/>
      <c r="BI63" s="408">
        <v>8.64</v>
      </c>
      <c r="BJ63" s="408">
        <v>74.11</v>
      </c>
      <c r="BK63" s="408">
        <v>5706.8</v>
      </c>
      <c r="BL63" s="408">
        <v>1</v>
      </c>
      <c r="BM63" s="408"/>
      <c r="BN63" s="408"/>
      <c r="BO63" s="408"/>
      <c r="BP63" s="408"/>
      <c r="BQ63" s="408"/>
      <c r="BR63" s="408"/>
      <c r="BS63" s="408"/>
      <c r="BT63" s="408"/>
      <c r="BU63" s="408"/>
      <c r="BV63" s="408"/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/>
      <c r="CJ63" s="408">
        <v>-0.03</v>
      </c>
      <c r="CK63" s="408"/>
      <c r="CL63" s="408"/>
      <c r="CM63" s="408"/>
      <c r="CN63" s="408"/>
      <c r="CO63" s="408">
        <v>0</v>
      </c>
      <c r="CP63" s="408">
        <v>0</v>
      </c>
      <c r="CQ63" s="408">
        <v>31</v>
      </c>
      <c r="CR63" s="408"/>
      <c r="CS63" s="408"/>
      <c r="CT63" s="408"/>
      <c r="CU63" s="408"/>
      <c r="CV63" s="408"/>
      <c r="CW63" s="408"/>
      <c r="CX63" s="408"/>
      <c r="CY63" s="408"/>
      <c r="CZ63" s="408"/>
      <c r="DA63" s="408"/>
      <c r="DB63" s="408"/>
      <c r="DC63" s="408"/>
      <c r="DD63" s="408"/>
      <c r="DE63" s="408"/>
      <c r="DF63" s="408"/>
      <c r="DG63" s="408"/>
      <c r="DH63" s="408"/>
      <c r="DI63" s="408"/>
      <c r="DJ63" s="408"/>
      <c r="DK63" s="408">
        <v>0</v>
      </c>
      <c r="DL63" s="408"/>
      <c r="DM63" s="408"/>
      <c r="DN63" s="408"/>
      <c r="DO63" s="408"/>
      <c r="DP63" s="408"/>
      <c r="DQ63" s="408"/>
      <c r="DR63" s="408"/>
      <c r="DS63" s="408"/>
      <c r="DT63" s="408"/>
      <c r="DU63" s="408"/>
      <c r="DV63" s="408"/>
      <c r="DW63" s="408"/>
      <c r="DX63" s="408"/>
      <c r="DY63" s="408"/>
      <c r="DZ63" s="408"/>
      <c r="EA63" s="408"/>
      <c r="EB63" s="408"/>
      <c r="EC63" s="408"/>
      <c r="ED63" s="408"/>
      <c r="EE63" s="408"/>
      <c r="EF63" s="408"/>
      <c r="EG63" s="408"/>
      <c r="EH63" s="408"/>
      <c r="EI63" s="408"/>
      <c r="EJ63" s="408"/>
      <c r="EK63" s="408"/>
      <c r="EL63" s="408"/>
      <c r="EM63" s="408"/>
      <c r="EN63" s="408"/>
      <c r="EO63" s="408"/>
      <c r="EP63" s="408"/>
      <c r="EQ63" s="408"/>
      <c r="ER63" s="408"/>
      <c r="ES63" s="408"/>
      <c r="ET63" s="408"/>
      <c r="EU63" s="408"/>
      <c r="EV63" s="408">
        <v>240</v>
      </c>
      <c r="EW63" s="408"/>
      <c r="EX63" s="408"/>
      <c r="EY63" s="408"/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62</v>
      </c>
      <c r="B64" s="408" t="s">
        <v>1036</v>
      </c>
      <c r="C64" s="408" t="s">
        <v>2235</v>
      </c>
      <c r="D64" s="408" t="s">
        <v>1958</v>
      </c>
      <c r="E64" s="408" t="s">
        <v>2252</v>
      </c>
      <c r="F64" s="408" t="s">
        <v>1322</v>
      </c>
      <c r="G64" s="408" t="s">
        <v>1322</v>
      </c>
      <c r="H64" s="408" t="s">
        <v>1322</v>
      </c>
      <c r="I64" s="408" t="s">
        <v>1322</v>
      </c>
      <c r="J64" s="408" t="s">
        <v>2236</v>
      </c>
      <c r="K64" s="826">
        <v>44378</v>
      </c>
      <c r="L64" s="408">
        <v>0</v>
      </c>
      <c r="M64" s="408">
        <v>0</v>
      </c>
      <c r="N64" s="408">
        <v>7.0369999999999999</v>
      </c>
      <c r="O64" s="408">
        <v>7.0369999999999999</v>
      </c>
      <c r="P64" s="408">
        <v>7.0369999999999999</v>
      </c>
      <c r="Q64" s="408">
        <v>7.0369999999999999</v>
      </c>
      <c r="R64" s="408"/>
      <c r="S64" s="408">
        <v>368.24</v>
      </c>
      <c r="T64" s="408">
        <v>173.25</v>
      </c>
      <c r="U64" s="408"/>
      <c r="V64" s="408">
        <v>3810.46513</v>
      </c>
      <c r="W64" s="408">
        <v>3810.46513</v>
      </c>
      <c r="X64" s="408">
        <v>3581.0589300000001</v>
      </c>
      <c r="Y64" s="408">
        <v>0</v>
      </c>
      <c r="Z64" s="408">
        <v>433.09345417396952</v>
      </c>
      <c r="AA64" s="408">
        <v>0</v>
      </c>
      <c r="AB64" s="408">
        <v>0</v>
      </c>
      <c r="AC64" s="408">
        <v>18.01146443666633</v>
      </c>
      <c r="AD64" s="408">
        <v>17.304978468114125</v>
      </c>
      <c r="AE64" s="408">
        <v>1657.4746134703937</v>
      </c>
      <c r="AF64" s="408">
        <v>1198.6858915088476</v>
      </c>
      <c r="AG64" s="408">
        <v>20.458202354418777</v>
      </c>
      <c r="AH64" s="408">
        <v>0</v>
      </c>
      <c r="AI64" s="408">
        <v>0</v>
      </c>
      <c r="AJ64" s="408">
        <v>0</v>
      </c>
      <c r="AK64" s="408">
        <v>0</v>
      </c>
      <c r="AL64" s="408">
        <v>66.915046061538902</v>
      </c>
      <c r="AM64" s="408"/>
      <c r="AN64" s="408">
        <v>8.4996876989704599</v>
      </c>
      <c r="AO64" s="408">
        <v>38.234804469486136</v>
      </c>
      <c r="AP64" s="408">
        <v>178.28325257659702</v>
      </c>
      <c r="AQ64" s="408">
        <v>0</v>
      </c>
      <c r="AR64" s="408">
        <v>0</v>
      </c>
      <c r="AS64" s="408">
        <v>0</v>
      </c>
      <c r="AT64" s="408">
        <v>0</v>
      </c>
      <c r="AU64" s="408">
        <v>0</v>
      </c>
      <c r="AV64" s="408">
        <v>0</v>
      </c>
      <c r="AW64" s="408">
        <v>0</v>
      </c>
      <c r="AX64" s="408">
        <v>0</v>
      </c>
      <c r="AY64" s="408">
        <v>0</v>
      </c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>
        <v>0</v>
      </c>
      <c r="BG64" s="408">
        <v>62.909315072778192</v>
      </c>
      <c r="BH64" s="408">
        <v>0</v>
      </c>
      <c r="BI64" s="408">
        <v>2.76</v>
      </c>
      <c r="BJ64" s="408">
        <v>23.95</v>
      </c>
      <c r="BK64" s="408">
        <v>1710.04</v>
      </c>
      <c r="BL64" s="408">
        <v>5</v>
      </c>
      <c r="BM64" s="408"/>
      <c r="BN64" s="408"/>
      <c r="BO64" s="408"/>
      <c r="BP64" s="408"/>
      <c r="BQ64" s="408"/>
      <c r="BR64" s="408"/>
      <c r="BS64" s="408"/>
      <c r="BT64" s="408"/>
      <c r="BU64" s="408"/>
      <c r="BV64" s="408">
        <v>1261.5952065816257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3582.5856000000003</v>
      </c>
      <c r="CJ64" s="408">
        <v>-227.90953000000036</v>
      </c>
      <c r="CK64" s="408"/>
      <c r="CL64" s="408"/>
      <c r="CM64" s="408"/>
      <c r="CN64" s="408"/>
      <c r="CO64" s="408">
        <v>-381.33502999999996</v>
      </c>
      <c r="CP64" s="408">
        <v>151.92883000000003</v>
      </c>
      <c r="CQ64" s="408">
        <v>31</v>
      </c>
      <c r="CR64" s="408">
        <v>182.30891628882273</v>
      </c>
      <c r="CS64" s="408">
        <v>3.8100165406834492</v>
      </c>
      <c r="CT64" s="408">
        <v>17.765545049034671</v>
      </c>
      <c r="CU64" s="408">
        <v>0</v>
      </c>
      <c r="CV64" s="408">
        <v>0</v>
      </c>
      <c r="CW64" s="408">
        <v>0</v>
      </c>
      <c r="CX64" s="408">
        <v>0</v>
      </c>
      <c r="CY64" s="408">
        <v>0</v>
      </c>
      <c r="CZ64" s="408">
        <v>17.818394041718083</v>
      </c>
      <c r="DA64" s="408">
        <v>0</v>
      </c>
      <c r="DB64" s="408">
        <v>0</v>
      </c>
      <c r="DC64" s="408">
        <v>151.91167635651641</v>
      </c>
      <c r="DD64" s="408">
        <v>0</v>
      </c>
      <c r="DE64" s="408">
        <v>0</v>
      </c>
      <c r="DF64" s="408">
        <v>0</v>
      </c>
      <c r="DG64" s="408">
        <v>7.9726136587098821</v>
      </c>
      <c r="DH64" s="408">
        <v>0</v>
      </c>
      <c r="DI64" s="408">
        <v>-14.706483219393931</v>
      </c>
      <c r="DJ64" s="408"/>
      <c r="DK64" s="408">
        <v>0</v>
      </c>
      <c r="DL64" s="408">
        <v>0</v>
      </c>
      <c r="DM64" s="408">
        <v>0</v>
      </c>
      <c r="DN64" s="408">
        <v>0</v>
      </c>
      <c r="DO64" s="408">
        <v>-2.022377819968753</v>
      </c>
      <c r="DP64" s="408">
        <v>-0.24046831847687322</v>
      </c>
      <c r="DQ64" s="408">
        <v>0</v>
      </c>
      <c r="DR64" s="408">
        <v>0</v>
      </c>
      <c r="DS64" s="408"/>
      <c r="DT64" s="408"/>
      <c r="DU64" s="408"/>
      <c r="DV64" s="408">
        <v>1657.4746134703937</v>
      </c>
      <c r="DW64" s="408">
        <v>0</v>
      </c>
      <c r="DX64" s="408">
        <v>0</v>
      </c>
      <c r="DY64" s="408">
        <v>-381.33503000000019</v>
      </c>
      <c r="DZ64" s="408">
        <v>151.92883000000006</v>
      </c>
      <c r="EA64" s="408">
        <v>0</v>
      </c>
      <c r="EB64" s="408">
        <v>0</v>
      </c>
      <c r="EC64" s="408">
        <v>-411.7448090087812</v>
      </c>
      <c r="ED64" s="408">
        <v>0</v>
      </c>
      <c r="EE64" s="408">
        <v>0</v>
      </c>
      <c r="EF64" s="408">
        <v>0</v>
      </c>
      <c r="EG64" s="408">
        <v>0</v>
      </c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>
        <v>0</v>
      </c>
      <c r="EN64" s="408">
        <v>0</v>
      </c>
      <c r="EO64" s="408">
        <v>0</v>
      </c>
      <c r="EP64" s="408">
        <v>110.60434394297506</v>
      </c>
      <c r="EQ64" s="408">
        <v>0</v>
      </c>
      <c r="ER64" s="408">
        <v>0</v>
      </c>
      <c r="ES64" s="408">
        <v>0</v>
      </c>
      <c r="ET64" s="408">
        <v>0</v>
      </c>
      <c r="EU64" s="408">
        <v>0</v>
      </c>
      <c r="EV64" s="408">
        <v>240</v>
      </c>
      <c r="EW64" s="408">
        <v>0</v>
      </c>
      <c r="EX64" s="408">
        <v>0</v>
      </c>
      <c r="EY64" s="408">
        <v>0</v>
      </c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63</v>
      </c>
      <c r="B65" s="408" t="s">
        <v>2238</v>
      </c>
      <c r="C65" s="408" t="s">
        <v>2235</v>
      </c>
      <c r="D65" s="408" t="s">
        <v>1958</v>
      </c>
      <c r="E65" s="408" t="s">
        <v>2252</v>
      </c>
      <c r="F65" s="408" t="s">
        <v>1322</v>
      </c>
      <c r="G65" s="408" t="s">
        <v>1322</v>
      </c>
      <c r="H65" s="408" t="s">
        <v>1322</v>
      </c>
      <c r="I65" s="408" t="s">
        <v>1322</v>
      </c>
      <c r="J65" s="408" t="s">
        <v>2236</v>
      </c>
      <c r="K65" s="826">
        <v>44378</v>
      </c>
      <c r="L65" s="408">
        <v>0</v>
      </c>
      <c r="M65" s="408">
        <v>0</v>
      </c>
      <c r="N65" s="408">
        <v>1.81</v>
      </c>
      <c r="O65" s="408">
        <v>1.81</v>
      </c>
      <c r="P65" s="408">
        <v>1.81</v>
      </c>
      <c r="Q65" s="408">
        <v>1.81</v>
      </c>
      <c r="R65" s="408"/>
      <c r="S65" s="408">
        <v>368.24</v>
      </c>
      <c r="T65" s="408">
        <v>173.25</v>
      </c>
      <c r="U65" s="408"/>
      <c r="V65" s="408">
        <v>980.09690000000001</v>
      </c>
      <c r="W65" s="408">
        <v>980.09690000000001</v>
      </c>
      <c r="X65" s="408">
        <v>921.09090000000015</v>
      </c>
      <c r="Y65" s="408">
        <v>0</v>
      </c>
      <c r="Z65" s="408">
        <v>111.39678159086043</v>
      </c>
      <c r="AA65" s="408">
        <v>0</v>
      </c>
      <c r="AB65" s="408">
        <v>0</v>
      </c>
      <c r="AC65" s="408">
        <v>4.6327626304342839</v>
      </c>
      <c r="AD65" s="408">
        <v>4.4510460462251773</v>
      </c>
      <c r="AE65" s="408">
        <v>426.32216148662962</v>
      </c>
      <c r="AF65" s="408">
        <v>308.31625175941656</v>
      </c>
      <c r="AG65" s="408">
        <v>5.2620926902796628</v>
      </c>
      <c r="AH65" s="408">
        <v>0</v>
      </c>
      <c r="AI65" s="408">
        <v>0</v>
      </c>
      <c r="AJ65" s="408">
        <v>0</v>
      </c>
      <c r="AK65" s="408">
        <v>0</v>
      </c>
      <c r="AL65" s="408">
        <v>17.211344801958994</v>
      </c>
      <c r="AM65" s="408"/>
      <c r="AN65" s="408">
        <v>2.1862206529965231</v>
      </c>
      <c r="AO65" s="408">
        <v>9.8344459414196255</v>
      </c>
      <c r="AP65" s="408">
        <v>45.856570578888814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0</v>
      </c>
      <c r="BF65" s="408">
        <v>0</v>
      </c>
      <c r="BG65" s="408">
        <v>16.181023203315124</v>
      </c>
      <c r="BH65" s="408">
        <v>0</v>
      </c>
      <c r="BI65" s="408">
        <v>0.73</v>
      </c>
      <c r="BJ65" s="408">
        <v>6.29</v>
      </c>
      <c r="BK65" s="408">
        <v>560.72</v>
      </c>
      <c r="BL65" s="408">
        <v>1</v>
      </c>
      <c r="BM65" s="408"/>
      <c r="BN65" s="408"/>
      <c r="BO65" s="408"/>
      <c r="BP65" s="408"/>
      <c r="BQ65" s="408"/>
      <c r="BR65" s="408"/>
      <c r="BS65" s="408"/>
      <c r="BT65" s="408"/>
      <c r="BU65" s="408"/>
      <c r="BV65" s="408">
        <v>324.49727496273169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921.09090000000015</v>
      </c>
      <c r="CJ65" s="408">
        <v>-59.035999999999831</v>
      </c>
      <c r="CK65" s="408"/>
      <c r="CL65" s="408"/>
      <c r="CM65" s="408"/>
      <c r="CN65" s="408"/>
      <c r="CO65" s="408">
        <v>-98.0839</v>
      </c>
      <c r="CP65" s="408">
        <v>39.077900000000007</v>
      </c>
      <c r="CQ65" s="408">
        <v>31</v>
      </c>
      <c r="CR65" s="408">
        <v>46.892019110809883</v>
      </c>
      <c r="CS65" s="408">
        <v>0.97998151749851559</v>
      </c>
      <c r="CT65" s="408">
        <v>4.5695092423977286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4.5831026311652314</v>
      </c>
      <c r="DA65" s="408">
        <v>0</v>
      </c>
      <c r="DB65" s="408">
        <v>0</v>
      </c>
      <c r="DC65" s="408">
        <v>39.073487879109678</v>
      </c>
      <c r="DD65" s="408">
        <v>0</v>
      </c>
      <c r="DE65" s="408">
        <v>0</v>
      </c>
      <c r="DF65" s="408">
        <v>0</v>
      </c>
      <c r="DG65" s="408">
        <v>2.0506509481689505</v>
      </c>
      <c r="DH65" s="408">
        <v>0</v>
      </c>
      <c r="DI65" s="408">
        <v>-3.782682197968299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-0.52017960127091811</v>
      </c>
      <c r="DP65" s="408">
        <v>-6.18513082909109E-2</v>
      </c>
      <c r="DQ65" s="408">
        <v>0</v>
      </c>
      <c r="DR65" s="408">
        <v>0</v>
      </c>
      <c r="DS65" s="408"/>
      <c r="DT65" s="408"/>
      <c r="DU65" s="408"/>
      <c r="DV65" s="408">
        <v>426.32216148662962</v>
      </c>
      <c r="DW65" s="408">
        <v>0</v>
      </c>
      <c r="DX65" s="408">
        <v>0</v>
      </c>
      <c r="DY65" s="408">
        <v>-98.083899999999971</v>
      </c>
      <c r="DZ65" s="408">
        <v>39.077900000000056</v>
      </c>
      <c r="EA65" s="408">
        <v>0</v>
      </c>
      <c r="EB65" s="408">
        <v>0</v>
      </c>
      <c r="EC65" s="408">
        <v>-105.90565643113456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28.448751248654947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240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64</v>
      </c>
      <c r="B66" s="408" t="s">
        <v>1036</v>
      </c>
      <c r="C66" s="408" t="s">
        <v>2235</v>
      </c>
      <c r="D66" s="408" t="s">
        <v>2245</v>
      </c>
      <c r="E66" s="408" t="s">
        <v>974</v>
      </c>
      <c r="F66" s="408" t="s">
        <v>2253</v>
      </c>
      <c r="G66" s="408" t="s">
        <v>2254</v>
      </c>
      <c r="H66" s="408" t="s">
        <v>1322</v>
      </c>
      <c r="I66" s="408" t="s">
        <v>1322</v>
      </c>
      <c r="J66" s="408" t="s">
        <v>2236</v>
      </c>
      <c r="K66" s="826">
        <v>44378</v>
      </c>
      <c r="L66" s="408">
        <v>0</v>
      </c>
      <c r="M66" s="408">
        <v>0</v>
      </c>
      <c r="N66" s="408">
        <v>0</v>
      </c>
      <c r="O66" s="408">
        <v>0</v>
      </c>
      <c r="P66" s="408">
        <v>0</v>
      </c>
      <c r="Q66" s="408">
        <v>0</v>
      </c>
      <c r="R66" s="408"/>
      <c r="S66" s="408"/>
      <c r="T66" s="408"/>
      <c r="U66" s="408"/>
      <c r="V66" s="408"/>
      <c r="W66" s="408"/>
      <c r="X66" s="408"/>
      <c r="Y66" s="408"/>
      <c r="Z66" s="408"/>
      <c r="AA66" s="408">
        <v>0</v>
      </c>
      <c r="AB66" s="408"/>
      <c r="AC66" s="408"/>
      <c r="AD66" s="408"/>
      <c r="AE66" s="408"/>
      <c r="AF66" s="408"/>
      <c r="AG66" s="408"/>
      <c r="AH66" s="408"/>
      <c r="AI66" s="408"/>
      <c r="AJ66" s="408"/>
      <c r="AK66" s="408"/>
      <c r="AL66" s="408"/>
      <c r="AM66" s="408"/>
      <c r="AN66" s="408"/>
      <c r="AO66" s="408"/>
      <c r="AP66" s="408"/>
      <c r="AQ66" s="408"/>
      <c r="AR66" s="408"/>
      <c r="AS66" s="408"/>
      <c r="AT66" s="408"/>
      <c r="AU66" s="408"/>
      <c r="AV66" s="408"/>
      <c r="AW66" s="408"/>
      <c r="AX66" s="408"/>
      <c r="AY66" s="408"/>
      <c r="AZ66" s="408">
        <v>0</v>
      </c>
      <c r="BA66" s="408"/>
      <c r="BB66" s="408"/>
      <c r="BC66" s="408"/>
      <c r="BD66" s="408"/>
      <c r="BE66" s="408"/>
      <c r="BF66" s="408"/>
      <c r="BG66" s="408"/>
      <c r="BH66" s="408"/>
      <c r="BI66" s="408">
        <v>0.16</v>
      </c>
      <c r="BJ66" s="408">
        <v>1.52</v>
      </c>
      <c r="BK66" s="408">
        <v>30.5</v>
      </c>
      <c r="BL66" s="408">
        <v>4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/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/>
      <c r="CJ66" s="408">
        <v>-0.03</v>
      </c>
      <c r="CK66" s="408"/>
      <c r="CL66" s="408"/>
      <c r="CM66" s="408"/>
      <c r="CN66" s="408"/>
      <c r="CO66" s="408">
        <v>0</v>
      </c>
      <c r="CP66" s="408">
        <v>0</v>
      </c>
      <c r="CQ66" s="408">
        <v>31</v>
      </c>
      <c r="CR66" s="408"/>
      <c r="CS66" s="408"/>
      <c r="CT66" s="408"/>
      <c r="CU66" s="408"/>
      <c r="CV66" s="408"/>
      <c r="CW66" s="408"/>
      <c r="CX66" s="408"/>
      <c r="CY66" s="408"/>
      <c r="CZ66" s="408"/>
      <c r="DA66" s="408"/>
      <c r="DB66" s="408"/>
      <c r="DC66" s="408"/>
      <c r="DD66" s="408"/>
      <c r="DE66" s="408"/>
      <c r="DF66" s="408"/>
      <c r="DG66" s="408"/>
      <c r="DH66" s="408"/>
      <c r="DI66" s="408"/>
      <c r="DJ66" s="408"/>
      <c r="DK66" s="408">
        <v>0</v>
      </c>
      <c r="DL66" s="408"/>
      <c r="DM66" s="408"/>
      <c r="DN66" s="408"/>
      <c r="DO66" s="408"/>
      <c r="DP66" s="408"/>
      <c r="DQ66" s="408"/>
      <c r="DR66" s="408"/>
      <c r="DS66" s="408"/>
      <c r="DT66" s="408"/>
      <c r="DU66" s="408"/>
      <c r="DV66" s="408"/>
      <c r="DW66" s="408"/>
      <c r="DX66" s="408"/>
      <c r="DY66" s="408"/>
      <c r="DZ66" s="408"/>
      <c r="EA66" s="408"/>
      <c r="EB66" s="408"/>
      <c r="EC66" s="408"/>
      <c r="ED66" s="408"/>
      <c r="EE66" s="408"/>
      <c r="EF66" s="408"/>
      <c r="EG66" s="408"/>
      <c r="EH66" s="408"/>
      <c r="EI66" s="408"/>
      <c r="EJ66" s="408"/>
      <c r="EK66" s="408"/>
      <c r="EL66" s="408"/>
      <c r="EM66" s="408"/>
      <c r="EN66" s="408"/>
      <c r="EO66" s="408"/>
      <c r="EP66" s="408"/>
      <c r="EQ66" s="408"/>
      <c r="ER66" s="408"/>
      <c r="ES66" s="408"/>
      <c r="ET66" s="408"/>
      <c r="EU66" s="408"/>
      <c r="EV66" s="408">
        <v>240</v>
      </c>
      <c r="EW66" s="408"/>
      <c r="EX66" s="408"/>
      <c r="EY66" s="408"/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65</v>
      </c>
      <c r="B67" s="408" t="s">
        <v>1036</v>
      </c>
      <c r="C67" s="408" t="s">
        <v>2235</v>
      </c>
      <c r="D67" s="408" t="s">
        <v>2245</v>
      </c>
      <c r="E67" s="408" t="s">
        <v>974</v>
      </c>
      <c r="F67" s="408" t="s">
        <v>2253</v>
      </c>
      <c r="G67" s="408" t="s">
        <v>2254</v>
      </c>
      <c r="H67" s="408" t="s">
        <v>1322</v>
      </c>
      <c r="I67" s="408" t="s">
        <v>1322</v>
      </c>
      <c r="J67" s="408" t="s">
        <v>2236</v>
      </c>
      <c r="K67" s="826">
        <v>44378</v>
      </c>
      <c r="L67" s="408">
        <v>0</v>
      </c>
      <c r="M67" s="408">
        <v>0</v>
      </c>
      <c r="N67" s="408">
        <v>0.43</v>
      </c>
      <c r="O67" s="408">
        <v>0.43</v>
      </c>
      <c r="P67" s="408">
        <v>0.43</v>
      </c>
      <c r="Q67" s="408">
        <v>0.43</v>
      </c>
      <c r="R67" s="408"/>
      <c r="S67" s="408">
        <v>368.24</v>
      </c>
      <c r="T67" s="408">
        <v>173.25</v>
      </c>
      <c r="U67" s="408"/>
      <c r="V67" s="408">
        <v>232.8407</v>
      </c>
      <c r="W67" s="408">
        <v>232.8407</v>
      </c>
      <c r="X67" s="408">
        <v>218.8227</v>
      </c>
      <c r="Y67" s="408">
        <v>0</v>
      </c>
      <c r="Z67" s="408">
        <v>26.464428775729271</v>
      </c>
      <c r="AA67" s="408">
        <v>0</v>
      </c>
      <c r="AB67" s="408">
        <v>0</v>
      </c>
      <c r="AC67" s="408">
        <v>1.1006010668987525</v>
      </c>
      <c r="AD67" s="408">
        <v>1.0574308286612299</v>
      </c>
      <c r="AE67" s="408">
        <v>101.28095549129874</v>
      </c>
      <c r="AF67" s="408">
        <v>73.246402351684594</v>
      </c>
      <c r="AG67" s="408">
        <v>1.2501104181327376</v>
      </c>
      <c r="AH67" s="408">
        <v>0</v>
      </c>
      <c r="AI67" s="408">
        <v>0</v>
      </c>
      <c r="AJ67" s="408">
        <v>0</v>
      </c>
      <c r="AK67" s="408">
        <v>0</v>
      </c>
      <c r="AL67" s="408">
        <v>4.0888830192499261</v>
      </c>
      <c r="AM67" s="408"/>
      <c r="AN67" s="408">
        <v>0.51937838717596951</v>
      </c>
      <c r="AO67" s="408">
        <v>2.3363600855306292</v>
      </c>
      <c r="AP67" s="408">
        <v>10.894102402719442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>
        <v>0</v>
      </c>
      <c r="BG67" s="408">
        <v>3.8441104847654715</v>
      </c>
      <c r="BH67" s="408">
        <v>0</v>
      </c>
      <c r="BI67" s="408">
        <v>0</v>
      </c>
      <c r="BJ67" s="408">
        <v>0</v>
      </c>
      <c r="BK67" s="408">
        <v>0</v>
      </c>
      <c r="BL67" s="408">
        <v>0</v>
      </c>
      <c r="BM67" s="408"/>
      <c r="BN67" s="408"/>
      <c r="BO67" s="408"/>
      <c r="BP67" s="408"/>
      <c r="BQ67" s="408"/>
      <c r="BR67" s="408">
        <v>26.255800000000001</v>
      </c>
      <c r="BS67" s="408"/>
      <c r="BT67" s="408"/>
      <c r="BU67" s="408"/>
      <c r="BV67" s="408">
        <v>77.09051283645006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192.5669</v>
      </c>
      <c r="CJ67" s="408">
        <v>-12.362399999999951</v>
      </c>
      <c r="CK67" s="408"/>
      <c r="CL67" s="408"/>
      <c r="CM67" s="408"/>
      <c r="CN67" s="408"/>
      <c r="CO67" s="408">
        <v>-23.3017</v>
      </c>
      <c r="CP67" s="408">
        <v>9.2837000000000014</v>
      </c>
      <c r="CQ67" s="408">
        <v>31</v>
      </c>
      <c r="CR67" s="408">
        <v>11.14009293792725</v>
      </c>
      <c r="CS67" s="408">
        <v>0.23281328868749229</v>
      </c>
      <c r="CT67" s="408">
        <v>1.0855740189121672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1.0888033875143917</v>
      </c>
      <c r="DA67" s="408">
        <v>0</v>
      </c>
      <c r="DB67" s="408">
        <v>0</v>
      </c>
      <c r="DC67" s="408">
        <v>9.2826518165840639</v>
      </c>
      <c r="DD67" s="408">
        <v>0</v>
      </c>
      <c r="DE67" s="408">
        <v>0</v>
      </c>
      <c r="DF67" s="408">
        <v>0</v>
      </c>
      <c r="DG67" s="408">
        <v>0.48717121973074518</v>
      </c>
      <c r="DH67" s="408">
        <v>0</v>
      </c>
      <c r="DI67" s="408">
        <v>-0.89864825697589268</v>
      </c>
      <c r="DJ67" s="408"/>
      <c r="DK67" s="408">
        <v>0</v>
      </c>
      <c r="DL67" s="408">
        <v>0</v>
      </c>
      <c r="DM67" s="408">
        <v>0</v>
      </c>
      <c r="DN67" s="408">
        <v>0</v>
      </c>
      <c r="DO67" s="408">
        <v>-0.12357857930745553</v>
      </c>
      <c r="DP67" s="408">
        <v>-1.4693957218282594E-2</v>
      </c>
      <c r="DQ67" s="408">
        <v>0</v>
      </c>
      <c r="DR67" s="408">
        <v>0</v>
      </c>
      <c r="DS67" s="408"/>
      <c r="DT67" s="408"/>
      <c r="DU67" s="408"/>
      <c r="DV67" s="408">
        <v>101.28095549129874</v>
      </c>
      <c r="DW67" s="408">
        <v>0</v>
      </c>
      <c r="DX67" s="408">
        <v>0</v>
      </c>
      <c r="DY67" s="408">
        <v>-23.301699999999983</v>
      </c>
      <c r="DZ67" s="408">
        <v>9.2836999999999961</v>
      </c>
      <c r="EA67" s="408">
        <v>0</v>
      </c>
      <c r="EB67" s="408">
        <v>0</v>
      </c>
      <c r="EC67" s="408">
        <v>-25.159907328943575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6.7585431143213412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240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66</v>
      </c>
      <c r="B68" s="408" t="s">
        <v>1036</v>
      </c>
      <c r="C68" s="408" t="s">
        <v>2235</v>
      </c>
      <c r="D68" s="408" t="s">
        <v>2245</v>
      </c>
      <c r="E68" s="408" t="s">
        <v>974</v>
      </c>
      <c r="F68" s="408" t="s">
        <v>2253</v>
      </c>
      <c r="G68" s="408" t="s">
        <v>2255</v>
      </c>
      <c r="H68" s="408" t="s">
        <v>1322</v>
      </c>
      <c r="I68" s="408" t="s">
        <v>1322</v>
      </c>
      <c r="J68" s="408" t="s">
        <v>2236</v>
      </c>
      <c r="K68" s="826">
        <v>44378</v>
      </c>
      <c r="L68" s="408">
        <v>0</v>
      </c>
      <c r="M68" s="408">
        <v>0</v>
      </c>
      <c r="N68" s="408">
        <v>0.26600000000000001</v>
      </c>
      <c r="O68" s="408">
        <v>0.10639999999999999</v>
      </c>
      <c r="P68" s="408">
        <v>0.26600000000000001</v>
      </c>
      <c r="Q68" s="408">
        <v>0.10639999999999999</v>
      </c>
      <c r="R68" s="408"/>
      <c r="S68" s="408">
        <v>368.24</v>
      </c>
      <c r="T68" s="408">
        <v>173.25</v>
      </c>
      <c r="U68" s="408"/>
      <c r="V68" s="408">
        <v>144.03634</v>
      </c>
      <c r="W68" s="408">
        <v>144.03634</v>
      </c>
      <c r="X68" s="408">
        <v>135.36474000000001</v>
      </c>
      <c r="Y68" s="408">
        <v>0</v>
      </c>
      <c r="Z68" s="408">
        <v>16.371018731032528</v>
      </c>
      <c r="AA68" s="408">
        <v>0</v>
      </c>
      <c r="AB68" s="408">
        <v>0</v>
      </c>
      <c r="AC68" s="408">
        <v>0.68083693905829812</v>
      </c>
      <c r="AD68" s="408">
        <v>0.65413162889276089</v>
      </c>
      <c r="AE68" s="408">
        <v>62.652870141128993</v>
      </c>
      <c r="AF68" s="408">
        <v>45.310565175693263</v>
      </c>
      <c r="AG68" s="408">
        <v>0.77332411912397259</v>
      </c>
      <c r="AH68" s="408">
        <v>0</v>
      </c>
      <c r="AI68" s="408">
        <v>0</v>
      </c>
      <c r="AJ68" s="408">
        <v>0</v>
      </c>
      <c r="AK68" s="408">
        <v>0</v>
      </c>
      <c r="AL68" s="408">
        <v>2.5294020537685591</v>
      </c>
      <c r="AM68" s="408"/>
      <c r="AN68" s="408">
        <v>0.32128988602048353</v>
      </c>
      <c r="AO68" s="408">
        <v>1.4452832157003428</v>
      </c>
      <c r="AP68" s="408">
        <v>6.739142416565981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0</v>
      </c>
      <c r="BE68" s="408">
        <v>0</v>
      </c>
      <c r="BF68" s="408">
        <v>0</v>
      </c>
      <c r="BG68" s="408">
        <v>2.3779846254595709</v>
      </c>
      <c r="BH68" s="408">
        <v>0</v>
      </c>
      <c r="BI68" s="408">
        <v>0</v>
      </c>
      <c r="BJ68" s="408">
        <v>0</v>
      </c>
      <c r="BK68" s="408">
        <v>0</v>
      </c>
      <c r="BL68" s="408">
        <v>0</v>
      </c>
      <c r="BM68" s="408"/>
      <c r="BN68" s="408"/>
      <c r="BO68" s="408"/>
      <c r="BP68" s="408"/>
      <c r="BQ68" s="408"/>
      <c r="BR68" s="408"/>
      <c r="BS68" s="408">
        <v>87.715628000000009</v>
      </c>
      <c r="BT68" s="408"/>
      <c r="BU68" s="408"/>
      <c r="BV68" s="408">
        <v>47.688549801152831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49.261300000000006</v>
      </c>
      <c r="CJ68" s="408">
        <v>-1.4693639999999917</v>
      </c>
      <c r="CK68" s="408"/>
      <c r="CL68" s="408"/>
      <c r="CM68" s="408"/>
      <c r="CN68" s="408"/>
      <c r="CO68" s="408">
        <v>-14.414540000000001</v>
      </c>
      <c r="CP68" s="408">
        <v>5.7429400000000008</v>
      </c>
      <c r="CQ68" s="408">
        <v>31</v>
      </c>
      <c r="CR68" s="408">
        <v>6.8913133057875342</v>
      </c>
      <c r="CS68" s="408">
        <v>0.14401938323458841</v>
      </c>
      <c r="CT68" s="408">
        <v>0.67154113728054909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0.67353883971820527</v>
      </c>
      <c r="DA68" s="408">
        <v>0</v>
      </c>
      <c r="DB68" s="408">
        <v>0</v>
      </c>
      <c r="DC68" s="408">
        <v>5.7422915888636297</v>
      </c>
      <c r="DD68" s="408">
        <v>0</v>
      </c>
      <c r="DE68" s="408">
        <v>0</v>
      </c>
      <c r="DF68" s="408">
        <v>0</v>
      </c>
      <c r="DG68" s="408">
        <v>0.30136638243808855</v>
      </c>
      <c r="DH68" s="408">
        <v>0</v>
      </c>
      <c r="DI68" s="408">
        <v>-0.55590799152462367</v>
      </c>
      <c r="DJ68" s="408"/>
      <c r="DK68" s="408">
        <v>0</v>
      </c>
      <c r="DL68" s="408">
        <v>0</v>
      </c>
      <c r="DM68" s="408">
        <v>0</v>
      </c>
      <c r="DN68" s="408">
        <v>0</v>
      </c>
      <c r="DO68" s="408">
        <v>-7.6446283943681692E-2</v>
      </c>
      <c r="DP68" s="408">
        <v>-9.0897502792167684E-3</v>
      </c>
      <c r="DQ68" s="408">
        <v>0</v>
      </c>
      <c r="DR68" s="408">
        <v>0</v>
      </c>
      <c r="DS68" s="408"/>
      <c r="DT68" s="408"/>
      <c r="DU68" s="408"/>
      <c r="DV68" s="408">
        <v>62.652870141128993</v>
      </c>
      <c r="DW68" s="408">
        <v>0</v>
      </c>
      <c r="DX68" s="408">
        <v>0</v>
      </c>
      <c r="DY68" s="408">
        <v>-14.414540000000002</v>
      </c>
      <c r="DZ68" s="408">
        <v>5.7429399999999973</v>
      </c>
      <c r="EA68" s="408">
        <v>0</v>
      </c>
      <c r="EB68" s="408">
        <v>0</v>
      </c>
      <c r="EC68" s="408">
        <v>-15.564035696509279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4.1808662056034347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240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67</v>
      </c>
      <c r="B69" s="408" t="s">
        <v>1036</v>
      </c>
      <c r="C69" s="408" t="s">
        <v>2235</v>
      </c>
      <c r="D69" s="408" t="s">
        <v>1955</v>
      </c>
      <c r="E69" s="408" t="s">
        <v>969</v>
      </c>
      <c r="F69" s="408" t="s">
        <v>969</v>
      </c>
      <c r="G69" s="408" t="s">
        <v>1322</v>
      </c>
      <c r="H69" s="408" t="s">
        <v>1322</v>
      </c>
      <c r="I69" s="408" t="s">
        <v>1322</v>
      </c>
      <c r="J69" s="408" t="s">
        <v>2236</v>
      </c>
      <c r="K69" s="826">
        <v>44409</v>
      </c>
      <c r="L69" s="408">
        <v>0</v>
      </c>
      <c r="M69" s="408">
        <v>0</v>
      </c>
      <c r="N69" s="408">
        <v>9162.2039999999997</v>
      </c>
      <c r="O69" s="408">
        <v>9162.2039999999997</v>
      </c>
      <c r="P69" s="408">
        <v>9162.2039999999997</v>
      </c>
      <c r="Q69" s="408">
        <v>9162.2039999999997</v>
      </c>
      <c r="R69" s="408"/>
      <c r="S69" s="408">
        <v>368.24</v>
      </c>
      <c r="T69" s="408">
        <v>173.25</v>
      </c>
      <c r="U69" s="408"/>
      <c r="V69" s="408">
        <v>4961241.8439600002</v>
      </c>
      <c r="W69" s="408">
        <v>4961241.8439600002</v>
      </c>
      <c r="X69" s="408">
        <v>4662553.9935599994</v>
      </c>
      <c r="Y69" s="408">
        <v>0</v>
      </c>
      <c r="Z69" s="408">
        <v>563889.52369000425</v>
      </c>
      <c r="AA69" s="408">
        <v>0</v>
      </c>
      <c r="AB69" s="408">
        <v>0</v>
      </c>
      <c r="AC69" s="408">
        <v>23451.003482660508</v>
      </c>
      <c r="AD69" s="408">
        <v>22531.155739728452</v>
      </c>
      <c r="AE69" s="408">
        <v>2158039.0128516261</v>
      </c>
      <c r="AF69" s="408">
        <v>1560694.140958637</v>
      </c>
      <c r="AG69" s="408">
        <v>26636.666682459163</v>
      </c>
      <c r="AH69" s="408">
        <v>0</v>
      </c>
      <c r="AI69" s="408">
        <v>0</v>
      </c>
      <c r="AJ69" s="408">
        <v>0</v>
      </c>
      <c r="AK69" s="408">
        <v>0</v>
      </c>
      <c r="AL69" s="408">
        <v>87123.675243031976</v>
      </c>
      <c r="AM69" s="408"/>
      <c r="AN69" s="408">
        <v>11066.62961976097</v>
      </c>
      <c r="AO69" s="408">
        <v>49781.878421137379</v>
      </c>
      <c r="AP69" s="408">
        <v>232125.5549083853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0</v>
      </c>
      <c r="BF69" s="408">
        <v>0</v>
      </c>
      <c r="BG69" s="408">
        <v>81908.196418511958</v>
      </c>
      <c r="BH69" s="408">
        <v>0</v>
      </c>
      <c r="BI69" s="408">
        <v>3614.41</v>
      </c>
      <c r="BJ69" s="408">
        <v>32838.269999999997</v>
      </c>
      <c r="BK69" s="408">
        <v>2316694.7999999998</v>
      </c>
      <c r="BL69" s="408">
        <v>46262</v>
      </c>
      <c r="BM69" s="408"/>
      <c r="BN69" s="408"/>
      <c r="BO69" s="408"/>
      <c r="BP69" s="408"/>
      <c r="BQ69" s="408"/>
      <c r="BR69" s="408"/>
      <c r="BS69" s="408"/>
      <c r="BT69" s="408"/>
      <c r="BU69" s="408"/>
      <c r="BV69" s="408">
        <v>1642602.3373771489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4662551.9580000006</v>
      </c>
      <c r="CJ69" s="408">
        <v>-298689.91595999897</v>
      </c>
      <c r="CK69" s="408"/>
      <c r="CL69" s="408"/>
      <c r="CM69" s="408"/>
      <c r="CN69" s="408"/>
      <c r="CO69" s="408">
        <v>-496499.83475999994</v>
      </c>
      <c r="CP69" s="408">
        <v>197811.98436000003</v>
      </c>
      <c r="CQ69" s="408">
        <v>31</v>
      </c>
      <c r="CR69" s="408">
        <v>237366.9862238327</v>
      </c>
      <c r="CS69" s="408">
        <v>4960.6577787574424</v>
      </c>
      <c r="CT69" s="408">
        <v>23130.815391565411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23199.625005343976</v>
      </c>
      <c r="DA69" s="408">
        <v>0</v>
      </c>
      <c r="DB69" s="408">
        <v>0</v>
      </c>
      <c r="DC69" s="408">
        <v>197789.65024305531</v>
      </c>
      <c r="DD69" s="408">
        <v>0</v>
      </c>
      <c r="DE69" s="408">
        <v>0</v>
      </c>
      <c r="DF69" s="408">
        <v>0</v>
      </c>
      <c r="DG69" s="408">
        <v>10380.376972330021</v>
      </c>
      <c r="DH69" s="408">
        <v>0</v>
      </c>
      <c r="DI69" s="408">
        <v>-19147.903848040849</v>
      </c>
      <c r="DJ69" s="408"/>
      <c r="DK69" s="408">
        <v>0</v>
      </c>
      <c r="DL69" s="408">
        <v>0</v>
      </c>
      <c r="DM69" s="408">
        <v>0</v>
      </c>
      <c r="DN69" s="408">
        <v>0</v>
      </c>
      <c r="DO69" s="408">
        <v>-2633.1445433606714</v>
      </c>
      <c r="DP69" s="408">
        <v>-313.09077581669408</v>
      </c>
      <c r="DQ69" s="408">
        <v>0</v>
      </c>
      <c r="DR69" s="408">
        <v>0</v>
      </c>
      <c r="DS69" s="408"/>
      <c r="DT69" s="408"/>
      <c r="DU69" s="408"/>
      <c r="DV69" s="408">
        <v>2158039.0128516261</v>
      </c>
      <c r="DW69" s="408">
        <v>0</v>
      </c>
      <c r="DX69" s="408">
        <v>0</v>
      </c>
      <c r="DY69" s="408">
        <v>-496499.83476</v>
      </c>
      <c r="DZ69" s="408">
        <v>197811.98436000012</v>
      </c>
      <c r="EA69" s="408">
        <v>0</v>
      </c>
      <c r="EB69" s="408">
        <v>0</v>
      </c>
      <c r="EC69" s="408">
        <v>-536093.49667180469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144007.32734001731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240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68</v>
      </c>
      <c r="B70" s="408" t="s">
        <v>2237</v>
      </c>
      <c r="C70" s="408" t="s">
        <v>2235</v>
      </c>
      <c r="D70" s="408" t="s">
        <v>1955</v>
      </c>
      <c r="E70" s="408" t="s">
        <v>969</v>
      </c>
      <c r="F70" s="408" t="s">
        <v>969</v>
      </c>
      <c r="G70" s="408" t="s">
        <v>1322</v>
      </c>
      <c r="H70" s="408" t="s">
        <v>1322</v>
      </c>
      <c r="I70" s="408" t="s">
        <v>1322</v>
      </c>
      <c r="J70" s="408" t="s">
        <v>2236</v>
      </c>
      <c r="K70" s="826">
        <v>44409</v>
      </c>
      <c r="L70" s="408">
        <v>0</v>
      </c>
      <c r="M70" s="408">
        <v>0</v>
      </c>
      <c r="N70" s="408">
        <v>-2.7160000000000002</v>
      </c>
      <c r="O70" s="408">
        <v>-2.7160000000000002</v>
      </c>
      <c r="P70" s="408">
        <v>-2.7160000000000002</v>
      </c>
      <c r="Q70" s="408">
        <v>-2.7160000000000002</v>
      </c>
      <c r="R70" s="408"/>
      <c r="S70" s="408">
        <v>368.24</v>
      </c>
      <c r="T70" s="408">
        <v>173.25</v>
      </c>
      <c r="U70" s="408"/>
      <c r="V70" s="408">
        <v>-1470.6868400000001</v>
      </c>
      <c r="W70" s="408">
        <v>-1470.6868400000001</v>
      </c>
      <c r="X70" s="408">
        <v>-1382.1452400000003</v>
      </c>
      <c r="Y70" s="408">
        <v>0</v>
      </c>
      <c r="Z70" s="408">
        <v>-167.15671756949001</v>
      </c>
      <c r="AA70" s="408">
        <v>0</v>
      </c>
      <c r="AB70" s="408">
        <v>0</v>
      </c>
      <c r="AC70" s="408">
        <v>-6.9517034830163071</v>
      </c>
      <c r="AD70" s="408">
        <v>-6.6790282107997685</v>
      </c>
      <c r="AE70" s="408">
        <v>-639.71877933573819</v>
      </c>
      <c r="AF70" s="408">
        <v>-462.64471810971014</v>
      </c>
      <c r="AG70" s="408">
        <v>-7.8960462689500366</v>
      </c>
      <c r="AH70" s="408">
        <v>0</v>
      </c>
      <c r="AI70" s="408">
        <v>0</v>
      </c>
      <c r="AJ70" s="408">
        <v>0</v>
      </c>
      <c r="AK70" s="408">
        <v>0</v>
      </c>
      <c r="AL70" s="408">
        <v>-25.826526233215816</v>
      </c>
      <c r="AM70" s="408"/>
      <c r="AN70" s="408">
        <v>-3.2805388362091477</v>
      </c>
      <c r="AO70" s="408">
        <v>-14.757102307677185</v>
      </c>
      <c r="AP70" s="408">
        <v>-68.810190990200013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>
        <v>0</v>
      </c>
      <c r="BG70" s="408">
        <v>-24.280474596797724</v>
      </c>
      <c r="BH70" s="408">
        <v>0</v>
      </c>
      <c r="BI70" s="408">
        <v>-1.63</v>
      </c>
      <c r="BJ70" s="408">
        <v>-15.36</v>
      </c>
      <c r="BK70" s="408">
        <v>-686.54</v>
      </c>
      <c r="BL70" s="408">
        <v>0</v>
      </c>
      <c r="BM70" s="408"/>
      <c r="BN70" s="408"/>
      <c r="BO70" s="408"/>
      <c r="BP70" s="408"/>
      <c r="BQ70" s="408"/>
      <c r="BR70" s="408"/>
      <c r="BS70" s="408"/>
      <c r="BT70" s="408"/>
      <c r="BU70" s="408"/>
      <c r="BV70" s="408">
        <v>-486.92519270650786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-1384.1808000000001</v>
      </c>
      <c r="CJ70" s="408">
        <v>86.476040000000012</v>
      </c>
      <c r="CK70" s="408"/>
      <c r="CL70" s="408"/>
      <c r="CM70" s="408"/>
      <c r="CN70" s="408"/>
      <c r="CO70" s="408">
        <v>147.18003999999999</v>
      </c>
      <c r="CP70" s="408">
        <v>-58.63844000000001</v>
      </c>
      <c r="CQ70" s="408">
        <v>31</v>
      </c>
      <c r="CR70" s="408">
        <v>-70.363935859093885</v>
      </c>
      <c r="CS70" s="408">
        <v>-1.4705137025005346</v>
      </c>
      <c r="CT70" s="408">
        <v>-6.8567884543382434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-6.877186047649043</v>
      </c>
      <c r="DA70" s="408">
        <v>0</v>
      </c>
      <c r="DB70" s="408">
        <v>0</v>
      </c>
      <c r="DC70" s="408">
        <v>-58.63181938102872</v>
      </c>
      <c r="DD70" s="408">
        <v>0</v>
      </c>
      <c r="DE70" s="408">
        <v>0</v>
      </c>
      <c r="DF70" s="408">
        <v>0</v>
      </c>
      <c r="DG70" s="408">
        <v>-3.0771093785783776</v>
      </c>
      <c r="DH70" s="408">
        <v>0</v>
      </c>
      <c r="DI70" s="408">
        <v>5.6761131766198218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0.78055679395127697</v>
      </c>
      <c r="DP70" s="408">
        <v>9.2811134429897191E-2</v>
      </c>
      <c r="DQ70" s="408">
        <v>0</v>
      </c>
      <c r="DR70" s="408">
        <v>0</v>
      </c>
      <c r="DS70" s="408"/>
      <c r="DT70" s="408"/>
      <c r="DU70" s="408"/>
      <c r="DV70" s="408">
        <v>-639.71877933573819</v>
      </c>
      <c r="DW70" s="408">
        <v>0</v>
      </c>
      <c r="DX70" s="408">
        <v>0</v>
      </c>
      <c r="DY70" s="408">
        <v>147.18003999999996</v>
      </c>
      <c r="DZ70" s="408">
        <v>-58.63844000000006</v>
      </c>
      <c r="EA70" s="408">
        <v>0</v>
      </c>
      <c r="EB70" s="408">
        <v>0</v>
      </c>
      <c r="EC70" s="408">
        <v>158.9169960590948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-42.688844415108754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240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>
      <c r="A71" s="408">
        <v>69</v>
      </c>
      <c r="B71" s="408" t="s">
        <v>2238</v>
      </c>
      <c r="C71" s="408" t="s">
        <v>2235</v>
      </c>
      <c r="D71" s="408" t="s">
        <v>1955</v>
      </c>
      <c r="E71" s="408" t="s">
        <v>969</v>
      </c>
      <c r="F71" s="408" t="s">
        <v>969</v>
      </c>
      <c r="G71" s="408" t="s">
        <v>1322</v>
      </c>
      <c r="H71" s="408" t="s">
        <v>1322</v>
      </c>
      <c r="I71" s="408" t="s">
        <v>1322</v>
      </c>
      <c r="J71" s="408" t="s">
        <v>2236</v>
      </c>
      <c r="K71" s="826">
        <v>44409</v>
      </c>
      <c r="L71" s="408">
        <v>0</v>
      </c>
      <c r="M71" s="408">
        <v>0</v>
      </c>
      <c r="N71" s="408">
        <v>116.413</v>
      </c>
      <c r="O71" s="408">
        <v>116.413</v>
      </c>
      <c r="P71" s="408">
        <v>116.413</v>
      </c>
      <c r="Q71" s="408">
        <v>116.413</v>
      </c>
      <c r="R71" s="408"/>
      <c r="S71" s="408">
        <v>368.24</v>
      </c>
      <c r="T71" s="408">
        <v>173.25</v>
      </c>
      <c r="U71" s="408"/>
      <c r="V71" s="408">
        <v>63036.47537</v>
      </c>
      <c r="W71" s="408">
        <v>63036.47537</v>
      </c>
      <c r="X71" s="408">
        <v>59241.411569999997</v>
      </c>
      <c r="Y71" s="408">
        <v>0</v>
      </c>
      <c r="Z71" s="408">
        <v>7164.659411788306</v>
      </c>
      <c r="AA71" s="408">
        <v>0</v>
      </c>
      <c r="AB71" s="408">
        <v>0</v>
      </c>
      <c r="AC71" s="408">
        <v>297.96342325787089</v>
      </c>
      <c r="AD71" s="408">
        <v>286.27603501613896</v>
      </c>
      <c r="AE71" s="408">
        <v>27419.581096764094</v>
      </c>
      <c r="AF71" s="408">
        <v>19829.845202248041</v>
      </c>
      <c r="AG71" s="408">
        <v>338.43977699089857</v>
      </c>
      <c r="AH71" s="408">
        <v>0</v>
      </c>
      <c r="AI71" s="408">
        <v>0</v>
      </c>
      <c r="AJ71" s="408">
        <v>0</v>
      </c>
      <c r="AK71" s="408">
        <v>0</v>
      </c>
      <c r="AL71" s="408">
        <v>1106.974741674283</v>
      </c>
      <c r="AM71" s="408"/>
      <c r="AN71" s="408">
        <v>140.6102236891073</v>
      </c>
      <c r="AO71" s="408">
        <v>632.51787589971434</v>
      </c>
      <c r="AP71" s="408">
        <v>2949.3375418785545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</v>
      </c>
      <c r="BE71" s="408">
        <v>0</v>
      </c>
      <c r="BF71" s="408">
        <v>0</v>
      </c>
      <c r="BG71" s="408">
        <v>1040.7079857279136</v>
      </c>
      <c r="BH71" s="408">
        <v>0</v>
      </c>
      <c r="BI71" s="408">
        <v>46.06</v>
      </c>
      <c r="BJ71" s="408">
        <v>416.07</v>
      </c>
      <c r="BK71" s="408">
        <v>60025.09</v>
      </c>
      <c r="BL71" s="408">
        <v>830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>
        <v>20870.553187975955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59239.884900000005</v>
      </c>
      <c r="CJ71" s="408">
        <v>-3796.6204700000017</v>
      </c>
      <c r="CK71" s="408"/>
      <c r="CL71" s="408"/>
      <c r="CM71" s="408"/>
      <c r="CN71" s="408"/>
      <c r="CO71" s="408">
        <v>-6308.4204699999991</v>
      </c>
      <c r="CP71" s="408">
        <v>2513.3566700000001</v>
      </c>
      <c r="CQ71" s="408">
        <v>31</v>
      </c>
      <c r="CR71" s="408">
        <v>3015.9340446114511</v>
      </c>
      <c r="CS71" s="408">
        <v>63.02905436273727</v>
      </c>
      <c r="CT71" s="408">
        <v>293.89518200842303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294.76946221096023</v>
      </c>
      <c r="DA71" s="408">
        <v>0</v>
      </c>
      <c r="DB71" s="408">
        <v>0</v>
      </c>
      <c r="DC71" s="408">
        <v>2513.0728974976773</v>
      </c>
      <c r="DD71" s="408">
        <v>0</v>
      </c>
      <c r="DE71" s="408">
        <v>0</v>
      </c>
      <c r="DF71" s="408">
        <v>0</v>
      </c>
      <c r="DG71" s="408">
        <v>131.89084465701194</v>
      </c>
      <c r="DH71" s="408">
        <v>0</v>
      </c>
      <c r="DI71" s="408">
        <v>-243.28916171938363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-33.456170123067068</v>
      </c>
      <c r="DP71" s="408">
        <v>-3.9780642829114754</v>
      </c>
      <c r="DQ71" s="408">
        <v>0</v>
      </c>
      <c r="DR71" s="408">
        <v>0</v>
      </c>
      <c r="DS71" s="408"/>
      <c r="DT71" s="408"/>
      <c r="DU71" s="408"/>
      <c r="DV71" s="408">
        <v>27419.581096764094</v>
      </c>
      <c r="DW71" s="408">
        <v>0</v>
      </c>
      <c r="DX71" s="408">
        <v>0</v>
      </c>
      <c r="DY71" s="408">
        <v>-6308.4204699999973</v>
      </c>
      <c r="DZ71" s="408">
        <v>2513.3566699999974</v>
      </c>
      <c r="EA71" s="408">
        <v>0</v>
      </c>
      <c r="EB71" s="408">
        <v>0</v>
      </c>
      <c r="EC71" s="408">
        <v>-6811.4890508937387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1829.726231552303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240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>
      <c r="A72" s="408">
        <v>70</v>
      </c>
      <c r="B72" s="408" t="s">
        <v>2238</v>
      </c>
      <c r="C72" s="408" t="s">
        <v>2235</v>
      </c>
      <c r="D72" s="408" t="s">
        <v>1955</v>
      </c>
      <c r="E72" s="408" t="s">
        <v>969</v>
      </c>
      <c r="F72" s="408" t="s">
        <v>969</v>
      </c>
      <c r="G72" s="408" t="s">
        <v>1322</v>
      </c>
      <c r="H72" s="408" t="s">
        <v>1322</v>
      </c>
      <c r="I72" s="408" t="s">
        <v>1322</v>
      </c>
      <c r="J72" s="408" t="s">
        <v>2236</v>
      </c>
      <c r="K72" s="826">
        <v>44409</v>
      </c>
      <c r="L72" s="408">
        <v>0</v>
      </c>
      <c r="M72" s="408">
        <v>0</v>
      </c>
      <c r="N72" s="408">
        <v>-4.2999999999999997E-2</v>
      </c>
      <c r="O72" s="408">
        <v>-4.2999999999999997E-2</v>
      </c>
      <c r="P72" s="408">
        <v>-4.2999999999999997E-2</v>
      </c>
      <c r="Q72" s="408">
        <v>-4.2999999999999997E-2</v>
      </c>
      <c r="R72" s="408"/>
      <c r="S72" s="408">
        <v>368.24</v>
      </c>
      <c r="T72" s="408">
        <v>173.25</v>
      </c>
      <c r="U72" s="408"/>
      <c r="V72" s="408">
        <v>-23.28407</v>
      </c>
      <c r="W72" s="408">
        <v>-23.28407</v>
      </c>
      <c r="X72" s="408">
        <v>-21.882269999999998</v>
      </c>
      <c r="Y72" s="408">
        <v>0</v>
      </c>
      <c r="Z72" s="408">
        <v>-2.6464428775729267</v>
      </c>
      <c r="AA72" s="408">
        <v>0</v>
      </c>
      <c r="AB72" s="408">
        <v>0</v>
      </c>
      <c r="AC72" s="408">
        <v>-0.11006010668987525</v>
      </c>
      <c r="AD72" s="408">
        <v>-0.10574308286612298</v>
      </c>
      <c r="AE72" s="408">
        <v>-10.128095549129874</v>
      </c>
      <c r="AF72" s="408">
        <v>-7.3246402351684585</v>
      </c>
      <c r="AG72" s="408">
        <v>-0.12501104181327374</v>
      </c>
      <c r="AH72" s="408">
        <v>0</v>
      </c>
      <c r="AI72" s="408">
        <v>0</v>
      </c>
      <c r="AJ72" s="408">
        <v>0</v>
      </c>
      <c r="AK72" s="408">
        <v>0</v>
      </c>
      <c r="AL72" s="408">
        <v>-0.40888830192499259</v>
      </c>
      <c r="AM72" s="408"/>
      <c r="AN72" s="408">
        <v>-5.1937838717596954E-2</v>
      </c>
      <c r="AO72" s="408">
        <v>-0.23363600855306291</v>
      </c>
      <c r="AP72" s="408">
        <v>-1.0894102402719441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0</v>
      </c>
      <c r="BF72" s="408">
        <v>0</v>
      </c>
      <c r="BG72" s="408">
        <v>-0.38441104847654711</v>
      </c>
      <c r="BH72" s="408">
        <v>0</v>
      </c>
      <c r="BI72" s="408">
        <v>-0.02</v>
      </c>
      <c r="BJ72" s="408">
        <v>-0.15</v>
      </c>
      <c r="BK72" s="408">
        <v>-10.6</v>
      </c>
      <c r="BL72" s="408">
        <v>2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-7.7090512836450058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-20.355600000000003</v>
      </c>
      <c r="CJ72" s="408">
        <v>2.8984699999999961</v>
      </c>
      <c r="CK72" s="408"/>
      <c r="CL72" s="408"/>
      <c r="CM72" s="408"/>
      <c r="CN72" s="408"/>
      <c r="CO72" s="408">
        <v>2.3301699999999999</v>
      </c>
      <c r="CP72" s="408">
        <v>-0.92837000000000003</v>
      </c>
      <c r="CQ72" s="408">
        <v>31</v>
      </c>
      <c r="CR72" s="408">
        <v>-1.1140092937927228</v>
      </c>
      <c r="CS72" s="408">
        <v>-2.3281328868749257E-2</v>
      </c>
      <c r="CT72" s="408">
        <v>-0.10855740189121676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-0.10888033875143917</v>
      </c>
      <c r="DA72" s="408">
        <v>0</v>
      </c>
      <c r="DB72" s="408">
        <v>0</v>
      </c>
      <c r="DC72" s="408">
        <v>-0.92826518165840621</v>
      </c>
      <c r="DD72" s="408">
        <v>0</v>
      </c>
      <c r="DE72" s="408">
        <v>0</v>
      </c>
      <c r="DF72" s="408">
        <v>0</v>
      </c>
      <c r="DG72" s="408">
        <v>-4.8717121973074484E-2</v>
      </c>
      <c r="DH72" s="408">
        <v>0</v>
      </c>
      <c r="DI72" s="408">
        <v>8.9864825697589357E-2</v>
      </c>
      <c r="DJ72" s="408"/>
      <c r="DK72" s="408">
        <v>0</v>
      </c>
      <c r="DL72" s="408">
        <v>0</v>
      </c>
      <c r="DM72" s="408">
        <v>0</v>
      </c>
      <c r="DN72" s="408">
        <v>0</v>
      </c>
      <c r="DO72" s="408">
        <v>1.2357857930745564E-2</v>
      </c>
      <c r="DP72" s="408">
        <v>1.4693957218282691E-3</v>
      </c>
      <c r="DQ72" s="408">
        <v>0</v>
      </c>
      <c r="DR72" s="408">
        <v>0</v>
      </c>
      <c r="DS72" s="408"/>
      <c r="DT72" s="408"/>
      <c r="DU72" s="408"/>
      <c r="DV72" s="408">
        <v>-10.128095549129874</v>
      </c>
      <c r="DW72" s="408">
        <v>0</v>
      </c>
      <c r="DX72" s="408">
        <v>0</v>
      </c>
      <c r="DY72" s="408">
        <v>2.3301700000000007</v>
      </c>
      <c r="DZ72" s="408">
        <v>-0.92837000000000014</v>
      </c>
      <c r="EA72" s="408">
        <v>0</v>
      </c>
      <c r="EB72" s="408">
        <v>0</v>
      </c>
      <c r="EC72" s="408">
        <v>2.5159907328943572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-0.67585431143213404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240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>
      <c r="A73" s="408">
        <v>71</v>
      </c>
      <c r="B73" s="408" t="s">
        <v>1036</v>
      </c>
      <c r="C73" s="408" t="s">
        <v>2235</v>
      </c>
      <c r="D73" s="408" t="s">
        <v>1955</v>
      </c>
      <c r="E73" s="408" t="s">
        <v>969</v>
      </c>
      <c r="F73" s="408" t="s">
        <v>2239</v>
      </c>
      <c r="G73" s="408" t="s">
        <v>1322</v>
      </c>
      <c r="H73" s="408" t="s">
        <v>1322</v>
      </c>
      <c r="I73" s="408" t="s">
        <v>1322</v>
      </c>
      <c r="J73" s="408" t="s">
        <v>2236</v>
      </c>
      <c r="K73" s="826">
        <v>44409</v>
      </c>
      <c r="L73" s="408">
        <v>0</v>
      </c>
      <c r="M73" s="408">
        <v>0</v>
      </c>
      <c r="N73" s="408">
        <v>22.89</v>
      </c>
      <c r="O73" s="408">
        <v>22.89</v>
      </c>
      <c r="P73" s="408">
        <v>22.89</v>
      </c>
      <c r="Q73" s="408">
        <v>22.89</v>
      </c>
      <c r="R73" s="408"/>
      <c r="S73" s="408">
        <v>281.47000000000003</v>
      </c>
      <c r="T73" s="408">
        <v>173.25</v>
      </c>
      <c r="U73" s="408"/>
      <c r="V73" s="408">
        <v>10408.540800000001</v>
      </c>
      <c r="W73" s="408">
        <v>10408.540800000001</v>
      </c>
      <c r="X73" s="408">
        <v>9716.8050000000003</v>
      </c>
      <c r="Y73" s="408">
        <v>0</v>
      </c>
      <c r="Z73" s="408">
        <v>0</v>
      </c>
      <c r="AA73" s="408">
        <v>0</v>
      </c>
      <c r="AB73" s="408">
        <v>0</v>
      </c>
      <c r="AC73" s="408">
        <v>58.587810282121971</v>
      </c>
      <c r="AD73" s="408">
        <v>56.289748065245469</v>
      </c>
      <c r="AE73" s="408">
        <v>5391.4443516182055</v>
      </c>
      <c r="AF73" s="408">
        <v>3899.0933716978147</v>
      </c>
      <c r="AG73" s="408">
        <v>66.546575514089213</v>
      </c>
      <c r="AH73" s="408">
        <v>0</v>
      </c>
      <c r="AI73" s="408">
        <v>0</v>
      </c>
      <c r="AJ73" s="408">
        <v>0</v>
      </c>
      <c r="AK73" s="408">
        <v>0</v>
      </c>
      <c r="AL73" s="408">
        <v>0</v>
      </c>
      <c r="AM73" s="408"/>
      <c r="AN73" s="408">
        <v>27.647840191762658</v>
      </c>
      <c r="AO73" s="408">
        <v>124.37042408789793</v>
      </c>
      <c r="AP73" s="408">
        <v>579.92093953080939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>
        <v>0</v>
      </c>
      <c r="BG73" s="408">
        <v>204.63183487507359</v>
      </c>
      <c r="BH73" s="408">
        <v>0</v>
      </c>
      <c r="BI73" s="408">
        <v>0</v>
      </c>
      <c r="BJ73" s="408">
        <v>15.81</v>
      </c>
      <c r="BK73" s="408">
        <v>1412.12</v>
      </c>
      <c r="BL73" s="408">
        <v>22</v>
      </c>
      <c r="BM73" s="408"/>
      <c r="BN73" s="408"/>
      <c r="BO73" s="408"/>
      <c r="BP73" s="408"/>
      <c r="BQ73" s="408"/>
      <c r="BR73" s="408"/>
      <c r="BS73" s="408"/>
      <c r="BT73" s="408">
        <v>6316.0377000000008</v>
      </c>
      <c r="BU73" s="408"/>
      <c r="BV73" s="408">
        <v>4103.7252065728881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3400.7672999999995</v>
      </c>
      <c r="CJ73" s="408">
        <v>-242.43510000000151</v>
      </c>
      <c r="CK73" s="408"/>
      <c r="CL73" s="408"/>
      <c r="CM73" s="408"/>
      <c r="CN73" s="408"/>
      <c r="CO73" s="408">
        <v>-1185.9309000000007</v>
      </c>
      <c r="CP73" s="408">
        <v>494.19510000000008</v>
      </c>
      <c r="CQ73" s="408">
        <v>31</v>
      </c>
      <c r="CR73" s="408">
        <v>647.43139449228056</v>
      </c>
      <c r="CS73" s="408">
        <v>12.393246925713242</v>
      </c>
      <c r="CT73" s="408">
        <v>57.787882076510414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57.959789628382403</v>
      </c>
      <c r="DA73" s="408">
        <v>0</v>
      </c>
      <c r="DB73" s="408">
        <v>0</v>
      </c>
      <c r="DC73" s="408">
        <v>494.13930251537067</v>
      </c>
      <c r="DD73" s="408">
        <v>0</v>
      </c>
      <c r="DE73" s="408">
        <v>0</v>
      </c>
      <c r="DF73" s="408">
        <v>0</v>
      </c>
      <c r="DG73" s="408">
        <v>25.933370278224999</v>
      </c>
      <c r="DH73" s="408">
        <v>0</v>
      </c>
      <c r="DI73" s="408">
        <v>0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0</v>
      </c>
      <c r="DP73" s="408">
        <v>-0.78219693192206918</v>
      </c>
      <c r="DQ73" s="408">
        <v>0</v>
      </c>
      <c r="DR73" s="408">
        <v>0</v>
      </c>
      <c r="DS73" s="408"/>
      <c r="DT73" s="408"/>
      <c r="DU73" s="408"/>
      <c r="DV73" s="408">
        <v>5391.4443516182055</v>
      </c>
      <c r="DW73" s="408">
        <v>0</v>
      </c>
      <c r="DX73" s="408">
        <v>0</v>
      </c>
      <c r="DY73" s="408">
        <v>-1185.9309000000003</v>
      </c>
      <c r="DZ73" s="408">
        <v>494.19509999999991</v>
      </c>
      <c r="EA73" s="408">
        <v>0</v>
      </c>
      <c r="EB73" s="408">
        <v>0</v>
      </c>
      <c r="EC73" s="408">
        <v>-1339.3262296732987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240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>
      <c r="A74" s="408">
        <v>72</v>
      </c>
      <c r="B74" s="408" t="s">
        <v>1036</v>
      </c>
      <c r="C74" s="408" t="s">
        <v>2235</v>
      </c>
      <c r="D74" s="408" t="s">
        <v>1955</v>
      </c>
      <c r="E74" s="408" t="s">
        <v>969</v>
      </c>
      <c r="F74" s="408" t="s">
        <v>2240</v>
      </c>
      <c r="G74" s="408" t="s">
        <v>1322</v>
      </c>
      <c r="H74" s="408" t="s">
        <v>1322</v>
      </c>
      <c r="I74" s="408" t="s">
        <v>1322</v>
      </c>
      <c r="J74" s="408" t="s">
        <v>2236</v>
      </c>
      <c r="K74" s="826">
        <v>44409</v>
      </c>
      <c r="L74" s="408">
        <v>0</v>
      </c>
      <c r="M74" s="408">
        <v>0</v>
      </c>
      <c r="N74" s="408">
        <v>48.87</v>
      </c>
      <c r="O74" s="408">
        <v>48.87</v>
      </c>
      <c r="P74" s="408">
        <v>48.87</v>
      </c>
      <c r="Q74" s="408">
        <v>48.87</v>
      </c>
      <c r="R74" s="408"/>
      <c r="S74" s="408">
        <v>281.47000000000003</v>
      </c>
      <c r="T74" s="408">
        <v>173.25</v>
      </c>
      <c r="U74" s="408"/>
      <c r="V74" s="408">
        <v>22222.166400000002</v>
      </c>
      <c r="W74" s="408">
        <v>22222.166400000002</v>
      </c>
      <c r="X74" s="408">
        <v>20745.314999999999</v>
      </c>
      <c r="Y74" s="408">
        <v>0</v>
      </c>
      <c r="Z74" s="408">
        <v>0</v>
      </c>
      <c r="AA74" s="408">
        <v>0</v>
      </c>
      <c r="AB74" s="408">
        <v>0</v>
      </c>
      <c r="AC74" s="408">
        <v>125.08459102172567</v>
      </c>
      <c r="AD74" s="408">
        <v>120.17824324807977</v>
      </c>
      <c r="AE74" s="408">
        <v>11510.698360138998</v>
      </c>
      <c r="AF74" s="408">
        <v>8324.5387975042468</v>
      </c>
      <c r="AG74" s="408">
        <v>142.0765026375509</v>
      </c>
      <c r="AH74" s="408">
        <v>0</v>
      </c>
      <c r="AI74" s="408">
        <v>0</v>
      </c>
      <c r="AJ74" s="408">
        <v>0</v>
      </c>
      <c r="AK74" s="408">
        <v>0</v>
      </c>
      <c r="AL74" s="408">
        <v>0</v>
      </c>
      <c r="AM74" s="408"/>
      <c r="AN74" s="408">
        <v>59.027957630906116</v>
      </c>
      <c r="AO74" s="408">
        <v>265.53004041832986</v>
      </c>
      <c r="AP74" s="408">
        <v>1238.1274056299978</v>
      </c>
      <c r="AQ74" s="408">
        <v>0</v>
      </c>
      <c r="AR74" s="408">
        <v>0</v>
      </c>
      <c r="AS74" s="408">
        <v>0</v>
      </c>
      <c r="AT74" s="408">
        <v>0</v>
      </c>
      <c r="AU74" s="408">
        <v>0</v>
      </c>
      <c r="AV74" s="408">
        <v>0</v>
      </c>
      <c r="AW74" s="408">
        <v>0</v>
      </c>
      <c r="AX74" s="408">
        <v>0</v>
      </c>
      <c r="AY74" s="408">
        <v>0</v>
      </c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0</v>
      </c>
      <c r="BF74" s="408">
        <v>0</v>
      </c>
      <c r="BG74" s="408">
        <v>436.88762648950836</v>
      </c>
      <c r="BH74" s="408">
        <v>0</v>
      </c>
      <c r="BI74" s="408">
        <v>7.48</v>
      </c>
      <c r="BJ74" s="408">
        <v>82.11</v>
      </c>
      <c r="BK74" s="408">
        <v>5648.88</v>
      </c>
      <c r="BL74" s="408">
        <v>114</v>
      </c>
      <c r="BM74" s="408"/>
      <c r="BN74" s="408"/>
      <c r="BO74" s="408"/>
      <c r="BP74" s="408"/>
      <c r="BQ74" s="408"/>
      <c r="BR74" s="408"/>
      <c r="BS74" s="408"/>
      <c r="BT74" s="408">
        <v>8298.6146999999983</v>
      </c>
      <c r="BU74" s="408"/>
      <c r="BV74" s="408">
        <v>8761.4264239937547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12446.7003</v>
      </c>
      <c r="CJ74" s="408">
        <v>-886.53179999999884</v>
      </c>
      <c r="CK74" s="408"/>
      <c r="CL74" s="408"/>
      <c r="CM74" s="408"/>
      <c r="CN74" s="408"/>
      <c r="CO74" s="408">
        <v>-2531.9547000000016</v>
      </c>
      <c r="CP74" s="408">
        <v>1055.1033000000002</v>
      </c>
      <c r="CQ74" s="408">
        <v>31</v>
      </c>
      <c r="CR74" s="408">
        <v>1382.2617845713285</v>
      </c>
      <c r="CS74" s="408">
        <v>26.459500972459921</v>
      </c>
      <c r="CT74" s="408">
        <v>123.37674954473869</v>
      </c>
      <c r="CU74" s="408">
        <v>0</v>
      </c>
      <c r="CV74" s="408">
        <v>0</v>
      </c>
      <c r="CW74" s="408">
        <v>0</v>
      </c>
      <c r="CX74" s="408">
        <v>0</v>
      </c>
      <c r="CY74" s="408">
        <v>0</v>
      </c>
      <c r="CZ74" s="408">
        <v>123.74377104146122</v>
      </c>
      <c r="DA74" s="408">
        <v>0</v>
      </c>
      <c r="DB74" s="408">
        <v>0</v>
      </c>
      <c r="DC74" s="408">
        <v>1054.9841727359599</v>
      </c>
      <c r="DD74" s="408">
        <v>0</v>
      </c>
      <c r="DE74" s="408">
        <v>0</v>
      </c>
      <c r="DF74" s="408">
        <v>0</v>
      </c>
      <c r="DG74" s="408">
        <v>55.367575600561565</v>
      </c>
      <c r="DH74" s="408">
        <v>0</v>
      </c>
      <c r="DI74" s="408">
        <v>0</v>
      </c>
      <c r="DJ74" s="408"/>
      <c r="DK74" s="408">
        <v>0</v>
      </c>
      <c r="DL74" s="408">
        <v>0</v>
      </c>
      <c r="DM74" s="408">
        <v>0</v>
      </c>
      <c r="DN74" s="408">
        <v>0</v>
      </c>
      <c r="DO74" s="408">
        <v>0</v>
      </c>
      <c r="DP74" s="408">
        <v>-1.6699853238545899</v>
      </c>
      <c r="DQ74" s="408">
        <v>0</v>
      </c>
      <c r="DR74" s="408">
        <v>0</v>
      </c>
      <c r="DS74" s="408"/>
      <c r="DT74" s="408"/>
      <c r="DU74" s="408"/>
      <c r="DV74" s="408">
        <v>11510.698360138998</v>
      </c>
      <c r="DW74" s="408">
        <v>0</v>
      </c>
      <c r="DX74" s="408">
        <v>0</v>
      </c>
      <c r="DY74" s="408">
        <v>-2531.954700000002</v>
      </c>
      <c r="DZ74" s="408">
        <v>1055.1033000000007</v>
      </c>
      <c r="EA74" s="408">
        <v>0</v>
      </c>
      <c r="EB74" s="408">
        <v>0</v>
      </c>
      <c r="EC74" s="408">
        <v>-2859.452723640632</v>
      </c>
      <c r="ED74" s="408">
        <v>0</v>
      </c>
      <c r="EE74" s="408">
        <v>0</v>
      </c>
      <c r="EF74" s="408">
        <v>0</v>
      </c>
      <c r="EG74" s="408">
        <v>0</v>
      </c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>
        <v>0</v>
      </c>
      <c r="EN74" s="408">
        <v>0</v>
      </c>
      <c r="EO74" s="408">
        <v>0</v>
      </c>
      <c r="EP74" s="408">
        <v>0</v>
      </c>
      <c r="EQ74" s="408">
        <v>0</v>
      </c>
      <c r="ER74" s="408">
        <v>0</v>
      </c>
      <c r="ES74" s="408">
        <v>0</v>
      </c>
      <c r="ET74" s="408">
        <v>0</v>
      </c>
      <c r="EU74" s="408">
        <v>0</v>
      </c>
      <c r="EV74" s="408">
        <v>240</v>
      </c>
      <c r="EW74" s="408">
        <v>0</v>
      </c>
      <c r="EX74" s="408">
        <v>0</v>
      </c>
      <c r="EY74" s="408">
        <v>0</v>
      </c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>
      <c r="A75" s="408">
        <v>73</v>
      </c>
      <c r="B75" s="408" t="s">
        <v>1036</v>
      </c>
      <c r="C75" s="408" t="s">
        <v>2235</v>
      </c>
      <c r="D75" s="408" t="s">
        <v>1955</v>
      </c>
      <c r="E75" s="408" t="s">
        <v>969</v>
      </c>
      <c r="F75" s="408" t="s">
        <v>2241</v>
      </c>
      <c r="G75" s="408" t="s">
        <v>1322</v>
      </c>
      <c r="H75" s="408" t="s">
        <v>1322</v>
      </c>
      <c r="I75" s="408" t="s">
        <v>1322</v>
      </c>
      <c r="J75" s="408" t="s">
        <v>2236</v>
      </c>
      <c r="K75" s="826">
        <v>44409</v>
      </c>
      <c r="L75" s="408">
        <v>0</v>
      </c>
      <c r="M75" s="408">
        <v>0</v>
      </c>
      <c r="N75" s="408">
        <v>52.515000000000001</v>
      </c>
      <c r="O75" s="408">
        <v>52.515000000000001</v>
      </c>
      <c r="P75" s="408">
        <v>52.515000000000001</v>
      </c>
      <c r="Q75" s="408">
        <v>52.515000000000001</v>
      </c>
      <c r="R75" s="408"/>
      <c r="S75" s="408">
        <v>281.47000000000003</v>
      </c>
      <c r="T75" s="408">
        <v>173.25</v>
      </c>
      <c r="U75" s="408"/>
      <c r="V75" s="408">
        <v>23879.620800000001</v>
      </c>
      <c r="W75" s="408">
        <v>23879.620800000001</v>
      </c>
      <c r="X75" s="408">
        <v>22292.6175</v>
      </c>
      <c r="Y75" s="408">
        <v>0</v>
      </c>
      <c r="Z75" s="408">
        <v>0</v>
      </c>
      <c r="AA75" s="408">
        <v>0</v>
      </c>
      <c r="AB75" s="408">
        <v>0</v>
      </c>
      <c r="AC75" s="408">
        <v>134.41410471671625</v>
      </c>
      <c r="AD75" s="408">
        <v>129.14181387708021</v>
      </c>
      <c r="AE75" s="408">
        <v>12369.231110757102</v>
      </c>
      <c r="AF75" s="408">
        <v>8945.4298127877119</v>
      </c>
      <c r="AG75" s="408">
        <v>152.67336885637377</v>
      </c>
      <c r="AH75" s="408">
        <v>0</v>
      </c>
      <c r="AI75" s="408">
        <v>0</v>
      </c>
      <c r="AJ75" s="408">
        <v>0</v>
      </c>
      <c r="AK75" s="408">
        <v>0</v>
      </c>
      <c r="AL75" s="408">
        <v>0</v>
      </c>
      <c r="AM75" s="408"/>
      <c r="AN75" s="408">
        <v>63.430595354758239</v>
      </c>
      <c r="AO75" s="408">
        <v>285.33476718986282</v>
      </c>
      <c r="AP75" s="408">
        <v>1330.4739248344454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0</v>
      </c>
      <c r="BF75" s="408">
        <v>0</v>
      </c>
      <c r="BG75" s="408">
        <v>469.4731676917645</v>
      </c>
      <c r="BH75" s="408">
        <v>0</v>
      </c>
      <c r="BI75" s="408">
        <v>17.87</v>
      </c>
      <c r="BJ75" s="408">
        <v>158.51</v>
      </c>
      <c r="BK75" s="408">
        <v>11144.4</v>
      </c>
      <c r="BL75" s="408">
        <v>385</v>
      </c>
      <c r="BM75" s="408"/>
      <c r="BN75" s="408"/>
      <c r="BO75" s="408"/>
      <c r="BP75" s="408"/>
      <c r="BQ75" s="408"/>
      <c r="BR75" s="408"/>
      <c r="BS75" s="408"/>
      <c r="BT75" s="408">
        <v>2229.7869000000005</v>
      </c>
      <c r="BU75" s="408"/>
      <c r="BV75" s="408">
        <v>9414.9029804794773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20064.7408</v>
      </c>
      <c r="CJ75" s="408">
        <v>-1426.5277999999998</v>
      </c>
      <c r="CK75" s="408"/>
      <c r="CL75" s="408"/>
      <c r="CM75" s="408"/>
      <c r="CN75" s="408"/>
      <c r="CO75" s="408">
        <v>-2720.8021500000018</v>
      </c>
      <c r="CP75" s="408">
        <v>1133.7988500000001</v>
      </c>
      <c r="CQ75" s="408">
        <v>31</v>
      </c>
      <c r="CR75" s="408">
        <v>1485.3586580062038</v>
      </c>
      <c r="CS75" s="408">
        <v>28.432999663775945</v>
      </c>
      <c r="CT75" s="408">
        <v>132.57888279807548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132.97327882632158</v>
      </c>
      <c r="DA75" s="408">
        <v>0</v>
      </c>
      <c r="DB75" s="408">
        <v>0</v>
      </c>
      <c r="DC75" s="408">
        <v>1133.6708375532853</v>
      </c>
      <c r="DD75" s="408">
        <v>0</v>
      </c>
      <c r="DE75" s="408">
        <v>0</v>
      </c>
      <c r="DF75" s="408">
        <v>0</v>
      </c>
      <c r="DG75" s="408">
        <v>59.497201405023361</v>
      </c>
      <c r="DH75" s="408">
        <v>0</v>
      </c>
      <c r="DI75" s="408">
        <v>0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0</v>
      </c>
      <c r="DP75" s="408">
        <v>-1.7945422402746871</v>
      </c>
      <c r="DQ75" s="408">
        <v>0</v>
      </c>
      <c r="DR75" s="408">
        <v>0</v>
      </c>
      <c r="DS75" s="408"/>
      <c r="DT75" s="408"/>
      <c r="DU75" s="408"/>
      <c r="DV75" s="408">
        <v>12369.231110757102</v>
      </c>
      <c r="DW75" s="408">
        <v>0</v>
      </c>
      <c r="DX75" s="408">
        <v>0</v>
      </c>
      <c r="DY75" s="408">
        <v>-2720.8021500000013</v>
      </c>
      <c r="DZ75" s="408">
        <v>1133.798850000001</v>
      </c>
      <c r="EA75" s="408">
        <v>0</v>
      </c>
      <c r="EB75" s="408">
        <v>0</v>
      </c>
      <c r="EC75" s="408">
        <v>-3072.7268218127247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240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>
      <c r="A76" s="408">
        <v>74</v>
      </c>
      <c r="B76" s="408" t="s">
        <v>1036</v>
      </c>
      <c r="C76" s="408" t="s">
        <v>2235</v>
      </c>
      <c r="D76" s="408" t="s">
        <v>1955</v>
      </c>
      <c r="E76" s="408" t="s">
        <v>969</v>
      </c>
      <c r="F76" s="408" t="s">
        <v>2242</v>
      </c>
      <c r="G76" s="408" t="s">
        <v>1322</v>
      </c>
      <c r="H76" s="408" t="s">
        <v>1322</v>
      </c>
      <c r="I76" s="408" t="s">
        <v>1322</v>
      </c>
      <c r="J76" s="408" t="s">
        <v>2236</v>
      </c>
      <c r="K76" s="826">
        <v>44409</v>
      </c>
      <c r="L76" s="408">
        <v>0</v>
      </c>
      <c r="M76" s="408">
        <v>0</v>
      </c>
      <c r="N76" s="408">
        <v>24.931000000000001</v>
      </c>
      <c r="O76" s="408">
        <v>24.931000000000001</v>
      </c>
      <c r="P76" s="408">
        <v>24.931000000000001</v>
      </c>
      <c r="Q76" s="408">
        <v>24.931000000000001</v>
      </c>
      <c r="R76" s="408"/>
      <c r="S76" s="408">
        <v>281.47000000000003</v>
      </c>
      <c r="T76" s="408">
        <v>173.25</v>
      </c>
      <c r="U76" s="408"/>
      <c r="V76" s="408">
        <v>11336.624320000001</v>
      </c>
      <c r="W76" s="408">
        <v>11336.624320000001</v>
      </c>
      <c r="X76" s="408">
        <v>10583.209500000001</v>
      </c>
      <c r="Y76" s="408">
        <v>0</v>
      </c>
      <c r="Z76" s="408">
        <v>0</v>
      </c>
      <c r="AA76" s="408">
        <v>0</v>
      </c>
      <c r="AB76" s="408">
        <v>0</v>
      </c>
      <c r="AC76" s="408">
        <v>63.811826043843723</v>
      </c>
      <c r="AD76" s="408">
        <v>61.308855789193309</v>
      </c>
      <c r="AE76" s="408">
        <v>5872.1755845431844</v>
      </c>
      <c r="AF76" s="408">
        <v>4246.7582721624385</v>
      </c>
      <c r="AG76" s="408">
        <v>72.480239149923918</v>
      </c>
      <c r="AH76" s="408">
        <v>0</v>
      </c>
      <c r="AI76" s="408">
        <v>0</v>
      </c>
      <c r="AJ76" s="408">
        <v>0</v>
      </c>
      <c r="AK76" s="408">
        <v>0</v>
      </c>
      <c r="AL76" s="408">
        <v>0</v>
      </c>
      <c r="AM76" s="408"/>
      <c r="AN76" s="408">
        <v>30.113075745776971</v>
      </c>
      <c r="AO76" s="408">
        <v>135.45998440084679</v>
      </c>
      <c r="AP76" s="408">
        <v>631.6299232609266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>
        <v>0</v>
      </c>
      <c r="BG76" s="408">
        <v>222.87794998997202</v>
      </c>
      <c r="BH76" s="408">
        <v>0</v>
      </c>
      <c r="BI76" s="408">
        <v>13.27</v>
      </c>
      <c r="BJ76" s="408">
        <v>108.15</v>
      </c>
      <c r="BK76" s="408">
        <v>7738.25</v>
      </c>
      <c r="BL76" s="408">
        <v>241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4469.6362221524105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10582.785</v>
      </c>
      <c r="CJ76" s="408">
        <v>-753.86932000000161</v>
      </c>
      <c r="CK76" s="408"/>
      <c r="CL76" s="408"/>
      <c r="CM76" s="408"/>
      <c r="CN76" s="408"/>
      <c r="CO76" s="408">
        <v>-1291.6751100000008</v>
      </c>
      <c r="CP76" s="408">
        <v>538.26029000000005</v>
      </c>
      <c r="CQ76" s="408">
        <v>31</v>
      </c>
      <c r="CR76" s="408">
        <v>705.15998672289334</v>
      </c>
      <c r="CS76" s="408">
        <v>13.498297907599721</v>
      </c>
      <c r="CT76" s="408">
        <v>62.940571780230698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63.12780756772397</v>
      </c>
      <c r="DA76" s="408">
        <v>0</v>
      </c>
      <c r="DB76" s="408">
        <v>0</v>
      </c>
      <c r="DC76" s="408">
        <v>538.19951730059893</v>
      </c>
      <c r="DD76" s="408">
        <v>0</v>
      </c>
      <c r="DE76" s="408">
        <v>0</v>
      </c>
      <c r="DF76" s="408">
        <v>0</v>
      </c>
      <c r="DG76" s="408">
        <v>28.245734137458612</v>
      </c>
      <c r="DH76" s="408">
        <v>0</v>
      </c>
      <c r="DI76" s="408">
        <v>0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0</v>
      </c>
      <c r="DP76" s="408">
        <v>-0.85194197071861666</v>
      </c>
      <c r="DQ76" s="408">
        <v>0</v>
      </c>
      <c r="DR76" s="408">
        <v>0</v>
      </c>
      <c r="DS76" s="408"/>
      <c r="DT76" s="408"/>
      <c r="DU76" s="408"/>
      <c r="DV76" s="408">
        <v>5872.1755845431844</v>
      </c>
      <c r="DW76" s="408">
        <v>0</v>
      </c>
      <c r="DX76" s="408">
        <v>0</v>
      </c>
      <c r="DY76" s="408">
        <v>-1291.6751100000001</v>
      </c>
      <c r="DZ76" s="408">
        <v>538.26029000000017</v>
      </c>
      <c r="EA76" s="408">
        <v>0</v>
      </c>
      <c r="EB76" s="408">
        <v>0</v>
      </c>
      <c r="EC76" s="408">
        <v>-1458.7480223671919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240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>
      <c r="A77" s="408">
        <v>75</v>
      </c>
      <c r="B77" s="408" t="s">
        <v>1036</v>
      </c>
      <c r="C77" s="408" t="s">
        <v>2316</v>
      </c>
      <c r="D77" s="408" t="s">
        <v>1955</v>
      </c>
      <c r="E77" s="408" t="s">
        <v>969</v>
      </c>
      <c r="F77" s="408" t="s">
        <v>969</v>
      </c>
      <c r="G77" s="408" t="s">
        <v>1322</v>
      </c>
      <c r="H77" s="408" t="s">
        <v>1322</v>
      </c>
      <c r="I77" s="408" t="s">
        <v>973</v>
      </c>
      <c r="J77" s="408" t="s">
        <v>2236</v>
      </c>
      <c r="K77" s="826">
        <v>44409</v>
      </c>
      <c r="L77" s="408">
        <v>0</v>
      </c>
      <c r="M77" s="408">
        <v>0</v>
      </c>
      <c r="N77" s="408">
        <v>0.61399999999999999</v>
      </c>
      <c r="O77" s="408">
        <v>0.61399999999999999</v>
      </c>
      <c r="P77" s="408">
        <v>0.61399999999999999</v>
      </c>
      <c r="Q77" s="408">
        <v>0.61399999999999999</v>
      </c>
      <c r="R77" s="408"/>
      <c r="S77" s="408">
        <v>775.22</v>
      </c>
      <c r="T77" s="408">
        <v>173.25</v>
      </c>
      <c r="U77" s="408"/>
      <c r="V77" s="408">
        <v>582.36058000000003</v>
      </c>
      <c r="W77" s="408">
        <v>582.36058000000003</v>
      </c>
      <c r="X77" s="408">
        <v>513.61099999999999</v>
      </c>
      <c r="Y77" s="408">
        <v>0</v>
      </c>
      <c r="Z77" s="408">
        <v>37.788742484413426</v>
      </c>
      <c r="AA77" s="408">
        <v>0</v>
      </c>
      <c r="AB77" s="408">
        <v>0</v>
      </c>
      <c r="AC77" s="408">
        <v>3.9286113750078178</v>
      </c>
      <c r="AD77" s="408">
        <v>3.774532251334477</v>
      </c>
      <c r="AE77" s="408">
        <v>361.54939127087619</v>
      </c>
      <c r="AF77" s="408">
        <v>104.58904893938218</v>
      </c>
      <c r="AG77" s="408">
        <v>1.7850413877523277</v>
      </c>
      <c r="AH77" s="408">
        <v>0</v>
      </c>
      <c r="AI77" s="408">
        <v>0</v>
      </c>
      <c r="AJ77" s="408">
        <v>0</v>
      </c>
      <c r="AK77" s="408">
        <v>0</v>
      </c>
      <c r="AL77" s="408">
        <v>5.8385445902778015</v>
      </c>
      <c r="AM77" s="408"/>
      <c r="AN77" s="408">
        <v>0.74162402261870997</v>
      </c>
      <c r="AO77" s="408">
        <v>8.3397894957887004</v>
      </c>
      <c r="AP77" s="408">
        <v>38.88691890214745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0</v>
      </c>
      <c r="BF77" s="408">
        <v>0</v>
      </c>
      <c r="BG77" s="408">
        <v>5.4890321805720923</v>
      </c>
      <c r="BH77" s="408">
        <v>0</v>
      </c>
      <c r="BI77" s="408">
        <v>0</v>
      </c>
      <c r="BJ77" s="408">
        <v>0</v>
      </c>
      <c r="BK77" s="408">
        <v>0</v>
      </c>
      <c r="BL77" s="408">
        <v>0</v>
      </c>
      <c r="BM77" s="408"/>
      <c r="BN77" s="408"/>
      <c r="BO77" s="408"/>
      <c r="BP77" s="408"/>
      <c r="BQ77" s="408"/>
      <c r="BR77" s="408"/>
      <c r="BS77" s="408"/>
      <c r="BT77" s="408"/>
      <c r="BU77" s="408"/>
      <c r="BV77" s="408">
        <v>110.07808111995428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510.26499999999999</v>
      </c>
      <c r="CJ77" s="408">
        <v>-72.125580000000014</v>
      </c>
      <c r="CK77" s="408"/>
      <c r="CL77" s="408"/>
      <c r="CM77" s="408"/>
      <c r="CN77" s="408"/>
      <c r="CO77" s="408">
        <v>-82.005840000000035</v>
      </c>
      <c r="CP77" s="408">
        <v>13.256260000000001</v>
      </c>
      <c r="CQ77" s="408">
        <v>31</v>
      </c>
      <c r="CR77" s="408">
        <v>21.06233016372255</v>
      </c>
      <c r="CS77" s="408">
        <v>0.83104219743376717</v>
      </c>
      <c r="CT77" s="408">
        <v>3.8749983500409897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3.8865175765098949</v>
      </c>
      <c r="DA77" s="408">
        <v>0</v>
      </c>
      <c r="DB77" s="408">
        <v>0</v>
      </c>
      <c r="DC77" s="408">
        <v>13.25476329158748</v>
      </c>
      <c r="DD77" s="408">
        <v>0</v>
      </c>
      <c r="DE77" s="408">
        <v>0</v>
      </c>
      <c r="DF77" s="408">
        <v>0</v>
      </c>
      <c r="DG77" s="408">
        <v>0.69563518352250497</v>
      </c>
      <c r="DH77" s="408">
        <v>0</v>
      </c>
      <c r="DI77" s="408">
        <v>-1.2831861157748818</v>
      </c>
      <c r="DJ77" s="408"/>
      <c r="DK77" s="408">
        <v>0</v>
      </c>
      <c r="DL77" s="408">
        <v>0</v>
      </c>
      <c r="DM77" s="408">
        <v>0</v>
      </c>
      <c r="DN77" s="408">
        <v>0</v>
      </c>
      <c r="DO77" s="408">
        <v>-0.1764587155692503</v>
      </c>
      <c r="DP77" s="408">
        <v>-2.0981604027966338E-2</v>
      </c>
      <c r="DQ77" s="408">
        <v>0</v>
      </c>
      <c r="DR77" s="408">
        <v>0</v>
      </c>
      <c r="DS77" s="408"/>
      <c r="DT77" s="408"/>
      <c r="DU77" s="408"/>
      <c r="DV77" s="408">
        <v>361.54939127087619</v>
      </c>
      <c r="DW77" s="408">
        <v>0</v>
      </c>
      <c r="DX77" s="408">
        <v>0</v>
      </c>
      <c r="DY77" s="408">
        <v>-82.005840000000035</v>
      </c>
      <c r="DZ77" s="408">
        <v>13.256259999999997</v>
      </c>
      <c r="EA77" s="408">
        <v>0</v>
      </c>
      <c r="EB77" s="408">
        <v>0</v>
      </c>
      <c r="EC77" s="408">
        <v>-89.815001597142611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9.6505708655658218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240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>
      <c r="A78" s="408">
        <v>76</v>
      </c>
      <c r="B78" s="408" t="s">
        <v>1036</v>
      </c>
      <c r="C78" s="408" t="s">
        <v>2316</v>
      </c>
      <c r="D78" s="408" t="s">
        <v>1955</v>
      </c>
      <c r="E78" s="408" t="s">
        <v>969</v>
      </c>
      <c r="F78" s="408" t="s">
        <v>969</v>
      </c>
      <c r="G78" s="408" t="s">
        <v>1322</v>
      </c>
      <c r="H78" s="408" t="s">
        <v>1322</v>
      </c>
      <c r="I78" s="408" t="s">
        <v>2244</v>
      </c>
      <c r="J78" s="408" t="s">
        <v>2236</v>
      </c>
      <c r="K78" s="826">
        <v>44409</v>
      </c>
      <c r="L78" s="408">
        <v>0</v>
      </c>
      <c r="M78" s="408">
        <v>0</v>
      </c>
      <c r="N78" s="408">
        <v>4.2640000000000002</v>
      </c>
      <c r="O78" s="408">
        <v>4.2640000000000002</v>
      </c>
      <c r="P78" s="408">
        <v>4.2640000000000002</v>
      </c>
      <c r="Q78" s="408">
        <v>4.2640000000000002</v>
      </c>
      <c r="R78" s="408"/>
      <c r="S78" s="408">
        <v>232.58</v>
      </c>
      <c r="T78" s="408">
        <v>173.25</v>
      </c>
      <c r="U78" s="408"/>
      <c r="V78" s="408">
        <v>1730.4591200000002</v>
      </c>
      <c r="W78" s="408">
        <v>1730.4591200000002</v>
      </c>
      <c r="X78" s="408">
        <v>1704.2781600000001</v>
      </c>
      <c r="Y78" s="408">
        <v>0</v>
      </c>
      <c r="Z78" s="408">
        <v>262.42866116211542</v>
      </c>
      <c r="AA78" s="408">
        <v>0</v>
      </c>
      <c r="AB78" s="408">
        <v>0</v>
      </c>
      <c r="AC78" s="408">
        <v>5.4569336619259081</v>
      </c>
      <c r="AD78" s="408">
        <v>5.2428895969900982</v>
      </c>
      <c r="AE78" s="408">
        <v>502.16510955220684</v>
      </c>
      <c r="AF78" s="408">
        <v>726.33176657577462</v>
      </c>
      <c r="AG78" s="408">
        <v>12.396443774227892</v>
      </c>
      <c r="AH78" s="408">
        <v>0</v>
      </c>
      <c r="AI78" s="408">
        <v>0</v>
      </c>
      <c r="AJ78" s="408">
        <v>0</v>
      </c>
      <c r="AK78" s="408">
        <v>0</v>
      </c>
      <c r="AL78" s="408">
        <v>40.546505102515553</v>
      </c>
      <c r="AM78" s="408"/>
      <c r="AN78" s="408">
        <v>5.1503010300426384</v>
      </c>
      <c r="AO78" s="408">
        <v>11.584468238664813</v>
      </c>
      <c r="AP78" s="408">
        <v>54.014479819995003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</v>
      </c>
      <c r="BF78" s="408">
        <v>0</v>
      </c>
      <c r="BG78" s="408">
        <v>38.119272341953426</v>
      </c>
      <c r="BH78" s="408">
        <v>0</v>
      </c>
      <c r="BI78" s="408">
        <v>0</v>
      </c>
      <c r="BJ78" s="408">
        <v>0</v>
      </c>
      <c r="BK78" s="408">
        <v>0</v>
      </c>
      <c r="BL78" s="408">
        <v>0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764.45103891772806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1702.6794</v>
      </c>
      <c r="CJ78" s="408">
        <v>-27.809720000000198</v>
      </c>
      <c r="CK78" s="408"/>
      <c r="CL78" s="408"/>
      <c r="CM78" s="408"/>
      <c r="CN78" s="408"/>
      <c r="CO78" s="408">
        <v>-118.24072000000008</v>
      </c>
      <c r="CP78" s="408">
        <v>92.059760000000026</v>
      </c>
      <c r="CQ78" s="408">
        <v>31</v>
      </c>
      <c r="CR78" s="408">
        <v>98.533129810141872</v>
      </c>
      <c r="CS78" s="408">
        <v>1.1543674988467405</v>
      </c>
      <c r="CT78" s="408">
        <v>5.382427461211023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5.3984391213504264</v>
      </c>
      <c r="DA78" s="408">
        <v>0</v>
      </c>
      <c r="DB78" s="408">
        <v>0</v>
      </c>
      <c r="DC78" s="408">
        <v>92.049365920731361</v>
      </c>
      <c r="DD78" s="408">
        <v>0</v>
      </c>
      <c r="DE78" s="408">
        <v>0</v>
      </c>
      <c r="DF78" s="408">
        <v>0</v>
      </c>
      <c r="DG78" s="408">
        <v>4.8309257696090526</v>
      </c>
      <c r="DH78" s="408">
        <v>0</v>
      </c>
      <c r="DI78" s="408">
        <v>-8.9112469017330795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-1.2254396794581197</v>
      </c>
      <c r="DP78" s="408">
        <v>-0.14570938041571502</v>
      </c>
      <c r="DQ78" s="408">
        <v>0</v>
      </c>
      <c r="DR78" s="408">
        <v>0</v>
      </c>
      <c r="DS78" s="408"/>
      <c r="DT78" s="408"/>
      <c r="DU78" s="408"/>
      <c r="DV78" s="408">
        <v>502.16510955220684</v>
      </c>
      <c r="DW78" s="408">
        <v>0</v>
      </c>
      <c r="DX78" s="408">
        <v>0</v>
      </c>
      <c r="DY78" s="408">
        <v>-118.24072000000012</v>
      </c>
      <c r="DZ78" s="408">
        <v>92.059759999999983</v>
      </c>
      <c r="EA78" s="408">
        <v>0</v>
      </c>
      <c r="EB78" s="408">
        <v>0</v>
      </c>
      <c r="EC78" s="408">
        <v>-124.74633122164533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67.019599626665581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240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>
      <c r="A79" s="408">
        <v>77</v>
      </c>
      <c r="B79" s="408" t="s">
        <v>1036</v>
      </c>
      <c r="C79" s="408" t="s">
        <v>2316</v>
      </c>
      <c r="D79" s="408" t="s">
        <v>1955</v>
      </c>
      <c r="E79" s="408" t="s">
        <v>969</v>
      </c>
      <c r="F79" s="408" t="s">
        <v>969</v>
      </c>
      <c r="G79" s="408" t="s">
        <v>1322</v>
      </c>
      <c r="H79" s="408" t="s">
        <v>1322</v>
      </c>
      <c r="I79" s="408" t="s">
        <v>1322</v>
      </c>
      <c r="J79" s="408" t="s">
        <v>2236</v>
      </c>
      <c r="K79" s="826">
        <v>44409</v>
      </c>
      <c r="L79" s="408">
        <v>0</v>
      </c>
      <c r="M79" s="408">
        <v>0</v>
      </c>
      <c r="N79" s="408">
        <v>0</v>
      </c>
      <c r="O79" s="408">
        <v>0</v>
      </c>
      <c r="P79" s="408">
        <v>0</v>
      </c>
      <c r="Q79" s="408">
        <v>0</v>
      </c>
      <c r="R79" s="408"/>
      <c r="S79" s="408"/>
      <c r="T79" s="408"/>
      <c r="U79" s="408"/>
      <c r="V79" s="408"/>
      <c r="W79" s="408"/>
      <c r="X79" s="408"/>
      <c r="Y79" s="408"/>
      <c r="Z79" s="408"/>
      <c r="AA79" s="408">
        <v>0</v>
      </c>
      <c r="AB79" s="408"/>
      <c r="AC79" s="408"/>
      <c r="AD79" s="408"/>
      <c r="AE79" s="408"/>
      <c r="AF79" s="408"/>
      <c r="AG79" s="408"/>
      <c r="AH79" s="408"/>
      <c r="AI79" s="408"/>
      <c r="AJ79" s="408"/>
      <c r="AK79" s="408"/>
      <c r="AL79" s="408"/>
      <c r="AM79" s="408"/>
      <c r="AN79" s="408"/>
      <c r="AO79" s="408"/>
      <c r="AP79" s="408"/>
      <c r="AQ79" s="408"/>
      <c r="AR79" s="408"/>
      <c r="AS79" s="408"/>
      <c r="AT79" s="408"/>
      <c r="AU79" s="408"/>
      <c r="AV79" s="408"/>
      <c r="AW79" s="408"/>
      <c r="AX79" s="408"/>
      <c r="AY79" s="408"/>
      <c r="AZ79" s="408">
        <v>0</v>
      </c>
      <c r="BA79" s="408"/>
      <c r="BB79" s="408"/>
      <c r="BC79" s="408"/>
      <c r="BD79" s="408"/>
      <c r="BE79" s="408"/>
      <c r="BF79" s="408"/>
      <c r="BG79" s="408"/>
      <c r="BH79" s="408"/>
      <c r="BI79" s="408">
        <v>1.95</v>
      </c>
      <c r="BJ79" s="408">
        <v>17.510000000000002</v>
      </c>
      <c r="BK79" s="408">
        <v>1249.3900000000001</v>
      </c>
      <c r="BL79" s="408">
        <v>18</v>
      </c>
      <c r="BM79" s="408"/>
      <c r="BN79" s="408"/>
      <c r="BO79" s="408"/>
      <c r="BP79" s="408"/>
      <c r="BQ79" s="408"/>
      <c r="BR79" s="408"/>
      <c r="BS79" s="408"/>
      <c r="BT79" s="408"/>
      <c r="BU79" s="408"/>
      <c r="BV79" s="408"/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/>
      <c r="CJ79" s="408">
        <v>-0.03</v>
      </c>
      <c r="CK79" s="408"/>
      <c r="CL79" s="408"/>
      <c r="CM79" s="408"/>
      <c r="CN79" s="408"/>
      <c r="CO79" s="408">
        <v>0</v>
      </c>
      <c r="CP79" s="408">
        <v>0</v>
      </c>
      <c r="CQ79" s="408">
        <v>31</v>
      </c>
      <c r="CR79" s="408"/>
      <c r="CS79" s="408"/>
      <c r="CT79" s="408"/>
      <c r="CU79" s="408"/>
      <c r="CV79" s="408"/>
      <c r="CW79" s="408"/>
      <c r="CX79" s="408"/>
      <c r="CY79" s="408"/>
      <c r="CZ79" s="408"/>
      <c r="DA79" s="408"/>
      <c r="DB79" s="408"/>
      <c r="DC79" s="408"/>
      <c r="DD79" s="408"/>
      <c r="DE79" s="408"/>
      <c r="DF79" s="408"/>
      <c r="DG79" s="408"/>
      <c r="DH79" s="408"/>
      <c r="DI79" s="408"/>
      <c r="DJ79" s="408"/>
      <c r="DK79" s="408">
        <v>0</v>
      </c>
      <c r="DL79" s="408"/>
      <c r="DM79" s="408"/>
      <c r="DN79" s="408"/>
      <c r="DO79" s="408"/>
      <c r="DP79" s="408"/>
      <c r="DQ79" s="408"/>
      <c r="DR79" s="408"/>
      <c r="DS79" s="408"/>
      <c r="DT79" s="408"/>
      <c r="DU79" s="408"/>
      <c r="DV79" s="408"/>
      <c r="DW79" s="408"/>
      <c r="DX79" s="408"/>
      <c r="DY79" s="408"/>
      <c r="DZ79" s="408"/>
      <c r="EA79" s="408"/>
      <c r="EB79" s="408"/>
      <c r="EC79" s="408"/>
      <c r="ED79" s="408"/>
      <c r="EE79" s="408"/>
      <c r="EF79" s="408"/>
      <c r="EG79" s="408"/>
      <c r="EH79" s="408"/>
      <c r="EI79" s="408"/>
      <c r="EJ79" s="408"/>
      <c r="EK79" s="408"/>
      <c r="EL79" s="408"/>
      <c r="EM79" s="408"/>
      <c r="EN79" s="408"/>
      <c r="EO79" s="408"/>
      <c r="EP79" s="408"/>
      <c r="EQ79" s="408"/>
      <c r="ER79" s="408"/>
      <c r="ES79" s="408"/>
      <c r="ET79" s="408"/>
      <c r="EU79" s="408"/>
      <c r="EV79" s="408">
        <v>240</v>
      </c>
      <c r="EW79" s="408"/>
      <c r="EX79" s="408"/>
      <c r="EY79" s="408"/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>
      <c r="A80" s="408">
        <v>78</v>
      </c>
      <c r="B80" s="408" t="s">
        <v>1036</v>
      </c>
      <c r="C80" s="408" t="s">
        <v>2316</v>
      </c>
      <c r="D80" s="408" t="s">
        <v>1955</v>
      </c>
      <c r="E80" s="408" t="s">
        <v>969</v>
      </c>
      <c r="F80" s="408" t="s">
        <v>969</v>
      </c>
      <c r="G80" s="408" t="s">
        <v>1322</v>
      </c>
      <c r="H80" s="408" t="s">
        <v>1322</v>
      </c>
      <c r="I80" s="408" t="s">
        <v>2317</v>
      </c>
      <c r="J80" s="408" t="s">
        <v>2236</v>
      </c>
      <c r="K80" s="826">
        <v>44409</v>
      </c>
      <c r="L80" s="408">
        <v>0</v>
      </c>
      <c r="M80" s="408">
        <v>0</v>
      </c>
      <c r="N80" s="408">
        <v>0.39900000000000002</v>
      </c>
      <c r="O80" s="408">
        <v>0.39900000000000002</v>
      </c>
      <c r="P80" s="408">
        <v>0.39900000000000002</v>
      </c>
      <c r="Q80" s="408">
        <v>0.39900000000000002</v>
      </c>
      <c r="R80" s="408"/>
      <c r="S80" s="408">
        <v>503.9</v>
      </c>
      <c r="T80" s="408">
        <v>173.25</v>
      </c>
      <c r="U80" s="408"/>
      <c r="V80" s="408">
        <v>270.18285000000003</v>
      </c>
      <c r="W80" s="408">
        <v>270.18285000000003</v>
      </c>
      <c r="X80" s="408">
        <v>246.61791000000002</v>
      </c>
      <c r="Y80" s="408">
        <v>0</v>
      </c>
      <c r="Z80" s="408">
        <v>24.556528096548792</v>
      </c>
      <c r="AA80" s="408">
        <v>0</v>
      </c>
      <c r="AB80" s="408">
        <v>0</v>
      </c>
      <c r="AC80" s="408">
        <v>1.5317021461814766</v>
      </c>
      <c r="AD80" s="408">
        <v>1.4716365751834273</v>
      </c>
      <c r="AE80" s="408">
        <v>140.96887187985371</v>
      </c>
      <c r="AF80" s="408">
        <v>67.965847763539884</v>
      </c>
      <c r="AG80" s="408">
        <v>1.1599861786859589</v>
      </c>
      <c r="AH80" s="408">
        <v>0</v>
      </c>
      <c r="AI80" s="408">
        <v>0</v>
      </c>
      <c r="AJ80" s="408">
        <v>0</v>
      </c>
      <c r="AK80" s="408">
        <v>0</v>
      </c>
      <c r="AL80" s="408">
        <v>3.7941030806528389</v>
      </c>
      <c r="AM80" s="408"/>
      <c r="AN80" s="408">
        <v>0.48193482903072526</v>
      </c>
      <c r="AO80" s="408">
        <v>3.251580076807278</v>
      </c>
      <c r="AP80" s="408">
        <v>15.161450287132844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0</v>
      </c>
      <c r="BE80" s="408">
        <v>0</v>
      </c>
      <c r="BF80" s="408">
        <v>0</v>
      </c>
      <c r="BG80" s="408">
        <v>3.5669769381893563</v>
      </c>
      <c r="BH80" s="408">
        <v>0</v>
      </c>
      <c r="BI80" s="408">
        <v>0</v>
      </c>
      <c r="BJ80" s="408">
        <v>0</v>
      </c>
      <c r="BK80" s="408">
        <v>0</v>
      </c>
      <c r="BL80" s="408">
        <v>0</v>
      </c>
      <c r="BM80" s="408"/>
      <c r="BN80" s="408"/>
      <c r="BO80" s="408"/>
      <c r="BP80" s="408"/>
      <c r="BQ80" s="408"/>
      <c r="BR80" s="408"/>
      <c r="BS80" s="408"/>
      <c r="BT80" s="408"/>
      <c r="BU80" s="408"/>
      <c r="BV80" s="408">
        <v>71.53282470172924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247.23600000000002</v>
      </c>
      <c r="CJ80" s="408">
        <v>-22.976849999999985</v>
      </c>
      <c r="CK80" s="408"/>
      <c r="CL80" s="408"/>
      <c r="CM80" s="408"/>
      <c r="CN80" s="408"/>
      <c r="CO80" s="408">
        <v>-32.179349999999992</v>
      </c>
      <c r="CP80" s="408">
        <v>8.6144100000000012</v>
      </c>
      <c r="CQ80" s="408">
        <v>31</v>
      </c>
      <c r="CR80" s="408">
        <v>11.453438102025956</v>
      </c>
      <c r="CS80" s="408">
        <v>0.3240130045879881</v>
      </c>
      <c r="CT80" s="408">
        <v>1.5108061143826816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1.5152980647239418</v>
      </c>
      <c r="DA80" s="408">
        <v>0</v>
      </c>
      <c r="DB80" s="408">
        <v>0</v>
      </c>
      <c r="DC80" s="408">
        <v>8.6134373832954623</v>
      </c>
      <c r="DD80" s="408">
        <v>0</v>
      </c>
      <c r="DE80" s="408">
        <v>0</v>
      </c>
      <c r="DF80" s="408">
        <v>0</v>
      </c>
      <c r="DG80" s="408">
        <v>0.45204957365713261</v>
      </c>
      <c r="DH80" s="408">
        <v>0</v>
      </c>
      <c r="DI80" s="408">
        <v>-0.83386198728693728</v>
      </c>
      <c r="DJ80" s="408"/>
      <c r="DK80" s="408">
        <v>0</v>
      </c>
      <c r="DL80" s="408">
        <v>0</v>
      </c>
      <c r="DM80" s="408">
        <v>0</v>
      </c>
      <c r="DN80" s="408">
        <v>0</v>
      </c>
      <c r="DO80" s="408">
        <v>-0.11466942591552298</v>
      </c>
      <c r="DP80" s="408">
        <v>-1.3634625418825097E-2</v>
      </c>
      <c r="DQ80" s="408">
        <v>0</v>
      </c>
      <c r="DR80" s="408">
        <v>0</v>
      </c>
      <c r="DS80" s="408"/>
      <c r="DT80" s="408"/>
      <c r="DU80" s="408"/>
      <c r="DV80" s="408">
        <v>140.96887187985371</v>
      </c>
      <c r="DW80" s="408">
        <v>0</v>
      </c>
      <c r="DX80" s="408">
        <v>0</v>
      </c>
      <c r="DY80" s="408">
        <v>-32.179349999999999</v>
      </c>
      <c r="DZ80" s="408">
        <v>8.6144100000000066</v>
      </c>
      <c r="EA80" s="408">
        <v>0</v>
      </c>
      <c r="EB80" s="408">
        <v>0</v>
      </c>
      <c r="EC80" s="408">
        <v>-35.019058968766572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6.271299308405152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240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>
      <c r="A81" s="408">
        <v>79</v>
      </c>
      <c r="B81" s="408" t="s">
        <v>1036</v>
      </c>
      <c r="C81" s="408" t="s">
        <v>2235</v>
      </c>
      <c r="D81" s="408" t="s">
        <v>1958</v>
      </c>
      <c r="E81" s="408" t="s">
        <v>970</v>
      </c>
      <c r="F81" s="408" t="s">
        <v>1322</v>
      </c>
      <c r="G81" s="408" t="s">
        <v>1322</v>
      </c>
      <c r="H81" s="408" t="s">
        <v>1322</v>
      </c>
      <c r="I81" s="408" t="s">
        <v>1322</v>
      </c>
      <c r="J81" s="408" t="s">
        <v>2236</v>
      </c>
      <c r="K81" s="826">
        <v>44409</v>
      </c>
      <c r="L81" s="408">
        <v>0</v>
      </c>
      <c r="M81" s="408">
        <v>0</v>
      </c>
      <c r="N81" s="408">
        <v>592.10699999999997</v>
      </c>
      <c r="O81" s="408">
        <v>592.10699999999997</v>
      </c>
      <c r="P81" s="408">
        <v>592.10699999999997</v>
      </c>
      <c r="Q81" s="408">
        <v>592.10699999999997</v>
      </c>
      <c r="R81" s="408"/>
      <c r="S81" s="408">
        <v>368.24</v>
      </c>
      <c r="T81" s="408">
        <v>173.25</v>
      </c>
      <c r="U81" s="408"/>
      <c r="V81" s="408">
        <v>320620.01942999999</v>
      </c>
      <c r="W81" s="408">
        <v>320620.01942999999</v>
      </c>
      <c r="X81" s="408">
        <v>301317.33123000001</v>
      </c>
      <c r="Y81" s="408">
        <v>0</v>
      </c>
      <c r="Z81" s="408">
        <v>36441.333788629607</v>
      </c>
      <c r="AA81" s="408">
        <v>0</v>
      </c>
      <c r="AB81" s="408">
        <v>0</v>
      </c>
      <c r="AC81" s="408">
        <v>1515.5199905074876</v>
      </c>
      <c r="AD81" s="408">
        <v>1456.0748736421274</v>
      </c>
      <c r="AE81" s="408">
        <v>139463.16910020099</v>
      </c>
      <c r="AF81" s="408">
        <v>100859.78501685792</v>
      </c>
      <c r="AG81" s="408">
        <v>1721.3933240681879</v>
      </c>
      <c r="AH81" s="408">
        <v>0</v>
      </c>
      <c r="AI81" s="408">
        <v>0</v>
      </c>
      <c r="AJ81" s="408">
        <v>0</v>
      </c>
      <c r="AK81" s="408">
        <v>0</v>
      </c>
      <c r="AL81" s="408">
        <v>5630.3633904163162</v>
      </c>
      <c r="AM81" s="408"/>
      <c r="AN81" s="408">
        <v>715.18041557116692</v>
      </c>
      <c r="AO81" s="408">
        <v>3217.1515375890331</v>
      </c>
      <c r="AP81" s="408">
        <v>15001.103003179071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>
        <v>0</v>
      </c>
      <c r="BG81" s="408">
        <v>5293.3133181465791</v>
      </c>
      <c r="BH81" s="408">
        <v>0</v>
      </c>
      <c r="BI81" s="408">
        <v>246.04</v>
      </c>
      <c r="BJ81" s="408">
        <v>2122.11</v>
      </c>
      <c r="BK81" s="408">
        <v>75230.710000000006</v>
      </c>
      <c r="BL81" s="408">
        <v>330</v>
      </c>
      <c r="BM81" s="408"/>
      <c r="BN81" s="408"/>
      <c r="BO81" s="408"/>
      <c r="BP81" s="408"/>
      <c r="BQ81" s="408"/>
      <c r="BR81" s="408"/>
      <c r="BS81" s="408"/>
      <c r="BT81" s="408"/>
      <c r="BU81" s="408"/>
      <c r="BV81" s="408">
        <v>106153.0983350045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301318.8579</v>
      </c>
      <c r="CJ81" s="408">
        <v>-19301.191530000011</v>
      </c>
      <c r="CK81" s="408"/>
      <c r="CL81" s="408"/>
      <c r="CM81" s="408"/>
      <c r="CN81" s="408"/>
      <c r="CO81" s="408">
        <v>-32086.278329999997</v>
      </c>
      <c r="CP81" s="408">
        <v>12783.59013</v>
      </c>
      <c r="CQ81" s="408">
        <v>31</v>
      </c>
      <c r="CR81" s="408">
        <v>15339.830253947177</v>
      </c>
      <c r="CS81" s="408">
        <v>320.58227424391907</v>
      </c>
      <c r="CT81" s="408">
        <v>1494.8278502698286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1499.2746683046139</v>
      </c>
      <c r="DA81" s="408">
        <v>0</v>
      </c>
      <c r="DB81" s="408">
        <v>0</v>
      </c>
      <c r="DC81" s="408">
        <v>12782.146788749174</v>
      </c>
      <c r="DD81" s="408">
        <v>0</v>
      </c>
      <c r="DE81" s="408">
        <v>0</v>
      </c>
      <c r="DF81" s="408">
        <v>0</v>
      </c>
      <c r="DG81" s="408">
        <v>670.83137070026078</v>
      </c>
      <c r="DH81" s="408">
        <v>0</v>
      </c>
      <c r="DI81" s="408">
        <v>-1237.4323802168074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-170.16684153023198</v>
      </c>
      <c r="DP81" s="408">
        <v>-20.233476573594658</v>
      </c>
      <c r="DQ81" s="408">
        <v>0</v>
      </c>
      <c r="DR81" s="408">
        <v>0</v>
      </c>
      <c r="DS81" s="408"/>
      <c r="DT81" s="408"/>
      <c r="DU81" s="408"/>
      <c r="DV81" s="408">
        <v>139463.16910020099</v>
      </c>
      <c r="DW81" s="408">
        <v>0</v>
      </c>
      <c r="DX81" s="408">
        <v>0</v>
      </c>
      <c r="DY81" s="408">
        <v>-32086.278330000001</v>
      </c>
      <c r="DZ81" s="408">
        <v>12783.590130000011</v>
      </c>
      <c r="EA81" s="408">
        <v>0</v>
      </c>
      <c r="EB81" s="408">
        <v>0</v>
      </c>
      <c r="EC81" s="408">
        <v>-34645.016857718118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9306.4667157941076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240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>
      <c r="A82" s="408">
        <v>80</v>
      </c>
      <c r="B82" s="408" t="s">
        <v>2238</v>
      </c>
      <c r="C82" s="408" t="s">
        <v>2235</v>
      </c>
      <c r="D82" s="408" t="s">
        <v>1958</v>
      </c>
      <c r="E82" s="408" t="s">
        <v>970</v>
      </c>
      <c r="F82" s="408" t="s">
        <v>1322</v>
      </c>
      <c r="G82" s="408" t="s">
        <v>1322</v>
      </c>
      <c r="H82" s="408" t="s">
        <v>1322</v>
      </c>
      <c r="I82" s="408" t="s">
        <v>1322</v>
      </c>
      <c r="J82" s="408" t="s">
        <v>2236</v>
      </c>
      <c r="K82" s="826">
        <v>44409</v>
      </c>
      <c r="L82" s="408">
        <v>0</v>
      </c>
      <c r="M82" s="408">
        <v>0</v>
      </c>
      <c r="N82" s="408">
        <v>60.256999999999998</v>
      </c>
      <c r="O82" s="408">
        <v>60.256999999999998</v>
      </c>
      <c r="P82" s="408">
        <v>60.256999999999998</v>
      </c>
      <c r="Q82" s="408">
        <v>60.256999999999998</v>
      </c>
      <c r="R82" s="408"/>
      <c r="S82" s="408">
        <v>368.24</v>
      </c>
      <c r="T82" s="408">
        <v>173.25</v>
      </c>
      <c r="U82" s="408"/>
      <c r="V82" s="408">
        <v>32628.56293</v>
      </c>
      <c r="W82" s="408">
        <v>32628.56293</v>
      </c>
      <c r="X82" s="408">
        <v>30664.184730000001</v>
      </c>
      <c r="Y82" s="408">
        <v>0</v>
      </c>
      <c r="Z82" s="408">
        <v>3708.528104044462</v>
      </c>
      <c r="AA82" s="408">
        <v>0</v>
      </c>
      <c r="AB82" s="408">
        <v>0</v>
      </c>
      <c r="AC82" s="408">
        <v>154.23004299562356</v>
      </c>
      <c r="AD82" s="408">
        <v>148.18048707590634</v>
      </c>
      <c r="AE82" s="408">
        <v>14192.759383812067</v>
      </c>
      <c r="AF82" s="408">
        <v>10264.205736059204</v>
      </c>
      <c r="AG82" s="408">
        <v>175.1811708498241</v>
      </c>
      <c r="AH82" s="408">
        <v>0</v>
      </c>
      <c r="AI82" s="408">
        <v>0</v>
      </c>
      <c r="AJ82" s="408">
        <v>0</v>
      </c>
      <c r="AK82" s="408">
        <v>0</v>
      </c>
      <c r="AL82" s="408">
        <v>572.98563742079716</v>
      </c>
      <c r="AM82" s="408"/>
      <c r="AN82" s="408">
        <v>72.781822037354416</v>
      </c>
      <c r="AO82" s="408">
        <v>327.40011552050959</v>
      </c>
      <c r="AP82" s="408">
        <v>1526.6184383271288</v>
      </c>
      <c r="AQ82" s="408">
        <v>0</v>
      </c>
      <c r="AR82" s="408">
        <v>0</v>
      </c>
      <c r="AS82" s="408">
        <v>0</v>
      </c>
      <c r="AT82" s="408">
        <v>0</v>
      </c>
      <c r="AU82" s="408">
        <v>0</v>
      </c>
      <c r="AV82" s="408">
        <v>0</v>
      </c>
      <c r="AW82" s="408">
        <v>0</v>
      </c>
      <c r="AX82" s="408">
        <v>0</v>
      </c>
      <c r="AY82" s="408">
        <v>0</v>
      </c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>
        <v>0</v>
      </c>
      <c r="BG82" s="408">
        <v>538.68503600119311</v>
      </c>
      <c r="BH82" s="408">
        <v>0</v>
      </c>
      <c r="BI82" s="408">
        <v>25.68</v>
      </c>
      <c r="BJ82" s="408">
        <v>221.29</v>
      </c>
      <c r="BK82" s="408">
        <v>11711.26</v>
      </c>
      <c r="BL82" s="408">
        <v>40</v>
      </c>
      <c r="BM82" s="408"/>
      <c r="BN82" s="408"/>
      <c r="BO82" s="408"/>
      <c r="BP82" s="408"/>
      <c r="BQ82" s="408"/>
      <c r="BR82" s="408"/>
      <c r="BS82" s="408"/>
      <c r="BT82" s="408"/>
      <c r="BU82" s="408"/>
      <c r="BV82" s="408">
        <v>10802.890772060397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30665.7114</v>
      </c>
      <c r="CJ82" s="408">
        <v>-1962.8815299999951</v>
      </c>
      <c r="CK82" s="408"/>
      <c r="CL82" s="408"/>
      <c r="CM82" s="408"/>
      <c r="CN82" s="408"/>
      <c r="CO82" s="408">
        <v>-3265.32683</v>
      </c>
      <c r="CP82" s="408">
        <v>1300.9486300000001</v>
      </c>
      <c r="CQ82" s="408">
        <v>31</v>
      </c>
      <c r="CR82" s="408">
        <v>1561.0897213039061</v>
      </c>
      <c r="CS82" s="408">
        <v>32.624721712656367</v>
      </c>
      <c r="CT82" s="408">
        <v>152.12426431997778</v>
      </c>
      <c r="CU82" s="408">
        <v>0</v>
      </c>
      <c r="CV82" s="408">
        <v>0</v>
      </c>
      <c r="CW82" s="408">
        <v>0</v>
      </c>
      <c r="CX82" s="408">
        <v>0</v>
      </c>
      <c r="CY82" s="408">
        <v>0</v>
      </c>
      <c r="CZ82" s="408">
        <v>152.57680400338302</v>
      </c>
      <c r="DA82" s="408">
        <v>0</v>
      </c>
      <c r="DB82" s="408">
        <v>0</v>
      </c>
      <c r="DC82" s="408">
        <v>1300.801745376526</v>
      </c>
      <c r="DD82" s="408">
        <v>0</v>
      </c>
      <c r="DE82" s="408">
        <v>0</v>
      </c>
      <c r="DF82" s="408">
        <v>0</v>
      </c>
      <c r="DG82" s="408">
        <v>68.26854927282659</v>
      </c>
      <c r="DH82" s="408">
        <v>0</v>
      </c>
      <c r="DI82" s="408">
        <v>-125.92987911766613</v>
      </c>
      <c r="DJ82" s="408"/>
      <c r="DK82" s="408">
        <v>0</v>
      </c>
      <c r="DL82" s="408">
        <v>0</v>
      </c>
      <c r="DM82" s="408">
        <v>0</v>
      </c>
      <c r="DN82" s="408">
        <v>0</v>
      </c>
      <c r="DO82" s="408">
        <v>-17.317382449603087</v>
      </c>
      <c r="DP82" s="408">
        <v>-2.0591018141908393</v>
      </c>
      <c r="DQ82" s="408">
        <v>0</v>
      </c>
      <c r="DR82" s="408">
        <v>0</v>
      </c>
      <c r="DS82" s="408"/>
      <c r="DT82" s="408"/>
      <c r="DU82" s="408"/>
      <c r="DV82" s="408">
        <v>14192.759383812067</v>
      </c>
      <c r="DW82" s="408">
        <v>0</v>
      </c>
      <c r="DX82" s="408">
        <v>0</v>
      </c>
      <c r="DY82" s="408">
        <v>-3265.3268300000018</v>
      </c>
      <c r="DZ82" s="408">
        <v>1300.9486300000008</v>
      </c>
      <c r="EA82" s="408">
        <v>0</v>
      </c>
      <c r="EB82" s="408">
        <v>0</v>
      </c>
      <c r="EC82" s="408">
        <v>-3525.7221765584945</v>
      </c>
      <c r="ED82" s="408">
        <v>0</v>
      </c>
      <c r="EE82" s="408">
        <v>0</v>
      </c>
      <c r="EF82" s="408">
        <v>0</v>
      </c>
      <c r="EG82" s="408">
        <v>0</v>
      </c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>
        <v>0</v>
      </c>
      <c r="EN82" s="408">
        <v>0</v>
      </c>
      <c r="EO82" s="408">
        <v>0</v>
      </c>
      <c r="EP82" s="408">
        <v>947.0919359061885</v>
      </c>
      <c r="EQ82" s="408">
        <v>0</v>
      </c>
      <c r="ER82" s="408">
        <v>0</v>
      </c>
      <c r="ES82" s="408">
        <v>0</v>
      </c>
      <c r="ET82" s="408">
        <v>0</v>
      </c>
      <c r="EU82" s="408">
        <v>0</v>
      </c>
      <c r="EV82" s="408">
        <v>240</v>
      </c>
      <c r="EW82" s="408">
        <v>0</v>
      </c>
      <c r="EX82" s="408">
        <v>0</v>
      </c>
      <c r="EY82" s="408">
        <v>0</v>
      </c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59" customFormat="1">
      <c r="A83" s="408">
        <v>81</v>
      </c>
      <c r="B83" s="408" t="s">
        <v>1036</v>
      </c>
      <c r="C83" s="408" t="s">
        <v>2247</v>
      </c>
      <c r="D83" s="408" t="s">
        <v>597</v>
      </c>
      <c r="E83" s="408" t="s">
        <v>970</v>
      </c>
      <c r="F83" s="408" t="s">
        <v>1322</v>
      </c>
      <c r="G83" s="408" t="s">
        <v>1322</v>
      </c>
      <c r="H83" s="408" t="s">
        <v>1322</v>
      </c>
      <c r="I83" s="408" t="s">
        <v>973</v>
      </c>
      <c r="J83" s="408" t="s">
        <v>2236</v>
      </c>
      <c r="K83" s="826">
        <v>44409</v>
      </c>
      <c r="L83" s="408">
        <v>15403</v>
      </c>
      <c r="M83" s="408">
        <v>15403</v>
      </c>
      <c r="N83" s="408">
        <v>749.04</v>
      </c>
      <c r="O83" s="408">
        <v>749.04</v>
      </c>
      <c r="P83" s="408">
        <v>749.04</v>
      </c>
      <c r="Q83" s="408">
        <v>749.04</v>
      </c>
      <c r="R83" s="408">
        <v>52.95</v>
      </c>
      <c r="S83" s="408">
        <v>85.01</v>
      </c>
      <c r="T83" s="408">
        <v>173.25</v>
      </c>
      <c r="U83" s="408">
        <v>815588.85000000009</v>
      </c>
      <c r="V83" s="408">
        <v>193447.0704</v>
      </c>
      <c r="W83" s="408">
        <v>1009035.9204000002</v>
      </c>
      <c r="X83" s="408">
        <v>890317.72679999995</v>
      </c>
      <c r="Y83" s="408">
        <v>0</v>
      </c>
      <c r="Z83" s="408">
        <v>40106.829500581036</v>
      </c>
      <c r="AA83" s="408">
        <v>0</v>
      </c>
      <c r="AB83" s="408">
        <v>0</v>
      </c>
      <c r="AC83" s="408">
        <v>12132.423302000036</v>
      </c>
      <c r="AD83" s="408">
        <v>11656.247250992488</v>
      </c>
      <c r="AE83" s="408">
        <v>645904.99657089578</v>
      </c>
      <c r="AF83" s="408">
        <v>127591.82608722284</v>
      </c>
      <c r="AG83" s="408">
        <v>2177.6342037166178</v>
      </c>
      <c r="AH83" s="408">
        <v>0</v>
      </c>
      <c r="AI83" s="408">
        <v>0</v>
      </c>
      <c r="AJ83" s="408">
        <v>0</v>
      </c>
      <c r="AK83" s="408">
        <v>0</v>
      </c>
      <c r="AL83" s="408">
        <v>7122.644038927825</v>
      </c>
      <c r="AM83" s="408"/>
      <c r="AN83" s="408">
        <v>599.84158922711242</v>
      </c>
      <c r="AO83" s="408">
        <v>25754.599745370306</v>
      </c>
      <c r="AP83" s="408">
        <v>120088.3329656053</v>
      </c>
      <c r="AQ83" s="408">
        <v>0</v>
      </c>
      <c r="AR83" s="408">
        <v>0</v>
      </c>
      <c r="AS83" s="408">
        <v>0</v>
      </c>
      <c r="AT83" s="408">
        <v>0</v>
      </c>
      <c r="AU83" s="408">
        <v>0</v>
      </c>
      <c r="AV83" s="408">
        <v>0</v>
      </c>
      <c r="AW83" s="408">
        <v>0</v>
      </c>
      <c r="AX83" s="408">
        <v>0</v>
      </c>
      <c r="AY83" s="408">
        <v>0</v>
      </c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0</v>
      </c>
      <c r="BF83" s="408">
        <v>0</v>
      </c>
      <c r="BG83" s="408">
        <v>5601.8129269341543</v>
      </c>
      <c r="BH83" s="408">
        <v>0</v>
      </c>
      <c r="BI83" s="408">
        <v>0</v>
      </c>
      <c r="BJ83" s="408">
        <v>0</v>
      </c>
      <c r="BK83" s="408">
        <v>0</v>
      </c>
      <c r="BL83" s="408">
        <v>0</v>
      </c>
      <c r="BM83" s="408"/>
      <c r="BN83" s="408"/>
      <c r="BO83" s="408"/>
      <c r="BP83" s="408"/>
      <c r="BQ83" s="408"/>
      <c r="BR83" s="408"/>
      <c r="BS83" s="408"/>
      <c r="BT83" s="408"/>
      <c r="BU83" s="408"/>
      <c r="BV83" s="408">
        <v>133193.639014157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890317.72679999995</v>
      </c>
      <c r="CJ83" s="408">
        <v>-118718.22360000026</v>
      </c>
      <c r="CK83" s="408"/>
      <c r="CL83" s="408"/>
      <c r="CM83" s="408"/>
      <c r="CN83" s="408"/>
      <c r="CO83" s="408">
        <v>-134889.96720000004</v>
      </c>
      <c r="CP83" s="408">
        <v>16171.773600000002</v>
      </c>
      <c r="CQ83" s="408">
        <v>31</v>
      </c>
      <c r="CR83" s="408">
        <v>41820.745315699431</v>
      </c>
      <c r="CS83" s="408">
        <v>2566.3908156469006</v>
      </c>
      <c r="CT83" s="408">
        <v>11966.545698100919</v>
      </c>
      <c r="CU83" s="408">
        <v>0</v>
      </c>
      <c r="CV83" s="408">
        <v>0</v>
      </c>
      <c r="CW83" s="408">
        <v>0</v>
      </c>
      <c r="CX83" s="408">
        <v>0</v>
      </c>
      <c r="CY83" s="408">
        <v>0</v>
      </c>
      <c r="CZ83" s="408">
        <v>12002.072521995557</v>
      </c>
      <c r="DA83" s="408">
        <v>0</v>
      </c>
      <c r="DB83" s="408">
        <v>0</v>
      </c>
      <c r="DC83" s="408">
        <v>16169.947713242174</v>
      </c>
      <c r="DD83" s="408">
        <v>0</v>
      </c>
      <c r="DE83" s="408">
        <v>0</v>
      </c>
      <c r="DF83" s="408">
        <v>0</v>
      </c>
      <c r="DG83" s="408">
        <v>709.92809575408592</v>
      </c>
      <c r="DH83" s="408">
        <v>0</v>
      </c>
      <c r="DI83" s="408">
        <v>-1361.9010154710049</v>
      </c>
      <c r="DJ83" s="408"/>
      <c r="DK83" s="408">
        <v>0</v>
      </c>
      <c r="DL83" s="408">
        <v>0</v>
      </c>
      <c r="DM83" s="408">
        <v>0</v>
      </c>
      <c r="DN83" s="408">
        <v>0</v>
      </c>
      <c r="DO83" s="408">
        <v>-215.26813731268976</v>
      </c>
      <c r="DP83" s="408">
        <v>-16.970376256461122</v>
      </c>
      <c r="DQ83" s="408">
        <v>0</v>
      </c>
      <c r="DR83" s="408">
        <v>0</v>
      </c>
      <c r="DS83" s="408"/>
      <c r="DT83" s="408"/>
      <c r="DU83" s="408">
        <v>645904.99657089578</v>
      </c>
      <c r="DV83" s="408">
        <v>0</v>
      </c>
      <c r="DW83" s="408">
        <v>0</v>
      </c>
      <c r="DX83" s="408">
        <v>0</v>
      </c>
      <c r="DY83" s="408">
        <v>-134889.96720000019</v>
      </c>
      <c r="DZ83" s="408">
        <v>16171.773600000015</v>
      </c>
      <c r="EA83" s="408">
        <v>0</v>
      </c>
      <c r="EB83" s="408">
        <v>0</v>
      </c>
      <c r="EC83" s="408">
        <v>-160453.75735442451</v>
      </c>
      <c r="ED83" s="408">
        <v>0</v>
      </c>
      <c r="EE83" s="408">
        <v>0</v>
      </c>
      <c r="EF83" s="408">
        <v>0</v>
      </c>
      <c r="EG83" s="408">
        <v>0</v>
      </c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>
        <v>0</v>
      </c>
      <c r="EN83" s="408">
        <v>0</v>
      </c>
      <c r="EO83" s="408">
        <v>0</v>
      </c>
      <c r="EP83" s="408">
        <v>10242.56894624559</v>
      </c>
      <c r="EQ83" s="408">
        <v>0</v>
      </c>
      <c r="ER83" s="408">
        <v>0</v>
      </c>
      <c r="ES83" s="408">
        <v>0</v>
      </c>
      <c r="ET83" s="408">
        <v>0</v>
      </c>
      <c r="EU83" s="408">
        <v>0</v>
      </c>
      <c r="EV83" s="408">
        <v>240</v>
      </c>
      <c r="EW83" s="408">
        <v>0</v>
      </c>
      <c r="EX83" s="408">
        <v>0</v>
      </c>
      <c r="EY83" s="408">
        <v>0</v>
      </c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59" customFormat="1">
      <c r="A84" s="408">
        <v>82</v>
      </c>
      <c r="B84" s="408" t="s">
        <v>1036</v>
      </c>
      <c r="C84" s="408" t="s">
        <v>2247</v>
      </c>
      <c r="D84" s="408" t="s">
        <v>597</v>
      </c>
      <c r="E84" s="408" t="s">
        <v>970</v>
      </c>
      <c r="F84" s="408" t="s">
        <v>1322</v>
      </c>
      <c r="G84" s="408" t="s">
        <v>1322</v>
      </c>
      <c r="H84" s="408" t="s">
        <v>1322</v>
      </c>
      <c r="I84" s="408" t="s">
        <v>2244</v>
      </c>
      <c r="J84" s="408" t="s">
        <v>2236</v>
      </c>
      <c r="K84" s="826">
        <v>44409</v>
      </c>
      <c r="L84" s="408">
        <v>16504</v>
      </c>
      <c r="M84" s="408">
        <v>16504</v>
      </c>
      <c r="N84" s="408">
        <v>6854.7430000000004</v>
      </c>
      <c r="O84" s="408">
        <v>6854.7430000000004</v>
      </c>
      <c r="P84" s="408">
        <v>6854.7430000000004</v>
      </c>
      <c r="Q84" s="408">
        <v>6854.7430000000004</v>
      </c>
      <c r="R84" s="408">
        <v>27.19</v>
      </c>
      <c r="S84" s="408">
        <v>85.01</v>
      </c>
      <c r="T84" s="408">
        <v>173.25</v>
      </c>
      <c r="U84" s="408">
        <v>448743.76</v>
      </c>
      <c r="V84" s="408">
        <v>1770305.9271800001</v>
      </c>
      <c r="W84" s="408">
        <v>2219049.6871800004</v>
      </c>
      <c r="X84" s="408">
        <v>2269338.2718100003</v>
      </c>
      <c r="Y84" s="408">
        <v>0</v>
      </c>
      <c r="Z84" s="408">
        <v>367032.47993605334</v>
      </c>
      <c r="AA84" s="408">
        <v>0</v>
      </c>
      <c r="AB84" s="408">
        <v>0</v>
      </c>
      <c r="AC84" s="408">
        <v>3848.7429240085166</v>
      </c>
      <c r="AD84" s="408">
        <v>3697.4709889694777</v>
      </c>
      <c r="AE84" s="408">
        <v>394974.22713310434</v>
      </c>
      <c r="AF84" s="408">
        <v>1167640.1483613802</v>
      </c>
      <c r="AG84" s="408">
        <v>19928.338692842921</v>
      </c>
      <c r="AH84" s="408">
        <v>0</v>
      </c>
      <c r="AI84" s="408">
        <v>0</v>
      </c>
      <c r="AJ84" s="408">
        <v>0</v>
      </c>
      <c r="AK84" s="408">
        <v>0</v>
      </c>
      <c r="AL84" s="408">
        <v>65181.958730284416</v>
      </c>
      <c r="AM84" s="408"/>
      <c r="AN84" s="408">
        <v>5489.3729772287525</v>
      </c>
      <c r="AO84" s="408">
        <v>8167.5792523170176</v>
      </c>
      <c r="AP84" s="408">
        <v>38092.698265061634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0</v>
      </c>
      <c r="BF84" s="408">
        <v>0</v>
      </c>
      <c r="BG84" s="408">
        <v>51264.268861758268</v>
      </c>
      <c r="BH84" s="408">
        <v>0</v>
      </c>
      <c r="BI84" s="408">
        <v>0</v>
      </c>
      <c r="BJ84" s="408">
        <v>0</v>
      </c>
      <c r="BK84" s="408">
        <v>0</v>
      </c>
      <c r="BL84" s="408">
        <v>0</v>
      </c>
      <c r="BM84" s="408"/>
      <c r="BN84" s="408"/>
      <c r="BO84" s="408"/>
      <c r="BP84" s="408"/>
      <c r="BQ84" s="408"/>
      <c r="BR84" s="408"/>
      <c r="BS84" s="408"/>
      <c r="BT84" s="408"/>
      <c r="BU84" s="408"/>
      <c r="BV84" s="408">
        <v>1218904.4172231385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2269337.4358000001</v>
      </c>
      <c r="CJ84" s="408">
        <v>50287.718620000407</v>
      </c>
      <c r="CK84" s="408"/>
      <c r="CL84" s="408"/>
      <c r="CM84" s="408"/>
      <c r="CN84" s="408"/>
      <c r="CO84" s="408">
        <v>-97705.316740000053</v>
      </c>
      <c r="CP84" s="408">
        <v>147993.90137000004</v>
      </c>
      <c r="CQ84" s="408">
        <v>31</v>
      </c>
      <c r="CR84" s="408">
        <v>148302.35284161475</v>
      </c>
      <c r="CS84" s="408">
        <v>813.88181476134832</v>
      </c>
      <c r="CT84" s="408">
        <v>3795.8559611564197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3807.1700095249635</v>
      </c>
      <c r="DA84" s="408">
        <v>0</v>
      </c>
      <c r="DB84" s="408">
        <v>0</v>
      </c>
      <c r="DC84" s="408">
        <v>147977.19200271391</v>
      </c>
      <c r="DD84" s="408">
        <v>0</v>
      </c>
      <c r="DE84" s="408">
        <v>0</v>
      </c>
      <c r="DF84" s="408">
        <v>0</v>
      </c>
      <c r="DG84" s="408">
        <v>6496.8154502745456</v>
      </c>
      <c r="DH84" s="408">
        <v>0</v>
      </c>
      <c r="DI84" s="408">
        <v>-12463.261578143691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-1969.99860804122</v>
      </c>
      <c r="DP84" s="408">
        <v>-155.30221063139925</v>
      </c>
      <c r="DQ84" s="408">
        <v>0</v>
      </c>
      <c r="DR84" s="408">
        <v>0</v>
      </c>
      <c r="DS84" s="408"/>
      <c r="DT84" s="408"/>
      <c r="DU84" s="408">
        <v>394974.22713310434</v>
      </c>
      <c r="DV84" s="408">
        <v>0</v>
      </c>
      <c r="DW84" s="408">
        <v>0</v>
      </c>
      <c r="DX84" s="408">
        <v>0</v>
      </c>
      <c r="DY84" s="408">
        <v>-97705.316740000038</v>
      </c>
      <c r="DZ84" s="408">
        <v>147993.90137000009</v>
      </c>
      <c r="EA84" s="408">
        <v>0</v>
      </c>
      <c r="EB84" s="408">
        <v>0</v>
      </c>
      <c r="EC84" s="408">
        <v>-98118.297796308121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93733.549324861611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240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59" customFormat="1">
      <c r="A85" s="408">
        <v>83</v>
      </c>
      <c r="B85" s="408" t="s">
        <v>1036</v>
      </c>
      <c r="C85" s="408" t="s">
        <v>2247</v>
      </c>
      <c r="D85" s="408" t="s">
        <v>597</v>
      </c>
      <c r="E85" s="408" t="s">
        <v>970</v>
      </c>
      <c r="F85" s="408" t="s">
        <v>1322</v>
      </c>
      <c r="G85" s="408" t="s">
        <v>1322</v>
      </c>
      <c r="H85" s="408" t="s">
        <v>1322</v>
      </c>
      <c r="I85" s="408" t="s">
        <v>1322</v>
      </c>
      <c r="J85" s="408" t="s">
        <v>2236</v>
      </c>
      <c r="K85" s="826">
        <v>44409</v>
      </c>
      <c r="L85" s="408">
        <v>0</v>
      </c>
      <c r="M85" s="408">
        <v>0</v>
      </c>
      <c r="N85" s="408">
        <v>0</v>
      </c>
      <c r="O85" s="408">
        <v>0</v>
      </c>
      <c r="P85" s="408">
        <v>0</v>
      </c>
      <c r="Q85" s="408">
        <v>0</v>
      </c>
      <c r="R85" s="408"/>
      <c r="S85" s="408"/>
      <c r="T85" s="408"/>
      <c r="U85" s="408"/>
      <c r="V85" s="408"/>
      <c r="W85" s="408"/>
      <c r="X85" s="408"/>
      <c r="Y85" s="408"/>
      <c r="Z85" s="408"/>
      <c r="AA85" s="408">
        <v>0</v>
      </c>
      <c r="AB85" s="408"/>
      <c r="AC85" s="408"/>
      <c r="AD85" s="408"/>
      <c r="AE85" s="408"/>
      <c r="AF85" s="408"/>
      <c r="AG85" s="408"/>
      <c r="AH85" s="408"/>
      <c r="AI85" s="408"/>
      <c r="AJ85" s="408"/>
      <c r="AK85" s="408"/>
      <c r="AL85" s="408"/>
      <c r="AM85" s="408"/>
      <c r="AN85" s="408"/>
      <c r="AO85" s="408"/>
      <c r="AP85" s="408"/>
      <c r="AQ85" s="408"/>
      <c r="AR85" s="408"/>
      <c r="AS85" s="408"/>
      <c r="AT85" s="408"/>
      <c r="AU85" s="408"/>
      <c r="AV85" s="408"/>
      <c r="AW85" s="408"/>
      <c r="AX85" s="408"/>
      <c r="AY85" s="408"/>
      <c r="AZ85" s="408">
        <v>0</v>
      </c>
      <c r="BA85" s="408"/>
      <c r="BB85" s="408"/>
      <c r="BC85" s="408"/>
      <c r="BD85" s="408"/>
      <c r="BE85" s="408"/>
      <c r="BF85" s="408"/>
      <c r="BG85" s="408"/>
      <c r="BH85" s="408"/>
      <c r="BI85" s="408">
        <v>2735.28</v>
      </c>
      <c r="BJ85" s="408">
        <v>23445.52</v>
      </c>
      <c r="BK85" s="408">
        <v>813037.02</v>
      </c>
      <c r="BL85" s="408">
        <v>6</v>
      </c>
      <c r="BM85" s="408"/>
      <c r="BN85" s="408"/>
      <c r="BO85" s="408"/>
      <c r="BP85" s="408"/>
      <c r="BQ85" s="408"/>
      <c r="BR85" s="408"/>
      <c r="BS85" s="408"/>
      <c r="BT85" s="408"/>
      <c r="BU85" s="408"/>
      <c r="BV85" s="408"/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/>
      <c r="CJ85" s="408">
        <v>-0.03</v>
      </c>
      <c r="CK85" s="408"/>
      <c r="CL85" s="408"/>
      <c r="CM85" s="408"/>
      <c r="CN85" s="408"/>
      <c r="CO85" s="408">
        <v>0</v>
      </c>
      <c r="CP85" s="408">
        <v>0</v>
      </c>
      <c r="CQ85" s="408">
        <v>31</v>
      </c>
      <c r="CR85" s="408"/>
      <c r="CS85" s="408"/>
      <c r="CT85" s="408"/>
      <c r="CU85" s="408"/>
      <c r="CV85" s="408"/>
      <c r="CW85" s="408"/>
      <c r="CX85" s="408"/>
      <c r="CY85" s="408"/>
      <c r="CZ85" s="408"/>
      <c r="DA85" s="408"/>
      <c r="DB85" s="408"/>
      <c r="DC85" s="408"/>
      <c r="DD85" s="408"/>
      <c r="DE85" s="408"/>
      <c r="DF85" s="408"/>
      <c r="DG85" s="408"/>
      <c r="DH85" s="408"/>
      <c r="DI85" s="408"/>
      <c r="DJ85" s="408"/>
      <c r="DK85" s="408">
        <v>0</v>
      </c>
      <c r="DL85" s="408"/>
      <c r="DM85" s="408"/>
      <c r="DN85" s="408"/>
      <c r="DO85" s="408"/>
      <c r="DP85" s="408"/>
      <c r="DQ85" s="408"/>
      <c r="DR85" s="408"/>
      <c r="DS85" s="408"/>
      <c r="DT85" s="408"/>
      <c r="DU85" s="408"/>
      <c r="DV85" s="408"/>
      <c r="DW85" s="408"/>
      <c r="DX85" s="408"/>
      <c r="DY85" s="408"/>
      <c r="DZ85" s="408"/>
      <c r="EA85" s="408"/>
      <c r="EB85" s="408"/>
      <c r="EC85" s="408"/>
      <c r="ED85" s="408"/>
      <c r="EE85" s="408"/>
      <c r="EF85" s="408"/>
      <c r="EG85" s="408"/>
      <c r="EH85" s="408"/>
      <c r="EI85" s="408"/>
      <c r="EJ85" s="408"/>
      <c r="EK85" s="408"/>
      <c r="EL85" s="408"/>
      <c r="EM85" s="408"/>
      <c r="EN85" s="408"/>
      <c r="EO85" s="408"/>
      <c r="EP85" s="408"/>
      <c r="EQ85" s="408"/>
      <c r="ER85" s="408"/>
      <c r="ES85" s="408"/>
      <c r="ET85" s="408"/>
      <c r="EU85" s="408"/>
      <c r="EV85" s="408">
        <v>240</v>
      </c>
      <c r="EW85" s="408"/>
      <c r="EX85" s="408"/>
      <c r="EY85" s="408"/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59" customFormat="1">
      <c r="A86" s="408">
        <v>84</v>
      </c>
      <c r="B86" s="408" t="s">
        <v>1036</v>
      </c>
      <c r="C86" s="408" t="s">
        <v>2243</v>
      </c>
      <c r="D86" s="408" t="s">
        <v>597</v>
      </c>
      <c r="E86" s="408" t="s">
        <v>970</v>
      </c>
      <c r="F86" s="408" t="s">
        <v>1322</v>
      </c>
      <c r="G86" s="408" t="s">
        <v>1322</v>
      </c>
      <c r="H86" s="408" t="s">
        <v>1322</v>
      </c>
      <c r="I86" s="408" t="s">
        <v>973</v>
      </c>
      <c r="J86" s="408" t="s">
        <v>2236</v>
      </c>
      <c r="K86" s="826">
        <v>44409</v>
      </c>
      <c r="L86" s="408">
        <v>0</v>
      </c>
      <c r="M86" s="408">
        <v>0</v>
      </c>
      <c r="N86" s="408">
        <v>216.28700000000001</v>
      </c>
      <c r="O86" s="408">
        <v>216.28700000000001</v>
      </c>
      <c r="P86" s="408">
        <v>216.28700000000001</v>
      </c>
      <c r="Q86" s="408">
        <v>216.28700000000001</v>
      </c>
      <c r="R86" s="408"/>
      <c r="S86" s="408">
        <v>1358.36</v>
      </c>
      <c r="T86" s="408">
        <v>173.25</v>
      </c>
      <c r="U86" s="408"/>
      <c r="V86" s="408">
        <v>331267.33207</v>
      </c>
      <c r="W86" s="408">
        <v>331267.33207</v>
      </c>
      <c r="X86" s="408">
        <v>290456.13803999999</v>
      </c>
      <c r="Y86" s="408">
        <v>0</v>
      </c>
      <c r="Z86" s="408">
        <v>11580.938043618728</v>
      </c>
      <c r="AA86" s="408">
        <v>0</v>
      </c>
      <c r="AB86" s="408">
        <v>0</v>
      </c>
      <c r="AC86" s="408">
        <v>4096.9274598283564</v>
      </c>
      <c r="AD86" s="408">
        <v>3936.2407444529154</v>
      </c>
      <c r="AE86" s="408">
        <v>218127.10854359946</v>
      </c>
      <c r="AF86" s="408">
        <v>36842.429361485592</v>
      </c>
      <c r="AG86" s="408">
        <v>628.79681862017537</v>
      </c>
      <c r="AH86" s="408">
        <v>0</v>
      </c>
      <c r="AI86" s="408">
        <v>0</v>
      </c>
      <c r="AJ86" s="408">
        <v>0</v>
      </c>
      <c r="AK86" s="408">
        <v>0</v>
      </c>
      <c r="AL86" s="408">
        <v>2056.6796315918809</v>
      </c>
      <c r="AM86" s="408"/>
      <c r="AN86" s="408">
        <v>173.2056202728352</v>
      </c>
      <c r="AO86" s="408">
        <v>8697.0780997417442</v>
      </c>
      <c r="AP86" s="408">
        <v>40552.969235600503</v>
      </c>
      <c r="AQ86" s="408">
        <v>0</v>
      </c>
      <c r="AR86" s="408">
        <v>0</v>
      </c>
      <c r="AS86" s="408">
        <v>0</v>
      </c>
      <c r="AT86" s="408">
        <v>0</v>
      </c>
      <c r="AU86" s="408">
        <v>0</v>
      </c>
      <c r="AV86" s="408">
        <v>0</v>
      </c>
      <c r="AW86" s="408">
        <v>0</v>
      </c>
      <c r="AX86" s="408">
        <v>0</v>
      </c>
      <c r="AY86" s="408">
        <v>0</v>
      </c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0</v>
      </c>
      <c r="BF86" s="408">
        <v>0</v>
      </c>
      <c r="BG86" s="408">
        <v>1617.5361963684284</v>
      </c>
      <c r="BH86" s="408">
        <v>0</v>
      </c>
      <c r="BI86" s="408">
        <v>0</v>
      </c>
      <c r="BJ86" s="408">
        <v>0</v>
      </c>
      <c r="BK86" s="408">
        <v>0</v>
      </c>
      <c r="BL86" s="408">
        <v>0</v>
      </c>
      <c r="BM86" s="408"/>
      <c r="BN86" s="408"/>
      <c r="BO86" s="408"/>
      <c r="BP86" s="408"/>
      <c r="BQ86" s="408"/>
      <c r="BR86" s="408"/>
      <c r="BS86" s="408"/>
      <c r="BT86" s="408"/>
      <c r="BU86" s="408"/>
      <c r="BV86" s="408">
        <v>38459.965557854019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290460.16680000001</v>
      </c>
      <c r="CJ86" s="408">
        <v>-40807.195270000026</v>
      </c>
      <c r="CK86" s="408"/>
      <c r="CL86" s="408"/>
      <c r="CM86" s="408"/>
      <c r="CN86" s="408"/>
      <c r="CO86" s="408">
        <v>-45480.830359999993</v>
      </c>
      <c r="CP86" s="408">
        <v>4669.6363300000012</v>
      </c>
      <c r="CQ86" s="408">
        <v>31</v>
      </c>
      <c r="CR86" s="408">
        <v>13374.476735136064</v>
      </c>
      <c r="CS86" s="408">
        <v>866.64524313380571</v>
      </c>
      <c r="CT86" s="408">
        <v>4041.0167046826391</v>
      </c>
      <c r="CU86" s="408">
        <v>0</v>
      </c>
      <c r="CV86" s="408">
        <v>0</v>
      </c>
      <c r="CW86" s="408">
        <v>0</v>
      </c>
      <c r="CX86" s="408">
        <v>0</v>
      </c>
      <c r="CY86" s="408">
        <v>0</v>
      </c>
      <c r="CZ86" s="408">
        <v>4053.0237444075392</v>
      </c>
      <c r="DA86" s="408">
        <v>0</v>
      </c>
      <c r="DB86" s="408">
        <v>0</v>
      </c>
      <c r="DC86" s="408">
        <v>4669.1091010546952</v>
      </c>
      <c r="DD86" s="408">
        <v>0</v>
      </c>
      <c r="DE86" s="408">
        <v>0</v>
      </c>
      <c r="DF86" s="408">
        <v>0</v>
      </c>
      <c r="DG86" s="408">
        <v>204.99334888172052</v>
      </c>
      <c r="DH86" s="408">
        <v>0</v>
      </c>
      <c r="DI86" s="408">
        <v>-393.25200914928064</v>
      </c>
      <c r="DJ86" s="408"/>
      <c r="DK86" s="408">
        <v>0</v>
      </c>
      <c r="DL86" s="408">
        <v>0</v>
      </c>
      <c r="DM86" s="408">
        <v>0</v>
      </c>
      <c r="DN86" s="408">
        <v>0</v>
      </c>
      <c r="DO86" s="408">
        <v>-62.159163215515491</v>
      </c>
      <c r="DP86" s="408">
        <v>-4.9002346595391657</v>
      </c>
      <c r="DQ86" s="408">
        <v>0</v>
      </c>
      <c r="DR86" s="408">
        <v>0</v>
      </c>
      <c r="DS86" s="408"/>
      <c r="DT86" s="408"/>
      <c r="DU86" s="408"/>
      <c r="DV86" s="408">
        <v>218127.10854359946</v>
      </c>
      <c r="DW86" s="408">
        <v>0</v>
      </c>
      <c r="DX86" s="408">
        <v>0</v>
      </c>
      <c r="DY86" s="408">
        <v>-45480.830359999993</v>
      </c>
      <c r="DZ86" s="408">
        <v>4669.6363300000012</v>
      </c>
      <c r="EA86" s="408">
        <v>0</v>
      </c>
      <c r="EB86" s="408">
        <v>0</v>
      </c>
      <c r="EC86" s="408">
        <v>-54186.473757732805</v>
      </c>
      <c r="ED86" s="408">
        <v>0</v>
      </c>
      <c r="EE86" s="408">
        <v>0</v>
      </c>
      <c r="EF86" s="408">
        <v>0</v>
      </c>
      <c r="EG86" s="408">
        <v>0</v>
      </c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>
        <v>0</v>
      </c>
      <c r="EN86" s="408">
        <v>0</v>
      </c>
      <c r="EO86" s="408">
        <v>0</v>
      </c>
      <c r="EP86" s="408">
        <v>2957.5650294732191</v>
      </c>
      <c r="EQ86" s="408">
        <v>0</v>
      </c>
      <c r="ER86" s="408">
        <v>0</v>
      </c>
      <c r="ES86" s="408">
        <v>0</v>
      </c>
      <c r="ET86" s="408">
        <v>0</v>
      </c>
      <c r="EU86" s="408">
        <v>0</v>
      </c>
      <c r="EV86" s="408">
        <v>240</v>
      </c>
      <c r="EW86" s="408">
        <v>0</v>
      </c>
      <c r="EX86" s="408">
        <v>0</v>
      </c>
      <c r="EY86" s="408">
        <v>0</v>
      </c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59" customFormat="1">
      <c r="A87" s="408">
        <v>85</v>
      </c>
      <c r="B87" s="408" t="s">
        <v>2238</v>
      </c>
      <c r="C87" s="408" t="s">
        <v>2243</v>
      </c>
      <c r="D87" s="408" t="s">
        <v>597</v>
      </c>
      <c r="E87" s="408" t="s">
        <v>970</v>
      </c>
      <c r="F87" s="408" t="s">
        <v>1322</v>
      </c>
      <c r="G87" s="408" t="s">
        <v>1322</v>
      </c>
      <c r="H87" s="408" t="s">
        <v>1322</v>
      </c>
      <c r="I87" s="408" t="s">
        <v>973</v>
      </c>
      <c r="J87" s="408" t="s">
        <v>2236</v>
      </c>
      <c r="K87" s="826">
        <v>44409</v>
      </c>
      <c r="L87" s="408">
        <v>0</v>
      </c>
      <c r="M87" s="408">
        <v>0</v>
      </c>
      <c r="N87" s="408">
        <v>0.33400000000000002</v>
      </c>
      <c r="O87" s="408">
        <v>0.33400000000000002</v>
      </c>
      <c r="P87" s="408">
        <v>0.33400000000000002</v>
      </c>
      <c r="Q87" s="408">
        <v>0.33400000000000002</v>
      </c>
      <c r="R87" s="408"/>
      <c r="S87" s="408">
        <v>1358.36</v>
      </c>
      <c r="T87" s="408">
        <v>173.25</v>
      </c>
      <c r="U87" s="408"/>
      <c r="V87" s="408">
        <v>511.55773999999997</v>
      </c>
      <c r="W87" s="408">
        <v>511.55773999999997</v>
      </c>
      <c r="X87" s="408">
        <v>448.53527999999994</v>
      </c>
      <c r="Y87" s="408">
        <v>0</v>
      </c>
      <c r="Z87" s="408">
        <v>17.883799334073036</v>
      </c>
      <c r="AA87" s="408">
        <v>0</v>
      </c>
      <c r="AB87" s="408">
        <v>0</v>
      </c>
      <c r="AC87" s="408">
        <v>6.3266575040694581</v>
      </c>
      <c r="AD87" s="408">
        <v>6.0785179351846104</v>
      </c>
      <c r="AE87" s="408">
        <v>336.84157741132026</v>
      </c>
      <c r="AF87" s="408">
        <v>56.893717175494544</v>
      </c>
      <c r="AG87" s="408">
        <v>0.97101599920077764</v>
      </c>
      <c r="AH87" s="408">
        <v>0</v>
      </c>
      <c r="AI87" s="408">
        <v>0</v>
      </c>
      <c r="AJ87" s="408">
        <v>0</v>
      </c>
      <c r="AK87" s="408">
        <v>0</v>
      </c>
      <c r="AL87" s="408">
        <v>3.1760161126266873</v>
      </c>
      <c r="AM87" s="408"/>
      <c r="AN87" s="408">
        <v>0.26747181832993644</v>
      </c>
      <c r="AO87" s="408">
        <v>13.43041461259226</v>
      </c>
      <c r="AP87" s="408">
        <v>62.623697793628686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0</v>
      </c>
      <c r="BE87" s="408">
        <v>0</v>
      </c>
      <c r="BF87" s="408">
        <v>0</v>
      </c>
      <c r="BG87" s="408">
        <v>2.4978712987237102</v>
      </c>
      <c r="BH87" s="408">
        <v>0</v>
      </c>
      <c r="BI87" s="408">
        <v>0</v>
      </c>
      <c r="BJ87" s="408">
        <v>0</v>
      </c>
      <c r="BK87" s="408">
        <v>0</v>
      </c>
      <c r="BL87" s="408">
        <v>0</v>
      </c>
      <c r="BM87" s="408"/>
      <c r="BN87" s="408"/>
      <c r="BO87" s="408"/>
      <c r="BP87" s="408"/>
      <c r="BQ87" s="408"/>
      <c r="BR87" s="408"/>
      <c r="BS87" s="408"/>
      <c r="BT87" s="408"/>
      <c r="BU87" s="408"/>
      <c r="BV87" s="408">
        <v>59.391588474218253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443.16359999999997</v>
      </c>
      <c r="CJ87" s="408">
        <v>-68.424139999999966</v>
      </c>
      <c r="CK87" s="408"/>
      <c r="CL87" s="408"/>
      <c r="CM87" s="408"/>
      <c r="CN87" s="408"/>
      <c r="CO87" s="408">
        <v>-70.233519999999999</v>
      </c>
      <c r="CP87" s="408">
        <v>7.2110600000000016</v>
      </c>
      <c r="CQ87" s="408">
        <v>31</v>
      </c>
      <c r="CR87" s="408">
        <v>20.653461509639726</v>
      </c>
      <c r="CS87" s="408">
        <v>1.3383121094041321</v>
      </c>
      <c r="CT87" s="408">
        <v>6.2403176305741894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6.2588594350659914</v>
      </c>
      <c r="DA87" s="408">
        <v>0</v>
      </c>
      <c r="DB87" s="408">
        <v>0</v>
      </c>
      <c r="DC87" s="408">
        <v>7.2102458296257623</v>
      </c>
      <c r="DD87" s="408">
        <v>0</v>
      </c>
      <c r="DE87" s="408">
        <v>0</v>
      </c>
      <c r="DF87" s="408">
        <v>0</v>
      </c>
      <c r="DG87" s="408">
        <v>0.31655984190679343</v>
      </c>
      <c r="DH87" s="408">
        <v>0</v>
      </c>
      <c r="DI87" s="408">
        <v>-0.60727723374895248</v>
      </c>
      <c r="DJ87" s="408"/>
      <c r="DK87" s="408">
        <v>0</v>
      </c>
      <c r="DL87" s="408">
        <v>0</v>
      </c>
      <c r="DM87" s="408">
        <v>0</v>
      </c>
      <c r="DN87" s="408">
        <v>0</v>
      </c>
      <c r="DO87" s="408">
        <v>-9.5988942996954041E-2</v>
      </c>
      <c r="DP87" s="408">
        <v>-7.5671601912555286E-3</v>
      </c>
      <c r="DQ87" s="408">
        <v>0</v>
      </c>
      <c r="DR87" s="408">
        <v>0</v>
      </c>
      <c r="DS87" s="408"/>
      <c r="DT87" s="408"/>
      <c r="DU87" s="408"/>
      <c r="DV87" s="408">
        <v>336.84157741132026</v>
      </c>
      <c r="DW87" s="408">
        <v>0</v>
      </c>
      <c r="DX87" s="408">
        <v>0</v>
      </c>
      <c r="DY87" s="408">
        <v>-70.233519999999999</v>
      </c>
      <c r="DZ87" s="408">
        <v>7.2110599999999963</v>
      </c>
      <c r="EA87" s="408">
        <v>0</v>
      </c>
      <c r="EB87" s="408">
        <v>0</v>
      </c>
      <c r="EC87" s="408">
        <v>-83.677161526503028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4.5672033910686043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240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59" customFormat="1">
      <c r="A88" s="408">
        <v>86</v>
      </c>
      <c r="B88" s="408" t="s">
        <v>1036</v>
      </c>
      <c r="C88" s="408" t="s">
        <v>2243</v>
      </c>
      <c r="D88" s="408" t="s">
        <v>597</v>
      </c>
      <c r="E88" s="408" t="s">
        <v>970</v>
      </c>
      <c r="F88" s="408" t="s">
        <v>1322</v>
      </c>
      <c r="G88" s="408" t="s">
        <v>1322</v>
      </c>
      <c r="H88" s="408" t="s">
        <v>1322</v>
      </c>
      <c r="I88" s="408" t="s">
        <v>2244</v>
      </c>
      <c r="J88" s="408" t="s">
        <v>2236</v>
      </c>
      <c r="K88" s="826">
        <v>44409</v>
      </c>
      <c r="L88" s="408">
        <v>0</v>
      </c>
      <c r="M88" s="408">
        <v>0</v>
      </c>
      <c r="N88" s="408">
        <v>3551.8620000000001</v>
      </c>
      <c r="O88" s="408">
        <v>3551.8620000000001</v>
      </c>
      <c r="P88" s="408">
        <v>3551.8620000000001</v>
      </c>
      <c r="Q88" s="408">
        <v>3551.8620000000001</v>
      </c>
      <c r="R88" s="408"/>
      <c r="S88" s="408">
        <v>85.01</v>
      </c>
      <c r="T88" s="408">
        <v>173.25</v>
      </c>
      <c r="U88" s="408"/>
      <c r="V88" s="408">
        <v>917303.88011999999</v>
      </c>
      <c r="W88" s="408">
        <v>917303.88011999999</v>
      </c>
      <c r="X88" s="408">
        <v>989797.38354000007</v>
      </c>
      <c r="Y88" s="408">
        <v>0</v>
      </c>
      <c r="Z88" s="408">
        <v>190181.99781532731</v>
      </c>
      <c r="AA88" s="408">
        <v>0</v>
      </c>
      <c r="AB88" s="408">
        <v>0</v>
      </c>
      <c r="AC88" s="408">
        <v>0</v>
      </c>
      <c r="AD88" s="408">
        <v>0</v>
      </c>
      <c r="AE88" s="408">
        <v>0</v>
      </c>
      <c r="AF88" s="408">
        <v>605025.84453409107</v>
      </c>
      <c r="AG88" s="408">
        <v>10326.092302255307</v>
      </c>
      <c r="AH88" s="408">
        <v>0</v>
      </c>
      <c r="AI88" s="408">
        <v>0</v>
      </c>
      <c r="AJ88" s="408">
        <v>0</v>
      </c>
      <c r="AK88" s="408">
        <v>0</v>
      </c>
      <c r="AL88" s="408">
        <v>33774.763298881582</v>
      </c>
      <c r="AM88" s="408"/>
      <c r="AN88" s="408">
        <v>2844.3802023862413</v>
      </c>
      <c r="AO88" s="408">
        <v>0</v>
      </c>
      <c r="AP88" s="408">
        <v>0</v>
      </c>
      <c r="AQ88" s="408">
        <v>0</v>
      </c>
      <c r="AR88" s="408">
        <v>0</v>
      </c>
      <c r="AS88" s="408">
        <v>0</v>
      </c>
      <c r="AT88" s="408">
        <v>0</v>
      </c>
      <c r="AU88" s="408">
        <v>0</v>
      </c>
      <c r="AV88" s="408">
        <v>0</v>
      </c>
      <c r="AW88" s="408">
        <v>0</v>
      </c>
      <c r="AX88" s="408">
        <v>0</v>
      </c>
      <c r="AY88" s="408">
        <v>0</v>
      </c>
      <c r="AZ88" s="408">
        <v>0</v>
      </c>
      <c r="BA88" s="408"/>
      <c r="BB88" s="408">
        <v>0</v>
      </c>
      <c r="BC88" s="408">
        <v>0</v>
      </c>
      <c r="BD88" s="408">
        <v>0</v>
      </c>
      <c r="BE88" s="408">
        <v>0</v>
      </c>
      <c r="BF88" s="408">
        <v>0</v>
      </c>
      <c r="BG88" s="408">
        <v>26563.156128225732</v>
      </c>
      <c r="BH88" s="408">
        <v>0</v>
      </c>
      <c r="BI88" s="408">
        <v>0</v>
      </c>
      <c r="BJ88" s="408">
        <v>0</v>
      </c>
      <c r="BK88" s="408">
        <v>0</v>
      </c>
      <c r="BL88" s="408">
        <v>0</v>
      </c>
      <c r="BM88" s="408"/>
      <c r="BN88" s="408"/>
      <c r="BO88" s="408"/>
      <c r="BP88" s="408"/>
      <c r="BQ88" s="408"/>
      <c r="BR88" s="408"/>
      <c r="BS88" s="408"/>
      <c r="BT88" s="408"/>
      <c r="BU88" s="408"/>
      <c r="BV88" s="408">
        <v>631589.0006623168</v>
      </c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>
        <v>989796.82620000001</v>
      </c>
      <c r="CJ88" s="408">
        <v>72492.916079999995</v>
      </c>
      <c r="CK88" s="408"/>
      <c r="CL88" s="408"/>
      <c r="CM88" s="408"/>
      <c r="CN88" s="408"/>
      <c r="CO88" s="408">
        <v>-4191.1971600000243</v>
      </c>
      <c r="CP88" s="408">
        <v>76684.700580000019</v>
      </c>
      <c r="CQ88" s="408">
        <v>31</v>
      </c>
      <c r="CR88" s="408">
        <v>72483.212958983844</v>
      </c>
      <c r="CS88" s="408">
        <v>0</v>
      </c>
      <c r="CT88" s="408">
        <v>0</v>
      </c>
      <c r="CU88" s="408">
        <v>0</v>
      </c>
      <c r="CV88" s="408">
        <v>0</v>
      </c>
      <c r="CW88" s="408">
        <v>0</v>
      </c>
      <c r="CX88" s="408">
        <v>0</v>
      </c>
      <c r="CY88" s="408">
        <v>0</v>
      </c>
      <c r="CZ88" s="408">
        <v>0</v>
      </c>
      <c r="DA88" s="408">
        <v>0</v>
      </c>
      <c r="DB88" s="408">
        <v>0</v>
      </c>
      <c r="DC88" s="408">
        <v>76676.042433850933</v>
      </c>
      <c r="DD88" s="408">
        <v>0</v>
      </c>
      <c r="DE88" s="408">
        <v>0</v>
      </c>
      <c r="DF88" s="408">
        <v>0</v>
      </c>
      <c r="DG88" s="408">
        <v>3366.3978239363678</v>
      </c>
      <c r="DH88" s="408">
        <v>0</v>
      </c>
      <c r="DI88" s="408">
        <v>-6457.9788323892863</v>
      </c>
      <c r="DJ88" s="408"/>
      <c r="DK88" s="408">
        <v>0</v>
      </c>
      <c r="DL88" s="408">
        <v>0</v>
      </c>
      <c r="DM88" s="408">
        <v>0</v>
      </c>
      <c r="DN88" s="408">
        <v>0</v>
      </c>
      <c r="DO88" s="408">
        <v>-1020.7768833863629</v>
      </c>
      <c r="DP88" s="408">
        <v>-80.471583027644556</v>
      </c>
      <c r="DQ88" s="408">
        <v>0</v>
      </c>
      <c r="DR88" s="408">
        <v>0</v>
      </c>
      <c r="DS88" s="408"/>
      <c r="DT88" s="408"/>
      <c r="DU88" s="408"/>
      <c r="DV88" s="408">
        <v>0</v>
      </c>
      <c r="DW88" s="408">
        <v>0</v>
      </c>
      <c r="DX88" s="408">
        <v>0</v>
      </c>
      <c r="DY88" s="408">
        <v>-4191.1971599999815</v>
      </c>
      <c r="DZ88" s="408">
        <v>76684.700580000062</v>
      </c>
      <c r="EA88" s="408">
        <v>0</v>
      </c>
      <c r="EB88" s="408">
        <v>0</v>
      </c>
      <c r="EC88" s="408">
        <v>0</v>
      </c>
      <c r="ED88" s="408">
        <v>0</v>
      </c>
      <c r="EE88" s="408">
        <v>0</v>
      </c>
      <c r="EF88" s="408">
        <v>0</v>
      </c>
      <c r="EG88" s="408">
        <v>0</v>
      </c>
      <c r="EH88" s="408">
        <v>0</v>
      </c>
      <c r="EI88" s="408">
        <v>0</v>
      </c>
      <c r="EJ88" s="408">
        <v>0</v>
      </c>
      <c r="EK88" s="408">
        <v>0</v>
      </c>
      <c r="EL88" s="408">
        <v>0</v>
      </c>
      <c r="EM88" s="408">
        <v>0</v>
      </c>
      <c r="EN88" s="408">
        <v>0</v>
      </c>
      <c r="EO88" s="408">
        <v>0</v>
      </c>
      <c r="EP88" s="408">
        <v>48569.090332358428</v>
      </c>
      <c r="EQ88" s="408">
        <v>0</v>
      </c>
      <c r="ER88" s="408">
        <v>0</v>
      </c>
      <c r="ES88" s="408">
        <v>0</v>
      </c>
      <c r="ET88" s="408">
        <v>0</v>
      </c>
      <c r="EU88" s="408">
        <v>0</v>
      </c>
      <c r="EV88" s="408">
        <v>240</v>
      </c>
      <c r="EW88" s="408">
        <v>0</v>
      </c>
      <c r="EX88" s="408">
        <v>0</v>
      </c>
      <c r="EY88" s="408">
        <v>0</v>
      </c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59" customFormat="1">
      <c r="A89" s="408">
        <v>87</v>
      </c>
      <c r="B89" s="408" t="s">
        <v>2238</v>
      </c>
      <c r="C89" s="408" t="s">
        <v>2243</v>
      </c>
      <c r="D89" s="408" t="s">
        <v>597</v>
      </c>
      <c r="E89" s="408" t="s">
        <v>970</v>
      </c>
      <c r="F89" s="408" t="s">
        <v>1322</v>
      </c>
      <c r="G89" s="408" t="s">
        <v>1322</v>
      </c>
      <c r="H89" s="408" t="s">
        <v>1322</v>
      </c>
      <c r="I89" s="408" t="s">
        <v>2244</v>
      </c>
      <c r="J89" s="408" t="s">
        <v>2236</v>
      </c>
      <c r="K89" s="826">
        <v>44409</v>
      </c>
      <c r="L89" s="408">
        <v>0</v>
      </c>
      <c r="M89" s="408">
        <v>0</v>
      </c>
      <c r="N89" s="408">
        <v>10.244999999999999</v>
      </c>
      <c r="O89" s="408">
        <v>10.244999999999999</v>
      </c>
      <c r="P89" s="408">
        <v>10.244999999999999</v>
      </c>
      <c r="Q89" s="408">
        <v>10.244999999999999</v>
      </c>
      <c r="R89" s="408"/>
      <c r="S89" s="408">
        <v>85.01</v>
      </c>
      <c r="T89" s="408">
        <v>173.25</v>
      </c>
      <c r="U89" s="408"/>
      <c r="V89" s="408">
        <v>2645.8737000000001</v>
      </c>
      <c r="W89" s="408">
        <v>2645.8737000000001</v>
      </c>
      <c r="X89" s="408">
        <v>2854.9741499999996</v>
      </c>
      <c r="Y89" s="408">
        <v>0</v>
      </c>
      <c r="Z89" s="408">
        <v>548.56144963346776</v>
      </c>
      <c r="AA89" s="408">
        <v>0</v>
      </c>
      <c r="AB89" s="408">
        <v>0</v>
      </c>
      <c r="AC89" s="408">
        <v>0</v>
      </c>
      <c r="AD89" s="408">
        <v>0</v>
      </c>
      <c r="AE89" s="408">
        <v>0</v>
      </c>
      <c r="AF89" s="408">
        <v>1745.1381211465316</v>
      </c>
      <c r="AG89" s="408">
        <v>29.784607520395106</v>
      </c>
      <c r="AH89" s="408">
        <v>0</v>
      </c>
      <c r="AI89" s="408">
        <v>0</v>
      </c>
      <c r="AJ89" s="408">
        <v>0</v>
      </c>
      <c r="AK89" s="408">
        <v>0</v>
      </c>
      <c r="AL89" s="408">
        <v>97.420015191198814</v>
      </c>
      <c r="AM89" s="408"/>
      <c r="AN89" s="408">
        <v>8.2043376610484984</v>
      </c>
      <c r="AO89" s="408">
        <v>0</v>
      </c>
      <c r="AP89" s="408">
        <v>0</v>
      </c>
      <c r="AQ89" s="408">
        <v>0</v>
      </c>
      <c r="AR89" s="408">
        <v>0</v>
      </c>
      <c r="AS89" s="408">
        <v>0</v>
      </c>
      <c r="AT89" s="408">
        <v>0</v>
      </c>
      <c r="AU89" s="408">
        <v>0</v>
      </c>
      <c r="AV89" s="408">
        <v>0</v>
      </c>
      <c r="AW89" s="408">
        <v>0</v>
      </c>
      <c r="AX89" s="408">
        <v>0</v>
      </c>
      <c r="AY89" s="408">
        <v>0</v>
      </c>
      <c r="AZ89" s="408">
        <v>0</v>
      </c>
      <c r="BA89" s="408"/>
      <c r="BB89" s="408">
        <v>0</v>
      </c>
      <c r="BC89" s="408">
        <v>0</v>
      </c>
      <c r="BD89" s="408">
        <v>0</v>
      </c>
      <c r="BE89" s="408">
        <v>0</v>
      </c>
      <c r="BF89" s="408">
        <v>0</v>
      </c>
      <c r="BG89" s="408">
        <v>76.618836692887442</v>
      </c>
      <c r="BH89" s="408">
        <v>0</v>
      </c>
      <c r="BI89" s="408">
        <v>0</v>
      </c>
      <c r="BJ89" s="408">
        <v>0</v>
      </c>
      <c r="BK89" s="408">
        <v>0</v>
      </c>
      <c r="BL89" s="408">
        <v>0</v>
      </c>
      <c r="BM89" s="408"/>
      <c r="BN89" s="408"/>
      <c r="BO89" s="408"/>
      <c r="BP89" s="408"/>
      <c r="BQ89" s="408"/>
      <c r="BR89" s="408"/>
      <c r="BS89" s="408"/>
      <c r="BT89" s="408"/>
      <c r="BU89" s="408"/>
      <c r="BV89" s="408">
        <v>1821.7569578394191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2856.3675000000003</v>
      </c>
      <c r="CJ89" s="408">
        <v>210.46379999999999</v>
      </c>
      <c r="CK89" s="408"/>
      <c r="CL89" s="408"/>
      <c r="CM89" s="408"/>
      <c r="CN89" s="408"/>
      <c r="CO89" s="408">
        <v>-12.089100000000069</v>
      </c>
      <c r="CP89" s="408">
        <v>221.18955000000003</v>
      </c>
      <c r="CQ89" s="408">
        <v>31</v>
      </c>
      <c r="CR89" s="408">
        <v>209.07076816745484</v>
      </c>
      <c r="CS89" s="408">
        <v>0</v>
      </c>
      <c r="CT89" s="408">
        <v>0</v>
      </c>
      <c r="CU89" s="408">
        <v>0</v>
      </c>
      <c r="CV89" s="408">
        <v>0</v>
      </c>
      <c r="CW89" s="408">
        <v>0</v>
      </c>
      <c r="CX89" s="408">
        <v>0</v>
      </c>
      <c r="CY89" s="408">
        <v>0</v>
      </c>
      <c r="CZ89" s="408">
        <v>0</v>
      </c>
      <c r="DA89" s="408">
        <v>0</v>
      </c>
      <c r="DB89" s="408">
        <v>0</v>
      </c>
      <c r="DC89" s="408">
        <v>221.16457642070645</v>
      </c>
      <c r="DD89" s="408">
        <v>0</v>
      </c>
      <c r="DE89" s="408">
        <v>0</v>
      </c>
      <c r="DF89" s="408">
        <v>0</v>
      </c>
      <c r="DG89" s="408">
        <v>9.7100466477098877</v>
      </c>
      <c r="DH89" s="408">
        <v>0</v>
      </c>
      <c r="DI89" s="408">
        <v>-18.627410957359302</v>
      </c>
      <c r="DJ89" s="408"/>
      <c r="DK89" s="408">
        <v>0</v>
      </c>
      <c r="DL89" s="408">
        <v>0</v>
      </c>
      <c r="DM89" s="408">
        <v>0</v>
      </c>
      <c r="DN89" s="408">
        <v>0</v>
      </c>
      <c r="DO89" s="408">
        <v>-2.9443315000113444</v>
      </c>
      <c r="DP89" s="408">
        <v>-0.23211244359105709</v>
      </c>
      <c r="DQ89" s="408">
        <v>0</v>
      </c>
      <c r="DR89" s="408">
        <v>0</v>
      </c>
      <c r="DS89" s="408"/>
      <c r="DT89" s="408"/>
      <c r="DU89" s="408"/>
      <c r="DV89" s="408">
        <v>0</v>
      </c>
      <c r="DW89" s="408">
        <v>0</v>
      </c>
      <c r="DX89" s="408">
        <v>0</v>
      </c>
      <c r="DY89" s="408">
        <v>-12.089100000000144</v>
      </c>
      <c r="DZ89" s="408">
        <v>221.18954999999983</v>
      </c>
      <c r="EA89" s="408">
        <v>0</v>
      </c>
      <c r="EB89" s="408">
        <v>0</v>
      </c>
      <c r="EC89" s="408">
        <v>0</v>
      </c>
      <c r="ED89" s="408">
        <v>0</v>
      </c>
      <c r="EE89" s="408">
        <v>0</v>
      </c>
      <c r="EF89" s="408">
        <v>0</v>
      </c>
      <c r="EG89" s="408">
        <v>0</v>
      </c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>
        <v>0</v>
      </c>
      <c r="EN89" s="408">
        <v>0</v>
      </c>
      <c r="EO89" s="408">
        <v>0</v>
      </c>
      <c r="EP89" s="408">
        <v>140.09281060328698</v>
      </c>
      <c r="EQ89" s="408">
        <v>0</v>
      </c>
      <c r="ER89" s="408">
        <v>0</v>
      </c>
      <c r="ES89" s="408">
        <v>0</v>
      </c>
      <c r="ET89" s="408">
        <v>0</v>
      </c>
      <c r="EU89" s="408">
        <v>0</v>
      </c>
      <c r="EV89" s="408">
        <v>240</v>
      </c>
      <c r="EW89" s="408">
        <v>0</v>
      </c>
      <c r="EX89" s="408">
        <v>0</v>
      </c>
      <c r="EY89" s="408">
        <v>0</v>
      </c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59" customFormat="1">
      <c r="A90" s="408">
        <v>88</v>
      </c>
      <c r="B90" s="408" t="s">
        <v>1036</v>
      </c>
      <c r="C90" s="408" t="s">
        <v>2243</v>
      </c>
      <c r="D90" s="408" t="s">
        <v>597</v>
      </c>
      <c r="E90" s="408" t="s">
        <v>970</v>
      </c>
      <c r="F90" s="408" t="s">
        <v>1322</v>
      </c>
      <c r="G90" s="408" t="s">
        <v>1322</v>
      </c>
      <c r="H90" s="408" t="s">
        <v>1322</v>
      </c>
      <c r="I90" s="408" t="s">
        <v>1322</v>
      </c>
      <c r="J90" s="408" t="s">
        <v>2236</v>
      </c>
      <c r="K90" s="826">
        <v>44409</v>
      </c>
      <c r="L90" s="408">
        <v>19231</v>
      </c>
      <c r="M90" s="408">
        <v>19231</v>
      </c>
      <c r="N90" s="408">
        <v>0</v>
      </c>
      <c r="O90" s="408">
        <v>0</v>
      </c>
      <c r="P90" s="408">
        <v>0</v>
      </c>
      <c r="Q90" s="408">
        <v>0</v>
      </c>
      <c r="R90" s="408">
        <v>27.19</v>
      </c>
      <c r="S90" s="408"/>
      <c r="T90" s="408"/>
      <c r="U90" s="408">
        <v>522890.89</v>
      </c>
      <c r="V90" s="408"/>
      <c r="W90" s="408">
        <v>522890.89</v>
      </c>
      <c r="X90" s="408">
        <v>418466.56000000006</v>
      </c>
      <c r="Y90" s="408">
        <v>0</v>
      </c>
      <c r="Z90" s="408">
        <v>0</v>
      </c>
      <c r="AA90" s="408">
        <v>0</v>
      </c>
      <c r="AB90" s="408">
        <v>0</v>
      </c>
      <c r="AC90" s="408">
        <v>4484.6809968254838</v>
      </c>
      <c r="AD90" s="408">
        <v>4308.4139959326239</v>
      </c>
      <c r="AE90" s="408">
        <v>460236.87360620033</v>
      </c>
      <c r="AF90" s="408"/>
      <c r="AG90" s="408"/>
      <c r="AH90" s="408"/>
      <c r="AI90" s="408">
        <v>0</v>
      </c>
      <c r="AJ90" s="408">
        <v>0</v>
      </c>
      <c r="AK90" s="408">
        <v>0</v>
      </c>
      <c r="AL90" s="408">
        <v>0</v>
      </c>
      <c r="AM90" s="408"/>
      <c r="AN90" s="408">
        <v>0</v>
      </c>
      <c r="AO90" s="408">
        <v>9517.1301867007132</v>
      </c>
      <c r="AP90" s="408">
        <v>44386.856539953966</v>
      </c>
      <c r="AQ90" s="408">
        <v>0</v>
      </c>
      <c r="AR90" s="408">
        <v>0</v>
      </c>
      <c r="AS90" s="408"/>
      <c r="AT90" s="408"/>
      <c r="AU90" s="408">
        <v>0</v>
      </c>
      <c r="AV90" s="408">
        <v>0</v>
      </c>
      <c r="AW90" s="408">
        <v>0</v>
      </c>
      <c r="AX90" s="408"/>
      <c r="AY90" s="408"/>
      <c r="AZ90" s="408">
        <v>0</v>
      </c>
      <c r="BA90" s="408"/>
      <c r="BB90" s="408">
        <v>0</v>
      </c>
      <c r="BC90" s="408">
        <v>0</v>
      </c>
      <c r="BD90" s="408">
        <v>0</v>
      </c>
      <c r="BE90" s="408">
        <v>0</v>
      </c>
      <c r="BF90" s="408"/>
      <c r="BG90" s="408">
        <v>0</v>
      </c>
      <c r="BH90" s="408">
        <v>0</v>
      </c>
      <c r="BI90" s="408">
        <v>1457.92</v>
      </c>
      <c r="BJ90" s="408">
        <v>12500.98</v>
      </c>
      <c r="BK90" s="408">
        <v>440420.98</v>
      </c>
      <c r="BL90" s="408">
        <v>111</v>
      </c>
      <c r="BM90" s="408"/>
      <c r="BN90" s="408"/>
      <c r="BO90" s="408"/>
      <c r="BP90" s="408"/>
      <c r="BQ90" s="408"/>
      <c r="BR90" s="408"/>
      <c r="BS90" s="408"/>
      <c r="BT90" s="408"/>
      <c r="BU90" s="408"/>
      <c r="BV90" s="408">
        <v>0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418466.56000000006</v>
      </c>
      <c r="CJ90" s="408">
        <v>-104424.35999999999</v>
      </c>
      <c r="CK90" s="408"/>
      <c r="CL90" s="408"/>
      <c r="CM90" s="408"/>
      <c r="CN90" s="408"/>
      <c r="CO90" s="408">
        <v>-104424.33</v>
      </c>
      <c r="CP90" s="408">
        <v>0</v>
      </c>
      <c r="CQ90" s="408">
        <v>31</v>
      </c>
      <c r="CR90" s="408">
        <v>9807.6559392783092</v>
      </c>
      <c r="CS90" s="408">
        <v>948.36168078499031</v>
      </c>
      <c r="CT90" s="408">
        <v>4423.0553798472538</v>
      </c>
      <c r="CU90" s="408">
        <v>0</v>
      </c>
      <c r="CV90" s="408">
        <v>0</v>
      </c>
      <c r="CW90" s="408"/>
      <c r="CX90" s="408"/>
      <c r="CY90" s="408"/>
      <c r="CZ90" s="408">
        <v>4436.2388786460597</v>
      </c>
      <c r="DA90" s="408">
        <v>0</v>
      </c>
      <c r="DB90" s="408">
        <v>0</v>
      </c>
      <c r="DC90" s="408"/>
      <c r="DD90" s="408"/>
      <c r="DE90" s="408">
        <v>0</v>
      </c>
      <c r="DF90" s="408">
        <v>0</v>
      </c>
      <c r="DG90" s="408">
        <v>0</v>
      </c>
      <c r="DH90" s="408">
        <v>0</v>
      </c>
      <c r="DI90" s="408">
        <v>0</v>
      </c>
      <c r="DJ90" s="408"/>
      <c r="DK90" s="408">
        <v>0</v>
      </c>
      <c r="DL90" s="408">
        <v>0</v>
      </c>
      <c r="DM90" s="408"/>
      <c r="DN90" s="408">
        <v>0</v>
      </c>
      <c r="DO90" s="408">
        <v>0</v>
      </c>
      <c r="DP90" s="408">
        <v>0</v>
      </c>
      <c r="DQ90" s="408">
        <v>0</v>
      </c>
      <c r="DR90" s="408">
        <v>0</v>
      </c>
      <c r="DS90" s="408"/>
      <c r="DT90" s="408"/>
      <c r="DU90" s="408">
        <v>460236.87360620033</v>
      </c>
      <c r="DV90" s="408"/>
      <c r="DW90" s="408">
        <v>0</v>
      </c>
      <c r="DX90" s="408">
        <v>0</v>
      </c>
      <c r="DY90" s="408">
        <v>-104424.32999999996</v>
      </c>
      <c r="DZ90" s="408"/>
      <c r="EA90" s="408">
        <v>0</v>
      </c>
      <c r="EB90" s="408"/>
      <c r="EC90" s="408">
        <v>-114330.64620218141</v>
      </c>
      <c r="ED90" s="408"/>
      <c r="EE90" s="408">
        <v>0</v>
      </c>
      <c r="EF90" s="408">
        <v>0</v>
      </c>
      <c r="EG90" s="408"/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/>
      <c r="EN90" s="408"/>
      <c r="EO90" s="408">
        <v>0</v>
      </c>
      <c r="EP90" s="408">
        <v>0</v>
      </c>
      <c r="EQ90" s="408"/>
      <c r="ER90" s="408">
        <v>0</v>
      </c>
      <c r="ES90" s="408"/>
      <c r="ET90" s="408">
        <v>0</v>
      </c>
      <c r="EU90" s="408"/>
      <c r="EV90" s="408">
        <v>240</v>
      </c>
      <c r="EW90" s="408"/>
      <c r="EX90" s="408"/>
      <c r="EY90" s="408"/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59" customFormat="1">
      <c r="A91" s="408">
        <v>89</v>
      </c>
      <c r="B91" s="408" t="s">
        <v>2238</v>
      </c>
      <c r="C91" s="408" t="s">
        <v>2243</v>
      </c>
      <c r="D91" s="408" t="s">
        <v>597</v>
      </c>
      <c r="E91" s="408" t="s">
        <v>970</v>
      </c>
      <c r="F91" s="408" t="s">
        <v>1322</v>
      </c>
      <c r="G91" s="408" t="s">
        <v>1322</v>
      </c>
      <c r="H91" s="408" t="s">
        <v>1322</v>
      </c>
      <c r="I91" s="408" t="s">
        <v>1322</v>
      </c>
      <c r="J91" s="408" t="s">
        <v>2236</v>
      </c>
      <c r="K91" s="826">
        <v>44409</v>
      </c>
      <c r="L91" s="408">
        <v>170</v>
      </c>
      <c r="M91" s="408">
        <v>170</v>
      </c>
      <c r="N91" s="408">
        <v>0</v>
      </c>
      <c r="O91" s="408">
        <v>0</v>
      </c>
      <c r="P91" s="408">
        <v>0</v>
      </c>
      <c r="Q91" s="408">
        <v>0</v>
      </c>
      <c r="R91" s="408">
        <v>27.19</v>
      </c>
      <c r="S91" s="408"/>
      <c r="T91" s="408"/>
      <c r="U91" s="408">
        <v>4622.3</v>
      </c>
      <c r="V91" s="408"/>
      <c r="W91" s="408">
        <v>4622.3</v>
      </c>
      <c r="X91" s="408">
        <v>3699.2000000000003</v>
      </c>
      <c r="Y91" s="408">
        <v>0</v>
      </c>
      <c r="Z91" s="408">
        <v>0</v>
      </c>
      <c r="AA91" s="408">
        <v>0</v>
      </c>
      <c r="AB91" s="408">
        <v>0</v>
      </c>
      <c r="AC91" s="408">
        <v>39.64410428268588</v>
      </c>
      <c r="AD91" s="408">
        <v>38.085922692972083</v>
      </c>
      <c r="AE91" s="408">
        <v>4068.4451413371148</v>
      </c>
      <c r="AF91" s="408"/>
      <c r="AG91" s="408"/>
      <c r="AH91" s="408"/>
      <c r="AI91" s="408">
        <v>0</v>
      </c>
      <c r="AJ91" s="408">
        <v>0</v>
      </c>
      <c r="AK91" s="408">
        <v>0</v>
      </c>
      <c r="AL91" s="408">
        <v>0</v>
      </c>
      <c r="AM91" s="408"/>
      <c r="AN91" s="408">
        <v>0</v>
      </c>
      <c r="AO91" s="408">
        <v>84.130421285378873</v>
      </c>
      <c r="AP91" s="408">
        <v>392.3751033119533</v>
      </c>
      <c r="AQ91" s="408">
        <v>0</v>
      </c>
      <c r="AR91" s="408">
        <v>0</v>
      </c>
      <c r="AS91" s="408"/>
      <c r="AT91" s="408"/>
      <c r="AU91" s="408">
        <v>0</v>
      </c>
      <c r="AV91" s="408">
        <v>0</v>
      </c>
      <c r="AW91" s="408">
        <v>0</v>
      </c>
      <c r="AX91" s="408"/>
      <c r="AY91" s="408"/>
      <c r="AZ91" s="408">
        <v>0</v>
      </c>
      <c r="BA91" s="408"/>
      <c r="BB91" s="408">
        <v>0</v>
      </c>
      <c r="BC91" s="408">
        <v>0</v>
      </c>
      <c r="BD91" s="408">
        <v>0</v>
      </c>
      <c r="BE91" s="408">
        <v>0</v>
      </c>
      <c r="BF91" s="408"/>
      <c r="BG91" s="408">
        <v>0</v>
      </c>
      <c r="BH91" s="408">
        <v>0</v>
      </c>
      <c r="BI91" s="408">
        <v>5.7</v>
      </c>
      <c r="BJ91" s="408">
        <v>48.91</v>
      </c>
      <c r="BK91" s="408">
        <v>1800.67</v>
      </c>
      <c r="BL91" s="408">
        <v>2</v>
      </c>
      <c r="BM91" s="408"/>
      <c r="BN91" s="408"/>
      <c r="BO91" s="408"/>
      <c r="BP91" s="408"/>
      <c r="BQ91" s="408"/>
      <c r="BR91" s="408"/>
      <c r="BS91" s="408"/>
      <c r="BT91" s="408"/>
      <c r="BU91" s="408"/>
      <c r="BV91" s="408">
        <v>0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3699.2000000000003</v>
      </c>
      <c r="CJ91" s="408">
        <v>-923.13000000000056</v>
      </c>
      <c r="CK91" s="408"/>
      <c r="CL91" s="408"/>
      <c r="CM91" s="408"/>
      <c r="CN91" s="408"/>
      <c r="CO91" s="408">
        <v>-923.09999999999991</v>
      </c>
      <c r="CP91" s="408">
        <v>0</v>
      </c>
      <c r="CQ91" s="408">
        <v>31</v>
      </c>
      <c r="CR91" s="408">
        <v>86.698638119562929</v>
      </c>
      <c r="CS91" s="408">
        <v>8.3834166571394348</v>
      </c>
      <c r="CT91" s="408">
        <v>39.099340365765386</v>
      </c>
      <c r="CU91" s="408">
        <v>0</v>
      </c>
      <c r="CV91" s="408">
        <v>0</v>
      </c>
      <c r="CW91" s="408"/>
      <c r="CX91" s="408"/>
      <c r="CY91" s="408"/>
      <c r="CZ91" s="408">
        <v>39.215881096658016</v>
      </c>
      <c r="DA91" s="408">
        <v>0</v>
      </c>
      <c r="DB91" s="408">
        <v>0</v>
      </c>
      <c r="DC91" s="408"/>
      <c r="DD91" s="408"/>
      <c r="DE91" s="408">
        <v>0</v>
      </c>
      <c r="DF91" s="408">
        <v>0</v>
      </c>
      <c r="DG91" s="408">
        <v>0</v>
      </c>
      <c r="DH91" s="408">
        <v>0</v>
      </c>
      <c r="DI91" s="408">
        <v>0</v>
      </c>
      <c r="DJ91" s="408"/>
      <c r="DK91" s="408">
        <v>0</v>
      </c>
      <c r="DL91" s="408">
        <v>0</v>
      </c>
      <c r="DM91" s="408"/>
      <c r="DN91" s="408">
        <v>0</v>
      </c>
      <c r="DO91" s="408">
        <v>0</v>
      </c>
      <c r="DP91" s="408">
        <v>0</v>
      </c>
      <c r="DQ91" s="408">
        <v>0</v>
      </c>
      <c r="DR91" s="408">
        <v>0</v>
      </c>
      <c r="DS91" s="408"/>
      <c r="DT91" s="408"/>
      <c r="DU91" s="408">
        <v>4068.4451413371148</v>
      </c>
      <c r="DV91" s="408"/>
      <c r="DW91" s="408">
        <v>0</v>
      </c>
      <c r="DX91" s="408">
        <v>0</v>
      </c>
      <c r="DY91" s="408">
        <v>-923.09999999999991</v>
      </c>
      <c r="DZ91" s="408"/>
      <c r="EA91" s="408">
        <v>0</v>
      </c>
      <c r="EB91" s="408"/>
      <c r="EC91" s="408">
        <v>-1010.6707843778713</v>
      </c>
      <c r="ED91" s="408"/>
      <c r="EE91" s="408">
        <v>0</v>
      </c>
      <c r="EF91" s="408">
        <v>0</v>
      </c>
      <c r="EG91" s="408"/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/>
      <c r="EN91" s="408"/>
      <c r="EO91" s="408">
        <v>0</v>
      </c>
      <c r="EP91" s="408">
        <v>0</v>
      </c>
      <c r="EQ91" s="408"/>
      <c r="ER91" s="408">
        <v>0</v>
      </c>
      <c r="ES91" s="408"/>
      <c r="ET91" s="408">
        <v>0</v>
      </c>
      <c r="EU91" s="408"/>
      <c r="EV91" s="408">
        <v>240</v>
      </c>
      <c r="EW91" s="408"/>
      <c r="EX91" s="408"/>
      <c r="EY91" s="408"/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59" customFormat="1">
      <c r="A92" s="408">
        <v>90</v>
      </c>
      <c r="B92" s="408" t="s">
        <v>1036</v>
      </c>
      <c r="C92" s="408" t="s">
        <v>2316</v>
      </c>
      <c r="D92" s="408" t="s">
        <v>1958</v>
      </c>
      <c r="E92" s="408" t="s">
        <v>970</v>
      </c>
      <c r="F92" s="408" t="s">
        <v>1322</v>
      </c>
      <c r="G92" s="408" t="s">
        <v>1322</v>
      </c>
      <c r="H92" s="408" t="s">
        <v>1322</v>
      </c>
      <c r="I92" s="408" t="s">
        <v>973</v>
      </c>
      <c r="J92" s="408" t="s">
        <v>2236</v>
      </c>
      <c r="K92" s="826">
        <v>44409</v>
      </c>
      <c r="L92" s="408">
        <v>0</v>
      </c>
      <c r="M92" s="408">
        <v>0</v>
      </c>
      <c r="N92" s="408">
        <v>1.4E-2</v>
      </c>
      <c r="O92" s="408">
        <v>1.4E-2</v>
      </c>
      <c r="P92" s="408">
        <v>1.4E-2</v>
      </c>
      <c r="Q92" s="408">
        <v>1.4E-2</v>
      </c>
      <c r="R92" s="408"/>
      <c r="S92" s="408">
        <v>1553.42</v>
      </c>
      <c r="T92" s="408">
        <v>173.25</v>
      </c>
      <c r="U92" s="408"/>
      <c r="V92" s="408">
        <v>24.173380000000002</v>
      </c>
      <c r="W92" s="408">
        <v>24.173380000000002</v>
      </c>
      <c r="X92" s="408">
        <v>22.935360000000003</v>
      </c>
      <c r="Y92" s="408">
        <v>0</v>
      </c>
      <c r="Z92" s="408">
        <v>0.86163256479118555</v>
      </c>
      <c r="AA92" s="408">
        <v>0</v>
      </c>
      <c r="AB92" s="408">
        <v>0</v>
      </c>
      <c r="AC92" s="408">
        <v>1.518289444708498</v>
      </c>
      <c r="AD92" s="408">
        <v>0.10499468145796631</v>
      </c>
      <c r="AE92" s="408">
        <v>10.057430648194986</v>
      </c>
      <c r="AF92" s="408">
        <v>2.384766588194382</v>
      </c>
      <c r="AG92" s="408">
        <v>4.0701269427577506E-2</v>
      </c>
      <c r="AH92" s="408">
        <v>0</v>
      </c>
      <c r="AI92" s="408">
        <v>0</v>
      </c>
      <c r="AJ92" s="408">
        <v>0</v>
      </c>
      <c r="AK92" s="408">
        <v>0</v>
      </c>
      <c r="AL92" s="408">
        <v>0.13312642388255574</v>
      </c>
      <c r="AM92" s="408"/>
      <c r="AN92" s="408">
        <v>1.690999400107808E-2</v>
      </c>
      <c r="AO92" s="408">
        <v>4.4177555060834584</v>
      </c>
      <c r="AP92" s="408">
        <v>4.2924853227450042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>
        <v>0</v>
      </c>
      <c r="BG92" s="408">
        <v>0.12515708555050373</v>
      </c>
      <c r="BH92" s="408">
        <v>0</v>
      </c>
      <c r="BI92" s="408">
        <v>0</v>
      </c>
      <c r="BJ92" s="408">
        <v>0</v>
      </c>
      <c r="BK92" s="408">
        <v>0</v>
      </c>
      <c r="BL92" s="408">
        <v>0</v>
      </c>
      <c r="BM92" s="408"/>
      <c r="BN92" s="408"/>
      <c r="BO92" s="408"/>
      <c r="BP92" s="408"/>
      <c r="BQ92" s="408"/>
      <c r="BR92" s="408"/>
      <c r="BS92" s="408"/>
      <c r="BT92" s="408"/>
      <c r="BU92" s="408"/>
      <c r="BV92" s="408">
        <v>2.5099236737448858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16.382400000000001</v>
      </c>
      <c r="CJ92" s="408">
        <v>-7.8209800000000058</v>
      </c>
      <c r="CK92" s="408"/>
      <c r="CL92" s="408"/>
      <c r="CM92" s="408"/>
      <c r="CN92" s="408"/>
      <c r="CO92" s="408">
        <v>-1.5402799999999999</v>
      </c>
      <c r="CP92" s="408">
        <v>0.30226000000000003</v>
      </c>
      <c r="CQ92" s="408">
        <v>31</v>
      </c>
      <c r="CR92" s="408">
        <v>1.2603936639929003</v>
      </c>
      <c r="CS92" s="408">
        <v>0.44021989348229162</v>
      </c>
      <c r="CT92" s="408">
        <v>0.42773698747044975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0.10810973327414888</v>
      </c>
      <c r="DA92" s="408">
        <v>0</v>
      </c>
      <c r="DB92" s="408">
        <v>0</v>
      </c>
      <c r="DC92" s="408">
        <v>0.3022258730980858</v>
      </c>
      <c r="DD92" s="408">
        <v>0</v>
      </c>
      <c r="DE92" s="408">
        <v>0</v>
      </c>
      <c r="DF92" s="408">
        <v>0</v>
      </c>
      <c r="DG92" s="408">
        <v>1.5861388549373079E-2</v>
      </c>
      <c r="DH92" s="408">
        <v>0</v>
      </c>
      <c r="DI92" s="408">
        <v>-2.9258315343401176E-2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-4.0234886286148464E-3</v>
      </c>
      <c r="DP92" s="408">
        <v>-4.7840790943246003E-4</v>
      </c>
      <c r="DQ92" s="408">
        <v>0</v>
      </c>
      <c r="DR92" s="408">
        <v>0</v>
      </c>
      <c r="DS92" s="408"/>
      <c r="DT92" s="408"/>
      <c r="DU92" s="408"/>
      <c r="DV92" s="408">
        <v>10.057430648194986</v>
      </c>
      <c r="DW92" s="408">
        <v>0</v>
      </c>
      <c r="DX92" s="408">
        <v>0</v>
      </c>
      <c r="DY92" s="408">
        <v>-1.5402799999999992</v>
      </c>
      <c r="DZ92" s="408">
        <v>0.30225999999999997</v>
      </c>
      <c r="EA92" s="408">
        <v>0</v>
      </c>
      <c r="EB92" s="408">
        <v>0</v>
      </c>
      <c r="EC92" s="408">
        <v>-2.4984363728440613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0.22004558976860181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240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59" customFormat="1">
      <c r="A93" s="408">
        <v>91</v>
      </c>
      <c r="B93" s="408" t="s">
        <v>1036</v>
      </c>
      <c r="C93" s="408" t="s">
        <v>2316</v>
      </c>
      <c r="D93" s="408" t="s">
        <v>1958</v>
      </c>
      <c r="E93" s="408" t="s">
        <v>970</v>
      </c>
      <c r="F93" s="408" t="s">
        <v>1322</v>
      </c>
      <c r="G93" s="408" t="s">
        <v>1322</v>
      </c>
      <c r="H93" s="408" t="s">
        <v>1322</v>
      </c>
      <c r="I93" s="408" t="s">
        <v>2244</v>
      </c>
      <c r="J93" s="408" t="s">
        <v>2236</v>
      </c>
      <c r="K93" s="826">
        <v>44409</v>
      </c>
      <c r="L93" s="408">
        <v>0</v>
      </c>
      <c r="M93" s="408">
        <v>0</v>
      </c>
      <c r="N93" s="408">
        <v>1.62</v>
      </c>
      <c r="O93" s="408">
        <v>1.62</v>
      </c>
      <c r="P93" s="408">
        <v>1.62</v>
      </c>
      <c r="Q93" s="408">
        <v>1.62</v>
      </c>
      <c r="R93" s="408"/>
      <c r="S93" s="408">
        <v>388.22</v>
      </c>
      <c r="T93" s="408">
        <v>173.25</v>
      </c>
      <c r="U93" s="408"/>
      <c r="V93" s="408">
        <v>909.58140000000003</v>
      </c>
      <c r="W93" s="408">
        <v>909.58140000000003</v>
      </c>
      <c r="X93" s="408">
        <v>907.24860000000001</v>
      </c>
      <c r="Y93" s="408">
        <v>0</v>
      </c>
      <c r="Z93" s="408">
        <v>99.703196782980058</v>
      </c>
      <c r="AA93" s="408">
        <v>0</v>
      </c>
      <c r="AB93" s="408">
        <v>0</v>
      </c>
      <c r="AC93" s="408">
        <v>35.137555720396676</v>
      </c>
      <c r="AD93" s="408">
        <v>2.4298791872807719</v>
      </c>
      <c r="AE93" s="408">
        <v>232.75785517533436</v>
      </c>
      <c r="AF93" s="408">
        <v>275.95156234820706</v>
      </c>
      <c r="AG93" s="408">
        <v>4.709718319476826</v>
      </c>
      <c r="AH93" s="408">
        <v>0</v>
      </c>
      <c r="AI93" s="408">
        <v>0</v>
      </c>
      <c r="AJ93" s="408">
        <v>0</v>
      </c>
      <c r="AK93" s="408">
        <v>0</v>
      </c>
      <c r="AL93" s="408">
        <v>15.404629049267164</v>
      </c>
      <c r="AM93" s="408"/>
      <c r="AN93" s="408">
        <v>1.9567278772676064</v>
      </c>
      <c r="AO93" s="408">
        <v>102.23948456936003</v>
      </c>
      <c r="AP93" s="408">
        <v>99.340374612098671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>
        <v>0</v>
      </c>
      <c r="BG93" s="408">
        <v>14.48246275655829</v>
      </c>
      <c r="BH93" s="408">
        <v>0</v>
      </c>
      <c r="BI93" s="408">
        <v>0</v>
      </c>
      <c r="BJ93" s="408">
        <v>0</v>
      </c>
      <c r="BK93" s="408">
        <v>0</v>
      </c>
      <c r="BL93" s="408">
        <v>0</v>
      </c>
      <c r="BM93" s="408"/>
      <c r="BN93" s="408"/>
      <c r="BO93" s="408"/>
      <c r="BP93" s="408"/>
      <c r="BQ93" s="408"/>
      <c r="BR93" s="408"/>
      <c r="BS93" s="408"/>
      <c r="BT93" s="408"/>
      <c r="BU93" s="408"/>
      <c r="BV93" s="408">
        <v>290.43402510476534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907.24860000000001</v>
      </c>
      <c r="CJ93" s="408">
        <v>-2.3627999999999929</v>
      </c>
      <c r="CK93" s="408"/>
      <c r="CL93" s="408"/>
      <c r="CM93" s="408"/>
      <c r="CN93" s="408"/>
      <c r="CO93" s="408">
        <v>-37.308600000000048</v>
      </c>
      <c r="CP93" s="408">
        <v>34.975800000000007</v>
      </c>
      <c r="CQ93" s="408">
        <v>31</v>
      </c>
      <c r="CR93" s="408">
        <v>55.489674028881154</v>
      </c>
      <c r="CS93" s="408">
        <v>10.18794610630431</v>
      </c>
      <c r="CT93" s="408">
        <v>9.8990559957445328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2.5019704539081475</v>
      </c>
      <c r="DA93" s="408">
        <v>0</v>
      </c>
      <c r="DB93" s="408">
        <v>0</v>
      </c>
      <c r="DC93" s="408">
        <v>34.971851029921368</v>
      </c>
      <c r="DD93" s="408">
        <v>0</v>
      </c>
      <c r="DE93" s="408">
        <v>0</v>
      </c>
      <c r="DF93" s="408">
        <v>0</v>
      </c>
      <c r="DG93" s="408">
        <v>1.8353892464274555</v>
      </c>
      <c r="DH93" s="408">
        <v>0</v>
      </c>
      <c r="DI93" s="408">
        <v>-3.385605061165009</v>
      </c>
      <c r="DJ93" s="408"/>
      <c r="DK93" s="408">
        <v>0</v>
      </c>
      <c r="DL93" s="408">
        <v>0</v>
      </c>
      <c r="DM93" s="408">
        <v>0</v>
      </c>
      <c r="DN93" s="408">
        <v>0</v>
      </c>
      <c r="DO93" s="408">
        <v>-0.46557511273971564</v>
      </c>
      <c r="DP93" s="408">
        <v>-5.5358629520041891E-2</v>
      </c>
      <c r="DQ93" s="408">
        <v>0</v>
      </c>
      <c r="DR93" s="408">
        <v>0</v>
      </c>
      <c r="DS93" s="408"/>
      <c r="DT93" s="408"/>
      <c r="DU93" s="408"/>
      <c r="DV93" s="408">
        <v>232.75785517533436</v>
      </c>
      <c r="DW93" s="408">
        <v>0</v>
      </c>
      <c r="DX93" s="408">
        <v>0</v>
      </c>
      <c r="DY93" s="408">
        <v>-37.308600000000069</v>
      </c>
      <c r="DZ93" s="408">
        <v>34.975799999999992</v>
      </c>
      <c r="EA93" s="408">
        <v>0</v>
      </c>
      <c r="EB93" s="408">
        <v>0</v>
      </c>
      <c r="EC93" s="408">
        <v>-57.820999396062462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25.462418244652497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240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59" customFormat="1">
      <c r="A94" s="408">
        <v>92</v>
      </c>
      <c r="B94" s="408" t="s">
        <v>1036</v>
      </c>
      <c r="C94" s="408" t="s">
        <v>2316</v>
      </c>
      <c r="D94" s="408" t="s">
        <v>1958</v>
      </c>
      <c r="E94" s="408" t="s">
        <v>970</v>
      </c>
      <c r="F94" s="408" t="s">
        <v>1322</v>
      </c>
      <c r="G94" s="408" t="s">
        <v>1322</v>
      </c>
      <c r="H94" s="408" t="s">
        <v>1322</v>
      </c>
      <c r="I94" s="408" t="s">
        <v>1322</v>
      </c>
      <c r="J94" s="408" t="s">
        <v>2236</v>
      </c>
      <c r="K94" s="826">
        <v>44409</v>
      </c>
      <c r="L94" s="408">
        <v>0</v>
      </c>
      <c r="M94" s="408">
        <v>0</v>
      </c>
      <c r="N94" s="408">
        <v>0</v>
      </c>
      <c r="O94" s="408">
        <v>0</v>
      </c>
      <c r="P94" s="408">
        <v>0</v>
      </c>
      <c r="Q94" s="408">
        <v>0</v>
      </c>
      <c r="R94" s="408"/>
      <c r="S94" s="408"/>
      <c r="T94" s="408"/>
      <c r="U94" s="408"/>
      <c r="V94" s="408"/>
      <c r="W94" s="408"/>
      <c r="X94" s="408"/>
      <c r="Y94" s="408"/>
      <c r="Z94" s="408"/>
      <c r="AA94" s="408">
        <v>0</v>
      </c>
      <c r="AB94" s="408"/>
      <c r="AC94" s="408"/>
      <c r="AD94" s="408"/>
      <c r="AE94" s="408"/>
      <c r="AF94" s="408"/>
      <c r="AG94" s="408"/>
      <c r="AH94" s="408"/>
      <c r="AI94" s="408"/>
      <c r="AJ94" s="408"/>
      <c r="AK94" s="408"/>
      <c r="AL94" s="408"/>
      <c r="AM94" s="408"/>
      <c r="AN94" s="408"/>
      <c r="AO94" s="408"/>
      <c r="AP94" s="408"/>
      <c r="AQ94" s="408"/>
      <c r="AR94" s="408"/>
      <c r="AS94" s="408"/>
      <c r="AT94" s="408"/>
      <c r="AU94" s="408"/>
      <c r="AV94" s="408"/>
      <c r="AW94" s="408"/>
      <c r="AX94" s="408"/>
      <c r="AY94" s="408"/>
      <c r="AZ94" s="408">
        <v>0</v>
      </c>
      <c r="BA94" s="408"/>
      <c r="BB94" s="408"/>
      <c r="BC94" s="408"/>
      <c r="BD94" s="408"/>
      <c r="BE94" s="408"/>
      <c r="BF94" s="408"/>
      <c r="BG94" s="408"/>
      <c r="BH94" s="408"/>
      <c r="BI94" s="408">
        <v>0.72</v>
      </c>
      <c r="BJ94" s="408">
        <v>6.24</v>
      </c>
      <c r="BK94" s="408">
        <v>220.59</v>
      </c>
      <c r="BL94" s="408">
        <v>1</v>
      </c>
      <c r="BM94" s="408"/>
      <c r="BN94" s="408"/>
      <c r="BO94" s="408"/>
      <c r="BP94" s="408"/>
      <c r="BQ94" s="408"/>
      <c r="BR94" s="408"/>
      <c r="BS94" s="408"/>
      <c r="BT94" s="408"/>
      <c r="BU94" s="408"/>
      <c r="BV94" s="408"/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/>
      <c r="CJ94" s="408">
        <v>-0.03</v>
      </c>
      <c r="CK94" s="408"/>
      <c r="CL94" s="408"/>
      <c r="CM94" s="408"/>
      <c r="CN94" s="408"/>
      <c r="CO94" s="408">
        <v>0</v>
      </c>
      <c r="CP94" s="408">
        <v>0</v>
      </c>
      <c r="CQ94" s="408">
        <v>31</v>
      </c>
      <c r="CR94" s="408"/>
      <c r="CS94" s="408"/>
      <c r="CT94" s="408"/>
      <c r="CU94" s="408"/>
      <c r="CV94" s="408"/>
      <c r="CW94" s="408"/>
      <c r="CX94" s="408"/>
      <c r="CY94" s="408"/>
      <c r="CZ94" s="408"/>
      <c r="DA94" s="408"/>
      <c r="DB94" s="408"/>
      <c r="DC94" s="408"/>
      <c r="DD94" s="408"/>
      <c r="DE94" s="408"/>
      <c r="DF94" s="408"/>
      <c r="DG94" s="408"/>
      <c r="DH94" s="408"/>
      <c r="DI94" s="408"/>
      <c r="DJ94" s="408"/>
      <c r="DK94" s="408">
        <v>0</v>
      </c>
      <c r="DL94" s="408"/>
      <c r="DM94" s="408"/>
      <c r="DN94" s="408"/>
      <c r="DO94" s="408"/>
      <c r="DP94" s="408"/>
      <c r="DQ94" s="408"/>
      <c r="DR94" s="408"/>
      <c r="DS94" s="408"/>
      <c r="DT94" s="408"/>
      <c r="DU94" s="408"/>
      <c r="DV94" s="408"/>
      <c r="DW94" s="408"/>
      <c r="DX94" s="408"/>
      <c r="DY94" s="408"/>
      <c r="DZ94" s="408"/>
      <c r="EA94" s="408"/>
      <c r="EB94" s="408"/>
      <c r="EC94" s="408"/>
      <c r="ED94" s="408"/>
      <c r="EE94" s="408"/>
      <c r="EF94" s="408"/>
      <c r="EG94" s="408"/>
      <c r="EH94" s="408"/>
      <c r="EI94" s="408"/>
      <c r="EJ94" s="408"/>
      <c r="EK94" s="408"/>
      <c r="EL94" s="408"/>
      <c r="EM94" s="408"/>
      <c r="EN94" s="408"/>
      <c r="EO94" s="408"/>
      <c r="EP94" s="408"/>
      <c r="EQ94" s="408"/>
      <c r="ER94" s="408"/>
      <c r="ES94" s="408"/>
      <c r="ET94" s="408"/>
      <c r="EU94" s="408"/>
      <c r="EV94" s="408">
        <v>240</v>
      </c>
      <c r="EW94" s="408"/>
      <c r="EX94" s="408"/>
      <c r="EY94" s="408"/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59" customFormat="1">
      <c r="A95" s="408">
        <v>93</v>
      </c>
      <c r="B95" s="408" t="s">
        <v>1036</v>
      </c>
      <c r="C95" s="408" t="s">
        <v>2316</v>
      </c>
      <c r="D95" s="408" t="s">
        <v>1958</v>
      </c>
      <c r="E95" s="408" t="s">
        <v>970</v>
      </c>
      <c r="F95" s="408" t="s">
        <v>1322</v>
      </c>
      <c r="G95" s="408" t="s">
        <v>1322</v>
      </c>
      <c r="H95" s="408" t="s">
        <v>1322</v>
      </c>
      <c r="I95" s="408" t="s">
        <v>2317</v>
      </c>
      <c r="J95" s="408" t="s">
        <v>2236</v>
      </c>
      <c r="K95" s="826">
        <v>44409</v>
      </c>
      <c r="L95" s="408">
        <v>0</v>
      </c>
      <c r="M95" s="408">
        <v>0</v>
      </c>
      <c r="N95" s="408">
        <v>6.7000000000000004E-2</v>
      </c>
      <c r="O95" s="408">
        <v>6.7000000000000004E-2</v>
      </c>
      <c r="P95" s="408">
        <v>6.7000000000000004E-2</v>
      </c>
      <c r="Q95" s="408">
        <v>6.7000000000000004E-2</v>
      </c>
      <c r="R95" s="408"/>
      <c r="S95" s="408">
        <v>970.82</v>
      </c>
      <c r="T95" s="408">
        <v>173.25</v>
      </c>
      <c r="U95" s="408"/>
      <c r="V95" s="408">
        <v>76.652690000000007</v>
      </c>
      <c r="W95" s="408">
        <v>76.652690000000007</v>
      </c>
      <c r="X95" s="408">
        <v>73.641710000000003</v>
      </c>
      <c r="Y95" s="408">
        <v>0</v>
      </c>
      <c r="Z95" s="408">
        <v>4.1235272743578166</v>
      </c>
      <c r="AA95" s="408">
        <v>0</v>
      </c>
      <c r="AB95" s="408">
        <v>0</v>
      </c>
      <c r="AC95" s="408">
        <v>4.3596596912344081</v>
      </c>
      <c r="AD95" s="408">
        <v>0.30148501027372476</v>
      </c>
      <c r="AE95" s="408">
        <v>28.879200933707946</v>
      </c>
      <c r="AF95" s="408">
        <v>11.412811529215972</v>
      </c>
      <c r="AG95" s="408">
        <v>0.19478464654626379</v>
      </c>
      <c r="AH95" s="408">
        <v>0</v>
      </c>
      <c r="AI95" s="408">
        <v>0</v>
      </c>
      <c r="AJ95" s="408">
        <v>0</v>
      </c>
      <c r="AK95" s="408">
        <v>0</v>
      </c>
      <c r="AL95" s="408">
        <v>0.63710502858080253</v>
      </c>
      <c r="AM95" s="408"/>
      <c r="AN95" s="408">
        <v>8.092639986230224E-2</v>
      </c>
      <c r="AO95" s="408">
        <v>12.685269381753917</v>
      </c>
      <c r="AP95" s="408">
        <v>12.325564998167824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0</v>
      </c>
      <c r="BF95" s="408">
        <v>0</v>
      </c>
      <c r="BG95" s="408">
        <v>0.59896605227741073</v>
      </c>
      <c r="BH95" s="408">
        <v>0</v>
      </c>
      <c r="BI95" s="408">
        <v>0</v>
      </c>
      <c r="BJ95" s="408">
        <v>0</v>
      </c>
      <c r="BK95" s="408">
        <v>0</v>
      </c>
      <c r="BL95" s="408">
        <v>0</v>
      </c>
      <c r="BM95" s="408"/>
      <c r="BN95" s="408"/>
      <c r="BO95" s="408"/>
      <c r="BP95" s="408"/>
      <c r="BQ95" s="408"/>
      <c r="BR95" s="408"/>
      <c r="BS95" s="408"/>
      <c r="BT95" s="408"/>
      <c r="BU95" s="408"/>
      <c r="BV95" s="408">
        <v>12.011777581493384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76.939099999999996</v>
      </c>
      <c r="CJ95" s="408">
        <v>0.25640999999997405</v>
      </c>
      <c r="CK95" s="408"/>
      <c r="CL95" s="408"/>
      <c r="CM95" s="408"/>
      <c r="CN95" s="408"/>
      <c r="CO95" s="408">
        <v>-4.4575100000000063</v>
      </c>
      <c r="CP95" s="408">
        <v>1.4465300000000003</v>
      </c>
      <c r="CQ95" s="408">
        <v>31</v>
      </c>
      <c r="CR95" s="408">
        <v>4.1634138780452119</v>
      </c>
      <c r="CS95" s="408">
        <v>1.2640599798563095</v>
      </c>
      <c r="CT95" s="408">
        <v>1.2282162068793685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0.31042966742934552</v>
      </c>
      <c r="DA95" s="408">
        <v>0</v>
      </c>
      <c r="DB95" s="408">
        <v>0</v>
      </c>
      <c r="DC95" s="408">
        <v>1.4463666783979825</v>
      </c>
      <c r="DD95" s="408">
        <v>0</v>
      </c>
      <c r="DE95" s="408">
        <v>0</v>
      </c>
      <c r="DF95" s="408">
        <v>0</v>
      </c>
      <c r="DG95" s="408">
        <v>7.5908073771999707E-2</v>
      </c>
      <c r="DH95" s="408">
        <v>0</v>
      </c>
      <c r="DI95" s="408">
        <v>-0.14002193771484839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-1.9255267008370991E-2</v>
      </c>
      <c r="DP95" s="408">
        <v>-2.2895235665696262E-3</v>
      </c>
      <c r="DQ95" s="408">
        <v>0</v>
      </c>
      <c r="DR95" s="408">
        <v>0</v>
      </c>
      <c r="DS95" s="408"/>
      <c r="DT95" s="408"/>
      <c r="DU95" s="408"/>
      <c r="DV95" s="408">
        <v>28.879200933707946</v>
      </c>
      <c r="DW95" s="408">
        <v>0</v>
      </c>
      <c r="DX95" s="408">
        <v>0</v>
      </c>
      <c r="DY95" s="408">
        <v>-4.4575100000000134</v>
      </c>
      <c r="DZ95" s="408">
        <v>1.4465299999999992</v>
      </c>
      <c r="EA95" s="408">
        <v>0</v>
      </c>
      <c r="EB95" s="408">
        <v>0</v>
      </c>
      <c r="EC95" s="408">
        <v>-7.174083377288536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1.053075322464023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240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59" customFormat="1">
      <c r="A96" s="408">
        <v>94</v>
      </c>
      <c r="B96" s="408" t="s">
        <v>1036</v>
      </c>
      <c r="C96" s="408" t="s">
        <v>2235</v>
      </c>
      <c r="D96" s="408" t="s">
        <v>1958</v>
      </c>
      <c r="E96" s="408" t="s">
        <v>998</v>
      </c>
      <c r="F96" s="408" t="s">
        <v>1322</v>
      </c>
      <c r="G96" s="408" t="s">
        <v>1322</v>
      </c>
      <c r="H96" s="408" t="s">
        <v>1322</v>
      </c>
      <c r="I96" s="408" t="s">
        <v>1322</v>
      </c>
      <c r="J96" s="408" t="s">
        <v>2236</v>
      </c>
      <c r="K96" s="826">
        <v>44409</v>
      </c>
      <c r="L96" s="408">
        <v>0</v>
      </c>
      <c r="M96" s="408">
        <v>0</v>
      </c>
      <c r="N96" s="408">
        <v>2447.1550000000002</v>
      </c>
      <c r="O96" s="408">
        <v>2447.1550000000002</v>
      </c>
      <c r="P96" s="408">
        <v>2447.1550000000002</v>
      </c>
      <c r="Q96" s="408">
        <v>2447.1550000000002</v>
      </c>
      <c r="R96" s="408"/>
      <c r="S96" s="408">
        <v>368.24</v>
      </c>
      <c r="T96" s="408">
        <v>173.25</v>
      </c>
      <c r="U96" s="408"/>
      <c r="V96" s="408">
        <v>1325109.9609500002</v>
      </c>
      <c r="W96" s="408">
        <v>1325109.9609500002</v>
      </c>
      <c r="X96" s="408">
        <v>1245332.7079500002</v>
      </c>
      <c r="Y96" s="408">
        <v>0</v>
      </c>
      <c r="Z96" s="408">
        <v>150610.60279225529</v>
      </c>
      <c r="AA96" s="408">
        <v>0</v>
      </c>
      <c r="AB96" s="408">
        <v>0</v>
      </c>
      <c r="AC96" s="408">
        <v>6263.5846601549238</v>
      </c>
      <c r="AD96" s="408">
        <v>6017.9003244476098</v>
      </c>
      <c r="AE96" s="408">
        <v>576395.80612862611</v>
      </c>
      <c r="AF96" s="408">
        <v>416849.53429520165</v>
      </c>
      <c r="AG96" s="408">
        <v>7114.4510704316735</v>
      </c>
      <c r="AH96" s="408">
        <v>0</v>
      </c>
      <c r="AI96" s="408">
        <v>0</v>
      </c>
      <c r="AJ96" s="408">
        <v>0</v>
      </c>
      <c r="AK96" s="408">
        <v>0</v>
      </c>
      <c r="AL96" s="408">
        <v>23270.070988308264</v>
      </c>
      <c r="AM96" s="408"/>
      <c r="AN96" s="408">
        <v>2955.8125978363023</v>
      </c>
      <c r="AO96" s="408">
        <v>13296.361081643507</v>
      </c>
      <c r="AP96" s="408">
        <v>61998.970151923022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0</v>
      </c>
      <c r="BE96" s="408">
        <v>0</v>
      </c>
      <c r="BF96" s="408">
        <v>0</v>
      </c>
      <c r="BG96" s="408">
        <v>21877.056263595925</v>
      </c>
      <c r="BH96" s="408">
        <v>0</v>
      </c>
      <c r="BI96" s="408">
        <v>1004.62</v>
      </c>
      <c r="BJ96" s="408">
        <v>8763</v>
      </c>
      <c r="BK96" s="408">
        <v>626184.89</v>
      </c>
      <c r="BL96" s="408">
        <v>4263</v>
      </c>
      <c r="BM96" s="408"/>
      <c r="BN96" s="408"/>
      <c r="BO96" s="408"/>
      <c r="BP96" s="408"/>
      <c r="BQ96" s="408"/>
      <c r="BR96" s="408"/>
      <c r="BS96" s="408"/>
      <c r="BT96" s="408"/>
      <c r="BU96" s="408"/>
      <c r="BV96" s="408">
        <v>438726.59055879759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1245335.2524000001</v>
      </c>
      <c r="CJ96" s="408">
        <v>-79774.738550000126</v>
      </c>
      <c r="CK96" s="408"/>
      <c r="CL96" s="408"/>
      <c r="CM96" s="408"/>
      <c r="CN96" s="408"/>
      <c r="CO96" s="408">
        <v>-132611.32945000002</v>
      </c>
      <c r="CP96" s="408">
        <v>52834.076450000015</v>
      </c>
      <c r="CQ96" s="408">
        <v>31</v>
      </c>
      <c r="CR96" s="408">
        <v>63398.916589565808</v>
      </c>
      <c r="CS96" s="408">
        <v>1324.953961576839</v>
      </c>
      <c r="CT96" s="408">
        <v>6178.0648563976793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6196.4433808669346</v>
      </c>
      <c r="DA96" s="408">
        <v>0</v>
      </c>
      <c r="DB96" s="408">
        <v>0</v>
      </c>
      <c r="DC96" s="408">
        <v>52828.111177239043</v>
      </c>
      <c r="DD96" s="408">
        <v>0</v>
      </c>
      <c r="DE96" s="408">
        <v>0</v>
      </c>
      <c r="DF96" s="408">
        <v>0</v>
      </c>
      <c r="DG96" s="408">
        <v>2772.5197353957919</v>
      </c>
      <c r="DH96" s="408">
        <v>0</v>
      </c>
      <c r="DI96" s="408">
        <v>-5114.2594774415193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-703.29287963985189</v>
      </c>
      <c r="DP96" s="408">
        <v>-83.624164829085203</v>
      </c>
      <c r="DQ96" s="408">
        <v>0</v>
      </c>
      <c r="DR96" s="408">
        <v>0</v>
      </c>
      <c r="DS96" s="408"/>
      <c r="DT96" s="408"/>
      <c r="DU96" s="408"/>
      <c r="DV96" s="408">
        <v>576395.80612862611</v>
      </c>
      <c r="DW96" s="408">
        <v>0</v>
      </c>
      <c r="DX96" s="408">
        <v>0</v>
      </c>
      <c r="DY96" s="408">
        <v>-132611.32944999996</v>
      </c>
      <c r="DZ96" s="408">
        <v>52834.076450000051</v>
      </c>
      <c r="EA96" s="408">
        <v>0</v>
      </c>
      <c r="EB96" s="408">
        <v>0</v>
      </c>
      <c r="EC96" s="408">
        <v>-143186.49539432774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38463.26180215591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240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59" customFormat="1">
      <c r="A97" s="408">
        <v>95</v>
      </c>
      <c r="B97" s="408" t="s">
        <v>2237</v>
      </c>
      <c r="C97" s="408" t="s">
        <v>2235</v>
      </c>
      <c r="D97" s="408" t="s">
        <v>1958</v>
      </c>
      <c r="E97" s="408" t="s">
        <v>998</v>
      </c>
      <c r="F97" s="408" t="s">
        <v>1322</v>
      </c>
      <c r="G97" s="408" t="s">
        <v>1322</v>
      </c>
      <c r="H97" s="408" t="s">
        <v>1322</v>
      </c>
      <c r="I97" s="408" t="s">
        <v>1322</v>
      </c>
      <c r="J97" s="408" t="s">
        <v>2236</v>
      </c>
      <c r="K97" s="826">
        <v>44409</v>
      </c>
      <c r="L97" s="408">
        <v>0</v>
      </c>
      <c r="M97" s="408">
        <v>0</v>
      </c>
      <c r="N97" s="408">
        <v>-0.17399999999999999</v>
      </c>
      <c r="O97" s="408">
        <v>-0.17399999999999999</v>
      </c>
      <c r="P97" s="408">
        <v>-0.17399999999999999</v>
      </c>
      <c r="Q97" s="408">
        <v>-0.17399999999999999</v>
      </c>
      <c r="R97" s="408"/>
      <c r="S97" s="408">
        <v>368.24</v>
      </c>
      <c r="T97" s="408">
        <v>173.25</v>
      </c>
      <c r="U97" s="408"/>
      <c r="V97" s="408">
        <v>-94.219259999999991</v>
      </c>
      <c r="W97" s="408">
        <v>-94.219259999999991</v>
      </c>
      <c r="X97" s="408">
        <v>-88.546859999999995</v>
      </c>
      <c r="Y97" s="408">
        <v>0</v>
      </c>
      <c r="Z97" s="408">
        <v>-10.708861876690449</v>
      </c>
      <c r="AA97" s="408">
        <v>0</v>
      </c>
      <c r="AB97" s="408">
        <v>0</v>
      </c>
      <c r="AC97" s="408">
        <v>-0.44535950148926262</v>
      </c>
      <c r="AD97" s="408">
        <v>-0.42789061438849763</v>
      </c>
      <c r="AE97" s="408">
        <v>-40.983456408106932</v>
      </c>
      <c r="AF97" s="408">
        <v>-29.639241881844459</v>
      </c>
      <c r="AG97" s="408">
        <v>-0.50585863431417755</v>
      </c>
      <c r="AH97" s="408">
        <v>0</v>
      </c>
      <c r="AI97" s="408">
        <v>0</v>
      </c>
      <c r="AJ97" s="408">
        <v>0</v>
      </c>
      <c r="AK97" s="408">
        <v>0</v>
      </c>
      <c r="AL97" s="408">
        <v>-1.6545712682546212</v>
      </c>
      <c r="AM97" s="408"/>
      <c r="AN97" s="408">
        <v>-0.21016706829911325</v>
      </c>
      <c r="AO97" s="408">
        <v>-0.94541082530774301</v>
      </c>
      <c r="AP97" s="408">
        <v>-4.4083112048213557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0</v>
      </c>
      <c r="BF97" s="408">
        <v>0</v>
      </c>
      <c r="BG97" s="408">
        <v>-1.5555237775562605</v>
      </c>
      <c r="BH97" s="408">
        <v>0</v>
      </c>
      <c r="BI97" s="408">
        <v>-0.23</v>
      </c>
      <c r="BJ97" s="408">
        <v>-2.31</v>
      </c>
      <c r="BK97" s="408">
        <v>-41.21</v>
      </c>
      <c r="BL97" s="408">
        <v>0</v>
      </c>
      <c r="BM97" s="408"/>
      <c r="BN97" s="408"/>
      <c r="BO97" s="408"/>
      <c r="BP97" s="408"/>
      <c r="BQ97" s="408"/>
      <c r="BR97" s="408"/>
      <c r="BS97" s="408"/>
      <c r="BT97" s="408"/>
      <c r="BU97" s="408"/>
      <c r="BV97" s="408">
        <v>-31.194765659400719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-86.511300000000006</v>
      </c>
      <c r="CJ97" s="408">
        <v>7.6779599999999704</v>
      </c>
      <c r="CK97" s="408"/>
      <c r="CL97" s="408"/>
      <c r="CM97" s="408"/>
      <c r="CN97" s="408"/>
      <c r="CO97" s="408">
        <v>9.4290599999999998</v>
      </c>
      <c r="CP97" s="408">
        <v>-3.7566600000000006</v>
      </c>
      <c r="CQ97" s="408">
        <v>31</v>
      </c>
      <c r="CR97" s="408">
        <v>-4.5078515609286924</v>
      </c>
      <c r="CS97" s="408">
        <v>-9.4208167980520119E-2</v>
      </c>
      <c r="CT97" s="408">
        <v>-0.43927878904817863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-0.44058555680814926</v>
      </c>
      <c r="DA97" s="408">
        <v>0</v>
      </c>
      <c r="DB97" s="408">
        <v>0</v>
      </c>
      <c r="DC97" s="408">
        <v>-3.7562358513619252</v>
      </c>
      <c r="DD97" s="408">
        <v>0</v>
      </c>
      <c r="DE97" s="408">
        <v>0</v>
      </c>
      <c r="DF97" s="408">
        <v>0</v>
      </c>
      <c r="DG97" s="408">
        <v>-0.19713440054220821</v>
      </c>
      <c r="DH97" s="408">
        <v>0</v>
      </c>
      <c r="DI97" s="408">
        <v>0.36363906212512909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5.0006215812784305E-2</v>
      </c>
      <c r="DP97" s="408">
        <v>5.9459268743748406E-3</v>
      </c>
      <c r="DQ97" s="408">
        <v>0</v>
      </c>
      <c r="DR97" s="408">
        <v>0</v>
      </c>
      <c r="DS97" s="408"/>
      <c r="DT97" s="408"/>
      <c r="DU97" s="408"/>
      <c r="DV97" s="408">
        <v>-40.983456408106932</v>
      </c>
      <c r="DW97" s="408">
        <v>0</v>
      </c>
      <c r="DX97" s="408">
        <v>0</v>
      </c>
      <c r="DY97" s="408">
        <v>9.4290599999999927</v>
      </c>
      <c r="DZ97" s="408">
        <v>-3.7566599999999966</v>
      </c>
      <c r="EA97" s="408">
        <v>0</v>
      </c>
      <c r="EB97" s="408">
        <v>0</v>
      </c>
      <c r="EC97" s="408">
        <v>10.180985756363214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-2.7348523299811935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240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59" customFormat="1">
      <c r="A98" s="408">
        <v>96</v>
      </c>
      <c r="B98" s="408" t="s">
        <v>2238</v>
      </c>
      <c r="C98" s="408" t="s">
        <v>2235</v>
      </c>
      <c r="D98" s="408" t="s">
        <v>1958</v>
      </c>
      <c r="E98" s="408" t="s">
        <v>998</v>
      </c>
      <c r="F98" s="408" t="s">
        <v>1322</v>
      </c>
      <c r="G98" s="408" t="s">
        <v>1322</v>
      </c>
      <c r="H98" s="408" t="s">
        <v>1322</v>
      </c>
      <c r="I98" s="408" t="s">
        <v>1322</v>
      </c>
      <c r="J98" s="408" t="s">
        <v>2236</v>
      </c>
      <c r="K98" s="826">
        <v>44409</v>
      </c>
      <c r="L98" s="408">
        <v>0</v>
      </c>
      <c r="M98" s="408">
        <v>0</v>
      </c>
      <c r="N98" s="408">
        <v>148.70599999999999</v>
      </c>
      <c r="O98" s="408">
        <v>148.70599999999999</v>
      </c>
      <c r="P98" s="408">
        <v>148.70599999999999</v>
      </c>
      <c r="Q98" s="408">
        <v>148.70599999999999</v>
      </c>
      <c r="R98" s="408"/>
      <c r="S98" s="408">
        <v>368.24</v>
      </c>
      <c r="T98" s="408">
        <v>173.25</v>
      </c>
      <c r="U98" s="408"/>
      <c r="V98" s="408">
        <v>80522.81194</v>
      </c>
      <c r="W98" s="408">
        <v>80522.81194</v>
      </c>
      <c r="X98" s="408">
        <v>75674.996339999998</v>
      </c>
      <c r="Y98" s="408">
        <v>0</v>
      </c>
      <c r="Z98" s="408">
        <v>9152.138012845573</v>
      </c>
      <c r="AA98" s="408">
        <v>0</v>
      </c>
      <c r="AB98" s="408">
        <v>0</v>
      </c>
      <c r="AC98" s="408">
        <v>380.61856338196719</v>
      </c>
      <c r="AD98" s="408">
        <v>365.68909024859732</v>
      </c>
      <c r="AE98" s="408">
        <v>35025.780854160628</v>
      </c>
      <c r="AF98" s="408">
        <v>25330.650018859553</v>
      </c>
      <c r="AG98" s="408">
        <v>432.32306939266715</v>
      </c>
      <c r="AH98" s="408">
        <v>0</v>
      </c>
      <c r="AI98" s="408">
        <v>0</v>
      </c>
      <c r="AJ98" s="408">
        <v>0</v>
      </c>
      <c r="AK98" s="408">
        <v>0</v>
      </c>
      <c r="AL98" s="408">
        <v>1414.0498564199522</v>
      </c>
      <c r="AM98" s="408"/>
      <c r="AN98" s="408">
        <v>179.61554056602262</v>
      </c>
      <c r="AO98" s="408">
        <v>807.97851832306458</v>
      </c>
      <c r="AP98" s="408">
        <v>3767.4846323227844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0</v>
      </c>
      <c r="BF98" s="408">
        <v>0</v>
      </c>
      <c r="BG98" s="408">
        <v>1329.4006831338004</v>
      </c>
      <c r="BH98" s="408">
        <v>0</v>
      </c>
      <c r="BI98" s="408">
        <v>61.94</v>
      </c>
      <c r="BJ98" s="408">
        <v>536.36</v>
      </c>
      <c r="BK98" s="408">
        <v>64210.21</v>
      </c>
      <c r="BL98" s="408">
        <v>207</v>
      </c>
      <c r="BM98" s="408"/>
      <c r="BN98" s="408"/>
      <c r="BO98" s="408"/>
      <c r="BP98" s="408"/>
      <c r="BQ98" s="408"/>
      <c r="BR98" s="408"/>
      <c r="BS98" s="408"/>
      <c r="BT98" s="408"/>
      <c r="BU98" s="408"/>
      <c r="BV98" s="408">
        <v>26660.050701993354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75677.031900000002</v>
      </c>
      <c r="CJ98" s="408">
        <v>-4845.8100399999967</v>
      </c>
      <c r="CK98" s="408"/>
      <c r="CL98" s="408"/>
      <c r="CM98" s="408"/>
      <c r="CN98" s="408"/>
      <c r="CO98" s="408">
        <v>-8058.3781399999989</v>
      </c>
      <c r="CP98" s="408">
        <v>3210.5625400000004</v>
      </c>
      <c r="CQ98" s="408">
        <v>31</v>
      </c>
      <c r="CR98" s="408">
        <v>3852.555024249792</v>
      </c>
      <c r="CS98" s="408">
        <v>80.513332343167917</v>
      </c>
      <c r="CT98" s="408">
        <v>375.4217908287269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376.53859661329096</v>
      </c>
      <c r="DA98" s="408">
        <v>0</v>
      </c>
      <c r="DB98" s="408">
        <v>0</v>
      </c>
      <c r="DC98" s="408">
        <v>3210.2000489231395</v>
      </c>
      <c r="DD98" s="408">
        <v>0</v>
      </c>
      <c r="DE98" s="408">
        <v>0</v>
      </c>
      <c r="DF98" s="408">
        <v>0</v>
      </c>
      <c r="DG98" s="408">
        <v>168.4774032587909</v>
      </c>
      <c r="DH98" s="408">
        <v>0</v>
      </c>
      <c r="DI98" s="408">
        <v>-310.7776458182725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-42.736921429056792</v>
      </c>
      <c r="DP98" s="408">
        <v>-5.0815804700045248</v>
      </c>
      <c r="DQ98" s="408">
        <v>0</v>
      </c>
      <c r="DR98" s="408">
        <v>0</v>
      </c>
      <c r="DS98" s="408"/>
      <c r="DT98" s="408"/>
      <c r="DU98" s="408"/>
      <c r="DV98" s="408">
        <v>35025.780854160628</v>
      </c>
      <c r="DW98" s="408">
        <v>0</v>
      </c>
      <c r="DX98" s="408">
        <v>0</v>
      </c>
      <c r="DY98" s="408">
        <v>-8058.3781400000007</v>
      </c>
      <c r="DZ98" s="408">
        <v>3210.5625400000026</v>
      </c>
      <c r="EA98" s="408">
        <v>0</v>
      </c>
      <c r="EB98" s="408">
        <v>0</v>
      </c>
      <c r="EC98" s="408">
        <v>-8700.9980912974024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2337.2928194378355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240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59" customFormat="1">
      <c r="A99" s="408">
        <v>97</v>
      </c>
      <c r="B99" s="408" t="s">
        <v>1036</v>
      </c>
      <c r="C99" s="408" t="s">
        <v>2243</v>
      </c>
      <c r="D99" s="408" t="s">
        <v>597</v>
      </c>
      <c r="E99" s="408" t="s">
        <v>998</v>
      </c>
      <c r="F99" s="408" t="s">
        <v>1322</v>
      </c>
      <c r="G99" s="408" t="s">
        <v>1322</v>
      </c>
      <c r="H99" s="408" t="s">
        <v>1322</v>
      </c>
      <c r="I99" s="408" t="s">
        <v>973</v>
      </c>
      <c r="J99" s="408" t="s">
        <v>2236</v>
      </c>
      <c r="K99" s="826">
        <v>44409</v>
      </c>
      <c r="L99" s="408">
        <v>0</v>
      </c>
      <c r="M99" s="408">
        <v>0</v>
      </c>
      <c r="N99" s="408">
        <v>74.875</v>
      </c>
      <c r="O99" s="408">
        <v>74.875</v>
      </c>
      <c r="P99" s="408">
        <v>74.875</v>
      </c>
      <c r="Q99" s="408">
        <v>74.875</v>
      </c>
      <c r="R99" s="408"/>
      <c r="S99" s="408">
        <v>1358.36</v>
      </c>
      <c r="T99" s="408">
        <v>173.25</v>
      </c>
      <c r="U99" s="408"/>
      <c r="V99" s="408">
        <v>114679.29874999999</v>
      </c>
      <c r="W99" s="408">
        <v>114679.29874999999</v>
      </c>
      <c r="X99" s="408">
        <v>100551.13499999999</v>
      </c>
      <c r="Y99" s="408">
        <v>0</v>
      </c>
      <c r="Z99" s="408">
        <v>4009.1301650859837</v>
      </c>
      <c r="AA99" s="408">
        <v>0</v>
      </c>
      <c r="AB99" s="408">
        <v>0</v>
      </c>
      <c r="AC99" s="408">
        <v>1418.2888641233553</v>
      </c>
      <c r="AD99" s="408">
        <v>1362.6617676555318</v>
      </c>
      <c r="AE99" s="408">
        <v>75512.015295426958</v>
      </c>
      <c r="AF99" s="408">
        <v>12754.242735075311</v>
      </c>
      <c r="AG99" s="408">
        <v>217.6791105992761</v>
      </c>
      <c r="AH99" s="408">
        <v>0</v>
      </c>
      <c r="AI99" s="408">
        <v>0</v>
      </c>
      <c r="AJ99" s="408">
        <v>0</v>
      </c>
      <c r="AK99" s="408">
        <v>0</v>
      </c>
      <c r="AL99" s="408">
        <v>711.98864201474009</v>
      </c>
      <c r="AM99" s="408"/>
      <c r="AN99" s="408">
        <v>59.96093532171853</v>
      </c>
      <c r="AO99" s="408">
        <v>3010.7853117300765</v>
      </c>
      <c r="AP99" s="408">
        <v>14038.770575742357</v>
      </c>
      <c r="AQ99" s="408">
        <v>0</v>
      </c>
      <c r="AR99" s="408">
        <v>0</v>
      </c>
      <c r="AS99" s="408">
        <v>0</v>
      </c>
      <c r="AT99" s="408">
        <v>0</v>
      </c>
      <c r="AU99" s="408">
        <v>0</v>
      </c>
      <c r="AV99" s="408">
        <v>0</v>
      </c>
      <c r="AW99" s="408">
        <v>0</v>
      </c>
      <c r="AX99" s="408">
        <v>0</v>
      </c>
      <c r="AY99" s="408">
        <v>0</v>
      </c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>
        <v>0</v>
      </c>
      <c r="BG99" s="408">
        <v>559.96441165250837</v>
      </c>
      <c r="BH99" s="408">
        <v>0</v>
      </c>
      <c r="BI99" s="408">
        <v>0</v>
      </c>
      <c r="BJ99" s="408">
        <v>0</v>
      </c>
      <c r="BK99" s="408">
        <v>0</v>
      </c>
      <c r="BL99" s="408">
        <v>0</v>
      </c>
      <c r="BM99" s="408"/>
      <c r="BN99" s="408"/>
      <c r="BO99" s="408"/>
      <c r="BP99" s="408"/>
      <c r="BQ99" s="408"/>
      <c r="BR99" s="408"/>
      <c r="BS99" s="408"/>
      <c r="BT99" s="408"/>
      <c r="BU99" s="408"/>
      <c r="BV99" s="408">
        <v>13314.20714672782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100557.84959999999</v>
      </c>
      <c r="CJ99" s="408">
        <v>-14121.479149999985</v>
      </c>
      <c r="CK99" s="408"/>
      <c r="CL99" s="408"/>
      <c r="CM99" s="408"/>
      <c r="CN99" s="408"/>
      <c r="CO99" s="408">
        <v>-15744.714999999998</v>
      </c>
      <c r="CP99" s="408">
        <v>1616.5512500000002</v>
      </c>
      <c r="CQ99" s="408">
        <v>31</v>
      </c>
      <c r="CR99" s="408">
        <v>4630.0237441145873</v>
      </c>
      <c r="CS99" s="408">
        <v>300.01832093303665</v>
      </c>
      <c r="CT99" s="408">
        <v>1398.9334808061176</v>
      </c>
      <c r="CU99" s="408">
        <v>0</v>
      </c>
      <c r="CV99" s="408">
        <v>0</v>
      </c>
      <c r="CW99" s="408">
        <v>0</v>
      </c>
      <c r="CX99" s="408">
        <v>0</v>
      </c>
      <c r="CY99" s="408">
        <v>0</v>
      </c>
      <c r="CZ99" s="408">
        <v>1403.0901203609762</v>
      </c>
      <c r="DA99" s="408">
        <v>0</v>
      </c>
      <c r="DB99" s="408">
        <v>0</v>
      </c>
      <c r="DC99" s="408">
        <v>1616.368732015655</v>
      </c>
      <c r="DD99" s="408">
        <v>0</v>
      </c>
      <c r="DE99" s="408">
        <v>0</v>
      </c>
      <c r="DF99" s="408">
        <v>0</v>
      </c>
      <c r="DG99" s="408">
        <v>70.965323840632209</v>
      </c>
      <c r="DH99" s="408">
        <v>0</v>
      </c>
      <c r="DI99" s="408">
        <v>-136.1373738830921</v>
      </c>
      <c r="DJ99" s="408"/>
      <c r="DK99" s="408">
        <v>0</v>
      </c>
      <c r="DL99" s="408">
        <v>0</v>
      </c>
      <c r="DM99" s="408">
        <v>0</v>
      </c>
      <c r="DN99" s="408">
        <v>0</v>
      </c>
      <c r="DO99" s="408">
        <v>-21.518479361966911</v>
      </c>
      <c r="DP99" s="408">
        <v>-1.6963805967672414</v>
      </c>
      <c r="DQ99" s="408">
        <v>0</v>
      </c>
      <c r="DR99" s="408">
        <v>0</v>
      </c>
      <c r="DS99" s="408"/>
      <c r="DT99" s="408"/>
      <c r="DU99" s="408"/>
      <c r="DV99" s="408">
        <v>75512.015295426958</v>
      </c>
      <c r="DW99" s="408">
        <v>0</v>
      </c>
      <c r="DX99" s="408">
        <v>0</v>
      </c>
      <c r="DY99" s="408">
        <v>-15744.714999999997</v>
      </c>
      <c r="DZ99" s="408">
        <v>1616.5512500000004</v>
      </c>
      <c r="EA99" s="408">
        <v>0</v>
      </c>
      <c r="EB99" s="408">
        <v>0</v>
      </c>
      <c r="EC99" s="408">
        <v>-18758.465476936872</v>
      </c>
      <c r="ED99" s="408">
        <v>0</v>
      </c>
      <c r="EE99" s="408">
        <v>0</v>
      </c>
      <c r="EF99" s="408">
        <v>0</v>
      </c>
      <c r="EG99" s="408">
        <v>0</v>
      </c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>
        <v>0</v>
      </c>
      <c r="EN99" s="408">
        <v>0</v>
      </c>
      <c r="EO99" s="408">
        <v>0</v>
      </c>
      <c r="EP99" s="408">
        <v>1023.8603410367118</v>
      </c>
      <c r="EQ99" s="408">
        <v>0</v>
      </c>
      <c r="ER99" s="408">
        <v>0</v>
      </c>
      <c r="ES99" s="408">
        <v>0</v>
      </c>
      <c r="ET99" s="408">
        <v>0</v>
      </c>
      <c r="EU99" s="408">
        <v>0</v>
      </c>
      <c r="EV99" s="408">
        <v>240</v>
      </c>
      <c r="EW99" s="408">
        <v>0</v>
      </c>
      <c r="EX99" s="408">
        <v>0</v>
      </c>
      <c r="EY99" s="408">
        <v>0</v>
      </c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59" customFormat="1">
      <c r="A100" s="408">
        <v>98</v>
      </c>
      <c r="B100" s="408" t="s">
        <v>2238</v>
      </c>
      <c r="C100" s="408" t="s">
        <v>2243</v>
      </c>
      <c r="D100" s="408" t="s">
        <v>597</v>
      </c>
      <c r="E100" s="408" t="s">
        <v>998</v>
      </c>
      <c r="F100" s="408" t="s">
        <v>1322</v>
      </c>
      <c r="G100" s="408" t="s">
        <v>1322</v>
      </c>
      <c r="H100" s="408" t="s">
        <v>1322</v>
      </c>
      <c r="I100" s="408" t="s">
        <v>973</v>
      </c>
      <c r="J100" s="408" t="s">
        <v>2236</v>
      </c>
      <c r="K100" s="826">
        <v>44409</v>
      </c>
      <c r="L100" s="408">
        <v>0</v>
      </c>
      <c r="M100" s="408">
        <v>0</v>
      </c>
      <c r="N100" s="408">
        <v>4.3520000000000003</v>
      </c>
      <c r="O100" s="408">
        <v>4.3520000000000003</v>
      </c>
      <c r="P100" s="408">
        <v>4.3520000000000003</v>
      </c>
      <c r="Q100" s="408">
        <v>4.3520000000000003</v>
      </c>
      <c r="R100" s="408"/>
      <c r="S100" s="408">
        <v>1358.36</v>
      </c>
      <c r="T100" s="408">
        <v>173.25</v>
      </c>
      <c r="U100" s="408"/>
      <c r="V100" s="408">
        <v>6665.5667200000007</v>
      </c>
      <c r="W100" s="408">
        <v>6665.5667200000007</v>
      </c>
      <c r="X100" s="408">
        <v>5844.3878400000003</v>
      </c>
      <c r="Y100" s="408">
        <v>0</v>
      </c>
      <c r="Z100" s="408">
        <v>233.024834436784</v>
      </c>
      <c r="AA100" s="408">
        <v>0</v>
      </c>
      <c r="AB100" s="408">
        <v>0</v>
      </c>
      <c r="AC100" s="408">
        <v>82.435968436258335</v>
      </c>
      <c r="AD100" s="408">
        <v>79.202724712345585</v>
      </c>
      <c r="AE100" s="408">
        <v>4389.0255835151665</v>
      </c>
      <c r="AF100" s="408">
        <v>741.3217279872822</v>
      </c>
      <c r="AG100" s="408">
        <v>12.652280324915521</v>
      </c>
      <c r="AH100" s="408">
        <v>0</v>
      </c>
      <c r="AI100" s="408">
        <v>0</v>
      </c>
      <c r="AJ100" s="408">
        <v>0</v>
      </c>
      <c r="AK100" s="408">
        <v>0</v>
      </c>
      <c r="AL100" s="408">
        <v>41.383299766920189</v>
      </c>
      <c r="AM100" s="408"/>
      <c r="AN100" s="408">
        <v>3.485141776562525</v>
      </c>
      <c r="AO100" s="408">
        <v>174.9974981856333</v>
      </c>
      <c r="AP100" s="408">
        <v>815.98303232895819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0</v>
      </c>
      <c r="BE100" s="408">
        <v>0</v>
      </c>
      <c r="BF100" s="408">
        <v>0</v>
      </c>
      <c r="BG100" s="408">
        <v>32.547113449238282</v>
      </c>
      <c r="BH100" s="408">
        <v>0</v>
      </c>
      <c r="BI100" s="408">
        <v>0</v>
      </c>
      <c r="BJ100" s="408">
        <v>0</v>
      </c>
      <c r="BK100" s="408">
        <v>0</v>
      </c>
      <c r="BL100" s="408">
        <v>0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>
        <v>773.86884143652048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5841.7019999999993</v>
      </c>
      <c r="CJ100" s="408">
        <v>-823.89472000000205</v>
      </c>
      <c r="CK100" s="408"/>
      <c r="CL100" s="408"/>
      <c r="CM100" s="408"/>
      <c r="CN100" s="408"/>
      <c r="CO100" s="408">
        <v>-915.13855999999998</v>
      </c>
      <c r="CP100" s="408">
        <v>93.95968000000002</v>
      </c>
      <c r="CQ100" s="408">
        <v>31</v>
      </c>
      <c r="CR100" s="408">
        <v>269.11336673638334</v>
      </c>
      <c r="CS100" s="408">
        <v>17.438126647086165</v>
      </c>
      <c r="CT100" s="408">
        <v>81.310965054667463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81.552563656907765</v>
      </c>
      <c r="DA100" s="408">
        <v>0</v>
      </c>
      <c r="DB100" s="408">
        <v>0</v>
      </c>
      <c r="DC100" s="408">
        <v>93.94907140877649</v>
      </c>
      <c r="DD100" s="408">
        <v>0</v>
      </c>
      <c r="DE100" s="408">
        <v>0</v>
      </c>
      <c r="DF100" s="408">
        <v>0</v>
      </c>
      <c r="DG100" s="408">
        <v>4.1247557843663643</v>
      </c>
      <c r="DH100" s="408">
        <v>0</v>
      </c>
      <c r="DI100" s="408">
        <v>-7.9127859918426395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-1.2507301794094161</v>
      </c>
      <c r="DP100" s="408">
        <v>-9.8599644168694933E-2</v>
      </c>
      <c r="DQ100" s="408">
        <v>0</v>
      </c>
      <c r="DR100" s="408">
        <v>0</v>
      </c>
      <c r="DS100" s="408"/>
      <c r="DT100" s="408"/>
      <c r="DU100" s="408"/>
      <c r="DV100" s="408">
        <v>4389.0255835151665</v>
      </c>
      <c r="DW100" s="408">
        <v>0</v>
      </c>
      <c r="DX100" s="408">
        <v>0</v>
      </c>
      <c r="DY100" s="408">
        <v>-915.13856000000033</v>
      </c>
      <c r="DZ100" s="408">
        <v>93.959680000000048</v>
      </c>
      <c r="EA100" s="408">
        <v>0</v>
      </c>
      <c r="EB100" s="408">
        <v>0</v>
      </c>
      <c r="EC100" s="408">
        <v>-1090.3084040818594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59.510386700390917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240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59" customFormat="1">
      <c r="A101" s="408">
        <v>99</v>
      </c>
      <c r="B101" s="408" t="s">
        <v>1036</v>
      </c>
      <c r="C101" s="408" t="s">
        <v>2243</v>
      </c>
      <c r="D101" s="408" t="s">
        <v>597</v>
      </c>
      <c r="E101" s="408" t="s">
        <v>998</v>
      </c>
      <c r="F101" s="408" t="s">
        <v>1322</v>
      </c>
      <c r="G101" s="408" t="s">
        <v>1322</v>
      </c>
      <c r="H101" s="408" t="s">
        <v>1322</v>
      </c>
      <c r="I101" s="408" t="s">
        <v>2244</v>
      </c>
      <c r="J101" s="408" t="s">
        <v>2236</v>
      </c>
      <c r="K101" s="826">
        <v>44409</v>
      </c>
      <c r="L101" s="408">
        <v>0</v>
      </c>
      <c r="M101" s="408">
        <v>0</v>
      </c>
      <c r="N101" s="408">
        <v>847.71100000000001</v>
      </c>
      <c r="O101" s="408">
        <v>847.71100000000001</v>
      </c>
      <c r="P101" s="408">
        <v>847.71100000000001</v>
      </c>
      <c r="Q101" s="408">
        <v>847.71100000000001</v>
      </c>
      <c r="R101" s="408"/>
      <c r="S101" s="408">
        <v>85.01</v>
      </c>
      <c r="T101" s="408">
        <v>173.25</v>
      </c>
      <c r="U101" s="408"/>
      <c r="V101" s="408">
        <v>218929.84286</v>
      </c>
      <c r="W101" s="408">
        <v>218929.84286</v>
      </c>
      <c r="X101" s="408">
        <v>236231.62436999998</v>
      </c>
      <c r="Y101" s="408">
        <v>0</v>
      </c>
      <c r="Z101" s="408">
        <v>45390.100051755653</v>
      </c>
      <c r="AA101" s="408">
        <v>0</v>
      </c>
      <c r="AB101" s="408">
        <v>0</v>
      </c>
      <c r="AC101" s="408">
        <v>0</v>
      </c>
      <c r="AD101" s="408">
        <v>0</v>
      </c>
      <c r="AE101" s="408">
        <v>0</v>
      </c>
      <c r="AF101" s="408">
        <v>144399.49066034626</v>
      </c>
      <c r="AG101" s="408">
        <v>2464.4938434086539</v>
      </c>
      <c r="AH101" s="408">
        <v>0</v>
      </c>
      <c r="AI101" s="408">
        <v>0</v>
      </c>
      <c r="AJ101" s="408">
        <v>0</v>
      </c>
      <c r="AK101" s="408">
        <v>0</v>
      </c>
      <c r="AL101" s="408">
        <v>8060.9095654218008</v>
      </c>
      <c r="AM101" s="408"/>
      <c r="AN101" s="408">
        <v>678.85869038409794</v>
      </c>
      <c r="AO101" s="408">
        <v>0</v>
      </c>
      <c r="AP101" s="408">
        <v>0</v>
      </c>
      <c r="AQ101" s="408">
        <v>0</v>
      </c>
      <c r="AR101" s="408">
        <v>0</v>
      </c>
      <c r="AS101" s="408">
        <v>0</v>
      </c>
      <c r="AT101" s="408">
        <v>0</v>
      </c>
      <c r="AU101" s="408">
        <v>0</v>
      </c>
      <c r="AV101" s="408">
        <v>0</v>
      </c>
      <c r="AW101" s="408">
        <v>0</v>
      </c>
      <c r="AX101" s="408">
        <v>0</v>
      </c>
      <c r="AY101" s="408">
        <v>0</v>
      </c>
      <c r="AZ101" s="408">
        <v>0</v>
      </c>
      <c r="BA101" s="408"/>
      <c r="BB101" s="408">
        <v>0</v>
      </c>
      <c r="BC101" s="408">
        <v>0</v>
      </c>
      <c r="BD101" s="408">
        <v>0</v>
      </c>
      <c r="BE101" s="408">
        <v>0</v>
      </c>
      <c r="BF101" s="408">
        <v>0</v>
      </c>
      <c r="BG101" s="408">
        <v>6339.7394506358532</v>
      </c>
      <c r="BH101" s="408">
        <v>0</v>
      </c>
      <c r="BI101" s="408">
        <v>0</v>
      </c>
      <c r="BJ101" s="408">
        <v>0</v>
      </c>
      <c r="BK101" s="408">
        <v>0</v>
      </c>
      <c r="BL101" s="408">
        <v>0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>
        <v>150739.23011098211</v>
      </c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>
        <v>236231.34570000001</v>
      </c>
      <c r="CJ101" s="408">
        <v>17301.472840000002</v>
      </c>
      <c r="CK101" s="408"/>
      <c r="CL101" s="408"/>
      <c r="CM101" s="408"/>
      <c r="CN101" s="408"/>
      <c r="CO101" s="408">
        <v>-1000.2989800000058</v>
      </c>
      <c r="CP101" s="408">
        <v>18302.080490000004</v>
      </c>
      <c r="CQ101" s="408">
        <v>31</v>
      </c>
      <c r="CR101" s="408">
        <v>17299.32552015633</v>
      </c>
      <c r="CS101" s="408">
        <v>0</v>
      </c>
      <c r="CT101" s="408">
        <v>0</v>
      </c>
      <c r="CU101" s="408">
        <v>0</v>
      </c>
      <c r="CV101" s="408">
        <v>0</v>
      </c>
      <c r="CW101" s="408">
        <v>0</v>
      </c>
      <c r="CX101" s="408">
        <v>0</v>
      </c>
      <c r="CY101" s="408">
        <v>0</v>
      </c>
      <c r="CZ101" s="408">
        <v>0</v>
      </c>
      <c r="DA101" s="408">
        <v>0</v>
      </c>
      <c r="DB101" s="408">
        <v>0</v>
      </c>
      <c r="DC101" s="408">
        <v>18300.014079275134</v>
      </c>
      <c r="DD101" s="408">
        <v>0</v>
      </c>
      <c r="DE101" s="408">
        <v>0</v>
      </c>
      <c r="DF101" s="408">
        <v>0</v>
      </c>
      <c r="DG101" s="408">
        <v>803.44688665464037</v>
      </c>
      <c r="DH101" s="408">
        <v>0</v>
      </c>
      <c r="DI101" s="408">
        <v>-1541.3041649657462</v>
      </c>
      <c r="DJ101" s="408"/>
      <c r="DK101" s="408">
        <v>0</v>
      </c>
      <c r="DL101" s="408">
        <v>0</v>
      </c>
      <c r="DM101" s="408">
        <v>0</v>
      </c>
      <c r="DN101" s="408">
        <v>0</v>
      </c>
      <c r="DO101" s="408">
        <v>-243.62539777512211</v>
      </c>
      <c r="DP101" s="408">
        <v>-19.205883032602969</v>
      </c>
      <c r="DQ101" s="408">
        <v>0</v>
      </c>
      <c r="DR101" s="408">
        <v>0</v>
      </c>
      <c r="DS101" s="408"/>
      <c r="DT101" s="408"/>
      <c r="DU101" s="408"/>
      <c r="DV101" s="408">
        <v>0</v>
      </c>
      <c r="DW101" s="408">
        <v>0</v>
      </c>
      <c r="DX101" s="408">
        <v>0</v>
      </c>
      <c r="DY101" s="408">
        <v>-1000.2989800000068</v>
      </c>
      <c r="DZ101" s="408">
        <v>18302.080489999993</v>
      </c>
      <c r="EA101" s="408">
        <v>0</v>
      </c>
      <c r="EB101" s="408">
        <v>0</v>
      </c>
      <c r="EC101" s="408">
        <v>0</v>
      </c>
      <c r="ED101" s="408">
        <v>0</v>
      </c>
      <c r="EE101" s="408">
        <v>0</v>
      </c>
      <c r="EF101" s="408">
        <v>0</v>
      </c>
      <c r="EG101" s="408">
        <v>0</v>
      </c>
      <c r="EH101" s="408">
        <v>0</v>
      </c>
      <c r="EI101" s="408">
        <v>0</v>
      </c>
      <c r="EJ101" s="408">
        <v>0</v>
      </c>
      <c r="EK101" s="408">
        <v>0</v>
      </c>
      <c r="EL101" s="408">
        <v>0</v>
      </c>
      <c r="EM101" s="408">
        <v>0</v>
      </c>
      <c r="EN101" s="408">
        <v>0</v>
      </c>
      <c r="EO101" s="408">
        <v>0</v>
      </c>
      <c r="EP101" s="408">
        <v>11591.822017503466</v>
      </c>
      <c r="EQ101" s="408">
        <v>0</v>
      </c>
      <c r="ER101" s="408">
        <v>0</v>
      </c>
      <c r="ES101" s="408">
        <v>0</v>
      </c>
      <c r="ET101" s="408">
        <v>0</v>
      </c>
      <c r="EU101" s="408">
        <v>0</v>
      </c>
      <c r="EV101" s="408">
        <v>240</v>
      </c>
      <c r="EW101" s="408">
        <v>0</v>
      </c>
      <c r="EX101" s="408">
        <v>0</v>
      </c>
      <c r="EY101" s="408">
        <v>0</v>
      </c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59" customFormat="1">
      <c r="A102" s="408">
        <v>100</v>
      </c>
      <c r="B102" s="408" t="s">
        <v>2238</v>
      </c>
      <c r="C102" s="408" t="s">
        <v>2243</v>
      </c>
      <c r="D102" s="408" t="s">
        <v>597</v>
      </c>
      <c r="E102" s="408" t="s">
        <v>998</v>
      </c>
      <c r="F102" s="408" t="s">
        <v>1322</v>
      </c>
      <c r="G102" s="408" t="s">
        <v>1322</v>
      </c>
      <c r="H102" s="408" t="s">
        <v>1322</v>
      </c>
      <c r="I102" s="408" t="s">
        <v>2244</v>
      </c>
      <c r="J102" s="408" t="s">
        <v>2236</v>
      </c>
      <c r="K102" s="826">
        <v>44409</v>
      </c>
      <c r="L102" s="408">
        <v>0</v>
      </c>
      <c r="M102" s="408">
        <v>0</v>
      </c>
      <c r="N102" s="408">
        <v>27.042999999999999</v>
      </c>
      <c r="O102" s="408">
        <v>27.042999999999999</v>
      </c>
      <c r="P102" s="408">
        <v>27.042999999999999</v>
      </c>
      <c r="Q102" s="408">
        <v>27.042999999999999</v>
      </c>
      <c r="R102" s="408"/>
      <c r="S102" s="408">
        <v>85.01</v>
      </c>
      <c r="T102" s="408">
        <v>173.25</v>
      </c>
      <c r="U102" s="408"/>
      <c r="V102" s="408">
        <v>6984.12518</v>
      </c>
      <c r="W102" s="408">
        <v>6984.12518</v>
      </c>
      <c r="X102" s="408">
        <v>7536.0728099999997</v>
      </c>
      <c r="Y102" s="408">
        <v>0</v>
      </c>
      <c r="Z102" s="408">
        <v>1447.9987586566979</v>
      </c>
      <c r="AA102" s="408">
        <v>0</v>
      </c>
      <c r="AB102" s="408">
        <v>0</v>
      </c>
      <c r="AC102" s="408">
        <v>0</v>
      </c>
      <c r="AD102" s="408">
        <v>0</v>
      </c>
      <c r="AE102" s="408">
        <v>0</v>
      </c>
      <c r="AF102" s="408">
        <v>4606.5173460386195</v>
      </c>
      <c r="AG102" s="408">
        <v>78.620316366427033</v>
      </c>
      <c r="AH102" s="408">
        <v>0</v>
      </c>
      <c r="AI102" s="408">
        <v>0</v>
      </c>
      <c r="AJ102" s="408">
        <v>0</v>
      </c>
      <c r="AK102" s="408">
        <v>0</v>
      </c>
      <c r="AL102" s="408">
        <v>257.15270578971104</v>
      </c>
      <c r="AM102" s="408"/>
      <c r="AN102" s="408">
        <v>21.656408332624164</v>
      </c>
      <c r="AO102" s="408">
        <v>0</v>
      </c>
      <c r="AP102" s="408">
        <v>0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</v>
      </c>
      <c r="BF102" s="408">
        <v>0</v>
      </c>
      <c r="BG102" s="408">
        <v>202.24530997420746</v>
      </c>
      <c r="BH102" s="408">
        <v>0</v>
      </c>
      <c r="BI102" s="408">
        <v>0</v>
      </c>
      <c r="BJ102" s="408">
        <v>0</v>
      </c>
      <c r="BK102" s="408">
        <v>0</v>
      </c>
      <c r="BL102" s="408">
        <v>0</v>
      </c>
      <c r="BM102" s="408"/>
      <c r="BN102" s="408"/>
      <c r="BO102" s="408"/>
      <c r="BP102" s="408"/>
      <c r="BQ102" s="408"/>
      <c r="BR102" s="408"/>
      <c r="BS102" s="408"/>
      <c r="BT102" s="408"/>
      <c r="BU102" s="408"/>
      <c r="BV102" s="408">
        <v>4808.7626560128274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7535.2368000000006</v>
      </c>
      <c r="CJ102" s="408">
        <v>551.08161999999993</v>
      </c>
      <c r="CK102" s="408"/>
      <c r="CL102" s="408"/>
      <c r="CM102" s="408"/>
      <c r="CN102" s="408"/>
      <c r="CO102" s="408">
        <v>-31.910740000000185</v>
      </c>
      <c r="CP102" s="408">
        <v>583.85837000000004</v>
      </c>
      <c r="CQ102" s="408">
        <v>31</v>
      </c>
      <c r="CR102" s="408">
        <v>551.86928097144755</v>
      </c>
      <c r="CS102" s="408">
        <v>0</v>
      </c>
      <c r="CT102" s="408">
        <v>0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0</v>
      </c>
      <c r="DA102" s="408">
        <v>0</v>
      </c>
      <c r="DB102" s="408">
        <v>0</v>
      </c>
      <c r="DC102" s="408">
        <v>583.79244901368111</v>
      </c>
      <c r="DD102" s="408">
        <v>0</v>
      </c>
      <c r="DE102" s="408">
        <v>0</v>
      </c>
      <c r="DF102" s="408">
        <v>0</v>
      </c>
      <c r="DG102" s="408">
        <v>25.63092157091441</v>
      </c>
      <c r="DH102" s="408">
        <v>0</v>
      </c>
      <c r="DI102" s="408">
        <v>-49.169455785248147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-7.7719430702593399</v>
      </c>
      <c r="DP102" s="408">
        <v>-0.61269075764109004</v>
      </c>
      <c r="DQ102" s="408">
        <v>0</v>
      </c>
      <c r="DR102" s="408">
        <v>0</v>
      </c>
      <c r="DS102" s="408"/>
      <c r="DT102" s="408"/>
      <c r="DU102" s="408"/>
      <c r="DV102" s="408">
        <v>0</v>
      </c>
      <c r="DW102" s="408">
        <v>0</v>
      </c>
      <c r="DX102" s="408">
        <v>0</v>
      </c>
      <c r="DY102" s="408">
        <v>-31.91074000000026</v>
      </c>
      <c r="DZ102" s="408">
        <v>583.85836999999992</v>
      </c>
      <c r="EA102" s="408">
        <v>0</v>
      </c>
      <c r="EB102" s="408">
        <v>0</v>
      </c>
      <c r="EC102" s="408">
        <v>0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369.79305779840797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240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59" customFormat="1">
      <c r="A103" s="408">
        <v>101</v>
      </c>
      <c r="B103" s="408" t="s">
        <v>1036</v>
      </c>
      <c r="C103" s="408" t="s">
        <v>2243</v>
      </c>
      <c r="D103" s="408" t="s">
        <v>597</v>
      </c>
      <c r="E103" s="408" t="s">
        <v>998</v>
      </c>
      <c r="F103" s="408" t="s">
        <v>1322</v>
      </c>
      <c r="G103" s="408" t="s">
        <v>1322</v>
      </c>
      <c r="H103" s="408" t="s">
        <v>1322</v>
      </c>
      <c r="I103" s="408" t="s">
        <v>1322</v>
      </c>
      <c r="J103" s="408" t="s">
        <v>2236</v>
      </c>
      <c r="K103" s="826">
        <v>44409</v>
      </c>
      <c r="L103" s="408">
        <v>3876</v>
      </c>
      <c r="M103" s="408">
        <v>3876</v>
      </c>
      <c r="N103" s="408">
        <v>0</v>
      </c>
      <c r="O103" s="408">
        <v>0</v>
      </c>
      <c r="P103" s="408">
        <v>0</v>
      </c>
      <c r="Q103" s="408">
        <v>0</v>
      </c>
      <c r="R103" s="408">
        <v>27.19</v>
      </c>
      <c r="S103" s="408"/>
      <c r="T103" s="408"/>
      <c r="U103" s="408">
        <v>105388.44</v>
      </c>
      <c r="V103" s="408"/>
      <c r="W103" s="408">
        <v>105388.44</v>
      </c>
      <c r="X103" s="408">
        <v>84341.760000000009</v>
      </c>
      <c r="Y103" s="408">
        <v>0</v>
      </c>
      <c r="Z103" s="408">
        <v>0</v>
      </c>
      <c r="AA103" s="408">
        <v>0</v>
      </c>
      <c r="AB103" s="408">
        <v>0</v>
      </c>
      <c r="AC103" s="408">
        <v>903.88557764523807</v>
      </c>
      <c r="AD103" s="408">
        <v>868.35903739976345</v>
      </c>
      <c r="AE103" s="408">
        <v>92760.549222486225</v>
      </c>
      <c r="AF103" s="408"/>
      <c r="AG103" s="408"/>
      <c r="AH103" s="408"/>
      <c r="AI103" s="408">
        <v>0</v>
      </c>
      <c r="AJ103" s="408">
        <v>0</v>
      </c>
      <c r="AK103" s="408">
        <v>0</v>
      </c>
      <c r="AL103" s="408">
        <v>0</v>
      </c>
      <c r="AM103" s="408"/>
      <c r="AN103" s="408">
        <v>0</v>
      </c>
      <c r="AO103" s="408">
        <v>1918.1736053066384</v>
      </c>
      <c r="AP103" s="408">
        <v>8946.152355512535</v>
      </c>
      <c r="AQ103" s="408">
        <v>0</v>
      </c>
      <c r="AR103" s="408">
        <v>0</v>
      </c>
      <c r="AS103" s="408"/>
      <c r="AT103" s="408"/>
      <c r="AU103" s="408">
        <v>0</v>
      </c>
      <c r="AV103" s="408">
        <v>0</v>
      </c>
      <c r="AW103" s="408">
        <v>0</v>
      </c>
      <c r="AX103" s="408"/>
      <c r="AY103" s="408"/>
      <c r="AZ103" s="408">
        <v>0</v>
      </c>
      <c r="BA103" s="408"/>
      <c r="BB103" s="408">
        <v>0</v>
      </c>
      <c r="BC103" s="408">
        <v>0</v>
      </c>
      <c r="BD103" s="408">
        <v>0</v>
      </c>
      <c r="BE103" s="408">
        <v>0</v>
      </c>
      <c r="BF103" s="408"/>
      <c r="BG103" s="408">
        <v>0</v>
      </c>
      <c r="BH103" s="408">
        <v>0</v>
      </c>
      <c r="BI103" s="408">
        <v>360</v>
      </c>
      <c r="BJ103" s="408">
        <v>3087.18</v>
      </c>
      <c r="BK103" s="408">
        <v>210223.76</v>
      </c>
      <c r="BL103" s="408">
        <v>39</v>
      </c>
      <c r="BM103" s="408"/>
      <c r="BN103" s="408"/>
      <c r="BO103" s="408"/>
      <c r="BP103" s="408"/>
      <c r="BQ103" s="408"/>
      <c r="BR103" s="408"/>
      <c r="BS103" s="408"/>
      <c r="BT103" s="408"/>
      <c r="BU103" s="408"/>
      <c r="BV103" s="408">
        <v>0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84341.760000000009</v>
      </c>
      <c r="CJ103" s="408">
        <v>-21046.709999999977</v>
      </c>
      <c r="CK103" s="408"/>
      <c r="CL103" s="408"/>
      <c r="CM103" s="408"/>
      <c r="CN103" s="408"/>
      <c r="CO103" s="408">
        <v>-21046.68</v>
      </c>
      <c r="CP103" s="408">
        <v>0</v>
      </c>
      <c r="CQ103" s="408">
        <v>31</v>
      </c>
      <c r="CR103" s="408">
        <v>1976.7289491260326</v>
      </c>
      <c r="CS103" s="408">
        <v>191.14189978277909</v>
      </c>
      <c r="CT103" s="408">
        <v>891.46496033945004</v>
      </c>
      <c r="CU103" s="408">
        <v>0</v>
      </c>
      <c r="CV103" s="408">
        <v>0</v>
      </c>
      <c r="CW103" s="408"/>
      <c r="CX103" s="408"/>
      <c r="CY103" s="408"/>
      <c r="CZ103" s="408">
        <v>894.12208900380267</v>
      </c>
      <c r="DA103" s="408">
        <v>0</v>
      </c>
      <c r="DB103" s="408">
        <v>0</v>
      </c>
      <c r="DC103" s="408"/>
      <c r="DD103" s="408"/>
      <c r="DE103" s="408">
        <v>0</v>
      </c>
      <c r="DF103" s="408">
        <v>0</v>
      </c>
      <c r="DG103" s="408">
        <v>0</v>
      </c>
      <c r="DH103" s="408">
        <v>0</v>
      </c>
      <c r="DI103" s="408">
        <v>0</v>
      </c>
      <c r="DJ103" s="408"/>
      <c r="DK103" s="408">
        <v>0</v>
      </c>
      <c r="DL103" s="408">
        <v>0</v>
      </c>
      <c r="DM103" s="408"/>
      <c r="DN103" s="408">
        <v>0</v>
      </c>
      <c r="DO103" s="408">
        <v>0</v>
      </c>
      <c r="DP103" s="408">
        <v>0</v>
      </c>
      <c r="DQ103" s="408">
        <v>0</v>
      </c>
      <c r="DR103" s="408">
        <v>0</v>
      </c>
      <c r="DS103" s="408"/>
      <c r="DT103" s="408"/>
      <c r="DU103" s="408">
        <v>92760.549222486225</v>
      </c>
      <c r="DV103" s="408"/>
      <c r="DW103" s="408">
        <v>0</v>
      </c>
      <c r="DX103" s="408">
        <v>0</v>
      </c>
      <c r="DY103" s="408">
        <v>-21046.679999999993</v>
      </c>
      <c r="DZ103" s="408"/>
      <c r="EA103" s="408">
        <v>0</v>
      </c>
      <c r="EB103" s="408"/>
      <c r="EC103" s="408">
        <v>-23043.293883815466</v>
      </c>
      <c r="ED103" s="408"/>
      <c r="EE103" s="408">
        <v>0</v>
      </c>
      <c r="EF103" s="408">
        <v>0</v>
      </c>
      <c r="EG103" s="408"/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/>
      <c r="EN103" s="408"/>
      <c r="EO103" s="408">
        <v>0</v>
      </c>
      <c r="EP103" s="408">
        <v>0</v>
      </c>
      <c r="EQ103" s="408"/>
      <c r="ER103" s="408">
        <v>0</v>
      </c>
      <c r="ES103" s="408"/>
      <c r="ET103" s="408">
        <v>0</v>
      </c>
      <c r="EU103" s="408"/>
      <c r="EV103" s="408">
        <v>240</v>
      </c>
      <c r="EW103" s="408"/>
      <c r="EX103" s="408"/>
      <c r="EY103" s="408"/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59" customFormat="1">
      <c r="A104" s="408">
        <v>102</v>
      </c>
      <c r="B104" s="408" t="s">
        <v>2238</v>
      </c>
      <c r="C104" s="408" t="s">
        <v>2243</v>
      </c>
      <c r="D104" s="408" t="s">
        <v>597</v>
      </c>
      <c r="E104" s="408" t="s">
        <v>998</v>
      </c>
      <c r="F104" s="408" t="s">
        <v>1322</v>
      </c>
      <c r="G104" s="408" t="s">
        <v>1322</v>
      </c>
      <c r="H104" s="408" t="s">
        <v>1322</v>
      </c>
      <c r="I104" s="408" t="s">
        <v>1322</v>
      </c>
      <c r="J104" s="408" t="s">
        <v>2236</v>
      </c>
      <c r="K104" s="826">
        <v>44409</v>
      </c>
      <c r="L104" s="408">
        <v>648</v>
      </c>
      <c r="M104" s="408">
        <v>648</v>
      </c>
      <c r="N104" s="408">
        <v>0</v>
      </c>
      <c r="O104" s="408">
        <v>0</v>
      </c>
      <c r="P104" s="408">
        <v>0</v>
      </c>
      <c r="Q104" s="408">
        <v>0</v>
      </c>
      <c r="R104" s="408">
        <v>27.19</v>
      </c>
      <c r="S104" s="408"/>
      <c r="T104" s="408"/>
      <c r="U104" s="408">
        <v>17619.120000000003</v>
      </c>
      <c r="V104" s="408"/>
      <c r="W104" s="408">
        <v>17619.120000000003</v>
      </c>
      <c r="X104" s="408">
        <v>14100.480000000001</v>
      </c>
      <c r="Y104" s="408">
        <v>0</v>
      </c>
      <c r="Z104" s="408">
        <v>0</v>
      </c>
      <c r="AA104" s="408">
        <v>0</v>
      </c>
      <c r="AB104" s="408">
        <v>0</v>
      </c>
      <c r="AC104" s="408">
        <v>151.11399750106148</v>
      </c>
      <c r="AD104" s="408">
        <v>145.17457591203475</v>
      </c>
      <c r="AE104" s="408">
        <v>15507.955597567356</v>
      </c>
      <c r="AF104" s="408"/>
      <c r="AG104" s="408"/>
      <c r="AH104" s="408"/>
      <c r="AI104" s="408">
        <v>0</v>
      </c>
      <c r="AJ104" s="408">
        <v>0</v>
      </c>
      <c r="AK104" s="408">
        <v>0</v>
      </c>
      <c r="AL104" s="408">
        <v>0</v>
      </c>
      <c r="AM104" s="408"/>
      <c r="AN104" s="408">
        <v>0</v>
      </c>
      <c r="AO104" s="408">
        <v>320.68537054662067</v>
      </c>
      <c r="AP104" s="408">
        <v>1495.6415702714455</v>
      </c>
      <c r="AQ104" s="408">
        <v>0</v>
      </c>
      <c r="AR104" s="408">
        <v>0</v>
      </c>
      <c r="AS104" s="408"/>
      <c r="AT104" s="408"/>
      <c r="AU104" s="408">
        <v>0</v>
      </c>
      <c r="AV104" s="408">
        <v>0</v>
      </c>
      <c r="AW104" s="408">
        <v>0</v>
      </c>
      <c r="AX104" s="408"/>
      <c r="AY104" s="408"/>
      <c r="AZ104" s="408">
        <v>0</v>
      </c>
      <c r="BA104" s="408"/>
      <c r="BB104" s="408">
        <v>0</v>
      </c>
      <c r="BC104" s="408">
        <v>0</v>
      </c>
      <c r="BD104" s="408">
        <v>0</v>
      </c>
      <c r="BE104" s="408">
        <v>0</v>
      </c>
      <c r="BF104" s="408"/>
      <c r="BG104" s="408">
        <v>0</v>
      </c>
      <c r="BH104" s="408">
        <v>0</v>
      </c>
      <c r="BI104" s="408">
        <v>21.46</v>
      </c>
      <c r="BJ104" s="408">
        <v>184.17</v>
      </c>
      <c r="BK104" s="408">
        <v>13393.7</v>
      </c>
      <c r="BL104" s="408">
        <v>5</v>
      </c>
      <c r="BM104" s="408"/>
      <c r="BN104" s="408"/>
      <c r="BO104" s="408"/>
      <c r="BP104" s="408"/>
      <c r="BQ104" s="408"/>
      <c r="BR104" s="408"/>
      <c r="BS104" s="408"/>
      <c r="BT104" s="408"/>
      <c r="BU104" s="408"/>
      <c r="BV104" s="408">
        <v>0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14100.480000000001</v>
      </c>
      <c r="CJ104" s="408">
        <v>-3518.6699999999964</v>
      </c>
      <c r="CK104" s="408"/>
      <c r="CL104" s="408"/>
      <c r="CM104" s="408"/>
      <c r="CN104" s="408"/>
      <c r="CO104" s="408">
        <v>-3518.64</v>
      </c>
      <c r="CP104" s="408">
        <v>0</v>
      </c>
      <c r="CQ104" s="408">
        <v>31</v>
      </c>
      <c r="CR104" s="408">
        <v>330.47480883221579</v>
      </c>
      <c r="CS104" s="408">
        <v>31.955611728390295</v>
      </c>
      <c r="CT104" s="408">
        <v>149.03748562950568</v>
      </c>
      <c r="CU104" s="408">
        <v>0</v>
      </c>
      <c r="CV104" s="408">
        <v>0</v>
      </c>
      <c r="CW104" s="408"/>
      <c r="CX104" s="408"/>
      <c r="CY104" s="408"/>
      <c r="CZ104" s="408">
        <v>149.48171147431998</v>
      </c>
      <c r="DA104" s="408">
        <v>0</v>
      </c>
      <c r="DB104" s="408">
        <v>0</v>
      </c>
      <c r="DC104" s="408"/>
      <c r="DD104" s="408"/>
      <c r="DE104" s="408">
        <v>0</v>
      </c>
      <c r="DF104" s="408">
        <v>0</v>
      </c>
      <c r="DG104" s="408">
        <v>0</v>
      </c>
      <c r="DH104" s="408">
        <v>0</v>
      </c>
      <c r="DI104" s="408">
        <v>0</v>
      </c>
      <c r="DJ104" s="408"/>
      <c r="DK104" s="408">
        <v>0</v>
      </c>
      <c r="DL104" s="408">
        <v>0</v>
      </c>
      <c r="DM104" s="408"/>
      <c r="DN104" s="408">
        <v>0</v>
      </c>
      <c r="DO104" s="408">
        <v>0</v>
      </c>
      <c r="DP104" s="408">
        <v>0</v>
      </c>
      <c r="DQ104" s="408">
        <v>0</v>
      </c>
      <c r="DR104" s="408">
        <v>0</v>
      </c>
      <c r="DS104" s="408"/>
      <c r="DT104" s="408"/>
      <c r="DU104" s="408">
        <v>15507.955597567356</v>
      </c>
      <c r="DV104" s="408"/>
      <c r="DW104" s="408">
        <v>0</v>
      </c>
      <c r="DX104" s="408">
        <v>0</v>
      </c>
      <c r="DY104" s="408">
        <v>-3518.6400000000012</v>
      </c>
      <c r="DZ104" s="408"/>
      <c r="EA104" s="408">
        <v>0</v>
      </c>
      <c r="EB104" s="408"/>
      <c r="EC104" s="408">
        <v>-3852.439225158003</v>
      </c>
      <c r="ED104" s="408"/>
      <c r="EE104" s="408">
        <v>0</v>
      </c>
      <c r="EF104" s="408">
        <v>0</v>
      </c>
      <c r="EG104" s="408"/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/>
      <c r="EN104" s="408"/>
      <c r="EO104" s="408">
        <v>0</v>
      </c>
      <c r="EP104" s="408">
        <v>0</v>
      </c>
      <c r="EQ104" s="408"/>
      <c r="ER104" s="408">
        <v>0</v>
      </c>
      <c r="ES104" s="408"/>
      <c r="ET104" s="408">
        <v>0</v>
      </c>
      <c r="EU104" s="408"/>
      <c r="EV104" s="408">
        <v>240</v>
      </c>
      <c r="EW104" s="408"/>
      <c r="EX104" s="408"/>
      <c r="EY104" s="408"/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59" customFormat="1">
      <c r="A105" s="408">
        <v>103</v>
      </c>
      <c r="B105" s="408" t="s">
        <v>1036</v>
      </c>
      <c r="C105" s="408" t="s">
        <v>2316</v>
      </c>
      <c r="D105" s="408" t="s">
        <v>1958</v>
      </c>
      <c r="E105" s="408" t="s">
        <v>998</v>
      </c>
      <c r="F105" s="408" t="s">
        <v>1322</v>
      </c>
      <c r="G105" s="408" t="s">
        <v>1322</v>
      </c>
      <c r="H105" s="408" t="s">
        <v>1322</v>
      </c>
      <c r="I105" s="408" t="s">
        <v>973</v>
      </c>
      <c r="J105" s="408" t="s">
        <v>2236</v>
      </c>
      <c r="K105" s="826">
        <v>44409</v>
      </c>
      <c r="L105" s="408">
        <v>0</v>
      </c>
      <c r="M105" s="408">
        <v>0</v>
      </c>
      <c r="N105" s="408">
        <v>0.55800000000000005</v>
      </c>
      <c r="O105" s="408">
        <v>0.55800000000000005</v>
      </c>
      <c r="P105" s="408">
        <v>0.55800000000000005</v>
      </c>
      <c r="Q105" s="408">
        <v>0.55800000000000005</v>
      </c>
      <c r="R105" s="408"/>
      <c r="S105" s="408">
        <v>1553.42</v>
      </c>
      <c r="T105" s="408">
        <v>173.25</v>
      </c>
      <c r="U105" s="408"/>
      <c r="V105" s="408">
        <v>963.4818600000001</v>
      </c>
      <c r="W105" s="408">
        <v>963.4818600000001</v>
      </c>
      <c r="X105" s="408">
        <v>914.13792000000012</v>
      </c>
      <c r="Y105" s="408">
        <v>0</v>
      </c>
      <c r="Z105" s="408">
        <v>34.342212225248687</v>
      </c>
      <c r="AA105" s="408">
        <v>0</v>
      </c>
      <c r="AB105" s="408">
        <v>0</v>
      </c>
      <c r="AC105" s="408">
        <v>60.514679296238711</v>
      </c>
      <c r="AD105" s="408">
        <v>4.184788018110372</v>
      </c>
      <c r="AE105" s="408">
        <v>400.86045012091449</v>
      </c>
      <c r="AF105" s="408">
        <v>95.049982586604656</v>
      </c>
      <c r="AG105" s="408">
        <v>1.6222363100420178</v>
      </c>
      <c r="AH105" s="408">
        <v>0</v>
      </c>
      <c r="AI105" s="408">
        <v>0</v>
      </c>
      <c r="AJ105" s="408">
        <v>0</v>
      </c>
      <c r="AK105" s="408">
        <v>0</v>
      </c>
      <c r="AL105" s="408">
        <v>5.3060388947475792</v>
      </c>
      <c r="AM105" s="408"/>
      <c r="AN105" s="408">
        <v>0.67398404661439781</v>
      </c>
      <c r="AO105" s="408">
        <v>176.07911231389784</v>
      </c>
      <c r="AP105" s="408">
        <v>171.08620072083659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0</v>
      </c>
      <c r="BF105" s="408">
        <v>0</v>
      </c>
      <c r="BG105" s="408">
        <v>4.9884038383700773</v>
      </c>
      <c r="BH105" s="408">
        <v>0</v>
      </c>
      <c r="BI105" s="408">
        <v>0</v>
      </c>
      <c r="BJ105" s="408">
        <v>0</v>
      </c>
      <c r="BK105" s="408">
        <v>0</v>
      </c>
      <c r="BL105" s="408">
        <v>0</v>
      </c>
      <c r="BM105" s="408"/>
      <c r="BN105" s="408"/>
      <c r="BO105" s="408"/>
      <c r="BP105" s="408"/>
      <c r="BQ105" s="408"/>
      <c r="BR105" s="408"/>
      <c r="BS105" s="408"/>
      <c r="BT105" s="408"/>
      <c r="BU105" s="408"/>
      <c r="BV105" s="408">
        <v>100.03838642497473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917.41440000000011</v>
      </c>
      <c r="CJ105" s="408">
        <v>-46.097459999999955</v>
      </c>
      <c r="CK105" s="408"/>
      <c r="CL105" s="408"/>
      <c r="CM105" s="408"/>
      <c r="CN105" s="408"/>
      <c r="CO105" s="408">
        <v>-61.391159999999992</v>
      </c>
      <c r="CP105" s="408">
        <v>12.047220000000003</v>
      </c>
      <c r="CQ105" s="408">
        <v>31</v>
      </c>
      <c r="CR105" s="408">
        <v>50.235690322002824</v>
      </c>
      <c r="CS105" s="408">
        <v>17.545907183079947</v>
      </c>
      <c r="CT105" s="408">
        <v>17.04837421489367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4.3089450833553622</v>
      </c>
      <c r="DA105" s="408">
        <v>0</v>
      </c>
      <c r="DB105" s="408">
        <v>0</v>
      </c>
      <c r="DC105" s="408">
        <v>12.045859799195142</v>
      </c>
      <c r="DD105" s="408">
        <v>0</v>
      </c>
      <c r="DE105" s="408">
        <v>0</v>
      </c>
      <c r="DF105" s="408">
        <v>0</v>
      </c>
      <c r="DG105" s="408">
        <v>0.63218962932501288</v>
      </c>
      <c r="DH105" s="408">
        <v>0</v>
      </c>
      <c r="DI105" s="408">
        <v>-1.1661528544012754</v>
      </c>
      <c r="DJ105" s="408"/>
      <c r="DK105" s="408">
        <v>0</v>
      </c>
      <c r="DL105" s="408">
        <v>0</v>
      </c>
      <c r="DM105" s="408">
        <v>0</v>
      </c>
      <c r="DN105" s="408">
        <v>0</v>
      </c>
      <c r="DO105" s="408">
        <v>-0.16036476105479114</v>
      </c>
      <c r="DP105" s="408">
        <v>-1.9067972390236609E-2</v>
      </c>
      <c r="DQ105" s="408">
        <v>0</v>
      </c>
      <c r="DR105" s="408">
        <v>0</v>
      </c>
      <c r="DS105" s="408"/>
      <c r="DT105" s="408"/>
      <c r="DU105" s="408"/>
      <c r="DV105" s="408">
        <v>400.86045012091449</v>
      </c>
      <c r="DW105" s="408">
        <v>0</v>
      </c>
      <c r="DX105" s="408">
        <v>0</v>
      </c>
      <c r="DY105" s="408">
        <v>-61.391160000000013</v>
      </c>
      <c r="DZ105" s="408">
        <v>12.04722000000001</v>
      </c>
      <c r="EA105" s="408">
        <v>0</v>
      </c>
      <c r="EB105" s="408">
        <v>0</v>
      </c>
      <c r="EC105" s="408">
        <v>-99.580535431927615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8.7703885064914164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240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59" customFormat="1">
      <c r="A106" s="408">
        <v>104</v>
      </c>
      <c r="B106" s="408" t="s">
        <v>1036</v>
      </c>
      <c r="C106" s="408" t="s">
        <v>2316</v>
      </c>
      <c r="D106" s="408" t="s">
        <v>1958</v>
      </c>
      <c r="E106" s="408" t="s">
        <v>998</v>
      </c>
      <c r="F106" s="408" t="s">
        <v>1322</v>
      </c>
      <c r="G106" s="408" t="s">
        <v>1322</v>
      </c>
      <c r="H106" s="408" t="s">
        <v>1322</v>
      </c>
      <c r="I106" s="408" t="s">
        <v>2244</v>
      </c>
      <c r="J106" s="408" t="s">
        <v>2236</v>
      </c>
      <c r="K106" s="826">
        <v>44409</v>
      </c>
      <c r="L106" s="408">
        <v>0</v>
      </c>
      <c r="M106" s="408">
        <v>0</v>
      </c>
      <c r="N106" s="408">
        <v>7.4649999999999999</v>
      </c>
      <c r="O106" s="408">
        <v>7.4649999999999999</v>
      </c>
      <c r="P106" s="408">
        <v>7.4649999999999999</v>
      </c>
      <c r="Q106" s="408">
        <v>7.4649999999999999</v>
      </c>
      <c r="R106" s="408"/>
      <c r="S106" s="408">
        <v>388.22</v>
      </c>
      <c r="T106" s="408">
        <v>173.25</v>
      </c>
      <c r="U106" s="408"/>
      <c r="V106" s="408">
        <v>4191.3735500000003</v>
      </c>
      <c r="W106" s="408">
        <v>4191.3735500000003</v>
      </c>
      <c r="X106" s="408">
        <v>4180.6239500000001</v>
      </c>
      <c r="Y106" s="408">
        <v>0</v>
      </c>
      <c r="Z106" s="408">
        <v>459.43479258330001</v>
      </c>
      <c r="AA106" s="408">
        <v>0</v>
      </c>
      <c r="AB106" s="408">
        <v>0</v>
      </c>
      <c r="AC106" s="408">
        <v>161.91472435355627</v>
      </c>
      <c r="AD106" s="408">
        <v>11.196943292006766</v>
      </c>
      <c r="AE106" s="408">
        <v>1072.5539437554758</v>
      </c>
      <c r="AF106" s="408">
        <v>1271.5916129193615</v>
      </c>
      <c r="AG106" s="408">
        <v>21.702498305490433</v>
      </c>
      <c r="AH106" s="408">
        <v>0</v>
      </c>
      <c r="AI106" s="408">
        <v>0</v>
      </c>
      <c r="AJ106" s="408">
        <v>0</v>
      </c>
      <c r="AK106" s="408">
        <v>0</v>
      </c>
      <c r="AL106" s="408">
        <v>70.984911020234179</v>
      </c>
      <c r="AM106" s="408"/>
      <c r="AN106" s="408">
        <v>9.0166503727177041</v>
      </c>
      <c r="AO106" s="408">
        <v>471.12206932732875</v>
      </c>
      <c r="AP106" s="408">
        <v>457.76289906130648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</v>
      </c>
      <c r="BE106" s="408">
        <v>0</v>
      </c>
      <c r="BF106" s="408">
        <v>0</v>
      </c>
      <c r="BG106" s="408">
        <v>66.735545973893593</v>
      </c>
      <c r="BH106" s="408">
        <v>0</v>
      </c>
      <c r="BI106" s="408">
        <v>0</v>
      </c>
      <c r="BJ106" s="408">
        <v>0</v>
      </c>
      <c r="BK106" s="408">
        <v>0</v>
      </c>
      <c r="BL106" s="408">
        <v>0</v>
      </c>
      <c r="BM106" s="408"/>
      <c r="BN106" s="408"/>
      <c r="BO106" s="408"/>
      <c r="BP106" s="408"/>
      <c r="BQ106" s="408"/>
      <c r="BR106" s="408"/>
      <c r="BS106" s="408"/>
      <c r="BT106" s="408"/>
      <c r="BU106" s="408"/>
      <c r="BV106" s="408">
        <v>1338.327158893255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4183.4241000000002</v>
      </c>
      <c r="CJ106" s="408">
        <v>-7.9794500000007247</v>
      </c>
      <c r="CK106" s="408"/>
      <c r="CL106" s="408"/>
      <c r="CM106" s="408"/>
      <c r="CN106" s="408"/>
      <c r="CO106" s="408">
        <v>-171.91895000000022</v>
      </c>
      <c r="CP106" s="408">
        <v>161.16935000000001</v>
      </c>
      <c r="CQ106" s="408">
        <v>31</v>
      </c>
      <c r="CR106" s="408">
        <v>255.69778804049201</v>
      </c>
      <c r="CS106" s="408">
        <v>46.946307212075112</v>
      </c>
      <c r="CT106" s="408">
        <v>45.615094449526509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11.529141628656985</v>
      </c>
      <c r="DA106" s="408">
        <v>0</v>
      </c>
      <c r="DB106" s="408">
        <v>0</v>
      </c>
      <c r="DC106" s="408">
        <v>161.15115304837218</v>
      </c>
      <c r="DD106" s="408">
        <v>0</v>
      </c>
      <c r="DE106" s="408">
        <v>0</v>
      </c>
      <c r="DF106" s="408">
        <v>0</v>
      </c>
      <c r="DG106" s="408">
        <v>8.4575189657907117</v>
      </c>
      <c r="DH106" s="408">
        <v>0</v>
      </c>
      <c r="DI106" s="408">
        <v>-15.600951717035002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-2.1453816151864089</v>
      </c>
      <c r="DP106" s="408">
        <v>-0.25509393170809425</v>
      </c>
      <c r="DQ106" s="408">
        <v>0</v>
      </c>
      <c r="DR106" s="408">
        <v>0</v>
      </c>
      <c r="DS106" s="408"/>
      <c r="DT106" s="408"/>
      <c r="DU106" s="408"/>
      <c r="DV106" s="408">
        <v>1072.5539437554758</v>
      </c>
      <c r="DW106" s="408">
        <v>0</v>
      </c>
      <c r="DX106" s="408">
        <v>0</v>
      </c>
      <c r="DY106" s="408">
        <v>-171.91895000000022</v>
      </c>
      <c r="DZ106" s="408">
        <v>161.16935000000012</v>
      </c>
      <c r="EA106" s="408">
        <v>0</v>
      </c>
      <c r="EB106" s="408">
        <v>0</v>
      </c>
      <c r="EC106" s="408">
        <v>-266.44059289605309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117.33145197304374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240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59" customFormat="1">
      <c r="A107" s="408">
        <v>105</v>
      </c>
      <c r="B107" s="408" t="s">
        <v>1036</v>
      </c>
      <c r="C107" s="408" t="s">
        <v>2316</v>
      </c>
      <c r="D107" s="408" t="s">
        <v>1958</v>
      </c>
      <c r="E107" s="408" t="s">
        <v>998</v>
      </c>
      <c r="F107" s="408" t="s">
        <v>1322</v>
      </c>
      <c r="G107" s="408" t="s">
        <v>1322</v>
      </c>
      <c r="H107" s="408" t="s">
        <v>1322</v>
      </c>
      <c r="I107" s="408" t="s">
        <v>1322</v>
      </c>
      <c r="J107" s="408" t="s">
        <v>2236</v>
      </c>
      <c r="K107" s="826">
        <v>44409</v>
      </c>
      <c r="L107" s="408">
        <v>0</v>
      </c>
      <c r="M107" s="408">
        <v>0</v>
      </c>
      <c r="N107" s="408">
        <v>0</v>
      </c>
      <c r="O107" s="408">
        <v>0</v>
      </c>
      <c r="P107" s="408">
        <v>0</v>
      </c>
      <c r="Q107" s="408">
        <v>0</v>
      </c>
      <c r="R107" s="408"/>
      <c r="S107" s="408"/>
      <c r="T107" s="408"/>
      <c r="U107" s="408"/>
      <c r="V107" s="408"/>
      <c r="W107" s="408"/>
      <c r="X107" s="408"/>
      <c r="Y107" s="408"/>
      <c r="Z107" s="408"/>
      <c r="AA107" s="408">
        <v>0</v>
      </c>
      <c r="AB107" s="408"/>
      <c r="AC107" s="408"/>
      <c r="AD107" s="408"/>
      <c r="AE107" s="408"/>
      <c r="AF107" s="408"/>
      <c r="AG107" s="408"/>
      <c r="AH107" s="408"/>
      <c r="AI107" s="408"/>
      <c r="AJ107" s="408"/>
      <c r="AK107" s="408"/>
      <c r="AL107" s="408"/>
      <c r="AM107" s="408"/>
      <c r="AN107" s="408"/>
      <c r="AO107" s="408"/>
      <c r="AP107" s="408"/>
      <c r="AQ107" s="408"/>
      <c r="AR107" s="408"/>
      <c r="AS107" s="408"/>
      <c r="AT107" s="408"/>
      <c r="AU107" s="408"/>
      <c r="AV107" s="408"/>
      <c r="AW107" s="408"/>
      <c r="AX107" s="408"/>
      <c r="AY107" s="408"/>
      <c r="AZ107" s="408">
        <v>0</v>
      </c>
      <c r="BA107" s="408"/>
      <c r="BB107" s="408"/>
      <c r="BC107" s="408"/>
      <c r="BD107" s="408"/>
      <c r="BE107" s="408"/>
      <c r="BF107" s="408"/>
      <c r="BG107" s="408"/>
      <c r="BH107" s="408"/>
      <c r="BI107" s="408">
        <v>4.57</v>
      </c>
      <c r="BJ107" s="408">
        <v>39.51</v>
      </c>
      <c r="BK107" s="408">
        <v>2821.52</v>
      </c>
      <c r="BL107" s="408">
        <v>6</v>
      </c>
      <c r="BM107" s="408"/>
      <c r="BN107" s="408"/>
      <c r="BO107" s="408"/>
      <c r="BP107" s="408"/>
      <c r="BQ107" s="408"/>
      <c r="BR107" s="408"/>
      <c r="BS107" s="408"/>
      <c r="BT107" s="408"/>
      <c r="BU107" s="408"/>
      <c r="BV107" s="408"/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/>
      <c r="CJ107" s="408">
        <v>-0.03</v>
      </c>
      <c r="CK107" s="408"/>
      <c r="CL107" s="408"/>
      <c r="CM107" s="408"/>
      <c r="CN107" s="408"/>
      <c r="CO107" s="408">
        <v>0</v>
      </c>
      <c r="CP107" s="408">
        <v>0</v>
      </c>
      <c r="CQ107" s="408">
        <v>31</v>
      </c>
      <c r="CR107" s="408"/>
      <c r="CS107" s="408"/>
      <c r="CT107" s="408"/>
      <c r="CU107" s="408"/>
      <c r="CV107" s="408"/>
      <c r="CW107" s="408"/>
      <c r="CX107" s="408"/>
      <c r="CY107" s="408"/>
      <c r="CZ107" s="408"/>
      <c r="DA107" s="408"/>
      <c r="DB107" s="408"/>
      <c r="DC107" s="408"/>
      <c r="DD107" s="408"/>
      <c r="DE107" s="408"/>
      <c r="DF107" s="408"/>
      <c r="DG107" s="408"/>
      <c r="DH107" s="408"/>
      <c r="DI107" s="408"/>
      <c r="DJ107" s="408"/>
      <c r="DK107" s="408">
        <v>0</v>
      </c>
      <c r="DL107" s="408"/>
      <c r="DM107" s="408"/>
      <c r="DN107" s="408"/>
      <c r="DO107" s="408"/>
      <c r="DP107" s="408"/>
      <c r="DQ107" s="408"/>
      <c r="DR107" s="408"/>
      <c r="DS107" s="408"/>
      <c r="DT107" s="408"/>
      <c r="DU107" s="408"/>
      <c r="DV107" s="408"/>
      <c r="DW107" s="408"/>
      <c r="DX107" s="408"/>
      <c r="DY107" s="408"/>
      <c r="DZ107" s="408"/>
      <c r="EA107" s="408"/>
      <c r="EB107" s="408"/>
      <c r="EC107" s="408"/>
      <c r="ED107" s="408"/>
      <c r="EE107" s="408"/>
      <c r="EF107" s="408"/>
      <c r="EG107" s="408"/>
      <c r="EH107" s="408"/>
      <c r="EI107" s="408"/>
      <c r="EJ107" s="408"/>
      <c r="EK107" s="408"/>
      <c r="EL107" s="408"/>
      <c r="EM107" s="408"/>
      <c r="EN107" s="408"/>
      <c r="EO107" s="408"/>
      <c r="EP107" s="408"/>
      <c r="EQ107" s="408"/>
      <c r="ER107" s="408"/>
      <c r="ES107" s="408"/>
      <c r="ET107" s="408"/>
      <c r="EU107" s="408"/>
      <c r="EV107" s="408">
        <v>240</v>
      </c>
      <c r="EW107" s="408"/>
      <c r="EX107" s="408"/>
      <c r="EY107" s="408"/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59" customFormat="1">
      <c r="A108" s="408">
        <v>106</v>
      </c>
      <c r="B108" s="408" t="s">
        <v>1036</v>
      </c>
      <c r="C108" s="408" t="s">
        <v>2316</v>
      </c>
      <c r="D108" s="408" t="s">
        <v>1958</v>
      </c>
      <c r="E108" s="408" t="s">
        <v>998</v>
      </c>
      <c r="F108" s="408" t="s">
        <v>1322</v>
      </c>
      <c r="G108" s="408" t="s">
        <v>1322</v>
      </c>
      <c r="H108" s="408" t="s">
        <v>1322</v>
      </c>
      <c r="I108" s="408" t="s">
        <v>2317</v>
      </c>
      <c r="J108" s="408" t="s">
        <v>2236</v>
      </c>
      <c r="K108" s="826">
        <v>44409</v>
      </c>
      <c r="L108" s="408">
        <v>0</v>
      </c>
      <c r="M108" s="408">
        <v>0</v>
      </c>
      <c r="N108" s="408">
        <v>0.434</v>
      </c>
      <c r="O108" s="408">
        <v>0.434</v>
      </c>
      <c r="P108" s="408">
        <v>0.434</v>
      </c>
      <c r="Q108" s="408">
        <v>0.434</v>
      </c>
      <c r="R108" s="408"/>
      <c r="S108" s="408">
        <v>970.82</v>
      </c>
      <c r="T108" s="408">
        <v>173.25</v>
      </c>
      <c r="U108" s="408"/>
      <c r="V108" s="408">
        <v>496.52638000000002</v>
      </c>
      <c r="W108" s="408">
        <v>496.52638000000002</v>
      </c>
      <c r="X108" s="408">
        <v>477.02242000000001</v>
      </c>
      <c r="Y108" s="408">
        <v>0</v>
      </c>
      <c r="Z108" s="408">
        <v>26.710609508526755</v>
      </c>
      <c r="AA108" s="408">
        <v>0</v>
      </c>
      <c r="AB108" s="408">
        <v>0</v>
      </c>
      <c r="AC108" s="408">
        <v>28.240183671578105</v>
      </c>
      <c r="AD108" s="408">
        <v>1.9529029023700974</v>
      </c>
      <c r="AE108" s="408">
        <v>187.06825679446638</v>
      </c>
      <c r="AF108" s="408">
        <v>73.927764234025844</v>
      </c>
      <c r="AG108" s="408">
        <v>1.2617393522549025</v>
      </c>
      <c r="AH108" s="408">
        <v>0</v>
      </c>
      <c r="AI108" s="408">
        <v>0</v>
      </c>
      <c r="AJ108" s="408">
        <v>0</v>
      </c>
      <c r="AK108" s="408">
        <v>0</v>
      </c>
      <c r="AL108" s="408">
        <v>4.1269191403592282</v>
      </c>
      <c r="AM108" s="408"/>
      <c r="AN108" s="408">
        <v>0.52420981403342048</v>
      </c>
      <c r="AO108" s="408">
        <v>82.170252413152241</v>
      </c>
      <c r="AP108" s="408">
        <v>79.840227003057251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0</v>
      </c>
      <c r="BE108" s="408">
        <v>0</v>
      </c>
      <c r="BF108" s="408">
        <v>0</v>
      </c>
      <c r="BG108" s="408">
        <v>3.8798696520656155</v>
      </c>
      <c r="BH108" s="408">
        <v>0</v>
      </c>
      <c r="BI108" s="408">
        <v>0</v>
      </c>
      <c r="BJ108" s="408">
        <v>0</v>
      </c>
      <c r="BK108" s="408">
        <v>0</v>
      </c>
      <c r="BL108" s="408">
        <v>0</v>
      </c>
      <c r="BM108" s="408"/>
      <c r="BN108" s="408"/>
      <c r="BO108" s="408"/>
      <c r="BP108" s="408"/>
      <c r="BQ108" s="408"/>
      <c r="BR108" s="408"/>
      <c r="BS108" s="408"/>
      <c r="BT108" s="408"/>
      <c r="BU108" s="408"/>
      <c r="BV108" s="408">
        <v>77.807633886091466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472.6259</v>
      </c>
      <c r="CJ108" s="408">
        <v>-23.930479999999989</v>
      </c>
      <c r="CK108" s="408"/>
      <c r="CL108" s="408"/>
      <c r="CM108" s="408"/>
      <c r="CN108" s="408"/>
      <c r="CO108" s="408">
        <v>-28.874020000000037</v>
      </c>
      <c r="CP108" s="408">
        <v>9.3700600000000023</v>
      </c>
      <c r="CQ108" s="408">
        <v>31</v>
      </c>
      <c r="CR108" s="408">
        <v>26.968979448830169</v>
      </c>
      <c r="CS108" s="408">
        <v>8.1880900187707084</v>
      </c>
      <c r="CT108" s="408">
        <v>7.9559079669499226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2.0108429203632232</v>
      </c>
      <c r="DA108" s="408">
        <v>0</v>
      </c>
      <c r="DB108" s="408">
        <v>0</v>
      </c>
      <c r="DC108" s="408">
        <v>9.3690020660406645</v>
      </c>
      <c r="DD108" s="408">
        <v>0</v>
      </c>
      <c r="DE108" s="408">
        <v>0</v>
      </c>
      <c r="DF108" s="408">
        <v>0</v>
      </c>
      <c r="DG108" s="408">
        <v>0.49170304503056572</v>
      </c>
      <c r="DH108" s="408">
        <v>0</v>
      </c>
      <c r="DI108" s="408">
        <v>-0.90700777564543955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-0.12472814748706007</v>
      </c>
      <c r="DP108" s="408">
        <v>-1.4830645192406289E-2</v>
      </c>
      <c r="DQ108" s="408">
        <v>0</v>
      </c>
      <c r="DR108" s="408">
        <v>0</v>
      </c>
      <c r="DS108" s="408"/>
      <c r="DT108" s="408"/>
      <c r="DU108" s="408"/>
      <c r="DV108" s="408">
        <v>187.06825679446638</v>
      </c>
      <c r="DW108" s="408">
        <v>0</v>
      </c>
      <c r="DX108" s="408">
        <v>0</v>
      </c>
      <c r="DY108" s="408">
        <v>-28.87402000000003</v>
      </c>
      <c r="DZ108" s="408">
        <v>9.3700599999999952</v>
      </c>
      <c r="EA108" s="408">
        <v>0</v>
      </c>
      <c r="EB108" s="408">
        <v>0</v>
      </c>
      <c r="EC108" s="408">
        <v>-46.470928145421254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6.821413282826656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240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59" customFormat="1">
      <c r="A109" s="408">
        <v>107</v>
      </c>
      <c r="B109" s="408" t="s">
        <v>1036</v>
      </c>
      <c r="C109" s="408" t="s">
        <v>2235</v>
      </c>
      <c r="D109" s="408" t="s">
        <v>2245</v>
      </c>
      <c r="E109" s="408" t="s">
        <v>974</v>
      </c>
      <c r="F109" s="408" t="s">
        <v>1322</v>
      </c>
      <c r="G109" s="408" t="s">
        <v>1322</v>
      </c>
      <c r="H109" s="408" t="s">
        <v>1322</v>
      </c>
      <c r="I109" s="408" t="s">
        <v>1322</v>
      </c>
      <c r="J109" s="408" t="s">
        <v>2236</v>
      </c>
      <c r="K109" s="826">
        <v>44409</v>
      </c>
      <c r="L109" s="408">
        <v>0</v>
      </c>
      <c r="M109" s="408">
        <v>0</v>
      </c>
      <c r="N109" s="408">
        <v>5985.8609999999999</v>
      </c>
      <c r="O109" s="408">
        <v>5985.8609999999999</v>
      </c>
      <c r="P109" s="408">
        <v>5985.8609999999999</v>
      </c>
      <c r="Q109" s="408">
        <v>5985.8609999999999</v>
      </c>
      <c r="R109" s="408"/>
      <c r="S109" s="408">
        <v>368.24</v>
      </c>
      <c r="T109" s="408">
        <v>173.25</v>
      </c>
      <c r="U109" s="408"/>
      <c r="V109" s="408">
        <v>3241283.8728900002</v>
      </c>
      <c r="W109" s="408">
        <v>3241283.8728900002</v>
      </c>
      <c r="X109" s="408">
        <v>3046144.8042900003</v>
      </c>
      <c r="Y109" s="408">
        <v>0</v>
      </c>
      <c r="Z109" s="408">
        <v>368400.91185096651</v>
      </c>
      <c r="AA109" s="408">
        <v>0</v>
      </c>
      <c r="AB109" s="408">
        <v>0</v>
      </c>
      <c r="AC109" s="408">
        <v>15321.03489048287</v>
      </c>
      <c r="AD109" s="408">
        <v>14720.078970885903</v>
      </c>
      <c r="AE109" s="408">
        <v>1409892.3756234907</v>
      </c>
      <c r="AF109" s="408">
        <v>1019634.3795982723</v>
      </c>
      <c r="AG109" s="408">
        <v>17402.295808359177</v>
      </c>
      <c r="AH109" s="408">
        <v>0</v>
      </c>
      <c r="AI109" s="408">
        <v>0</v>
      </c>
      <c r="AJ109" s="408">
        <v>0</v>
      </c>
      <c r="AK109" s="408">
        <v>0</v>
      </c>
      <c r="AL109" s="408">
        <v>56919.733484861354</v>
      </c>
      <c r="AM109" s="408"/>
      <c r="AN109" s="408">
        <v>7230.0624000919452</v>
      </c>
      <c r="AO109" s="408">
        <v>32523.550506824322</v>
      </c>
      <c r="AP109" s="408">
        <v>151652.51791266186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0</v>
      </c>
      <c r="BF109" s="408">
        <v>0</v>
      </c>
      <c r="BG109" s="408">
        <v>53512.351233601701</v>
      </c>
      <c r="BH109" s="408">
        <v>0</v>
      </c>
      <c r="BI109" s="408">
        <v>2083.9899999999998</v>
      </c>
      <c r="BJ109" s="408">
        <v>18522.740000000002</v>
      </c>
      <c r="BK109" s="408">
        <v>182979.42</v>
      </c>
      <c r="BL109" s="408">
        <v>15970</v>
      </c>
      <c r="BM109" s="408"/>
      <c r="BN109" s="408"/>
      <c r="BO109" s="408"/>
      <c r="BP109" s="408"/>
      <c r="BQ109" s="408"/>
      <c r="BR109" s="408">
        <v>365496.67266000004</v>
      </c>
      <c r="BS109" s="408"/>
      <c r="BT109" s="408"/>
      <c r="BU109" s="408"/>
      <c r="BV109" s="408">
        <v>1073146.7308318741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2680647.6837999998</v>
      </c>
      <c r="CJ109" s="408">
        <v>-171674.97130999994</v>
      </c>
      <c r="CK109" s="408"/>
      <c r="CL109" s="408"/>
      <c r="CM109" s="408"/>
      <c r="CN109" s="408"/>
      <c r="CO109" s="408">
        <v>-324373.80758999998</v>
      </c>
      <c r="CP109" s="408">
        <v>129234.73899000001</v>
      </c>
      <c r="CQ109" s="408">
        <v>31</v>
      </c>
      <c r="CR109" s="408">
        <v>155076.85547328787</v>
      </c>
      <c r="CS109" s="408">
        <v>3240.9022907818653</v>
      </c>
      <c r="CT109" s="408">
        <v>15111.849261440919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15156.804032535545</v>
      </c>
      <c r="DA109" s="408">
        <v>0</v>
      </c>
      <c r="DB109" s="408">
        <v>0</v>
      </c>
      <c r="DC109" s="408">
        <v>129220.14764062734</v>
      </c>
      <c r="DD109" s="408">
        <v>0</v>
      </c>
      <c r="DE109" s="408">
        <v>0</v>
      </c>
      <c r="DF109" s="408">
        <v>0</v>
      </c>
      <c r="DG109" s="408">
        <v>6781.7190802527766</v>
      </c>
      <c r="DH109" s="408">
        <v>0</v>
      </c>
      <c r="DI109" s="408">
        <v>-12509.729195697641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-1720.2888332834991</v>
      </c>
      <c r="DP109" s="408">
        <v>-204.54880336880706</v>
      </c>
      <c r="DQ109" s="408">
        <v>0</v>
      </c>
      <c r="DR109" s="408">
        <v>0</v>
      </c>
      <c r="DS109" s="408"/>
      <c r="DT109" s="408"/>
      <c r="DU109" s="408"/>
      <c r="DV109" s="408">
        <v>1409892.3756234907</v>
      </c>
      <c r="DW109" s="408">
        <v>0</v>
      </c>
      <c r="DX109" s="408">
        <v>0</v>
      </c>
      <c r="DY109" s="408">
        <v>-324373.8075900001</v>
      </c>
      <c r="DZ109" s="408">
        <v>129234.7389900001</v>
      </c>
      <c r="EA109" s="408">
        <v>0</v>
      </c>
      <c r="EB109" s="408">
        <v>0</v>
      </c>
      <c r="EC109" s="408">
        <v>-350241.18149752915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94083.022429848032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240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59" customFormat="1">
      <c r="A110" s="408">
        <v>108</v>
      </c>
      <c r="B110" s="408" t="s">
        <v>2237</v>
      </c>
      <c r="C110" s="408" t="s">
        <v>2235</v>
      </c>
      <c r="D110" s="408" t="s">
        <v>2245</v>
      </c>
      <c r="E110" s="408" t="s">
        <v>974</v>
      </c>
      <c r="F110" s="408" t="s">
        <v>1322</v>
      </c>
      <c r="G110" s="408" t="s">
        <v>1322</v>
      </c>
      <c r="H110" s="408" t="s">
        <v>1322</v>
      </c>
      <c r="I110" s="408" t="s">
        <v>1322</v>
      </c>
      <c r="J110" s="408" t="s">
        <v>2236</v>
      </c>
      <c r="K110" s="826">
        <v>44409</v>
      </c>
      <c r="L110" s="408">
        <v>0</v>
      </c>
      <c r="M110" s="408">
        <v>0</v>
      </c>
      <c r="N110" s="408">
        <v>-0.41699999999999998</v>
      </c>
      <c r="O110" s="408">
        <v>-0.41699999999999998</v>
      </c>
      <c r="P110" s="408">
        <v>-0.41699999999999998</v>
      </c>
      <c r="Q110" s="408">
        <v>-0.41699999999999998</v>
      </c>
      <c r="R110" s="408"/>
      <c r="S110" s="408">
        <v>368.24</v>
      </c>
      <c r="T110" s="408">
        <v>173.25</v>
      </c>
      <c r="U110" s="408"/>
      <c r="V110" s="408">
        <v>-225.80133000000001</v>
      </c>
      <c r="W110" s="408">
        <v>-225.80133000000001</v>
      </c>
      <c r="X110" s="408">
        <v>-212.20713000000001</v>
      </c>
      <c r="Y110" s="408">
        <v>0</v>
      </c>
      <c r="Z110" s="408">
        <v>-25.664341394137455</v>
      </c>
      <c r="AA110" s="408">
        <v>0</v>
      </c>
      <c r="AB110" s="408">
        <v>0</v>
      </c>
      <c r="AC110" s="408">
        <v>-1.0673270811553019</v>
      </c>
      <c r="AD110" s="408">
        <v>-1.0254619896551926</v>
      </c>
      <c r="AE110" s="408">
        <v>-98.218973115980404</v>
      </c>
      <c r="AF110" s="408">
        <v>-71.031976234075515</v>
      </c>
      <c r="AG110" s="408">
        <v>-1.2123163822357013</v>
      </c>
      <c r="AH110" s="408">
        <v>0</v>
      </c>
      <c r="AI110" s="408">
        <v>0</v>
      </c>
      <c r="AJ110" s="408">
        <v>0</v>
      </c>
      <c r="AK110" s="408">
        <v>0</v>
      </c>
      <c r="AL110" s="408">
        <v>-3.9652656256446956</v>
      </c>
      <c r="AM110" s="408"/>
      <c r="AN110" s="408">
        <v>-0.50367624988925419</v>
      </c>
      <c r="AO110" s="408">
        <v>-2.2657259434099357</v>
      </c>
      <c r="AP110" s="408">
        <v>-10.564745818451179</v>
      </c>
      <c r="AQ110" s="408">
        <v>0</v>
      </c>
      <c r="AR110" s="408">
        <v>0</v>
      </c>
      <c r="AS110" s="408">
        <v>0</v>
      </c>
      <c r="AT110" s="408">
        <v>0</v>
      </c>
      <c r="AU110" s="408">
        <v>0</v>
      </c>
      <c r="AV110" s="408">
        <v>0</v>
      </c>
      <c r="AW110" s="408">
        <v>0</v>
      </c>
      <c r="AX110" s="408">
        <v>0</v>
      </c>
      <c r="AY110" s="408">
        <v>0</v>
      </c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>
        <v>0</v>
      </c>
      <c r="BG110" s="408">
        <v>-3.7278931910400037</v>
      </c>
      <c r="BH110" s="408">
        <v>0</v>
      </c>
      <c r="BI110" s="408">
        <v>-0.27</v>
      </c>
      <c r="BJ110" s="408">
        <v>-2.56</v>
      </c>
      <c r="BK110" s="408">
        <v>-184.15</v>
      </c>
      <c r="BL110" s="408">
        <v>0</v>
      </c>
      <c r="BM110" s="408"/>
      <c r="BN110" s="408"/>
      <c r="BO110" s="408"/>
      <c r="BP110" s="408"/>
      <c r="BQ110" s="408"/>
      <c r="BR110" s="408">
        <v>-25.462019999999999</v>
      </c>
      <c r="BS110" s="408"/>
      <c r="BT110" s="408"/>
      <c r="BU110" s="408"/>
      <c r="BV110" s="408">
        <v>-74.759869425115525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-188.08859999999999</v>
      </c>
      <c r="CJ110" s="408">
        <v>10.586070000000035</v>
      </c>
      <c r="CK110" s="408"/>
      <c r="CL110" s="408"/>
      <c r="CM110" s="408"/>
      <c r="CN110" s="408"/>
      <c r="CO110" s="408">
        <v>22.59723</v>
      </c>
      <c r="CP110" s="408">
        <v>-9.0030300000000008</v>
      </c>
      <c r="CQ110" s="408">
        <v>31</v>
      </c>
      <c r="CR110" s="408">
        <v>-10.803299430501539</v>
      </c>
      <c r="CS110" s="408">
        <v>-0.22577474740159165</v>
      </c>
      <c r="CT110" s="408">
        <v>-1.0527543392706367</v>
      </c>
      <c r="CU110" s="408">
        <v>0</v>
      </c>
      <c r="CV110" s="408">
        <v>0</v>
      </c>
      <c r="CW110" s="408">
        <v>0</v>
      </c>
      <c r="CX110" s="408">
        <v>0</v>
      </c>
      <c r="CY110" s="408">
        <v>0</v>
      </c>
      <c r="CZ110" s="408">
        <v>-1.0558860757988404</v>
      </c>
      <c r="DA110" s="408">
        <v>0</v>
      </c>
      <c r="DB110" s="408">
        <v>0</v>
      </c>
      <c r="DC110" s="408">
        <v>-9.0020135058501296</v>
      </c>
      <c r="DD110" s="408">
        <v>0</v>
      </c>
      <c r="DE110" s="408">
        <v>0</v>
      </c>
      <c r="DF110" s="408">
        <v>0</v>
      </c>
      <c r="DG110" s="408">
        <v>-0.4724427875063264</v>
      </c>
      <c r="DH110" s="408">
        <v>0</v>
      </c>
      <c r="DI110" s="408">
        <v>0.87147982129987867</v>
      </c>
      <c r="DJ110" s="408"/>
      <c r="DK110" s="408">
        <v>0</v>
      </c>
      <c r="DL110" s="408">
        <v>0</v>
      </c>
      <c r="DM110" s="408">
        <v>0</v>
      </c>
      <c r="DN110" s="408">
        <v>0</v>
      </c>
      <c r="DO110" s="408">
        <v>0.11984248272374165</v>
      </c>
      <c r="DP110" s="408">
        <v>1.4249721302381113E-2</v>
      </c>
      <c r="DQ110" s="408">
        <v>0</v>
      </c>
      <c r="DR110" s="408">
        <v>0</v>
      </c>
      <c r="DS110" s="408"/>
      <c r="DT110" s="408"/>
      <c r="DU110" s="408"/>
      <c r="DV110" s="408">
        <v>-98.218973115980404</v>
      </c>
      <c r="DW110" s="408">
        <v>0</v>
      </c>
      <c r="DX110" s="408">
        <v>0</v>
      </c>
      <c r="DY110" s="408">
        <v>22.597229999999996</v>
      </c>
      <c r="DZ110" s="408">
        <v>-9.0030299999999954</v>
      </c>
      <c r="EA110" s="408">
        <v>0</v>
      </c>
      <c r="EB110" s="408">
        <v>0</v>
      </c>
      <c r="EC110" s="408">
        <v>24.399258967835976</v>
      </c>
      <c r="ED110" s="408">
        <v>0</v>
      </c>
      <c r="EE110" s="408">
        <v>0</v>
      </c>
      <c r="EF110" s="408">
        <v>0</v>
      </c>
      <c r="EG110" s="408">
        <v>0</v>
      </c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>
        <v>0</v>
      </c>
      <c r="EN110" s="408">
        <v>0</v>
      </c>
      <c r="EO110" s="408">
        <v>0</v>
      </c>
      <c r="EP110" s="408">
        <v>-6.5542150666790677</v>
      </c>
      <c r="EQ110" s="408">
        <v>0</v>
      </c>
      <c r="ER110" s="408">
        <v>0</v>
      </c>
      <c r="ES110" s="408">
        <v>0</v>
      </c>
      <c r="ET110" s="408">
        <v>0</v>
      </c>
      <c r="EU110" s="408">
        <v>0</v>
      </c>
      <c r="EV110" s="408">
        <v>240</v>
      </c>
      <c r="EW110" s="408">
        <v>0</v>
      </c>
      <c r="EX110" s="408">
        <v>0</v>
      </c>
      <c r="EY110" s="408">
        <v>0</v>
      </c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59" customFormat="1">
      <c r="A111" s="408">
        <v>109</v>
      </c>
      <c r="B111" s="408" t="s">
        <v>2238</v>
      </c>
      <c r="C111" s="408" t="s">
        <v>2235</v>
      </c>
      <c r="D111" s="408" t="s">
        <v>2245</v>
      </c>
      <c r="E111" s="408" t="s">
        <v>974</v>
      </c>
      <c r="F111" s="408" t="s">
        <v>1322</v>
      </c>
      <c r="G111" s="408" t="s">
        <v>1322</v>
      </c>
      <c r="H111" s="408" t="s">
        <v>1322</v>
      </c>
      <c r="I111" s="408" t="s">
        <v>1322</v>
      </c>
      <c r="J111" s="408" t="s">
        <v>2236</v>
      </c>
      <c r="K111" s="826">
        <v>44409</v>
      </c>
      <c r="L111" s="408">
        <v>0</v>
      </c>
      <c r="M111" s="408">
        <v>0</v>
      </c>
      <c r="N111" s="408">
        <v>157.76300000000001</v>
      </c>
      <c r="O111" s="408">
        <v>157.76300000000001</v>
      </c>
      <c r="P111" s="408">
        <v>157.76300000000001</v>
      </c>
      <c r="Q111" s="408">
        <v>157.76300000000001</v>
      </c>
      <c r="R111" s="408"/>
      <c r="S111" s="408">
        <v>368.24</v>
      </c>
      <c r="T111" s="408">
        <v>173.25</v>
      </c>
      <c r="U111" s="408"/>
      <c r="V111" s="408">
        <v>85427.086869999999</v>
      </c>
      <c r="W111" s="408">
        <v>85427.086869999999</v>
      </c>
      <c r="X111" s="408">
        <v>80284.013070000001</v>
      </c>
      <c r="Y111" s="408">
        <v>0</v>
      </c>
      <c r="Z111" s="408">
        <v>9709.5527370822729</v>
      </c>
      <c r="AA111" s="408">
        <v>0</v>
      </c>
      <c r="AB111" s="408">
        <v>0</v>
      </c>
      <c r="AC111" s="408">
        <v>403.80029329569282</v>
      </c>
      <c r="AD111" s="408">
        <v>387.96153446995726</v>
      </c>
      <c r="AE111" s="408">
        <v>37159.040421334335</v>
      </c>
      <c r="AF111" s="408">
        <v>26873.423660950735</v>
      </c>
      <c r="AG111" s="408">
        <v>458.65388347877928</v>
      </c>
      <c r="AH111" s="408">
        <v>0</v>
      </c>
      <c r="AI111" s="408">
        <v>0</v>
      </c>
      <c r="AJ111" s="408">
        <v>0</v>
      </c>
      <c r="AK111" s="408">
        <v>0</v>
      </c>
      <c r="AL111" s="408">
        <v>1500.1731436416887</v>
      </c>
      <c r="AM111" s="408"/>
      <c r="AN111" s="408">
        <v>190.55509882800578</v>
      </c>
      <c r="AO111" s="408">
        <v>857.18878179899696</v>
      </c>
      <c r="AP111" s="408">
        <v>3996.9448310702965</v>
      </c>
      <c r="AQ111" s="408">
        <v>0</v>
      </c>
      <c r="AR111" s="408">
        <v>0</v>
      </c>
      <c r="AS111" s="408">
        <v>0</v>
      </c>
      <c r="AT111" s="408">
        <v>0</v>
      </c>
      <c r="AU111" s="408">
        <v>0</v>
      </c>
      <c r="AV111" s="408">
        <v>0</v>
      </c>
      <c r="AW111" s="408">
        <v>0</v>
      </c>
      <c r="AX111" s="408">
        <v>0</v>
      </c>
      <c r="AY111" s="408">
        <v>0</v>
      </c>
      <c r="AZ111" s="408">
        <v>0</v>
      </c>
      <c r="BA111" s="408"/>
      <c r="BB111" s="408">
        <v>0</v>
      </c>
      <c r="BC111" s="408">
        <v>0</v>
      </c>
      <c r="BD111" s="408">
        <v>0</v>
      </c>
      <c r="BE111" s="408">
        <v>0</v>
      </c>
      <c r="BF111" s="408">
        <v>0</v>
      </c>
      <c r="BG111" s="408">
        <v>1410.3683776931514</v>
      </c>
      <c r="BH111" s="408">
        <v>0</v>
      </c>
      <c r="BI111" s="408">
        <v>56.84</v>
      </c>
      <c r="BJ111" s="408">
        <v>496.06</v>
      </c>
      <c r="BK111" s="408">
        <v>2455.9299999999998</v>
      </c>
      <c r="BL111" s="408">
        <v>184</v>
      </c>
      <c r="BM111" s="408"/>
      <c r="BN111" s="408"/>
      <c r="BO111" s="408"/>
      <c r="BP111" s="408"/>
      <c r="BQ111" s="408"/>
      <c r="BR111" s="408">
        <v>9633.0087800000001</v>
      </c>
      <c r="BS111" s="408"/>
      <c r="BT111" s="408"/>
      <c r="BU111" s="408"/>
      <c r="BV111" s="408">
        <v>28283.792038643885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70649.660799999998</v>
      </c>
      <c r="CJ111" s="408">
        <v>-4526.0163300000131</v>
      </c>
      <c r="CK111" s="408"/>
      <c r="CL111" s="408"/>
      <c r="CM111" s="408"/>
      <c r="CN111" s="408"/>
      <c r="CO111" s="408">
        <v>-8549.1769700000004</v>
      </c>
      <c r="CP111" s="408">
        <v>3406.1031700000008</v>
      </c>
      <c r="CQ111" s="408">
        <v>31</v>
      </c>
      <c r="CR111" s="408">
        <v>4087.1964701539764</v>
      </c>
      <c r="CS111" s="408">
        <v>85.417029914429918</v>
      </c>
      <c r="CT111" s="408">
        <v>398.28700917590686</v>
      </c>
      <c r="CU111" s="408">
        <v>0</v>
      </c>
      <c r="CV111" s="408">
        <v>0</v>
      </c>
      <c r="CW111" s="408">
        <v>0</v>
      </c>
      <c r="CX111" s="408">
        <v>0</v>
      </c>
      <c r="CY111" s="408">
        <v>0</v>
      </c>
      <c r="CZ111" s="408">
        <v>399.47183447542562</v>
      </c>
      <c r="DA111" s="408">
        <v>0</v>
      </c>
      <c r="DB111" s="408">
        <v>0</v>
      </c>
      <c r="DC111" s="408">
        <v>3405.7186012552374</v>
      </c>
      <c r="DD111" s="408">
        <v>0</v>
      </c>
      <c r="DE111" s="408">
        <v>0</v>
      </c>
      <c r="DF111" s="408">
        <v>0</v>
      </c>
      <c r="DG111" s="408">
        <v>178.73858869391051</v>
      </c>
      <c r="DH111" s="408">
        <v>0</v>
      </c>
      <c r="DI111" s="408">
        <v>-329.70568596578596</v>
      </c>
      <c r="DJ111" s="408"/>
      <c r="DK111" s="408">
        <v>0</v>
      </c>
      <c r="DL111" s="408">
        <v>0</v>
      </c>
      <c r="DM111" s="408">
        <v>0</v>
      </c>
      <c r="DN111" s="408">
        <v>0</v>
      </c>
      <c r="DO111" s="408">
        <v>-45.339831179725934</v>
      </c>
      <c r="DP111" s="408">
        <v>-5.3910762154137899</v>
      </c>
      <c r="DQ111" s="408">
        <v>0</v>
      </c>
      <c r="DR111" s="408">
        <v>0</v>
      </c>
      <c r="DS111" s="408"/>
      <c r="DT111" s="408"/>
      <c r="DU111" s="408"/>
      <c r="DV111" s="408">
        <v>37159.040421334335</v>
      </c>
      <c r="DW111" s="408">
        <v>0</v>
      </c>
      <c r="DX111" s="408">
        <v>0</v>
      </c>
      <c r="DY111" s="408">
        <v>-8549.1769700000004</v>
      </c>
      <c r="DZ111" s="408">
        <v>3406.1031699999985</v>
      </c>
      <c r="EA111" s="408">
        <v>0</v>
      </c>
      <c r="EB111" s="408">
        <v>0</v>
      </c>
      <c r="EC111" s="408">
        <v>-9230.9359533398238</v>
      </c>
      <c r="ED111" s="408">
        <v>0</v>
      </c>
      <c r="EE111" s="408">
        <v>0</v>
      </c>
      <c r="EF111" s="408">
        <v>0</v>
      </c>
      <c r="EG111" s="408">
        <v>0</v>
      </c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>
        <v>0</v>
      </c>
      <c r="EN111" s="408">
        <v>0</v>
      </c>
      <c r="EO111" s="408">
        <v>0</v>
      </c>
      <c r="EP111" s="408">
        <v>2479.6465984759948</v>
      </c>
      <c r="EQ111" s="408">
        <v>0</v>
      </c>
      <c r="ER111" s="408">
        <v>0</v>
      </c>
      <c r="ES111" s="408">
        <v>0</v>
      </c>
      <c r="ET111" s="408">
        <v>0</v>
      </c>
      <c r="EU111" s="408">
        <v>0</v>
      </c>
      <c r="EV111" s="408">
        <v>240</v>
      </c>
      <c r="EW111" s="408">
        <v>0</v>
      </c>
      <c r="EX111" s="408">
        <v>0</v>
      </c>
      <c r="EY111" s="408">
        <v>0</v>
      </c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59" customFormat="1">
      <c r="A112" s="408">
        <v>110</v>
      </c>
      <c r="B112" s="408" t="s">
        <v>1036</v>
      </c>
      <c r="C112" s="408" t="s">
        <v>2243</v>
      </c>
      <c r="D112" s="408" t="s">
        <v>597</v>
      </c>
      <c r="E112" s="408" t="s">
        <v>974</v>
      </c>
      <c r="F112" s="408" t="s">
        <v>1322</v>
      </c>
      <c r="G112" s="408" t="s">
        <v>1322</v>
      </c>
      <c r="H112" s="408" t="s">
        <v>1322</v>
      </c>
      <c r="I112" s="408" t="s">
        <v>973</v>
      </c>
      <c r="J112" s="408" t="s">
        <v>2236</v>
      </c>
      <c r="K112" s="826">
        <v>44409</v>
      </c>
      <c r="L112" s="408">
        <v>0</v>
      </c>
      <c r="M112" s="408">
        <v>0</v>
      </c>
      <c r="N112" s="408">
        <v>6.7430000000000003</v>
      </c>
      <c r="O112" s="408">
        <v>6.4732799999999999</v>
      </c>
      <c r="P112" s="408">
        <v>6.7430000000000003</v>
      </c>
      <c r="Q112" s="408">
        <v>6.4732799999999999</v>
      </c>
      <c r="R112" s="408"/>
      <c r="S112" s="408">
        <v>1358.36</v>
      </c>
      <c r="T112" s="408">
        <v>173.25</v>
      </c>
      <c r="U112" s="408"/>
      <c r="V112" s="408">
        <v>10327.646229999998</v>
      </c>
      <c r="W112" s="408">
        <v>10327.646229999998</v>
      </c>
      <c r="X112" s="408">
        <v>9055.3095599999997</v>
      </c>
      <c r="Y112" s="408">
        <v>0</v>
      </c>
      <c r="Z112" s="408">
        <v>361.04927817261819</v>
      </c>
      <c r="AA112" s="408">
        <v>0</v>
      </c>
      <c r="AB112" s="408">
        <v>0</v>
      </c>
      <c r="AC112" s="408">
        <v>127.72650164652802</v>
      </c>
      <c r="AD112" s="408">
        <v>122.71690549984977</v>
      </c>
      <c r="AE112" s="408">
        <v>6800.3675343848272</v>
      </c>
      <c r="AF112" s="408">
        <v>1148.6057931567657</v>
      </c>
      <c r="AG112" s="408">
        <v>19.603475696439652</v>
      </c>
      <c r="AH112" s="408">
        <v>0</v>
      </c>
      <c r="AI112" s="408">
        <v>0</v>
      </c>
      <c r="AJ112" s="408">
        <v>0</v>
      </c>
      <c r="AK112" s="408">
        <v>0</v>
      </c>
      <c r="AL112" s="408">
        <v>64.119391160005236</v>
      </c>
      <c r="AM112" s="408"/>
      <c r="AN112" s="408">
        <v>5.399887637720842</v>
      </c>
      <c r="AO112" s="408">
        <v>271.14157405002879</v>
      </c>
      <c r="AP112" s="408">
        <v>1264.2862102468209</v>
      </c>
      <c r="AQ112" s="408">
        <v>0</v>
      </c>
      <c r="AR112" s="408">
        <v>0</v>
      </c>
      <c r="AS112" s="408">
        <v>0</v>
      </c>
      <c r="AT112" s="408">
        <v>0</v>
      </c>
      <c r="AU112" s="408">
        <v>0</v>
      </c>
      <c r="AV112" s="408">
        <v>0</v>
      </c>
      <c r="AW112" s="408">
        <v>0</v>
      </c>
      <c r="AX112" s="408">
        <v>0</v>
      </c>
      <c r="AY112" s="408">
        <v>0</v>
      </c>
      <c r="AZ112" s="408">
        <v>0</v>
      </c>
      <c r="BA112" s="408"/>
      <c r="BB112" s="408">
        <v>0</v>
      </c>
      <c r="BC112" s="408">
        <v>0</v>
      </c>
      <c r="BD112" s="408">
        <v>0</v>
      </c>
      <c r="BE112" s="408">
        <v>0</v>
      </c>
      <c r="BF112" s="408">
        <v>0</v>
      </c>
      <c r="BG112" s="408">
        <v>50.428581339203525</v>
      </c>
      <c r="BH112" s="408">
        <v>0</v>
      </c>
      <c r="BI112" s="408">
        <v>0</v>
      </c>
      <c r="BJ112" s="408">
        <v>0</v>
      </c>
      <c r="BK112" s="408">
        <v>0</v>
      </c>
      <c r="BL112" s="408">
        <v>0</v>
      </c>
      <c r="BM112" s="408"/>
      <c r="BN112" s="408"/>
      <c r="BO112" s="408"/>
      <c r="BP112" s="408"/>
      <c r="BQ112" s="408"/>
      <c r="BR112" s="408">
        <v>362.21238240000054</v>
      </c>
      <c r="BS112" s="408"/>
      <c r="BT112" s="408"/>
      <c r="BU112" s="408"/>
      <c r="BV112" s="408">
        <v>1199.0343744959691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8688.6923999999999</v>
      </c>
      <c r="CJ112" s="408">
        <v>-1225.8779807999999</v>
      </c>
      <c r="CK112" s="408"/>
      <c r="CL112" s="408"/>
      <c r="CM112" s="408"/>
      <c r="CN112" s="408"/>
      <c r="CO112" s="408">
        <v>-1417.9180399999998</v>
      </c>
      <c r="CP112" s="408">
        <v>145.58137000000002</v>
      </c>
      <c r="CQ112" s="408">
        <v>31</v>
      </c>
      <c r="CR112" s="408">
        <v>416.96494299251663</v>
      </c>
      <c r="CS112" s="408">
        <v>27.0186783045271</v>
      </c>
      <c r="CT112" s="408">
        <v>125.98341851186183</v>
      </c>
      <c r="CU112" s="408">
        <v>0</v>
      </c>
      <c r="CV112" s="408">
        <v>0</v>
      </c>
      <c r="CW112" s="408">
        <v>0</v>
      </c>
      <c r="CX112" s="408">
        <v>0</v>
      </c>
      <c r="CY112" s="408">
        <v>0</v>
      </c>
      <c r="CZ112" s="408">
        <v>126.35775200793408</v>
      </c>
      <c r="DA112" s="408">
        <v>0</v>
      </c>
      <c r="DB112" s="408">
        <v>0</v>
      </c>
      <c r="DC112" s="408">
        <v>145.56493302145668</v>
      </c>
      <c r="DD112" s="408">
        <v>0</v>
      </c>
      <c r="DE112" s="408">
        <v>0</v>
      </c>
      <c r="DF112" s="408">
        <v>0</v>
      </c>
      <c r="DG112" s="408">
        <v>6.3909072274775696</v>
      </c>
      <c r="DH112" s="408">
        <v>0</v>
      </c>
      <c r="DI112" s="408">
        <v>-12.260090979548409</v>
      </c>
      <c r="DJ112" s="408"/>
      <c r="DK112" s="408">
        <v>0</v>
      </c>
      <c r="DL112" s="408">
        <v>0</v>
      </c>
      <c r="DM112" s="408">
        <v>0</v>
      </c>
      <c r="DN112" s="408">
        <v>0</v>
      </c>
      <c r="DO112" s="408">
        <v>-1.9378845587678413</v>
      </c>
      <c r="DP112" s="408">
        <v>-0.15277054242405974</v>
      </c>
      <c r="DQ112" s="408">
        <v>0</v>
      </c>
      <c r="DR112" s="408">
        <v>0</v>
      </c>
      <c r="DS112" s="408"/>
      <c r="DT112" s="408"/>
      <c r="DU112" s="408"/>
      <c r="DV112" s="408">
        <v>6800.3675343848272</v>
      </c>
      <c r="DW112" s="408">
        <v>0</v>
      </c>
      <c r="DX112" s="408">
        <v>0</v>
      </c>
      <c r="DY112" s="408">
        <v>-1417.9180399999996</v>
      </c>
      <c r="DZ112" s="408">
        <v>145.58137000000011</v>
      </c>
      <c r="EA112" s="408">
        <v>0</v>
      </c>
      <c r="EB112" s="408">
        <v>0</v>
      </c>
      <c r="EC112" s="408">
        <v>-1689.3266472251789</v>
      </c>
      <c r="ED112" s="408">
        <v>0</v>
      </c>
      <c r="EE112" s="408">
        <v>0</v>
      </c>
      <c r="EF112" s="408">
        <v>0</v>
      </c>
      <c r="EG112" s="408">
        <v>0</v>
      </c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>
        <v>0</v>
      </c>
      <c r="EN112" s="408">
        <v>0</v>
      </c>
      <c r="EO112" s="408">
        <v>0</v>
      </c>
      <c r="EP112" s="408">
        <v>92.205546305316162</v>
      </c>
      <c r="EQ112" s="408">
        <v>0</v>
      </c>
      <c r="ER112" s="408">
        <v>0</v>
      </c>
      <c r="ES112" s="408">
        <v>0</v>
      </c>
      <c r="ET112" s="408">
        <v>0</v>
      </c>
      <c r="EU112" s="408">
        <v>0</v>
      </c>
      <c r="EV112" s="408">
        <v>240</v>
      </c>
      <c r="EW112" s="408">
        <v>0</v>
      </c>
      <c r="EX112" s="408">
        <v>0</v>
      </c>
      <c r="EY112" s="408">
        <v>0</v>
      </c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59" customFormat="1">
      <c r="A113" s="408">
        <v>111</v>
      </c>
      <c r="B113" s="408" t="s">
        <v>1036</v>
      </c>
      <c r="C113" s="408" t="s">
        <v>2243</v>
      </c>
      <c r="D113" s="408" t="s">
        <v>597</v>
      </c>
      <c r="E113" s="408" t="s">
        <v>974</v>
      </c>
      <c r="F113" s="408" t="s">
        <v>1322</v>
      </c>
      <c r="G113" s="408" t="s">
        <v>1322</v>
      </c>
      <c r="H113" s="408" t="s">
        <v>1322</v>
      </c>
      <c r="I113" s="408" t="s">
        <v>2244</v>
      </c>
      <c r="J113" s="408" t="s">
        <v>2236</v>
      </c>
      <c r="K113" s="826">
        <v>44409</v>
      </c>
      <c r="L113" s="408">
        <v>0</v>
      </c>
      <c r="M113" s="408">
        <v>0</v>
      </c>
      <c r="N113" s="408">
        <v>82.043999999999997</v>
      </c>
      <c r="O113" s="408">
        <v>78.762240000000006</v>
      </c>
      <c r="P113" s="408">
        <v>82.043999999999997</v>
      </c>
      <c r="Q113" s="408">
        <v>78.762240000000006</v>
      </c>
      <c r="R113" s="408"/>
      <c r="S113" s="408">
        <v>85.01</v>
      </c>
      <c r="T113" s="408">
        <v>173.25</v>
      </c>
      <c r="U113" s="408"/>
      <c r="V113" s="408">
        <v>21188.683440000001</v>
      </c>
      <c r="W113" s="408">
        <v>21188.683440000001</v>
      </c>
      <c r="X113" s="408">
        <v>22863.20148</v>
      </c>
      <c r="Y113" s="408">
        <v>0</v>
      </c>
      <c r="Z113" s="408">
        <v>4392.9893190559524</v>
      </c>
      <c r="AA113" s="408">
        <v>0</v>
      </c>
      <c r="AB113" s="408">
        <v>0</v>
      </c>
      <c r="AC113" s="408">
        <v>0</v>
      </c>
      <c r="AD113" s="408">
        <v>0</v>
      </c>
      <c r="AE113" s="408">
        <v>0</v>
      </c>
      <c r="AF113" s="408">
        <v>13975.413568701419</v>
      </c>
      <c r="AG113" s="408">
        <v>238.52106777972634</v>
      </c>
      <c r="AH113" s="408">
        <v>0</v>
      </c>
      <c r="AI113" s="408">
        <v>0</v>
      </c>
      <c r="AJ113" s="408">
        <v>0</v>
      </c>
      <c r="AK113" s="408">
        <v>0</v>
      </c>
      <c r="AL113" s="408">
        <v>780.15888007288595</v>
      </c>
      <c r="AM113" s="408"/>
      <c r="AN113" s="408">
        <v>65.701969649884134</v>
      </c>
      <c r="AO113" s="408">
        <v>0</v>
      </c>
      <c r="AP113" s="408">
        <v>0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0</v>
      </c>
      <c r="BF113" s="408">
        <v>0</v>
      </c>
      <c r="BG113" s="408">
        <v>613.57890069607197</v>
      </c>
      <c r="BH113" s="408">
        <v>0</v>
      </c>
      <c r="BI113" s="408">
        <v>0</v>
      </c>
      <c r="BJ113" s="408">
        <v>0</v>
      </c>
      <c r="BK113" s="408">
        <v>0</v>
      </c>
      <c r="BL113" s="408">
        <v>0</v>
      </c>
      <c r="BM113" s="408"/>
      <c r="BN113" s="408"/>
      <c r="BO113" s="408"/>
      <c r="BP113" s="408"/>
      <c r="BQ113" s="408"/>
      <c r="BR113" s="408">
        <v>914.52805919999764</v>
      </c>
      <c r="BS113" s="408"/>
      <c r="BT113" s="408"/>
      <c r="BU113" s="408"/>
      <c r="BV113" s="408">
        <v>14588.99246939749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21948.049200000001</v>
      </c>
      <c r="CJ113" s="408">
        <v>1606.883097599999</v>
      </c>
      <c r="CK113" s="408"/>
      <c r="CL113" s="408"/>
      <c r="CM113" s="408"/>
      <c r="CN113" s="408"/>
      <c r="CO113" s="408">
        <v>-96.811920000000555</v>
      </c>
      <c r="CP113" s="408">
        <v>1771.3299600000003</v>
      </c>
      <c r="CQ113" s="408">
        <v>31</v>
      </c>
      <c r="CR113" s="408">
        <v>1674.2803419746851</v>
      </c>
      <c r="CS113" s="408">
        <v>0</v>
      </c>
      <c r="CT113" s="408">
        <v>0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0</v>
      </c>
      <c r="DA113" s="408">
        <v>0</v>
      </c>
      <c r="DB113" s="408">
        <v>0</v>
      </c>
      <c r="DC113" s="408">
        <v>1771.1299666042414</v>
      </c>
      <c r="DD113" s="408">
        <v>0</v>
      </c>
      <c r="DE113" s="408">
        <v>0</v>
      </c>
      <c r="DF113" s="408">
        <v>0</v>
      </c>
      <c r="DG113" s="408">
        <v>77.759987034134724</v>
      </c>
      <c r="DH113" s="408">
        <v>0</v>
      </c>
      <c r="DI113" s="408">
        <v>-149.17201606496747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-23.578792931862608</v>
      </c>
      <c r="DP113" s="408">
        <v>-1.8588026668603845</v>
      </c>
      <c r="DQ113" s="408">
        <v>0</v>
      </c>
      <c r="DR113" s="408">
        <v>0</v>
      </c>
      <c r="DS113" s="408"/>
      <c r="DT113" s="408"/>
      <c r="DU113" s="408"/>
      <c r="DV113" s="408">
        <v>0</v>
      </c>
      <c r="DW113" s="408">
        <v>0</v>
      </c>
      <c r="DX113" s="408">
        <v>0</v>
      </c>
      <c r="DY113" s="408">
        <v>-96.81192000000101</v>
      </c>
      <c r="DZ113" s="408">
        <v>1771.3299600000009</v>
      </c>
      <c r="EA113" s="408">
        <v>0</v>
      </c>
      <c r="EB113" s="408">
        <v>0</v>
      </c>
      <c r="EC113" s="408">
        <v>0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1121.8911228048878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240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59" customFormat="1">
      <c r="A114" s="408">
        <v>112</v>
      </c>
      <c r="B114" s="408" t="s">
        <v>2238</v>
      </c>
      <c r="C114" s="408" t="s">
        <v>2243</v>
      </c>
      <c r="D114" s="408" t="s">
        <v>597</v>
      </c>
      <c r="E114" s="408" t="s">
        <v>974</v>
      </c>
      <c r="F114" s="408" t="s">
        <v>1322</v>
      </c>
      <c r="G114" s="408" t="s">
        <v>1322</v>
      </c>
      <c r="H114" s="408" t="s">
        <v>1322</v>
      </c>
      <c r="I114" s="408" t="s">
        <v>2244</v>
      </c>
      <c r="J114" s="408" t="s">
        <v>2236</v>
      </c>
      <c r="K114" s="826">
        <v>44409</v>
      </c>
      <c r="L114" s="408">
        <v>0</v>
      </c>
      <c r="M114" s="408">
        <v>0</v>
      </c>
      <c r="N114" s="408">
        <v>28.638000000000002</v>
      </c>
      <c r="O114" s="408">
        <v>27.49248</v>
      </c>
      <c r="P114" s="408">
        <v>28.638000000000002</v>
      </c>
      <c r="Q114" s="408">
        <v>27.49248</v>
      </c>
      <c r="R114" s="408"/>
      <c r="S114" s="408">
        <v>85.01</v>
      </c>
      <c r="T114" s="408">
        <v>173.25</v>
      </c>
      <c r="U114" s="408"/>
      <c r="V114" s="408">
        <v>7396.0498800000005</v>
      </c>
      <c r="W114" s="408">
        <v>7396.0498800000005</v>
      </c>
      <c r="X114" s="408">
        <v>7980.5514600000006</v>
      </c>
      <c r="Y114" s="408">
        <v>0</v>
      </c>
      <c r="Z114" s="408">
        <v>1533.4019321233043</v>
      </c>
      <c r="AA114" s="408">
        <v>0</v>
      </c>
      <c r="AB114" s="408">
        <v>0</v>
      </c>
      <c r="AC114" s="408">
        <v>0</v>
      </c>
      <c r="AD114" s="408">
        <v>0</v>
      </c>
      <c r="AE114" s="408">
        <v>0</v>
      </c>
      <c r="AF114" s="408">
        <v>4878.2103966221939</v>
      </c>
      <c r="AG114" s="408">
        <v>83.257353847640331</v>
      </c>
      <c r="AH114" s="408">
        <v>0</v>
      </c>
      <c r="AI114" s="408">
        <v>0</v>
      </c>
      <c r="AJ114" s="408">
        <v>0</v>
      </c>
      <c r="AK114" s="408">
        <v>0</v>
      </c>
      <c r="AL114" s="408">
        <v>272.31960908204508</v>
      </c>
      <c r="AM114" s="408"/>
      <c r="AN114" s="408">
        <v>22.933706387223712</v>
      </c>
      <c r="AO114" s="408">
        <v>0</v>
      </c>
      <c r="AP114" s="408">
        <v>0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0</v>
      </c>
      <c r="BF114" s="408">
        <v>0</v>
      </c>
      <c r="BG114" s="408">
        <v>214.17376722410063</v>
      </c>
      <c r="BH114" s="408">
        <v>0</v>
      </c>
      <c r="BI114" s="408">
        <v>0</v>
      </c>
      <c r="BJ114" s="408">
        <v>0</v>
      </c>
      <c r="BK114" s="408">
        <v>0</v>
      </c>
      <c r="BL114" s="408">
        <v>0</v>
      </c>
      <c r="BM114" s="408"/>
      <c r="BN114" s="408"/>
      <c r="BO114" s="408"/>
      <c r="BP114" s="408"/>
      <c r="BQ114" s="408"/>
      <c r="BR114" s="408">
        <v>319.22205840000032</v>
      </c>
      <c r="BS114" s="408"/>
      <c r="BT114" s="408"/>
      <c r="BU114" s="408"/>
      <c r="BV114" s="408">
        <v>5092.3841638462945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7660.6383000000005</v>
      </c>
      <c r="CJ114" s="408">
        <v>560.40041519999977</v>
      </c>
      <c r="CK114" s="408"/>
      <c r="CL114" s="408"/>
      <c r="CM114" s="408"/>
      <c r="CN114" s="408"/>
      <c r="CO114" s="408">
        <v>-33.792840000000197</v>
      </c>
      <c r="CP114" s="408">
        <v>618.29442000000017</v>
      </c>
      <c r="CQ114" s="408">
        <v>31</v>
      </c>
      <c r="CR114" s="408">
        <v>584.41860993455975</v>
      </c>
      <c r="CS114" s="408">
        <v>0</v>
      </c>
      <c r="CT114" s="408">
        <v>0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0</v>
      </c>
      <c r="DA114" s="408">
        <v>0</v>
      </c>
      <c r="DB114" s="408">
        <v>0</v>
      </c>
      <c r="DC114" s="408">
        <v>618.22461098449912</v>
      </c>
      <c r="DD114" s="408">
        <v>0</v>
      </c>
      <c r="DE114" s="408">
        <v>0</v>
      </c>
      <c r="DF114" s="408">
        <v>0</v>
      </c>
      <c r="DG114" s="408">
        <v>27.142636983613045</v>
      </c>
      <c r="DH114" s="408">
        <v>0</v>
      </c>
      <c r="DI114" s="408">
        <v>-52.069477305696182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-8.2303333818765054</v>
      </c>
      <c r="DP114" s="408">
        <v>-0.64882734597956926</v>
      </c>
      <c r="DQ114" s="408">
        <v>0</v>
      </c>
      <c r="DR114" s="408">
        <v>0</v>
      </c>
      <c r="DS114" s="408"/>
      <c r="DT114" s="408"/>
      <c r="DU114" s="408"/>
      <c r="DV114" s="408">
        <v>0</v>
      </c>
      <c r="DW114" s="408">
        <v>0</v>
      </c>
      <c r="DX114" s="408">
        <v>0</v>
      </c>
      <c r="DY114" s="408">
        <v>-33.792840000000524</v>
      </c>
      <c r="DZ114" s="408">
        <v>618.29442000000017</v>
      </c>
      <c r="EA114" s="408">
        <v>0</v>
      </c>
      <c r="EB114" s="408">
        <v>0</v>
      </c>
      <c r="EC114" s="408">
        <v>0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391.60350513000805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240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59" customFormat="1">
      <c r="A115" s="408">
        <v>113</v>
      </c>
      <c r="B115" s="408" t="s">
        <v>1036</v>
      </c>
      <c r="C115" s="408" t="s">
        <v>2243</v>
      </c>
      <c r="D115" s="408" t="s">
        <v>597</v>
      </c>
      <c r="E115" s="408" t="s">
        <v>974</v>
      </c>
      <c r="F115" s="408" t="s">
        <v>1322</v>
      </c>
      <c r="G115" s="408" t="s">
        <v>1322</v>
      </c>
      <c r="H115" s="408" t="s">
        <v>1322</v>
      </c>
      <c r="I115" s="408" t="s">
        <v>1322</v>
      </c>
      <c r="J115" s="408" t="s">
        <v>2236</v>
      </c>
      <c r="K115" s="826">
        <v>44409</v>
      </c>
      <c r="L115" s="408">
        <v>649</v>
      </c>
      <c r="M115" s="408">
        <v>623.04</v>
      </c>
      <c r="N115" s="408">
        <v>0</v>
      </c>
      <c r="O115" s="408">
        <v>0</v>
      </c>
      <c r="P115" s="408">
        <v>0</v>
      </c>
      <c r="Q115" s="408">
        <v>0</v>
      </c>
      <c r="R115" s="408">
        <v>27.19</v>
      </c>
      <c r="S115" s="408"/>
      <c r="T115" s="408"/>
      <c r="U115" s="408">
        <v>17646.310000000001</v>
      </c>
      <c r="V115" s="408"/>
      <c r="W115" s="408">
        <v>17646.310000000001</v>
      </c>
      <c r="X115" s="408">
        <v>14122.240000000002</v>
      </c>
      <c r="Y115" s="408">
        <v>0</v>
      </c>
      <c r="Z115" s="408">
        <v>0</v>
      </c>
      <c r="AA115" s="408">
        <v>0</v>
      </c>
      <c r="AB115" s="408">
        <v>0</v>
      </c>
      <c r="AC115" s="408">
        <v>151.34719811448903</v>
      </c>
      <c r="AD115" s="408">
        <v>145.39861075140519</v>
      </c>
      <c r="AE115" s="408">
        <v>15531.887627810514</v>
      </c>
      <c r="AF115" s="408"/>
      <c r="AG115" s="408"/>
      <c r="AH115" s="408"/>
      <c r="AI115" s="408">
        <v>0</v>
      </c>
      <c r="AJ115" s="408">
        <v>0</v>
      </c>
      <c r="AK115" s="408">
        <v>0</v>
      </c>
      <c r="AL115" s="408">
        <v>0</v>
      </c>
      <c r="AM115" s="408"/>
      <c r="AN115" s="408">
        <v>0</v>
      </c>
      <c r="AO115" s="408">
        <v>321.18025537771115</v>
      </c>
      <c r="AP115" s="408">
        <v>1497.9496591144571</v>
      </c>
      <c r="AQ115" s="408">
        <v>0</v>
      </c>
      <c r="AR115" s="408">
        <v>0</v>
      </c>
      <c r="AS115" s="408"/>
      <c r="AT115" s="408"/>
      <c r="AU115" s="408">
        <v>0</v>
      </c>
      <c r="AV115" s="408">
        <v>0</v>
      </c>
      <c r="AW115" s="408">
        <v>0</v>
      </c>
      <c r="AX115" s="408"/>
      <c r="AY115" s="408"/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0</v>
      </c>
      <c r="BF115" s="408"/>
      <c r="BG115" s="408">
        <v>0</v>
      </c>
      <c r="BH115" s="408">
        <v>0</v>
      </c>
      <c r="BI115" s="408">
        <v>37.07</v>
      </c>
      <c r="BJ115" s="408">
        <v>317.89999999999998</v>
      </c>
      <c r="BK115" s="408">
        <v>24.87</v>
      </c>
      <c r="BL115" s="408">
        <v>4</v>
      </c>
      <c r="BM115" s="408"/>
      <c r="BN115" s="408"/>
      <c r="BO115" s="408"/>
      <c r="BP115" s="408"/>
      <c r="BQ115" s="408"/>
      <c r="BR115" s="408">
        <v>564.88960000000088</v>
      </c>
      <c r="BS115" s="408"/>
      <c r="BT115" s="408"/>
      <c r="BU115" s="408"/>
      <c r="BV115" s="408">
        <v>0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13557.350399999999</v>
      </c>
      <c r="CJ115" s="408">
        <v>-3383.1371999999974</v>
      </c>
      <c r="CK115" s="408"/>
      <c r="CL115" s="408"/>
      <c r="CM115" s="408"/>
      <c r="CN115" s="408"/>
      <c r="CO115" s="408">
        <v>-3524.0699999999997</v>
      </c>
      <c r="CP115" s="408">
        <v>0</v>
      </c>
      <c r="CQ115" s="408">
        <v>31</v>
      </c>
      <c r="CR115" s="408">
        <v>330.98480082115429</v>
      </c>
      <c r="CS115" s="408">
        <v>32.004925944020556</v>
      </c>
      <c r="CT115" s="408">
        <v>149.26748174930435</v>
      </c>
      <c r="CU115" s="408">
        <v>0</v>
      </c>
      <c r="CV115" s="408">
        <v>0</v>
      </c>
      <c r="CW115" s="408"/>
      <c r="CX115" s="408"/>
      <c r="CY115" s="408"/>
      <c r="CZ115" s="408">
        <v>149.7123931278297</v>
      </c>
      <c r="DA115" s="408">
        <v>0</v>
      </c>
      <c r="DB115" s="408">
        <v>0</v>
      </c>
      <c r="DC115" s="408"/>
      <c r="DD115" s="408"/>
      <c r="DE115" s="408">
        <v>0</v>
      </c>
      <c r="DF115" s="408">
        <v>0</v>
      </c>
      <c r="DG115" s="408">
        <v>0</v>
      </c>
      <c r="DH115" s="408">
        <v>0</v>
      </c>
      <c r="DI115" s="408">
        <v>0</v>
      </c>
      <c r="DJ115" s="408"/>
      <c r="DK115" s="408">
        <v>0</v>
      </c>
      <c r="DL115" s="408">
        <v>0</v>
      </c>
      <c r="DM115" s="408"/>
      <c r="DN115" s="408">
        <v>0</v>
      </c>
      <c r="DO115" s="408">
        <v>0</v>
      </c>
      <c r="DP115" s="408">
        <v>0</v>
      </c>
      <c r="DQ115" s="408">
        <v>0</v>
      </c>
      <c r="DR115" s="408">
        <v>0</v>
      </c>
      <c r="DS115" s="408"/>
      <c r="DT115" s="408"/>
      <c r="DU115" s="408">
        <v>15531.887627810514</v>
      </c>
      <c r="DV115" s="408"/>
      <c r="DW115" s="408">
        <v>0</v>
      </c>
      <c r="DX115" s="408">
        <v>0</v>
      </c>
      <c r="DY115" s="408">
        <v>-3524.0699999999997</v>
      </c>
      <c r="DZ115" s="408"/>
      <c r="EA115" s="408">
        <v>0</v>
      </c>
      <c r="EB115" s="408"/>
      <c r="EC115" s="408">
        <v>-3858.3843474190489</v>
      </c>
      <c r="ED115" s="408"/>
      <c r="EE115" s="408">
        <v>0</v>
      </c>
      <c r="EF115" s="408">
        <v>0</v>
      </c>
      <c r="EG115" s="408"/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/>
      <c r="EN115" s="408"/>
      <c r="EO115" s="408">
        <v>0</v>
      </c>
      <c r="EP115" s="408">
        <v>0</v>
      </c>
      <c r="EQ115" s="408"/>
      <c r="ER115" s="408">
        <v>0</v>
      </c>
      <c r="ES115" s="408"/>
      <c r="ET115" s="408">
        <v>0</v>
      </c>
      <c r="EU115" s="408"/>
      <c r="EV115" s="408">
        <v>240</v>
      </c>
      <c r="EW115" s="408"/>
      <c r="EX115" s="408"/>
      <c r="EY115" s="408"/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59" customFormat="1">
      <c r="A116" s="408">
        <v>114</v>
      </c>
      <c r="B116" s="408" t="s">
        <v>2238</v>
      </c>
      <c r="C116" s="408" t="s">
        <v>2243</v>
      </c>
      <c r="D116" s="408" t="s">
        <v>597</v>
      </c>
      <c r="E116" s="408" t="s">
        <v>974</v>
      </c>
      <c r="F116" s="408" t="s">
        <v>1322</v>
      </c>
      <c r="G116" s="408" t="s">
        <v>1322</v>
      </c>
      <c r="H116" s="408" t="s">
        <v>1322</v>
      </c>
      <c r="I116" s="408" t="s">
        <v>1322</v>
      </c>
      <c r="J116" s="408" t="s">
        <v>2236</v>
      </c>
      <c r="K116" s="826">
        <v>44409</v>
      </c>
      <c r="L116" s="408">
        <v>130</v>
      </c>
      <c r="M116" s="408">
        <v>124.8</v>
      </c>
      <c r="N116" s="408">
        <v>0</v>
      </c>
      <c r="O116" s="408">
        <v>0</v>
      </c>
      <c r="P116" s="408">
        <v>0</v>
      </c>
      <c r="Q116" s="408">
        <v>0</v>
      </c>
      <c r="R116" s="408">
        <v>27.19</v>
      </c>
      <c r="S116" s="408"/>
      <c r="T116" s="408"/>
      <c r="U116" s="408">
        <v>3534.7000000000003</v>
      </c>
      <c r="V116" s="408"/>
      <c r="W116" s="408">
        <v>3534.7000000000003</v>
      </c>
      <c r="X116" s="408">
        <v>2828.8</v>
      </c>
      <c r="Y116" s="408">
        <v>0</v>
      </c>
      <c r="Z116" s="408">
        <v>0</v>
      </c>
      <c r="AA116" s="408">
        <v>0</v>
      </c>
      <c r="AB116" s="408">
        <v>0</v>
      </c>
      <c r="AC116" s="408">
        <v>30.316079745583323</v>
      </c>
      <c r="AD116" s="408">
        <v>29.12452911815512</v>
      </c>
      <c r="AE116" s="408">
        <v>3111.1639316107348</v>
      </c>
      <c r="AF116" s="408"/>
      <c r="AG116" s="408"/>
      <c r="AH116" s="408"/>
      <c r="AI116" s="408">
        <v>0</v>
      </c>
      <c r="AJ116" s="408">
        <v>0</v>
      </c>
      <c r="AK116" s="408">
        <v>0</v>
      </c>
      <c r="AL116" s="408">
        <v>0</v>
      </c>
      <c r="AM116" s="408"/>
      <c r="AN116" s="408">
        <v>0</v>
      </c>
      <c r="AO116" s="408">
        <v>64.335028041760324</v>
      </c>
      <c r="AP116" s="408">
        <v>300.05154959149371</v>
      </c>
      <c r="AQ116" s="408">
        <v>0</v>
      </c>
      <c r="AR116" s="408">
        <v>0</v>
      </c>
      <c r="AS116" s="408"/>
      <c r="AT116" s="408"/>
      <c r="AU116" s="408">
        <v>0</v>
      </c>
      <c r="AV116" s="408">
        <v>0</v>
      </c>
      <c r="AW116" s="408">
        <v>0</v>
      </c>
      <c r="AX116" s="408"/>
      <c r="AY116" s="408"/>
      <c r="AZ116" s="408">
        <v>0</v>
      </c>
      <c r="BA116" s="408"/>
      <c r="BB116" s="408">
        <v>0</v>
      </c>
      <c r="BC116" s="408">
        <v>0</v>
      </c>
      <c r="BD116" s="408">
        <v>0</v>
      </c>
      <c r="BE116" s="408">
        <v>0</v>
      </c>
      <c r="BF116" s="408"/>
      <c r="BG116" s="408">
        <v>0</v>
      </c>
      <c r="BH116" s="408">
        <v>0</v>
      </c>
      <c r="BI116" s="408">
        <v>9.2799999999999994</v>
      </c>
      <c r="BJ116" s="408">
        <v>79.599999999999994</v>
      </c>
      <c r="BK116" s="408">
        <v>5.12</v>
      </c>
      <c r="BL116" s="408">
        <v>1</v>
      </c>
      <c r="BM116" s="408"/>
      <c r="BN116" s="408"/>
      <c r="BO116" s="408"/>
      <c r="BP116" s="408"/>
      <c r="BQ116" s="408"/>
      <c r="BR116" s="408">
        <v>113.15200000000007</v>
      </c>
      <c r="BS116" s="408"/>
      <c r="BT116" s="408"/>
      <c r="BU116" s="408"/>
      <c r="BV116" s="408">
        <v>0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2715.6480000000001</v>
      </c>
      <c r="CJ116" s="408">
        <v>-677.69400000000041</v>
      </c>
      <c r="CK116" s="408"/>
      <c r="CL116" s="408"/>
      <c r="CM116" s="408"/>
      <c r="CN116" s="408"/>
      <c r="CO116" s="408">
        <v>-705.9</v>
      </c>
      <c r="CP116" s="408">
        <v>0</v>
      </c>
      <c r="CQ116" s="408">
        <v>31</v>
      </c>
      <c r="CR116" s="408">
        <v>66.29895856201864</v>
      </c>
      <c r="CS116" s="408">
        <v>6.4108480319301577</v>
      </c>
      <c r="CT116" s="408">
        <v>29.899495573820559</v>
      </c>
      <c r="CU116" s="408">
        <v>0</v>
      </c>
      <c r="CV116" s="408">
        <v>0</v>
      </c>
      <c r="CW116" s="408"/>
      <c r="CX116" s="408"/>
      <c r="CY116" s="408"/>
      <c r="CZ116" s="408">
        <v>29.988614956267892</v>
      </c>
      <c r="DA116" s="408">
        <v>0</v>
      </c>
      <c r="DB116" s="408">
        <v>0</v>
      </c>
      <c r="DC116" s="408"/>
      <c r="DD116" s="408"/>
      <c r="DE116" s="408">
        <v>0</v>
      </c>
      <c r="DF116" s="408">
        <v>0</v>
      </c>
      <c r="DG116" s="408">
        <v>0</v>
      </c>
      <c r="DH116" s="408">
        <v>0</v>
      </c>
      <c r="DI116" s="408">
        <v>0</v>
      </c>
      <c r="DJ116" s="408"/>
      <c r="DK116" s="408">
        <v>0</v>
      </c>
      <c r="DL116" s="408">
        <v>0</v>
      </c>
      <c r="DM116" s="408"/>
      <c r="DN116" s="408">
        <v>0</v>
      </c>
      <c r="DO116" s="408">
        <v>0</v>
      </c>
      <c r="DP116" s="408">
        <v>0</v>
      </c>
      <c r="DQ116" s="408">
        <v>0</v>
      </c>
      <c r="DR116" s="408">
        <v>0</v>
      </c>
      <c r="DS116" s="408"/>
      <c r="DT116" s="408"/>
      <c r="DU116" s="408">
        <v>3111.1639316107348</v>
      </c>
      <c r="DV116" s="408"/>
      <c r="DW116" s="408">
        <v>0</v>
      </c>
      <c r="DX116" s="408">
        <v>0</v>
      </c>
      <c r="DY116" s="408">
        <v>-705.90000000000009</v>
      </c>
      <c r="DZ116" s="408"/>
      <c r="EA116" s="408">
        <v>0</v>
      </c>
      <c r="EB116" s="408"/>
      <c r="EC116" s="408">
        <v>-772.86589393601889</v>
      </c>
      <c r="ED116" s="408"/>
      <c r="EE116" s="408">
        <v>0</v>
      </c>
      <c r="EF116" s="408">
        <v>0</v>
      </c>
      <c r="EG116" s="408"/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/>
      <c r="EN116" s="408"/>
      <c r="EO116" s="408">
        <v>0</v>
      </c>
      <c r="EP116" s="408">
        <v>0</v>
      </c>
      <c r="EQ116" s="408"/>
      <c r="ER116" s="408">
        <v>0</v>
      </c>
      <c r="ES116" s="408"/>
      <c r="ET116" s="408">
        <v>0</v>
      </c>
      <c r="EU116" s="408"/>
      <c r="EV116" s="408">
        <v>240</v>
      </c>
      <c r="EW116" s="408"/>
      <c r="EX116" s="408"/>
      <c r="EY116" s="408"/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59" customFormat="1">
      <c r="A117" s="408">
        <v>115</v>
      </c>
      <c r="B117" s="408" t="s">
        <v>1036</v>
      </c>
      <c r="C117" s="408" t="s">
        <v>2235</v>
      </c>
      <c r="D117" s="408" t="s">
        <v>1958</v>
      </c>
      <c r="E117" s="408" t="s">
        <v>2246</v>
      </c>
      <c r="F117" s="408" t="s">
        <v>1322</v>
      </c>
      <c r="G117" s="408" t="s">
        <v>1322</v>
      </c>
      <c r="H117" s="408" t="s">
        <v>1322</v>
      </c>
      <c r="I117" s="408" t="s">
        <v>1322</v>
      </c>
      <c r="J117" s="408" t="s">
        <v>2236</v>
      </c>
      <c r="K117" s="826">
        <v>44409</v>
      </c>
      <c r="L117" s="408">
        <v>0</v>
      </c>
      <c r="M117" s="408">
        <v>0</v>
      </c>
      <c r="N117" s="408">
        <v>478.49299999999999</v>
      </c>
      <c r="O117" s="408">
        <v>478.49299999999999</v>
      </c>
      <c r="P117" s="408">
        <v>478.49299999999999</v>
      </c>
      <c r="Q117" s="408">
        <v>478.49299999999999</v>
      </c>
      <c r="R117" s="408"/>
      <c r="S117" s="408">
        <v>368.24</v>
      </c>
      <c r="T117" s="408">
        <v>173.25</v>
      </c>
      <c r="U117" s="408"/>
      <c r="V117" s="408">
        <v>259099.17457</v>
      </c>
      <c r="W117" s="408">
        <v>259099.17457</v>
      </c>
      <c r="X117" s="408">
        <v>243500.30277000001</v>
      </c>
      <c r="Y117" s="408">
        <v>0</v>
      </c>
      <c r="Z117" s="408">
        <v>29448.939344616341</v>
      </c>
      <c r="AA117" s="408">
        <v>0</v>
      </c>
      <c r="AB117" s="408">
        <v>0</v>
      </c>
      <c r="AC117" s="408">
        <v>1224.7207123339181</v>
      </c>
      <c r="AD117" s="408">
        <v>1176.6819755781346</v>
      </c>
      <c r="AE117" s="408">
        <v>112702.85636255352</v>
      </c>
      <c r="AF117" s="408">
        <v>81506.722791778171</v>
      </c>
      <c r="AG117" s="408">
        <v>1391.0908937292745</v>
      </c>
      <c r="AH117" s="408">
        <v>0</v>
      </c>
      <c r="AI117" s="408">
        <v>0</v>
      </c>
      <c r="AJ117" s="408">
        <v>0</v>
      </c>
      <c r="AK117" s="408">
        <v>0</v>
      </c>
      <c r="AL117" s="408">
        <v>4550.0044244882674</v>
      </c>
      <c r="AM117" s="408"/>
      <c r="AN117" s="408">
        <v>577.95098282556091</v>
      </c>
      <c r="AO117" s="408">
        <v>2599.8417358274592</v>
      </c>
      <c r="AP117" s="408">
        <v>12122.67846740566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0</v>
      </c>
      <c r="BF117" s="408">
        <v>0</v>
      </c>
      <c r="BG117" s="408">
        <v>4277.6278097369413</v>
      </c>
      <c r="BH117" s="408">
        <v>0</v>
      </c>
      <c r="BI117" s="408">
        <v>197.14</v>
      </c>
      <c r="BJ117" s="408">
        <v>1710.61</v>
      </c>
      <c r="BK117" s="408">
        <v>110924.39</v>
      </c>
      <c r="BL117" s="408">
        <v>583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85784.350601515107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243498.77610000002</v>
      </c>
      <c r="CJ117" s="408">
        <v>-15600.428470000013</v>
      </c>
      <c r="CK117" s="408"/>
      <c r="CL117" s="408"/>
      <c r="CM117" s="408"/>
      <c r="CN117" s="408"/>
      <c r="CO117" s="408">
        <v>-25929.535669999997</v>
      </c>
      <c r="CP117" s="408">
        <v>10330.663870000002</v>
      </c>
      <c r="CQ117" s="408">
        <v>31</v>
      </c>
      <c r="CR117" s="408">
        <v>12396.410442203749</v>
      </c>
      <c r="CS117" s="408">
        <v>259.06867196266103</v>
      </c>
      <c r="CT117" s="408">
        <v>1207.9989977473015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1211.5925565161021</v>
      </c>
      <c r="DA117" s="408">
        <v>0</v>
      </c>
      <c r="DB117" s="408">
        <v>0</v>
      </c>
      <c r="DC117" s="408">
        <v>10329.497478308753</v>
      </c>
      <c r="DD117" s="408">
        <v>0</v>
      </c>
      <c r="DE117" s="408">
        <v>0</v>
      </c>
      <c r="DF117" s="408">
        <v>0</v>
      </c>
      <c r="DG117" s="408">
        <v>542.11167079679853</v>
      </c>
      <c r="DH117" s="408">
        <v>0</v>
      </c>
      <c r="DI117" s="408">
        <v>-999.99279168643625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-137.51508174084302</v>
      </c>
      <c r="DP117" s="408">
        <v>-16.351059700576116</v>
      </c>
      <c r="DQ117" s="408">
        <v>0</v>
      </c>
      <c r="DR117" s="408">
        <v>0</v>
      </c>
      <c r="DS117" s="408"/>
      <c r="DT117" s="408"/>
      <c r="DU117" s="408"/>
      <c r="DV117" s="408">
        <v>112702.85636255352</v>
      </c>
      <c r="DW117" s="408">
        <v>0</v>
      </c>
      <c r="DX117" s="408">
        <v>0</v>
      </c>
      <c r="DY117" s="408">
        <v>-25929.535670000012</v>
      </c>
      <c r="DZ117" s="408">
        <v>10330.663870000004</v>
      </c>
      <c r="EA117" s="408">
        <v>0</v>
      </c>
      <c r="EB117" s="408">
        <v>0</v>
      </c>
      <c r="EC117" s="408">
        <v>-27997.301250112083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7520.7338846533985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240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59" customFormat="1">
      <c r="A118" s="408">
        <v>116</v>
      </c>
      <c r="B118" s="408" t="s">
        <v>2238</v>
      </c>
      <c r="C118" s="408" t="s">
        <v>2235</v>
      </c>
      <c r="D118" s="408" t="s">
        <v>1958</v>
      </c>
      <c r="E118" s="408" t="s">
        <v>2246</v>
      </c>
      <c r="F118" s="408" t="s">
        <v>1322</v>
      </c>
      <c r="G118" s="408" t="s">
        <v>1322</v>
      </c>
      <c r="H118" s="408" t="s">
        <v>1322</v>
      </c>
      <c r="I118" s="408" t="s">
        <v>1322</v>
      </c>
      <c r="J118" s="408" t="s">
        <v>2236</v>
      </c>
      <c r="K118" s="826">
        <v>44409</v>
      </c>
      <c r="L118" s="408">
        <v>0</v>
      </c>
      <c r="M118" s="408">
        <v>0</v>
      </c>
      <c r="N118" s="408">
        <v>1.08</v>
      </c>
      <c r="O118" s="408">
        <v>1.08</v>
      </c>
      <c r="P118" s="408">
        <v>1.08</v>
      </c>
      <c r="Q118" s="408">
        <v>1.08</v>
      </c>
      <c r="R118" s="408"/>
      <c r="S118" s="408">
        <v>368.24</v>
      </c>
      <c r="T118" s="408">
        <v>173.25</v>
      </c>
      <c r="U118" s="408"/>
      <c r="V118" s="408">
        <v>584.80920000000003</v>
      </c>
      <c r="W118" s="408">
        <v>584.80920000000003</v>
      </c>
      <c r="X118" s="408">
        <v>549.60120000000006</v>
      </c>
      <c r="Y118" s="408">
        <v>0</v>
      </c>
      <c r="Z118" s="408">
        <v>66.468797855320034</v>
      </c>
      <c r="AA118" s="408">
        <v>0</v>
      </c>
      <c r="AB118" s="408">
        <v>0</v>
      </c>
      <c r="AC118" s="408">
        <v>2.7643003540712856</v>
      </c>
      <c r="AD118" s="408">
        <v>2.6558727789630892</v>
      </c>
      <c r="AE118" s="408">
        <v>254.38007425721548</v>
      </c>
      <c r="AF118" s="408">
        <v>183.96770823213805</v>
      </c>
      <c r="AG118" s="408">
        <v>3.1398122129845505</v>
      </c>
      <c r="AH118" s="408">
        <v>0</v>
      </c>
      <c r="AI118" s="408">
        <v>0</v>
      </c>
      <c r="AJ118" s="408">
        <v>0</v>
      </c>
      <c r="AK118" s="408">
        <v>0</v>
      </c>
      <c r="AL118" s="408">
        <v>10.269752699511443</v>
      </c>
      <c r="AM118" s="408"/>
      <c r="AN118" s="408">
        <v>1.3044852515117376</v>
      </c>
      <c r="AO118" s="408">
        <v>5.8680671915653022</v>
      </c>
      <c r="AP118" s="408">
        <v>27.361931616132555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0</v>
      </c>
      <c r="BF118" s="408">
        <v>0</v>
      </c>
      <c r="BG118" s="408">
        <v>9.6549751710388598</v>
      </c>
      <c r="BH118" s="408">
        <v>0</v>
      </c>
      <c r="BI118" s="408">
        <v>0.45</v>
      </c>
      <c r="BJ118" s="408">
        <v>3.87</v>
      </c>
      <c r="BK118" s="408">
        <v>318.63</v>
      </c>
      <c r="BL118" s="408">
        <v>1</v>
      </c>
      <c r="BM118" s="408"/>
      <c r="BN118" s="408"/>
      <c r="BO118" s="408"/>
      <c r="BP118" s="408"/>
      <c r="BQ118" s="408"/>
      <c r="BR118" s="408"/>
      <c r="BS118" s="408"/>
      <c r="BT118" s="408"/>
      <c r="BU118" s="408"/>
      <c r="BV118" s="408">
        <v>193.62268340317692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549.60120000000006</v>
      </c>
      <c r="CJ118" s="408">
        <v>-35.237999999999943</v>
      </c>
      <c r="CK118" s="408"/>
      <c r="CL118" s="408"/>
      <c r="CM118" s="408"/>
      <c r="CN118" s="408"/>
      <c r="CO118" s="408">
        <v>-58.525199999999998</v>
      </c>
      <c r="CP118" s="408">
        <v>23.317200000000007</v>
      </c>
      <c r="CQ118" s="408">
        <v>31</v>
      </c>
      <c r="CR118" s="408">
        <v>27.979768309212602</v>
      </c>
      <c r="CS118" s="408">
        <v>0.58474035298253924</v>
      </c>
      <c r="CT118" s="408">
        <v>2.7265580009886961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2.7346689732919609</v>
      </c>
      <c r="DA118" s="408">
        <v>0</v>
      </c>
      <c r="DB118" s="408">
        <v>0</v>
      </c>
      <c r="DC118" s="408">
        <v>23.314567353280921</v>
      </c>
      <c r="DD118" s="408">
        <v>0</v>
      </c>
      <c r="DE118" s="408">
        <v>0</v>
      </c>
      <c r="DF118" s="408">
        <v>0</v>
      </c>
      <c r="DG118" s="408">
        <v>1.2235928309516382</v>
      </c>
      <c r="DH118" s="408">
        <v>0</v>
      </c>
      <c r="DI118" s="408">
        <v>-2.257070040776668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-0.31038340849314316</v>
      </c>
      <c r="DP118" s="408">
        <v>-3.6905753013361187E-2</v>
      </c>
      <c r="DQ118" s="408">
        <v>0</v>
      </c>
      <c r="DR118" s="408">
        <v>0</v>
      </c>
      <c r="DS118" s="408"/>
      <c r="DT118" s="408"/>
      <c r="DU118" s="408"/>
      <c r="DV118" s="408">
        <v>254.38007425721548</v>
      </c>
      <c r="DW118" s="408">
        <v>0</v>
      </c>
      <c r="DX118" s="408">
        <v>0</v>
      </c>
      <c r="DY118" s="408">
        <v>-58.525199999999984</v>
      </c>
      <c r="DZ118" s="408">
        <v>23.317200000000014</v>
      </c>
      <c r="EA118" s="408">
        <v>0</v>
      </c>
      <c r="EB118" s="408">
        <v>0</v>
      </c>
      <c r="EC118" s="408">
        <v>-63.192325384323397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16.974945496434998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240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59" customFormat="1">
      <c r="A119" s="408">
        <v>117</v>
      </c>
      <c r="B119" s="408" t="s">
        <v>1036</v>
      </c>
      <c r="C119" s="408" t="s">
        <v>2243</v>
      </c>
      <c r="D119" s="408" t="s">
        <v>597</v>
      </c>
      <c r="E119" s="408" t="s">
        <v>2246</v>
      </c>
      <c r="F119" s="408" t="s">
        <v>1322</v>
      </c>
      <c r="G119" s="408" t="s">
        <v>1322</v>
      </c>
      <c r="H119" s="408" t="s">
        <v>1322</v>
      </c>
      <c r="I119" s="408" t="s">
        <v>973</v>
      </c>
      <c r="J119" s="408" t="s">
        <v>2236</v>
      </c>
      <c r="K119" s="826">
        <v>44409</v>
      </c>
      <c r="L119" s="408">
        <v>0</v>
      </c>
      <c r="M119" s="408">
        <v>0</v>
      </c>
      <c r="N119" s="408">
        <v>3.3980000000000001</v>
      </c>
      <c r="O119" s="408">
        <v>3.3980000000000001</v>
      </c>
      <c r="P119" s="408">
        <v>3.3980000000000001</v>
      </c>
      <c r="Q119" s="408">
        <v>3.3980000000000001</v>
      </c>
      <c r="R119" s="408"/>
      <c r="S119" s="408">
        <v>1358.36</v>
      </c>
      <c r="T119" s="408">
        <v>173.25</v>
      </c>
      <c r="U119" s="408"/>
      <c r="V119" s="408">
        <v>5204.4107800000002</v>
      </c>
      <c r="W119" s="408">
        <v>5204.4107800000002</v>
      </c>
      <c r="X119" s="408">
        <v>4563.2421599999998</v>
      </c>
      <c r="Y119" s="408">
        <v>0</v>
      </c>
      <c r="Z119" s="408">
        <v>181.94356328497059</v>
      </c>
      <c r="AA119" s="408">
        <v>0</v>
      </c>
      <c r="AB119" s="408">
        <v>0</v>
      </c>
      <c r="AC119" s="408">
        <v>64.36521616415574</v>
      </c>
      <c r="AD119" s="408">
        <v>61.840730370530849</v>
      </c>
      <c r="AE119" s="408">
        <v>3426.9092216876234</v>
      </c>
      <c r="AF119" s="408">
        <v>578.81691904889362</v>
      </c>
      <c r="AG119" s="408">
        <v>9.8787795367791684</v>
      </c>
      <c r="AH119" s="408">
        <v>0</v>
      </c>
      <c r="AI119" s="408">
        <v>0</v>
      </c>
      <c r="AJ119" s="408">
        <v>0</v>
      </c>
      <c r="AK119" s="408">
        <v>0</v>
      </c>
      <c r="AL119" s="408">
        <v>32.311684882351742</v>
      </c>
      <c r="AM119" s="408"/>
      <c r="AN119" s="408">
        <v>2.7211653852848023</v>
      </c>
      <c r="AO119" s="408">
        <v>136.63637381313922</v>
      </c>
      <c r="AP119" s="408">
        <v>637.11175180464147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0</v>
      </c>
      <c r="BF119" s="408">
        <v>0</v>
      </c>
      <c r="BG119" s="408">
        <v>25.412475069051396</v>
      </c>
      <c r="BH119" s="408">
        <v>0</v>
      </c>
      <c r="BI119" s="408">
        <v>0</v>
      </c>
      <c r="BJ119" s="408">
        <v>0</v>
      </c>
      <c r="BK119" s="408">
        <v>0</v>
      </c>
      <c r="BL119" s="408">
        <v>0</v>
      </c>
      <c r="BM119" s="408"/>
      <c r="BN119" s="408"/>
      <c r="BO119" s="408"/>
      <c r="BP119" s="408"/>
      <c r="BQ119" s="408"/>
      <c r="BR119" s="408"/>
      <c r="BS119" s="408"/>
      <c r="BT119" s="408"/>
      <c r="BU119" s="408"/>
      <c r="BV119" s="408">
        <v>604.22939411794505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4565.9279999999999</v>
      </c>
      <c r="CJ119" s="408">
        <v>-638.51278000000093</v>
      </c>
      <c r="CK119" s="408"/>
      <c r="CL119" s="408"/>
      <c r="CM119" s="408"/>
      <c r="CN119" s="408"/>
      <c r="CO119" s="408">
        <v>-714.53143999999998</v>
      </c>
      <c r="CP119" s="408">
        <v>73.362820000000013</v>
      </c>
      <c r="CQ119" s="408">
        <v>31</v>
      </c>
      <c r="CR119" s="408">
        <v>210.1211443405864</v>
      </c>
      <c r="CS119" s="408">
        <v>13.615522598069589</v>
      </c>
      <c r="CT119" s="408">
        <v>63.486824277518394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63.675462156749219</v>
      </c>
      <c r="DA119" s="408">
        <v>0</v>
      </c>
      <c r="DB119" s="408">
        <v>0</v>
      </c>
      <c r="DC119" s="408">
        <v>73.354536913378297</v>
      </c>
      <c r="DD119" s="408">
        <v>0</v>
      </c>
      <c r="DE119" s="408">
        <v>0</v>
      </c>
      <c r="DF119" s="408">
        <v>0</v>
      </c>
      <c r="DG119" s="408">
        <v>3.2205698886206129</v>
      </c>
      <c r="DH119" s="408">
        <v>0</v>
      </c>
      <c r="DI119" s="408">
        <v>-6.1782276655058013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-0.97655816857379918</v>
      </c>
      <c r="DP119" s="408">
        <v>-7.6985659670318451E-2</v>
      </c>
      <c r="DQ119" s="408">
        <v>0</v>
      </c>
      <c r="DR119" s="408">
        <v>0</v>
      </c>
      <c r="DS119" s="408"/>
      <c r="DT119" s="408"/>
      <c r="DU119" s="408"/>
      <c r="DV119" s="408">
        <v>3426.9092216876234</v>
      </c>
      <c r="DW119" s="408">
        <v>0</v>
      </c>
      <c r="DX119" s="408">
        <v>0</v>
      </c>
      <c r="DY119" s="408">
        <v>-714.53143999999975</v>
      </c>
      <c r="DZ119" s="408">
        <v>73.362819999999942</v>
      </c>
      <c r="EA119" s="408">
        <v>0</v>
      </c>
      <c r="EB119" s="408">
        <v>0</v>
      </c>
      <c r="EC119" s="408">
        <v>-851.3023798414888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46.465141086380591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240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59" customFormat="1">
      <c r="A120" s="408">
        <v>118</v>
      </c>
      <c r="B120" s="408" t="s">
        <v>2238</v>
      </c>
      <c r="C120" s="408" t="s">
        <v>2243</v>
      </c>
      <c r="D120" s="408" t="s">
        <v>597</v>
      </c>
      <c r="E120" s="408" t="s">
        <v>2246</v>
      </c>
      <c r="F120" s="408" t="s">
        <v>1322</v>
      </c>
      <c r="G120" s="408" t="s">
        <v>1322</v>
      </c>
      <c r="H120" s="408" t="s">
        <v>1322</v>
      </c>
      <c r="I120" s="408" t="s">
        <v>973</v>
      </c>
      <c r="J120" s="408" t="s">
        <v>2236</v>
      </c>
      <c r="K120" s="826">
        <v>44409</v>
      </c>
      <c r="L120" s="408">
        <v>0</v>
      </c>
      <c r="M120" s="408">
        <v>0</v>
      </c>
      <c r="N120" s="408">
        <v>0.47199999999999998</v>
      </c>
      <c r="O120" s="408">
        <v>0.47199999999999998</v>
      </c>
      <c r="P120" s="408">
        <v>0.47199999999999998</v>
      </c>
      <c r="Q120" s="408">
        <v>0.47199999999999998</v>
      </c>
      <c r="R120" s="408"/>
      <c r="S120" s="408">
        <v>1358.36</v>
      </c>
      <c r="T120" s="408">
        <v>173.25</v>
      </c>
      <c r="U120" s="408"/>
      <c r="V120" s="408">
        <v>722.91991999999993</v>
      </c>
      <c r="W120" s="408">
        <v>722.91991999999993</v>
      </c>
      <c r="X120" s="408">
        <v>633.85823999999991</v>
      </c>
      <c r="Y120" s="408">
        <v>0</v>
      </c>
      <c r="Z120" s="408">
        <v>25.272914028989437</v>
      </c>
      <c r="AA120" s="408">
        <v>0</v>
      </c>
      <c r="AB120" s="408">
        <v>0</v>
      </c>
      <c r="AC120" s="408">
        <v>8.9406656943736049</v>
      </c>
      <c r="AD120" s="408">
        <v>8.5900013934345374</v>
      </c>
      <c r="AE120" s="408">
        <v>476.01564232976989</v>
      </c>
      <c r="AF120" s="408">
        <v>80.400702116267738</v>
      </c>
      <c r="AG120" s="408">
        <v>1.37221422641547</v>
      </c>
      <c r="AH120" s="408">
        <v>0</v>
      </c>
      <c r="AI120" s="408">
        <v>0</v>
      </c>
      <c r="AJ120" s="408">
        <v>0</v>
      </c>
      <c r="AK120" s="408">
        <v>0</v>
      </c>
      <c r="AL120" s="408">
        <v>4.4882622908975929</v>
      </c>
      <c r="AM120" s="408"/>
      <c r="AN120" s="408">
        <v>0.37798412650218555</v>
      </c>
      <c r="AO120" s="408">
        <v>18.97950807528008</v>
      </c>
      <c r="AP120" s="408">
        <v>88.498159756265679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>
        <v>0</v>
      </c>
      <c r="BG120" s="408">
        <v>3.5299259071784164</v>
      </c>
      <c r="BH120" s="408">
        <v>0</v>
      </c>
      <c r="BI120" s="408">
        <v>0</v>
      </c>
      <c r="BJ120" s="408">
        <v>0</v>
      </c>
      <c r="BK120" s="408">
        <v>0</v>
      </c>
      <c r="BL120" s="408">
        <v>0</v>
      </c>
      <c r="BM120" s="408"/>
      <c r="BN120" s="408"/>
      <c r="BO120" s="408"/>
      <c r="BP120" s="408"/>
      <c r="BQ120" s="408"/>
      <c r="BR120" s="408"/>
      <c r="BS120" s="408"/>
      <c r="BT120" s="408"/>
      <c r="BU120" s="408"/>
      <c r="BV120" s="408">
        <v>83.930628023446161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631.17239999999993</v>
      </c>
      <c r="CJ120" s="408">
        <v>-91.777519999999981</v>
      </c>
      <c r="CK120" s="408"/>
      <c r="CL120" s="408"/>
      <c r="CM120" s="408"/>
      <c r="CN120" s="408"/>
      <c r="CO120" s="408">
        <v>-99.252159999999975</v>
      </c>
      <c r="CP120" s="408">
        <v>10.190480000000001</v>
      </c>
      <c r="CQ120" s="408">
        <v>31</v>
      </c>
      <c r="CR120" s="408">
        <v>29.186927642365106</v>
      </c>
      <c r="CS120" s="408">
        <v>1.8912674120920663</v>
      </c>
      <c r="CT120" s="408">
        <v>8.8186524599731086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8.8448552495543353</v>
      </c>
      <c r="DA120" s="408">
        <v>0</v>
      </c>
      <c r="DB120" s="408">
        <v>0</v>
      </c>
      <c r="DC120" s="408">
        <v>10.189329435878321</v>
      </c>
      <c r="DD120" s="408">
        <v>0</v>
      </c>
      <c r="DE120" s="408">
        <v>0</v>
      </c>
      <c r="DF120" s="408">
        <v>0</v>
      </c>
      <c r="DG120" s="408">
        <v>0.44735402808385194</v>
      </c>
      <c r="DH120" s="408">
        <v>0</v>
      </c>
      <c r="DI120" s="408">
        <v>-0.8581881866152834</v>
      </c>
      <c r="DJ120" s="408"/>
      <c r="DK120" s="408">
        <v>0</v>
      </c>
      <c r="DL120" s="408">
        <v>0</v>
      </c>
      <c r="DM120" s="408">
        <v>0</v>
      </c>
      <c r="DN120" s="408">
        <v>0</v>
      </c>
      <c r="DO120" s="408">
        <v>-0.13564904519329968</v>
      </c>
      <c r="DP120" s="408">
        <v>-1.0693711408001794E-2</v>
      </c>
      <c r="DQ120" s="408">
        <v>0</v>
      </c>
      <c r="DR120" s="408">
        <v>0</v>
      </c>
      <c r="DS120" s="408"/>
      <c r="DT120" s="408"/>
      <c r="DU120" s="408"/>
      <c r="DV120" s="408">
        <v>476.01564232976989</v>
      </c>
      <c r="DW120" s="408">
        <v>0</v>
      </c>
      <c r="DX120" s="408">
        <v>0</v>
      </c>
      <c r="DY120" s="408">
        <v>-99.252160000000003</v>
      </c>
      <c r="DZ120" s="408">
        <v>10.190479999999994</v>
      </c>
      <c r="EA120" s="408">
        <v>0</v>
      </c>
      <c r="EB120" s="408">
        <v>0</v>
      </c>
      <c r="EC120" s="408">
        <v>-118.25036000152522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6.4542514987556316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240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59" customFormat="1">
      <c r="A121" s="408">
        <v>119</v>
      </c>
      <c r="B121" s="408" t="s">
        <v>1036</v>
      </c>
      <c r="C121" s="408" t="s">
        <v>2243</v>
      </c>
      <c r="D121" s="408" t="s">
        <v>597</v>
      </c>
      <c r="E121" s="408" t="s">
        <v>2246</v>
      </c>
      <c r="F121" s="408" t="s">
        <v>1322</v>
      </c>
      <c r="G121" s="408" t="s">
        <v>1322</v>
      </c>
      <c r="H121" s="408" t="s">
        <v>1322</v>
      </c>
      <c r="I121" s="408" t="s">
        <v>2244</v>
      </c>
      <c r="J121" s="408" t="s">
        <v>2236</v>
      </c>
      <c r="K121" s="826">
        <v>44409</v>
      </c>
      <c r="L121" s="408">
        <v>0</v>
      </c>
      <c r="M121" s="408">
        <v>0</v>
      </c>
      <c r="N121" s="408">
        <v>23.045000000000002</v>
      </c>
      <c r="O121" s="408">
        <v>23.045000000000002</v>
      </c>
      <c r="P121" s="408">
        <v>23.045000000000002</v>
      </c>
      <c r="Q121" s="408">
        <v>23.045000000000002</v>
      </c>
      <c r="R121" s="408"/>
      <c r="S121" s="408">
        <v>85.01</v>
      </c>
      <c r="T121" s="408">
        <v>173.25</v>
      </c>
      <c r="U121" s="408"/>
      <c r="V121" s="408">
        <v>5951.6017000000011</v>
      </c>
      <c r="W121" s="408">
        <v>5951.6017000000011</v>
      </c>
      <c r="X121" s="408">
        <v>6421.9501500000006</v>
      </c>
      <c r="Y121" s="408">
        <v>0</v>
      </c>
      <c r="Z121" s="408">
        <v>1233.9286097416561</v>
      </c>
      <c r="AA121" s="408">
        <v>0</v>
      </c>
      <c r="AB121" s="408">
        <v>0</v>
      </c>
      <c r="AC121" s="408">
        <v>0</v>
      </c>
      <c r="AD121" s="408">
        <v>0</v>
      </c>
      <c r="AE121" s="408">
        <v>0</v>
      </c>
      <c r="AF121" s="408">
        <v>3925.4961446385382</v>
      </c>
      <c r="AG121" s="408">
        <v>66.997196711323113</v>
      </c>
      <c r="AH121" s="408">
        <v>0</v>
      </c>
      <c r="AI121" s="408">
        <v>0</v>
      </c>
      <c r="AJ121" s="408">
        <v>0</v>
      </c>
      <c r="AK121" s="408">
        <v>0</v>
      </c>
      <c r="AL121" s="408">
        <v>219.13560274096409</v>
      </c>
      <c r="AM121" s="408"/>
      <c r="AN121" s="408">
        <v>18.454754650938277</v>
      </c>
      <c r="AO121" s="408">
        <v>0</v>
      </c>
      <c r="AP121" s="408">
        <v>0</v>
      </c>
      <c r="AQ121" s="408">
        <v>0</v>
      </c>
      <c r="AR121" s="408">
        <v>0</v>
      </c>
      <c r="AS121" s="408">
        <v>0</v>
      </c>
      <c r="AT121" s="408">
        <v>0</v>
      </c>
      <c r="AU121" s="408">
        <v>0</v>
      </c>
      <c r="AV121" s="408">
        <v>0</v>
      </c>
      <c r="AW121" s="408">
        <v>0</v>
      </c>
      <c r="AX121" s="408">
        <v>0</v>
      </c>
      <c r="AY121" s="408">
        <v>0</v>
      </c>
      <c r="AZ121" s="408">
        <v>0</v>
      </c>
      <c r="BA121" s="408"/>
      <c r="BB121" s="408">
        <v>0</v>
      </c>
      <c r="BC121" s="408">
        <v>0</v>
      </c>
      <c r="BD121" s="408">
        <v>0</v>
      </c>
      <c r="BE121" s="408">
        <v>0</v>
      </c>
      <c r="BF121" s="408">
        <v>0</v>
      </c>
      <c r="BG121" s="408">
        <v>172.34564095535299</v>
      </c>
      <c r="BH121" s="408">
        <v>0</v>
      </c>
      <c r="BI121" s="408">
        <v>0</v>
      </c>
      <c r="BJ121" s="408">
        <v>0</v>
      </c>
      <c r="BK121" s="408">
        <v>0</v>
      </c>
      <c r="BL121" s="408">
        <v>0</v>
      </c>
      <c r="BM121" s="408"/>
      <c r="BN121" s="408"/>
      <c r="BO121" s="408"/>
      <c r="BP121" s="408"/>
      <c r="BQ121" s="408"/>
      <c r="BR121" s="408"/>
      <c r="BS121" s="408"/>
      <c r="BT121" s="408"/>
      <c r="BU121" s="408"/>
      <c r="BV121" s="408">
        <v>4097.8417855938915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6423.3434999999999</v>
      </c>
      <c r="CJ121" s="408">
        <v>471.71179999999913</v>
      </c>
      <c r="CK121" s="408"/>
      <c r="CL121" s="408"/>
      <c r="CM121" s="408"/>
      <c r="CN121" s="408"/>
      <c r="CO121" s="408">
        <v>-27.193100000000157</v>
      </c>
      <c r="CP121" s="408">
        <v>497.54155000000014</v>
      </c>
      <c r="CQ121" s="408">
        <v>31</v>
      </c>
      <c r="CR121" s="408">
        <v>470.28168398428534</v>
      </c>
      <c r="CS121" s="408">
        <v>0</v>
      </c>
      <c r="CT121" s="408">
        <v>0</v>
      </c>
      <c r="CU121" s="408">
        <v>0</v>
      </c>
      <c r="CV121" s="408">
        <v>0</v>
      </c>
      <c r="CW121" s="408">
        <v>0</v>
      </c>
      <c r="CX121" s="408">
        <v>0</v>
      </c>
      <c r="CY121" s="408">
        <v>0</v>
      </c>
      <c r="CZ121" s="408">
        <v>0</v>
      </c>
      <c r="DA121" s="408">
        <v>0</v>
      </c>
      <c r="DB121" s="408">
        <v>0</v>
      </c>
      <c r="DC121" s="408">
        <v>497.48537468181394</v>
      </c>
      <c r="DD121" s="408">
        <v>0</v>
      </c>
      <c r="DE121" s="408">
        <v>0</v>
      </c>
      <c r="DF121" s="408">
        <v>0</v>
      </c>
      <c r="DG121" s="408">
        <v>21.841681307610941</v>
      </c>
      <c r="DH121" s="408">
        <v>0</v>
      </c>
      <c r="DI121" s="408">
        <v>-41.900310933367109</v>
      </c>
      <c r="DJ121" s="408"/>
      <c r="DK121" s="408">
        <v>0</v>
      </c>
      <c r="DL121" s="408">
        <v>0</v>
      </c>
      <c r="DM121" s="408">
        <v>0</v>
      </c>
      <c r="DN121" s="408">
        <v>0</v>
      </c>
      <c r="DO121" s="408">
        <v>-6.6229496747449161</v>
      </c>
      <c r="DP121" s="408">
        <v>-0.52211139702839304</v>
      </c>
      <c r="DQ121" s="408">
        <v>0</v>
      </c>
      <c r="DR121" s="408">
        <v>0</v>
      </c>
      <c r="DS121" s="408"/>
      <c r="DT121" s="408"/>
      <c r="DU121" s="408"/>
      <c r="DV121" s="408">
        <v>0</v>
      </c>
      <c r="DW121" s="408">
        <v>0</v>
      </c>
      <c r="DX121" s="408">
        <v>0</v>
      </c>
      <c r="DY121" s="408">
        <v>-27.193100000000186</v>
      </c>
      <c r="DZ121" s="408">
        <v>497.54154999999992</v>
      </c>
      <c r="EA121" s="408">
        <v>0</v>
      </c>
      <c r="EB121" s="408">
        <v>0</v>
      </c>
      <c r="EC121" s="408">
        <v>0</v>
      </c>
      <c r="ED121" s="408">
        <v>0</v>
      </c>
      <c r="EE121" s="408">
        <v>0</v>
      </c>
      <c r="EF121" s="408">
        <v>0</v>
      </c>
      <c r="EG121" s="408">
        <v>0</v>
      </c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>
        <v>0</v>
      </c>
      <c r="EN121" s="408">
        <v>0</v>
      </c>
      <c r="EO121" s="408">
        <v>0</v>
      </c>
      <c r="EP121" s="408">
        <v>315.12335972208382</v>
      </c>
      <c r="EQ121" s="408">
        <v>0</v>
      </c>
      <c r="ER121" s="408">
        <v>0</v>
      </c>
      <c r="ES121" s="408">
        <v>0</v>
      </c>
      <c r="ET121" s="408">
        <v>0</v>
      </c>
      <c r="EU121" s="408">
        <v>0</v>
      </c>
      <c r="EV121" s="408">
        <v>240</v>
      </c>
      <c r="EW121" s="408">
        <v>0</v>
      </c>
      <c r="EX121" s="408">
        <v>0</v>
      </c>
      <c r="EY121" s="408">
        <v>0</v>
      </c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59" customFormat="1">
      <c r="A122" s="408">
        <v>120</v>
      </c>
      <c r="B122" s="408" t="s">
        <v>2238</v>
      </c>
      <c r="C122" s="408" t="s">
        <v>2243</v>
      </c>
      <c r="D122" s="408" t="s">
        <v>597</v>
      </c>
      <c r="E122" s="408" t="s">
        <v>2246</v>
      </c>
      <c r="F122" s="408" t="s">
        <v>1322</v>
      </c>
      <c r="G122" s="408" t="s">
        <v>1322</v>
      </c>
      <c r="H122" s="408" t="s">
        <v>1322</v>
      </c>
      <c r="I122" s="408" t="s">
        <v>2244</v>
      </c>
      <c r="J122" s="408" t="s">
        <v>2236</v>
      </c>
      <c r="K122" s="826">
        <v>44409</v>
      </c>
      <c r="L122" s="408">
        <v>0</v>
      </c>
      <c r="M122" s="408">
        <v>0</v>
      </c>
      <c r="N122" s="408">
        <v>0.42499999999999999</v>
      </c>
      <c r="O122" s="408">
        <v>0.42499999999999999</v>
      </c>
      <c r="P122" s="408">
        <v>0.42499999999999999</v>
      </c>
      <c r="Q122" s="408">
        <v>0.42499999999999999</v>
      </c>
      <c r="R122" s="408"/>
      <c r="S122" s="408">
        <v>85.01</v>
      </c>
      <c r="T122" s="408">
        <v>173.25</v>
      </c>
      <c r="U122" s="408"/>
      <c r="V122" s="408">
        <v>109.76049999999999</v>
      </c>
      <c r="W122" s="408">
        <v>109.76049999999999</v>
      </c>
      <c r="X122" s="408">
        <v>118.43475000000001</v>
      </c>
      <c r="Y122" s="408">
        <v>0</v>
      </c>
      <c r="Z122" s="408">
        <v>22.756331487967184</v>
      </c>
      <c r="AA122" s="408">
        <v>0</v>
      </c>
      <c r="AB122" s="408">
        <v>0</v>
      </c>
      <c r="AC122" s="408">
        <v>0</v>
      </c>
      <c r="AD122" s="408">
        <v>0</v>
      </c>
      <c r="AE122" s="408">
        <v>0</v>
      </c>
      <c r="AF122" s="408">
        <v>72.394699998758028</v>
      </c>
      <c r="AG122" s="408">
        <v>1.2355742504800313</v>
      </c>
      <c r="AH122" s="408">
        <v>0</v>
      </c>
      <c r="AI122" s="408">
        <v>0</v>
      </c>
      <c r="AJ122" s="408">
        <v>0</v>
      </c>
      <c r="AK122" s="408">
        <v>0</v>
      </c>
      <c r="AL122" s="408">
        <v>4.041337867863299</v>
      </c>
      <c r="AM122" s="408"/>
      <c r="AN122" s="408">
        <v>0.34034587661743404</v>
      </c>
      <c r="AO122" s="408">
        <v>0</v>
      </c>
      <c r="AP122" s="408">
        <v>0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0</v>
      </c>
      <c r="BE122" s="408">
        <v>0</v>
      </c>
      <c r="BF122" s="408">
        <v>0</v>
      </c>
      <c r="BG122" s="408">
        <v>3.1784290477771759</v>
      </c>
      <c r="BH122" s="408">
        <v>0</v>
      </c>
      <c r="BI122" s="408">
        <v>0</v>
      </c>
      <c r="BJ122" s="408">
        <v>0</v>
      </c>
      <c r="BK122" s="408">
        <v>0</v>
      </c>
      <c r="BL122" s="408">
        <v>0</v>
      </c>
      <c r="BM122" s="408"/>
      <c r="BN122" s="408"/>
      <c r="BO122" s="408"/>
      <c r="BP122" s="408"/>
      <c r="BQ122" s="408"/>
      <c r="BR122" s="408"/>
      <c r="BS122" s="408"/>
      <c r="BT122" s="408"/>
      <c r="BU122" s="408"/>
      <c r="BV122" s="408">
        <v>75.5731290465352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119.82810000000001</v>
      </c>
      <c r="CJ122" s="408">
        <v>10.037600000000012</v>
      </c>
      <c r="CK122" s="408"/>
      <c r="CL122" s="408"/>
      <c r="CM122" s="408"/>
      <c r="CN122" s="408"/>
      <c r="CO122" s="408">
        <v>-0.50150000000000283</v>
      </c>
      <c r="CP122" s="408">
        <v>9.1757500000000007</v>
      </c>
      <c r="CQ122" s="408">
        <v>31</v>
      </c>
      <c r="CR122" s="408">
        <v>8.6730186892306591</v>
      </c>
      <c r="CS122" s="408">
        <v>0</v>
      </c>
      <c r="CT122" s="408">
        <v>0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0</v>
      </c>
      <c r="DA122" s="408">
        <v>0</v>
      </c>
      <c r="DB122" s="408">
        <v>0</v>
      </c>
      <c r="DC122" s="408">
        <v>9.1747140047633167</v>
      </c>
      <c r="DD122" s="408">
        <v>0</v>
      </c>
      <c r="DE122" s="408">
        <v>0</v>
      </c>
      <c r="DF122" s="408">
        <v>0</v>
      </c>
      <c r="DG122" s="408">
        <v>0.40280818206702751</v>
      </c>
      <c r="DH122" s="408">
        <v>0</v>
      </c>
      <c r="DI122" s="408">
        <v>-0.77273300701587999</v>
      </c>
      <c r="DJ122" s="408"/>
      <c r="DK122" s="408">
        <v>0</v>
      </c>
      <c r="DL122" s="408">
        <v>0</v>
      </c>
      <c r="DM122" s="408">
        <v>0</v>
      </c>
      <c r="DN122" s="408">
        <v>0</v>
      </c>
      <c r="DO122" s="408">
        <v>-0.12214161908295029</v>
      </c>
      <c r="DP122" s="408">
        <v>-9.6288715008490677E-3</v>
      </c>
      <c r="DQ122" s="408">
        <v>0</v>
      </c>
      <c r="DR122" s="408">
        <v>0</v>
      </c>
      <c r="DS122" s="408"/>
      <c r="DT122" s="408"/>
      <c r="DU122" s="408"/>
      <c r="DV122" s="408">
        <v>0</v>
      </c>
      <c r="DW122" s="408">
        <v>0</v>
      </c>
      <c r="DX122" s="408">
        <v>0</v>
      </c>
      <c r="DY122" s="408">
        <v>-0.50150000000000006</v>
      </c>
      <c r="DZ122" s="408">
        <v>9.1757500000000078</v>
      </c>
      <c r="EA122" s="408">
        <v>0</v>
      </c>
      <c r="EB122" s="408">
        <v>0</v>
      </c>
      <c r="EC122" s="408">
        <v>0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5.8115612012100497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240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59" customFormat="1">
      <c r="A123" s="408">
        <v>121</v>
      </c>
      <c r="B123" s="408" t="s">
        <v>1036</v>
      </c>
      <c r="C123" s="408" t="s">
        <v>2243</v>
      </c>
      <c r="D123" s="408" t="s">
        <v>597</v>
      </c>
      <c r="E123" s="408" t="s">
        <v>2246</v>
      </c>
      <c r="F123" s="408" t="s">
        <v>1322</v>
      </c>
      <c r="G123" s="408" t="s">
        <v>1322</v>
      </c>
      <c r="H123" s="408" t="s">
        <v>1322</v>
      </c>
      <c r="I123" s="408" t="s">
        <v>1322</v>
      </c>
      <c r="J123" s="408" t="s">
        <v>2236</v>
      </c>
      <c r="K123" s="826">
        <v>44409</v>
      </c>
      <c r="L123" s="408">
        <v>145</v>
      </c>
      <c r="M123" s="408">
        <v>145</v>
      </c>
      <c r="N123" s="408">
        <v>0</v>
      </c>
      <c r="O123" s="408">
        <v>0</v>
      </c>
      <c r="P123" s="408">
        <v>0</v>
      </c>
      <c r="Q123" s="408">
        <v>0</v>
      </c>
      <c r="R123" s="408">
        <v>27.19</v>
      </c>
      <c r="S123" s="408"/>
      <c r="T123" s="408"/>
      <c r="U123" s="408">
        <v>3942.55</v>
      </c>
      <c r="V123" s="408"/>
      <c r="W123" s="408">
        <v>3942.55</v>
      </c>
      <c r="X123" s="408">
        <v>3155.2000000000003</v>
      </c>
      <c r="Y123" s="408">
        <v>0</v>
      </c>
      <c r="Z123" s="408">
        <v>0</v>
      </c>
      <c r="AA123" s="408">
        <v>0</v>
      </c>
      <c r="AB123" s="408">
        <v>0</v>
      </c>
      <c r="AC123" s="408">
        <v>33.814088946996783</v>
      </c>
      <c r="AD123" s="408">
        <v>32.485051708711481</v>
      </c>
      <c r="AE123" s="408">
        <v>3470.1443852581274</v>
      </c>
      <c r="AF123" s="408"/>
      <c r="AG123" s="408"/>
      <c r="AH123" s="408"/>
      <c r="AI123" s="408">
        <v>0</v>
      </c>
      <c r="AJ123" s="408">
        <v>0</v>
      </c>
      <c r="AK123" s="408">
        <v>0</v>
      </c>
      <c r="AL123" s="408">
        <v>0</v>
      </c>
      <c r="AM123" s="408"/>
      <c r="AN123" s="408">
        <v>0</v>
      </c>
      <c r="AO123" s="408">
        <v>71.758300508117273</v>
      </c>
      <c r="AP123" s="408">
        <v>334.67288223666606</v>
      </c>
      <c r="AQ123" s="408">
        <v>0</v>
      </c>
      <c r="AR123" s="408">
        <v>0</v>
      </c>
      <c r="AS123" s="408"/>
      <c r="AT123" s="408"/>
      <c r="AU123" s="408">
        <v>0</v>
      </c>
      <c r="AV123" s="408">
        <v>0</v>
      </c>
      <c r="AW123" s="408">
        <v>0</v>
      </c>
      <c r="AX123" s="408"/>
      <c r="AY123" s="408"/>
      <c r="AZ123" s="408">
        <v>0</v>
      </c>
      <c r="BA123" s="408"/>
      <c r="BB123" s="408">
        <v>0</v>
      </c>
      <c r="BC123" s="408">
        <v>0</v>
      </c>
      <c r="BD123" s="408">
        <v>0</v>
      </c>
      <c r="BE123" s="408">
        <v>0</v>
      </c>
      <c r="BF123" s="408"/>
      <c r="BG123" s="408">
        <v>0</v>
      </c>
      <c r="BH123" s="408">
        <v>0</v>
      </c>
      <c r="BI123" s="408">
        <v>11.91</v>
      </c>
      <c r="BJ123" s="408">
        <v>102.15</v>
      </c>
      <c r="BK123" s="408">
        <v>7090.03</v>
      </c>
      <c r="BL123" s="408">
        <v>4</v>
      </c>
      <c r="BM123" s="408"/>
      <c r="BN123" s="408"/>
      <c r="BO123" s="408"/>
      <c r="BP123" s="408"/>
      <c r="BQ123" s="408"/>
      <c r="BR123" s="408"/>
      <c r="BS123" s="408"/>
      <c r="BT123" s="408"/>
      <c r="BU123" s="408"/>
      <c r="BV123" s="408">
        <v>0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3155.2000000000003</v>
      </c>
      <c r="CJ123" s="408">
        <v>-787.38000000000056</v>
      </c>
      <c r="CK123" s="408"/>
      <c r="CL123" s="408"/>
      <c r="CM123" s="408"/>
      <c r="CN123" s="408"/>
      <c r="CO123" s="408">
        <v>-787.34999999999991</v>
      </c>
      <c r="CP123" s="408">
        <v>0</v>
      </c>
      <c r="CQ123" s="408">
        <v>31</v>
      </c>
      <c r="CR123" s="408">
        <v>73.948838396097756</v>
      </c>
      <c r="CS123" s="408">
        <v>7.1505612663836473</v>
      </c>
      <c r="CT123" s="408">
        <v>33.349437370799876</v>
      </c>
      <c r="CU123" s="408">
        <v>0</v>
      </c>
      <c r="CV123" s="408">
        <v>0</v>
      </c>
      <c r="CW123" s="408"/>
      <c r="CX123" s="408"/>
      <c r="CY123" s="408"/>
      <c r="CZ123" s="408">
        <v>33.44883975891419</v>
      </c>
      <c r="DA123" s="408">
        <v>0</v>
      </c>
      <c r="DB123" s="408">
        <v>0</v>
      </c>
      <c r="DC123" s="408"/>
      <c r="DD123" s="408"/>
      <c r="DE123" s="408">
        <v>0</v>
      </c>
      <c r="DF123" s="408">
        <v>0</v>
      </c>
      <c r="DG123" s="408">
        <v>0</v>
      </c>
      <c r="DH123" s="408">
        <v>0</v>
      </c>
      <c r="DI123" s="408">
        <v>0</v>
      </c>
      <c r="DJ123" s="408"/>
      <c r="DK123" s="408">
        <v>0</v>
      </c>
      <c r="DL123" s="408">
        <v>0</v>
      </c>
      <c r="DM123" s="408"/>
      <c r="DN123" s="408">
        <v>0</v>
      </c>
      <c r="DO123" s="408">
        <v>0</v>
      </c>
      <c r="DP123" s="408">
        <v>0</v>
      </c>
      <c r="DQ123" s="408">
        <v>0</v>
      </c>
      <c r="DR123" s="408">
        <v>0</v>
      </c>
      <c r="DS123" s="408"/>
      <c r="DT123" s="408"/>
      <c r="DU123" s="408">
        <v>3470.1443852581274</v>
      </c>
      <c r="DV123" s="408"/>
      <c r="DW123" s="408">
        <v>0</v>
      </c>
      <c r="DX123" s="408">
        <v>0</v>
      </c>
      <c r="DY123" s="408">
        <v>-787.34999999999991</v>
      </c>
      <c r="DZ123" s="408"/>
      <c r="EA123" s="408">
        <v>0</v>
      </c>
      <c r="EB123" s="408"/>
      <c r="EC123" s="408">
        <v>-862.04272785171361</v>
      </c>
      <c r="ED123" s="408"/>
      <c r="EE123" s="408">
        <v>0</v>
      </c>
      <c r="EF123" s="408">
        <v>0</v>
      </c>
      <c r="EG123" s="408"/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/>
      <c r="EN123" s="408"/>
      <c r="EO123" s="408">
        <v>0</v>
      </c>
      <c r="EP123" s="408">
        <v>0</v>
      </c>
      <c r="EQ123" s="408"/>
      <c r="ER123" s="408">
        <v>0</v>
      </c>
      <c r="ES123" s="408"/>
      <c r="ET123" s="408">
        <v>0</v>
      </c>
      <c r="EU123" s="408"/>
      <c r="EV123" s="408">
        <v>240</v>
      </c>
      <c r="EW123" s="408"/>
      <c r="EX123" s="408"/>
      <c r="EY123" s="408"/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59" customFormat="1">
      <c r="A124" s="408">
        <v>122</v>
      </c>
      <c r="B124" s="408" t="s">
        <v>2238</v>
      </c>
      <c r="C124" s="408" t="s">
        <v>2243</v>
      </c>
      <c r="D124" s="408" t="s">
        <v>597</v>
      </c>
      <c r="E124" s="408" t="s">
        <v>2246</v>
      </c>
      <c r="F124" s="408" t="s">
        <v>1322</v>
      </c>
      <c r="G124" s="408" t="s">
        <v>1322</v>
      </c>
      <c r="H124" s="408" t="s">
        <v>1322</v>
      </c>
      <c r="I124" s="408" t="s">
        <v>1322</v>
      </c>
      <c r="J124" s="408" t="s">
        <v>2236</v>
      </c>
      <c r="K124" s="826">
        <v>44409</v>
      </c>
      <c r="L124" s="408">
        <v>40</v>
      </c>
      <c r="M124" s="408">
        <v>40</v>
      </c>
      <c r="N124" s="408">
        <v>0</v>
      </c>
      <c r="O124" s="408">
        <v>0</v>
      </c>
      <c r="P124" s="408">
        <v>0</v>
      </c>
      <c r="Q124" s="408">
        <v>0</v>
      </c>
      <c r="R124" s="408">
        <v>27.19</v>
      </c>
      <c r="S124" s="408"/>
      <c r="T124" s="408"/>
      <c r="U124" s="408">
        <v>1087.6000000000001</v>
      </c>
      <c r="V124" s="408"/>
      <c r="W124" s="408">
        <v>1087.6000000000001</v>
      </c>
      <c r="X124" s="408">
        <v>870.40000000000009</v>
      </c>
      <c r="Y124" s="408">
        <v>0</v>
      </c>
      <c r="Z124" s="408">
        <v>0</v>
      </c>
      <c r="AA124" s="408">
        <v>0</v>
      </c>
      <c r="AB124" s="408">
        <v>0</v>
      </c>
      <c r="AC124" s="408">
        <v>9.3280245371025607</v>
      </c>
      <c r="AD124" s="408">
        <v>8.9613935748169595</v>
      </c>
      <c r="AE124" s="408">
        <v>957.28120972637998</v>
      </c>
      <c r="AF124" s="408"/>
      <c r="AG124" s="408"/>
      <c r="AH124" s="408"/>
      <c r="AI124" s="408">
        <v>0</v>
      </c>
      <c r="AJ124" s="408">
        <v>0</v>
      </c>
      <c r="AK124" s="408">
        <v>0</v>
      </c>
      <c r="AL124" s="408">
        <v>0</v>
      </c>
      <c r="AM124" s="408"/>
      <c r="AN124" s="408">
        <v>0</v>
      </c>
      <c r="AO124" s="408">
        <v>19.795393243618559</v>
      </c>
      <c r="AP124" s="408">
        <v>92.3235537204596</v>
      </c>
      <c r="AQ124" s="408">
        <v>0</v>
      </c>
      <c r="AR124" s="408">
        <v>0</v>
      </c>
      <c r="AS124" s="408"/>
      <c r="AT124" s="408"/>
      <c r="AU124" s="408">
        <v>0</v>
      </c>
      <c r="AV124" s="408">
        <v>0</v>
      </c>
      <c r="AW124" s="408">
        <v>0</v>
      </c>
      <c r="AX124" s="408"/>
      <c r="AY124" s="408"/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0</v>
      </c>
      <c r="BF124" s="408"/>
      <c r="BG124" s="408">
        <v>0</v>
      </c>
      <c r="BH124" s="408">
        <v>0</v>
      </c>
      <c r="BI124" s="408">
        <v>1.21</v>
      </c>
      <c r="BJ124" s="408">
        <v>10.38</v>
      </c>
      <c r="BK124" s="408">
        <v>554.12</v>
      </c>
      <c r="BL124" s="408">
        <v>1</v>
      </c>
      <c r="BM124" s="408"/>
      <c r="BN124" s="408"/>
      <c r="BO124" s="408"/>
      <c r="BP124" s="408"/>
      <c r="BQ124" s="408"/>
      <c r="BR124" s="408"/>
      <c r="BS124" s="408"/>
      <c r="BT124" s="408"/>
      <c r="BU124" s="408"/>
      <c r="BV124" s="408">
        <v>0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870.40000000000009</v>
      </c>
      <c r="CJ124" s="408">
        <v>-217.23000000000002</v>
      </c>
      <c r="CK124" s="408"/>
      <c r="CL124" s="408"/>
      <c r="CM124" s="408"/>
      <c r="CN124" s="408"/>
      <c r="CO124" s="408">
        <v>-217.2</v>
      </c>
      <c r="CP124" s="408">
        <v>0</v>
      </c>
      <c r="CQ124" s="408">
        <v>31</v>
      </c>
      <c r="CR124" s="408">
        <v>20.399679557544232</v>
      </c>
      <c r="CS124" s="408">
        <v>1.9725686252092807</v>
      </c>
      <c r="CT124" s="408">
        <v>9.1998447919447983</v>
      </c>
      <c r="CU124" s="408">
        <v>0</v>
      </c>
      <c r="CV124" s="408">
        <v>0</v>
      </c>
      <c r="CW124" s="408"/>
      <c r="CX124" s="408"/>
      <c r="CY124" s="408"/>
      <c r="CZ124" s="408">
        <v>9.2272661403901211</v>
      </c>
      <c r="DA124" s="408">
        <v>0</v>
      </c>
      <c r="DB124" s="408">
        <v>0</v>
      </c>
      <c r="DC124" s="408"/>
      <c r="DD124" s="408"/>
      <c r="DE124" s="408">
        <v>0</v>
      </c>
      <c r="DF124" s="408">
        <v>0</v>
      </c>
      <c r="DG124" s="408">
        <v>0</v>
      </c>
      <c r="DH124" s="408">
        <v>0</v>
      </c>
      <c r="DI124" s="408">
        <v>0</v>
      </c>
      <c r="DJ124" s="408"/>
      <c r="DK124" s="408">
        <v>0</v>
      </c>
      <c r="DL124" s="408">
        <v>0</v>
      </c>
      <c r="DM124" s="408"/>
      <c r="DN124" s="408">
        <v>0</v>
      </c>
      <c r="DO124" s="408">
        <v>0</v>
      </c>
      <c r="DP124" s="408">
        <v>0</v>
      </c>
      <c r="DQ124" s="408">
        <v>0</v>
      </c>
      <c r="DR124" s="408">
        <v>0</v>
      </c>
      <c r="DS124" s="408"/>
      <c r="DT124" s="408"/>
      <c r="DU124" s="408">
        <v>957.28120972637998</v>
      </c>
      <c r="DV124" s="408"/>
      <c r="DW124" s="408">
        <v>0</v>
      </c>
      <c r="DX124" s="408">
        <v>0</v>
      </c>
      <c r="DY124" s="408">
        <v>-217.20000000000005</v>
      </c>
      <c r="DZ124" s="408"/>
      <c r="EA124" s="408">
        <v>0</v>
      </c>
      <c r="EB124" s="408"/>
      <c r="EC124" s="408">
        <v>-237.80489044185208</v>
      </c>
      <c r="ED124" s="408"/>
      <c r="EE124" s="408">
        <v>0</v>
      </c>
      <c r="EF124" s="408">
        <v>0</v>
      </c>
      <c r="EG124" s="408"/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/>
      <c r="EN124" s="408"/>
      <c r="EO124" s="408">
        <v>0</v>
      </c>
      <c r="EP124" s="408">
        <v>0</v>
      </c>
      <c r="EQ124" s="408"/>
      <c r="ER124" s="408">
        <v>0</v>
      </c>
      <c r="ES124" s="408"/>
      <c r="ET124" s="408">
        <v>0</v>
      </c>
      <c r="EU124" s="408"/>
      <c r="EV124" s="408">
        <v>240</v>
      </c>
      <c r="EW124" s="408"/>
      <c r="EX124" s="408"/>
      <c r="EY124" s="408"/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59" customFormat="1">
      <c r="A125" s="408">
        <v>123</v>
      </c>
      <c r="B125" s="408" t="s">
        <v>1036</v>
      </c>
      <c r="C125" s="408" t="s">
        <v>2235</v>
      </c>
      <c r="D125" s="408" t="s">
        <v>2248</v>
      </c>
      <c r="E125" s="408" t="s">
        <v>2249</v>
      </c>
      <c r="F125" s="408" t="s">
        <v>2250</v>
      </c>
      <c r="G125" s="408" t="s">
        <v>1322</v>
      </c>
      <c r="H125" s="408" t="s">
        <v>1322</v>
      </c>
      <c r="I125" s="408" t="s">
        <v>1322</v>
      </c>
      <c r="J125" s="408" t="s">
        <v>2236</v>
      </c>
      <c r="K125" s="826">
        <v>44409</v>
      </c>
      <c r="L125" s="408">
        <v>0</v>
      </c>
      <c r="M125" s="408">
        <v>0</v>
      </c>
      <c r="N125" s="408">
        <v>1602.413</v>
      </c>
      <c r="O125" s="408">
        <v>1602.413</v>
      </c>
      <c r="P125" s="408">
        <v>1602.413</v>
      </c>
      <c r="Q125" s="408">
        <v>1602.413</v>
      </c>
      <c r="R125" s="408"/>
      <c r="S125" s="408">
        <v>199.07</v>
      </c>
      <c r="T125" s="408">
        <v>95.29</v>
      </c>
      <c r="U125" s="408"/>
      <c r="V125" s="408">
        <v>471686.29067999998</v>
      </c>
      <c r="W125" s="408">
        <v>471686.29067999998</v>
      </c>
      <c r="X125" s="408">
        <v>445262.50031000003</v>
      </c>
      <c r="Y125" s="408">
        <v>0</v>
      </c>
      <c r="Z125" s="408">
        <v>54241.440905328964</v>
      </c>
      <c r="AA125" s="408">
        <v>0</v>
      </c>
      <c r="AB125" s="408">
        <v>0</v>
      </c>
      <c r="AC125" s="408">
        <v>2255.7897711089217</v>
      </c>
      <c r="AD125" s="408">
        <v>2909.3135505748996</v>
      </c>
      <c r="AE125" s="408">
        <v>201287.69170084593</v>
      </c>
      <c r="AF125" s="408">
        <v>150125.68147061265</v>
      </c>
      <c r="AG125" s="408">
        <v>2562.223841856362</v>
      </c>
      <c r="AH125" s="408">
        <v>0</v>
      </c>
      <c r="AI125" s="408">
        <v>0</v>
      </c>
      <c r="AJ125" s="408">
        <v>0</v>
      </c>
      <c r="AK125" s="408">
        <v>0</v>
      </c>
      <c r="AL125" s="408">
        <v>8380.5665535789212</v>
      </c>
      <c r="AM125" s="408"/>
      <c r="AN125" s="408">
        <v>1064.5169156776585</v>
      </c>
      <c r="AO125" s="408">
        <v>4788.5990129173661</v>
      </c>
      <c r="AP125" s="408">
        <v>22328.53074976023</v>
      </c>
      <c r="AQ125" s="408">
        <v>0</v>
      </c>
      <c r="AR125" s="408">
        <v>0</v>
      </c>
      <c r="AS125" s="408">
        <v>0</v>
      </c>
      <c r="AT125" s="408">
        <v>0</v>
      </c>
      <c r="AU125" s="408">
        <v>0</v>
      </c>
      <c r="AV125" s="408">
        <v>0</v>
      </c>
      <c r="AW125" s="408">
        <v>0</v>
      </c>
      <c r="AX125" s="408">
        <v>0</v>
      </c>
      <c r="AY125" s="408">
        <v>0</v>
      </c>
      <c r="AZ125" s="408">
        <v>0</v>
      </c>
      <c r="BA125" s="408"/>
      <c r="BB125" s="408">
        <v>0</v>
      </c>
      <c r="BC125" s="408">
        <v>0</v>
      </c>
      <c r="BD125" s="408">
        <v>0</v>
      </c>
      <c r="BE125" s="408">
        <v>0</v>
      </c>
      <c r="BF125" s="408">
        <v>0</v>
      </c>
      <c r="BG125" s="408">
        <v>7878.8812507522607</v>
      </c>
      <c r="BH125" s="408">
        <v>0</v>
      </c>
      <c r="BI125" s="408">
        <v>420.61</v>
      </c>
      <c r="BJ125" s="408">
        <v>3608.01</v>
      </c>
      <c r="BK125" s="408">
        <v>150332.72</v>
      </c>
      <c r="BL125" s="408">
        <v>60</v>
      </c>
      <c r="BM125" s="408"/>
      <c r="BN125" s="408"/>
      <c r="BO125" s="408"/>
      <c r="BP125" s="408"/>
      <c r="BQ125" s="408"/>
      <c r="BR125" s="408"/>
      <c r="BS125" s="408"/>
      <c r="BT125" s="408"/>
      <c r="BU125" s="408"/>
      <c r="BV125" s="408">
        <v>158004.5627213649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445261.66670000006</v>
      </c>
      <c r="CJ125" s="408">
        <v>-26424.653979999945</v>
      </c>
      <c r="CK125" s="408"/>
      <c r="CL125" s="408"/>
      <c r="CM125" s="408"/>
      <c r="CN125" s="408"/>
      <c r="CO125" s="408">
        <v>-45444.432679999976</v>
      </c>
      <c r="CP125" s="408">
        <v>19020.642309999985</v>
      </c>
      <c r="CQ125" s="408">
        <v>31</v>
      </c>
      <c r="CR125" s="408">
        <v>23596.732187433634</v>
      </c>
      <c r="CS125" s="408">
        <v>477.17365628157677</v>
      </c>
      <c r="CT125" s="408">
        <v>2224.9903632602291</v>
      </c>
      <c r="CU125" s="408">
        <v>0</v>
      </c>
      <c r="CV125" s="408">
        <v>0</v>
      </c>
      <c r="CW125" s="408">
        <v>0</v>
      </c>
      <c r="CX125" s="408">
        <v>0</v>
      </c>
      <c r="CY125" s="408">
        <v>0</v>
      </c>
      <c r="CZ125" s="408">
        <v>2995.6289937356278</v>
      </c>
      <c r="DA125" s="408">
        <v>0</v>
      </c>
      <c r="DB125" s="408">
        <v>0</v>
      </c>
      <c r="DC125" s="408">
        <v>19025.704813842633</v>
      </c>
      <c r="DD125" s="408">
        <v>0</v>
      </c>
      <c r="DE125" s="408">
        <v>0</v>
      </c>
      <c r="DF125" s="408">
        <v>0</v>
      </c>
      <c r="DG125" s="408">
        <v>998.50516894722296</v>
      </c>
      <c r="DH125" s="408">
        <v>0</v>
      </c>
      <c r="DI125" s="408">
        <v>-1841.8676910999275</v>
      </c>
      <c r="DJ125" s="408"/>
      <c r="DK125" s="408">
        <v>0</v>
      </c>
      <c r="DL125" s="408">
        <v>0</v>
      </c>
      <c r="DM125" s="408">
        <v>0</v>
      </c>
      <c r="DN125" s="408">
        <v>0</v>
      </c>
      <c r="DO125" s="408">
        <v>-253.28641186531877</v>
      </c>
      <c r="DP125" s="408">
        <v>-30.116705668396889</v>
      </c>
      <c r="DQ125" s="408">
        <v>0</v>
      </c>
      <c r="DR125" s="408">
        <v>0</v>
      </c>
      <c r="DS125" s="408"/>
      <c r="DT125" s="408"/>
      <c r="DU125" s="408"/>
      <c r="DV125" s="408">
        <v>201287.69170084593</v>
      </c>
      <c r="DW125" s="408">
        <v>0</v>
      </c>
      <c r="DX125" s="408">
        <v>0</v>
      </c>
      <c r="DY125" s="408">
        <v>-45444.432679999969</v>
      </c>
      <c r="DZ125" s="408">
        <v>19020.642309999967</v>
      </c>
      <c r="EA125" s="408">
        <v>0</v>
      </c>
      <c r="EB125" s="408">
        <v>0</v>
      </c>
      <c r="EC125" s="408">
        <v>-50003.27697427079</v>
      </c>
      <c r="ED125" s="408">
        <v>0</v>
      </c>
      <c r="EE125" s="408">
        <v>0</v>
      </c>
      <c r="EF125" s="408">
        <v>0</v>
      </c>
      <c r="EG125" s="408">
        <v>0</v>
      </c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>
        <v>0</v>
      </c>
      <c r="EN125" s="408">
        <v>0</v>
      </c>
      <c r="EO125" s="408">
        <v>0</v>
      </c>
      <c r="EP125" s="408">
        <v>13852.296607202235</v>
      </c>
      <c r="EQ125" s="408">
        <v>0</v>
      </c>
      <c r="ER125" s="408">
        <v>0</v>
      </c>
      <c r="ES125" s="408">
        <v>0</v>
      </c>
      <c r="ET125" s="408">
        <v>0</v>
      </c>
      <c r="EU125" s="408">
        <v>0</v>
      </c>
      <c r="EV125" s="408">
        <v>240</v>
      </c>
      <c r="EW125" s="408">
        <v>0</v>
      </c>
      <c r="EX125" s="408">
        <v>0</v>
      </c>
      <c r="EY125" s="408">
        <v>0</v>
      </c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59" customFormat="1">
      <c r="A126" s="408">
        <v>124</v>
      </c>
      <c r="B126" s="408" t="s">
        <v>1036</v>
      </c>
      <c r="C126" s="408" t="s">
        <v>2235</v>
      </c>
      <c r="D126" s="408" t="s">
        <v>1958</v>
      </c>
      <c r="E126" s="408" t="s">
        <v>1001</v>
      </c>
      <c r="F126" s="408" t="s">
        <v>2251</v>
      </c>
      <c r="G126" s="408" t="s">
        <v>1322</v>
      </c>
      <c r="H126" s="408" t="s">
        <v>1322</v>
      </c>
      <c r="I126" s="408" t="s">
        <v>1322</v>
      </c>
      <c r="J126" s="408" t="s">
        <v>2236</v>
      </c>
      <c r="K126" s="826">
        <v>44409</v>
      </c>
      <c r="L126" s="408">
        <v>0</v>
      </c>
      <c r="M126" s="408">
        <v>0</v>
      </c>
      <c r="N126" s="408">
        <v>600.06500000000005</v>
      </c>
      <c r="O126" s="408">
        <v>564.06110000000001</v>
      </c>
      <c r="P126" s="408">
        <v>600.06500000000005</v>
      </c>
      <c r="Q126" s="408">
        <v>564.06110000000001</v>
      </c>
      <c r="R126" s="408"/>
      <c r="S126" s="408">
        <v>368.24</v>
      </c>
      <c r="T126" s="408">
        <v>173.25</v>
      </c>
      <c r="U126" s="408"/>
      <c r="V126" s="408">
        <v>324929.19685000007</v>
      </c>
      <c r="W126" s="408">
        <v>324929.19685000007</v>
      </c>
      <c r="X126" s="408">
        <v>305367.07785</v>
      </c>
      <c r="Y126" s="408">
        <v>0</v>
      </c>
      <c r="Z126" s="408">
        <v>36931.110356530204</v>
      </c>
      <c r="AA126" s="408">
        <v>0</v>
      </c>
      <c r="AB126" s="408">
        <v>0</v>
      </c>
      <c r="AC126" s="408">
        <v>1535.8887888572094</v>
      </c>
      <c r="AD126" s="408">
        <v>1475.6447213967465</v>
      </c>
      <c r="AE126" s="408">
        <v>141337.57338810741</v>
      </c>
      <c r="AF126" s="408">
        <v>102215.35448177585</v>
      </c>
      <c r="AG126" s="408">
        <v>1744.5290885042355</v>
      </c>
      <c r="AH126" s="408">
        <v>0</v>
      </c>
      <c r="AI126" s="408">
        <v>0</v>
      </c>
      <c r="AJ126" s="408">
        <v>0</v>
      </c>
      <c r="AK126" s="408">
        <v>0</v>
      </c>
      <c r="AL126" s="408">
        <v>5706.0362533632724</v>
      </c>
      <c r="AM126" s="408"/>
      <c r="AN126" s="408">
        <v>724.7925393040656</v>
      </c>
      <c r="AO126" s="408">
        <v>3260.3904993579936</v>
      </c>
      <c r="AP126" s="408">
        <v>15202.719902994982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>
        <v>0</v>
      </c>
      <c r="BG126" s="408">
        <v>5364.4561814902163</v>
      </c>
      <c r="BH126" s="408">
        <v>0</v>
      </c>
      <c r="BI126" s="408">
        <v>232.74</v>
      </c>
      <c r="BJ126" s="408">
        <v>2003.61</v>
      </c>
      <c r="BK126" s="408">
        <v>152872.68</v>
      </c>
      <c r="BL126" s="408">
        <v>196</v>
      </c>
      <c r="BM126" s="408"/>
      <c r="BN126" s="408"/>
      <c r="BO126" s="408"/>
      <c r="BP126" s="408"/>
      <c r="BQ126" s="408">
        <v>18322.024671000021</v>
      </c>
      <c r="BR126" s="408"/>
      <c r="BS126" s="408"/>
      <c r="BT126" s="408"/>
      <c r="BU126" s="408"/>
      <c r="BV126" s="408">
        <v>107579.81066326606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287044.49339999998</v>
      </c>
      <c r="CJ126" s="408">
        <v>-18388.981639000063</v>
      </c>
      <c r="CK126" s="408"/>
      <c r="CL126" s="408"/>
      <c r="CM126" s="408"/>
      <c r="CN126" s="408"/>
      <c r="CO126" s="408">
        <v>-32517.522350000003</v>
      </c>
      <c r="CP126" s="408">
        <v>12955.403350000002</v>
      </c>
      <c r="CQ126" s="408">
        <v>31</v>
      </c>
      <c r="CR126" s="408">
        <v>15545.999694877391</v>
      </c>
      <c r="CS126" s="408">
        <v>324.89094436339565</v>
      </c>
      <c r="CT126" s="408">
        <v>1514.9185433919283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1519.4251272763338</v>
      </c>
      <c r="DA126" s="408">
        <v>0</v>
      </c>
      <c r="DB126" s="408">
        <v>0</v>
      </c>
      <c r="DC126" s="408">
        <v>12953.940610043064</v>
      </c>
      <c r="DD126" s="408">
        <v>0</v>
      </c>
      <c r="DE126" s="408">
        <v>0</v>
      </c>
      <c r="DF126" s="408">
        <v>0</v>
      </c>
      <c r="DG126" s="408">
        <v>679.8474371342536</v>
      </c>
      <c r="DH126" s="408">
        <v>0</v>
      </c>
      <c r="DI126" s="408">
        <v>-1254.0636426098645</v>
      </c>
      <c r="DJ126" s="408"/>
      <c r="DK126" s="408">
        <v>0</v>
      </c>
      <c r="DL126" s="408">
        <v>0</v>
      </c>
      <c r="DM126" s="408">
        <v>0</v>
      </c>
      <c r="DN126" s="408">
        <v>0</v>
      </c>
      <c r="DO126" s="408">
        <v>-172.45390742355448</v>
      </c>
      <c r="DP126" s="408">
        <v>-20.505417298113457</v>
      </c>
      <c r="DQ126" s="408">
        <v>0</v>
      </c>
      <c r="DR126" s="408">
        <v>0</v>
      </c>
      <c r="DS126" s="408"/>
      <c r="DT126" s="408"/>
      <c r="DU126" s="408"/>
      <c r="DV126" s="408">
        <v>141337.57338810741</v>
      </c>
      <c r="DW126" s="408">
        <v>0</v>
      </c>
      <c r="DX126" s="408">
        <v>0</v>
      </c>
      <c r="DY126" s="408">
        <v>-32517.522350000014</v>
      </c>
      <c r="DZ126" s="408">
        <v>12955.403350000008</v>
      </c>
      <c r="EA126" s="408">
        <v>0</v>
      </c>
      <c r="EB126" s="408">
        <v>0</v>
      </c>
      <c r="EC126" s="408">
        <v>-35110.650677540762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9431.5469160354332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240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59" customFormat="1">
      <c r="A127" s="408">
        <v>125</v>
      </c>
      <c r="B127" s="408" t="s">
        <v>1036</v>
      </c>
      <c r="C127" s="408" t="s">
        <v>2247</v>
      </c>
      <c r="D127" s="408" t="s">
        <v>597</v>
      </c>
      <c r="E127" s="408" t="s">
        <v>1001</v>
      </c>
      <c r="F127" s="408" t="s">
        <v>2251</v>
      </c>
      <c r="G127" s="408" t="s">
        <v>1322</v>
      </c>
      <c r="H127" s="408" t="s">
        <v>1322</v>
      </c>
      <c r="I127" s="408" t="s">
        <v>973</v>
      </c>
      <c r="J127" s="408" t="s">
        <v>2236</v>
      </c>
      <c r="K127" s="826">
        <v>44409</v>
      </c>
      <c r="L127" s="408">
        <v>65</v>
      </c>
      <c r="M127" s="408">
        <v>61.1</v>
      </c>
      <c r="N127" s="408">
        <v>3.3490000000000002</v>
      </c>
      <c r="O127" s="408">
        <v>3.1480600000000001</v>
      </c>
      <c r="P127" s="408">
        <v>3.3490000000000002</v>
      </c>
      <c r="Q127" s="408">
        <v>3.1480600000000001</v>
      </c>
      <c r="R127" s="408">
        <v>52.95</v>
      </c>
      <c r="S127" s="408">
        <v>85.01</v>
      </c>
      <c r="T127" s="408">
        <v>173.25</v>
      </c>
      <c r="U127" s="408">
        <v>3441.75</v>
      </c>
      <c r="V127" s="408">
        <v>864.91273999999999</v>
      </c>
      <c r="W127" s="408">
        <v>4306.6627399999998</v>
      </c>
      <c r="X127" s="408">
        <v>3809.5158300000003</v>
      </c>
      <c r="Y127" s="408">
        <v>0</v>
      </c>
      <c r="Z127" s="408">
        <v>179.31989212518144</v>
      </c>
      <c r="AA127" s="408">
        <v>0</v>
      </c>
      <c r="AB127" s="408">
        <v>0</v>
      </c>
      <c r="AC127" s="408">
        <v>51.198306474712865</v>
      </c>
      <c r="AD127" s="408">
        <v>49.188863943031343</v>
      </c>
      <c r="AE127" s="408">
        <v>2725.6914092779475</v>
      </c>
      <c r="AF127" s="408">
        <v>570.47023599021327</v>
      </c>
      <c r="AG127" s="408">
        <v>9.7363250937826482</v>
      </c>
      <c r="AH127" s="408">
        <v>0</v>
      </c>
      <c r="AI127" s="408">
        <v>0</v>
      </c>
      <c r="AJ127" s="408">
        <v>0</v>
      </c>
      <c r="AK127" s="408">
        <v>0</v>
      </c>
      <c r="AL127" s="408">
        <v>31.845742398762798</v>
      </c>
      <c r="AM127" s="408"/>
      <c r="AN127" s="408">
        <v>2.6819255077453805</v>
      </c>
      <c r="AO127" s="408">
        <v>108.68330737188015</v>
      </c>
      <c r="AP127" s="408">
        <v>506.76761947441048</v>
      </c>
      <c r="AQ127" s="408">
        <v>0</v>
      </c>
      <c r="AR127" s="408">
        <v>0</v>
      </c>
      <c r="AS127" s="408">
        <v>0</v>
      </c>
      <c r="AT127" s="408">
        <v>0</v>
      </c>
      <c r="AU127" s="408">
        <v>0</v>
      </c>
      <c r="AV127" s="408">
        <v>0</v>
      </c>
      <c r="AW127" s="408">
        <v>0</v>
      </c>
      <c r="AX127" s="408">
        <v>0</v>
      </c>
      <c r="AY127" s="408">
        <v>0</v>
      </c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0</v>
      </c>
      <c r="BF127" s="408">
        <v>0</v>
      </c>
      <c r="BG127" s="408">
        <v>25.046020896484148</v>
      </c>
      <c r="BH127" s="408">
        <v>0</v>
      </c>
      <c r="BI127" s="408">
        <v>0</v>
      </c>
      <c r="BJ127" s="408">
        <v>0</v>
      </c>
      <c r="BK127" s="408">
        <v>0</v>
      </c>
      <c r="BL127" s="408">
        <v>0</v>
      </c>
      <c r="BM127" s="408"/>
      <c r="BN127" s="408"/>
      <c r="BO127" s="408"/>
      <c r="BP127" s="408"/>
      <c r="BQ127" s="408">
        <v>228.57094979999997</v>
      </c>
      <c r="BR127" s="408"/>
      <c r="BS127" s="408"/>
      <c r="BT127" s="408"/>
      <c r="BU127" s="408"/>
      <c r="BV127" s="408">
        <v>595.51625688669742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3581.4855000000002</v>
      </c>
      <c r="CJ127" s="408">
        <v>-466.80747560000054</v>
      </c>
      <c r="CK127" s="408"/>
      <c r="CL127" s="408"/>
      <c r="CM127" s="408"/>
      <c r="CN127" s="408"/>
      <c r="CO127" s="408">
        <v>-569.45182000000023</v>
      </c>
      <c r="CP127" s="408">
        <v>72.304910000000021</v>
      </c>
      <c r="CQ127" s="408">
        <v>31</v>
      </c>
      <c r="CR127" s="408">
        <v>180.31998840879396</v>
      </c>
      <c r="CS127" s="408">
        <v>10.830059275274195</v>
      </c>
      <c r="CT127" s="408">
        <v>50.498310093914142</v>
      </c>
      <c r="CU127" s="408">
        <v>0</v>
      </c>
      <c r="CV127" s="408">
        <v>0</v>
      </c>
      <c r="CW127" s="408">
        <v>0</v>
      </c>
      <c r="CX127" s="408">
        <v>0</v>
      </c>
      <c r="CY127" s="408">
        <v>0</v>
      </c>
      <c r="CZ127" s="408">
        <v>50.648231768467902</v>
      </c>
      <c r="DA127" s="408">
        <v>0</v>
      </c>
      <c r="DB127" s="408">
        <v>0</v>
      </c>
      <c r="DC127" s="408">
        <v>72.296746357534971</v>
      </c>
      <c r="DD127" s="408">
        <v>0</v>
      </c>
      <c r="DE127" s="408">
        <v>0</v>
      </c>
      <c r="DF127" s="408">
        <v>0</v>
      </c>
      <c r="DG127" s="408">
        <v>3.1741284746881782</v>
      </c>
      <c r="DH127" s="408">
        <v>0</v>
      </c>
      <c r="DI127" s="408">
        <v>-6.0891360952851699</v>
      </c>
      <c r="DJ127" s="408"/>
      <c r="DK127" s="408">
        <v>0</v>
      </c>
      <c r="DL127" s="408">
        <v>0</v>
      </c>
      <c r="DM127" s="408">
        <v>0</v>
      </c>
      <c r="DN127" s="408">
        <v>0</v>
      </c>
      <c r="DO127" s="408">
        <v>-0.96247595837364841</v>
      </c>
      <c r="DP127" s="408">
        <v>-7.5875507426690803E-2</v>
      </c>
      <c r="DQ127" s="408">
        <v>0</v>
      </c>
      <c r="DR127" s="408">
        <v>0</v>
      </c>
      <c r="DS127" s="408"/>
      <c r="DT127" s="408"/>
      <c r="DU127" s="408">
        <v>2725.6914092779475</v>
      </c>
      <c r="DV127" s="408">
        <v>0</v>
      </c>
      <c r="DW127" s="408">
        <v>0</v>
      </c>
      <c r="DX127" s="408">
        <v>0</v>
      </c>
      <c r="DY127" s="408">
        <v>-569.45182000000023</v>
      </c>
      <c r="DZ127" s="408">
        <v>72.304910000000064</v>
      </c>
      <c r="EA127" s="408">
        <v>0</v>
      </c>
      <c r="EB127" s="408">
        <v>0</v>
      </c>
      <c r="EC127" s="408">
        <v>-677.10798078540483</v>
      </c>
      <c r="ED127" s="408">
        <v>0</v>
      </c>
      <c r="EE127" s="408">
        <v>0</v>
      </c>
      <c r="EF127" s="408">
        <v>0</v>
      </c>
      <c r="EG127" s="408">
        <v>0</v>
      </c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>
        <v>0</v>
      </c>
      <c r="EN127" s="408">
        <v>0</v>
      </c>
      <c r="EO127" s="408">
        <v>0</v>
      </c>
      <c r="EP127" s="408">
        <v>45.795102265535199</v>
      </c>
      <c r="EQ127" s="408">
        <v>0</v>
      </c>
      <c r="ER127" s="408">
        <v>0</v>
      </c>
      <c r="ES127" s="408">
        <v>0</v>
      </c>
      <c r="ET127" s="408">
        <v>0</v>
      </c>
      <c r="EU127" s="408">
        <v>0</v>
      </c>
      <c r="EV127" s="408">
        <v>240</v>
      </c>
      <c r="EW127" s="408">
        <v>0</v>
      </c>
      <c r="EX127" s="408">
        <v>0</v>
      </c>
      <c r="EY127" s="408">
        <v>0</v>
      </c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59" customFormat="1">
      <c r="A128" s="408">
        <v>126</v>
      </c>
      <c r="B128" s="408" t="s">
        <v>1036</v>
      </c>
      <c r="C128" s="408" t="s">
        <v>2247</v>
      </c>
      <c r="D128" s="408" t="s">
        <v>597</v>
      </c>
      <c r="E128" s="408" t="s">
        <v>1001</v>
      </c>
      <c r="F128" s="408" t="s">
        <v>2251</v>
      </c>
      <c r="G128" s="408" t="s">
        <v>1322</v>
      </c>
      <c r="H128" s="408" t="s">
        <v>1322</v>
      </c>
      <c r="I128" s="408" t="s">
        <v>2244</v>
      </c>
      <c r="J128" s="408" t="s">
        <v>2236</v>
      </c>
      <c r="K128" s="826">
        <v>44409</v>
      </c>
      <c r="L128" s="408">
        <v>65</v>
      </c>
      <c r="M128" s="408">
        <v>61.1</v>
      </c>
      <c r="N128" s="408">
        <v>21.161999999999999</v>
      </c>
      <c r="O128" s="408">
        <v>19.89228</v>
      </c>
      <c r="P128" s="408">
        <v>21.161999999999999</v>
      </c>
      <c r="Q128" s="408">
        <v>19.89228</v>
      </c>
      <c r="R128" s="408">
        <v>27.19</v>
      </c>
      <c r="S128" s="408">
        <v>85.01</v>
      </c>
      <c r="T128" s="408">
        <v>173.25</v>
      </c>
      <c r="U128" s="408">
        <v>1767.3500000000001</v>
      </c>
      <c r="V128" s="408">
        <v>5465.2981199999995</v>
      </c>
      <c r="W128" s="408">
        <v>7232.6481199999998</v>
      </c>
      <c r="X128" s="408">
        <v>7311.6145399999996</v>
      </c>
      <c r="Y128" s="408">
        <v>0</v>
      </c>
      <c r="Z128" s="408">
        <v>1133.1046751726155</v>
      </c>
      <c r="AA128" s="408">
        <v>0</v>
      </c>
      <c r="AB128" s="408">
        <v>0</v>
      </c>
      <c r="AC128" s="408">
        <v>15.158039872791662</v>
      </c>
      <c r="AD128" s="408">
        <v>14.56226455907756</v>
      </c>
      <c r="AE128" s="408">
        <v>1555.5819658053674</v>
      </c>
      <c r="AF128" s="408">
        <v>3604.7450385263937</v>
      </c>
      <c r="AG128" s="408">
        <v>61.522875973313937</v>
      </c>
      <c r="AH128" s="408">
        <v>0</v>
      </c>
      <c r="AI128" s="408">
        <v>0</v>
      </c>
      <c r="AJ128" s="408">
        <v>0</v>
      </c>
      <c r="AK128" s="408">
        <v>0</v>
      </c>
      <c r="AL128" s="408">
        <v>201.23009872876031</v>
      </c>
      <c r="AM128" s="408"/>
      <c r="AN128" s="408">
        <v>16.946822214066209</v>
      </c>
      <c r="AO128" s="408">
        <v>32.167514020880162</v>
      </c>
      <c r="AP128" s="408">
        <v>150.02577479574686</v>
      </c>
      <c r="AQ128" s="408">
        <v>0</v>
      </c>
      <c r="AR128" s="408">
        <v>0</v>
      </c>
      <c r="AS128" s="408">
        <v>0</v>
      </c>
      <c r="AT128" s="408">
        <v>0</v>
      </c>
      <c r="AU128" s="408">
        <v>0</v>
      </c>
      <c r="AV128" s="408">
        <v>0</v>
      </c>
      <c r="AW128" s="408">
        <v>0</v>
      </c>
      <c r="AX128" s="408">
        <v>0</v>
      </c>
      <c r="AY128" s="408">
        <v>0</v>
      </c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0</v>
      </c>
      <c r="BF128" s="408">
        <v>0</v>
      </c>
      <c r="BG128" s="408">
        <v>158.26333060955434</v>
      </c>
      <c r="BH128" s="408">
        <v>0</v>
      </c>
      <c r="BI128" s="408">
        <v>0</v>
      </c>
      <c r="BJ128" s="408">
        <v>0</v>
      </c>
      <c r="BK128" s="408">
        <v>0</v>
      </c>
      <c r="BL128" s="408">
        <v>0</v>
      </c>
      <c r="BM128" s="408"/>
      <c r="BN128" s="408"/>
      <c r="BO128" s="408"/>
      <c r="BP128" s="408"/>
      <c r="BQ128" s="408">
        <v>438.69687239999985</v>
      </c>
      <c r="BR128" s="408"/>
      <c r="BS128" s="408"/>
      <c r="BT128" s="408"/>
      <c r="BU128" s="408"/>
      <c r="BV128" s="408">
        <v>3763.0083691359482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6872.2823000000008</v>
      </c>
      <c r="CJ128" s="408">
        <v>73.56306720000066</v>
      </c>
      <c r="CK128" s="408"/>
      <c r="CL128" s="408"/>
      <c r="CM128" s="408"/>
      <c r="CN128" s="408"/>
      <c r="CO128" s="408">
        <v>-377.92116000000016</v>
      </c>
      <c r="CP128" s="408">
        <v>456.88758000000007</v>
      </c>
      <c r="CQ128" s="408">
        <v>31</v>
      </c>
      <c r="CR128" s="408">
        <v>465.00458869630438</v>
      </c>
      <c r="CS128" s="408">
        <v>3.2054240159650789</v>
      </c>
      <c r="CT128" s="408">
        <v>14.94974778691028</v>
      </c>
      <c r="CU128" s="408">
        <v>0</v>
      </c>
      <c r="CV128" s="408">
        <v>0</v>
      </c>
      <c r="CW128" s="408">
        <v>0</v>
      </c>
      <c r="CX128" s="408">
        <v>0</v>
      </c>
      <c r="CY128" s="408">
        <v>0</v>
      </c>
      <c r="CZ128" s="408">
        <v>14.994307478133946</v>
      </c>
      <c r="DA128" s="408">
        <v>0</v>
      </c>
      <c r="DB128" s="408">
        <v>0</v>
      </c>
      <c r="DC128" s="408">
        <v>456.83599475012079</v>
      </c>
      <c r="DD128" s="408">
        <v>0</v>
      </c>
      <c r="DE128" s="408">
        <v>0</v>
      </c>
      <c r="DF128" s="408">
        <v>0</v>
      </c>
      <c r="DG128" s="408">
        <v>20.057004115064558</v>
      </c>
      <c r="DH128" s="408">
        <v>0</v>
      </c>
      <c r="DI128" s="408">
        <v>-38.476649163459115</v>
      </c>
      <c r="DJ128" s="408"/>
      <c r="DK128" s="408">
        <v>0</v>
      </c>
      <c r="DL128" s="408">
        <v>0</v>
      </c>
      <c r="DM128" s="408">
        <v>0</v>
      </c>
      <c r="DN128" s="408">
        <v>0</v>
      </c>
      <c r="DO128" s="408">
        <v>-6.0817904541962093</v>
      </c>
      <c r="DP128" s="408">
        <v>-0.47944983223757376</v>
      </c>
      <c r="DQ128" s="408">
        <v>0</v>
      </c>
      <c r="DR128" s="408">
        <v>0</v>
      </c>
      <c r="DS128" s="408"/>
      <c r="DT128" s="408"/>
      <c r="DU128" s="408">
        <v>1555.5819658053674</v>
      </c>
      <c r="DV128" s="408">
        <v>0</v>
      </c>
      <c r="DW128" s="408">
        <v>0</v>
      </c>
      <c r="DX128" s="408">
        <v>0</v>
      </c>
      <c r="DY128" s="408">
        <v>-377.92115999999987</v>
      </c>
      <c r="DZ128" s="408">
        <v>456.88757999999962</v>
      </c>
      <c r="EA128" s="408">
        <v>0</v>
      </c>
      <c r="EB128" s="408">
        <v>0</v>
      </c>
      <c r="EC128" s="408">
        <v>-386.43294696800945</v>
      </c>
      <c r="ED128" s="408">
        <v>0</v>
      </c>
      <c r="EE128" s="408">
        <v>0</v>
      </c>
      <c r="EF128" s="408">
        <v>0</v>
      </c>
      <c r="EG128" s="408">
        <v>0</v>
      </c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>
        <v>0</v>
      </c>
      <c r="EN128" s="408">
        <v>0</v>
      </c>
      <c r="EO128" s="408">
        <v>0</v>
      </c>
      <c r="EP128" s="408">
        <v>289.37472503531075</v>
      </c>
      <c r="EQ128" s="408">
        <v>0</v>
      </c>
      <c r="ER128" s="408">
        <v>0</v>
      </c>
      <c r="ES128" s="408">
        <v>0</v>
      </c>
      <c r="ET128" s="408">
        <v>0</v>
      </c>
      <c r="EU128" s="408">
        <v>0</v>
      </c>
      <c r="EV128" s="408">
        <v>240</v>
      </c>
      <c r="EW128" s="408">
        <v>0</v>
      </c>
      <c r="EX128" s="408">
        <v>0</v>
      </c>
      <c r="EY128" s="408">
        <v>0</v>
      </c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59" customFormat="1">
      <c r="A129" s="408">
        <v>127</v>
      </c>
      <c r="B129" s="408" t="s">
        <v>1036</v>
      </c>
      <c r="C129" s="408" t="s">
        <v>2247</v>
      </c>
      <c r="D129" s="408" t="s">
        <v>597</v>
      </c>
      <c r="E129" s="408" t="s">
        <v>1001</v>
      </c>
      <c r="F129" s="408" t="s">
        <v>2251</v>
      </c>
      <c r="G129" s="408" t="s">
        <v>1322</v>
      </c>
      <c r="H129" s="408" t="s">
        <v>1322</v>
      </c>
      <c r="I129" s="408" t="s">
        <v>1322</v>
      </c>
      <c r="J129" s="408" t="s">
        <v>2236</v>
      </c>
      <c r="K129" s="826">
        <v>44409</v>
      </c>
      <c r="L129" s="408">
        <v>0</v>
      </c>
      <c r="M129" s="408">
        <v>0</v>
      </c>
      <c r="N129" s="408">
        <v>0</v>
      </c>
      <c r="O129" s="408">
        <v>0</v>
      </c>
      <c r="P129" s="408">
        <v>0</v>
      </c>
      <c r="Q129" s="408">
        <v>0</v>
      </c>
      <c r="R129" s="408"/>
      <c r="S129" s="408"/>
      <c r="T129" s="408"/>
      <c r="U129" s="408"/>
      <c r="V129" s="408"/>
      <c r="W129" s="408"/>
      <c r="X129" s="408"/>
      <c r="Y129" s="408"/>
      <c r="Z129" s="408"/>
      <c r="AA129" s="408">
        <v>0</v>
      </c>
      <c r="AB129" s="408"/>
      <c r="AC129" s="408"/>
      <c r="AD129" s="408"/>
      <c r="AE129" s="408"/>
      <c r="AF129" s="408"/>
      <c r="AG129" s="408"/>
      <c r="AH129" s="408"/>
      <c r="AI129" s="408"/>
      <c r="AJ129" s="408"/>
      <c r="AK129" s="408"/>
      <c r="AL129" s="408"/>
      <c r="AM129" s="408"/>
      <c r="AN129" s="408"/>
      <c r="AO129" s="408"/>
      <c r="AP129" s="408"/>
      <c r="AQ129" s="408"/>
      <c r="AR129" s="408"/>
      <c r="AS129" s="408"/>
      <c r="AT129" s="408"/>
      <c r="AU129" s="408"/>
      <c r="AV129" s="408"/>
      <c r="AW129" s="408"/>
      <c r="AX129" s="408"/>
      <c r="AY129" s="408"/>
      <c r="AZ129" s="408">
        <v>0</v>
      </c>
      <c r="BA129" s="408"/>
      <c r="BB129" s="408"/>
      <c r="BC129" s="408"/>
      <c r="BD129" s="408"/>
      <c r="BE129" s="408"/>
      <c r="BF129" s="408"/>
      <c r="BG129" s="408"/>
      <c r="BH129" s="408"/>
      <c r="BI129" s="408">
        <v>9</v>
      </c>
      <c r="BJ129" s="408">
        <v>77.2</v>
      </c>
      <c r="BK129" s="408">
        <v>5498.25</v>
      </c>
      <c r="BL129" s="408">
        <v>1</v>
      </c>
      <c r="BM129" s="408"/>
      <c r="BN129" s="408"/>
      <c r="BO129" s="408"/>
      <c r="BP129" s="408"/>
      <c r="BQ129" s="408"/>
      <c r="BR129" s="408"/>
      <c r="BS129" s="408"/>
      <c r="BT129" s="408"/>
      <c r="BU129" s="408"/>
      <c r="BV129" s="408"/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/>
      <c r="CJ129" s="408">
        <v>-0.03</v>
      </c>
      <c r="CK129" s="408"/>
      <c r="CL129" s="408"/>
      <c r="CM129" s="408"/>
      <c r="CN129" s="408"/>
      <c r="CO129" s="408">
        <v>0</v>
      </c>
      <c r="CP129" s="408">
        <v>0</v>
      </c>
      <c r="CQ129" s="408">
        <v>31</v>
      </c>
      <c r="CR129" s="408"/>
      <c r="CS129" s="408"/>
      <c r="CT129" s="408"/>
      <c r="CU129" s="408"/>
      <c r="CV129" s="408"/>
      <c r="CW129" s="408"/>
      <c r="CX129" s="408"/>
      <c r="CY129" s="408"/>
      <c r="CZ129" s="408"/>
      <c r="DA129" s="408"/>
      <c r="DB129" s="408"/>
      <c r="DC129" s="408"/>
      <c r="DD129" s="408"/>
      <c r="DE129" s="408"/>
      <c r="DF129" s="408"/>
      <c r="DG129" s="408"/>
      <c r="DH129" s="408"/>
      <c r="DI129" s="408"/>
      <c r="DJ129" s="408"/>
      <c r="DK129" s="408">
        <v>0</v>
      </c>
      <c r="DL129" s="408"/>
      <c r="DM129" s="408"/>
      <c r="DN129" s="408"/>
      <c r="DO129" s="408"/>
      <c r="DP129" s="408"/>
      <c r="DQ129" s="408"/>
      <c r="DR129" s="408"/>
      <c r="DS129" s="408"/>
      <c r="DT129" s="408"/>
      <c r="DU129" s="408"/>
      <c r="DV129" s="408"/>
      <c r="DW129" s="408"/>
      <c r="DX129" s="408"/>
      <c r="DY129" s="408"/>
      <c r="DZ129" s="408"/>
      <c r="EA129" s="408"/>
      <c r="EB129" s="408"/>
      <c r="EC129" s="408"/>
      <c r="ED129" s="408"/>
      <c r="EE129" s="408"/>
      <c r="EF129" s="408"/>
      <c r="EG129" s="408"/>
      <c r="EH129" s="408"/>
      <c r="EI129" s="408"/>
      <c r="EJ129" s="408"/>
      <c r="EK129" s="408"/>
      <c r="EL129" s="408"/>
      <c r="EM129" s="408"/>
      <c r="EN129" s="408"/>
      <c r="EO129" s="408"/>
      <c r="EP129" s="408"/>
      <c r="EQ129" s="408"/>
      <c r="ER129" s="408"/>
      <c r="ES129" s="408"/>
      <c r="ET129" s="408"/>
      <c r="EU129" s="408"/>
      <c r="EV129" s="408">
        <v>240</v>
      </c>
      <c r="EW129" s="408"/>
      <c r="EX129" s="408"/>
      <c r="EY129" s="408"/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59" customFormat="1">
      <c r="A130" s="408">
        <v>128</v>
      </c>
      <c r="B130" s="408" t="s">
        <v>1036</v>
      </c>
      <c r="C130" s="408" t="s">
        <v>2235</v>
      </c>
      <c r="D130" s="408" t="s">
        <v>1958</v>
      </c>
      <c r="E130" s="408" t="s">
        <v>2252</v>
      </c>
      <c r="F130" s="408" t="s">
        <v>1322</v>
      </c>
      <c r="G130" s="408" t="s">
        <v>1322</v>
      </c>
      <c r="H130" s="408" t="s">
        <v>1322</v>
      </c>
      <c r="I130" s="408" t="s">
        <v>1322</v>
      </c>
      <c r="J130" s="408" t="s">
        <v>2236</v>
      </c>
      <c r="K130" s="826">
        <v>44409</v>
      </c>
      <c r="L130" s="408">
        <v>0</v>
      </c>
      <c r="M130" s="408">
        <v>0</v>
      </c>
      <c r="N130" s="408">
        <v>7.99</v>
      </c>
      <c r="O130" s="408">
        <v>7.99</v>
      </c>
      <c r="P130" s="408">
        <v>7.99</v>
      </c>
      <c r="Q130" s="408">
        <v>7.99</v>
      </c>
      <c r="R130" s="408"/>
      <c r="S130" s="408">
        <v>368.24</v>
      </c>
      <c r="T130" s="408">
        <v>173.25</v>
      </c>
      <c r="U130" s="408"/>
      <c r="V130" s="408">
        <v>4326.5051000000003</v>
      </c>
      <c r="W130" s="408">
        <v>4326.5051000000003</v>
      </c>
      <c r="X130" s="408">
        <v>4066.0311000000002</v>
      </c>
      <c r="Y130" s="408">
        <v>0</v>
      </c>
      <c r="Z130" s="408">
        <v>491.74601376296948</v>
      </c>
      <c r="AA130" s="408">
        <v>0</v>
      </c>
      <c r="AB130" s="408">
        <v>0</v>
      </c>
      <c r="AC130" s="408">
        <v>20.450703545397751</v>
      </c>
      <c r="AD130" s="408">
        <v>19.648540281402855</v>
      </c>
      <c r="AE130" s="408">
        <v>1881.9414752918069</v>
      </c>
      <c r="AF130" s="408">
        <v>1361.020359976651</v>
      </c>
      <c r="AG130" s="408">
        <v>23.228795909024591</v>
      </c>
      <c r="AH130" s="408">
        <v>0</v>
      </c>
      <c r="AI130" s="408">
        <v>0</v>
      </c>
      <c r="AJ130" s="408">
        <v>0</v>
      </c>
      <c r="AK130" s="408">
        <v>0</v>
      </c>
      <c r="AL130" s="408">
        <v>75.977151915830021</v>
      </c>
      <c r="AM130" s="408"/>
      <c r="AN130" s="408">
        <v>9.6507751477581323</v>
      </c>
      <c r="AO130" s="408">
        <v>43.412830426487744</v>
      </c>
      <c r="AP130" s="408">
        <v>202.42762371564731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0</v>
      </c>
      <c r="BF130" s="408">
        <v>0</v>
      </c>
      <c r="BG130" s="408">
        <v>71.428936682037488</v>
      </c>
      <c r="BH130" s="408">
        <v>0</v>
      </c>
      <c r="BI130" s="408">
        <v>3.31</v>
      </c>
      <c r="BJ130" s="408">
        <v>28.6</v>
      </c>
      <c r="BK130" s="408">
        <v>2042.35</v>
      </c>
      <c r="BL130" s="408">
        <v>5</v>
      </c>
      <c r="BM130" s="408"/>
      <c r="BN130" s="408"/>
      <c r="BO130" s="408"/>
      <c r="BP130" s="408"/>
      <c r="BQ130" s="408"/>
      <c r="BR130" s="408"/>
      <c r="BS130" s="408"/>
      <c r="BT130" s="408"/>
      <c r="BU130" s="408"/>
      <c r="BV130" s="408">
        <v>1432.4492966586886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4066.0311000000002</v>
      </c>
      <c r="CJ130" s="408">
        <v>-260.50400000000081</v>
      </c>
      <c r="CK130" s="408"/>
      <c r="CL130" s="408"/>
      <c r="CM130" s="408"/>
      <c r="CN130" s="408"/>
      <c r="CO130" s="408">
        <v>-432.97809999999998</v>
      </c>
      <c r="CP130" s="408">
        <v>172.50410000000002</v>
      </c>
      <c r="CQ130" s="408">
        <v>31</v>
      </c>
      <c r="CR130" s="408">
        <v>206.9984711024149</v>
      </c>
      <c r="CS130" s="408">
        <v>4.3259957595652665</v>
      </c>
      <c r="CT130" s="408">
        <v>20.171480025833034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20.23148620055812</v>
      </c>
      <c r="DA130" s="408">
        <v>0</v>
      </c>
      <c r="DB130" s="408">
        <v>0</v>
      </c>
      <c r="DC130" s="408">
        <v>172.48462328955043</v>
      </c>
      <c r="DD130" s="408">
        <v>0</v>
      </c>
      <c r="DE130" s="408">
        <v>0</v>
      </c>
      <c r="DF130" s="408">
        <v>0</v>
      </c>
      <c r="DG130" s="408">
        <v>9.0523210363922004</v>
      </c>
      <c r="DH130" s="408">
        <v>0</v>
      </c>
      <c r="DI130" s="408">
        <v>-16.698138542412551</v>
      </c>
      <c r="DJ130" s="408"/>
      <c r="DK130" s="408">
        <v>0</v>
      </c>
      <c r="DL130" s="408">
        <v>0</v>
      </c>
      <c r="DM130" s="408">
        <v>0</v>
      </c>
      <c r="DN130" s="408">
        <v>0</v>
      </c>
      <c r="DO130" s="408">
        <v>-2.2962624387594559</v>
      </c>
      <c r="DP130" s="408">
        <v>-0.27303422831181123</v>
      </c>
      <c r="DQ130" s="408">
        <v>0</v>
      </c>
      <c r="DR130" s="408">
        <v>0</v>
      </c>
      <c r="DS130" s="408"/>
      <c r="DT130" s="408"/>
      <c r="DU130" s="408"/>
      <c r="DV130" s="408">
        <v>1881.9414752918069</v>
      </c>
      <c r="DW130" s="408">
        <v>0</v>
      </c>
      <c r="DX130" s="408">
        <v>0</v>
      </c>
      <c r="DY130" s="408">
        <v>-432.97809999999981</v>
      </c>
      <c r="DZ130" s="408">
        <v>172.50410000000011</v>
      </c>
      <c r="EA130" s="408">
        <v>0</v>
      </c>
      <c r="EB130" s="408">
        <v>0</v>
      </c>
      <c r="EC130" s="408">
        <v>-467.50618501920735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125.58316158936631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240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59" customFormat="1">
      <c r="A131" s="408">
        <v>129</v>
      </c>
      <c r="B131" s="408" t="s">
        <v>2238</v>
      </c>
      <c r="C131" s="408" t="s">
        <v>2235</v>
      </c>
      <c r="D131" s="408" t="s">
        <v>1958</v>
      </c>
      <c r="E131" s="408" t="s">
        <v>2252</v>
      </c>
      <c r="F131" s="408" t="s">
        <v>1322</v>
      </c>
      <c r="G131" s="408" t="s">
        <v>1322</v>
      </c>
      <c r="H131" s="408" t="s">
        <v>1322</v>
      </c>
      <c r="I131" s="408" t="s">
        <v>1322</v>
      </c>
      <c r="J131" s="408" t="s">
        <v>2236</v>
      </c>
      <c r="K131" s="826">
        <v>44409</v>
      </c>
      <c r="L131" s="408">
        <v>0</v>
      </c>
      <c r="M131" s="408">
        <v>0</v>
      </c>
      <c r="N131" s="408">
        <v>2.0230000000000001</v>
      </c>
      <c r="O131" s="408">
        <v>2.0230000000000001</v>
      </c>
      <c r="P131" s="408">
        <v>2.0230000000000001</v>
      </c>
      <c r="Q131" s="408">
        <v>2.0230000000000001</v>
      </c>
      <c r="R131" s="408"/>
      <c r="S131" s="408">
        <v>368.24</v>
      </c>
      <c r="T131" s="408">
        <v>173.25</v>
      </c>
      <c r="U131" s="408"/>
      <c r="V131" s="408">
        <v>1095.4342700000002</v>
      </c>
      <c r="W131" s="408">
        <v>1095.4342700000002</v>
      </c>
      <c r="X131" s="408">
        <v>1029.4844700000001</v>
      </c>
      <c r="Y131" s="408">
        <v>0</v>
      </c>
      <c r="Z131" s="408">
        <v>124.50590561232633</v>
      </c>
      <c r="AA131" s="408">
        <v>0</v>
      </c>
      <c r="AB131" s="408">
        <v>0</v>
      </c>
      <c r="AC131" s="408">
        <v>5.1779440891538995</v>
      </c>
      <c r="AD131" s="408">
        <v>4.9748431776317865</v>
      </c>
      <c r="AE131" s="408">
        <v>476.49156502069155</v>
      </c>
      <c r="AF131" s="408">
        <v>344.59877199408822</v>
      </c>
      <c r="AG131" s="408">
        <v>5.8813334322849498</v>
      </c>
      <c r="AH131" s="408">
        <v>0</v>
      </c>
      <c r="AI131" s="408">
        <v>0</v>
      </c>
      <c r="AJ131" s="408">
        <v>0</v>
      </c>
      <c r="AK131" s="408">
        <v>0</v>
      </c>
      <c r="AL131" s="408">
        <v>19.236768251029304</v>
      </c>
      <c r="AM131" s="408"/>
      <c r="AN131" s="408">
        <v>2.4434941331557827</v>
      </c>
      <c r="AO131" s="408">
        <v>10.99175919308945</v>
      </c>
      <c r="AP131" s="408">
        <v>51.252951536514963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0</v>
      </c>
      <c r="BF131" s="408">
        <v>0</v>
      </c>
      <c r="BG131" s="408">
        <v>18.08519886204779</v>
      </c>
      <c r="BH131" s="408">
        <v>0</v>
      </c>
      <c r="BI131" s="408">
        <v>0.85</v>
      </c>
      <c r="BJ131" s="408">
        <v>7.36</v>
      </c>
      <c r="BK131" s="408">
        <v>633.66</v>
      </c>
      <c r="BL131" s="408">
        <v>1</v>
      </c>
      <c r="BM131" s="408"/>
      <c r="BN131" s="408"/>
      <c r="BO131" s="408"/>
      <c r="BP131" s="408"/>
      <c r="BQ131" s="408"/>
      <c r="BR131" s="408"/>
      <c r="BS131" s="408"/>
      <c r="BT131" s="408"/>
      <c r="BU131" s="408"/>
      <c r="BV131" s="408">
        <v>362.683970856136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1027.9577999999999</v>
      </c>
      <c r="CJ131" s="408">
        <v>-67.506470000000263</v>
      </c>
      <c r="CK131" s="408"/>
      <c r="CL131" s="408"/>
      <c r="CM131" s="408"/>
      <c r="CN131" s="408"/>
      <c r="CO131" s="408">
        <v>-109.62637000000001</v>
      </c>
      <c r="CP131" s="408">
        <v>43.676570000000012</v>
      </c>
      <c r="CQ131" s="408">
        <v>31</v>
      </c>
      <c r="CR131" s="408">
        <v>52.410251194015473</v>
      </c>
      <c r="CS131" s="408">
        <v>1.0953053093367373</v>
      </c>
      <c r="CT131" s="408">
        <v>5.1072470703704909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5.1224401231200343</v>
      </c>
      <c r="DA131" s="408">
        <v>0</v>
      </c>
      <c r="DB131" s="408">
        <v>0</v>
      </c>
      <c r="DC131" s="408">
        <v>43.671638662673388</v>
      </c>
      <c r="DD131" s="408">
        <v>0</v>
      </c>
      <c r="DE131" s="408">
        <v>0</v>
      </c>
      <c r="DF131" s="408">
        <v>0</v>
      </c>
      <c r="DG131" s="408">
        <v>2.29197064538441</v>
      </c>
      <c r="DH131" s="408">
        <v>0</v>
      </c>
      <c r="DI131" s="408">
        <v>-4.2278265671214825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-0.58139410683484272</v>
      </c>
      <c r="DP131" s="408">
        <v>-6.9129942912990572E-2</v>
      </c>
      <c r="DQ131" s="408">
        <v>0</v>
      </c>
      <c r="DR131" s="408">
        <v>0</v>
      </c>
      <c r="DS131" s="408"/>
      <c r="DT131" s="408"/>
      <c r="DU131" s="408"/>
      <c r="DV131" s="408">
        <v>476.49156502069155</v>
      </c>
      <c r="DW131" s="408">
        <v>0</v>
      </c>
      <c r="DX131" s="408">
        <v>0</v>
      </c>
      <c r="DY131" s="408">
        <v>-109.62637000000007</v>
      </c>
      <c r="DZ131" s="408">
        <v>43.676570000000027</v>
      </c>
      <c r="EA131" s="408">
        <v>0</v>
      </c>
      <c r="EB131" s="408">
        <v>0</v>
      </c>
      <c r="EC131" s="408">
        <v>-118.36858727082057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31.796587721562961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240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59" customFormat="1">
      <c r="A132" s="408">
        <v>130</v>
      </c>
      <c r="B132" s="408" t="s">
        <v>1036</v>
      </c>
      <c r="C132" s="408" t="s">
        <v>2235</v>
      </c>
      <c r="D132" s="408" t="s">
        <v>2245</v>
      </c>
      <c r="E132" s="408" t="s">
        <v>974</v>
      </c>
      <c r="F132" s="408" t="s">
        <v>2253</v>
      </c>
      <c r="G132" s="408" t="s">
        <v>2254</v>
      </c>
      <c r="H132" s="408" t="s">
        <v>1322</v>
      </c>
      <c r="I132" s="408" t="s">
        <v>1322</v>
      </c>
      <c r="J132" s="408" t="s">
        <v>2236</v>
      </c>
      <c r="K132" s="826">
        <v>44409</v>
      </c>
      <c r="L132" s="408">
        <v>0</v>
      </c>
      <c r="M132" s="408">
        <v>0</v>
      </c>
      <c r="N132" s="408">
        <v>0</v>
      </c>
      <c r="O132" s="408">
        <v>0</v>
      </c>
      <c r="P132" s="408">
        <v>0</v>
      </c>
      <c r="Q132" s="408">
        <v>0</v>
      </c>
      <c r="R132" s="408"/>
      <c r="S132" s="408"/>
      <c r="T132" s="408"/>
      <c r="U132" s="408"/>
      <c r="V132" s="408"/>
      <c r="W132" s="408"/>
      <c r="X132" s="408"/>
      <c r="Y132" s="408"/>
      <c r="Z132" s="408"/>
      <c r="AA132" s="408">
        <v>0</v>
      </c>
      <c r="AB132" s="408"/>
      <c r="AC132" s="408"/>
      <c r="AD132" s="408"/>
      <c r="AE132" s="408"/>
      <c r="AF132" s="408"/>
      <c r="AG132" s="408"/>
      <c r="AH132" s="408"/>
      <c r="AI132" s="408"/>
      <c r="AJ132" s="408"/>
      <c r="AK132" s="408"/>
      <c r="AL132" s="408"/>
      <c r="AM132" s="408"/>
      <c r="AN132" s="408"/>
      <c r="AO132" s="408"/>
      <c r="AP132" s="408"/>
      <c r="AQ132" s="408"/>
      <c r="AR132" s="408"/>
      <c r="AS132" s="408"/>
      <c r="AT132" s="408"/>
      <c r="AU132" s="408"/>
      <c r="AV132" s="408"/>
      <c r="AW132" s="408"/>
      <c r="AX132" s="408"/>
      <c r="AY132" s="408"/>
      <c r="AZ132" s="408">
        <v>0</v>
      </c>
      <c r="BA132" s="408"/>
      <c r="BB132" s="408"/>
      <c r="BC132" s="408"/>
      <c r="BD132" s="408"/>
      <c r="BE132" s="408"/>
      <c r="BF132" s="408"/>
      <c r="BG132" s="408"/>
      <c r="BH132" s="408"/>
      <c r="BI132" s="408">
        <v>0.27</v>
      </c>
      <c r="BJ132" s="408">
        <v>2.4300000000000002</v>
      </c>
      <c r="BK132" s="408">
        <v>32.25</v>
      </c>
      <c r="BL132" s="408">
        <v>4</v>
      </c>
      <c r="BM132" s="408"/>
      <c r="BN132" s="408"/>
      <c r="BO132" s="408"/>
      <c r="BP132" s="408"/>
      <c r="BQ132" s="408"/>
      <c r="BR132" s="408"/>
      <c r="BS132" s="408"/>
      <c r="BT132" s="408"/>
      <c r="BU132" s="408"/>
      <c r="BV132" s="408"/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/>
      <c r="CJ132" s="408">
        <v>-0.03</v>
      </c>
      <c r="CK132" s="408"/>
      <c r="CL132" s="408"/>
      <c r="CM132" s="408"/>
      <c r="CN132" s="408"/>
      <c r="CO132" s="408">
        <v>0</v>
      </c>
      <c r="CP132" s="408">
        <v>0</v>
      </c>
      <c r="CQ132" s="408">
        <v>31</v>
      </c>
      <c r="CR132" s="408"/>
      <c r="CS132" s="408"/>
      <c r="CT132" s="408"/>
      <c r="CU132" s="408"/>
      <c r="CV132" s="408"/>
      <c r="CW132" s="408"/>
      <c r="CX132" s="408"/>
      <c r="CY132" s="408"/>
      <c r="CZ132" s="408"/>
      <c r="DA132" s="408"/>
      <c r="DB132" s="408"/>
      <c r="DC132" s="408"/>
      <c r="DD132" s="408"/>
      <c r="DE132" s="408"/>
      <c r="DF132" s="408"/>
      <c r="DG132" s="408"/>
      <c r="DH132" s="408"/>
      <c r="DI132" s="408"/>
      <c r="DJ132" s="408"/>
      <c r="DK132" s="408">
        <v>0</v>
      </c>
      <c r="DL132" s="408"/>
      <c r="DM132" s="408"/>
      <c r="DN132" s="408"/>
      <c r="DO132" s="408"/>
      <c r="DP132" s="408"/>
      <c r="DQ132" s="408"/>
      <c r="DR132" s="408"/>
      <c r="DS132" s="408"/>
      <c r="DT132" s="408"/>
      <c r="DU132" s="408"/>
      <c r="DV132" s="408"/>
      <c r="DW132" s="408"/>
      <c r="DX132" s="408"/>
      <c r="DY132" s="408"/>
      <c r="DZ132" s="408"/>
      <c r="EA132" s="408"/>
      <c r="EB132" s="408"/>
      <c r="EC132" s="408"/>
      <c r="ED132" s="408"/>
      <c r="EE132" s="408"/>
      <c r="EF132" s="408"/>
      <c r="EG132" s="408"/>
      <c r="EH132" s="408"/>
      <c r="EI132" s="408"/>
      <c r="EJ132" s="408"/>
      <c r="EK132" s="408"/>
      <c r="EL132" s="408"/>
      <c r="EM132" s="408"/>
      <c r="EN132" s="408"/>
      <c r="EO132" s="408"/>
      <c r="EP132" s="408"/>
      <c r="EQ132" s="408"/>
      <c r="ER132" s="408"/>
      <c r="ES132" s="408"/>
      <c r="ET132" s="408"/>
      <c r="EU132" s="408"/>
      <c r="EV132" s="408">
        <v>240</v>
      </c>
      <c r="EW132" s="408"/>
      <c r="EX132" s="408"/>
      <c r="EY132" s="408"/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131</v>
      </c>
      <c r="B133" s="408" t="s">
        <v>1036</v>
      </c>
      <c r="C133" s="408" t="s">
        <v>2235</v>
      </c>
      <c r="D133" s="408" t="s">
        <v>2245</v>
      </c>
      <c r="E133" s="408" t="s">
        <v>974</v>
      </c>
      <c r="F133" s="408" t="s">
        <v>2253</v>
      </c>
      <c r="G133" s="408" t="s">
        <v>2254</v>
      </c>
      <c r="H133" s="408" t="s">
        <v>1322</v>
      </c>
      <c r="I133" s="408" t="s">
        <v>1322</v>
      </c>
      <c r="J133" s="408" t="s">
        <v>2236</v>
      </c>
      <c r="K133" s="826">
        <v>44409</v>
      </c>
      <c r="L133" s="408">
        <v>0</v>
      </c>
      <c r="M133" s="408">
        <v>0</v>
      </c>
      <c r="N133" s="408">
        <v>0.68100000000000005</v>
      </c>
      <c r="O133" s="408">
        <v>0.68100000000000005</v>
      </c>
      <c r="P133" s="408">
        <v>0.68100000000000005</v>
      </c>
      <c r="Q133" s="408">
        <v>0.68100000000000005</v>
      </c>
      <c r="R133" s="408"/>
      <c r="S133" s="408">
        <v>368.24</v>
      </c>
      <c r="T133" s="408">
        <v>173.25</v>
      </c>
      <c r="U133" s="408"/>
      <c r="V133" s="408">
        <v>368.75469000000004</v>
      </c>
      <c r="W133" s="408">
        <v>368.75469000000004</v>
      </c>
      <c r="X133" s="408">
        <v>346.55409000000003</v>
      </c>
      <c r="Y133" s="408">
        <v>0</v>
      </c>
      <c r="Z133" s="408">
        <v>41.912269758771245</v>
      </c>
      <c r="AA133" s="408">
        <v>0</v>
      </c>
      <c r="AB133" s="408">
        <v>0</v>
      </c>
      <c r="AC133" s="408">
        <v>1.7430449454838386</v>
      </c>
      <c r="AD133" s="408">
        <v>1.6746753356239479</v>
      </c>
      <c r="AE133" s="408">
        <v>160.40076904552197</v>
      </c>
      <c r="AF133" s="408">
        <v>116.00186046859817</v>
      </c>
      <c r="AG133" s="408">
        <v>1.9798260342985916</v>
      </c>
      <c r="AH133" s="408">
        <v>0</v>
      </c>
      <c r="AI133" s="408">
        <v>0</v>
      </c>
      <c r="AJ133" s="408">
        <v>0</v>
      </c>
      <c r="AK133" s="408">
        <v>0</v>
      </c>
      <c r="AL133" s="408">
        <v>6.475649618858605</v>
      </c>
      <c r="AM133" s="408"/>
      <c r="AN133" s="408">
        <v>0.82255042248101229</v>
      </c>
      <c r="AO133" s="408">
        <v>3.7001423680147876</v>
      </c>
      <c r="AP133" s="408">
        <v>17.253217991283584</v>
      </c>
      <c r="AQ133" s="408">
        <v>0</v>
      </c>
      <c r="AR133" s="408">
        <v>0</v>
      </c>
      <c r="AS133" s="408">
        <v>0</v>
      </c>
      <c r="AT133" s="408">
        <v>0</v>
      </c>
      <c r="AU133" s="408">
        <v>0</v>
      </c>
      <c r="AV133" s="408">
        <v>0</v>
      </c>
      <c r="AW133" s="408">
        <v>0</v>
      </c>
      <c r="AX133" s="408">
        <v>0</v>
      </c>
      <c r="AY133" s="408">
        <v>0</v>
      </c>
      <c r="AZ133" s="408">
        <v>0</v>
      </c>
      <c r="BA133" s="408"/>
      <c r="BB133" s="408">
        <v>0</v>
      </c>
      <c r="BC133" s="408">
        <v>0</v>
      </c>
      <c r="BD133" s="408">
        <v>0</v>
      </c>
      <c r="BE133" s="408">
        <v>0</v>
      </c>
      <c r="BF133" s="408">
        <v>0</v>
      </c>
      <c r="BG133" s="408">
        <v>6.087998232849503</v>
      </c>
      <c r="BH133" s="408">
        <v>0</v>
      </c>
      <c r="BI133" s="408">
        <v>0</v>
      </c>
      <c r="BJ133" s="408">
        <v>0</v>
      </c>
      <c r="BK133" s="408">
        <v>0</v>
      </c>
      <c r="BL133" s="408">
        <v>0</v>
      </c>
      <c r="BM133" s="408"/>
      <c r="BN133" s="408"/>
      <c r="BO133" s="408"/>
      <c r="BP133" s="408"/>
      <c r="BQ133" s="408"/>
      <c r="BR133" s="408">
        <v>41.581860000000006</v>
      </c>
      <c r="BS133" s="408"/>
      <c r="BT133" s="408"/>
      <c r="BU133" s="408"/>
      <c r="BV133" s="408">
        <v>122.08985870144767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304.52440000000001</v>
      </c>
      <c r="CJ133" s="408">
        <v>-20.008910000000014</v>
      </c>
      <c r="CK133" s="408"/>
      <c r="CL133" s="408"/>
      <c r="CM133" s="408"/>
      <c r="CN133" s="408"/>
      <c r="CO133" s="408">
        <v>-36.903390000000002</v>
      </c>
      <c r="CP133" s="408">
        <v>14.702790000000004</v>
      </c>
      <c r="CQ133" s="408">
        <v>31</v>
      </c>
      <c r="CR133" s="408">
        <v>17.64279835053128</v>
      </c>
      <c r="CS133" s="408">
        <v>0.36871127813065696</v>
      </c>
      <c r="CT133" s="408">
        <v>1.7192462950678724</v>
      </c>
      <c r="CU133" s="408">
        <v>0</v>
      </c>
      <c r="CV133" s="408">
        <v>0</v>
      </c>
      <c r="CW133" s="408">
        <v>0</v>
      </c>
      <c r="CX133" s="408">
        <v>0</v>
      </c>
      <c r="CY133" s="408">
        <v>0</v>
      </c>
      <c r="CZ133" s="408">
        <v>1.7243607137146535</v>
      </c>
      <c r="DA133" s="408">
        <v>0</v>
      </c>
      <c r="DB133" s="408">
        <v>0</v>
      </c>
      <c r="DC133" s="408">
        <v>14.701129969985473</v>
      </c>
      <c r="DD133" s="408">
        <v>0</v>
      </c>
      <c r="DE133" s="408">
        <v>0</v>
      </c>
      <c r="DF133" s="408">
        <v>0</v>
      </c>
      <c r="DG133" s="408">
        <v>0.77154325729450512</v>
      </c>
      <c r="DH133" s="408">
        <v>0</v>
      </c>
      <c r="DI133" s="408">
        <v>-1.4232080534897307</v>
      </c>
      <c r="DJ133" s="408"/>
      <c r="DK133" s="408">
        <v>0</v>
      </c>
      <c r="DL133" s="408">
        <v>0</v>
      </c>
      <c r="DM133" s="408">
        <v>0</v>
      </c>
      <c r="DN133" s="408">
        <v>0</v>
      </c>
      <c r="DO133" s="408">
        <v>-0.19571398257762151</v>
      </c>
      <c r="DP133" s="408">
        <v>-2.3271127594535979E-2</v>
      </c>
      <c r="DQ133" s="408">
        <v>0</v>
      </c>
      <c r="DR133" s="408">
        <v>0</v>
      </c>
      <c r="DS133" s="408"/>
      <c r="DT133" s="408"/>
      <c r="DU133" s="408"/>
      <c r="DV133" s="408">
        <v>160.40076904552197</v>
      </c>
      <c r="DW133" s="408">
        <v>0</v>
      </c>
      <c r="DX133" s="408">
        <v>0</v>
      </c>
      <c r="DY133" s="408">
        <v>-36.903390000000002</v>
      </c>
      <c r="DZ133" s="408">
        <v>14.702790000000007</v>
      </c>
      <c r="EA133" s="408">
        <v>0</v>
      </c>
      <c r="EB133" s="408">
        <v>0</v>
      </c>
      <c r="EC133" s="408">
        <v>-39.846271839559464</v>
      </c>
      <c r="ED133" s="408">
        <v>0</v>
      </c>
      <c r="EE133" s="408">
        <v>0</v>
      </c>
      <c r="EF133" s="408">
        <v>0</v>
      </c>
      <c r="EG133" s="408">
        <v>0</v>
      </c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>
        <v>0</v>
      </c>
      <c r="EN133" s="408">
        <v>0</v>
      </c>
      <c r="EO133" s="408">
        <v>0</v>
      </c>
      <c r="EP133" s="408">
        <v>10.703646188029845</v>
      </c>
      <c r="EQ133" s="408">
        <v>0</v>
      </c>
      <c r="ER133" s="408">
        <v>0</v>
      </c>
      <c r="ES133" s="408">
        <v>0</v>
      </c>
      <c r="ET133" s="408">
        <v>0</v>
      </c>
      <c r="EU133" s="408">
        <v>0</v>
      </c>
      <c r="EV133" s="408">
        <v>240</v>
      </c>
      <c r="EW133" s="408">
        <v>0</v>
      </c>
      <c r="EX133" s="408">
        <v>0</v>
      </c>
      <c r="EY133" s="408">
        <v>0</v>
      </c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132</v>
      </c>
      <c r="B134" s="408" t="s">
        <v>1036</v>
      </c>
      <c r="C134" s="408" t="s">
        <v>2235</v>
      </c>
      <c r="D134" s="408" t="s">
        <v>2245</v>
      </c>
      <c r="E134" s="408" t="s">
        <v>974</v>
      </c>
      <c r="F134" s="408" t="s">
        <v>2253</v>
      </c>
      <c r="G134" s="408" t="s">
        <v>2255</v>
      </c>
      <c r="H134" s="408" t="s">
        <v>1322</v>
      </c>
      <c r="I134" s="408" t="s">
        <v>1322</v>
      </c>
      <c r="J134" s="408" t="s">
        <v>2236</v>
      </c>
      <c r="K134" s="826">
        <v>44409</v>
      </c>
      <c r="L134" s="408">
        <v>0</v>
      </c>
      <c r="M134" s="408">
        <v>0</v>
      </c>
      <c r="N134" s="408">
        <v>0.26600000000000001</v>
      </c>
      <c r="O134" s="408">
        <v>0.10639999999999999</v>
      </c>
      <c r="P134" s="408">
        <v>0.26600000000000001</v>
      </c>
      <c r="Q134" s="408">
        <v>0.10639999999999999</v>
      </c>
      <c r="R134" s="408"/>
      <c r="S134" s="408">
        <v>368.24</v>
      </c>
      <c r="T134" s="408">
        <v>173.25</v>
      </c>
      <c r="U134" s="408"/>
      <c r="V134" s="408">
        <v>144.03634</v>
      </c>
      <c r="W134" s="408">
        <v>144.03634</v>
      </c>
      <c r="X134" s="408">
        <v>135.36474000000001</v>
      </c>
      <c r="Y134" s="408">
        <v>0</v>
      </c>
      <c r="Z134" s="408">
        <v>16.371018731032528</v>
      </c>
      <c r="AA134" s="408">
        <v>0</v>
      </c>
      <c r="AB134" s="408">
        <v>0</v>
      </c>
      <c r="AC134" s="408">
        <v>0.68083693905829812</v>
      </c>
      <c r="AD134" s="408">
        <v>0.65413162889276089</v>
      </c>
      <c r="AE134" s="408">
        <v>62.652870141128993</v>
      </c>
      <c r="AF134" s="408">
        <v>45.310565175693263</v>
      </c>
      <c r="AG134" s="408">
        <v>0.77332411912397259</v>
      </c>
      <c r="AH134" s="408">
        <v>0</v>
      </c>
      <c r="AI134" s="408">
        <v>0</v>
      </c>
      <c r="AJ134" s="408">
        <v>0</v>
      </c>
      <c r="AK134" s="408">
        <v>0</v>
      </c>
      <c r="AL134" s="408">
        <v>2.5294020537685591</v>
      </c>
      <c r="AM134" s="408"/>
      <c r="AN134" s="408">
        <v>0.32128988602048353</v>
      </c>
      <c r="AO134" s="408">
        <v>1.4452832157003428</v>
      </c>
      <c r="AP134" s="408">
        <v>6.739142416565981</v>
      </c>
      <c r="AQ134" s="408">
        <v>0</v>
      </c>
      <c r="AR134" s="408">
        <v>0</v>
      </c>
      <c r="AS134" s="408">
        <v>0</v>
      </c>
      <c r="AT134" s="408">
        <v>0</v>
      </c>
      <c r="AU134" s="408">
        <v>0</v>
      </c>
      <c r="AV134" s="408">
        <v>0</v>
      </c>
      <c r="AW134" s="408">
        <v>0</v>
      </c>
      <c r="AX134" s="408">
        <v>0</v>
      </c>
      <c r="AY134" s="408">
        <v>0</v>
      </c>
      <c r="AZ134" s="408">
        <v>0</v>
      </c>
      <c r="BA134" s="408"/>
      <c r="BB134" s="408">
        <v>0</v>
      </c>
      <c r="BC134" s="408">
        <v>0</v>
      </c>
      <c r="BD134" s="408">
        <v>0</v>
      </c>
      <c r="BE134" s="408">
        <v>0</v>
      </c>
      <c r="BF134" s="408">
        <v>0</v>
      </c>
      <c r="BG134" s="408">
        <v>2.3779846254595709</v>
      </c>
      <c r="BH134" s="408">
        <v>0</v>
      </c>
      <c r="BI134" s="408">
        <v>0</v>
      </c>
      <c r="BJ134" s="408">
        <v>0</v>
      </c>
      <c r="BK134" s="408">
        <v>0</v>
      </c>
      <c r="BL134" s="408">
        <v>0</v>
      </c>
      <c r="BM134" s="408"/>
      <c r="BN134" s="408"/>
      <c r="BO134" s="408"/>
      <c r="BP134" s="408"/>
      <c r="BQ134" s="408"/>
      <c r="BR134" s="408"/>
      <c r="BS134" s="408">
        <v>87.715628000000009</v>
      </c>
      <c r="BT134" s="408"/>
      <c r="BU134" s="408"/>
      <c r="BV134" s="408">
        <v>47.688549801152831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49.261300000000006</v>
      </c>
      <c r="CJ134" s="408">
        <v>-1.4693639999999917</v>
      </c>
      <c r="CK134" s="408"/>
      <c r="CL134" s="408"/>
      <c r="CM134" s="408"/>
      <c r="CN134" s="408"/>
      <c r="CO134" s="408">
        <v>-14.414540000000001</v>
      </c>
      <c r="CP134" s="408">
        <v>5.7429400000000008</v>
      </c>
      <c r="CQ134" s="408">
        <v>31</v>
      </c>
      <c r="CR134" s="408">
        <v>6.8913133057875342</v>
      </c>
      <c r="CS134" s="408">
        <v>0.14401938323458841</v>
      </c>
      <c r="CT134" s="408">
        <v>0.67154113728054909</v>
      </c>
      <c r="CU134" s="408">
        <v>0</v>
      </c>
      <c r="CV134" s="408">
        <v>0</v>
      </c>
      <c r="CW134" s="408">
        <v>0</v>
      </c>
      <c r="CX134" s="408">
        <v>0</v>
      </c>
      <c r="CY134" s="408">
        <v>0</v>
      </c>
      <c r="CZ134" s="408">
        <v>0.67353883971820527</v>
      </c>
      <c r="DA134" s="408">
        <v>0</v>
      </c>
      <c r="DB134" s="408">
        <v>0</v>
      </c>
      <c r="DC134" s="408">
        <v>5.7422915888636297</v>
      </c>
      <c r="DD134" s="408">
        <v>0</v>
      </c>
      <c r="DE134" s="408">
        <v>0</v>
      </c>
      <c r="DF134" s="408">
        <v>0</v>
      </c>
      <c r="DG134" s="408">
        <v>0.30136638243808855</v>
      </c>
      <c r="DH134" s="408">
        <v>0</v>
      </c>
      <c r="DI134" s="408">
        <v>-0.55590799152462367</v>
      </c>
      <c r="DJ134" s="408"/>
      <c r="DK134" s="408">
        <v>0</v>
      </c>
      <c r="DL134" s="408">
        <v>0</v>
      </c>
      <c r="DM134" s="408">
        <v>0</v>
      </c>
      <c r="DN134" s="408">
        <v>0</v>
      </c>
      <c r="DO134" s="408">
        <v>-7.6446283943681692E-2</v>
      </c>
      <c r="DP134" s="408">
        <v>-9.0897502792167684E-3</v>
      </c>
      <c r="DQ134" s="408">
        <v>0</v>
      </c>
      <c r="DR134" s="408">
        <v>0</v>
      </c>
      <c r="DS134" s="408"/>
      <c r="DT134" s="408"/>
      <c r="DU134" s="408"/>
      <c r="DV134" s="408">
        <v>62.652870141128993</v>
      </c>
      <c r="DW134" s="408">
        <v>0</v>
      </c>
      <c r="DX134" s="408">
        <v>0</v>
      </c>
      <c r="DY134" s="408">
        <v>-14.414540000000002</v>
      </c>
      <c r="DZ134" s="408">
        <v>5.7429399999999973</v>
      </c>
      <c r="EA134" s="408">
        <v>0</v>
      </c>
      <c r="EB134" s="408">
        <v>0</v>
      </c>
      <c r="EC134" s="408">
        <v>-15.564035696509279</v>
      </c>
      <c r="ED134" s="408">
        <v>0</v>
      </c>
      <c r="EE134" s="408">
        <v>0</v>
      </c>
      <c r="EF134" s="408">
        <v>0</v>
      </c>
      <c r="EG134" s="408">
        <v>0</v>
      </c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>
        <v>0</v>
      </c>
      <c r="EN134" s="408">
        <v>0</v>
      </c>
      <c r="EO134" s="408">
        <v>0</v>
      </c>
      <c r="EP134" s="408">
        <v>4.1808662056034347</v>
      </c>
      <c r="EQ134" s="408">
        <v>0</v>
      </c>
      <c r="ER134" s="408">
        <v>0</v>
      </c>
      <c r="ES134" s="408">
        <v>0</v>
      </c>
      <c r="ET134" s="408">
        <v>0</v>
      </c>
      <c r="EU134" s="408">
        <v>0</v>
      </c>
      <c r="EV134" s="408">
        <v>240</v>
      </c>
      <c r="EW134" s="408">
        <v>0</v>
      </c>
      <c r="EX134" s="408">
        <v>0</v>
      </c>
      <c r="EY134" s="408">
        <v>0</v>
      </c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133</v>
      </c>
      <c r="B135" s="408" t="s">
        <v>1036</v>
      </c>
      <c r="C135" s="408" t="s">
        <v>2235</v>
      </c>
      <c r="D135" s="408" t="s">
        <v>1955</v>
      </c>
      <c r="E135" s="408" t="s">
        <v>969</v>
      </c>
      <c r="F135" s="408" t="s">
        <v>969</v>
      </c>
      <c r="G135" s="408" t="s">
        <v>1322</v>
      </c>
      <c r="H135" s="408" t="s">
        <v>1322</v>
      </c>
      <c r="I135" s="408" t="s">
        <v>1322</v>
      </c>
      <c r="J135" s="408" t="s">
        <v>2236</v>
      </c>
      <c r="K135" s="826">
        <v>44440</v>
      </c>
      <c r="L135" s="408">
        <v>0</v>
      </c>
      <c r="M135" s="408">
        <v>0</v>
      </c>
      <c r="N135" s="408">
        <v>8888.652</v>
      </c>
      <c r="O135" s="408">
        <v>8888.652</v>
      </c>
      <c r="P135" s="408">
        <v>8888.652</v>
      </c>
      <c r="Q135" s="408">
        <v>8888.652</v>
      </c>
      <c r="R135" s="408"/>
      <c r="S135" s="408">
        <v>368.24</v>
      </c>
      <c r="T135" s="408">
        <v>173.25</v>
      </c>
      <c r="U135" s="408"/>
      <c r="V135" s="408">
        <v>4813116.17148</v>
      </c>
      <c r="W135" s="408">
        <v>4813116.17148</v>
      </c>
      <c r="X135" s="408">
        <v>4523346.1162800007</v>
      </c>
      <c r="Y135" s="408">
        <v>0</v>
      </c>
      <c r="Z135" s="408">
        <v>547053.71573545015</v>
      </c>
      <c r="AA135" s="408">
        <v>0</v>
      </c>
      <c r="AB135" s="408">
        <v>0</v>
      </c>
      <c r="AC135" s="408">
        <v>22750.836917422632</v>
      </c>
      <c r="AD135" s="408">
        <v>21858.452674514647</v>
      </c>
      <c r="AE135" s="408">
        <v>2093607.3664875431</v>
      </c>
      <c r="AF135" s="408">
        <v>1514097.1645490837</v>
      </c>
      <c r="AG135" s="408">
        <v>25841.387135712546</v>
      </c>
      <c r="AH135" s="408">
        <v>0</v>
      </c>
      <c r="AI135" s="408">
        <v>0</v>
      </c>
      <c r="AJ135" s="408">
        <v>0</v>
      </c>
      <c r="AK135" s="408">
        <v>0</v>
      </c>
      <c r="AL135" s="408">
        <v>84522.460992609063</v>
      </c>
      <c r="AM135" s="408"/>
      <c r="AN135" s="408">
        <v>10736.21799983362</v>
      </c>
      <c r="AO135" s="408">
        <v>48295.562202260466</v>
      </c>
      <c r="AP135" s="408">
        <v>225195.08165148133</v>
      </c>
      <c r="AQ135" s="408">
        <v>0</v>
      </c>
      <c r="AR135" s="408">
        <v>0</v>
      </c>
      <c r="AS135" s="408">
        <v>0</v>
      </c>
      <c r="AT135" s="408">
        <v>0</v>
      </c>
      <c r="AU135" s="408">
        <v>0</v>
      </c>
      <c r="AV135" s="408">
        <v>0</v>
      </c>
      <c r="AW135" s="408">
        <v>0</v>
      </c>
      <c r="AX135" s="408">
        <v>0</v>
      </c>
      <c r="AY135" s="408">
        <v>0</v>
      </c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0</v>
      </c>
      <c r="BF135" s="408">
        <v>0</v>
      </c>
      <c r="BG135" s="408">
        <v>79462.698485189714</v>
      </c>
      <c r="BH135" s="408">
        <v>0</v>
      </c>
      <c r="BI135" s="408">
        <v>3717.1</v>
      </c>
      <c r="BJ135" s="408">
        <v>33782.39</v>
      </c>
      <c r="BK135" s="408">
        <v>2383243.6</v>
      </c>
      <c r="BL135" s="408">
        <v>46404</v>
      </c>
      <c r="BM135" s="408"/>
      <c r="BN135" s="408"/>
      <c r="BO135" s="408"/>
      <c r="BP135" s="408"/>
      <c r="BQ135" s="408"/>
      <c r="BR135" s="408"/>
      <c r="BS135" s="408"/>
      <c r="BT135" s="408"/>
      <c r="BU135" s="408"/>
      <c r="BV135" s="408">
        <v>1593559.8630342735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4523345.0985000003</v>
      </c>
      <c r="CJ135" s="408">
        <v>-289771.10297999904</v>
      </c>
      <c r="CK135" s="408"/>
      <c r="CL135" s="408"/>
      <c r="CM135" s="408"/>
      <c r="CN135" s="408"/>
      <c r="CO135" s="408">
        <v>-481676.05187999998</v>
      </c>
      <c r="CP135" s="408">
        <v>191905.99668000004</v>
      </c>
      <c r="CQ135" s="408">
        <v>30</v>
      </c>
      <c r="CR135" s="408">
        <v>230280.02179742465</v>
      </c>
      <c r="CS135" s="408">
        <v>4812.5495444619955</v>
      </c>
      <c r="CT135" s="408">
        <v>22440.208545003872</v>
      </c>
      <c r="CU135" s="408">
        <v>0</v>
      </c>
      <c r="CV135" s="408">
        <v>0</v>
      </c>
      <c r="CW135" s="408">
        <v>0</v>
      </c>
      <c r="CX135" s="408">
        <v>0</v>
      </c>
      <c r="CY135" s="408">
        <v>0</v>
      </c>
      <c r="CZ135" s="408">
        <v>22506.963739619943</v>
      </c>
      <c r="DA135" s="408">
        <v>0</v>
      </c>
      <c r="DB135" s="408">
        <v>0</v>
      </c>
      <c r="DC135" s="408">
        <v>191884.3293832175</v>
      </c>
      <c r="DD135" s="408">
        <v>0</v>
      </c>
      <c r="DE135" s="408">
        <v>0</v>
      </c>
      <c r="DF135" s="408">
        <v>0</v>
      </c>
      <c r="DG135" s="408">
        <v>10070.454503725865</v>
      </c>
      <c r="DH135" s="408">
        <v>0</v>
      </c>
      <c r="DI135" s="408">
        <v>-18576.213085268158</v>
      </c>
      <c r="DJ135" s="408"/>
      <c r="DK135" s="408">
        <v>0</v>
      </c>
      <c r="DL135" s="408">
        <v>0</v>
      </c>
      <c r="DM135" s="408">
        <v>0</v>
      </c>
      <c r="DN135" s="408">
        <v>0</v>
      </c>
      <c r="DO135" s="408">
        <v>-2554.5278746939002</v>
      </c>
      <c r="DP135" s="408">
        <v>-303.74295864233318</v>
      </c>
      <c r="DQ135" s="408">
        <v>0</v>
      </c>
      <c r="DR135" s="408">
        <v>0</v>
      </c>
      <c r="DS135" s="408"/>
      <c r="DT135" s="408"/>
      <c r="DU135" s="408"/>
      <c r="DV135" s="408">
        <v>2093607.3664875431</v>
      </c>
      <c r="DW135" s="408">
        <v>0</v>
      </c>
      <c r="DX135" s="408">
        <v>0</v>
      </c>
      <c r="DY135" s="408">
        <v>-481676.05188000016</v>
      </c>
      <c r="DZ135" s="408">
        <v>191905.9966800001</v>
      </c>
      <c r="EA135" s="408">
        <v>0</v>
      </c>
      <c r="EB135" s="408">
        <v>0</v>
      </c>
      <c r="EC135" s="408">
        <v>-520087.58278890443</v>
      </c>
      <c r="ED135" s="408">
        <v>0</v>
      </c>
      <c r="EE135" s="408">
        <v>0</v>
      </c>
      <c r="EF135" s="408">
        <v>0</v>
      </c>
      <c r="EG135" s="408">
        <v>0</v>
      </c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>
        <v>0</v>
      </c>
      <c r="EN135" s="408">
        <v>0</v>
      </c>
      <c r="EO135" s="408">
        <v>0</v>
      </c>
      <c r="EP135" s="408">
        <v>139707.76225627586</v>
      </c>
      <c r="EQ135" s="408">
        <v>0</v>
      </c>
      <c r="ER135" s="408">
        <v>0</v>
      </c>
      <c r="ES135" s="408">
        <v>0</v>
      </c>
      <c r="ET135" s="408">
        <v>0</v>
      </c>
      <c r="EU135" s="408">
        <v>0</v>
      </c>
      <c r="EV135" s="408">
        <v>240</v>
      </c>
      <c r="EW135" s="408">
        <v>0</v>
      </c>
      <c r="EX135" s="408">
        <v>0</v>
      </c>
      <c r="EY135" s="408">
        <v>0</v>
      </c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134</v>
      </c>
      <c r="B136" s="408" t="s">
        <v>2237</v>
      </c>
      <c r="C136" s="408" t="s">
        <v>2235</v>
      </c>
      <c r="D136" s="408" t="s">
        <v>1955</v>
      </c>
      <c r="E136" s="408" t="s">
        <v>969</v>
      </c>
      <c r="F136" s="408" t="s">
        <v>969</v>
      </c>
      <c r="G136" s="408" t="s">
        <v>1322</v>
      </c>
      <c r="H136" s="408" t="s">
        <v>1322</v>
      </c>
      <c r="I136" s="408" t="s">
        <v>1322</v>
      </c>
      <c r="J136" s="408" t="s">
        <v>2236</v>
      </c>
      <c r="K136" s="826">
        <v>44440</v>
      </c>
      <c r="L136" s="408">
        <v>0</v>
      </c>
      <c r="M136" s="408">
        <v>0</v>
      </c>
      <c r="N136" s="408">
        <v>-2.2730000000000001</v>
      </c>
      <c r="O136" s="408">
        <v>-2.2730000000000001</v>
      </c>
      <c r="P136" s="408">
        <v>-2.2730000000000001</v>
      </c>
      <c r="Q136" s="408">
        <v>-2.2730000000000001</v>
      </c>
      <c r="R136" s="408"/>
      <c r="S136" s="408">
        <v>368.24</v>
      </c>
      <c r="T136" s="408">
        <v>173.25</v>
      </c>
      <c r="U136" s="408"/>
      <c r="V136" s="408">
        <v>-1230.8067700000001</v>
      </c>
      <c r="W136" s="408">
        <v>-1230.8067700000001</v>
      </c>
      <c r="X136" s="408">
        <v>-1156.7069700000002</v>
      </c>
      <c r="Y136" s="408">
        <v>0</v>
      </c>
      <c r="Z136" s="408">
        <v>-139.89220141216893</v>
      </c>
      <c r="AA136" s="408">
        <v>0</v>
      </c>
      <c r="AB136" s="408">
        <v>0</v>
      </c>
      <c r="AC136" s="408">
        <v>-5.8178284303741039</v>
      </c>
      <c r="AD136" s="408">
        <v>-5.5896285431325019</v>
      </c>
      <c r="AE136" s="408">
        <v>-535.37584146912104</v>
      </c>
      <c r="AF136" s="408">
        <v>-387.18388964041645</v>
      </c>
      <c r="AG136" s="408">
        <v>-6.6081418149202618</v>
      </c>
      <c r="AH136" s="408">
        <v>0</v>
      </c>
      <c r="AI136" s="408">
        <v>0</v>
      </c>
      <c r="AJ136" s="408">
        <v>0</v>
      </c>
      <c r="AK136" s="408">
        <v>0</v>
      </c>
      <c r="AL136" s="408">
        <v>-21.614025820360659</v>
      </c>
      <c r="AM136" s="408"/>
      <c r="AN136" s="408">
        <v>-2.7454583117464626</v>
      </c>
      <c r="AO136" s="408">
        <v>-12.350108080025862</v>
      </c>
      <c r="AP136" s="408">
        <v>-57.586732003212312</v>
      </c>
      <c r="AQ136" s="408">
        <v>0</v>
      </c>
      <c r="AR136" s="408">
        <v>0</v>
      </c>
      <c r="AS136" s="408">
        <v>0</v>
      </c>
      <c r="AT136" s="408">
        <v>0</v>
      </c>
      <c r="AU136" s="408">
        <v>0</v>
      </c>
      <c r="AV136" s="408">
        <v>0</v>
      </c>
      <c r="AW136" s="408">
        <v>0</v>
      </c>
      <c r="AX136" s="408">
        <v>0</v>
      </c>
      <c r="AY136" s="408">
        <v>0</v>
      </c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0</v>
      </c>
      <c r="BF136" s="408">
        <v>0</v>
      </c>
      <c r="BG136" s="408">
        <v>-20.320146818306785</v>
      </c>
      <c r="BH136" s="408">
        <v>0</v>
      </c>
      <c r="BI136" s="408">
        <v>-1.02</v>
      </c>
      <c r="BJ136" s="408">
        <v>-8.93</v>
      </c>
      <c r="BK136" s="408">
        <v>-577.58000000000004</v>
      </c>
      <c r="BL136" s="408">
        <v>0</v>
      </c>
      <c r="BM136" s="408"/>
      <c r="BN136" s="408"/>
      <c r="BO136" s="408"/>
      <c r="BP136" s="408"/>
      <c r="BQ136" s="408"/>
      <c r="BR136" s="408"/>
      <c r="BS136" s="408"/>
      <c r="BT136" s="408"/>
      <c r="BU136" s="408"/>
      <c r="BV136" s="408">
        <v>-407.50403645872325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-1155.1803</v>
      </c>
      <c r="CJ136" s="408">
        <v>75.596470000000181</v>
      </c>
      <c r="CK136" s="408"/>
      <c r="CL136" s="408"/>
      <c r="CM136" s="408"/>
      <c r="CN136" s="408"/>
      <c r="CO136" s="408">
        <v>123.17387000000001</v>
      </c>
      <c r="CP136" s="408">
        <v>-49.074070000000013</v>
      </c>
      <c r="CQ136" s="408">
        <v>30</v>
      </c>
      <c r="CR136" s="408">
        <v>-58.887049413741011</v>
      </c>
      <c r="CS136" s="408">
        <v>-1.2306618725271399</v>
      </c>
      <c r="CT136" s="408">
        <v>-5.7383947557845474</v>
      </c>
      <c r="CU136" s="408">
        <v>0</v>
      </c>
      <c r="CV136" s="408">
        <v>0</v>
      </c>
      <c r="CW136" s="408">
        <v>0</v>
      </c>
      <c r="CX136" s="408">
        <v>0</v>
      </c>
      <c r="CY136" s="408">
        <v>0</v>
      </c>
      <c r="CZ136" s="408">
        <v>-5.755465348419099</v>
      </c>
      <c r="DA136" s="408">
        <v>0</v>
      </c>
      <c r="DB136" s="408">
        <v>0</v>
      </c>
      <c r="DC136" s="408">
        <v>-49.068529253710665</v>
      </c>
      <c r="DD136" s="408">
        <v>0</v>
      </c>
      <c r="DE136" s="408">
        <v>0</v>
      </c>
      <c r="DF136" s="408">
        <v>0</v>
      </c>
      <c r="DG136" s="408">
        <v>-2.5752097266232141</v>
      </c>
      <c r="DH136" s="408">
        <v>0</v>
      </c>
      <c r="DI136" s="408">
        <v>4.7502964839679294</v>
      </c>
      <c r="DJ136" s="408"/>
      <c r="DK136" s="408">
        <v>0</v>
      </c>
      <c r="DL136" s="408">
        <v>0</v>
      </c>
      <c r="DM136" s="408">
        <v>0</v>
      </c>
      <c r="DN136" s="408">
        <v>0</v>
      </c>
      <c r="DO136" s="408">
        <v>0.65324211806010979</v>
      </c>
      <c r="DP136" s="408">
        <v>7.7672941295713116E-2</v>
      </c>
      <c r="DQ136" s="408">
        <v>0</v>
      </c>
      <c r="DR136" s="408">
        <v>0</v>
      </c>
      <c r="DS136" s="408"/>
      <c r="DT136" s="408"/>
      <c r="DU136" s="408"/>
      <c r="DV136" s="408">
        <v>-535.37584146912104</v>
      </c>
      <c r="DW136" s="408">
        <v>0</v>
      </c>
      <c r="DX136" s="408">
        <v>0</v>
      </c>
      <c r="DY136" s="408">
        <v>123.17386999999997</v>
      </c>
      <c r="DZ136" s="408">
        <v>-49.074070000000006</v>
      </c>
      <c r="EA136" s="408">
        <v>0</v>
      </c>
      <c r="EB136" s="408">
        <v>0</v>
      </c>
      <c r="EC136" s="408">
        <v>132.99644036904357</v>
      </c>
      <c r="ED136" s="408">
        <v>0</v>
      </c>
      <c r="EE136" s="408">
        <v>0</v>
      </c>
      <c r="EF136" s="408">
        <v>0</v>
      </c>
      <c r="EG136" s="408">
        <v>0</v>
      </c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>
        <v>0</v>
      </c>
      <c r="EN136" s="408">
        <v>0</v>
      </c>
      <c r="EO136" s="408">
        <v>0</v>
      </c>
      <c r="EP136" s="408">
        <v>-35.725973253145135</v>
      </c>
      <c r="EQ136" s="408">
        <v>0</v>
      </c>
      <c r="ER136" s="408">
        <v>0</v>
      </c>
      <c r="ES136" s="408">
        <v>0</v>
      </c>
      <c r="ET136" s="408">
        <v>0</v>
      </c>
      <c r="EU136" s="408">
        <v>0</v>
      </c>
      <c r="EV136" s="408">
        <v>240</v>
      </c>
      <c r="EW136" s="408">
        <v>0</v>
      </c>
      <c r="EX136" s="408">
        <v>0</v>
      </c>
      <c r="EY136" s="408">
        <v>0</v>
      </c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135</v>
      </c>
      <c r="B137" s="408" t="s">
        <v>2238</v>
      </c>
      <c r="C137" s="408" t="s">
        <v>2235</v>
      </c>
      <c r="D137" s="408" t="s">
        <v>1955</v>
      </c>
      <c r="E137" s="408" t="s">
        <v>969</v>
      </c>
      <c r="F137" s="408" t="s">
        <v>969</v>
      </c>
      <c r="G137" s="408" t="s">
        <v>1322</v>
      </c>
      <c r="H137" s="408" t="s">
        <v>1322</v>
      </c>
      <c r="I137" s="408" t="s">
        <v>1322</v>
      </c>
      <c r="J137" s="408" t="s">
        <v>2236</v>
      </c>
      <c r="K137" s="826">
        <v>44440</v>
      </c>
      <c r="L137" s="408">
        <v>0</v>
      </c>
      <c r="M137" s="408">
        <v>0</v>
      </c>
      <c r="N137" s="408">
        <v>104.82</v>
      </c>
      <c r="O137" s="408">
        <v>104.82</v>
      </c>
      <c r="P137" s="408">
        <v>104.82</v>
      </c>
      <c r="Q137" s="408">
        <v>104.82</v>
      </c>
      <c r="R137" s="408"/>
      <c r="S137" s="408">
        <v>368.24</v>
      </c>
      <c r="T137" s="408">
        <v>173.25</v>
      </c>
      <c r="U137" s="408"/>
      <c r="V137" s="408">
        <v>56758.981799999994</v>
      </c>
      <c r="W137" s="408">
        <v>56758.981799999994</v>
      </c>
      <c r="X137" s="408">
        <v>53341.849799999996</v>
      </c>
      <c r="Y137" s="408">
        <v>0</v>
      </c>
      <c r="Z137" s="408">
        <v>6451.1661029580046</v>
      </c>
      <c r="AA137" s="408">
        <v>0</v>
      </c>
      <c r="AB137" s="408">
        <v>0</v>
      </c>
      <c r="AC137" s="408">
        <v>268.29070658680752</v>
      </c>
      <c r="AD137" s="408">
        <v>257.76720804713977</v>
      </c>
      <c r="AE137" s="408">
        <v>24688.999429297521</v>
      </c>
      <c r="AF137" s="408">
        <v>17855.088126752507</v>
      </c>
      <c r="AG137" s="408">
        <v>304.7362186713338</v>
      </c>
      <c r="AH137" s="408">
        <v>0</v>
      </c>
      <c r="AI137" s="408">
        <v>0</v>
      </c>
      <c r="AJ137" s="408">
        <v>0</v>
      </c>
      <c r="AK137" s="408">
        <v>0</v>
      </c>
      <c r="AL137" s="408">
        <v>996.73655366924936</v>
      </c>
      <c r="AM137" s="408"/>
      <c r="AN137" s="408">
        <v>126.6075407995003</v>
      </c>
      <c r="AO137" s="408">
        <v>569.52852131469899</v>
      </c>
      <c r="AP137" s="408">
        <v>2655.6274740768649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</v>
      </c>
      <c r="BF137" s="408">
        <v>0</v>
      </c>
      <c r="BG137" s="408">
        <v>937.06897910027146</v>
      </c>
      <c r="BH137" s="408">
        <v>0</v>
      </c>
      <c r="BI137" s="408">
        <v>42.91</v>
      </c>
      <c r="BJ137" s="408">
        <v>397.57</v>
      </c>
      <c r="BK137" s="408">
        <v>59381.14</v>
      </c>
      <c r="BL137" s="408">
        <v>879</v>
      </c>
      <c r="BM137" s="408"/>
      <c r="BN137" s="408"/>
      <c r="BO137" s="408"/>
      <c r="BP137" s="408"/>
      <c r="BQ137" s="408"/>
      <c r="BR137" s="408"/>
      <c r="BS137" s="408"/>
      <c r="BT137" s="408"/>
      <c r="BU137" s="408"/>
      <c r="BV137" s="408">
        <v>18792.157105852777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53341.849799999996</v>
      </c>
      <c r="CJ137" s="408">
        <v>-3417.1620000000039</v>
      </c>
      <c r="CK137" s="408"/>
      <c r="CL137" s="408"/>
      <c r="CM137" s="408"/>
      <c r="CN137" s="408"/>
      <c r="CO137" s="408">
        <v>-5680.1957999999995</v>
      </c>
      <c r="CP137" s="408">
        <v>2263.0638000000004</v>
      </c>
      <c r="CQ137" s="408">
        <v>30</v>
      </c>
      <c r="CR137" s="408">
        <v>2715.5919575663465</v>
      </c>
      <c r="CS137" s="408">
        <v>56.752299814471939</v>
      </c>
      <c r="CT137" s="408">
        <v>264.62760154040279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265.41481646339196</v>
      </c>
      <c r="DA137" s="408">
        <v>0</v>
      </c>
      <c r="DB137" s="408">
        <v>0</v>
      </c>
      <c r="DC137" s="408">
        <v>2262.8082870100989</v>
      </c>
      <c r="DD137" s="408">
        <v>0</v>
      </c>
      <c r="DE137" s="408">
        <v>0</v>
      </c>
      <c r="DF137" s="408">
        <v>0</v>
      </c>
      <c r="DG137" s="408">
        <v>118.75648198180602</v>
      </c>
      <c r="DH137" s="408">
        <v>0</v>
      </c>
      <c r="DI137" s="408">
        <v>-219.06118673537912</v>
      </c>
      <c r="DJ137" s="408"/>
      <c r="DK137" s="408">
        <v>0</v>
      </c>
      <c r="DL137" s="408">
        <v>0</v>
      </c>
      <c r="DM137" s="408">
        <v>0</v>
      </c>
      <c r="DN137" s="408">
        <v>0</v>
      </c>
      <c r="DO137" s="408">
        <v>-30.124434146528984</v>
      </c>
      <c r="DP137" s="408">
        <v>-3.5819083619078924</v>
      </c>
      <c r="DQ137" s="408">
        <v>0</v>
      </c>
      <c r="DR137" s="408">
        <v>0</v>
      </c>
      <c r="DS137" s="408"/>
      <c r="DT137" s="408"/>
      <c r="DU137" s="408"/>
      <c r="DV137" s="408">
        <v>24688.999429297521</v>
      </c>
      <c r="DW137" s="408">
        <v>0</v>
      </c>
      <c r="DX137" s="408">
        <v>0</v>
      </c>
      <c r="DY137" s="408">
        <v>-5680.1958000000013</v>
      </c>
      <c r="DZ137" s="408">
        <v>2263.0637999999999</v>
      </c>
      <c r="EA137" s="408">
        <v>0</v>
      </c>
      <c r="EB137" s="408">
        <v>0</v>
      </c>
      <c r="EC137" s="408">
        <v>-6133.1662470229421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1647.5127656817742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240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136</v>
      </c>
      <c r="B138" s="408" t="s">
        <v>1036</v>
      </c>
      <c r="C138" s="408" t="s">
        <v>2235</v>
      </c>
      <c r="D138" s="408" t="s">
        <v>1955</v>
      </c>
      <c r="E138" s="408" t="s">
        <v>969</v>
      </c>
      <c r="F138" s="408" t="s">
        <v>2239</v>
      </c>
      <c r="G138" s="408" t="s">
        <v>1322</v>
      </c>
      <c r="H138" s="408" t="s">
        <v>1322</v>
      </c>
      <c r="I138" s="408" t="s">
        <v>1322</v>
      </c>
      <c r="J138" s="408" t="s">
        <v>2236</v>
      </c>
      <c r="K138" s="826">
        <v>44440</v>
      </c>
      <c r="L138" s="408">
        <v>0</v>
      </c>
      <c r="M138" s="408">
        <v>0</v>
      </c>
      <c r="N138" s="408">
        <v>22.95</v>
      </c>
      <c r="O138" s="408">
        <v>22.95</v>
      </c>
      <c r="P138" s="408">
        <v>22.95</v>
      </c>
      <c r="Q138" s="408">
        <v>22.95</v>
      </c>
      <c r="R138" s="408"/>
      <c r="S138" s="408">
        <v>281.47000000000003</v>
      </c>
      <c r="T138" s="408">
        <v>173.25</v>
      </c>
      <c r="U138" s="408"/>
      <c r="V138" s="408">
        <v>10435.824000000001</v>
      </c>
      <c r="W138" s="408">
        <v>10435.824000000001</v>
      </c>
      <c r="X138" s="408">
        <v>9742.2749999999996</v>
      </c>
      <c r="Y138" s="408">
        <v>0</v>
      </c>
      <c r="Z138" s="408">
        <v>0</v>
      </c>
      <c r="AA138" s="408">
        <v>0</v>
      </c>
      <c r="AB138" s="408">
        <v>0</v>
      </c>
      <c r="AC138" s="408">
        <v>58.741382524014817</v>
      </c>
      <c r="AD138" s="408">
        <v>56.437296552965641</v>
      </c>
      <c r="AE138" s="408">
        <v>5405.5765779658286</v>
      </c>
      <c r="AF138" s="408">
        <v>3909.3137999329333</v>
      </c>
      <c r="AG138" s="408">
        <v>66.721009525921687</v>
      </c>
      <c r="AH138" s="408">
        <v>0</v>
      </c>
      <c r="AI138" s="408">
        <v>0</v>
      </c>
      <c r="AJ138" s="408">
        <v>0</v>
      </c>
      <c r="AK138" s="408">
        <v>0</v>
      </c>
      <c r="AL138" s="408">
        <v>0</v>
      </c>
      <c r="AM138" s="408"/>
      <c r="AN138" s="408">
        <v>27.72031159462442</v>
      </c>
      <c r="AO138" s="408">
        <v>124.69642782076265</v>
      </c>
      <c r="AP138" s="408">
        <v>581.44104684281672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0</v>
      </c>
      <c r="BE138" s="408">
        <v>0</v>
      </c>
      <c r="BF138" s="408">
        <v>0</v>
      </c>
      <c r="BG138" s="408">
        <v>205.16822238457576</v>
      </c>
      <c r="BH138" s="408">
        <v>0</v>
      </c>
      <c r="BI138" s="408">
        <v>0</v>
      </c>
      <c r="BJ138" s="408">
        <v>22.92</v>
      </c>
      <c r="BK138" s="408">
        <v>1423.11</v>
      </c>
      <c r="BL138" s="408">
        <v>16</v>
      </c>
      <c r="BM138" s="408"/>
      <c r="BN138" s="408"/>
      <c r="BO138" s="408"/>
      <c r="BP138" s="408"/>
      <c r="BQ138" s="408"/>
      <c r="BR138" s="408"/>
      <c r="BS138" s="408"/>
      <c r="BT138" s="408">
        <v>6332.5934999999999</v>
      </c>
      <c r="BU138" s="408"/>
      <c r="BV138" s="408">
        <v>4114.4820223175093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3409.6814999999997</v>
      </c>
      <c r="CJ138" s="408">
        <v>-243.07050000000072</v>
      </c>
      <c r="CK138" s="408"/>
      <c r="CL138" s="408"/>
      <c r="CM138" s="408"/>
      <c r="CN138" s="408"/>
      <c r="CO138" s="408">
        <v>-1189.0395000000008</v>
      </c>
      <c r="CP138" s="408">
        <v>495.49050000000005</v>
      </c>
      <c r="CQ138" s="408">
        <v>30</v>
      </c>
      <c r="CR138" s="408">
        <v>649.12846236775113</v>
      </c>
      <c r="CS138" s="408">
        <v>12.425732500878965</v>
      </c>
      <c r="CT138" s="408">
        <v>57.939357521009811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58.111715682454168</v>
      </c>
      <c r="DA138" s="408">
        <v>0</v>
      </c>
      <c r="DB138" s="408">
        <v>0</v>
      </c>
      <c r="DC138" s="408">
        <v>495.43455625721936</v>
      </c>
      <c r="DD138" s="408">
        <v>0</v>
      </c>
      <c r="DE138" s="408">
        <v>0</v>
      </c>
      <c r="DF138" s="408">
        <v>0</v>
      </c>
      <c r="DG138" s="408">
        <v>26.001347657722278</v>
      </c>
      <c r="DH138" s="408">
        <v>0</v>
      </c>
      <c r="DI138" s="408">
        <v>0</v>
      </c>
      <c r="DJ138" s="408"/>
      <c r="DK138" s="408">
        <v>0</v>
      </c>
      <c r="DL138" s="408">
        <v>0</v>
      </c>
      <c r="DM138" s="408">
        <v>0</v>
      </c>
      <c r="DN138" s="408">
        <v>0</v>
      </c>
      <c r="DO138" s="408">
        <v>0</v>
      </c>
      <c r="DP138" s="408">
        <v>-0.78424725153392316</v>
      </c>
      <c r="DQ138" s="408">
        <v>0</v>
      </c>
      <c r="DR138" s="408">
        <v>0</v>
      </c>
      <c r="DS138" s="408"/>
      <c r="DT138" s="408"/>
      <c r="DU138" s="408"/>
      <c r="DV138" s="408">
        <v>5405.5765779658286</v>
      </c>
      <c r="DW138" s="408">
        <v>0</v>
      </c>
      <c r="DX138" s="408">
        <v>0</v>
      </c>
      <c r="DY138" s="408">
        <v>-1189.0394999999999</v>
      </c>
      <c r="DZ138" s="408">
        <v>495.49049999999943</v>
      </c>
      <c r="EA138" s="408">
        <v>0</v>
      </c>
      <c r="EB138" s="408">
        <v>0</v>
      </c>
      <c r="EC138" s="408">
        <v>-1342.8369144168723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240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137</v>
      </c>
      <c r="B139" s="408" t="s">
        <v>1036</v>
      </c>
      <c r="C139" s="408" t="s">
        <v>2235</v>
      </c>
      <c r="D139" s="408" t="s">
        <v>1955</v>
      </c>
      <c r="E139" s="408" t="s">
        <v>969</v>
      </c>
      <c r="F139" s="408" t="s">
        <v>2240</v>
      </c>
      <c r="G139" s="408" t="s">
        <v>1322</v>
      </c>
      <c r="H139" s="408" t="s">
        <v>1322</v>
      </c>
      <c r="I139" s="408" t="s">
        <v>1322</v>
      </c>
      <c r="J139" s="408" t="s">
        <v>2236</v>
      </c>
      <c r="K139" s="826">
        <v>44440</v>
      </c>
      <c r="L139" s="408">
        <v>0</v>
      </c>
      <c r="M139" s="408">
        <v>0</v>
      </c>
      <c r="N139" s="408">
        <v>49.32</v>
      </c>
      <c r="O139" s="408">
        <v>49.32</v>
      </c>
      <c r="P139" s="408">
        <v>49.32</v>
      </c>
      <c r="Q139" s="408">
        <v>49.32</v>
      </c>
      <c r="R139" s="408"/>
      <c r="S139" s="408">
        <v>281.47000000000003</v>
      </c>
      <c r="T139" s="408">
        <v>173.25</v>
      </c>
      <c r="U139" s="408"/>
      <c r="V139" s="408">
        <v>22426.790400000002</v>
      </c>
      <c r="W139" s="408">
        <v>22426.790400000002</v>
      </c>
      <c r="X139" s="408">
        <v>20936.34</v>
      </c>
      <c r="Y139" s="408">
        <v>0</v>
      </c>
      <c r="Z139" s="408">
        <v>0</v>
      </c>
      <c r="AA139" s="408">
        <v>0</v>
      </c>
      <c r="AB139" s="408">
        <v>0</v>
      </c>
      <c r="AC139" s="408">
        <v>126.23638283592204</v>
      </c>
      <c r="AD139" s="408">
        <v>121.28485690598107</v>
      </c>
      <c r="AE139" s="408">
        <v>11616.690057746173</v>
      </c>
      <c r="AF139" s="408">
        <v>8401.1920092676373</v>
      </c>
      <c r="AG139" s="408">
        <v>143.38475772629445</v>
      </c>
      <c r="AH139" s="408">
        <v>0</v>
      </c>
      <c r="AI139" s="408">
        <v>0</v>
      </c>
      <c r="AJ139" s="408">
        <v>0</v>
      </c>
      <c r="AK139" s="408">
        <v>0</v>
      </c>
      <c r="AL139" s="408">
        <v>0</v>
      </c>
      <c r="AM139" s="408"/>
      <c r="AN139" s="408">
        <v>59.571493152369349</v>
      </c>
      <c r="AO139" s="408">
        <v>267.97506841481544</v>
      </c>
      <c r="AP139" s="408">
        <v>1249.5282104700532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0</v>
      </c>
      <c r="BF139" s="408">
        <v>0</v>
      </c>
      <c r="BG139" s="408">
        <v>440.91053281077455</v>
      </c>
      <c r="BH139" s="408">
        <v>0</v>
      </c>
      <c r="BI139" s="408">
        <v>7.19</v>
      </c>
      <c r="BJ139" s="408">
        <v>79.31</v>
      </c>
      <c r="BK139" s="408">
        <v>5545.87</v>
      </c>
      <c r="BL139" s="408">
        <v>112</v>
      </c>
      <c r="BM139" s="408"/>
      <c r="BN139" s="408"/>
      <c r="BO139" s="408"/>
      <c r="BP139" s="408"/>
      <c r="BQ139" s="408"/>
      <c r="BR139" s="408"/>
      <c r="BS139" s="408"/>
      <c r="BT139" s="408">
        <v>8375.0292000000009</v>
      </c>
      <c r="BU139" s="408"/>
      <c r="BV139" s="408">
        <v>8842.1025420784117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12561.310799999999</v>
      </c>
      <c r="CJ139" s="408">
        <v>-894.69480000000112</v>
      </c>
      <c r="CK139" s="408"/>
      <c r="CL139" s="408"/>
      <c r="CM139" s="408"/>
      <c r="CN139" s="408"/>
      <c r="CO139" s="408">
        <v>-2555.2692000000015</v>
      </c>
      <c r="CP139" s="408">
        <v>1064.8188000000002</v>
      </c>
      <c r="CQ139" s="408">
        <v>30</v>
      </c>
      <c r="CR139" s="408">
        <v>1394.9897936373654</v>
      </c>
      <c r="CS139" s="408">
        <v>26.703142786202648</v>
      </c>
      <c r="CT139" s="408">
        <v>124.51281537848399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124.88321644699955</v>
      </c>
      <c r="DA139" s="408">
        <v>0</v>
      </c>
      <c r="DB139" s="408">
        <v>0</v>
      </c>
      <c r="DC139" s="408">
        <v>1064.6985757998282</v>
      </c>
      <c r="DD139" s="408">
        <v>0</v>
      </c>
      <c r="DE139" s="408">
        <v>0</v>
      </c>
      <c r="DF139" s="408">
        <v>0</v>
      </c>
      <c r="DG139" s="408">
        <v>55.877405946791441</v>
      </c>
      <c r="DH139" s="408">
        <v>0</v>
      </c>
      <c r="DI139" s="408">
        <v>0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0</v>
      </c>
      <c r="DP139" s="408">
        <v>-1.6853627209434947</v>
      </c>
      <c r="DQ139" s="408">
        <v>0</v>
      </c>
      <c r="DR139" s="408">
        <v>0</v>
      </c>
      <c r="DS139" s="408"/>
      <c r="DT139" s="408"/>
      <c r="DU139" s="408"/>
      <c r="DV139" s="408">
        <v>11616.690057746173</v>
      </c>
      <c r="DW139" s="408">
        <v>0</v>
      </c>
      <c r="DX139" s="408">
        <v>0</v>
      </c>
      <c r="DY139" s="408">
        <v>-2555.2692000000006</v>
      </c>
      <c r="DZ139" s="408">
        <v>1064.8187999999991</v>
      </c>
      <c r="EA139" s="408">
        <v>0</v>
      </c>
      <c r="EB139" s="408">
        <v>0</v>
      </c>
      <c r="EC139" s="408">
        <v>-2885.7828592174355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240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138</v>
      </c>
      <c r="B140" s="408" t="s">
        <v>1036</v>
      </c>
      <c r="C140" s="408" t="s">
        <v>2235</v>
      </c>
      <c r="D140" s="408" t="s">
        <v>1955</v>
      </c>
      <c r="E140" s="408" t="s">
        <v>969</v>
      </c>
      <c r="F140" s="408" t="s">
        <v>2241</v>
      </c>
      <c r="G140" s="408" t="s">
        <v>1322</v>
      </c>
      <c r="H140" s="408" t="s">
        <v>1322</v>
      </c>
      <c r="I140" s="408" t="s">
        <v>1322</v>
      </c>
      <c r="J140" s="408" t="s">
        <v>2236</v>
      </c>
      <c r="K140" s="826">
        <v>44440</v>
      </c>
      <c r="L140" s="408">
        <v>0</v>
      </c>
      <c r="M140" s="408">
        <v>0</v>
      </c>
      <c r="N140" s="408">
        <v>52.707000000000001</v>
      </c>
      <c r="O140" s="408">
        <v>52.707000000000001</v>
      </c>
      <c r="P140" s="408">
        <v>52.707000000000001</v>
      </c>
      <c r="Q140" s="408">
        <v>52.707000000000001</v>
      </c>
      <c r="R140" s="408"/>
      <c r="S140" s="408">
        <v>281.47000000000003</v>
      </c>
      <c r="T140" s="408">
        <v>173.25</v>
      </c>
      <c r="U140" s="408"/>
      <c r="V140" s="408">
        <v>23966.927040000002</v>
      </c>
      <c r="W140" s="408">
        <v>23966.927040000002</v>
      </c>
      <c r="X140" s="408">
        <v>22374.121500000001</v>
      </c>
      <c r="Y140" s="408">
        <v>0</v>
      </c>
      <c r="Z140" s="408">
        <v>0</v>
      </c>
      <c r="AA140" s="408">
        <v>0</v>
      </c>
      <c r="AB140" s="408">
        <v>0</v>
      </c>
      <c r="AC140" s="408">
        <v>134.90553589077339</v>
      </c>
      <c r="AD140" s="408">
        <v>129.61396903778476</v>
      </c>
      <c r="AE140" s="408">
        <v>12414.454235069496</v>
      </c>
      <c r="AF140" s="408">
        <v>8978.1351831400916</v>
      </c>
      <c r="AG140" s="408">
        <v>153.23155769423767</v>
      </c>
      <c r="AH140" s="408">
        <v>0</v>
      </c>
      <c r="AI140" s="408">
        <v>0</v>
      </c>
      <c r="AJ140" s="408">
        <v>0</v>
      </c>
      <c r="AK140" s="408">
        <v>0</v>
      </c>
      <c r="AL140" s="408">
        <v>0</v>
      </c>
      <c r="AM140" s="408"/>
      <c r="AN140" s="408">
        <v>63.662503843915879</v>
      </c>
      <c r="AO140" s="408">
        <v>286.37797913502999</v>
      </c>
      <c r="AP140" s="408">
        <v>1335.338268232869</v>
      </c>
      <c r="AQ140" s="408">
        <v>0</v>
      </c>
      <c r="AR140" s="408">
        <v>0</v>
      </c>
      <c r="AS140" s="408">
        <v>0</v>
      </c>
      <c r="AT140" s="408">
        <v>0</v>
      </c>
      <c r="AU140" s="408">
        <v>0</v>
      </c>
      <c r="AV140" s="408">
        <v>0</v>
      </c>
      <c r="AW140" s="408">
        <v>0</v>
      </c>
      <c r="AX140" s="408">
        <v>0</v>
      </c>
      <c r="AY140" s="408">
        <v>0</v>
      </c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>
        <v>0</v>
      </c>
      <c r="BG140" s="408">
        <v>471.18960772217144</v>
      </c>
      <c r="BH140" s="408">
        <v>0</v>
      </c>
      <c r="BI140" s="408">
        <v>16.59</v>
      </c>
      <c r="BJ140" s="408">
        <v>141.28</v>
      </c>
      <c r="BK140" s="408">
        <v>10367.59</v>
      </c>
      <c r="BL140" s="408">
        <v>389</v>
      </c>
      <c r="BM140" s="408"/>
      <c r="BN140" s="408"/>
      <c r="BO140" s="408"/>
      <c r="BP140" s="408"/>
      <c r="BQ140" s="408"/>
      <c r="BR140" s="408"/>
      <c r="BS140" s="408"/>
      <c r="BT140" s="408">
        <v>2237.9392200000002</v>
      </c>
      <c r="BU140" s="408"/>
      <c r="BV140" s="408">
        <v>9449.3247908622634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20137.328399999999</v>
      </c>
      <c r="CJ140" s="408">
        <v>-1432.5142799999994</v>
      </c>
      <c r="CK140" s="408"/>
      <c r="CL140" s="408"/>
      <c r="CM140" s="408"/>
      <c r="CN140" s="408"/>
      <c r="CO140" s="408">
        <v>-2730.7496700000015</v>
      </c>
      <c r="CP140" s="408">
        <v>1137.9441300000001</v>
      </c>
      <c r="CQ140" s="408">
        <v>30</v>
      </c>
      <c r="CR140" s="408">
        <v>1490.789275207715</v>
      </c>
      <c r="CS140" s="408">
        <v>28.536953504306155</v>
      </c>
      <c r="CT140" s="408">
        <v>133.06360422047328</v>
      </c>
      <c r="CU140" s="408">
        <v>0</v>
      </c>
      <c r="CV140" s="408">
        <v>0</v>
      </c>
      <c r="CW140" s="408">
        <v>0</v>
      </c>
      <c r="CX140" s="408">
        <v>0</v>
      </c>
      <c r="CY140" s="408">
        <v>0</v>
      </c>
      <c r="CZ140" s="408">
        <v>133.45944219935129</v>
      </c>
      <c r="DA140" s="408">
        <v>0</v>
      </c>
      <c r="DB140" s="408">
        <v>0</v>
      </c>
      <c r="DC140" s="408">
        <v>1137.8156495272015</v>
      </c>
      <c r="DD140" s="408">
        <v>0</v>
      </c>
      <c r="DE140" s="408">
        <v>0</v>
      </c>
      <c r="DF140" s="408">
        <v>0</v>
      </c>
      <c r="DG140" s="408">
        <v>59.71472901941479</v>
      </c>
      <c r="DH140" s="408">
        <v>0</v>
      </c>
      <c r="DI140" s="408">
        <v>0</v>
      </c>
      <c r="DJ140" s="408"/>
      <c r="DK140" s="408">
        <v>0</v>
      </c>
      <c r="DL140" s="408">
        <v>0</v>
      </c>
      <c r="DM140" s="408">
        <v>0</v>
      </c>
      <c r="DN140" s="408">
        <v>0</v>
      </c>
      <c r="DO140" s="408">
        <v>0</v>
      </c>
      <c r="DP140" s="408">
        <v>-1.8011032630326156</v>
      </c>
      <c r="DQ140" s="408">
        <v>0</v>
      </c>
      <c r="DR140" s="408">
        <v>0</v>
      </c>
      <c r="DS140" s="408"/>
      <c r="DT140" s="408"/>
      <c r="DU140" s="408"/>
      <c r="DV140" s="408">
        <v>12414.454235069496</v>
      </c>
      <c r="DW140" s="408">
        <v>0</v>
      </c>
      <c r="DX140" s="408">
        <v>0</v>
      </c>
      <c r="DY140" s="408">
        <v>-2730.7496700000029</v>
      </c>
      <c r="DZ140" s="408">
        <v>1137.9441299999999</v>
      </c>
      <c r="EA140" s="408">
        <v>0</v>
      </c>
      <c r="EB140" s="408">
        <v>0</v>
      </c>
      <c r="EC140" s="408">
        <v>-3083.9610129921602</v>
      </c>
      <c r="ED140" s="408">
        <v>0</v>
      </c>
      <c r="EE140" s="408">
        <v>0</v>
      </c>
      <c r="EF140" s="408">
        <v>0</v>
      </c>
      <c r="EG140" s="408">
        <v>0</v>
      </c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>
        <v>0</v>
      </c>
      <c r="EN140" s="408">
        <v>0</v>
      </c>
      <c r="EO140" s="408">
        <v>0</v>
      </c>
      <c r="EP140" s="408">
        <v>0</v>
      </c>
      <c r="EQ140" s="408">
        <v>0</v>
      </c>
      <c r="ER140" s="408">
        <v>0</v>
      </c>
      <c r="ES140" s="408">
        <v>0</v>
      </c>
      <c r="ET140" s="408">
        <v>0</v>
      </c>
      <c r="EU140" s="408">
        <v>0</v>
      </c>
      <c r="EV140" s="408">
        <v>240</v>
      </c>
      <c r="EW140" s="408">
        <v>0</v>
      </c>
      <c r="EX140" s="408">
        <v>0</v>
      </c>
      <c r="EY140" s="408">
        <v>0</v>
      </c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139</v>
      </c>
      <c r="B141" s="408" t="s">
        <v>1036</v>
      </c>
      <c r="C141" s="408" t="s">
        <v>2235</v>
      </c>
      <c r="D141" s="408" t="s">
        <v>1955</v>
      </c>
      <c r="E141" s="408" t="s">
        <v>969</v>
      </c>
      <c r="F141" s="408" t="s">
        <v>2242</v>
      </c>
      <c r="G141" s="408" t="s">
        <v>1322</v>
      </c>
      <c r="H141" s="408" t="s">
        <v>1322</v>
      </c>
      <c r="I141" s="408" t="s">
        <v>1322</v>
      </c>
      <c r="J141" s="408" t="s">
        <v>2236</v>
      </c>
      <c r="K141" s="826">
        <v>44440</v>
      </c>
      <c r="L141" s="408">
        <v>0</v>
      </c>
      <c r="M141" s="408">
        <v>0</v>
      </c>
      <c r="N141" s="408">
        <v>21.427</v>
      </c>
      <c r="O141" s="408">
        <v>21.427</v>
      </c>
      <c r="P141" s="408">
        <v>21.427</v>
      </c>
      <c r="Q141" s="408">
        <v>21.427</v>
      </c>
      <c r="R141" s="408"/>
      <c r="S141" s="408">
        <v>281.47000000000003</v>
      </c>
      <c r="T141" s="408">
        <v>173.25</v>
      </c>
      <c r="U141" s="408"/>
      <c r="V141" s="408">
        <v>9743.2854399999997</v>
      </c>
      <c r="W141" s="408">
        <v>9743.2854399999997</v>
      </c>
      <c r="X141" s="408">
        <v>9095.7615000000005</v>
      </c>
      <c r="Y141" s="408">
        <v>0</v>
      </c>
      <c r="Z141" s="408">
        <v>0</v>
      </c>
      <c r="AA141" s="408">
        <v>0</v>
      </c>
      <c r="AB141" s="408">
        <v>0</v>
      </c>
      <c r="AC141" s="408">
        <v>54.843207117301326</v>
      </c>
      <c r="AD141" s="408">
        <v>52.692024106335282</v>
      </c>
      <c r="AE141" s="408">
        <v>5046.853565841996</v>
      </c>
      <c r="AF141" s="408">
        <v>3649.8852632315015</v>
      </c>
      <c r="AG141" s="408">
        <v>62.293292858907364</v>
      </c>
      <c r="AH141" s="408">
        <v>0</v>
      </c>
      <c r="AI141" s="408">
        <v>0</v>
      </c>
      <c r="AJ141" s="408">
        <v>0</v>
      </c>
      <c r="AK141" s="408">
        <v>0</v>
      </c>
      <c r="AL141" s="408">
        <v>0</v>
      </c>
      <c r="AM141" s="408"/>
      <c r="AN141" s="408">
        <v>25.880745818649999</v>
      </c>
      <c r="AO141" s="408">
        <v>116.42136640154604</v>
      </c>
      <c r="AP141" s="408">
        <v>542.85565623969649</v>
      </c>
      <c r="AQ141" s="408">
        <v>0</v>
      </c>
      <c r="AR141" s="408">
        <v>0</v>
      </c>
      <c r="AS141" s="408">
        <v>0</v>
      </c>
      <c r="AT141" s="408">
        <v>0</v>
      </c>
      <c r="AU141" s="408">
        <v>0</v>
      </c>
      <c r="AV141" s="408">
        <v>0</v>
      </c>
      <c r="AW141" s="408">
        <v>0</v>
      </c>
      <c r="AX141" s="408">
        <v>0</v>
      </c>
      <c r="AY141" s="408">
        <v>0</v>
      </c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>
        <v>0</v>
      </c>
      <c r="BG141" s="408">
        <v>191.55291943504594</v>
      </c>
      <c r="BH141" s="408">
        <v>0</v>
      </c>
      <c r="BI141" s="408">
        <v>11.3</v>
      </c>
      <c r="BJ141" s="408">
        <v>90.09</v>
      </c>
      <c r="BK141" s="408">
        <v>6421.14</v>
      </c>
      <c r="BL141" s="408">
        <v>247</v>
      </c>
      <c r="BM141" s="408"/>
      <c r="BN141" s="408"/>
      <c r="BO141" s="408"/>
      <c r="BP141" s="408"/>
      <c r="BQ141" s="408"/>
      <c r="BR141" s="408"/>
      <c r="BS141" s="408"/>
      <c r="BT141" s="408"/>
      <c r="BU141" s="408"/>
      <c r="BV141" s="408">
        <v>3841.4381826665476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9097.0349999999999</v>
      </c>
      <c r="CJ141" s="408">
        <v>-646.28044000000045</v>
      </c>
      <c r="CK141" s="408"/>
      <c r="CL141" s="408"/>
      <c r="CM141" s="408"/>
      <c r="CN141" s="408"/>
      <c r="CO141" s="408">
        <v>-1110.1328700000006</v>
      </c>
      <c r="CP141" s="408">
        <v>462.60893000000004</v>
      </c>
      <c r="CQ141" s="408">
        <v>30</v>
      </c>
      <c r="CR141" s="408">
        <v>606.05122279537045</v>
      </c>
      <c r="CS141" s="408">
        <v>11.601140317923011</v>
      </c>
      <c r="CT141" s="408">
        <v>54.094405821467376</v>
      </c>
      <c r="CU141" s="408">
        <v>0</v>
      </c>
      <c r="CV141" s="408">
        <v>0</v>
      </c>
      <c r="CW141" s="408">
        <v>0</v>
      </c>
      <c r="CX141" s="408">
        <v>0</v>
      </c>
      <c r="CY141" s="408">
        <v>0</v>
      </c>
      <c r="CZ141" s="408">
        <v>54.255326009932261</v>
      </c>
      <c r="DA141" s="408">
        <v>0</v>
      </c>
      <c r="DB141" s="408">
        <v>0</v>
      </c>
      <c r="DC141" s="408">
        <v>462.55669877662012</v>
      </c>
      <c r="DD141" s="408">
        <v>0</v>
      </c>
      <c r="DE141" s="408">
        <v>0</v>
      </c>
      <c r="DF141" s="408">
        <v>0</v>
      </c>
      <c r="DG141" s="408">
        <v>24.275855174815518</v>
      </c>
      <c r="DH141" s="408">
        <v>0</v>
      </c>
      <c r="DI141" s="408">
        <v>0</v>
      </c>
      <c r="DJ141" s="408"/>
      <c r="DK141" s="408">
        <v>0</v>
      </c>
      <c r="DL141" s="408">
        <v>0</v>
      </c>
      <c r="DM141" s="408">
        <v>0</v>
      </c>
      <c r="DN141" s="408">
        <v>0</v>
      </c>
      <c r="DO141" s="408">
        <v>0</v>
      </c>
      <c r="DP141" s="408">
        <v>-0.73220330538637768</v>
      </c>
      <c r="DQ141" s="408">
        <v>0</v>
      </c>
      <c r="DR141" s="408">
        <v>0</v>
      </c>
      <c r="DS141" s="408"/>
      <c r="DT141" s="408"/>
      <c r="DU141" s="408"/>
      <c r="DV141" s="408">
        <v>5046.853565841996</v>
      </c>
      <c r="DW141" s="408">
        <v>0</v>
      </c>
      <c r="DX141" s="408">
        <v>0</v>
      </c>
      <c r="DY141" s="408">
        <v>-1110.1328700000004</v>
      </c>
      <c r="DZ141" s="408">
        <v>462.60893000000033</v>
      </c>
      <c r="EA141" s="408">
        <v>0</v>
      </c>
      <c r="EB141" s="408">
        <v>0</v>
      </c>
      <c r="EC141" s="408">
        <v>-1253.7240333424975</v>
      </c>
      <c r="ED141" s="408">
        <v>0</v>
      </c>
      <c r="EE141" s="408">
        <v>0</v>
      </c>
      <c r="EF141" s="408">
        <v>0</v>
      </c>
      <c r="EG141" s="408">
        <v>0</v>
      </c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>
        <v>0</v>
      </c>
      <c r="EN141" s="408">
        <v>0</v>
      </c>
      <c r="EO141" s="408">
        <v>0</v>
      </c>
      <c r="EP141" s="408">
        <v>0</v>
      </c>
      <c r="EQ141" s="408">
        <v>0</v>
      </c>
      <c r="ER141" s="408">
        <v>0</v>
      </c>
      <c r="ES141" s="408">
        <v>0</v>
      </c>
      <c r="ET141" s="408">
        <v>0</v>
      </c>
      <c r="EU141" s="408">
        <v>0</v>
      </c>
      <c r="EV141" s="408">
        <v>240</v>
      </c>
      <c r="EW141" s="408">
        <v>0</v>
      </c>
      <c r="EX141" s="408">
        <v>0</v>
      </c>
      <c r="EY141" s="408">
        <v>0</v>
      </c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140</v>
      </c>
      <c r="B142" s="408" t="s">
        <v>1036</v>
      </c>
      <c r="C142" s="408" t="s">
        <v>2316</v>
      </c>
      <c r="D142" s="408" t="s">
        <v>1955</v>
      </c>
      <c r="E142" s="408" t="s">
        <v>969</v>
      </c>
      <c r="F142" s="408" t="s">
        <v>969</v>
      </c>
      <c r="G142" s="408" t="s">
        <v>1322</v>
      </c>
      <c r="H142" s="408" t="s">
        <v>1322</v>
      </c>
      <c r="I142" s="408" t="s">
        <v>973</v>
      </c>
      <c r="J142" s="408" t="s">
        <v>2236</v>
      </c>
      <c r="K142" s="826">
        <v>44440</v>
      </c>
      <c r="L142" s="408">
        <v>0</v>
      </c>
      <c r="M142" s="408">
        <v>0</v>
      </c>
      <c r="N142" s="408">
        <v>0.621</v>
      </c>
      <c r="O142" s="408">
        <v>0.621</v>
      </c>
      <c r="P142" s="408">
        <v>0.621</v>
      </c>
      <c r="Q142" s="408">
        <v>0.621</v>
      </c>
      <c r="R142" s="408"/>
      <c r="S142" s="408">
        <v>775.22</v>
      </c>
      <c r="T142" s="408">
        <v>173.25</v>
      </c>
      <c r="U142" s="408"/>
      <c r="V142" s="408">
        <v>588.99986999999999</v>
      </c>
      <c r="W142" s="408">
        <v>588.99986999999999</v>
      </c>
      <c r="X142" s="408">
        <v>519.4665</v>
      </c>
      <c r="Y142" s="408">
        <v>0</v>
      </c>
      <c r="Z142" s="408">
        <v>38.219558766809016</v>
      </c>
      <c r="AA142" s="408">
        <v>0</v>
      </c>
      <c r="AB142" s="408">
        <v>0</v>
      </c>
      <c r="AC142" s="408">
        <v>3.9734001040388516</v>
      </c>
      <c r="AD142" s="408">
        <v>3.8175643779783552</v>
      </c>
      <c r="AE142" s="408">
        <v>365.67128986842692</v>
      </c>
      <c r="AF142" s="408">
        <v>105.78143223347938</v>
      </c>
      <c r="AG142" s="408">
        <v>1.8053920224661164</v>
      </c>
      <c r="AH142" s="408">
        <v>0</v>
      </c>
      <c r="AI142" s="408">
        <v>0</v>
      </c>
      <c r="AJ142" s="408">
        <v>0</v>
      </c>
      <c r="AK142" s="408">
        <v>0</v>
      </c>
      <c r="AL142" s="408">
        <v>5.9051078022190797</v>
      </c>
      <c r="AM142" s="408"/>
      <c r="AN142" s="408">
        <v>0.75007901961924905</v>
      </c>
      <c r="AO142" s="408">
        <v>8.4348685291283125</v>
      </c>
      <c r="AP142" s="408">
        <v>39.330255111129588</v>
      </c>
      <c r="AQ142" s="408">
        <v>0</v>
      </c>
      <c r="AR142" s="408">
        <v>0</v>
      </c>
      <c r="AS142" s="408">
        <v>0</v>
      </c>
      <c r="AT142" s="408">
        <v>0</v>
      </c>
      <c r="AU142" s="408">
        <v>0</v>
      </c>
      <c r="AV142" s="408">
        <v>0</v>
      </c>
      <c r="AW142" s="408">
        <v>0</v>
      </c>
      <c r="AX142" s="408">
        <v>0</v>
      </c>
      <c r="AY142" s="408">
        <v>0</v>
      </c>
      <c r="AZ142" s="408">
        <v>0</v>
      </c>
      <c r="BA142" s="408"/>
      <c r="BB142" s="408">
        <v>0</v>
      </c>
      <c r="BC142" s="408">
        <v>0</v>
      </c>
      <c r="BD142" s="408">
        <v>0</v>
      </c>
      <c r="BE142" s="408">
        <v>0</v>
      </c>
      <c r="BF142" s="408">
        <v>0</v>
      </c>
      <c r="BG142" s="408">
        <v>5.551610723347344</v>
      </c>
      <c r="BH142" s="408">
        <v>0</v>
      </c>
      <c r="BI142" s="408">
        <v>0</v>
      </c>
      <c r="BJ142" s="408">
        <v>0</v>
      </c>
      <c r="BK142" s="408">
        <v>0</v>
      </c>
      <c r="BL142" s="408">
        <v>0</v>
      </c>
      <c r="BM142" s="408"/>
      <c r="BN142" s="408"/>
      <c r="BO142" s="408"/>
      <c r="BP142" s="408"/>
      <c r="BQ142" s="408"/>
      <c r="BR142" s="408"/>
      <c r="BS142" s="408"/>
      <c r="BT142" s="408"/>
      <c r="BU142" s="408"/>
      <c r="BV142" s="408">
        <v>111.33304295682672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518.63</v>
      </c>
      <c r="CJ142" s="408">
        <v>-70.399869999999964</v>
      </c>
      <c r="CK142" s="408"/>
      <c r="CL142" s="408"/>
      <c r="CM142" s="408"/>
      <c r="CN142" s="408"/>
      <c r="CO142" s="408">
        <v>-82.94076000000004</v>
      </c>
      <c r="CP142" s="408">
        <v>13.407390000000001</v>
      </c>
      <c r="CQ142" s="408">
        <v>30</v>
      </c>
      <c r="CR142" s="408">
        <v>21.302454448976704</v>
      </c>
      <c r="CS142" s="408">
        <v>0.84051661988007886</v>
      </c>
      <c r="CT142" s="408">
        <v>3.9191758556603489</v>
      </c>
      <c r="CU142" s="408">
        <v>0</v>
      </c>
      <c r="CV142" s="408">
        <v>0</v>
      </c>
      <c r="CW142" s="408">
        <v>0</v>
      </c>
      <c r="CX142" s="408">
        <v>0</v>
      </c>
      <c r="CY142" s="408">
        <v>0</v>
      </c>
      <c r="CZ142" s="408">
        <v>3.930826408815383</v>
      </c>
      <c r="DA142" s="408">
        <v>0</v>
      </c>
      <c r="DB142" s="408">
        <v>0</v>
      </c>
      <c r="DC142" s="408">
        <v>13.40587622813652</v>
      </c>
      <c r="DD142" s="408">
        <v>0</v>
      </c>
      <c r="DE142" s="408">
        <v>0</v>
      </c>
      <c r="DF142" s="408">
        <v>0</v>
      </c>
      <c r="DG142" s="408">
        <v>0.7035658777971916</v>
      </c>
      <c r="DH142" s="408">
        <v>0</v>
      </c>
      <c r="DI142" s="408">
        <v>-1.2978152734465809</v>
      </c>
      <c r="DJ142" s="408"/>
      <c r="DK142" s="408">
        <v>0</v>
      </c>
      <c r="DL142" s="408">
        <v>0</v>
      </c>
      <c r="DM142" s="408">
        <v>0</v>
      </c>
      <c r="DN142" s="408">
        <v>0</v>
      </c>
      <c r="DO142" s="408">
        <v>-0.17847045988355781</v>
      </c>
      <c r="DP142" s="408">
        <v>-2.1220807982682666E-2</v>
      </c>
      <c r="DQ142" s="408">
        <v>0</v>
      </c>
      <c r="DR142" s="408">
        <v>0</v>
      </c>
      <c r="DS142" s="408"/>
      <c r="DT142" s="408"/>
      <c r="DU142" s="408"/>
      <c r="DV142" s="408">
        <v>365.67128986842692</v>
      </c>
      <c r="DW142" s="408">
        <v>0</v>
      </c>
      <c r="DX142" s="408">
        <v>0</v>
      </c>
      <c r="DY142" s="408">
        <v>-82.940760000000068</v>
      </c>
      <c r="DZ142" s="408">
        <v>13.407389999999992</v>
      </c>
      <c r="EA142" s="408">
        <v>0</v>
      </c>
      <c r="EB142" s="408">
        <v>0</v>
      </c>
      <c r="EC142" s="408">
        <v>-90.838951126751738</v>
      </c>
      <c r="ED142" s="408">
        <v>0</v>
      </c>
      <c r="EE142" s="408">
        <v>0</v>
      </c>
      <c r="EF142" s="408">
        <v>0</v>
      </c>
      <c r="EG142" s="408">
        <v>0</v>
      </c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>
        <v>0</v>
      </c>
      <c r="EN142" s="408">
        <v>0</v>
      </c>
      <c r="EO142" s="408">
        <v>0</v>
      </c>
      <c r="EP142" s="408">
        <v>9.7605936604501231</v>
      </c>
      <c r="EQ142" s="408">
        <v>0</v>
      </c>
      <c r="ER142" s="408">
        <v>0</v>
      </c>
      <c r="ES142" s="408">
        <v>0</v>
      </c>
      <c r="ET142" s="408">
        <v>0</v>
      </c>
      <c r="EU142" s="408">
        <v>0</v>
      </c>
      <c r="EV142" s="408">
        <v>240</v>
      </c>
      <c r="EW142" s="408">
        <v>0</v>
      </c>
      <c r="EX142" s="408">
        <v>0</v>
      </c>
      <c r="EY142" s="408">
        <v>0</v>
      </c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141</v>
      </c>
      <c r="B143" s="408" t="s">
        <v>1036</v>
      </c>
      <c r="C143" s="408" t="s">
        <v>2316</v>
      </c>
      <c r="D143" s="408" t="s">
        <v>1955</v>
      </c>
      <c r="E143" s="408" t="s">
        <v>969</v>
      </c>
      <c r="F143" s="408" t="s">
        <v>969</v>
      </c>
      <c r="G143" s="408" t="s">
        <v>1322</v>
      </c>
      <c r="H143" s="408" t="s">
        <v>1322</v>
      </c>
      <c r="I143" s="408" t="s">
        <v>2244</v>
      </c>
      <c r="J143" s="408" t="s">
        <v>2236</v>
      </c>
      <c r="K143" s="826">
        <v>44440</v>
      </c>
      <c r="L143" s="408">
        <v>0</v>
      </c>
      <c r="M143" s="408">
        <v>0</v>
      </c>
      <c r="N143" s="408">
        <v>4.9589999999999996</v>
      </c>
      <c r="O143" s="408">
        <v>4.9589999999999996</v>
      </c>
      <c r="P143" s="408">
        <v>4.9589999999999996</v>
      </c>
      <c r="Q143" s="408">
        <v>4.9589999999999996</v>
      </c>
      <c r="R143" s="408"/>
      <c r="S143" s="408">
        <v>232.58</v>
      </c>
      <c r="T143" s="408">
        <v>173.25</v>
      </c>
      <c r="U143" s="408"/>
      <c r="V143" s="408">
        <v>2012.5109699999998</v>
      </c>
      <c r="W143" s="408">
        <v>2012.5109699999998</v>
      </c>
      <c r="X143" s="408">
        <v>1982.0627099999997</v>
      </c>
      <c r="Y143" s="408">
        <v>0</v>
      </c>
      <c r="Z143" s="408">
        <v>305.20256348567779</v>
      </c>
      <c r="AA143" s="408">
        <v>0</v>
      </c>
      <c r="AB143" s="408">
        <v>0</v>
      </c>
      <c r="AC143" s="408">
        <v>6.3463728962219923</v>
      </c>
      <c r="AD143" s="408">
        <v>6.0974412550360917</v>
      </c>
      <c r="AE143" s="408">
        <v>584.01425381552372</v>
      </c>
      <c r="AF143" s="408">
        <v>844.71839363256709</v>
      </c>
      <c r="AG143" s="408">
        <v>14.416971077954059</v>
      </c>
      <c r="AH143" s="408">
        <v>0</v>
      </c>
      <c r="AI143" s="408">
        <v>0</v>
      </c>
      <c r="AJ143" s="408">
        <v>0</v>
      </c>
      <c r="AK143" s="408">
        <v>0</v>
      </c>
      <c r="AL143" s="408">
        <v>47.155281145256701</v>
      </c>
      <c r="AM143" s="408"/>
      <c r="AN143" s="408">
        <v>5.989761446524728</v>
      </c>
      <c r="AO143" s="408">
        <v>13.47264962371923</v>
      </c>
      <c r="AP143" s="408">
        <v>62.818434668704313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0</v>
      </c>
      <c r="BF143" s="408">
        <v>0</v>
      </c>
      <c r="BG143" s="408">
        <v>44.332427660353424</v>
      </c>
      <c r="BH143" s="408">
        <v>0</v>
      </c>
      <c r="BI143" s="408">
        <v>0</v>
      </c>
      <c r="BJ143" s="408">
        <v>0</v>
      </c>
      <c r="BK143" s="408">
        <v>0</v>
      </c>
      <c r="BL143" s="408">
        <v>0</v>
      </c>
      <c r="BM143" s="408"/>
      <c r="BN143" s="408"/>
      <c r="BO143" s="408"/>
      <c r="BP143" s="408"/>
      <c r="BQ143" s="408"/>
      <c r="BR143" s="408"/>
      <c r="BS143" s="408"/>
      <c r="BT143" s="408"/>
      <c r="BU143" s="408"/>
      <c r="BV143" s="408">
        <v>889.05082129292055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1982.4623999999999</v>
      </c>
      <c r="CJ143" s="408">
        <v>-30.0785699999999</v>
      </c>
      <c r="CK143" s="408"/>
      <c r="CL143" s="408"/>
      <c r="CM143" s="408"/>
      <c r="CN143" s="408"/>
      <c r="CO143" s="408">
        <v>-137.51307000000008</v>
      </c>
      <c r="CP143" s="408">
        <v>107.06481000000001</v>
      </c>
      <c r="CQ143" s="408">
        <v>30</v>
      </c>
      <c r="CR143" s="408">
        <v>114.59329050855808</v>
      </c>
      <c r="CS143" s="408">
        <v>1.3425207379880391</v>
      </c>
      <c r="CT143" s="408">
        <v>6.2597227439365497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6.2783441845161256</v>
      </c>
      <c r="DA143" s="408">
        <v>0</v>
      </c>
      <c r="DB143" s="408">
        <v>0</v>
      </c>
      <c r="DC143" s="408">
        <v>107.05272176381482</v>
      </c>
      <c r="DD143" s="408">
        <v>0</v>
      </c>
      <c r="DE143" s="408">
        <v>0</v>
      </c>
      <c r="DF143" s="408">
        <v>0</v>
      </c>
      <c r="DG143" s="408">
        <v>5.6183304154529381</v>
      </c>
      <c r="DH143" s="408">
        <v>0</v>
      </c>
      <c r="DI143" s="408">
        <v>-10.363713270566166</v>
      </c>
      <c r="DJ143" s="408"/>
      <c r="DK143" s="408">
        <v>0</v>
      </c>
      <c r="DL143" s="408">
        <v>0</v>
      </c>
      <c r="DM143" s="408">
        <v>0</v>
      </c>
      <c r="DN143" s="408">
        <v>0</v>
      </c>
      <c r="DO143" s="408">
        <v>-1.4251771506643536</v>
      </c>
      <c r="DP143" s="408">
        <v>-0.16945891591968376</v>
      </c>
      <c r="DQ143" s="408">
        <v>0</v>
      </c>
      <c r="DR143" s="408">
        <v>0</v>
      </c>
      <c r="DS143" s="408"/>
      <c r="DT143" s="408"/>
      <c r="DU143" s="408"/>
      <c r="DV143" s="408">
        <v>584.01425381552372</v>
      </c>
      <c r="DW143" s="408">
        <v>0</v>
      </c>
      <c r="DX143" s="408">
        <v>0</v>
      </c>
      <c r="DY143" s="408">
        <v>-137.51307000000008</v>
      </c>
      <c r="DZ143" s="408">
        <v>107.06481000000008</v>
      </c>
      <c r="EA143" s="408">
        <v>0</v>
      </c>
      <c r="EB143" s="408">
        <v>0</v>
      </c>
      <c r="EC143" s="408">
        <v>-145.07904702817513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77.94329140446402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240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142</v>
      </c>
      <c r="B144" s="408" t="s">
        <v>1036</v>
      </c>
      <c r="C144" s="408" t="s">
        <v>2316</v>
      </c>
      <c r="D144" s="408" t="s">
        <v>1955</v>
      </c>
      <c r="E144" s="408" t="s">
        <v>969</v>
      </c>
      <c r="F144" s="408" t="s">
        <v>969</v>
      </c>
      <c r="G144" s="408" t="s">
        <v>1322</v>
      </c>
      <c r="H144" s="408" t="s">
        <v>1322</v>
      </c>
      <c r="I144" s="408" t="s">
        <v>1322</v>
      </c>
      <c r="J144" s="408" t="s">
        <v>2236</v>
      </c>
      <c r="K144" s="826">
        <v>44440</v>
      </c>
      <c r="L144" s="408">
        <v>0</v>
      </c>
      <c r="M144" s="408">
        <v>0</v>
      </c>
      <c r="N144" s="408">
        <v>0</v>
      </c>
      <c r="O144" s="408">
        <v>0</v>
      </c>
      <c r="P144" s="408">
        <v>0</v>
      </c>
      <c r="Q144" s="408">
        <v>0</v>
      </c>
      <c r="R144" s="408"/>
      <c r="S144" s="408"/>
      <c r="T144" s="408"/>
      <c r="U144" s="408"/>
      <c r="V144" s="408"/>
      <c r="W144" s="408"/>
      <c r="X144" s="408"/>
      <c r="Y144" s="408"/>
      <c r="Z144" s="408"/>
      <c r="AA144" s="408">
        <v>0</v>
      </c>
      <c r="AB144" s="408"/>
      <c r="AC144" s="408"/>
      <c r="AD144" s="408"/>
      <c r="AE144" s="408"/>
      <c r="AF144" s="408"/>
      <c r="AG144" s="408"/>
      <c r="AH144" s="408"/>
      <c r="AI144" s="408"/>
      <c r="AJ144" s="408"/>
      <c r="AK144" s="408"/>
      <c r="AL144" s="408"/>
      <c r="AM144" s="408"/>
      <c r="AN144" s="408"/>
      <c r="AO144" s="408"/>
      <c r="AP144" s="408"/>
      <c r="AQ144" s="408"/>
      <c r="AR144" s="408"/>
      <c r="AS144" s="408"/>
      <c r="AT144" s="408"/>
      <c r="AU144" s="408"/>
      <c r="AV144" s="408"/>
      <c r="AW144" s="408"/>
      <c r="AX144" s="408"/>
      <c r="AY144" s="408"/>
      <c r="AZ144" s="408">
        <v>0</v>
      </c>
      <c r="BA144" s="408"/>
      <c r="BB144" s="408"/>
      <c r="BC144" s="408"/>
      <c r="BD144" s="408"/>
      <c r="BE144" s="408"/>
      <c r="BF144" s="408"/>
      <c r="BG144" s="408"/>
      <c r="BH144" s="408"/>
      <c r="BI144" s="408">
        <v>2.37</v>
      </c>
      <c r="BJ144" s="408">
        <v>20.97</v>
      </c>
      <c r="BK144" s="408">
        <v>1498.09</v>
      </c>
      <c r="BL144" s="408">
        <v>18</v>
      </c>
      <c r="BM144" s="408"/>
      <c r="BN144" s="408"/>
      <c r="BO144" s="408"/>
      <c r="BP144" s="408"/>
      <c r="BQ144" s="408"/>
      <c r="BR144" s="408"/>
      <c r="BS144" s="408"/>
      <c r="BT144" s="408"/>
      <c r="BU144" s="408"/>
      <c r="BV144" s="408"/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/>
      <c r="CJ144" s="408">
        <v>-0.03</v>
      </c>
      <c r="CK144" s="408"/>
      <c r="CL144" s="408"/>
      <c r="CM144" s="408"/>
      <c r="CN144" s="408"/>
      <c r="CO144" s="408">
        <v>0</v>
      </c>
      <c r="CP144" s="408">
        <v>0</v>
      </c>
      <c r="CQ144" s="408">
        <v>30</v>
      </c>
      <c r="CR144" s="408"/>
      <c r="CS144" s="408"/>
      <c r="CT144" s="408"/>
      <c r="CU144" s="408"/>
      <c r="CV144" s="408"/>
      <c r="CW144" s="408"/>
      <c r="CX144" s="408"/>
      <c r="CY144" s="408"/>
      <c r="CZ144" s="408"/>
      <c r="DA144" s="408"/>
      <c r="DB144" s="408"/>
      <c r="DC144" s="408"/>
      <c r="DD144" s="408"/>
      <c r="DE144" s="408"/>
      <c r="DF144" s="408"/>
      <c r="DG144" s="408"/>
      <c r="DH144" s="408"/>
      <c r="DI144" s="408"/>
      <c r="DJ144" s="408"/>
      <c r="DK144" s="408">
        <v>0</v>
      </c>
      <c r="DL144" s="408"/>
      <c r="DM144" s="408"/>
      <c r="DN144" s="408"/>
      <c r="DO144" s="408"/>
      <c r="DP144" s="408"/>
      <c r="DQ144" s="408"/>
      <c r="DR144" s="408"/>
      <c r="DS144" s="408"/>
      <c r="DT144" s="408"/>
      <c r="DU144" s="408"/>
      <c r="DV144" s="408"/>
      <c r="DW144" s="408"/>
      <c r="DX144" s="408"/>
      <c r="DY144" s="408"/>
      <c r="DZ144" s="408"/>
      <c r="EA144" s="408"/>
      <c r="EB144" s="408"/>
      <c r="EC144" s="408"/>
      <c r="ED144" s="408"/>
      <c r="EE144" s="408"/>
      <c r="EF144" s="408"/>
      <c r="EG144" s="408"/>
      <c r="EH144" s="408"/>
      <c r="EI144" s="408"/>
      <c r="EJ144" s="408"/>
      <c r="EK144" s="408"/>
      <c r="EL144" s="408"/>
      <c r="EM144" s="408"/>
      <c r="EN144" s="408"/>
      <c r="EO144" s="408"/>
      <c r="EP144" s="408"/>
      <c r="EQ144" s="408"/>
      <c r="ER144" s="408"/>
      <c r="ES144" s="408"/>
      <c r="ET144" s="408"/>
      <c r="EU144" s="408"/>
      <c r="EV144" s="408">
        <v>240</v>
      </c>
      <c r="EW144" s="408"/>
      <c r="EX144" s="408"/>
      <c r="EY144" s="408"/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143</v>
      </c>
      <c r="B145" s="408" t="s">
        <v>1036</v>
      </c>
      <c r="C145" s="408" t="s">
        <v>2316</v>
      </c>
      <c r="D145" s="408" t="s">
        <v>1955</v>
      </c>
      <c r="E145" s="408" t="s">
        <v>969</v>
      </c>
      <c r="F145" s="408" t="s">
        <v>969</v>
      </c>
      <c r="G145" s="408" t="s">
        <v>1322</v>
      </c>
      <c r="H145" s="408" t="s">
        <v>1322</v>
      </c>
      <c r="I145" s="408" t="s">
        <v>2317</v>
      </c>
      <c r="J145" s="408" t="s">
        <v>2236</v>
      </c>
      <c r="K145" s="826">
        <v>44440</v>
      </c>
      <c r="L145" s="408">
        <v>0</v>
      </c>
      <c r="M145" s="408">
        <v>0</v>
      </c>
      <c r="N145" s="408">
        <v>0.39400000000000002</v>
      </c>
      <c r="O145" s="408">
        <v>0.39400000000000002</v>
      </c>
      <c r="P145" s="408">
        <v>0.39400000000000002</v>
      </c>
      <c r="Q145" s="408">
        <v>0.39400000000000002</v>
      </c>
      <c r="R145" s="408"/>
      <c r="S145" s="408">
        <v>503.9</v>
      </c>
      <c r="T145" s="408">
        <v>173.25</v>
      </c>
      <c r="U145" s="408"/>
      <c r="V145" s="408">
        <v>266.7971</v>
      </c>
      <c r="W145" s="408">
        <v>266.7971</v>
      </c>
      <c r="X145" s="408">
        <v>243.52746000000002</v>
      </c>
      <c r="Y145" s="408">
        <v>0</v>
      </c>
      <c r="Z145" s="408">
        <v>24.248802180551937</v>
      </c>
      <c r="AA145" s="408">
        <v>0</v>
      </c>
      <c r="AB145" s="408">
        <v>0</v>
      </c>
      <c r="AC145" s="408">
        <v>1.5125078836979995</v>
      </c>
      <c r="AD145" s="408">
        <v>1.4531950140909031</v>
      </c>
      <c r="AE145" s="408">
        <v>139.20234466331419</v>
      </c>
      <c r="AF145" s="408">
        <v>67.114145410613318</v>
      </c>
      <c r="AG145" s="408">
        <v>1.1454500110332526</v>
      </c>
      <c r="AH145" s="408">
        <v>0</v>
      </c>
      <c r="AI145" s="408">
        <v>0</v>
      </c>
      <c r="AJ145" s="408">
        <v>0</v>
      </c>
      <c r="AK145" s="408">
        <v>0</v>
      </c>
      <c r="AL145" s="408">
        <v>3.7465579292662117</v>
      </c>
      <c r="AM145" s="408"/>
      <c r="AN145" s="408">
        <v>0.47589554545891166</v>
      </c>
      <c r="AO145" s="408">
        <v>3.2108334593034273</v>
      </c>
      <c r="AP145" s="408">
        <v>14.971457175765265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>
        <v>0</v>
      </c>
      <c r="BG145" s="408">
        <v>3.5222779790641763</v>
      </c>
      <c r="BH145" s="408">
        <v>0</v>
      </c>
      <c r="BI145" s="408">
        <v>0</v>
      </c>
      <c r="BJ145" s="408">
        <v>0</v>
      </c>
      <c r="BK145" s="408">
        <v>0</v>
      </c>
      <c r="BL145" s="408">
        <v>0</v>
      </c>
      <c r="BM145" s="408"/>
      <c r="BN145" s="408"/>
      <c r="BO145" s="408"/>
      <c r="BP145" s="408"/>
      <c r="BQ145" s="408"/>
      <c r="BR145" s="408"/>
      <c r="BS145" s="408"/>
      <c r="BT145" s="408"/>
      <c r="BU145" s="408"/>
      <c r="BV145" s="408">
        <v>70.636423389677489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241.05509999999998</v>
      </c>
      <c r="CJ145" s="408">
        <v>-25.771999999999991</v>
      </c>
      <c r="CK145" s="408"/>
      <c r="CL145" s="408"/>
      <c r="CM145" s="408"/>
      <c r="CN145" s="408"/>
      <c r="CO145" s="408">
        <v>-31.776099999999992</v>
      </c>
      <c r="CP145" s="408">
        <v>8.5064600000000024</v>
      </c>
      <c r="CQ145" s="408">
        <v>30</v>
      </c>
      <c r="CR145" s="408">
        <v>11.309911308767425</v>
      </c>
      <c r="CS145" s="408">
        <v>0.31995269124728631</v>
      </c>
      <c r="CT145" s="408">
        <v>1.4918737069342765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1.4963093671710102</v>
      </c>
      <c r="DA145" s="408">
        <v>0</v>
      </c>
      <c r="DB145" s="408">
        <v>0</v>
      </c>
      <c r="DC145" s="408">
        <v>8.505499571474715</v>
      </c>
      <c r="DD145" s="408">
        <v>0</v>
      </c>
      <c r="DE145" s="408">
        <v>0</v>
      </c>
      <c r="DF145" s="408">
        <v>0</v>
      </c>
      <c r="DG145" s="408">
        <v>0.44638479203235715</v>
      </c>
      <c r="DH145" s="408">
        <v>0</v>
      </c>
      <c r="DI145" s="408">
        <v>-0.82341258895000635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-0.1132324656910173</v>
      </c>
      <c r="DP145" s="408">
        <v>-1.3463765451170617E-2</v>
      </c>
      <c r="DQ145" s="408">
        <v>0</v>
      </c>
      <c r="DR145" s="408">
        <v>0</v>
      </c>
      <c r="DS145" s="408"/>
      <c r="DT145" s="408"/>
      <c r="DU145" s="408"/>
      <c r="DV145" s="408">
        <v>139.20234466331419</v>
      </c>
      <c r="DW145" s="408">
        <v>0</v>
      </c>
      <c r="DX145" s="408">
        <v>0</v>
      </c>
      <c r="DY145" s="408">
        <v>-31.776099999999985</v>
      </c>
      <c r="DZ145" s="408">
        <v>8.5064600000000041</v>
      </c>
      <c r="EA145" s="408">
        <v>0</v>
      </c>
      <c r="EB145" s="408">
        <v>0</v>
      </c>
      <c r="EC145" s="408">
        <v>-34.58022364334343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6.1927115977735081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240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144</v>
      </c>
      <c r="B146" s="408" t="s">
        <v>1036</v>
      </c>
      <c r="C146" s="408" t="s">
        <v>2235</v>
      </c>
      <c r="D146" s="408" t="s">
        <v>1958</v>
      </c>
      <c r="E146" s="408" t="s">
        <v>970</v>
      </c>
      <c r="F146" s="408" t="s">
        <v>1322</v>
      </c>
      <c r="G146" s="408" t="s">
        <v>1322</v>
      </c>
      <c r="H146" s="408" t="s">
        <v>1322</v>
      </c>
      <c r="I146" s="408" t="s">
        <v>1322</v>
      </c>
      <c r="J146" s="408" t="s">
        <v>2236</v>
      </c>
      <c r="K146" s="826">
        <v>44440</v>
      </c>
      <c r="L146" s="408">
        <v>0</v>
      </c>
      <c r="M146" s="408">
        <v>0</v>
      </c>
      <c r="N146" s="408">
        <v>552.41399999999999</v>
      </c>
      <c r="O146" s="408">
        <v>552.41399999999999</v>
      </c>
      <c r="P146" s="408">
        <v>552.41399999999999</v>
      </c>
      <c r="Q146" s="408">
        <v>552.41399999999999</v>
      </c>
      <c r="R146" s="408"/>
      <c r="S146" s="408">
        <v>368.24</v>
      </c>
      <c r="T146" s="408">
        <v>173.25</v>
      </c>
      <c r="U146" s="408"/>
      <c r="V146" s="408">
        <v>299126.65685999999</v>
      </c>
      <c r="W146" s="408">
        <v>299126.65685999999</v>
      </c>
      <c r="X146" s="408">
        <v>281117.96046000003</v>
      </c>
      <c r="Y146" s="408">
        <v>0</v>
      </c>
      <c r="Z146" s="408">
        <v>33998.420831896998</v>
      </c>
      <c r="AA146" s="408">
        <v>0</v>
      </c>
      <c r="AB146" s="408">
        <v>0</v>
      </c>
      <c r="AC146" s="408">
        <v>1413.9242738832731</v>
      </c>
      <c r="AD146" s="408">
        <v>1358.4641715908481</v>
      </c>
      <c r="AE146" s="408">
        <v>130113.99475993094</v>
      </c>
      <c r="AF146" s="408">
        <v>94098.460717915092</v>
      </c>
      <c r="AG146" s="408">
        <v>1605.9965035404141</v>
      </c>
      <c r="AH146" s="408">
        <v>0</v>
      </c>
      <c r="AI146" s="408">
        <v>0</v>
      </c>
      <c r="AJ146" s="408">
        <v>0</v>
      </c>
      <c r="AK146" s="408">
        <v>0</v>
      </c>
      <c r="AL146" s="408">
        <v>5252.9214516184393</v>
      </c>
      <c r="AM146" s="408"/>
      <c r="AN146" s="408">
        <v>667.23695900796758</v>
      </c>
      <c r="AO146" s="408">
        <v>3001.4837681123654</v>
      </c>
      <c r="AP146" s="408">
        <v>13995.4760109206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0</v>
      </c>
      <c r="BF146" s="408">
        <v>0</v>
      </c>
      <c r="BG146" s="408">
        <v>4938.4661612354257</v>
      </c>
      <c r="BH146" s="408">
        <v>0</v>
      </c>
      <c r="BI146" s="408">
        <v>243</v>
      </c>
      <c r="BJ146" s="408">
        <v>2095.62</v>
      </c>
      <c r="BK146" s="408">
        <v>74281.75</v>
      </c>
      <c r="BL146" s="408">
        <v>305</v>
      </c>
      <c r="BM146" s="408"/>
      <c r="BN146" s="408"/>
      <c r="BO146" s="408"/>
      <c r="BP146" s="408"/>
      <c r="BQ146" s="408"/>
      <c r="BR146" s="408"/>
      <c r="BS146" s="408"/>
      <c r="BT146" s="408"/>
      <c r="BU146" s="408"/>
      <c r="BV146" s="408">
        <v>99036.926879150516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281115.92489999998</v>
      </c>
      <c r="CJ146" s="408">
        <v>-18010.761960000033</v>
      </c>
      <c r="CK146" s="408"/>
      <c r="CL146" s="408"/>
      <c r="CM146" s="408"/>
      <c r="CN146" s="408"/>
      <c r="CO146" s="408">
        <v>-29935.314659999996</v>
      </c>
      <c r="CP146" s="408">
        <v>11926.618260000001</v>
      </c>
      <c r="CQ146" s="408">
        <v>30</v>
      </c>
      <c r="CR146" s="408">
        <v>14311.49604700497</v>
      </c>
      <c r="CS146" s="408">
        <v>299.09144199305183</v>
      </c>
      <c r="CT146" s="408">
        <v>1394.6192699612675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1398.7679872334309</v>
      </c>
      <c r="DA146" s="408">
        <v>0</v>
      </c>
      <c r="DB146" s="408">
        <v>0</v>
      </c>
      <c r="DC146" s="408">
        <v>11925.271675829004</v>
      </c>
      <c r="DD146" s="408">
        <v>0</v>
      </c>
      <c r="DE146" s="408">
        <v>0</v>
      </c>
      <c r="DF146" s="408">
        <v>0</v>
      </c>
      <c r="DG146" s="408">
        <v>625.86093529381287</v>
      </c>
      <c r="DH146" s="408">
        <v>0</v>
      </c>
      <c r="DI146" s="408">
        <v>-1154.4787865792605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-158.7593890919743</v>
      </c>
      <c r="DP146" s="408">
        <v>-18.877087634373083</v>
      </c>
      <c r="DQ146" s="408">
        <v>0</v>
      </c>
      <c r="DR146" s="408">
        <v>0</v>
      </c>
      <c r="DS146" s="408"/>
      <c r="DT146" s="408"/>
      <c r="DU146" s="408"/>
      <c r="DV146" s="408">
        <v>130113.99475993094</v>
      </c>
      <c r="DW146" s="408">
        <v>0</v>
      </c>
      <c r="DX146" s="408">
        <v>0</v>
      </c>
      <c r="DY146" s="408">
        <v>-29935.314659999975</v>
      </c>
      <c r="DZ146" s="408">
        <v>11926.618260000003</v>
      </c>
      <c r="EA146" s="408">
        <v>0</v>
      </c>
      <c r="EB146" s="408">
        <v>0</v>
      </c>
      <c r="EC146" s="408">
        <v>-32322.523365607049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8682.5903161737424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240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145</v>
      </c>
      <c r="B147" s="408" t="s">
        <v>2238</v>
      </c>
      <c r="C147" s="408" t="s">
        <v>2235</v>
      </c>
      <c r="D147" s="408" t="s">
        <v>1958</v>
      </c>
      <c r="E147" s="408" t="s">
        <v>970</v>
      </c>
      <c r="F147" s="408" t="s">
        <v>1322</v>
      </c>
      <c r="G147" s="408" t="s">
        <v>1322</v>
      </c>
      <c r="H147" s="408" t="s">
        <v>1322</v>
      </c>
      <c r="I147" s="408" t="s">
        <v>1322</v>
      </c>
      <c r="J147" s="408" t="s">
        <v>2236</v>
      </c>
      <c r="K147" s="826">
        <v>44440</v>
      </c>
      <c r="L147" s="408">
        <v>0</v>
      </c>
      <c r="M147" s="408">
        <v>0</v>
      </c>
      <c r="N147" s="408">
        <v>57.058999999999997</v>
      </c>
      <c r="O147" s="408">
        <v>57.058999999999997</v>
      </c>
      <c r="P147" s="408">
        <v>57.058999999999997</v>
      </c>
      <c r="Q147" s="408">
        <v>57.058999999999997</v>
      </c>
      <c r="R147" s="408"/>
      <c r="S147" s="408">
        <v>368.24</v>
      </c>
      <c r="T147" s="408">
        <v>173.25</v>
      </c>
      <c r="U147" s="408"/>
      <c r="V147" s="408">
        <v>30896.877909999996</v>
      </c>
      <c r="W147" s="408">
        <v>30896.877909999996</v>
      </c>
      <c r="X147" s="408">
        <v>29036.754509999999</v>
      </c>
      <c r="Y147" s="408">
        <v>0</v>
      </c>
      <c r="Z147" s="408">
        <v>3511.7066081728753</v>
      </c>
      <c r="AA147" s="408">
        <v>0</v>
      </c>
      <c r="AB147" s="408">
        <v>0</v>
      </c>
      <c r="AC147" s="408">
        <v>146.04464250273469</v>
      </c>
      <c r="AD147" s="408">
        <v>140.3161526804212</v>
      </c>
      <c r="AE147" s="408">
        <v>13439.511719483755</v>
      </c>
      <c r="AF147" s="408">
        <v>9719.456911127374</v>
      </c>
      <c r="AG147" s="408">
        <v>165.88383801915319</v>
      </c>
      <c r="AH147" s="408">
        <v>0</v>
      </c>
      <c r="AI147" s="408">
        <v>0</v>
      </c>
      <c r="AJ147" s="408">
        <v>0</v>
      </c>
      <c r="AK147" s="408">
        <v>0</v>
      </c>
      <c r="AL147" s="408">
        <v>542.57575859391056</v>
      </c>
      <c r="AM147" s="408"/>
      <c r="AN147" s="408">
        <v>68.919096264822429</v>
      </c>
      <c r="AO147" s="408">
        <v>310.024116558819</v>
      </c>
      <c r="AP147" s="408">
        <v>1445.5967185971363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0</v>
      </c>
      <c r="BE147" s="408">
        <v>0</v>
      </c>
      <c r="BF147" s="408">
        <v>0</v>
      </c>
      <c r="BG147" s="408">
        <v>510.09558174472801</v>
      </c>
      <c r="BH147" s="408">
        <v>0</v>
      </c>
      <c r="BI147" s="408">
        <v>25.32</v>
      </c>
      <c r="BJ147" s="408">
        <v>218.58</v>
      </c>
      <c r="BK147" s="408">
        <v>11838.48</v>
      </c>
      <c r="BL147" s="408">
        <v>42</v>
      </c>
      <c r="BM147" s="408"/>
      <c r="BN147" s="408"/>
      <c r="BO147" s="408"/>
      <c r="BP147" s="408"/>
      <c r="BQ147" s="408"/>
      <c r="BR147" s="408"/>
      <c r="BS147" s="408"/>
      <c r="BT147" s="408"/>
      <c r="BU147" s="408"/>
      <c r="BV147" s="408">
        <v>10229.552492872102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29037.263400000003</v>
      </c>
      <c r="CJ147" s="408">
        <v>-1859.6445099999873</v>
      </c>
      <c r="CK147" s="408"/>
      <c r="CL147" s="408"/>
      <c r="CM147" s="408"/>
      <c r="CN147" s="408"/>
      <c r="CO147" s="408">
        <v>-3092.0272099999997</v>
      </c>
      <c r="CP147" s="408">
        <v>1231.9038100000002</v>
      </c>
      <c r="CQ147" s="408">
        <v>30</v>
      </c>
      <c r="CR147" s="408">
        <v>1478.2385184771811</v>
      </c>
      <c r="CS147" s="408">
        <v>30.893240556324713</v>
      </c>
      <c r="CT147" s="408">
        <v>144.05062312816131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144.47914532135738</v>
      </c>
      <c r="DA147" s="408">
        <v>0</v>
      </c>
      <c r="DB147" s="408">
        <v>0</v>
      </c>
      <c r="DC147" s="408">
        <v>1231.7647209359766</v>
      </c>
      <c r="DD147" s="408">
        <v>0</v>
      </c>
      <c r="DE147" s="408">
        <v>0</v>
      </c>
      <c r="DF147" s="408">
        <v>0</v>
      </c>
      <c r="DG147" s="408">
        <v>64.645354945619886</v>
      </c>
      <c r="DH147" s="408">
        <v>0</v>
      </c>
      <c r="DI147" s="408">
        <v>-119.24644394136612</v>
      </c>
      <c r="DJ147" s="408"/>
      <c r="DK147" s="408">
        <v>0</v>
      </c>
      <c r="DL147" s="408">
        <v>0</v>
      </c>
      <c r="DM147" s="408">
        <v>0</v>
      </c>
      <c r="DN147" s="408">
        <v>0</v>
      </c>
      <c r="DO147" s="408">
        <v>-16.398302690009587</v>
      </c>
      <c r="DP147" s="408">
        <v>-1.9498197788790463</v>
      </c>
      <c r="DQ147" s="408">
        <v>0</v>
      </c>
      <c r="DR147" s="408">
        <v>0</v>
      </c>
      <c r="DS147" s="408"/>
      <c r="DT147" s="408"/>
      <c r="DU147" s="408"/>
      <c r="DV147" s="408">
        <v>13439.511719483755</v>
      </c>
      <c r="DW147" s="408">
        <v>0</v>
      </c>
      <c r="DX147" s="408">
        <v>0</v>
      </c>
      <c r="DY147" s="408">
        <v>-3092.0272100000002</v>
      </c>
      <c r="DZ147" s="408">
        <v>1231.9038100000016</v>
      </c>
      <c r="EA147" s="408">
        <v>0</v>
      </c>
      <c r="EB147" s="408">
        <v>0</v>
      </c>
      <c r="EC147" s="408">
        <v>-3338.6026797260256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896.82723618618923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240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146</v>
      </c>
      <c r="B148" s="408" t="s">
        <v>1036</v>
      </c>
      <c r="C148" s="408" t="s">
        <v>2247</v>
      </c>
      <c r="D148" s="408" t="s">
        <v>597</v>
      </c>
      <c r="E148" s="408" t="s">
        <v>970</v>
      </c>
      <c r="F148" s="408" t="s">
        <v>1322</v>
      </c>
      <c r="G148" s="408" t="s">
        <v>1322</v>
      </c>
      <c r="H148" s="408" t="s">
        <v>1322</v>
      </c>
      <c r="I148" s="408" t="s">
        <v>973</v>
      </c>
      <c r="J148" s="408" t="s">
        <v>2236</v>
      </c>
      <c r="K148" s="826">
        <v>44440</v>
      </c>
      <c r="L148" s="408">
        <v>10251</v>
      </c>
      <c r="M148" s="408">
        <v>10251</v>
      </c>
      <c r="N148" s="408">
        <v>493.87799999999999</v>
      </c>
      <c r="O148" s="408">
        <v>493.87799999999999</v>
      </c>
      <c r="P148" s="408">
        <v>493.87799999999999</v>
      </c>
      <c r="Q148" s="408">
        <v>493.87799999999999</v>
      </c>
      <c r="R148" s="408">
        <v>52.95</v>
      </c>
      <c r="S148" s="408">
        <v>85.01</v>
      </c>
      <c r="T148" s="408">
        <v>173.25</v>
      </c>
      <c r="U148" s="408">
        <v>542790.45000000007</v>
      </c>
      <c r="V148" s="408">
        <v>127548.93227999999</v>
      </c>
      <c r="W148" s="408">
        <v>670339.38228000002</v>
      </c>
      <c r="X148" s="408">
        <v>591235.73225999996</v>
      </c>
      <c r="Y148" s="408">
        <v>0</v>
      </c>
      <c r="Z148" s="408">
        <v>26444.356429680607</v>
      </c>
      <c r="AA148" s="408">
        <v>0</v>
      </c>
      <c r="AB148" s="408">
        <v>0</v>
      </c>
      <c r="AC148" s="408">
        <v>8074.3667641889479</v>
      </c>
      <c r="AD148" s="408">
        <v>7757.4622196925275</v>
      </c>
      <c r="AE148" s="408">
        <v>429862.50210012676</v>
      </c>
      <c r="AF148" s="408">
        <v>84127.410931733204</v>
      </c>
      <c r="AG148" s="408">
        <v>1435.8186815966515</v>
      </c>
      <c r="AH148" s="408">
        <v>0</v>
      </c>
      <c r="AI148" s="408">
        <v>0</v>
      </c>
      <c r="AJ148" s="408">
        <v>0</v>
      </c>
      <c r="AK148" s="408">
        <v>0</v>
      </c>
      <c r="AL148" s="408">
        <v>4696.3008553049185</v>
      </c>
      <c r="AM148" s="408"/>
      <c r="AN148" s="408">
        <v>395.50433141662376</v>
      </c>
      <c r="AO148" s="408">
        <v>17140.193597986821</v>
      </c>
      <c r="AP148" s="408">
        <v>79921.151803572022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0</v>
      </c>
      <c r="BF148" s="408">
        <v>0</v>
      </c>
      <c r="BG148" s="408">
        <v>3693.5439559014026</v>
      </c>
      <c r="BH148" s="408">
        <v>0</v>
      </c>
      <c r="BI148" s="408">
        <v>0</v>
      </c>
      <c r="BJ148" s="408">
        <v>0</v>
      </c>
      <c r="BK148" s="408">
        <v>0</v>
      </c>
      <c r="BL148" s="408">
        <v>0</v>
      </c>
      <c r="BM148" s="408"/>
      <c r="BN148" s="408"/>
      <c r="BO148" s="408"/>
      <c r="BP148" s="408"/>
      <c r="BQ148" s="408"/>
      <c r="BR148" s="408"/>
      <c r="BS148" s="408"/>
      <c r="BT148" s="408"/>
      <c r="BU148" s="408"/>
      <c r="BV148" s="408">
        <v>87820.954887634609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591236.28960000002</v>
      </c>
      <c r="CJ148" s="408">
        <v>-79103.12268000003</v>
      </c>
      <c r="CK148" s="408"/>
      <c r="CL148" s="408"/>
      <c r="CM148" s="408"/>
      <c r="CN148" s="408"/>
      <c r="CO148" s="408">
        <v>-89766.476040000023</v>
      </c>
      <c r="CP148" s="408">
        <v>10662.826020000002</v>
      </c>
      <c r="CQ148" s="408">
        <v>30</v>
      </c>
      <c r="CR148" s="408">
        <v>27738.190473643102</v>
      </c>
      <c r="CS148" s="408">
        <v>1707.9836558590141</v>
      </c>
      <c r="CT148" s="408">
        <v>7963.9719503494562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7987.6157516702233</v>
      </c>
      <c r="DA148" s="408">
        <v>0</v>
      </c>
      <c r="DB148" s="408">
        <v>0</v>
      </c>
      <c r="DC148" s="408">
        <v>10661.622125281181</v>
      </c>
      <c r="DD148" s="408">
        <v>0</v>
      </c>
      <c r="DE148" s="408">
        <v>0</v>
      </c>
      <c r="DF148" s="408">
        <v>0</v>
      </c>
      <c r="DG148" s="408">
        <v>468.08964551270446</v>
      </c>
      <c r="DH148" s="408">
        <v>0</v>
      </c>
      <c r="DI148" s="408">
        <v>-897.96666362115502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-141.93660835164519</v>
      </c>
      <c r="DP148" s="408">
        <v>-11.189383056697295</v>
      </c>
      <c r="DQ148" s="408">
        <v>0</v>
      </c>
      <c r="DR148" s="408">
        <v>0</v>
      </c>
      <c r="DS148" s="408"/>
      <c r="DT148" s="408"/>
      <c r="DU148" s="408">
        <v>429862.50210012676</v>
      </c>
      <c r="DV148" s="408">
        <v>0</v>
      </c>
      <c r="DW148" s="408">
        <v>0</v>
      </c>
      <c r="DX148" s="408">
        <v>0</v>
      </c>
      <c r="DY148" s="408">
        <v>-89766.476040000038</v>
      </c>
      <c r="DZ148" s="408">
        <v>10662.826020000008</v>
      </c>
      <c r="EA148" s="408">
        <v>0</v>
      </c>
      <c r="EB148" s="408">
        <v>0</v>
      </c>
      <c r="EC148" s="408">
        <v>-106785.13709278748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6753.4169951322756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240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147</v>
      </c>
      <c r="B149" s="408" t="s">
        <v>1036</v>
      </c>
      <c r="C149" s="408" t="s">
        <v>2247</v>
      </c>
      <c r="D149" s="408" t="s">
        <v>597</v>
      </c>
      <c r="E149" s="408" t="s">
        <v>970</v>
      </c>
      <c r="F149" s="408" t="s">
        <v>1322</v>
      </c>
      <c r="G149" s="408" t="s">
        <v>1322</v>
      </c>
      <c r="H149" s="408" t="s">
        <v>1322</v>
      </c>
      <c r="I149" s="408" t="s">
        <v>2244</v>
      </c>
      <c r="J149" s="408" t="s">
        <v>2236</v>
      </c>
      <c r="K149" s="826">
        <v>44440</v>
      </c>
      <c r="L149" s="408">
        <v>10872</v>
      </c>
      <c r="M149" s="408">
        <v>10872</v>
      </c>
      <c r="N149" s="408">
        <v>4389.6400000000003</v>
      </c>
      <c r="O149" s="408">
        <v>4389.6400000000003</v>
      </c>
      <c r="P149" s="408">
        <v>4389.6400000000003</v>
      </c>
      <c r="Q149" s="408">
        <v>4389.6400000000003</v>
      </c>
      <c r="R149" s="408">
        <v>27.19</v>
      </c>
      <c r="S149" s="408">
        <v>85.01</v>
      </c>
      <c r="T149" s="408">
        <v>173.25</v>
      </c>
      <c r="U149" s="408">
        <v>295609.68</v>
      </c>
      <c r="V149" s="408">
        <v>1133668.4264</v>
      </c>
      <c r="W149" s="408">
        <v>1429278.1063999999</v>
      </c>
      <c r="X149" s="408">
        <v>1459835.6988000001</v>
      </c>
      <c r="Y149" s="408">
        <v>0</v>
      </c>
      <c r="Z149" s="408">
        <v>235040.24224197713</v>
      </c>
      <c r="AA149" s="408">
        <v>0</v>
      </c>
      <c r="AB149" s="408">
        <v>0</v>
      </c>
      <c r="AC149" s="408">
        <v>2535.3570691844761</v>
      </c>
      <c r="AD149" s="408">
        <v>2435.7067736352496</v>
      </c>
      <c r="AE149" s="408">
        <v>260189.03280363008</v>
      </c>
      <c r="AF149" s="408">
        <v>747733.34330011345</v>
      </c>
      <c r="AG149" s="408">
        <v>12761.708595005095</v>
      </c>
      <c r="AH149" s="408">
        <v>0</v>
      </c>
      <c r="AI149" s="408">
        <v>0</v>
      </c>
      <c r="AJ149" s="408">
        <v>0</v>
      </c>
      <c r="AK149" s="408">
        <v>0</v>
      </c>
      <c r="AL149" s="408">
        <v>41741.219666558718</v>
      </c>
      <c r="AM149" s="408"/>
      <c r="AN149" s="408">
        <v>3515.2844090234198</v>
      </c>
      <c r="AO149" s="408">
        <v>5380.3878836155245</v>
      </c>
      <c r="AP149" s="408">
        <v>25093.54190122092</v>
      </c>
      <c r="AQ149" s="408">
        <v>0</v>
      </c>
      <c r="AR149" s="408">
        <v>0</v>
      </c>
      <c r="AS149" s="408">
        <v>0</v>
      </c>
      <c r="AT149" s="408">
        <v>0</v>
      </c>
      <c r="AU149" s="408">
        <v>0</v>
      </c>
      <c r="AV149" s="408">
        <v>0</v>
      </c>
      <c r="AW149" s="408">
        <v>0</v>
      </c>
      <c r="AX149" s="408">
        <v>0</v>
      </c>
      <c r="AY149" s="408">
        <v>0</v>
      </c>
      <c r="AZ149" s="408">
        <v>0</v>
      </c>
      <c r="BA149" s="408"/>
      <c r="BB149" s="408">
        <v>0</v>
      </c>
      <c r="BC149" s="408">
        <v>0</v>
      </c>
      <c r="BD149" s="408">
        <v>0</v>
      </c>
      <c r="BE149" s="408">
        <v>0</v>
      </c>
      <c r="BF149" s="408">
        <v>0</v>
      </c>
      <c r="BG149" s="408">
        <v>32828.610083022599</v>
      </c>
      <c r="BH149" s="408">
        <v>0</v>
      </c>
      <c r="BI149" s="408">
        <v>0</v>
      </c>
      <c r="BJ149" s="408">
        <v>0</v>
      </c>
      <c r="BK149" s="408">
        <v>0</v>
      </c>
      <c r="BL149" s="408">
        <v>0</v>
      </c>
      <c r="BM149" s="408"/>
      <c r="BN149" s="408"/>
      <c r="BO149" s="408"/>
      <c r="BP149" s="408"/>
      <c r="BQ149" s="408"/>
      <c r="BR149" s="408"/>
      <c r="BS149" s="408"/>
      <c r="BT149" s="408"/>
      <c r="BU149" s="408"/>
      <c r="BV149" s="408">
        <v>780561.95338313607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1459835.6988000001</v>
      </c>
      <c r="CJ149" s="408">
        <v>30557.56240000017</v>
      </c>
      <c r="CK149" s="408"/>
      <c r="CL149" s="408"/>
      <c r="CM149" s="408"/>
      <c r="CN149" s="408"/>
      <c r="CO149" s="408">
        <v>-64214.735200000032</v>
      </c>
      <c r="CP149" s="408">
        <v>94772.327600000019</v>
      </c>
      <c r="CQ149" s="408">
        <v>30</v>
      </c>
      <c r="CR149" s="408">
        <v>95124.46763078589</v>
      </c>
      <c r="CS149" s="408">
        <v>536.14415233188174</v>
      </c>
      <c r="CT149" s="408">
        <v>2500.5178144505953</v>
      </c>
      <c r="CU149" s="408">
        <v>0</v>
      </c>
      <c r="CV149" s="408">
        <v>0</v>
      </c>
      <c r="CW149" s="408">
        <v>0</v>
      </c>
      <c r="CX149" s="408">
        <v>0</v>
      </c>
      <c r="CY149" s="408">
        <v>0</v>
      </c>
      <c r="CZ149" s="408">
        <v>2507.9709369580346</v>
      </c>
      <c r="DA149" s="408">
        <v>0</v>
      </c>
      <c r="DB149" s="408">
        <v>0</v>
      </c>
      <c r="DC149" s="408">
        <v>94761.62725616293</v>
      </c>
      <c r="DD149" s="408">
        <v>0</v>
      </c>
      <c r="DE149" s="408">
        <v>0</v>
      </c>
      <c r="DF149" s="408">
        <v>0</v>
      </c>
      <c r="DG149" s="408">
        <v>4160.4303725381324</v>
      </c>
      <c r="DH149" s="408">
        <v>0</v>
      </c>
      <c r="DI149" s="408">
        <v>-7981.2228633345803</v>
      </c>
      <c r="DJ149" s="408"/>
      <c r="DK149" s="408">
        <v>0</v>
      </c>
      <c r="DL149" s="408">
        <v>0</v>
      </c>
      <c r="DM149" s="408">
        <v>0</v>
      </c>
      <c r="DN149" s="408">
        <v>0</v>
      </c>
      <c r="DO149" s="408">
        <v>-1261.5476159794925</v>
      </c>
      <c r="DP149" s="408">
        <v>-99.452422341146757</v>
      </c>
      <c r="DQ149" s="408">
        <v>0</v>
      </c>
      <c r="DR149" s="408">
        <v>0</v>
      </c>
      <c r="DS149" s="408"/>
      <c r="DT149" s="408"/>
      <c r="DU149" s="408">
        <v>260189.03280363008</v>
      </c>
      <c r="DV149" s="408">
        <v>0</v>
      </c>
      <c r="DW149" s="408">
        <v>0</v>
      </c>
      <c r="DX149" s="408">
        <v>0</v>
      </c>
      <c r="DY149" s="408">
        <v>-64214.735199999996</v>
      </c>
      <c r="DZ149" s="408">
        <v>94772.327600000077</v>
      </c>
      <c r="EA149" s="408">
        <v>0</v>
      </c>
      <c r="EB149" s="408">
        <v>0</v>
      </c>
      <c r="EC149" s="408">
        <v>-64635.369222095382</v>
      </c>
      <c r="ED149" s="408">
        <v>0</v>
      </c>
      <c r="EE149" s="408">
        <v>0</v>
      </c>
      <c r="EF149" s="408">
        <v>0</v>
      </c>
      <c r="EG149" s="408">
        <v>0</v>
      </c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>
        <v>0</v>
      </c>
      <c r="EN149" s="408">
        <v>0</v>
      </c>
      <c r="EO149" s="408">
        <v>0</v>
      </c>
      <c r="EP149" s="408">
        <v>60025.085908893379</v>
      </c>
      <c r="EQ149" s="408">
        <v>0</v>
      </c>
      <c r="ER149" s="408">
        <v>0</v>
      </c>
      <c r="ES149" s="408">
        <v>0</v>
      </c>
      <c r="ET149" s="408">
        <v>0</v>
      </c>
      <c r="EU149" s="408">
        <v>0</v>
      </c>
      <c r="EV149" s="408">
        <v>240</v>
      </c>
      <c r="EW149" s="408">
        <v>0</v>
      </c>
      <c r="EX149" s="408">
        <v>0</v>
      </c>
      <c r="EY149" s="408">
        <v>0</v>
      </c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148</v>
      </c>
      <c r="B150" s="408" t="s">
        <v>1036</v>
      </c>
      <c r="C150" s="408" t="s">
        <v>2247</v>
      </c>
      <c r="D150" s="408" t="s">
        <v>597</v>
      </c>
      <c r="E150" s="408" t="s">
        <v>970</v>
      </c>
      <c r="F150" s="408" t="s">
        <v>1322</v>
      </c>
      <c r="G150" s="408" t="s">
        <v>1322</v>
      </c>
      <c r="H150" s="408" t="s">
        <v>1322</v>
      </c>
      <c r="I150" s="408" t="s">
        <v>1322</v>
      </c>
      <c r="J150" s="408" t="s">
        <v>2236</v>
      </c>
      <c r="K150" s="826">
        <v>44440</v>
      </c>
      <c r="L150" s="408">
        <v>0</v>
      </c>
      <c r="M150" s="408">
        <v>0</v>
      </c>
      <c r="N150" s="408">
        <v>0</v>
      </c>
      <c r="O150" s="408">
        <v>0</v>
      </c>
      <c r="P150" s="408">
        <v>0</v>
      </c>
      <c r="Q150" s="408">
        <v>0</v>
      </c>
      <c r="R150" s="408"/>
      <c r="S150" s="408"/>
      <c r="T150" s="408"/>
      <c r="U150" s="408"/>
      <c r="V150" s="408"/>
      <c r="W150" s="408"/>
      <c r="X150" s="408"/>
      <c r="Y150" s="408"/>
      <c r="Z150" s="408"/>
      <c r="AA150" s="408">
        <v>0</v>
      </c>
      <c r="AB150" s="408"/>
      <c r="AC150" s="408"/>
      <c r="AD150" s="408"/>
      <c r="AE150" s="408"/>
      <c r="AF150" s="408"/>
      <c r="AG150" s="408"/>
      <c r="AH150" s="408"/>
      <c r="AI150" s="408"/>
      <c r="AJ150" s="408"/>
      <c r="AK150" s="408"/>
      <c r="AL150" s="408"/>
      <c r="AM150" s="408"/>
      <c r="AN150" s="408"/>
      <c r="AO150" s="408"/>
      <c r="AP150" s="408"/>
      <c r="AQ150" s="408"/>
      <c r="AR150" s="408"/>
      <c r="AS150" s="408"/>
      <c r="AT150" s="408"/>
      <c r="AU150" s="408"/>
      <c r="AV150" s="408"/>
      <c r="AW150" s="408"/>
      <c r="AX150" s="408"/>
      <c r="AY150" s="408"/>
      <c r="AZ150" s="408">
        <v>0</v>
      </c>
      <c r="BA150" s="408"/>
      <c r="BB150" s="408"/>
      <c r="BC150" s="408"/>
      <c r="BD150" s="408"/>
      <c r="BE150" s="408"/>
      <c r="BF150" s="408"/>
      <c r="BG150" s="408"/>
      <c r="BH150" s="408"/>
      <c r="BI150" s="408">
        <v>1941.96</v>
      </c>
      <c r="BJ150" s="408">
        <v>16645.62</v>
      </c>
      <c r="BK150" s="408">
        <v>583423.67000000004</v>
      </c>
      <c r="BL150" s="408">
        <v>5</v>
      </c>
      <c r="BM150" s="408"/>
      <c r="BN150" s="408"/>
      <c r="BO150" s="408"/>
      <c r="BP150" s="408"/>
      <c r="BQ150" s="408"/>
      <c r="BR150" s="408"/>
      <c r="BS150" s="408"/>
      <c r="BT150" s="408"/>
      <c r="BU150" s="408"/>
      <c r="BV150" s="408"/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/>
      <c r="CJ150" s="408">
        <v>-0.03</v>
      </c>
      <c r="CK150" s="408"/>
      <c r="CL150" s="408"/>
      <c r="CM150" s="408"/>
      <c r="CN150" s="408"/>
      <c r="CO150" s="408">
        <v>0</v>
      </c>
      <c r="CP150" s="408">
        <v>0</v>
      </c>
      <c r="CQ150" s="408">
        <v>30</v>
      </c>
      <c r="CR150" s="408"/>
      <c r="CS150" s="408"/>
      <c r="CT150" s="408"/>
      <c r="CU150" s="408"/>
      <c r="CV150" s="408"/>
      <c r="CW150" s="408"/>
      <c r="CX150" s="408"/>
      <c r="CY150" s="408"/>
      <c r="CZ150" s="408"/>
      <c r="DA150" s="408"/>
      <c r="DB150" s="408"/>
      <c r="DC150" s="408"/>
      <c r="DD150" s="408"/>
      <c r="DE150" s="408"/>
      <c r="DF150" s="408"/>
      <c r="DG150" s="408"/>
      <c r="DH150" s="408"/>
      <c r="DI150" s="408"/>
      <c r="DJ150" s="408"/>
      <c r="DK150" s="408">
        <v>0</v>
      </c>
      <c r="DL150" s="408"/>
      <c r="DM150" s="408"/>
      <c r="DN150" s="408"/>
      <c r="DO150" s="408"/>
      <c r="DP150" s="408"/>
      <c r="DQ150" s="408"/>
      <c r="DR150" s="408"/>
      <c r="DS150" s="408"/>
      <c r="DT150" s="408"/>
      <c r="DU150" s="408"/>
      <c r="DV150" s="408"/>
      <c r="DW150" s="408"/>
      <c r="DX150" s="408"/>
      <c r="DY150" s="408"/>
      <c r="DZ150" s="408"/>
      <c r="EA150" s="408"/>
      <c r="EB150" s="408"/>
      <c r="EC150" s="408"/>
      <c r="ED150" s="408"/>
      <c r="EE150" s="408"/>
      <c r="EF150" s="408"/>
      <c r="EG150" s="408"/>
      <c r="EH150" s="408"/>
      <c r="EI150" s="408"/>
      <c r="EJ150" s="408"/>
      <c r="EK150" s="408"/>
      <c r="EL150" s="408"/>
      <c r="EM150" s="408"/>
      <c r="EN150" s="408"/>
      <c r="EO150" s="408"/>
      <c r="EP150" s="408"/>
      <c r="EQ150" s="408"/>
      <c r="ER150" s="408"/>
      <c r="ES150" s="408"/>
      <c r="ET150" s="408"/>
      <c r="EU150" s="408"/>
      <c r="EV150" s="408">
        <v>240</v>
      </c>
      <c r="EW150" s="408"/>
      <c r="EX150" s="408"/>
      <c r="EY150" s="408"/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149</v>
      </c>
      <c r="B151" s="408" t="s">
        <v>1036</v>
      </c>
      <c r="C151" s="408" t="s">
        <v>2243</v>
      </c>
      <c r="D151" s="408" t="s">
        <v>597</v>
      </c>
      <c r="E151" s="408" t="s">
        <v>970</v>
      </c>
      <c r="F151" s="408" t="s">
        <v>1322</v>
      </c>
      <c r="G151" s="408" t="s">
        <v>1322</v>
      </c>
      <c r="H151" s="408" t="s">
        <v>1322</v>
      </c>
      <c r="I151" s="408" t="s">
        <v>973</v>
      </c>
      <c r="J151" s="408" t="s">
        <v>2236</v>
      </c>
      <c r="K151" s="826">
        <v>44440</v>
      </c>
      <c r="L151" s="408">
        <v>0</v>
      </c>
      <c r="M151" s="408">
        <v>0</v>
      </c>
      <c r="N151" s="408">
        <v>202.08500000000001</v>
      </c>
      <c r="O151" s="408">
        <v>202.08500000000001</v>
      </c>
      <c r="P151" s="408">
        <v>202.08500000000001</v>
      </c>
      <c r="Q151" s="408">
        <v>202.08500000000001</v>
      </c>
      <c r="R151" s="408"/>
      <c r="S151" s="408">
        <v>1358.36</v>
      </c>
      <c r="T151" s="408">
        <v>173.25</v>
      </c>
      <c r="U151" s="408"/>
      <c r="V151" s="408">
        <v>309515.40684999997</v>
      </c>
      <c r="W151" s="408">
        <v>309515.40684999997</v>
      </c>
      <c r="X151" s="408">
        <v>271383.98820000002</v>
      </c>
      <c r="Y151" s="408">
        <v>0</v>
      </c>
      <c r="Z151" s="408">
        <v>10820.501761754938</v>
      </c>
      <c r="AA151" s="408">
        <v>0</v>
      </c>
      <c r="AB151" s="408">
        <v>0</v>
      </c>
      <c r="AC151" s="408">
        <v>3827.9119212870551</v>
      </c>
      <c r="AD151" s="408">
        <v>3677.7763381191075</v>
      </c>
      <c r="AE151" s="408">
        <v>203804.28194960076</v>
      </c>
      <c r="AF151" s="408">
        <v>34423.253998232976</v>
      </c>
      <c r="AG151" s="408">
        <v>587.50828801942862</v>
      </c>
      <c r="AH151" s="408">
        <v>0</v>
      </c>
      <c r="AI151" s="408">
        <v>0</v>
      </c>
      <c r="AJ151" s="408">
        <v>0</v>
      </c>
      <c r="AK151" s="408">
        <v>0</v>
      </c>
      <c r="AL151" s="408">
        <v>1921.6323835933056</v>
      </c>
      <c r="AM151" s="408"/>
      <c r="AN151" s="408">
        <v>161.83246229702155</v>
      </c>
      <c r="AO151" s="408">
        <v>8126.0040029512184</v>
      </c>
      <c r="AP151" s="408">
        <v>37890.149606663035</v>
      </c>
      <c r="AQ151" s="408">
        <v>0</v>
      </c>
      <c r="AR151" s="408">
        <v>0</v>
      </c>
      <c r="AS151" s="408">
        <v>0</v>
      </c>
      <c r="AT151" s="408">
        <v>0</v>
      </c>
      <c r="AU151" s="408">
        <v>0</v>
      </c>
      <c r="AV151" s="408">
        <v>0</v>
      </c>
      <c r="AW151" s="408">
        <v>0</v>
      </c>
      <c r="AX151" s="408">
        <v>0</v>
      </c>
      <c r="AY151" s="408">
        <v>0</v>
      </c>
      <c r="AZ151" s="408">
        <v>0</v>
      </c>
      <c r="BA151" s="408"/>
      <c r="BB151" s="408">
        <v>0</v>
      </c>
      <c r="BC151" s="408">
        <v>0</v>
      </c>
      <c r="BD151" s="408">
        <v>0</v>
      </c>
      <c r="BE151" s="408">
        <v>0</v>
      </c>
      <c r="BF151" s="408">
        <v>0</v>
      </c>
      <c r="BG151" s="408">
        <v>1511.3243155765897</v>
      </c>
      <c r="BH151" s="408">
        <v>0</v>
      </c>
      <c r="BI151" s="408">
        <v>0</v>
      </c>
      <c r="BJ151" s="408">
        <v>0</v>
      </c>
      <c r="BK151" s="408">
        <v>0</v>
      </c>
      <c r="BL151" s="408">
        <v>0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>
        <v>35934.578313809565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271390.70280000003</v>
      </c>
      <c r="CJ151" s="408">
        <v>-38124.73404999997</v>
      </c>
      <c r="CK151" s="408"/>
      <c r="CL151" s="408"/>
      <c r="CM151" s="408"/>
      <c r="CN151" s="408"/>
      <c r="CO151" s="408">
        <v>-42494.433799999999</v>
      </c>
      <c r="CP151" s="408">
        <v>4363.0151500000011</v>
      </c>
      <c r="CQ151" s="408">
        <v>30</v>
      </c>
      <c r="CR151" s="408">
        <v>12496.271763998637</v>
      </c>
      <c r="CS151" s="408">
        <v>809.73893002674777</v>
      </c>
      <c r="CT151" s="408">
        <v>3775.6724202831901</v>
      </c>
      <c r="CU151" s="408">
        <v>0</v>
      </c>
      <c r="CV151" s="408">
        <v>0</v>
      </c>
      <c r="CW151" s="408">
        <v>0</v>
      </c>
      <c r="CX151" s="408">
        <v>0</v>
      </c>
      <c r="CY151" s="408">
        <v>0</v>
      </c>
      <c r="CZ151" s="408">
        <v>3786.8910447164994</v>
      </c>
      <c r="DA151" s="408">
        <v>0</v>
      </c>
      <c r="DB151" s="408">
        <v>0</v>
      </c>
      <c r="DC151" s="408">
        <v>4362.5225403590521</v>
      </c>
      <c r="DD151" s="408">
        <v>0</v>
      </c>
      <c r="DE151" s="408">
        <v>0</v>
      </c>
      <c r="DF151" s="408">
        <v>0</v>
      </c>
      <c r="DG151" s="408">
        <v>191.53292111297719</v>
      </c>
      <c r="DH151" s="408">
        <v>0</v>
      </c>
      <c r="DI151" s="408">
        <v>-367.42999934777436</v>
      </c>
      <c r="DJ151" s="408"/>
      <c r="DK151" s="408">
        <v>0</v>
      </c>
      <c r="DL151" s="408">
        <v>0</v>
      </c>
      <c r="DM151" s="408">
        <v>0</v>
      </c>
      <c r="DN151" s="408">
        <v>0</v>
      </c>
      <c r="DO151" s="408">
        <v>-58.077621393830668</v>
      </c>
      <c r="DP151" s="408">
        <v>-4.5784717582331496</v>
      </c>
      <c r="DQ151" s="408">
        <v>0</v>
      </c>
      <c r="DR151" s="408">
        <v>0</v>
      </c>
      <c r="DS151" s="408"/>
      <c r="DT151" s="408"/>
      <c r="DU151" s="408"/>
      <c r="DV151" s="408">
        <v>203804.28194960076</v>
      </c>
      <c r="DW151" s="408">
        <v>0</v>
      </c>
      <c r="DX151" s="408">
        <v>0</v>
      </c>
      <c r="DY151" s="408">
        <v>-42494.43379999997</v>
      </c>
      <c r="DZ151" s="408">
        <v>4363.0151499999993</v>
      </c>
      <c r="EA151" s="408">
        <v>0</v>
      </c>
      <c r="EB151" s="408">
        <v>0</v>
      </c>
      <c r="EC151" s="408">
        <v>-50628.440679890307</v>
      </c>
      <c r="ED151" s="408">
        <v>0</v>
      </c>
      <c r="EE151" s="408">
        <v>0</v>
      </c>
      <c r="EF151" s="408">
        <v>0</v>
      </c>
      <c r="EG151" s="408">
        <v>0</v>
      </c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>
        <v>0</v>
      </c>
      <c r="EN151" s="408">
        <v>0</v>
      </c>
      <c r="EO151" s="408">
        <v>0</v>
      </c>
      <c r="EP151" s="408">
        <v>2763.3631655212544</v>
      </c>
      <c r="EQ151" s="408">
        <v>0</v>
      </c>
      <c r="ER151" s="408">
        <v>0</v>
      </c>
      <c r="ES151" s="408">
        <v>0</v>
      </c>
      <c r="ET151" s="408">
        <v>0</v>
      </c>
      <c r="EU151" s="408">
        <v>0</v>
      </c>
      <c r="EV151" s="408">
        <v>240</v>
      </c>
      <c r="EW151" s="408">
        <v>0</v>
      </c>
      <c r="EX151" s="408">
        <v>0</v>
      </c>
      <c r="EY151" s="408">
        <v>0</v>
      </c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150</v>
      </c>
      <c r="B152" s="408" t="s">
        <v>2238</v>
      </c>
      <c r="C152" s="408" t="s">
        <v>2243</v>
      </c>
      <c r="D152" s="408" t="s">
        <v>597</v>
      </c>
      <c r="E152" s="408" t="s">
        <v>970</v>
      </c>
      <c r="F152" s="408" t="s">
        <v>1322</v>
      </c>
      <c r="G152" s="408" t="s">
        <v>1322</v>
      </c>
      <c r="H152" s="408" t="s">
        <v>1322</v>
      </c>
      <c r="I152" s="408" t="s">
        <v>973</v>
      </c>
      <c r="J152" s="408" t="s">
        <v>2236</v>
      </c>
      <c r="K152" s="826">
        <v>44440</v>
      </c>
      <c r="L152" s="408">
        <v>0</v>
      </c>
      <c r="M152" s="408">
        <v>0</v>
      </c>
      <c r="N152" s="408">
        <v>0.26400000000000001</v>
      </c>
      <c r="O152" s="408">
        <v>0.26400000000000001</v>
      </c>
      <c r="P152" s="408">
        <v>0.26400000000000001</v>
      </c>
      <c r="Q152" s="408">
        <v>0.26400000000000001</v>
      </c>
      <c r="R152" s="408"/>
      <c r="S152" s="408">
        <v>1358.36</v>
      </c>
      <c r="T152" s="408">
        <v>173.25</v>
      </c>
      <c r="U152" s="408"/>
      <c r="V152" s="408">
        <v>404.34503999999998</v>
      </c>
      <c r="W152" s="408">
        <v>404.34503999999998</v>
      </c>
      <c r="X152" s="408">
        <v>354.53088000000002</v>
      </c>
      <c r="Y152" s="408">
        <v>0</v>
      </c>
      <c r="Z152" s="408">
        <v>14.135697677231382</v>
      </c>
      <c r="AA152" s="408">
        <v>0</v>
      </c>
      <c r="AB152" s="408">
        <v>0</v>
      </c>
      <c r="AC152" s="408">
        <v>5.0007113205818472</v>
      </c>
      <c r="AD152" s="408">
        <v>4.8045770505650811</v>
      </c>
      <c r="AE152" s="408">
        <v>266.24603723529503</v>
      </c>
      <c r="AF152" s="408">
        <v>44.969884234522631</v>
      </c>
      <c r="AG152" s="408">
        <v>0.76750965206289012</v>
      </c>
      <c r="AH152" s="408">
        <v>0</v>
      </c>
      <c r="AI152" s="408">
        <v>0</v>
      </c>
      <c r="AJ152" s="408">
        <v>0</v>
      </c>
      <c r="AK152" s="408">
        <v>0</v>
      </c>
      <c r="AL152" s="408">
        <v>2.5103839932139085</v>
      </c>
      <c r="AM152" s="408"/>
      <c r="AN152" s="408">
        <v>0.2114148504164767</v>
      </c>
      <c r="AO152" s="408">
        <v>10.615657059054961</v>
      </c>
      <c r="AP152" s="408">
        <v>49.498970711131655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0</v>
      </c>
      <c r="BE152" s="408">
        <v>0</v>
      </c>
      <c r="BF152" s="408">
        <v>0</v>
      </c>
      <c r="BG152" s="408">
        <v>1.9743653379133517</v>
      </c>
      <c r="BH152" s="408">
        <v>0</v>
      </c>
      <c r="BI152" s="408">
        <v>0</v>
      </c>
      <c r="BJ152" s="408">
        <v>0</v>
      </c>
      <c r="BK152" s="408">
        <v>0</v>
      </c>
      <c r="BL152" s="408">
        <v>0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46.944249572435986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349.15919999999994</v>
      </c>
      <c r="CJ152" s="408">
        <v>-55.215840000000014</v>
      </c>
      <c r="CK152" s="408"/>
      <c r="CL152" s="408"/>
      <c r="CM152" s="408"/>
      <c r="CN152" s="408"/>
      <c r="CO152" s="408">
        <v>-55.513919999999999</v>
      </c>
      <c r="CP152" s="408">
        <v>5.6997600000000013</v>
      </c>
      <c r="CQ152" s="408">
        <v>30</v>
      </c>
      <c r="CR152" s="408">
        <v>16.324891732170329</v>
      </c>
      <c r="CS152" s="408">
        <v>1.0578275355769176</v>
      </c>
      <c r="CT152" s="408">
        <v>4.9324666301544582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4.9471224277168311</v>
      </c>
      <c r="DA152" s="408">
        <v>0</v>
      </c>
      <c r="DB152" s="408">
        <v>0</v>
      </c>
      <c r="DC152" s="408">
        <v>5.6991164641353365</v>
      </c>
      <c r="DD152" s="408">
        <v>0</v>
      </c>
      <c r="DE152" s="408">
        <v>0</v>
      </c>
      <c r="DF152" s="408">
        <v>0</v>
      </c>
      <c r="DG152" s="408">
        <v>0.25021496486045969</v>
      </c>
      <c r="DH152" s="408">
        <v>0</v>
      </c>
      <c r="DI152" s="408">
        <v>-0.48000356200516059</v>
      </c>
      <c r="DJ152" s="408"/>
      <c r="DK152" s="408">
        <v>0</v>
      </c>
      <c r="DL152" s="408">
        <v>0</v>
      </c>
      <c r="DM152" s="408">
        <v>0</v>
      </c>
      <c r="DN152" s="408">
        <v>0</v>
      </c>
      <c r="DO152" s="408">
        <v>-7.5871499853879865E-2</v>
      </c>
      <c r="DP152" s="408">
        <v>-5.9812284146451011E-3</v>
      </c>
      <c r="DQ152" s="408">
        <v>0</v>
      </c>
      <c r="DR152" s="408">
        <v>0</v>
      </c>
      <c r="DS152" s="408"/>
      <c r="DT152" s="408"/>
      <c r="DU152" s="408"/>
      <c r="DV152" s="408">
        <v>266.24603723529503</v>
      </c>
      <c r="DW152" s="408">
        <v>0</v>
      </c>
      <c r="DX152" s="408">
        <v>0</v>
      </c>
      <c r="DY152" s="408">
        <v>-55.513919999999985</v>
      </c>
      <c r="DZ152" s="408">
        <v>5.6997600000000048</v>
      </c>
      <c r="EA152" s="408">
        <v>0</v>
      </c>
      <c r="EB152" s="408">
        <v>0</v>
      </c>
      <c r="EC152" s="408">
        <v>-66.140031865259857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3.6100050755751845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240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151</v>
      </c>
      <c r="B153" s="408" t="s">
        <v>1036</v>
      </c>
      <c r="C153" s="408" t="s">
        <v>2243</v>
      </c>
      <c r="D153" s="408" t="s">
        <v>597</v>
      </c>
      <c r="E153" s="408" t="s">
        <v>970</v>
      </c>
      <c r="F153" s="408" t="s">
        <v>1322</v>
      </c>
      <c r="G153" s="408" t="s">
        <v>1322</v>
      </c>
      <c r="H153" s="408" t="s">
        <v>1322</v>
      </c>
      <c r="I153" s="408" t="s">
        <v>2244</v>
      </c>
      <c r="J153" s="408" t="s">
        <v>2236</v>
      </c>
      <c r="K153" s="826">
        <v>44440</v>
      </c>
      <c r="L153" s="408">
        <v>0</v>
      </c>
      <c r="M153" s="408">
        <v>0</v>
      </c>
      <c r="N153" s="408">
        <v>3381.0639999999999</v>
      </c>
      <c r="O153" s="408">
        <v>3381.0639999999999</v>
      </c>
      <c r="P153" s="408">
        <v>3381.0639999999999</v>
      </c>
      <c r="Q153" s="408">
        <v>3381.0639999999999</v>
      </c>
      <c r="R153" s="408"/>
      <c r="S153" s="408">
        <v>85.01</v>
      </c>
      <c r="T153" s="408">
        <v>173.25</v>
      </c>
      <c r="U153" s="408"/>
      <c r="V153" s="408">
        <v>873193.58863999997</v>
      </c>
      <c r="W153" s="408">
        <v>873193.58863999997</v>
      </c>
      <c r="X153" s="408">
        <v>942201.10487999988</v>
      </c>
      <c r="Y153" s="408">
        <v>0</v>
      </c>
      <c r="Z153" s="408">
        <v>181036.73686125243</v>
      </c>
      <c r="AA153" s="408">
        <v>0</v>
      </c>
      <c r="AB153" s="408">
        <v>0</v>
      </c>
      <c r="AC153" s="408">
        <v>0</v>
      </c>
      <c r="AD153" s="408">
        <v>0</v>
      </c>
      <c r="AE153" s="408">
        <v>0</v>
      </c>
      <c r="AF153" s="408">
        <v>575932.03283906064</v>
      </c>
      <c r="AG153" s="408">
        <v>9829.5426297059221</v>
      </c>
      <c r="AH153" s="408">
        <v>0</v>
      </c>
      <c r="AI153" s="408">
        <v>0</v>
      </c>
      <c r="AJ153" s="408">
        <v>0</v>
      </c>
      <c r="AK153" s="408">
        <v>0</v>
      </c>
      <c r="AL153" s="408">
        <v>32150.63994557496</v>
      </c>
      <c r="AM153" s="408"/>
      <c r="AN153" s="408">
        <v>2707.602802305054</v>
      </c>
      <c r="AO153" s="408">
        <v>0</v>
      </c>
      <c r="AP153" s="408">
        <v>0</v>
      </c>
      <c r="AQ153" s="408">
        <v>0</v>
      </c>
      <c r="AR153" s="408">
        <v>0</v>
      </c>
      <c r="AS153" s="408">
        <v>0</v>
      </c>
      <c r="AT153" s="408">
        <v>0</v>
      </c>
      <c r="AU153" s="408">
        <v>0</v>
      </c>
      <c r="AV153" s="408">
        <v>0</v>
      </c>
      <c r="AW153" s="408">
        <v>0</v>
      </c>
      <c r="AX153" s="408">
        <v>0</v>
      </c>
      <c r="AY153" s="408">
        <v>0</v>
      </c>
      <c r="AZ153" s="408">
        <v>0</v>
      </c>
      <c r="BA153" s="408"/>
      <c r="BB153" s="408">
        <v>0</v>
      </c>
      <c r="BC153" s="408">
        <v>0</v>
      </c>
      <c r="BD153" s="408">
        <v>0</v>
      </c>
      <c r="BE153" s="408">
        <v>0</v>
      </c>
      <c r="BF153" s="408">
        <v>0</v>
      </c>
      <c r="BG153" s="408">
        <v>25285.816541161621</v>
      </c>
      <c r="BH153" s="408">
        <v>0</v>
      </c>
      <c r="BI153" s="408">
        <v>0</v>
      </c>
      <c r="BJ153" s="408">
        <v>0</v>
      </c>
      <c r="BK153" s="408">
        <v>0</v>
      </c>
      <c r="BL153" s="408">
        <v>0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>
        <v>601217.84938022227</v>
      </c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>
        <v>942199.9902</v>
      </c>
      <c r="CJ153" s="408">
        <v>69006.37156</v>
      </c>
      <c r="CK153" s="408"/>
      <c r="CL153" s="408"/>
      <c r="CM153" s="408"/>
      <c r="CN153" s="408"/>
      <c r="CO153" s="408">
        <v>-3989.655520000023</v>
      </c>
      <c r="CP153" s="408">
        <v>72997.171760000012</v>
      </c>
      <c r="CQ153" s="408">
        <v>30</v>
      </c>
      <c r="CR153" s="408">
        <v>68997.720615259022</v>
      </c>
      <c r="CS153" s="408">
        <v>0</v>
      </c>
      <c r="CT153" s="408">
        <v>0</v>
      </c>
      <c r="CU153" s="408">
        <v>0</v>
      </c>
      <c r="CV153" s="408">
        <v>0</v>
      </c>
      <c r="CW153" s="408">
        <v>0</v>
      </c>
      <c r="CX153" s="408">
        <v>0</v>
      </c>
      <c r="CY153" s="408">
        <v>0</v>
      </c>
      <c r="CZ153" s="408">
        <v>0</v>
      </c>
      <c r="DA153" s="408">
        <v>0</v>
      </c>
      <c r="DB153" s="408">
        <v>0</v>
      </c>
      <c r="DC153" s="408">
        <v>72988.92995717912</v>
      </c>
      <c r="DD153" s="408">
        <v>0</v>
      </c>
      <c r="DE153" s="408">
        <v>0</v>
      </c>
      <c r="DF153" s="408">
        <v>0</v>
      </c>
      <c r="DG153" s="408">
        <v>3204.5182195112284</v>
      </c>
      <c r="DH153" s="408">
        <v>0</v>
      </c>
      <c r="DI153" s="408">
        <v>-6147.4347097250575</v>
      </c>
      <c r="DJ153" s="408"/>
      <c r="DK153" s="408">
        <v>0</v>
      </c>
      <c r="DL153" s="408">
        <v>0</v>
      </c>
      <c r="DM153" s="408">
        <v>0</v>
      </c>
      <c r="DN153" s="408">
        <v>0</v>
      </c>
      <c r="DO153" s="408">
        <v>-971.69089690135661</v>
      </c>
      <c r="DP153" s="408">
        <v>-76.601954805051264</v>
      </c>
      <c r="DQ153" s="408">
        <v>0</v>
      </c>
      <c r="DR153" s="408">
        <v>0</v>
      </c>
      <c r="DS153" s="408"/>
      <c r="DT153" s="408"/>
      <c r="DU153" s="408"/>
      <c r="DV153" s="408">
        <v>0</v>
      </c>
      <c r="DW153" s="408">
        <v>0</v>
      </c>
      <c r="DX153" s="408">
        <v>0</v>
      </c>
      <c r="DY153" s="408">
        <v>-3989.6555200000294</v>
      </c>
      <c r="DZ153" s="408">
        <v>72997.171759999939</v>
      </c>
      <c r="EA153" s="408">
        <v>0</v>
      </c>
      <c r="EB153" s="408">
        <v>0</v>
      </c>
      <c r="EC153" s="408">
        <v>0</v>
      </c>
      <c r="ED153" s="408">
        <v>0</v>
      </c>
      <c r="EE153" s="408">
        <v>0</v>
      </c>
      <c r="EF153" s="408">
        <v>0</v>
      </c>
      <c r="EG153" s="408">
        <v>0</v>
      </c>
      <c r="EH153" s="408">
        <v>0</v>
      </c>
      <c r="EI153" s="408">
        <v>0</v>
      </c>
      <c r="EJ153" s="408">
        <v>0</v>
      </c>
      <c r="EK153" s="408">
        <v>0</v>
      </c>
      <c r="EL153" s="408">
        <v>0</v>
      </c>
      <c r="EM153" s="408">
        <v>0</v>
      </c>
      <c r="EN153" s="408">
        <v>0</v>
      </c>
      <c r="EO153" s="408">
        <v>0</v>
      </c>
      <c r="EP153" s="408">
        <v>46233.553791077778</v>
      </c>
      <c r="EQ153" s="408">
        <v>0</v>
      </c>
      <c r="ER153" s="408">
        <v>0</v>
      </c>
      <c r="ES153" s="408">
        <v>0</v>
      </c>
      <c r="ET153" s="408">
        <v>0</v>
      </c>
      <c r="EU153" s="408">
        <v>0</v>
      </c>
      <c r="EV153" s="408">
        <v>240</v>
      </c>
      <c r="EW153" s="408">
        <v>0</v>
      </c>
      <c r="EX153" s="408">
        <v>0</v>
      </c>
      <c r="EY153" s="408">
        <v>0</v>
      </c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152</v>
      </c>
      <c r="B154" s="408" t="s">
        <v>2238</v>
      </c>
      <c r="C154" s="408" t="s">
        <v>2243</v>
      </c>
      <c r="D154" s="408" t="s">
        <v>597</v>
      </c>
      <c r="E154" s="408" t="s">
        <v>970</v>
      </c>
      <c r="F154" s="408" t="s">
        <v>1322</v>
      </c>
      <c r="G154" s="408" t="s">
        <v>1322</v>
      </c>
      <c r="H154" s="408" t="s">
        <v>1322</v>
      </c>
      <c r="I154" s="408" t="s">
        <v>2244</v>
      </c>
      <c r="J154" s="408" t="s">
        <v>2236</v>
      </c>
      <c r="K154" s="826">
        <v>44440</v>
      </c>
      <c r="L154" s="408">
        <v>0</v>
      </c>
      <c r="M154" s="408">
        <v>0</v>
      </c>
      <c r="N154" s="408">
        <v>8.6959999999999997</v>
      </c>
      <c r="O154" s="408">
        <v>8.6959999999999997</v>
      </c>
      <c r="P154" s="408">
        <v>8.6959999999999997</v>
      </c>
      <c r="Q154" s="408">
        <v>8.6959999999999997</v>
      </c>
      <c r="R154" s="408"/>
      <c r="S154" s="408">
        <v>85.01</v>
      </c>
      <c r="T154" s="408">
        <v>173.25</v>
      </c>
      <c r="U154" s="408"/>
      <c r="V154" s="408">
        <v>2245.8289599999998</v>
      </c>
      <c r="W154" s="408">
        <v>2245.8289599999998</v>
      </c>
      <c r="X154" s="408">
        <v>2423.31432</v>
      </c>
      <c r="Y154" s="408">
        <v>0</v>
      </c>
      <c r="Z154" s="408">
        <v>465.62131439850032</v>
      </c>
      <c r="AA154" s="408">
        <v>0</v>
      </c>
      <c r="AB154" s="408">
        <v>0</v>
      </c>
      <c r="AC154" s="408">
        <v>0</v>
      </c>
      <c r="AD154" s="408">
        <v>0</v>
      </c>
      <c r="AE154" s="408">
        <v>0</v>
      </c>
      <c r="AF154" s="408">
        <v>1481.2807322098818</v>
      </c>
      <c r="AG154" s="408">
        <v>25.28130278158671</v>
      </c>
      <c r="AH154" s="408">
        <v>0</v>
      </c>
      <c r="AI154" s="408">
        <v>0</v>
      </c>
      <c r="AJ154" s="408">
        <v>0</v>
      </c>
      <c r="AK154" s="408">
        <v>0</v>
      </c>
      <c r="AL154" s="408">
        <v>82.690527291621763</v>
      </c>
      <c r="AM154" s="408"/>
      <c r="AN154" s="408">
        <v>6.9638770425063683</v>
      </c>
      <c r="AO154" s="408">
        <v>0</v>
      </c>
      <c r="AP154" s="408">
        <v>0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0</v>
      </c>
      <c r="BE154" s="408">
        <v>0</v>
      </c>
      <c r="BF154" s="408">
        <v>0</v>
      </c>
      <c r="BG154" s="408">
        <v>65.034397645812518</v>
      </c>
      <c r="BH154" s="408">
        <v>0</v>
      </c>
      <c r="BI154" s="408">
        <v>0</v>
      </c>
      <c r="BJ154" s="408">
        <v>0</v>
      </c>
      <c r="BK154" s="408">
        <v>0</v>
      </c>
      <c r="BL154" s="408">
        <v>0</v>
      </c>
      <c r="BM154" s="408"/>
      <c r="BN154" s="408"/>
      <c r="BO154" s="408"/>
      <c r="BP154" s="408"/>
      <c r="BQ154" s="408"/>
      <c r="BR154" s="408"/>
      <c r="BS154" s="408"/>
      <c r="BT154" s="408"/>
      <c r="BU154" s="408"/>
      <c r="BV154" s="408">
        <v>1546.3151298556943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2424.4290000000001</v>
      </c>
      <c r="CJ154" s="408">
        <v>178.57004000000006</v>
      </c>
      <c r="CK154" s="408"/>
      <c r="CL154" s="408"/>
      <c r="CM154" s="408"/>
      <c r="CN154" s="408"/>
      <c r="CO154" s="408">
        <v>-10.26128000000006</v>
      </c>
      <c r="CP154" s="408">
        <v>187.74664000000001</v>
      </c>
      <c r="CQ154" s="408">
        <v>30</v>
      </c>
      <c r="CR154" s="408">
        <v>177.46016593305922</v>
      </c>
      <c r="CS154" s="408">
        <v>0</v>
      </c>
      <c r="CT154" s="408">
        <v>0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0</v>
      </c>
      <c r="DA154" s="408">
        <v>0</v>
      </c>
      <c r="DB154" s="408">
        <v>0</v>
      </c>
      <c r="DC154" s="408">
        <v>187.72544231863958</v>
      </c>
      <c r="DD154" s="408">
        <v>0</v>
      </c>
      <c r="DE154" s="408">
        <v>0</v>
      </c>
      <c r="DF154" s="408">
        <v>0</v>
      </c>
      <c r="DG154" s="408">
        <v>8.2419292970702855</v>
      </c>
      <c r="DH154" s="408">
        <v>0</v>
      </c>
      <c r="DI154" s="408">
        <v>-15.811026421200268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-2.4991612224596196</v>
      </c>
      <c r="DP154" s="408">
        <v>-0.19701803899149173</v>
      </c>
      <c r="DQ154" s="408">
        <v>0</v>
      </c>
      <c r="DR154" s="408">
        <v>0</v>
      </c>
      <c r="DS154" s="408"/>
      <c r="DT154" s="408"/>
      <c r="DU154" s="408"/>
      <c r="DV154" s="408">
        <v>0</v>
      </c>
      <c r="DW154" s="408">
        <v>0</v>
      </c>
      <c r="DX154" s="408">
        <v>0</v>
      </c>
      <c r="DY154" s="408">
        <v>-10.261280000000056</v>
      </c>
      <c r="DZ154" s="408">
        <v>187.74664000000007</v>
      </c>
      <c r="EA154" s="408">
        <v>0</v>
      </c>
      <c r="EB154" s="408">
        <v>0</v>
      </c>
      <c r="EC154" s="408">
        <v>0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118.91137930758258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240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153</v>
      </c>
      <c r="B155" s="408" t="s">
        <v>1036</v>
      </c>
      <c r="C155" s="408" t="s">
        <v>2243</v>
      </c>
      <c r="D155" s="408" t="s">
        <v>597</v>
      </c>
      <c r="E155" s="408" t="s">
        <v>970</v>
      </c>
      <c r="F155" s="408" t="s">
        <v>1322</v>
      </c>
      <c r="G155" s="408" t="s">
        <v>1322</v>
      </c>
      <c r="H155" s="408" t="s">
        <v>1322</v>
      </c>
      <c r="I155" s="408" t="s">
        <v>1322</v>
      </c>
      <c r="J155" s="408" t="s">
        <v>2236</v>
      </c>
      <c r="K155" s="826">
        <v>44440</v>
      </c>
      <c r="L155" s="408">
        <v>19065</v>
      </c>
      <c r="M155" s="408">
        <v>19065</v>
      </c>
      <c r="N155" s="408">
        <v>0</v>
      </c>
      <c r="O155" s="408">
        <v>0</v>
      </c>
      <c r="P155" s="408">
        <v>0</v>
      </c>
      <c r="Q155" s="408">
        <v>0</v>
      </c>
      <c r="R155" s="408">
        <v>27.19</v>
      </c>
      <c r="S155" s="408"/>
      <c r="T155" s="408"/>
      <c r="U155" s="408">
        <v>518377.35000000003</v>
      </c>
      <c r="V155" s="408"/>
      <c r="W155" s="408">
        <v>518377.35000000003</v>
      </c>
      <c r="X155" s="408">
        <v>414854.40000000002</v>
      </c>
      <c r="Y155" s="408">
        <v>0</v>
      </c>
      <c r="Z155" s="408">
        <v>0</v>
      </c>
      <c r="AA155" s="408">
        <v>0</v>
      </c>
      <c r="AB155" s="408">
        <v>0</v>
      </c>
      <c r="AC155" s="408">
        <v>4445.9696949965082</v>
      </c>
      <c r="AD155" s="408">
        <v>4271.2242125971334</v>
      </c>
      <c r="AE155" s="408">
        <v>456264.15658583585</v>
      </c>
      <c r="AF155" s="408"/>
      <c r="AG155" s="408"/>
      <c r="AH155" s="408"/>
      <c r="AI155" s="408">
        <v>0</v>
      </c>
      <c r="AJ155" s="408">
        <v>0</v>
      </c>
      <c r="AK155" s="408">
        <v>0</v>
      </c>
      <c r="AL155" s="408">
        <v>0</v>
      </c>
      <c r="AM155" s="408"/>
      <c r="AN155" s="408">
        <v>0</v>
      </c>
      <c r="AO155" s="408">
        <v>9434.9793047396961</v>
      </c>
      <c r="AP155" s="408">
        <v>44003.713792014059</v>
      </c>
      <c r="AQ155" s="408">
        <v>0</v>
      </c>
      <c r="AR155" s="408">
        <v>0</v>
      </c>
      <c r="AS155" s="408"/>
      <c r="AT155" s="408"/>
      <c r="AU155" s="408">
        <v>0</v>
      </c>
      <c r="AV155" s="408">
        <v>0</v>
      </c>
      <c r="AW155" s="408">
        <v>0</v>
      </c>
      <c r="AX155" s="408"/>
      <c r="AY155" s="408"/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0</v>
      </c>
      <c r="BF155" s="408"/>
      <c r="BG155" s="408">
        <v>0</v>
      </c>
      <c r="BH155" s="408">
        <v>0</v>
      </c>
      <c r="BI155" s="408">
        <v>1512.57</v>
      </c>
      <c r="BJ155" s="408">
        <v>12968.78</v>
      </c>
      <c r="BK155" s="408">
        <v>456631.5</v>
      </c>
      <c r="BL155" s="408">
        <v>109</v>
      </c>
      <c r="BM155" s="408"/>
      <c r="BN155" s="408"/>
      <c r="BO155" s="408"/>
      <c r="BP155" s="408"/>
      <c r="BQ155" s="408"/>
      <c r="BR155" s="408"/>
      <c r="BS155" s="408"/>
      <c r="BT155" s="408"/>
      <c r="BU155" s="408"/>
      <c r="BV155" s="408">
        <v>0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414854.40000000002</v>
      </c>
      <c r="CJ155" s="408">
        <v>-103522.98000000004</v>
      </c>
      <c r="CK155" s="408"/>
      <c r="CL155" s="408"/>
      <c r="CM155" s="408"/>
      <c r="CN155" s="408"/>
      <c r="CO155" s="408">
        <v>-103522.95</v>
      </c>
      <c r="CP155" s="408">
        <v>0</v>
      </c>
      <c r="CQ155" s="408">
        <v>30</v>
      </c>
      <c r="CR155" s="408">
        <v>9722.997269114494</v>
      </c>
      <c r="CS155" s="408">
        <v>940.17552099037312</v>
      </c>
      <c r="CT155" s="408">
        <v>4384.8760239606854</v>
      </c>
      <c r="CU155" s="408">
        <v>0</v>
      </c>
      <c r="CV155" s="408">
        <v>0</v>
      </c>
      <c r="CW155" s="408"/>
      <c r="CX155" s="408"/>
      <c r="CY155" s="408"/>
      <c r="CZ155" s="408">
        <v>4397.9457241634409</v>
      </c>
      <c r="DA155" s="408">
        <v>0</v>
      </c>
      <c r="DB155" s="408">
        <v>0</v>
      </c>
      <c r="DC155" s="408"/>
      <c r="DD155" s="408"/>
      <c r="DE155" s="408">
        <v>0</v>
      </c>
      <c r="DF155" s="408">
        <v>0</v>
      </c>
      <c r="DG155" s="408">
        <v>0</v>
      </c>
      <c r="DH155" s="408">
        <v>0</v>
      </c>
      <c r="DI155" s="408">
        <v>0</v>
      </c>
      <c r="DJ155" s="408"/>
      <c r="DK155" s="408">
        <v>0</v>
      </c>
      <c r="DL155" s="408">
        <v>0</v>
      </c>
      <c r="DM155" s="408"/>
      <c r="DN155" s="408">
        <v>0</v>
      </c>
      <c r="DO155" s="408">
        <v>0</v>
      </c>
      <c r="DP155" s="408">
        <v>0</v>
      </c>
      <c r="DQ155" s="408">
        <v>0</v>
      </c>
      <c r="DR155" s="408">
        <v>0</v>
      </c>
      <c r="DS155" s="408"/>
      <c r="DT155" s="408"/>
      <c r="DU155" s="408">
        <v>456264.15658583585</v>
      </c>
      <c r="DV155" s="408"/>
      <c r="DW155" s="408">
        <v>0</v>
      </c>
      <c r="DX155" s="408">
        <v>0</v>
      </c>
      <c r="DY155" s="408">
        <v>-103522.95000000001</v>
      </c>
      <c r="DZ155" s="408"/>
      <c r="EA155" s="408">
        <v>0</v>
      </c>
      <c r="EB155" s="408"/>
      <c r="EC155" s="408">
        <v>-113343.75590684771</v>
      </c>
      <c r="ED155" s="408"/>
      <c r="EE155" s="408">
        <v>0</v>
      </c>
      <c r="EF155" s="408">
        <v>0</v>
      </c>
      <c r="EG155" s="408"/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/>
      <c r="EN155" s="408"/>
      <c r="EO155" s="408">
        <v>0</v>
      </c>
      <c r="EP155" s="408">
        <v>0</v>
      </c>
      <c r="EQ155" s="408"/>
      <c r="ER155" s="408">
        <v>0</v>
      </c>
      <c r="ES155" s="408"/>
      <c r="ET155" s="408">
        <v>0</v>
      </c>
      <c r="EU155" s="408"/>
      <c r="EV155" s="408">
        <v>240</v>
      </c>
      <c r="EW155" s="408"/>
      <c r="EX155" s="408"/>
      <c r="EY155" s="408"/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154</v>
      </c>
      <c r="B156" s="408" t="s">
        <v>2238</v>
      </c>
      <c r="C156" s="408" t="s">
        <v>2243</v>
      </c>
      <c r="D156" s="408" t="s">
        <v>597</v>
      </c>
      <c r="E156" s="408" t="s">
        <v>970</v>
      </c>
      <c r="F156" s="408" t="s">
        <v>1322</v>
      </c>
      <c r="G156" s="408" t="s">
        <v>1322</v>
      </c>
      <c r="H156" s="408" t="s">
        <v>1322</v>
      </c>
      <c r="I156" s="408" t="s">
        <v>1322</v>
      </c>
      <c r="J156" s="408" t="s">
        <v>2236</v>
      </c>
      <c r="K156" s="826">
        <v>44440</v>
      </c>
      <c r="L156" s="408">
        <v>170</v>
      </c>
      <c r="M156" s="408">
        <v>170</v>
      </c>
      <c r="N156" s="408">
        <v>0</v>
      </c>
      <c r="O156" s="408">
        <v>0</v>
      </c>
      <c r="P156" s="408">
        <v>0</v>
      </c>
      <c r="Q156" s="408">
        <v>0</v>
      </c>
      <c r="R156" s="408">
        <v>27.19</v>
      </c>
      <c r="S156" s="408"/>
      <c r="T156" s="408"/>
      <c r="U156" s="408">
        <v>4622.3</v>
      </c>
      <c r="V156" s="408"/>
      <c r="W156" s="408">
        <v>4622.3</v>
      </c>
      <c r="X156" s="408">
        <v>3699.2000000000003</v>
      </c>
      <c r="Y156" s="408">
        <v>0</v>
      </c>
      <c r="Z156" s="408">
        <v>0</v>
      </c>
      <c r="AA156" s="408">
        <v>0</v>
      </c>
      <c r="AB156" s="408">
        <v>0</v>
      </c>
      <c r="AC156" s="408">
        <v>39.64410428268588</v>
      </c>
      <c r="AD156" s="408">
        <v>38.085922692972083</v>
      </c>
      <c r="AE156" s="408">
        <v>4068.4451413371148</v>
      </c>
      <c r="AF156" s="408"/>
      <c r="AG156" s="408"/>
      <c r="AH156" s="408"/>
      <c r="AI156" s="408">
        <v>0</v>
      </c>
      <c r="AJ156" s="408">
        <v>0</v>
      </c>
      <c r="AK156" s="408">
        <v>0</v>
      </c>
      <c r="AL156" s="408">
        <v>0</v>
      </c>
      <c r="AM156" s="408"/>
      <c r="AN156" s="408">
        <v>0</v>
      </c>
      <c r="AO156" s="408">
        <v>84.130421285378873</v>
      </c>
      <c r="AP156" s="408">
        <v>392.3751033119533</v>
      </c>
      <c r="AQ156" s="408">
        <v>0</v>
      </c>
      <c r="AR156" s="408">
        <v>0</v>
      </c>
      <c r="AS156" s="408"/>
      <c r="AT156" s="408"/>
      <c r="AU156" s="408">
        <v>0</v>
      </c>
      <c r="AV156" s="408">
        <v>0</v>
      </c>
      <c r="AW156" s="408">
        <v>0</v>
      </c>
      <c r="AX156" s="408"/>
      <c r="AY156" s="408"/>
      <c r="AZ156" s="408">
        <v>0</v>
      </c>
      <c r="BA156" s="408"/>
      <c r="BB156" s="408">
        <v>0</v>
      </c>
      <c r="BC156" s="408">
        <v>0</v>
      </c>
      <c r="BD156" s="408">
        <v>0</v>
      </c>
      <c r="BE156" s="408">
        <v>0</v>
      </c>
      <c r="BF156" s="408"/>
      <c r="BG156" s="408">
        <v>0</v>
      </c>
      <c r="BH156" s="408">
        <v>0</v>
      </c>
      <c r="BI156" s="408">
        <v>5.54</v>
      </c>
      <c r="BJ156" s="408">
        <v>47.56</v>
      </c>
      <c r="BK156" s="408">
        <v>1752.56</v>
      </c>
      <c r="BL156" s="408">
        <v>2</v>
      </c>
      <c r="BM156" s="408"/>
      <c r="BN156" s="408"/>
      <c r="BO156" s="408"/>
      <c r="BP156" s="408"/>
      <c r="BQ156" s="408"/>
      <c r="BR156" s="408"/>
      <c r="BS156" s="408"/>
      <c r="BT156" s="408"/>
      <c r="BU156" s="408"/>
      <c r="BV156" s="408">
        <v>0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3699.2000000000003</v>
      </c>
      <c r="CJ156" s="408">
        <v>-923.13000000000056</v>
      </c>
      <c r="CK156" s="408"/>
      <c r="CL156" s="408"/>
      <c r="CM156" s="408"/>
      <c r="CN156" s="408"/>
      <c r="CO156" s="408">
        <v>-923.09999999999991</v>
      </c>
      <c r="CP156" s="408">
        <v>0</v>
      </c>
      <c r="CQ156" s="408">
        <v>30</v>
      </c>
      <c r="CR156" s="408">
        <v>86.698638119562929</v>
      </c>
      <c r="CS156" s="408">
        <v>8.3834166571394348</v>
      </c>
      <c r="CT156" s="408">
        <v>39.099340365765386</v>
      </c>
      <c r="CU156" s="408">
        <v>0</v>
      </c>
      <c r="CV156" s="408">
        <v>0</v>
      </c>
      <c r="CW156" s="408"/>
      <c r="CX156" s="408"/>
      <c r="CY156" s="408"/>
      <c r="CZ156" s="408">
        <v>39.215881096658016</v>
      </c>
      <c r="DA156" s="408">
        <v>0</v>
      </c>
      <c r="DB156" s="408">
        <v>0</v>
      </c>
      <c r="DC156" s="408"/>
      <c r="DD156" s="408"/>
      <c r="DE156" s="408">
        <v>0</v>
      </c>
      <c r="DF156" s="408">
        <v>0</v>
      </c>
      <c r="DG156" s="408">
        <v>0</v>
      </c>
      <c r="DH156" s="408">
        <v>0</v>
      </c>
      <c r="DI156" s="408">
        <v>0</v>
      </c>
      <c r="DJ156" s="408"/>
      <c r="DK156" s="408">
        <v>0</v>
      </c>
      <c r="DL156" s="408">
        <v>0</v>
      </c>
      <c r="DM156" s="408"/>
      <c r="DN156" s="408">
        <v>0</v>
      </c>
      <c r="DO156" s="408">
        <v>0</v>
      </c>
      <c r="DP156" s="408">
        <v>0</v>
      </c>
      <c r="DQ156" s="408">
        <v>0</v>
      </c>
      <c r="DR156" s="408">
        <v>0</v>
      </c>
      <c r="DS156" s="408"/>
      <c r="DT156" s="408"/>
      <c r="DU156" s="408">
        <v>4068.4451413371148</v>
      </c>
      <c r="DV156" s="408"/>
      <c r="DW156" s="408">
        <v>0</v>
      </c>
      <c r="DX156" s="408">
        <v>0</v>
      </c>
      <c r="DY156" s="408">
        <v>-923.09999999999991</v>
      </c>
      <c r="DZ156" s="408"/>
      <c r="EA156" s="408">
        <v>0</v>
      </c>
      <c r="EB156" s="408"/>
      <c r="EC156" s="408">
        <v>-1010.6707843778713</v>
      </c>
      <c r="ED156" s="408"/>
      <c r="EE156" s="408">
        <v>0</v>
      </c>
      <c r="EF156" s="408">
        <v>0</v>
      </c>
      <c r="EG156" s="408"/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/>
      <c r="EN156" s="408"/>
      <c r="EO156" s="408">
        <v>0</v>
      </c>
      <c r="EP156" s="408">
        <v>0</v>
      </c>
      <c r="EQ156" s="408"/>
      <c r="ER156" s="408">
        <v>0</v>
      </c>
      <c r="ES156" s="408"/>
      <c r="ET156" s="408">
        <v>0</v>
      </c>
      <c r="EU156" s="408"/>
      <c r="EV156" s="408">
        <v>240</v>
      </c>
      <c r="EW156" s="408"/>
      <c r="EX156" s="408"/>
      <c r="EY156" s="408"/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155</v>
      </c>
      <c r="B157" s="408" t="s">
        <v>1036</v>
      </c>
      <c r="C157" s="408" t="s">
        <v>2316</v>
      </c>
      <c r="D157" s="408" t="s">
        <v>1958</v>
      </c>
      <c r="E157" s="408" t="s">
        <v>970</v>
      </c>
      <c r="F157" s="408" t="s">
        <v>1322</v>
      </c>
      <c r="G157" s="408" t="s">
        <v>1322</v>
      </c>
      <c r="H157" s="408" t="s">
        <v>1322</v>
      </c>
      <c r="I157" s="408" t="s">
        <v>973</v>
      </c>
      <c r="J157" s="408" t="s">
        <v>2236</v>
      </c>
      <c r="K157" s="826">
        <v>44440</v>
      </c>
      <c r="L157" s="408">
        <v>0</v>
      </c>
      <c r="M157" s="408">
        <v>0</v>
      </c>
      <c r="N157" s="408">
        <v>2.3E-2</v>
      </c>
      <c r="O157" s="408">
        <v>2.3E-2</v>
      </c>
      <c r="P157" s="408">
        <v>2.3E-2</v>
      </c>
      <c r="Q157" s="408">
        <v>2.3E-2</v>
      </c>
      <c r="R157" s="408"/>
      <c r="S157" s="408">
        <v>1553.42</v>
      </c>
      <c r="T157" s="408">
        <v>173.25</v>
      </c>
      <c r="U157" s="408"/>
      <c r="V157" s="408">
        <v>39.713409999999996</v>
      </c>
      <c r="W157" s="408">
        <v>39.713409999999996</v>
      </c>
      <c r="X157" s="408">
        <v>37.679519999999997</v>
      </c>
      <c r="Y157" s="408">
        <v>0</v>
      </c>
      <c r="Z157" s="408">
        <v>1.4155392135855192</v>
      </c>
      <c r="AA157" s="408">
        <v>0</v>
      </c>
      <c r="AB157" s="408">
        <v>0</v>
      </c>
      <c r="AC157" s="408">
        <v>2.4943326591639612</v>
      </c>
      <c r="AD157" s="408">
        <v>0.17249126239523035</v>
      </c>
      <c r="AE157" s="408">
        <v>16.522921779177477</v>
      </c>
      <c r="AF157" s="408">
        <v>3.9178308234621988</v>
      </c>
      <c r="AG157" s="408">
        <v>6.686637120244876E-2</v>
      </c>
      <c r="AH157" s="408">
        <v>0</v>
      </c>
      <c r="AI157" s="408">
        <v>0</v>
      </c>
      <c r="AJ157" s="408">
        <v>0</v>
      </c>
      <c r="AK157" s="408">
        <v>0</v>
      </c>
      <c r="AL157" s="408">
        <v>0.21870769637848442</v>
      </c>
      <c r="AM157" s="408"/>
      <c r="AN157" s="408">
        <v>2.7780704430342557E-2</v>
      </c>
      <c r="AO157" s="408">
        <v>7.2577411885656806</v>
      </c>
      <c r="AP157" s="408">
        <v>7.0519401730810776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>
        <v>0</v>
      </c>
      <c r="BG157" s="408">
        <v>0.20561521197582755</v>
      </c>
      <c r="BH157" s="408">
        <v>0</v>
      </c>
      <c r="BI157" s="408">
        <v>0</v>
      </c>
      <c r="BJ157" s="408">
        <v>0</v>
      </c>
      <c r="BK157" s="408">
        <v>0</v>
      </c>
      <c r="BL157" s="408">
        <v>0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4.1234460354380262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32.764800000000001</v>
      </c>
      <c r="CJ157" s="408">
        <v>-6.9786099999999891</v>
      </c>
      <c r="CK157" s="408"/>
      <c r="CL157" s="408"/>
      <c r="CM157" s="408"/>
      <c r="CN157" s="408"/>
      <c r="CO157" s="408">
        <v>-2.5304599999999997</v>
      </c>
      <c r="CP157" s="408">
        <v>0.49657000000000007</v>
      </c>
      <c r="CQ157" s="408">
        <v>30</v>
      </c>
      <c r="CR157" s="408">
        <v>2.070646733702624</v>
      </c>
      <c r="CS157" s="408">
        <v>0.72321839643519503</v>
      </c>
      <c r="CT157" s="408">
        <v>0.70271076513002573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0.17760884752181602</v>
      </c>
      <c r="DA157" s="408">
        <v>0</v>
      </c>
      <c r="DB157" s="408">
        <v>0</v>
      </c>
      <c r="DC157" s="408">
        <v>0.49651393437542657</v>
      </c>
      <c r="DD157" s="408">
        <v>0</v>
      </c>
      <c r="DE157" s="408">
        <v>0</v>
      </c>
      <c r="DF157" s="408">
        <v>0</v>
      </c>
      <c r="DG157" s="408">
        <v>2.6057995473970058E-2</v>
      </c>
      <c r="DH157" s="408">
        <v>0</v>
      </c>
      <c r="DI157" s="408">
        <v>-4.8067232349873423E-2</v>
      </c>
      <c r="DJ157" s="408"/>
      <c r="DK157" s="408">
        <v>0</v>
      </c>
      <c r="DL157" s="408">
        <v>0</v>
      </c>
      <c r="DM157" s="408">
        <v>0</v>
      </c>
      <c r="DN157" s="408">
        <v>0</v>
      </c>
      <c r="DO157" s="408">
        <v>-6.6100170327243746E-3</v>
      </c>
      <c r="DP157" s="408">
        <v>-7.8595585121046807E-4</v>
      </c>
      <c r="DQ157" s="408">
        <v>0</v>
      </c>
      <c r="DR157" s="408">
        <v>0</v>
      </c>
      <c r="DS157" s="408"/>
      <c r="DT157" s="408"/>
      <c r="DU157" s="408"/>
      <c r="DV157" s="408">
        <v>16.522921779177477</v>
      </c>
      <c r="DW157" s="408">
        <v>0</v>
      </c>
      <c r="DX157" s="408">
        <v>0</v>
      </c>
      <c r="DY157" s="408">
        <v>-2.5304599999999979</v>
      </c>
      <c r="DZ157" s="408">
        <v>0.49657000000000018</v>
      </c>
      <c r="EA157" s="408">
        <v>0</v>
      </c>
      <c r="EB157" s="408">
        <v>0</v>
      </c>
      <c r="EC157" s="408">
        <v>-4.1045740411009586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0.36150346890556012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240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156</v>
      </c>
      <c r="B158" s="408" t="s">
        <v>1036</v>
      </c>
      <c r="C158" s="408" t="s">
        <v>2316</v>
      </c>
      <c r="D158" s="408" t="s">
        <v>1958</v>
      </c>
      <c r="E158" s="408" t="s">
        <v>970</v>
      </c>
      <c r="F158" s="408" t="s">
        <v>1322</v>
      </c>
      <c r="G158" s="408" t="s">
        <v>1322</v>
      </c>
      <c r="H158" s="408" t="s">
        <v>1322</v>
      </c>
      <c r="I158" s="408" t="s">
        <v>2244</v>
      </c>
      <c r="J158" s="408" t="s">
        <v>2236</v>
      </c>
      <c r="K158" s="826">
        <v>44440</v>
      </c>
      <c r="L158" s="408">
        <v>0</v>
      </c>
      <c r="M158" s="408">
        <v>0</v>
      </c>
      <c r="N158" s="408">
        <v>2.0179999999999998</v>
      </c>
      <c r="O158" s="408">
        <v>2.0179999999999998</v>
      </c>
      <c r="P158" s="408">
        <v>2.0179999999999998</v>
      </c>
      <c r="Q158" s="408">
        <v>2.0179999999999998</v>
      </c>
      <c r="R158" s="408"/>
      <c r="S158" s="408">
        <v>388.22</v>
      </c>
      <c r="T158" s="408">
        <v>173.25</v>
      </c>
      <c r="U158" s="408"/>
      <c r="V158" s="408">
        <v>1133.04646</v>
      </c>
      <c r="W158" s="408">
        <v>1133.04646</v>
      </c>
      <c r="X158" s="408">
        <v>1130.1405399999999</v>
      </c>
      <c r="Y158" s="408">
        <v>0</v>
      </c>
      <c r="Z158" s="408">
        <v>124.19817969632945</v>
      </c>
      <c r="AA158" s="408">
        <v>0</v>
      </c>
      <c r="AB158" s="408">
        <v>0</v>
      </c>
      <c r="AC158" s="408">
        <v>43.770115706024981</v>
      </c>
      <c r="AD158" s="408">
        <v>3.0268495061312328</v>
      </c>
      <c r="AE158" s="408">
        <v>289.94157515050904</v>
      </c>
      <c r="AF158" s="408">
        <v>343.7470696411616</v>
      </c>
      <c r="AG158" s="408">
        <v>5.8667972646322424</v>
      </c>
      <c r="AH158" s="408">
        <v>0</v>
      </c>
      <c r="AI158" s="408">
        <v>0</v>
      </c>
      <c r="AJ158" s="408">
        <v>0</v>
      </c>
      <c r="AK158" s="408">
        <v>0</v>
      </c>
      <c r="AL158" s="408">
        <v>19.189223099642675</v>
      </c>
      <c r="AM158" s="408"/>
      <c r="AN158" s="408">
        <v>2.4374548495839687</v>
      </c>
      <c r="AO158" s="408">
        <v>127.35758016109168</v>
      </c>
      <c r="AP158" s="408">
        <v>123.74621973284881</v>
      </c>
      <c r="AQ158" s="408">
        <v>0</v>
      </c>
      <c r="AR158" s="408">
        <v>0</v>
      </c>
      <c r="AS158" s="408">
        <v>0</v>
      </c>
      <c r="AT158" s="408">
        <v>0</v>
      </c>
      <c r="AU158" s="408">
        <v>0</v>
      </c>
      <c r="AV158" s="408">
        <v>0</v>
      </c>
      <c r="AW158" s="408">
        <v>0</v>
      </c>
      <c r="AX158" s="408">
        <v>0</v>
      </c>
      <c r="AY158" s="408">
        <v>0</v>
      </c>
      <c r="AZ158" s="408">
        <v>0</v>
      </c>
      <c r="BA158" s="408"/>
      <c r="BB158" s="408">
        <v>0</v>
      </c>
      <c r="BC158" s="408">
        <v>0</v>
      </c>
      <c r="BD158" s="408">
        <v>0</v>
      </c>
      <c r="BE158" s="408">
        <v>0</v>
      </c>
      <c r="BF158" s="408">
        <v>0</v>
      </c>
      <c r="BG158" s="408">
        <v>18.040499902922608</v>
      </c>
      <c r="BH158" s="408">
        <v>0</v>
      </c>
      <c r="BI158" s="408">
        <v>0</v>
      </c>
      <c r="BJ158" s="408">
        <v>0</v>
      </c>
      <c r="BK158" s="408">
        <v>0</v>
      </c>
      <c r="BL158" s="408">
        <v>0</v>
      </c>
      <c r="BM158" s="408"/>
      <c r="BN158" s="408"/>
      <c r="BO158" s="408"/>
      <c r="BP158" s="408"/>
      <c r="BQ158" s="408"/>
      <c r="BR158" s="408"/>
      <c r="BS158" s="408"/>
      <c r="BT158" s="408"/>
      <c r="BU158" s="408"/>
      <c r="BV158" s="408">
        <v>361.78756954408419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1131.2606000000001</v>
      </c>
      <c r="CJ158" s="408">
        <v>-1.8158599999999296</v>
      </c>
      <c r="CK158" s="408"/>
      <c r="CL158" s="408"/>
      <c r="CM158" s="408"/>
      <c r="CN158" s="408"/>
      <c r="CO158" s="408">
        <v>-46.474540000000054</v>
      </c>
      <c r="CP158" s="408">
        <v>43.568620000000003</v>
      </c>
      <c r="CQ158" s="408">
        <v>30</v>
      </c>
      <c r="CR158" s="408">
        <v>69.122322339680181</v>
      </c>
      <c r="CS158" s="408">
        <v>12.690910643532135</v>
      </c>
      <c r="CT158" s="408">
        <v>12.331046295933632</v>
      </c>
      <c r="CU158" s="408">
        <v>0</v>
      </c>
      <c r="CV158" s="408">
        <v>0</v>
      </c>
      <c r="CW158" s="408">
        <v>0</v>
      </c>
      <c r="CX158" s="408">
        <v>0</v>
      </c>
      <c r="CY158" s="408">
        <v>0</v>
      </c>
      <c r="CZ158" s="408">
        <v>3.1166520839423701</v>
      </c>
      <c r="DA158" s="408">
        <v>0</v>
      </c>
      <c r="DB158" s="408">
        <v>0</v>
      </c>
      <c r="DC158" s="408">
        <v>43.563700850852683</v>
      </c>
      <c r="DD158" s="408">
        <v>0</v>
      </c>
      <c r="DE158" s="408">
        <v>0</v>
      </c>
      <c r="DF158" s="408">
        <v>0</v>
      </c>
      <c r="DG158" s="408">
        <v>2.2863058637596332</v>
      </c>
      <c r="DH158" s="408">
        <v>0</v>
      </c>
      <c r="DI158" s="408">
        <v>-4.2173771687845374</v>
      </c>
      <c r="DJ158" s="408"/>
      <c r="DK158" s="408">
        <v>0</v>
      </c>
      <c r="DL158" s="408">
        <v>0</v>
      </c>
      <c r="DM158" s="408">
        <v>0</v>
      </c>
      <c r="DN158" s="408">
        <v>0</v>
      </c>
      <c r="DO158" s="408">
        <v>-0.57995714661033659</v>
      </c>
      <c r="DP158" s="408">
        <v>-6.8959082945335926E-2</v>
      </c>
      <c r="DQ158" s="408">
        <v>0</v>
      </c>
      <c r="DR158" s="408">
        <v>0</v>
      </c>
      <c r="DS158" s="408"/>
      <c r="DT158" s="408"/>
      <c r="DU158" s="408"/>
      <c r="DV158" s="408">
        <v>289.94157515050904</v>
      </c>
      <c r="DW158" s="408">
        <v>0</v>
      </c>
      <c r="DX158" s="408">
        <v>0</v>
      </c>
      <c r="DY158" s="408">
        <v>-46.474540000000047</v>
      </c>
      <c r="DZ158" s="408">
        <v>43.56862000000001</v>
      </c>
      <c r="EA158" s="408">
        <v>0</v>
      </c>
      <c r="EB158" s="408">
        <v>0</v>
      </c>
      <c r="EC158" s="408">
        <v>-72.026405420527169</v>
      </c>
      <c r="ED158" s="408">
        <v>0</v>
      </c>
      <c r="EE158" s="408">
        <v>0</v>
      </c>
      <c r="EF158" s="408">
        <v>0</v>
      </c>
      <c r="EG158" s="408">
        <v>0</v>
      </c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>
        <v>0</v>
      </c>
      <c r="EN158" s="408">
        <v>0</v>
      </c>
      <c r="EO158" s="408">
        <v>0</v>
      </c>
      <c r="EP158" s="408">
        <v>31.718000010931313</v>
      </c>
      <c r="EQ158" s="408">
        <v>0</v>
      </c>
      <c r="ER158" s="408">
        <v>0</v>
      </c>
      <c r="ES158" s="408">
        <v>0</v>
      </c>
      <c r="ET158" s="408">
        <v>0</v>
      </c>
      <c r="EU158" s="408">
        <v>0</v>
      </c>
      <c r="EV158" s="408">
        <v>240</v>
      </c>
      <c r="EW158" s="408">
        <v>0</v>
      </c>
      <c r="EX158" s="408">
        <v>0</v>
      </c>
      <c r="EY158" s="408">
        <v>0</v>
      </c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157</v>
      </c>
      <c r="B159" s="408" t="s">
        <v>1036</v>
      </c>
      <c r="C159" s="408" t="s">
        <v>2316</v>
      </c>
      <c r="D159" s="408" t="s">
        <v>1958</v>
      </c>
      <c r="E159" s="408" t="s">
        <v>970</v>
      </c>
      <c r="F159" s="408" t="s">
        <v>1322</v>
      </c>
      <c r="G159" s="408" t="s">
        <v>1322</v>
      </c>
      <c r="H159" s="408" t="s">
        <v>1322</v>
      </c>
      <c r="I159" s="408" t="s">
        <v>1322</v>
      </c>
      <c r="J159" s="408" t="s">
        <v>2236</v>
      </c>
      <c r="K159" s="826">
        <v>44440</v>
      </c>
      <c r="L159" s="408">
        <v>0</v>
      </c>
      <c r="M159" s="408">
        <v>0</v>
      </c>
      <c r="N159" s="408">
        <v>0</v>
      </c>
      <c r="O159" s="408">
        <v>0</v>
      </c>
      <c r="P159" s="408">
        <v>0</v>
      </c>
      <c r="Q159" s="408">
        <v>0</v>
      </c>
      <c r="R159" s="408"/>
      <c r="S159" s="408"/>
      <c r="T159" s="408"/>
      <c r="U159" s="408"/>
      <c r="V159" s="408"/>
      <c r="W159" s="408"/>
      <c r="X159" s="408"/>
      <c r="Y159" s="408"/>
      <c r="Z159" s="408"/>
      <c r="AA159" s="408">
        <v>0</v>
      </c>
      <c r="AB159" s="408"/>
      <c r="AC159" s="408"/>
      <c r="AD159" s="408"/>
      <c r="AE159" s="408"/>
      <c r="AF159" s="408"/>
      <c r="AG159" s="408"/>
      <c r="AH159" s="408"/>
      <c r="AI159" s="408"/>
      <c r="AJ159" s="408"/>
      <c r="AK159" s="408"/>
      <c r="AL159" s="408"/>
      <c r="AM159" s="408"/>
      <c r="AN159" s="408"/>
      <c r="AO159" s="408"/>
      <c r="AP159" s="408"/>
      <c r="AQ159" s="408"/>
      <c r="AR159" s="408"/>
      <c r="AS159" s="408"/>
      <c r="AT159" s="408"/>
      <c r="AU159" s="408"/>
      <c r="AV159" s="408"/>
      <c r="AW159" s="408"/>
      <c r="AX159" s="408"/>
      <c r="AY159" s="408"/>
      <c r="AZ159" s="408">
        <v>0</v>
      </c>
      <c r="BA159" s="408"/>
      <c r="BB159" s="408"/>
      <c r="BC159" s="408"/>
      <c r="BD159" s="408"/>
      <c r="BE159" s="408"/>
      <c r="BF159" s="408"/>
      <c r="BG159" s="408"/>
      <c r="BH159" s="408"/>
      <c r="BI159" s="408">
        <v>1.1200000000000001</v>
      </c>
      <c r="BJ159" s="408">
        <v>9.67</v>
      </c>
      <c r="BK159" s="408">
        <v>341.84</v>
      </c>
      <c r="BL159" s="408">
        <v>1</v>
      </c>
      <c r="BM159" s="408"/>
      <c r="BN159" s="408"/>
      <c r="BO159" s="408"/>
      <c r="BP159" s="408"/>
      <c r="BQ159" s="408"/>
      <c r="BR159" s="408"/>
      <c r="BS159" s="408"/>
      <c r="BT159" s="408"/>
      <c r="BU159" s="408"/>
      <c r="BV159" s="408"/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/>
      <c r="CJ159" s="408">
        <v>-0.03</v>
      </c>
      <c r="CK159" s="408"/>
      <c r="CL159" s="408"/>
      <c r="CM159" s="408"/>
      <c r="CN159" s="408"/>
      <c r="CO159" s="408">
        <v>0</v>
      </c>
      <c r="CP159" s="408">
        <v>0</v>
      </c>
      <c r="CQ159" s="408">
        <v>30</v>
      </c>
      <c r="CR159" s="408"/>
      <c r="CS159" s="408"/>
      <c r="CT159" s="408"/>
      <c r="CU159" s="408"/>
      <c r="CV159" s="408"/>
      <c r="CW159" s="408"/>
      <c r="CX159" s="408"/>
      <c r="CY159" s="408"/>
      <c r="CZ159" s="408"/>
      <c r="DA159" s="408"/>
      <c r="DB159" s="408"/>
      <c r="DC159" s="408"/>
      <c r="DD159" s="408"/>
      <c r="DE159" s="408"/>
      <c r="DF159" s="408"/>
      <c r="DG159" s="408"/>
      <c r="DH159" s="408"/>
      <c r="DI159" s="408"/>
      <c r="DJ159" s="408"/>
      <c r="DK159" s="408">
        <v>0</v>
      </c>
      <c r="DL159" s="408"/>
      <c r="DM159" s="408"/>
      <c r="DN159" s="408"/>
      <c r="DO159" s="408"/>
      <c r="DP159" s="408"/>
      <c r="DQ159" s="408"/>
      <c r="DR159" s="408"/>
      <c r="DS159" s="408"/>
      <c r="DT159" s="408"/>
      <c r="DU159" s="408"/>
      <c r="DV159" s="408"/>
      <c r="DW159" s="408"/>
      <c r="DX159" s="408"/>
      <c r="DY159" s="408"/>
      <c r="DZ159" s="408"/>
      <c r="EA159" s="408"/>
      <c r="EB159" s="408"/>
      <c r="EC159" s="408"/>
      <c r="ED159" s="408"/>
      <c r="EE159" s="408"/>
      <c r="EF159" s="408"/>
      <c r="EG159" s="408"/>
      <c r="EH159" s="408"/>
      <c r="EI159" s="408"/>
      <c r="EJ159" s="408"/>
      <c r="EK159" s="408"/>
      <c r="EL159" s="408"/>
      <c r="EM159" s="408"/>
      <c r="EN159" s="408"/>
      <c r="EO159" s="408"/>
      <c r="EP159" s="408"/>
      <c r="EQ159" s="408"/>
      <c r="ER159" s="408"/>
      <c r="ES159" s="408"/>
      <c r="ET159" s="408"/>
      <c r="EU159" s="408"/>
      <c r="EV159" s="408">
        <v>240</v>
      </c>
      <c r="EW159" s="408"/>
      <c r="EX159" s="408"/>
      <c r="EY159" s="408"/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158</v>
      </c>
      <c r="B160" s="408" t="s">
        <v>1036</v>
      </c>
      <c r="C160" s="408" t="s">
        <v>2316</v>
      </c>
      <c r="D160" s="408" t="s">
        <v>1958</v>
      </c>
      <c r="E160" s="408" t="s">
        <v>970</v>
      </c>
      <c r="F160" s="408" t="s">
        <v>1322</v>
      </c>
      <c r="G160" s="408" t="s">
        <v>1322</v>
      </c>
      <c r="H160" s="408" t="s">
        <v>1322</v>
      </c>
      <c r="I160" s="408" t="s">
        <v>2317</v>
      </c>
      <c r="J160" s="408" t="s">
        <v>2236</v>
      </c>
      <c r="K160" s="826">
        <v>44440</v>
      </c>
      <c r="L160" s="408">
        <v>0</v>
      </c>
      <c r="M160" s="408">
        <v>0</v>
      </c>
      <c r="N160" s="408">
        <v>0.13600000000000001</v>
      </c>
      <c r="O160" s="408">
        <v>0.13600000000000001</v>
      </c>
      <c r="P160" s="408">
        <v>0.13600000000000001</v>
      </c>
      <c r="Q160" s="408">
        <v>0.13600000000000001</v>
      </c>
      <c r="R160" s="408"/>
      <c r="S160" s="408">
        <v>970.82</v>
      </c>
      <c r="T160" s="408">
        <v>173.25</v>
      </c>
      <c r="U160" s="408"/>
      <c r="V160" s="408">
        <v>155.59352000000004</v>
      </c>
      <c r="W160" s="408">
        <v>155.59352000000004</v>
      </c>
      <c r="X160" s="408">
        <v>149.48168000000001</v>
      </c>
      <c r="Y160" s="408">
        <v>0</v>
      </c>
      <c r="Z160" s="408">
        <v>8.3701449151143752</v>
      </c>
      <c r="AA160" s="408">
        <v>0</v>
      </c>
      <c r="AB160" s="408">
        <v>0</v>
      </c>
      <c r="AC160" s="408">
        <v>8.8494584777295451</v>
      </c>
      <c r="AD160" s="408">
        <v>0.61196957309293387</v>
      </c>
      <c r="AE160" s="408">
        <v>58.620467566929563</v>
      </c>
      <c r="AF160" s="408">
        <v>23.166303999602569</v>
      </c>
      <c r="AG160" s="408">
        <v>0.39538376015361004</v>
      </c>
      <c r="AH160" s="408">
        <v>0</v>
      </c>
      <c r="AI160" s="408">
        <v>0</v>
      </c>
      <c r="AJ160" s="408">
        <v>0</v>
      </c>
      <c r="AK160" s="408">
        <v>0</v>
      </c>
      <c r="AL160" s="408">
        <v>1.2932281177162559</v>
      </c>
      <c r="AM160" s="408"/>
      <c r="AN160" s="408">
        <v>0.16426851315332991</v>
      </c>
      <c r="AO160" s="408">
        <v>25.749203521172131</v>
      </c>
      <c r="AP160" s="408">
        <v>25.019057309713794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0</v>
      </c>
      <c r="BF160" s="408">
        <v>0</v>
      </c>
      <c r="BG160" s="408">
        <v>1.2158116882048935</v>
      </c>
      <c r="BH160" s="408">
        <v>0</v>
      </c>
      <c r="BI160" s="408">
        <v>0</v>
      </c>
      <c r="BJ160" s="408">
        <v>0</v>
      </c>
      <c r="BK160" s="408">
        <v>0</v>
      </c>
      <c r="BL160" s="408">
        <v>0</v>
      </c>
      <c r="BM160" s="408"/>
      <c r="BN160" s="408"/>
      <c r="BO160" s="408"/>
      <c r="BP160" s="408"/>
      <c r="BQ160" s="408"/>
      <c r="BR160" s="408"/>
      <c r="BS160" s="408"/>
      <c r="BT160" s="408"/>
      <c r="BU160" s="408"/>
      <c r="BV160" s="408">
        <v>24.382115687807463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153.87819999999999</v>
      </c>
      <c r="CJ160" s="408">
        <v>-1.7453200000000209</v>
      </c>
      <c r="CK160" s="408"/>
      <c r="CL160" s="408"/>
      <c r="CM160" s="408"/>
      <c r="CN160" s="408"/>
      <c r="CO160" s="408">
        <v>-9.048080000000013</v>
      </c>
      <c r="CP160" s="408">
        <v>2.9362400000000006</v>
      </c>
      <c r="CQ160" s="408">
        <v>30</v>
      </c>
      <c r="CR160" s="408">
        <v>8.4511087673753593</v>
      </c>
      <c r="CS160" s="408">
        <v>2.5658530934396708</v>
      </c>
      <c r="CT160" s="408">
        <v>2.4930955841133411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0.63012589209538772</v>
      </c>
      <c r="DA160" s="408">
        <v>0</v>
      </c>
      <c r="DB160" s="408">
        <v>0</v>
      </c>
      <c r="DC160" s="408">
        <v>2.9359084815242653</v>
      </c>
      <c r="DD160" s="408">
        <v>0</v>
      </c>
      <c r="DE160" s="408">
        <v>0</v>
      </c>
      <c r="DF160" s="408">
        <v>0</v>
      </c>
      <c r="DG160" s="408">
        <v>0.15408206019390991</v>
      </c>
      <c r="DH160" s="408">
        <v>0</v>
      </c>
      <c r="DI160" s="408">
        <v>-0.28422363476446932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-3.9085318106544253E-2</v>
      </c>
      <c r="DP160" s="408">
        <v>-4.6473911202010165E-3</v>
      </c>
      <c r="DQ160" s="408">
        <v>0</v>
      </c>
      <c r="DR160" s="408">
        <v>0</v>
      </c>
      <c r="DS160" s="408"/>
      <c r="DT160" s="408"/>
      <c r="DU160" s="408"/>
      <c r="DV160" s="408">
        <v>58.620467566929563</v>
      </c>
      <c r="DW160" s="408">
        <v>0</v>
      </c>
      <c r="DX160" s="408">
        <v>0</v>
      </c>
      <c r="DY160" s="408">
        <v>-9.0480800000000272</v>
      </c>
      <c r="DZ160" s="408">
        <v>2.9362400000000015</v>
      </c>
      <c r="EA160" s="408">
        <v>0</v>
      </c>
      <c r="EB160" s="408">
        <v>0</v>
      </c>
      <c r="EC160" s="408">
        <v>-14.562318497182702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2.1375857291807034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240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159</v>
      </c>
      <c r="B161" s="408" t="s">
        <v>1036</v>
      </c>
      <c r="C161" s="408" t="s">
        <v>2235</v>
      </c>
      <c r="D161" s="408" t="s">
        <v>1958</v>
      </c>
      <c r="E161" s="408" t="s">
        <v>998</v>
      </c>
      <c r="F161" s="408" t="s">
        <v>1322</v>
      </c>
      <c r="G161" s="408" t="s">
        <v>1322</v>
      </c>
      <c r="H161" s="408" t="s">
        <v>1322</v>
      </c>
      <c r="I161" s="408" t="s">
        <v>1322</v>
      </c>
      <c r="J161" s="408" t="s">
        <v>2236</v>
      </c>
      <c r="K161" s="826">
        <v>44440</v>
      </c>
      <c r="L161" s="408">
        <v>0</v>
      </c>
      <c r="M161" s="408">
        <v>0</v>
      </c>
      <c r="N161" s="408">
        <v>2475.1329999999998</v>
      </c>
      <c r="O161" s="408">
        <v>2475.1329999999998</v>
      </c>
      <c r="P161" s="408">
        <v>2475.1329999999998</v>
      </c>
      <c r="Q161" s="408">
        <v>2475.1329999999998</v>
      </c>
      <c r="R161" s="408"/>
      <c r="S161" s="408">
        <v>368.24</v>
      </c>
      <c r="T161" s="408">
        <v>173.25</v>
      </c>
      <c r="U161" s="408"/>
      <c r="V161" s="408">
        <v>1340259.7681700001</v>
      </c>
      <c r="W161" s="408">
        <v>1340259.7681700001</v>
      </c>
      <c r="X161" s="408">
        <v>1259570.4323700001</v>
      </c>
      <c r="Y161" s="408">
        <v>0</v>
      </c>
      <c r="Z161" s="408">
        <v>152332.51392780725</v>
      </c>
      <c r="AA161" s="408">
        <v>0</v>
      </c>
      <c r="AB161" s="408">
        <v>0</v>
      </c>
      <c r="AC161" s="408">
        <v>6335.1953965495577</v>
      </c>
      <c r="AD161" s="408">
        <v>6086.7021842715249</v>
      </c>
      <c r="AE161" s="408">
        <v>582985.66327452264</v>
      </c>
      <c r="AF161" s="408">
        <v>421615.31998123747</v>
      </c>
      <c r="AG161" s="408">
        <v>7195.7896501491559</v>
      </c>
      <c r="AH161" s="408">
        <v>0</v>
      </c>
      <c r="AI161" s="408">
        <v>0</v>
      </c>
      <c r="AJ161" s="408">
        <v>0</v>
      </c>
      <c r="AK161" s="408">
        <v>0</v>
      </c>
      <c r="AL161" s="408">
        <v>23536.11463740727</v>
      </c>
      <c r="AM161" s="408"/>
      <c r="AN161" s="408">
        <v>2989.6060129907419</v>
      </c>
      <c r="AO161" s="408">
        <v>13448.376622278332</v>
      </c>
      <c r="AP161" s="408">
        <v>62707.796191512047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>
        <v>0</v>
      </c>
      <c r="BG161" s="408">
        <v>22127.173759276779</v>
      </c>
      <c r="BH161" s="408">
        <v>0</v>
      </c>
      <c r="BI161" s="408">
        <v>1077.8900000000001</v>
      </c>
      <c r="BJ161" s="408">
        <v>9408.73</v>
      </c>
      <c r="BK161" s="408">
        <v>672160.59</v>
      </c>
      <c r="BL161" s="408">
        <v>4301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443742.49374051427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1259568.9057</v>
      </c>
      <c r="CJ161" s="408">
        <v>-80690.892470000079</v>
      </c>
      <c r="CK161" s="408"/>
      <c r="CL161" s="408"/>
      <c r="CM161" s="408"/>
      <c r="CN161" s="408"/>
      <c r="CO161" s="408">
        <v>-134127.45726999998</v>
      </c>
      <c r="CP161" s="408">
        <v>53438.121470000006</v>
      </c>
      <c r="CQ161" s="408">
        <v>30</v>
      </c>
      <c r="CR161" s="408">
        <v>64123.748031931813</v>
      </c>
      <c r="CS161" s="408">
        <v>1340.1019852766021</v>
      </c>
      <c r="CT161" s="408">
        <v>6248.6978561677315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6267.2864998806026</v>
      </c>
      <c r="DA161" s="408">
        <v>0</v>
      </c>
      <c r="DB161" s="408">
        <v>0</v>
      </c>
      <c r="DC161" s="408">
        <v>53432.087997063238</v>
      </c>
      <c r="DD161" s="408">
        <v>0</v>
      </c>
      <c r="DE161" s="408">
        <v>0</v>
      </c>
      <c r="DF161" s="408">
        <v>0</v>
      </c>
      <c r="DG161" s="408">
        <v>2804.2175874553905</v>
      </c>
      <c r="DH161" s="408">
        <v>0</v>
      </c>
      <c r="DI161" s="408">
        <v>-5172.7301307756279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-711.33353427209295</v>
      </c>
      <c r="DP161" s="408">
        <v>-84.580228864092533</v>
      </c>
      <c r="DQ161" s="408">
        <v>0</v>
      </c>
      <c r="DR161" s="408">
        <v>0</v>
      </c>
      <c r="DS161" s="408"/>
      <c r="DT161" s="408"/>
      <c r="DU161" s="408"/>
      <c r="DV161" s="408">
        <v>582985.66327452264</v>
      </c>
      <c r="DW161" s="408">
        <v>0</v>
      </c>
      <c r="DX161" s="408">
        <v>0</v>
      </c>
      <c r="DY161" s="408">
        <v>-134127.45727000001</v>
      </c>
      <c r="DZ161" s="408">
        <v>53438.121470000013</v>
      </c>
      <c r="EA161" s="408">
        <v>0</v>
      </c>
      <c r="EB161" s="408">
        <v>0</v>
      </c>
      <c r="EC161" s="408">
        <v>-144823.52769025607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38903.007195766331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240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160</v>
      </c>
      <c r="B162" s="408" t="s">
        <v>2237</v>
      </c>
      <c r="C162" s="408" t="s">
        <v>2235</v>
      </c>
      <c r="D162" s="408" t="s">
        <v>1958</v>
      </c>
      <c r="E162" s="408" t="s">
        <v>998</v>
      </c>
      <c r="F162" s="408" t="s">
        <v>1322</v>
      </c>
      <c r="G162" s="408" t="s">
        <v>1322</v>
      </c>
      <c r="H162" s="408" t="s">
        <v>1322</v>
      </c>
      <c r="I162" s="408" t="s">
        <v>1322</v>
      </c>
      <c r="J162" s="408" t="s">
        <v>2236</v>
      </c>
      <c r="K162" s="826">
        <v>44440</v>
      </c>
      <c r="L162" s="408">
        <v>0</v>
      </c>
      <c r="M162" s="408">
        <v>0</v>
      </c>
      <c r="N162" s="408">
        <v>-0.84199999999999997</v>
      </c>
      <c r="O162" s="408">
        <v>-0.84199999999999997</v>
      </c>
      <c r="P162" s="408">
        <v>-0.84199999999999997</v>
      </c>
      <c r="Q162" s="408">
        <v>-0.84199999999999997</v>
      </c>
      <c r="R162" s="408"/>
      <c r="S162" s="408">
        <v>368.24</v>
      </c>
      <c r="T162" s="408">
        <v>173.25</v>
      </c>
      <c r="U162" s="408"/>
      <c r="V162" s="408">
        <v>-455.93457999999998</v>
      </c>
      <c r="W162" s="408">
        <v>-455.93457999999998</v>
      </c>
      <c r="X162" s="408">
        <v>-428.48537999999996</v>
      </c>
      <c r="Y162" s="408">
        <v>0</v>
      </c>
      <c r="Z162" s="408">
        <v>-51.821044253869871</v>
      </c>
      <c r="AA162" s="408">
        <v>0</v>
      </c>
      <c r="AB162" s="408">
        <v>0</v>
      </c>
      <c r="AC162" s="408">
        <v>-2.1551304612296502</v>
      </c>
      <c r="AD162" s="408">
        <v>-2.0705971110064083</v>
      </c>
      <c r="AE162" s="408">
        <v>-198.32224307831055</v>
      </c>
      <c r="AF162" s="408">
        <v>-143.42667623283353</v>
      </c>
      <c r="AG162" s="408">
        <v>-2.4478906327157328</v>
      </c>
      <c r="AH162" s="408">
        <v>0</v>
      </c>
      <c r="AI162" s="408">
        <v>0</v>
      </c>
      <c r="AJ162" s="408">
        <v>0</v>
      </c>
      <c r="AK162" s="408">
        <v>0</v>
      </c>
      <c r="AL162" s="408">
        <v>-8.0066034935079955</v>
      </c>
      <c r="AM162" s="408"/>
      <c r="AN162" s="408">
        <v>-1.0170153534934101</v>
      </c>
      <c r="AO162" s="408">
        <v>-4.574919051201837</v>
      </c>
      <c r="AP162" s="408">
        <v>-21.332172611836675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</v>
      </c>
      <c r="BF162" s="408">
        <v>0</v>
      </c>
      <c r="BG162" s="408">
        <v>-7.5273047166802955</v>
      </c>
      <c r="BH162" s="408">
        <v>0</v>
      </c>
      <c r="BI162" s="408">
        <v>-0.35</v>
      </c>
      <c r="BJ162" s="408">
        <v>-3.04</v>
      </c>
      <c r="BK162" s="408">
        <v>-216.75</v>
      </c>
      <c r="BL162" s="408">
        <v>0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-150.95398094951383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-427.4676</v>
      </c>
      <c r="CJ162" s="408">
        <v>28.436980000000005</v>
      </c>
      <c r="CK162" s="408"/>
      <c r="CL162" s="408"/>
      <c r="CM162" s="408"/>
      <c r="CN162" s="408"/>
      <c r="CO162" s="408">
        <v>45.627979999999994</v>
      </c>
      <c r="CP162" s="408">
        <v>-18.178780000000003</v>
      </c>
      <c r="CQ162" s="408">
        <v>30</v>
      </c>
      <c r="CR162" s="408">
        <v>-21.813856404034254</v>
      </c>
      <c r="CS162" s="408">
        <v>-0.45588090482527566</v>
      </c>
      <c r="CT162" s="408">
        <v>-2.1257054044745196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-2.132028958807251</v>
      </c>
      <c r="DA162" s="408">
        <v>0</v>
      </c>
      <c r="DB162" s="408">
        <v>0</v>
      </c>
      <c r="DC162" s="408">
        <v>-18.17672751061346</v>
      </c>
      <c r="DD162" s="408">
        <v>0</v>
      </c>
      <c r="DE162" s="408">
        <v>0</v>
      </c>
      <c r="DF162" s="408">
        <v>0</v>
      </c>
      <c r="DG162" s="408">
        <v>-0.95394922561229567</v>
      </c>
      <c r="DH162" s="408">
        <v>0</v>
      </c>
      <c r="DI162" s="408">
        <v>1.759678679938844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0.24198410180669239</v>
      </c>
      <c r="DP162" s="408">
        <v>2.8772818553009283E-2</v>
      </c>
      <c r="DQ162" s="408">
        <v>0</v>
      </c>
      <c r="DR162" s="408">
        <v>0</v>
      </c>
      <c r="DS162" s="408"/>
      <c r="DT162" s="408"/>
      <c r="DU162" s="408"/>
      <c r="DV162" s="408">
        <v>-198.32224307831055</v>
      </c>
      <c r="DW162" s="408">
        <v>0</v>
      </c>
      <c r="DX162" s="408">
        <v>0</v>
      </c>
      <c r="DY162" s="408">
        <v>45.627980000000036</v>
      </c>
      <c r="DZ162" s="408">
        <v>-18.178780000000017</v>
      </c>
      <c r="EA162" s="408">
        <v>0</v>
      </c>
      <c r="EB162" s="408">
        <v>0</v>
      </c>
      <c r="EC162" s="408">
        <v>49.266609234815064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-13.234170470368765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240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161</v>
      </c>
      <c r="B163" s="408" t="s">
        <v>2238</v>
      </c>
      <c r="C163" s="408" t="s">
        <v>2235</v>
      </c>
      <c r="D163" s="408" t="s">
        <v>1958</v>
      </c>
      <c r="E163" s="408" t="s">
        <v>998</v>
      </c>
      <c r="F163" s="408" t="s">
        <v>1322</v>
      </c>
      <c r="G163" s="408" t="s">
        <v>1322</v>
      </c>
      <c r="H163" s="408" t="s">
        <v>1322</v>
      </c>
      <c r="I163" s="408" t="s">
        <v>1322</v>
      </c>
      <c r="J163" s="408" t="s">
        <v>2236</v>
      </c>
      <c r="K163" s="826">
        <v>44440</v>
      </c>
      <c r="L163" s="408">
        <v>0</v>
      </c>
      <c r="M163" s="408">
        <v>0</v>
      </c>
      <c r="N163" s="408">
        <v>154.97800000000001</v>
      </c>
      <c r="O163" s="408">
        <v>154.97800000000001</v>
      </c>
      <c r="P163" s="408">
        <v>154.97800000000001</v>
      </c>
      <c r="Q163" s="408">
        <v>154.97800000000001</v>
      </c>
      <c r="R163" s="408"/>
      <c r="S163" s="408">
        <v>368.24</v>
      </c>
      <c r="T163" s="408">
        <v>173.25</v>
      </c>
      <c r="U163" s="408"/>
      <c r="V163" s="408">
        <v>83919.037219999998</v>
      </c>
      <c r="W163" s="408">
        <v>83919.037219999998</v>
      </c>
      <c r="X163" s="408">
        <v>78866.754420000012</v>
      </c>
      <c r="Y163" s="408">
        <v>0</v>
      </c>
      <c r="Z163" s="408">
        <v>9538.1494018720259</v>
      </c>
      <c r="AA163" s="408">
        <v>0</v>
      </c>
      <c r="AB163" s="408">
        <v>0</v>
      </c>
      <c r="AC163" s="408">
        <v>396.67198173449975</v>
      </c>
      <c r="AD163" s="408">
        <v>381.11282549827928</v>
      </c>
      <c r="AE163" s="408">
        <v>36503.06958169883</v>
      </c>
      <c r="AF163" s="408">
        <v>26399.025450370638</v>
      </c>
      <c r="AG163" s="408">
        <v>450.55723809622191</v>
      </c>
      <c r="AH163" s="408">
        <v>0</v>
      </c>
      <c r="AI163" s="408">
        <v>0</v>
      </c>
      <c r="AJ163" s="408">
        <v>0</v>
      </c>
      <c r="AK163" s="408">
        <v>0</v>
      </c>
      <c r="AL163" s="408">
        <v>1473.6904943193374</v>
      </c>
      <c r="AM163" s="408"/>
      <c r="AN163" s="408">
        <v>187.19121787850563</v>
      </c>
      <c r="AO163" s="408">
        <v>842.05677519852532</v>
      </c>
      <c r="AP163" s="408">
        <v>3926.3865166712881</v>
      </c>
      <c r="AQ163" s="408">
        <v>0</v>
      </c>
      <c r="AR163" s="408">
        <v>0</v>
      </c>
      <c r="AS163" s="408">
        <v>0</v>
      </c>
      <c r="AT163" s="408">
        <v>0</v>
      </c>
      <c r="AU163" s="408">
        <v>0</v>
      </c>
      <c r="AV163" s="408">
        <v>0</v>
      </c>
      <c r="AW163" s="408">
        <v>0</v>
      </c>
      <c r="AX163" s="408">
        <v>0</v>
      </c>
      <c r="AY163" s="408">
        <v>0</v>
      </c>
      <c r="AZ163" s="408">
        <v>0</v>
      </c>
      <c r="BA163" s="408"/>
      <c r="BB163" s="408">
        <v>0</v>
      </c>
      <c r="BC163" s="408">
        <v>0</v>
      </c>
      <c r="BD163" s="408">
        <v>0</v>
      </c>
      <c r="BE163" s="408">
        <v>0</v>
      </c>
      <c r="BF163" s="408">
        <v>0</v>
      </c>
      <c r="BG163" s="408">
        <v>1385.4710574604262</v>
      </c>
      <c r="BH163" s="408">
        <v>0</v>
      </c>
      <c r="BI163" s="408">
        <v>68.19</v>
      </c>
      <c r="BJ163" s="408">
        <v>593.1</v>
      </c>
      <c r="BK163" s="408">
        <v>70433.3</v>
      </c>
      <c r="BL163" s="408">
        <v>215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27784.496507831063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78867.772199999992</v>
      </c>
      <c r="CJ163" s="408">
        <v>-5051.295020000005</v>
      </c>
      <c r="CK163" s="408"/>
      <c r="CL163" s="408"/>
      <c r="CM163" s="408"/>
      <c r="CN163" s="408"/>
      <c r="CO163" s="408">
        <v>-8398.2578200000007</v>
      </c>
      <c r="CP163" s="408">
        <v>3345.9750200000008</v>
      </c>
      <c r="CQ163" s="408">
        <v>30</v>
      </c>
      <c r="CR163" s="408">
        <v>4015.0449379862694</v>
      </c>
      <c r="CS163" s="408">
        <v>83.909157800488856</v>
      </c>
      <c r="CT163" s="408">
        <v>391.25602396039494</v>
      </c>
      <c r="CU163" s="408">
        <v>0</v>
      </c>
      <c r="CV163" s="408">
        <v>0</v>
      </c>
      <c r="CW163" s="408">
        <v>0</v>
      </c>
      <c r="CX163" s="408">
        <v>0</v>
      </c>
      <c r="CY163" s="408">
        <v>0</v>
      </c>
      <c r="CZ163" s="408">
        <v>392.41993346559406</v>
      </c>
      <c r="DA163" s="408">
        <v>0</v>
      </c>
      <c r="DB163" s="408">
        <v>0</v>
      </c>
      <c r="DC163" s="408">
        <v>3345.5972400710853</v>
      </c>
      <c r="DD163" s="408">
        <v>0</v>
      </c>
      <c r="DE163" s="408">
        <v>0</v>
      </c>
      <c r="DF163" s="408">
        <v>0</v>
      </c>
      <c r="DG163" s="408">
        <v>175.58330532891023</v>
      </c>
      <c r="DH163" s="408">
        <v>0</v>
      </c>
      <c r="DI163" s="408">
        <v>-323.88537109211575</v>
      </c>
      <c r="DJ163" s="408"/>
      <c r="DK163" s="408">
        <v>0</v>
      </c>
      <c r="DL163" s="408">
        <v>0</v>
      </c>
      <c r="DM163" s="408">
        <v>0</v>
      </c>
      <c r="DN163" s="408">
        <v>0</v>
      </c>
      <c r="DO163" s="408">
        <v>-44.539444334676318</v>
      </c>
      <c r="DP163" s="408">
        <v>-5.2959072134302687</v>
      </c>
      <c r="DQ163" s="408">
        <v>0</v>
      </c>
      <c r="DR163" s="408">
        <v>0</v>
      </c>
      <c r="DS163" s="408"/>
      <c r="DT163" s="408"/>
      <c r="DU163" s="408"/>
      <c r="DV163" s="408">
        <v>36503.06958169883</v>
      </c>
      <c r="DW163" s="408">
        <v>0</v>
      </c>
      <c r="DX163" s="408">
        <v>0</v>
      </c>
      <c r="DY163" s="408">
        <v>-8398.2578199999989</v>
      </c>
      <c r="DZ163" s="408">
        <v>3345.9750200000017</v>
      </c>
      <c r="EA163" s="408">
        <v>0</v>
      </c>
      <c r="EB163" s="408">
        <v>0</v>
      </c>
      <c r="EC163" s="408">
        <v>-9067.9816698256182</v>
      </c>
      <c r="ED163" s="408">
        <v>0</v>
      </c>
      <c r="EE163" s="408">
        <v>0</v>
      </c>
      <c r="EF163" s="408">
        <v>0</v>
      </c>
      <c r="EG163" s="408">
        <v>0</v>
      </c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>
        <v>0</v>
      </c>
      <c r="EN163" s="408">
        <v>0</v>
      </c>
      <c r="EO163" s="408">
        <v>0</v>
      </c>
      <c r="EP163" s="408">
        <v>2435.8732436541695</v>
      </c>
      <c r="EQ163" s="408">
        <v>0</v>
      </c>
      <c r="ER163" s="408">
        <v>0</v>
      </c>
      <c r="ES163" s="408">
        <v>0</v>
      </c>
      <c r="ET163" s="408">
        <v>0</v>
      </c>
      <c r="EU163" s="408">
        <v>0</v>
      </c>
      <c r="EV163" s="408">
        <v>240</v>
      </c>
      <c r="EW163" s="408">
        <v>0</v>
      </c>
      <c r="EX163" s="408">
        <v>0</v>
      </c>
      <c r="EY163" s="408">
        <v>0</v>
      </c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162</v>
      </c>
      <c r="B164" s="408" t="s">
        <v>1036</v>
      </c>
      <c r="C164" s="408" t="s">
        <v>2243</v>
      </c>
      <c r="D164" s="408" t="s">
        <v>597</v>
      </c>
      <c r="E164" s="408" t="s">
        <v>998</v>
      </c>
      <c r="F164" s="408" t="s">
        <v>1322</v>
      </c>
      <c r="G164" s="408" t="s">
        <v>1322</v>
      </c>
      <c r="H164" s="408" t="s">
        <v>1322</v>
      </c>
      <c r="I164" s="408" t="s">
        <v>973</v>
      </c>
      <c r="J164" s="408" t="s">
        <v>2236</v>
      </c>
      <c r="K164" s="826">
        <v>44440</v>
      </c>
      <c r="L164" s="408">
        <v>0</v>
      </c>
      <c r="M164" s="408">
        <v>0</v>
      </c>
      <c r="N164" s="408">
        <v>71.474999999999994</v>
      </c>
      <c r="O164" s="408">
        <v>71.474999999999994</v>
      </c>
      <c r="P164" s="408">
        <v>71.474999999999994</v>
      </c>
      <c r="Q164" s="408">
        <v>71.474999999999994</v>
      </c>
      <c r="R164" s="408"/>
      <c r="S164" s="408">
        <v>1358.36</v>
      </c>
      <c r="T164" s="408">
        <v>173.25</v>
      </c>
      <c r="U164" s="408"/>
      <c r="V164" s="408">
        <v>109471.82474999999</v>
      </c>
      <c r="W164" s="408">
        <v>109471.82474999999</v>
      </c>
      <c r="X164" s="408">
        <v>95985.20699999998</v>
      </c>
      <c r="Y164" s="408">
        <v>0</v>
      </c>
      <c r="Z164" s="408">
        <v>3827.0795131822456</v>
      </c>
      <c r="AA164" s="408">
        <v>0</v>
      </c>
      <c r="AB164" s="408">
        <v>0</v>
      </c>
      <c r="AC164" s="408">
        <v>1353.8857637825283</v>
      </c>
      <c r="AD164" s="408">
        <v>1300.7846389740118</v>
      </c>
      <c r="AE164" s="408">
        <v>72083.089058305719</v>
      </c>
      <c r="AF164" s="408">
        <v>12175.085135085246</v>
      </c>
      <c r="AG164" s="408">
        <v>207.79451659543585</v>
      </c>
      <c r="AH164" s="408">
        <v>0</v>
      </c>
      <c r="AI164" s="408">
        <v>0</v>
      </c>
      <c r="AJ164" s="408">
        <v>0</v>
      </c>
      <c r="AK164" s="408">
        <v>0</v>
      </c>
      <c r="AL164" s="408">
        <v>679.65793907183365</v>
      </c>
      <c r="AM164" s="408"/>
      <c r="AN164" s="408">
        <v>57.238168308779052</v>
      </c>
      <c r="AO164" s="408">
        <v>2874.0685162725499</v>
      </c>
      <c r="AP164" s="408">
        <v>13401.283831735358</v>
      </c>
      <c r="AQ164" s="408">
        <v>0</v>
      </c>
      <c r="AR164" s="408">
        <v>0</v>
      </c>
      <c r="AS164" s="408">
        <v>0</v>
      </c>
      <c r="AT164" s="408">
        <v>0</v>
      </c>
      <c r="AU164" s="408">
        <v>0</v>
      </c>
      <c r="AV164" s="408">
        <v>0</v>
      </c>
      <c r="AW164" s="408">
        <v>0</v>
      </c>
      <c r="AX164" s="408">
        <v>0</v>
      </c>
      <c r="AY164" s="408">
        <v>0</v>
      </c>
      <c r="AZ164" s="408">
        <v>0</v>
      </c>
      <c r="BA164" s="408"/>
      <c r="BB164" s="408">
        <v>0</v>
      </c>
      <c r="BC164" s="408">
        <v>0</v>
      </c>
      <c r="BD164" s="408">
        <v>0</v>
      </c>
      <c r="BE164" s="408">
        <v>0</v>
      </c>
      <c r="BF164" s="408">
        <v>0</v>
      </c>
      <c r="BG164" s="408">
        <v>534.53697927029089</v>
      </c>
      <c r="BH164" s="408">
        <v>0</v>
      </c>
      <c r="BI164" s="408">
        <v>0</v>
      </c>
      <c r="BJ164" s="408">
        <v>0</v>
      </c>
      <c r="BK164" s="408">
        <v>0</v>
      </c>
      <c r="BL164" s="408">
        <v>0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>
        <v>12709.622114355538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95991.921600000001</v>
      </c>
      <c r="CJ164" s="408">
        <v>-13479.933149999968</v>
      </c>
      <c r="CK164" s="408"/>
      <c r="CL164" s="408"/>
      <c r="CM164" s="408"/>
      <c r="CN164" s="408"/>
      <c r="CO164" s="408">
        <v>-15029.762999999997</v>
      </c>
      <c r="CP164" s="408">
        <v>1543.14525</v>
      </c>
      <c r="CQ164" s="408">
        <v>30</v>
      </c>
      <c r="CR164" s="408">
        <v>4419.7789263517916</v>
      </c>
      <c r="CS164" s="408">
        <v>286.3947844900008</v>
      </c>
      <c r="CT164" s="408">
        <v>1335.4092893571578</v>
      </c>
      <c r="CU164" s="408">
        <v>0</v>
      </c>
      <c r="CV164" s="408">
        <v>0</v>
      </c>
      <c r="CW164" s="408">
        <v>0</v>
      </c>
      <c r="CX164" s="408">
        <v>0</v>
      </c>
      <c r="CY164" s="408">
        <v>0</v>
      </c>
      <c r="CZ164" s="408">
        <v>1339.377180004017</v>
      </c>
      <c r="DA164" s="408">
        <v>0</v>
      </c>
      <c r="DB164" s="408">
        <v>0</v>
      </c>
      <c r="DC164" s="408">
        <v>1542.9710199775491</v>
      </c>
      <c r="DD164" s="408">
        <v>0</v>
      </c>
      <c r="DE164" s="408">
        <v>0</v>
      </c>
      <c r="DF164" s="408">
        <v>0</v>
      </c>
      <c r="DG164" s="408">
        <v>67.742858384095939</v>
      </c>
      <c r="DH164" s="408">
        <v>0</v>
      </c>
      <c r="DI164" s="408">
        <v>-129.95550982696477</v>
      </c>
      <c r="DJ164" s="408"/>
      <c r="DK164" s="408">
        <v>0</v>
      </c>
      <c r="DL164" s="408">
        <v>0</v>
      </c>
      <c r="DM164" s="408">
        <v>0</v>
      </c>
      <c r="DN164" s="408">
        <v>0</v>
      </c>
      <c r="DO164" s="408">
        <v>-20.541346409303287</v>
      </c>
      <c r="DP164" s="408">
        <v>-1.6193496247604457</v>
      </c>
      <c r="DQ164" s="408">
        <v>0</v>
      </c>
      <c r="DR164" s="408">
        <v>0</v>
      </c>
      <c r="DS164" s="408"/>
      <c r="DT164" s="408"/>
      <c r="DU164" s="408"/>
      <c r="DV164" s="408">
        <v>72083.089058305719</v>
      </c>
      <c r="DW164" s="408">
        <v>0</v>
      </c>
      <c r="DX164" s="408">
        <v>0</v>
      </c>
      <c r="DY164" s="408">
        <v>-15029.763000000006</v>
      </c>
      <c r="DZ164" s="408">
        <v>1543.1452499999996</v>
      </c>
      <c r="EA164" s="408">
        <v>0</v>
      </c>
      <c r="EB164" s="408">
        <v>0</v>
      </c>
      <c r="EC164" s="408">
        <v>-17906.662036247908</v>
      </c>
      <c r="ED164" s="408">
        <v>0</v>
      </c>
      <c r="EE164" s="408">
        <v>0</v>
      </c>
      <c r="EF164" s="408">
        <v>0</v>
      </c>
      <c r="EG164" s="408">
        <v>0</v>
      </c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>
        <v>0</v>
      </c>
      <c r="EN164" s="408">
        <v>0</v>
      </c>
      <c r="EO164" s="408">
        <v>0</v>
      </c>
      <c r="EP164" s="408">
        <v>977.36785142703127</v>
      </c>
      <c r="EQ164" s="408">
        <v>0</v>
      </c>
      <c r="ER164" s="408">
        <v>0</v>
      </c>
      <c r="ES164" s="408">
        <v>0</v>
      </c>
      <c r="ET164" s="408">
        <v>0</v>
      </c>
      <c r="EU164" s="408">
        <v>0</v>
      </c>
      <c r="EV164" s="408">
        <v>240</v>
      </c>
      <c r="EW164" s="408">
        <v>0</v>
      </c>
      <c r="EX164" s="408">
        <v>0</v>
      </c>
      <c r="EY164" s="408">
        <v>0</v>
      </c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163</v>
      </c>
      <c r="B165" s="408" t="s">
        <v>2238</v>
      </c>
      <c r="C165" s="408" t="s">
        <v>2243</v>
      </c>
      <c r="D165" s="408" t="s">
        <v>597</v>
      </c>
      <c r="E165" s="408" t="s">
        <v>998</v>
      </c>
      <c r="F165" s="408" t="s">
        <v>1322</v>
      </c>
      <c r="G165" s="408" t="s">
        <v>1322</v>
      </c>
      <c r="H165" s="408" t="s">
        <v>1322</v>
      </c>
      <c r="I165" s="408" t="s">
        <v>973</v>
      </c>
      <c r="J165" s="408" t="s">
        <v>2236</v>
      </c>
      <c r="K165" s="826">
        <v>44440</v>
      </c>
      <c r="L165" s="408">
        <v>0</v>
      </c>
      <c r="M165" s="408">
        <v>0</v>
      </c>
      <c r="N165" s="408">
        <v>4.3650000000000002</v>
      </c>
      <c r="O165" s="408">
        <v>4.3650000000000002</v>
      </c>
      <c r="P165" s="408">
        <v>4.3650000000000002</v>
      </c>
      <c r="Q165" s="408">
        <v>4.3650000000000002</v>
      </c>
      <c r="R165" s="408"/>
      <c r="S165" s="408">
        <v>1358.36</v>
      </c>
      <c r="T165" s="408">
        <v>173.25</v>
      </c>
      <c r="U165" s="408"/>
      <c r="V165" s="408">
        <v>6685.4776499999998</v>
      </c>
      <c r="W165" s="408">
        <v>6685.4776499999998</v>
      </c>
      <c r="X165" s="408">
        <v>5861.8458000000001</v>
      </c>
      <c r="Y165" s="408">
        <v>0</v>
      </c>
      <c r="Z165" s="408">
        <v>233.72091045876888</v>
      </c>
      <c r="AA165" s="408">
        <v>0</v>
      </c>
      <c r="AB165" s="408">
        <v>0</v>
      </c>
      <c r="AC165" s="408">
        <v>82.682215584620309</v>
      </c>
      <c r="AD165" s="408">
        <v>79.439313733774924</v>
      </c>
      <c r="AE165" s="408">
        <v>4402.1361838335715</v>
      </c>
      <c r="AF165" s="408">
        <v>743.53615410489124</v>
      </c>
      <c r="AG165" s="408">
        <v>12.690074360812558</v>
      </c>
      <c r="AH165" s="408">
        <v>0</v>
      </c>
      <c r="AI165" s="408">
        <v>0</v>
      </c>
      <c r="AJ165" s="408">
        <v>0</v>
      </c>
      <c r="AK165" s="408">
        <v>0</v>
      </c>
      <c r="AL165" s="408">
        <v>41.506917160525418</v>
      </c>
      <c r="AM165" s="408"/>
      <c r="AN165" s="408">
        <v>3.4955523563178819</v>
      </c>
      <c r="AO165" s="408">
        <v>175.52023887414737</v>
      </c>
      <c r="AP165" s="408">
        <v>818.42048164427911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0</v>
      </c>
      <c r="BF165" s="408">
        <v>0</v>
      </c>
      <c r="BG165" s="408">
        <v>32.644335984817346</v>
      </c>
      <c r="BH165" s="408">
        <v>0</v>
      </c>
      <c r="BI165" s="408">
        <v>0</v>
      </c>
      <c r="BJ165" s="408">
        <v>0</v>
      </c>
      <c r="BK165" s="408">
        <v>0</v>
      </c>
      <c r="BL165" s="408">
        <v>0</v>
      </c>
      <c r="BM165" s="408"/>
      <c r="BN165" s="408"/>
      <c r="BO165" s="408"/>
      <c r="BP165" s="408"/>
      <c r="BQ165" s="408"/>
      <c r="BR165" s="408"/>
      <c r="BS165" s="408"/>
      <c r="BT165" s="408"/>
      <c r="BU165" s="408"/>
      <c r="BV165" s="408">
        <v>776.18049008970854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5868.5604000000003</v>
      </c>
      <c r="CJ165" s="408">
        <v>-816.94725000000017</v>
      </c>
      <c r="CK165" s="408"/>
      <c r="CL165" s="408"/>
      <c r="CM165" s="408"/>
      <c r="CN165" s="408"/>
      <c r="CO165" s="408">
        <v>-917.87219999999991</v>
      </c>
      <c r="CP165" s="408">
        <v>94.240350000000021</v>
      </c>
      <c r="CQ165" s="408">
        <v>30</v>
      </c>
      <c r="CR165" s="408">
        <v>269.91724398077076</v>
      </c>
      <c r="CS165" s="408">
        <v>17.490216639368356</v>
      </c>
      <c r="CT165" s="408">
        <v>81.553851669031019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81.796171958272595</v>
      </c>
      <c r="DA165" s="408">
        <v>0</v>
      </c>
      <c r="DB165" s="408">
        <v>0</v>
      </c>
      <c r="DC165" s="408">
        <v>94.229709719510424</v>
      </c>
      <c r="DD165" s="408">
        <v>0</v>
      </c>
      <c r="DE165" s="408">
        <v>0</v>
      </c>
      <c r="DF165" s="408">
        <v>0</v>
      </c>
      <c r="DG165" s="408">
        <v>4.137076975817827</v>
      </c>
      <c r="DH165" s="408">
        <v>0</v>
      </c>
      <c r="DI165" s="408">
        <v>-7.9364225308807761</v>
      </c>
      <c r="DJ165" s="408"/>
      <c r="DK165" s="408">
        <v>0</v>
      </c>
      <c r="DL165" s="408">
        <v>0</v>
      </c>
      <c r="DM165" s="408">
        <v>0</v>
      </c>
      <c r="DN165" s="408">
        <v>0</v>
      </c>
      <c r="DO165" s="408">
        <v>-1.2544662759931242</v>
      </c>
      <c r="DP165" s="408">
        <v>-9.8894174355779629E-2</v>
      </c>
      <c r="DQ165" s="408">
        <v>0</v>
      </c>
      <c r="DR165" s="408">
        <v>0</v>
      </c>
      <c r="DS165" s="408"/>
      <c r="DT165" s="408"/>
      <c r="DU165" s="408"/>
      <c r="DV165" s="408">
        <v>4402.1361838335715</v>
      </c>
      <c r="DW165" s="408">
        <v>0</v>
      </c>
      <c r="DX165" s="408">
        <v>0</v>
      </c>
      <c r="DY165" s="408">
        <v>-917.87219999999979</v>
      </c>
      <c r="DZ165" s="408">
        <v>94.240350000000035</v>
      </c>
      <c r="EA165" s="408">
        <v>0</v>
      </c>
      <c r="EB165" s="408">
        <v>0</v>
      </c>
      <c r="EC165" s="408">
        <v>-1093.5652995903761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59.688152101839698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240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164</v>
      </c>
      <c r="B166" s="408" t="s">
        <v>1036</v>
      </c>
      <c r="C166" s="408" t="s">
        <v>2243</v>
      </c>
      <c r="D166" s="408" t="s">
        <v>597</v>
      </c>
      <c r="E166" s="408" t="s">
        <v>998</v>
      </c>
      <c r="F166" s="408" t="s">
        <v>1322</v>
      </c>
      <c r="G166" s="408" t="s">
        <v>1322</v>
      </c>
      <c r="H166" s="408" t="s">
        <v>1322</v>
      </c>
      <c r="I166" s="408" t="s">
        <v>2244</v>
      </c>
      <c r="J166" s="408" t="s">
        <v>2236</v>
      </c>
      <c r="K166" s="826">
        <v>44440</v>
      </c>
      <c r="L166" s="408">
        <v>0</v>
      </c>
      <c r="M166" s="408">
        <v>0</v>
      </c>
      <c r="N166" s="408">
        <v>822.66899999999998</v>
      </c>
      <c r="O166" s="408">
        <v>822.66899999999998</v>
      </c>
      <c r="P166" s="408">
        <v>822.66899999999998</v>
      </c>
      <c r="Q166" s="408">
        <v>822.66899999999998</v>
      </c>
      <c r="R166" s="408"/>
      <c r="S166" s="408">
        <v>85.01</v>
      </c>
      <c r="T166" s="408">
        <v>173.25</v>
      </c>
      <c r="U166" s="408"/>
      <c r="V166" s="408">
        <v>212462.49593999999</v>
      </c>
      <c r="W166" s="408">
        <v>212462.49593999999</v>
      </c>
      <c r="X166" s="408">
        <v>229253.17022999999</v>
      </c>
      <c r="Y166" s="408">
        <v>0</v>
      </c>
      <c r="Z166" s="408">
        <v>44049.243456175238</v>
      </c>
      <c r="AA166" s="408">
        <v>0</v>
      </c>
      <c r="AB166" s="408">
        <v>0</v>
      </c>
      <c r="AC166" s="408">
        <v>0</v>
      </c>
      <c r="AD166" s="408">
        <v>0</v>
      </c>
      <c r="AE166" s="408">
        <v>0</v>
      </c>
      <c r="AF166" s="408">
        <v>140133.82459594886</v>
      </c>
      <c r="AG166" s="408">
        <v>2391.6909013368399</v>
      </c>
      <c r="AH166" s="408">
        <v>0</v>
      </c>
      <c r="AI166" s="408">
        <v>0</v>
      </c>
      <c r="AJ166" s="408">
        <v>0</v>
      </c>
      <c r="AK166" s="408">
        <v>0</v>
      </c>
      <c r="AL166" s="408">
        <v>7822.7844292170175</v>
      </c>
      <c r="AM166" s="408"/>
      <c r="AN166" s="408">
        <v>658.80471051997142</v>
      </c>
      <c r="AO166" s="408">
        <v>0</v>
      </c>
      <c r="AP166" s="408">
        <v>0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</v>
      </c>
      <c r="BF166" s="408">
        <v>0</v>
      </c>
      <c r="BG166" s="408">
        <v>6152.4589324842391</v>
      </c>
      <c r="BH166" s="408">
        <v>0</v>
      </c>
      <c r="BI166" s="408">
        <v>0</v>
      </c>
      <c r="BJ166" s="408">
        <v>0</v>
      </c>
      <c r="BK166" s="408">
        <v>0</v>
      </c>
      <c r="BL166" s="408">
        <v>0</v>
      </c>
      <c r="BM166" s="408"/>
      <c r="BN166" s="408"/>
      <c r="BO166" s="408"/>
      <c r="BP166" s="408"/>
      <c r="BQ166" s="408"/>
      <c r="BR166" s="408"/>
      <c r="BS166" s="408"/>
      <c r="BT166" s="408"/>
      <c r="BU166" s="408"/>
      <c r="BV166" s="408">
        <v>146286.28352843309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229253.44890000002</v>
      </c>
      <c r="CJ166" s="408">
        <v>16790.922960000025</v>
      </c>
      <c r="CK166" s="408"/>
      <c r="CL166" s="408"/>
      <c r="CM166" s="408"/>
      <c r="CN166" s="408"/>
      <c r="CO166" s="408">
        <v>-970.74942000000556</v>
      </c>
      <c r="CP166" s="408">
        <v>17761.423710000003</v>
      </c>
      <c r="CQ166" s="408">
        <v>30</v>
      </c>
      <c r="CR166" s="408">
        <v>16788.290851883998</v>
      </c>
      <c r="CS166" s="408">
        <v>0</v>
      </c>
      <c r="CT166" s="408">
        <v>0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0</v>
      </c>
      <c r="DA166" s="408">
        <v>0</v>
      </c>
      <c r="DB166" s="408">
        <v>0</v>
      </c>
      <c r="DC166" s="408">
        <v>17759.41834255209</v>
      </c>
      <c r="DD166" s="408">
        <v>0</v>
      </c>
      <c r="DE166" s="408">
        <v>0</v>
      </c>
      <c r="DF166" s="408">
        <v>0</v>
      </c>
      <c r="DG166" s="408">
        <v>779.71248078329245</v>
      </c>
      <c r="DH166" s="408">
        <v>0</v>
      </c>
      <c r="DI166" s="408">
        <v>-1495.7729179970556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-236.42852618670986</v>
      </c>
      <c r="DP166" s="408">
        <v>-18.638527267604786</v>
      </c>
      <c r="DQ166" s="408">
        <v>0</v>
      </c>
      <c r="DR166" s="408">
        <v>0</v>
      </c>
      <c r="DS166" s="408"/>
      <c r="DT166" s="408"/>
      <c r="DU166" s="408"/>
      <c r="DV166" s="408">
        <v>0</v>
      </c>
      <c r="DW166" s="408">
        <v>0</v>
      </c>
      <c r="DX166" s="408">
        <v>0</v>
      </c>
      <c r="DY166" s="408">
        <v>-970.74942000000738</v>
      </c>
      <c r="DZ166" s="408">
        <v>17761.423710000003</v>
      </c>
      <c r="EA166" s="408">
        <v>0</v>
      </c>
      <c r="EB166" s="408">
        <v>0</v>
      </c>
      <c r="EC166" s="408">
        <v>0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11249.39115726652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240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165</v>
      </c>
      <c r="B167" s="408" t="s">
        <v>2238</v>
      </c>
      <c r="C167" s="408" t="s">
        <v>2243</v>
      </c>
      <c r="D167" s="408" t="s">
        <v>597</v>
      </c>
      <c r="E167" s="408" t="s">
        <v>998</v>
      </c>
      <c r="F167" s="408" t="s">
        <v>1322</v>
      </c>
      <c r="G167" s="408" t="s">
        <v>1322</v>
      </c>
      <c r="H167" s="408" t="s">
        <v>1322</v>
      </c>
      <c r="I167" s="408" t="s">
        <v>2244</v>
      </c>
      <c r="J167" s="408" t="s">
        <v>2236</v>
      </c>
      <c r="K167" s="826">
        <v>44440</v>
      </c>
      <c r="L167" s="408">
        <v>0</v>
      </c>
      <c r="M167" s="408">
        <v>0</v>
      </c>
      <c r="N167" s="408">
        <v>25.376000000000001</v>
      </c>
      <c r="O167" s="408">
        <v>25.376000000000001</v>
      </c>
      <c r="P167" s="408">
        <v>25.376000000000001</v>
      </c>
      <c r="Q167" s="408">
        <v>25.376000000000001</v>
      </c>
      <c r="R167" s="408"/>
      <c r="S167" s="408">
        <v>85.01</v>
      </c>
      <c r="T167" s="408">
        <v>173.25</v>
      </c>
      <c r="U167" s="408"/>
      <c r="V167" s="408">
        <v>6553.6057600000004</v>
      </c>
      <c r="W167" s="408">
        <v>6553.6057600000004</v>
      </c>
      <c r="X167" s="408">
        <v>7071.5299200000009</v>
      </c>
      <c r="Y167" s="408">
        <v>0</v>
      </c>
      <c r="Z167" s="408">
        <v>1358.7403949144832</v>
      </c>
      <c r="AA167" s="408">
        <v>0</v>
      </c>
      <c r="AB167" s="408">
        <v>0</v>
      </c>
      <c r="AC167" s="408">
        <v>0</v>
      </c>
      <c r="AD167" s="408">
        <v>0</v>
      </c>
      <c r="AE167" s="408">
        <v>0</v>
      </c>
      <c r="AF167" s="408">
        <v>4322.5597815729025</v>
      </c>
      <c r="AG167" s="408">
        <v>73.773958071014775</v>
      </c>
      <c r="AH167" s="408">
        <v>0</v>
      </c>
      <c r="AI167" s="408">
        <v>0</v>
      </c>
      <c r="AJ167" s="408">
        <v>0</v>
      </c>
      <c r="AK167" s="408">
        <v>0</v>
      </c>
      <c r="AL167" s="408">
        <v>241.30115231740962</v>
      </c>
      <c r="AM167" s="408"/>
      <c r="AN167" s="408">
        <v>20.321451682456487</v>
      </c>
      <c r="AO167" s="408">
        <v>0</v>
      </c>
      <c r="AP167" s="408">
        <v>0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>
        <v>0</v>
      </c>
      <c r="BG167" s="408">
        <v>189.77838945033793</v>
      </c>
      <c r="BH167" s="408">
        <v>0</v>
      </c>
      <c r="BI167" s="408">
        <v>0</v>
      </c>
      <c r="BJ167" s="408">
        <v>0</v>
      </c>
      <c r="BK167" s="408">
        <v>0</v>
      </c>
      <c r="BL167" s="408">
        <v>0</v>
      </c>
      <c r="BM167" s="408"/>
      <c r="BN167" s="408"/>
      <c r="BO167" s="408"/>
      <c r="BP167" s="408"/>
      <c r="BQ167" s="408"/>
      <c r="BR167" s="408"/>
      <c r="BS167" s="408"/>
      <c r="BT167" s="408"/>
      <c r="BU167" s="408"/>
      <c r="BV167" s="408">
        <v>4512.3381710232406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7072.6445999999996</v>
      </c>
      <c r="CJ167" s="408">
        <v>519.0088399999986</v>
      </c>
      <c r="CK167" s="408"/>
      <c r="CL167" s="408"/>
      <c r="CM167" s="408"/>
      <c r="CN167" s="408"/>
      <c r="CO167" s="408">
        <v>-29.943680000000175</v>
      </c>
      <c r="CP167" s="408">
        <v>547.86784000000011</v>
      </c>
      <c r="CQ167" s="408">
        <v>30</v>
      </c>
      <c r="CR167" s="408">
        <v>517.85064060686273</v>
      </c>
      <c r="CS167" s="408">
        <v>0</v>
      </c>
      <c r="CT167" s="408">
        <v>0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0</v>
      </c>
      <c r="DA167" s="408">
        <v>0</v>
      </c>
      <c r="DB167" s="408">
        <v>0</v>
      </c>
      <c r="DC167" s="408">
        <v>547.80598255264522</v>
      </c>
      <c r="DD167" s="408">
        <v>0</v>
      </c>
      <c r="DE167" s="408">
        <v>0</v>
      </c>
      <c r="DF167" s="408">
        <v>0</v>
      </c>
      <c r="DG167" s="408">
        <v>24.050965713253873</v>
      </c>
      <c r="DH167" s="408">
        <v>0</v>
      </c>
      <c r="DI167" s="408">
        <v>-46.138524202435519</v>
      </c>
      <c r="DJ167" s="408"/>
      <c r="DK167" s="408">
        <v>0</v>
      </c>
      <c r="DL167" s="408">
        <v>0</v>
      </c>
      <c r="DM167" s="408">
        <v>0</v>
      </c>
      <c r="DN167" s="408">
        <v>0</v>
      </c>
      <c r="DO167" s="408">
        <v>-7.2928605314092749</v>
      </c>
      <c r="DP167" s="408">
        <v>-0.57492292518952226</v>
      </c>
      <c r="DQ167" s="408">
        <v>0</v>
      </c>
      <c r="DR167" s="408">
        <v>0</v>
      </c>
      <c r="DS167" s="408"/>
      <c r="DT167" s="408"/>
      <c r="DU167" s="408"/>
      <c r="DV167" s="408">
        <v>0</v>
      </c>
      <c r="DW167" s="408">
        <v>0</v>
      </c>
      <c r="DX167" s="408">
        <v>0</v>
      </c>
      <c r="DY167" s="408">
        <v>-29.943679999999858</v>
      </c>
      <c r="DZ167" s="408">
        <v>547.8678400000008</v>
      </c>
      <c r="EA167" s="408">
        <v>0</v>
      </c>
      <c r="EB167" s="408">
        <v>0</v>
      </c>
      <c r="EC167" s="408">
        <v>0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346.99806362801468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240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166</v>
      </c>
      <c r="B168" s="408" t="s">
        <v>1036</v>
      </c>
      <c r="C168" s="408" t="s">
        <v>2243</v>
      </c>
      <c r="D168" s="408" t="s">
        <v>597</v>
      </c>
      <c r="E168" s="408" t="s">
        <v>998</v>
      </c>
      <c r="F168" s="408" t="s">
        <v>1322</v>
      </c>
      <c r="G168" s="408" t="s">
        <v>1322</v>
      </c>
      <c r="H168" s="408" t="s">
        <v>1322</v>
      </c>
      <c r="I168" s="408" t="s">
        <v>1322</v>
      </c>
      <c r="J168" s="408" t="s">
        <v>2236</v>
      </c>
      <c r="K168" s="826">
        <v>44440</v>
      </c>
      <c r="L168" s="408">
        <v>3996</v>
      </c>
      <c r="M168" s="408">
        <v>3996</v>
      </c>
      <c r="N168" s="408">
        <v>0</v>
      </c>
      <c r="O168" s="408">
        <v>0</v>
      </c>
      <c r="P168" s="408">
        <v>0</v>
      </c>
      <c r="Q168" s="408">
        <v>0</v>
      </c>
      <c r="R168" s="408">
        <v>27.19</v>
      </c>
      <c r="S168" s="408"/>
      <c r="T168" s="408"/>
      <c r="U168" s="408">
        <v>108651.24</v>
      </c>
      <c r="V168" s="408"/>
      <c r="W168" s="408">
        <v>108651.24</v>
      </c>
      <c r="X168" s="408">
        <v>86952.960000000006</v>
      </c>
      <c r="Y168" s="408">
        <v>0</v>
      </c>
      <c r="Z168" s="408">
        <v>0</v>
      </c>
      <c r="AA168" s="408">
        <v>0</v>
      </c>
      <c r="AB168" s="408">
        <v>0</v>
      </c>
      <c r="AC168" s="408">
        <v>931.86965125654581</v>
      </c>
      <c r="AD168" s="408">
        <v>895.24321812421431</v>
      </c>
      <c r="AE168" s="408">
        <v>95632.392851665354</v>
      </c>
      <c r="AF168" s="408"/>
      <c r="AG168" s="408"/>
      <c r="AH168" s="408"/>
      <c r="AI168" s="408">
        <v>0</v>
      </c>
      <c r="AJ168" s="408">
        <v>0</v>
      </c>
      <c r="AK168" s="408">
        <v>0</v>
      </c>
      <c r="AL168" s="408">
        <v>0</v>
      </c>
      <c r="AM168" s="408"/>
      <c r="AN168" s="408">
        <v>0</v>
      </c>
      <c r="AO168" s="408">
        <v>1977.5597850374941</v>
      </c>
      <c r="AP168" s="408">
        <v>9223.1230166739151</v>
      </c>
      <c r="AQ168" s="408">
        <v>0</v>
      </c>
      <c r="AR168" s="408">
        <v>0</v>
      </c>
      <c r="AS168" s="408"/>
      <c r="AT168" s="408"/>
      <c r="AU168" s="408">
        <v>0</v>
      </c>
      <c r="AV168" s="408">
        <v>0</v>
      </c>
      <c r="AW168" s="408">
        <v>0</v>
      </c>
      <c r="AX168" s="408"/>
      <c r="AY168" s="408"/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/>
      <c r="BG168" s="408">
        <v>0</v>
      </c>
      <c r="BH168" s="408">
        <v>0</v>
      </c>
      <c r="BI168" s="408">
        <v>380.98</v>
      </c>
      <c r="BJ168" s="408">
        <v>3267.17</v>
      </c>
      <c r="BK168" s="408">
        <v>222130.5</v>
      </c>
      <c r="BL168" s="408">
        <v>40</v>
      </c>
      <c r="BM168" s="408"/>
      <c r="BN168" s="408"/>
      <c r="BO168" s="408"/>
      <c r="BP168" s="408"/>
      <c r="BQ168" s="408"/>
      <c r="BR168" s="408"/>
      <c r="BS168" s="408"/>
      <c r="BT168" s="408"/>
      <c r="BU168" s="408"/>
      <c r="BV168" s="408">
        <v>0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86952.960000000006</v>
      </c>
      <c r="CJ168" s="408">
        <v>-21698.309999999983</v>
      </c>
      <c r="CK168" s="408"/>
      <c r="CL168" s="408"/>
      <c r="CM168" s="408"/>
      <c r="CN168" s="408"/>
      <c r="CO168" s="408">
        <v>-21698.28</v>
      </c>
      <c r="CP168" s="408">
        <v>0</v>
      </c>
      <c r="CQ168" s="408">
        <v>30</v>
      </c>
      <c r="CR168" s="408">
        <v>2037.9279877986646</v>
      </c>
      <c r="CS168" s="408">
        <v>197.05960565840701</v>
      </c>
      <c r="CT168" s="408">
        <v>919.06449471528322</v>
      </c>
      <c r="CU168" s="408">
        <v>0</v>
      </c>
      <c r="CV168" s="408">
        <v>0</v>
      </c>
      <c r="CW168" s="408"/>
      <c r="CX168" s="408"/>
      <c r="CY168" s="408"/>
      <c r="CZ168" s="408">
        <v>921.80388742497303</v>
      </c>
      <c r="DA168" s="408">
        <v>0</v>
      </c>
      <c r="DB168" s="408">
        <v>0</v>
      </c>
      <c r="DC168" s="408"/>
      <c r="DD168" s="408"/>
      <c r="DE168" s="408">
        <v>0</v>
      </c>
      <c r="DF168" s="408">
        <v>0</v>
      </c>
      <c r="DG168" s="408">
        <v>0</v>
      </c>
      <c r="DH168" s="408">
        <v>0</v>
      </c>
      <c r="DI168" s="408">
        <v>0</v>
      </c>
      <c r="DJ168" s="408"/>
      <c r="DK168" s="408">
        <v>0</v>
      </c>
      <c r="DL168" s="408">
        <v>0</v>
      </c>
      <c r="DM168" s="408"/>
      <c r="DN168" s="408">
        <v>0</v>
      </c>
      <c r="DO168" s="408">
        <v>0</v>
      </c>
      <c r="DP168" s="408">
        <v>0</v>
      </c>
      <c r="DQ168" s="408">
        <v>0</v>
      </c>
      <c r="DR168" s="408">
        <v>0</v>
      </c>
      <c r="DS168" s="408"/>
      <c r="DT168" s="408"/>
      <c r="DU168" s="408">
        <v>95632.392851665354</v>
      </c>
      <c r="DV168" s="408"/>
      <c r="DW168" s="408">
        <v>0</v>
      </c>
      <c r="DX168" s="408">
        <v>0</v>
      </c>
      <c r="DY168" s="408">
        <v>-21698.28</v>
      </c>
      <c r="DZ168" s="408"/>
      <c r="EA168" s="408">
        <v>0</v>
      </c>
      <c r="EB168" s="408"/>
      <c r="EC168" s="408">
        <v>-23756.708555141013</v>
      </c>
      <c r="ED168" s="408"/>
      <c r="EE168" s="408">
        <v>0</v>
      </c>
      <c r="EF168" s="408">
        <v>0</v>
      </c>
      <c r="EG168" s="408"/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/>
      <c r="EN168" s="408"/>
      <c r="EO168" s="408">
        <v>0</v>
      </c>
      <c r="EP168" s="408">
        <v>0</v>
      </c>
      <c r="EQ168" s="408"/>
      <c r="ER168" s="408">
        <v>0</v>
      </c>
      <c r="ES168" s="408"/>
      <c r="ET168" s="408">
        <v>0</v>
      </c>
      <c r="EU168" s="408"/>
      <c r="EV168" s="408">
        <v>240</v>
      </c>
      <c r="EW168" s="408"/>
      <c r="EX168" s="408"/>
      <c r="EY168" s="408"/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167</v>
      </c>
      <c r="B169" s="408" t="s">
        <v>2238</v>
      </c>
      <c r="C169" s="408" t="s">
        <v>2243</v>
      </c>
      <c r="D169" s="408" t="s">
        <v>597</v>
      </c>
      <c r="E169" s="408" t="s">
        <v>998</v>
      </c>
      <c r="F169" s="408" t="s">
        <v>1322</v>
      </c>
      <c r="G169" s="408" t="s">
        <v>1322</v>
      </c>
      <c r="H169" s="408" t="s">
        <v>1322</v>
      </c>
      <c r="I169" s="408" t="s">
        <v>1322</v>
      </c>
      <c r="J169" s="408" t="s">
        <v>2236</v>
      </c>
      <c r="K169" s="826">
        <v>44440</v>
      </c>
      <c r="L169" s="408">
        <v>646</v>
      </c>
      <c r="M169" s="408">
        <v>646</v>
      </c>
      <c r="N169" s="408">
        <v>0</v>
      </c>
      <c r="O169" s="408">
        <v>0</v>
      </c>
      <c r="P169" s="408">
        <v>0</v>
      </c>
      <c r="Q169" s="408">
        <v>0</v>
      </c>
      <c r="R169" s="408">
        <v>27.19</v>
      </c>
      <c r="S169" s="408"/>
      <c r="T169" s="408"/>
      <c r="U169" s="408">
        <v>17564.740000000002</v>
      </c>
      <c r="V169" s="408"/>
      <c r="W169" s="408">
        <v>17564.740000000002</v>
      </c>
      <c r="X169" s="408">
        <v>14056.960000000001</v>
      </c>
      <c r="Y169" s="408">
        <v>0</v>
      </c>
      <c r="Z169" s="408">
        <v>0</v>
      </c>
      <c r="AA169" s="408">
        <v>0</v>
      </c>
      <c r="AB169" s="408">
        <v>0</v>
      </c>
      <c r="AC169" s="408">
        <v>150.64759627420636</v>
      </c>
      <c r="AD169" s="408">
        <v>144.72650623329392</v>
      </c>
      <c r="AE169" s="408">
        <v>15460.091537081036</v>
      </c>
      <c r="AF169" s="408"/>
      <c r="AG169" s="408"/>
      <c r="AH169" s="408"/>
      <c r="AI169" s="408">
        <v>0</v>
      </c>
      <c r="AJ169" s="408">
        <v>0</v>
      </c>
      <c r="AK169" s="408">
        <v>0</v>
      </c>
      <c r="AL169" s="408">
        <v>0</v>
      </c>
      <c r="AM169" s="408"/>
      <c r="AN169" s="408">
        <v>0</v>
      </c>
      <c r="AO169" s="408">
        <v>319.69560088443973</v>
      </c>
      <c r="AP169" s="408">
        <v>1491.0253925854227</v>
      </c>
      <c r="AQ169" s="408">
        <v>0</v>
      </c>
      <c r="AR169" s="408">
        <v>0</v>
      </c>
      <c r="AS169" s="408"/>
      <c r="AT169" s="408"/>
      <c r="AU169" s="408">
        <v>0</v>
      </c>
      <c r="AV169" s="408">
        <v>0</v>
      </c>
      <c r="AW169" s="408">
        <v>0</v>
      </c>
      <c r="AX169" s="408"/>
      <c r="AY169" s="408"/>
      <c r="AZ169" s="408">
        <v>0</v>
      </c>
      <c r="BA169" s="408"/>
      <c r="BB169" s="408">
        <v>0</v>
      </c>
      <c r="BC169" s="408">
        <v>0</v>
      </c>
      <c r="BD169" s="408">
        <v>0</v>
      </c>
      <c r="BE169" s="408">
        <v>0</v>
      </c>
      <c r="BF169" s="408"/>
      <c r="BG169" s="408">
        <v>0</v>
      </c>
      <c r="BH169" s="408">
        <v>0</v>
      </c>
      <c r="BI169" s="408">
        <v>22.96</v>
      </c>
      <c r="BJ169" s="408">
        <v>197.03</v>
      </c>
      <c r="BK169" s="408">
        <v>14238.32</v>
      </c>
      <c r="BL169" s="408">
        <v>5</v>
      </c>
      <c r="BM169" s="408"/>
      <c r="BN169" s="408"/>
      <c r="BO169" s="408"/>
      <c r="BP169" s="408"/>
      <c r="BQ169" s="408"/>
      <c r="BR169" s="408"/>
      <c r="BS169" s="408"/>
      <c r="BT169" s="408"/>
      <c r="BU169" s="408"/>
      <c r="BV169" s="408">
        <v>0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14056.960000000001</v>
      </c>
      <c r="CJ169" s="408">
        <v>-3507.8099999999959</v>
      </c>
      <c r="CK169" s="408"/>
      <c r="CL169" s="408"/>
      <c r="CM169" s="408"/>
      <c r="CN169" s="408"/>
      <c r="CO169" s="408">
        <v>-3507.7799999999997</v>
      </c>
      <c r="CP169" s="408">
        <v>0</v>
      </c>
      <c r="CQ169" s="408">
        <v>30</v>
      </c>
      <c r="CR169" s="408">
        <v>329.45482485433877</v>
      </c>
      <c r="CS169" s="408">
        <v>31.856983297129887</v>
      </c>
      <c r="CT169" s="408">
        <v>148.57749338990834</v>
      </c>
      <c r="CU169" s="408">
        <v>0</v>
      </c>
      <c r="CV169" s="408">
        <v>0</v>
      </c>
      <c r="CW169" s="408"/>
      <c r="CX169" s="408"/>
      <c r="CY169" s="408"/>
      <c r="CZ169" s="408">
        <v>149.02034816730045</v>
      </c>
      <c r="DA169" s="408">
        <v>0</v>
      </c>
      <c r="DB169" s="408">
        <v>0</v>
      </c>
      <c r="DC169" s="408"/>
      <c r="DD169" s="408"/>
      <c r="DE169" s="408">
        <v>0</v>
      </c>
      <c r="DF169" s="408">
        <v>0</v>
      </c>
      <c r="DG169" s="408">
        <v>0</v>
      </c>
      <c r="DH169" s="408">
        <v>0</v>
      </c>
      <c r="DI169" s="408">
        <v>0</v>
      </c>
      <c r="DJ169" s="408"/>
      <c r="DK169" s="408">
        <v>0</v>
      </c>
      <c r="DL169" s="408">
        <v>0</v>
      </c>
      <c r="DM169" s="408"/>
      <c r="DN169" s="408">
        <v>0</v>
      </c>
      <c r="DO169" s="408">
        <v>0</v>
      </c>
      <c r="DP169" s="408">
        <v>0</v>
      </c>
      <c r="DQ169" s="408">
        <v>0</v>
      </c>
      <c r="DR169" s="408">
        <v>0</v>
      </c>
      <c r="DS169" s="408"/>
      <c r="DT169" s="408"/>
      <c r="DU169" s="408">
        <v>15460.091537081036</v>
      </c>
      <c r="DV169" s="408"/>
      <c r="DW169" s="408">
        <v>0</v>
      </c>
      <c r="DX169" s="408">
        <v>0</v>
      </c>
      <c r="DY169" s="408">
        <v>-3507.7800000000007</v>
      </c>
      <c r="DZ169" s="408"/>
      <c r="EA169" s="408">
        <v>0</v>
      </c>
      <c r="EB169" s="408"/>
      <c r="EC169" s="408">
        <v>-3840.548980635911</v>
      </c>
      <c r="ED169" s="408"/>
      <c r="EE169" s="408">
        <v>0</v>
      </c>
      <c r="EF169" s="408">
        <v>0</v>
      </c>
      <c r="EG169" s="408"/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/>
      <c r="EN169" s="408"/>
      <c r="EO169" s="408">
        <v>0</v>
      </c>
      <c r="EP169" s="408">
        <v>0</v>
      </c>
      <c r="EQ169" s="408"/>
      <c r="ER169" s="408">
        <v>0</v>
      </c>
      <c r="ES169" s="408"/>
      <c r="ET169" s="408">
        <v>0</v>
      </c>
      <c r="EU169" s="408"/>
      <c r="EV169" s="408">
        <v>240</v>
      </c>
      <c r="EW169" s="408"/>
      <c r="EX169" s="408"/>
      <c r="EY169" s="408"/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168</v>
      </c>
      <c r="B170" s="408" t="s">
        <v>1036</v>
      </c>
      <c r="C170" s="408" t="s">
        <v>2316</v>
      </c>
      <c r="D170" s="408" t="s">
        <v>1958</v>
      </c>
      <c r="E170" s="408" t="s">
        <v>998</v>
      </c>
      <c r="F170" s="408" t="s">
        <v>1322</v>
      </c>
      <c r="G170" s="408" t="s">
        <v>1322</v>
      </c>
      <c r="H170" s="408" t="s">
        <v>1322</v>
      </c>
      <c r="I170" s="408" t="s">
        <v>973</v>
      </c>
      <c r="J170" s="408" t="s">
        <v>2236</v>
      </c>
      <c r="K170" s="826">
        <v>44440</v>
      </c>
      <c r="L170" s="408">
        <v>0</v>
      </c>
      <c r="M170" s="408">
        <v>0</v>
      </c>
      <c r="N170" s="408">
        <v>0.59799999999999998</v>
      </c>
      <c r="O170" s="408">
        <v>0.59799999999999998</v>
      </c>
      <c r="P170" s="408">
        <v>0.59799999999999998</v>
      </c>
      <c r="Q170" s="408">
        <v>0.59799999999999998</v>
      </c>
      <c r="R170" s="408"/>
      <c r="S170" s="408">
        <v>1553.42</v>
      </c>
      <c r="T170" s="408">
        <v>173.25</v>
      </c>
      <c r="U170" s="408"/>
      <c r="V170" s="408">
        <v>1032.5486599999999</v>
      </c>
      <c r="W170" s="408">
        <v>1032.5486599999999</v>
      </c>
      <c r="X170" s="408">
        <v>979.66751999999997</v>
      </c>
      <c r="Y170" s="408">
        <v>0</v>
      </c>
      <c r="Z170" s="408">
        <v>36.804019553223497</v>
      </c>
      <c r="AA170" s="408">
        <v>0</v>
      </c>
      <c r="AB170" s="408">
        <v>0</v>
      </c>
      <c r="AC170" s="408">
        <v>64.85264913826299</v>
      </c>
      <c r="AD170" s="408">
        <v>4.4847728222759891</v>
      </c>
      <c r="AE170" s="408">
        <v>429.5959662586144</v>
      </c>
      <c r="AF170" s="408">
        <v>101.86360141001717</v>
      </c>
      <c r="AG170" s="408">
        <v>1.7385256512636675</v>
      </c>
      <c r="AH170" s="408">
        <v>0</v>
      </c>
      <c r="AI170" s="408">
        <v>0</v>
      </c>
      <c r="AJ170" s="408">
        <v>0</v>
      </c>
      <c r="AK170" s="408">
        <v>0</v>
      </c>
      <c r="AL170" s="408">
        <v>5.6864001058405949</v>
      </c>
      <c r="AM170" s="408"/>
      <c r="AN170" s="408">
        <v>0.72229831518890653</v>
      </c>
      <c r="AO170" s="408">
        <v>188.70127090270771</v>
      </c>
      <c r="AP170" s="408">
        <v>183.35044450010801</v>
      </c>
      <c r="AQ170" s="408">
        <v>0</v>
      </c>
      <c r="AR170" s="408">
        <v>0</v>
      </c>
      <c r="AS170" s="408">
        <v>0</v>
      </c>
      <c r="AT170" s="408">
        <v>0</v>
      </c>
      <c r="AU170" s="408">
        <v>0</v>
      </c>
      <c r="AV170" s="408">
        <v>0</v>
      </c>
      <c r="AW170" s="408">
        <v>0</v>
      </c>
      <c r="AX170" s="408">
        <v>0</v>
      </c>
      <c r="AY170" s="408">
        <v>0</v>
      </c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0</v>
      </c>
      <c r="BF170" s="408">
        <v>0</v>
      </c>
      <c r="BG170" s="408">
        <v>5.3459955113715161</v>
      </c>
      <c r="BH170" s="408">
        <v>0</v>
      </c>
      <c r="BI170" s="408">
        <v>0</v>
      </c>
      <c r="BJ170" s="408">
        <v>0</v>
      </c>
      <c r="BK170" s="408">
        <v>0</v>
      </c>
      <c r="BL170" s="408">
        <v>0</v>
      </c>
      <c r="BM170" s="408"/>
      <c r="BN170" s="408"/>
      <c r="BO170" s="408"/>
      <c r="BP170" s="408"/>
      <c r="BQ170" s="408"/>
      <c r="BR170" s="408"/>
      <c r="BS170" s="408"/>
      <c r="BT170" s="408"/>
      <c r="BU170" s="408"/>
      <c r="BV170" s="408">
        <v>107.20959692138868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982.94400000000007</v>
      </c>
      <c r="CJ170" s="408">
        <v>-49.634659999999826</v>
      </c>
      <c r="CK170" s="408"/>
      <c r="CL170" s="408"/>
      <c r="CM170" s="408"/>
      <c r="CN170" s="408"/>
      <c r="CO170" s="408">
        <v>-65.791959999999989</v>
      </c>
      <c r="CP170" s="408">
        <v>12.910820000000001</v>
      </c>
      <c r="CQ170" s="408">
        <v>30</v>
      </c>
      <c r="CR170" s="408">
        <v>53.836815076268181</v>
      </c>
      <c r="CS170" s="408">
        <v>18.803678307315039</v>
      </c>
      <c r="CT170" s="408">
        <v>18.270479893380667</v>
      </c>
      <c r="CU170" s="408">
        <v>0</v>
      </c>
      <c r="CV170" s="408">
        <v>0</v>
      </c>
      <c r="CW170" s="408">
        <v>0</v>
      </c>
      <c r="CX170" s="408">
        <v>0</v>
      </c>
      <c r="CY170" s="408">
        <v>0</v>
      </c>
      <c r="CZ170" s="408">
        <v>4.6178300355672164</v>
      </c>
      <c r="DA170" s="408">
        <v>0</v>
      </c>
      <c r="DB170" s="408">
        <v>0</v>
      </c>
      <c r="DC170" s="408">
        <v>12.909362293761106</v>
      </c>
      <c r="DD170" s="408">
        <v>0</v>
      </c>
      <c r="DE170" s="408">
        <v>0</v>
      </c>
      <c r="DF170" s="408">
        <v>0</v>
      </c>
      <c r="DG170" s="408">
        <v>0.6775078823232219</v>
      </c>
      <c r="DH170" s="408">
        <v>0</v>
      </c>
      <c r="DI170" s="408">
        <v>-1.2497480410967086</v>
      </c>
      <c r="DJ170" s="408"/>
      <c r="DK170" s="408">
        <v>0</v>
      </c>
      <c r="DL170" s="408">
        <v>0</v>
      </c>
      <c r="DM170" s="408">
        <v>0</v>
      </c>
      <c r="DN170" s="408">
        <v>0</v>
      </c>
      <c r="DO170" s="408">
        <v>-0.17186044285083391</v>
      </c>
      <c r="DP170" s="408">
        <v>-2.0434852131472225E-2</v>
      </c>
      <c r="DQ170" s="408">
        <v>0</v>
      </c>
      <c r="DR170" s="408">
        <v>0</v>
      </c>
      <c r="DS170" s="408"/>
      <c r="DT170" s="408"/>
      <c r="DU170" s="408"/>
      <c r="DV170" s="408">
        <v>429.5959662586144</v>
      </c>
      <c r="DW170" s="408">
        <v>0</v>
      </c>
      <c r="DX170" s="408">
        <v>0</v>
      </c>
      <c r="DY170" s="408">
        <v>-65.791960000000017</v>
      </c>
      <c r="DZ170" s="408">
        <v>12.910820000000001</v>
      </c>
      <c r="EA170" s="408">
        <v>0</v>
      </c>
      <c r="EB170" s="408">
        <v>0</v>
      </c>
      <c r="EC170" s="408">
        <v>-106.71892506862497</v>
      </c>
      <c r="ED170" s="408">
        <v>0</v>
      </c>
      <c r="EE170" s="408">
        <v>0</v>
      </c>
      <c r="EF170" s="408">
        <v>0</v>
      </c>
      <c r="EG170" s="408">
        <v>0</v>
      </c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>
        <v>0</v>
      </c>
      <c r="EN170" s="408">
        <v>0</v>
      </c>
      <c r="EO170" s="408">
        <v>0</v>
      </c>
      <c r="EP170" s="408">
        <v>9.3990901915445626</v>
      </c>
      <c r="EQ170" s="408">
        <v>0</v>
      </c>
      <c r="ER170" s="408">
        <v>0</v>
      </c>
      <c r="ES170" s="408">
        <v>0</v>
      </c>
      <c r="ET170" s="408">
        <v>0</v>
      </c>
      <c r="EU170" s="408">
        <v>0</v>
      </c>
      <c r="EV170" s="408">
        <v>240</v>
      </c>
      <c r="EW170" s="408">
        <v>0</v>
      </c>
      <c r="EX170" s="408">
        <v>0</v>
      </c>
      <c r="EY170" s="408">
        <v>0</v>
      </c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169</v>
      </c>
      <c r="B171" s="408" t="s">
        <v>1036</v>
      </c>
      <c r="C171" s="408" t="s">
        <v>2316</v>
      </c>
      <c r="D171" s="408" t="s">
        <v>1958</v>
      </c>
      <c r="E171" s="408" t="s">
        <v>998</v>
      </c>
      <c r="F171" s="408" t="s">
        <v>1322</v>
      </c>
      <c r="G171" s="408" t="s">
        <v>1322</v>
      </c>
      <c r="H171" s="408" t="s">
        <v>1322</v>
      </c>
      <c r="I171" s="408" t="s">
        <v>2244</v>
      </c>
      <c r="J171" s="408" t="s">
        <v>2236</v>
      </c>
      <c r="K171" s="826">
        <v>44440</v>
      </c>
      <c r="L171" s="408">
        <v>0</v>
      </c>
      <c r="M171" s="408">
        <v>0</v>
      </c>
      <c r="N171" s="408">
        <v>9.5299999999999994</v>
      </c>
      <c r="O171" s="408">
        <v>9.5299999999999994</v>
      </c>
      <c r="P171" s="408">
        <v>9.5299999999999994</v>
      </c>
      <c r="Q171" s="408">
        <v>9.5299999999999994</v>
      </c>
      <c r="R171" s="408"/>
      <c r="S171" s="408">
        <v>388.22</v>
      </c>
      <c r="T171" s="408">
        <v>173.25</v>
      </c>
      <c r="U171" s="408"/>
      <c r="V171" s="408">
        <v>5350.8091000000004</v>
      </c>
      <c r="W171" s="408">
        <v>5350.8091000000004</v>
      </c>
      <c r="X171" s="408">
        <v>5337.0859</v>
      </c>
      <c r="Y171" s="408">
        <v>0</v>
      </c>
      <c r="Z171" s="408">
        <v>586.52559588999986</v>
      </c>
      <c r="AA171" s="408">
        <v>0</v>
      </c>
      <c r="AB171" s="408">
        <v>0</v>
      </c>
      <c r="AC171" s="408">
        <v>206.70426297245695</v>
      </c>
      <c r="AD171" s="408">
        <v>14.294289293077627</v>
      </c>
      <c r="AE171" s="408">
        <v>1369.2483702598372</v>
      </c>
      <c r="AF171" s="408">
        <v>1623.3446846780328</v>
      </c>
      <c r="AG171" s="408">
        <v>27.705935546058114</v>
      </c>
      <c r="AH171" s="408">
        <v>0</v>
      </c>
      <c r="AI171" s="408">
        <v>0</v>
      </c>
      <c r="AJ171" s="408">
        <v>0</v>
      </c>
      <c r="AK171" s="408">
        <v>0</v>
      </c>
      <c r="AL171" s="408">
        <v>90.621058542911143</v>
      </c>
      <c r="AM171" s="408"/>
      <c r="AN171" s="408">
        <v>11.51087448787672</v>
      </c>
      <c r="AO171" s="408">
        <v>601.4458567567907</v>
      </c>
      <c r="AP171" s="408">
        <v>584.39121608228413</v>
      </c>
      <c r="AQ171" s="408">
        <v>0</v>
      </c>
      <c r="AR171" s="408">
        <v>0</v>
      </c>
      <c r="AS171" s="408">
        <v>0</v>
      </c>
      <c r="AT171" s="408">
        <v>0</v>
      </c>
      <c r="AU171" s="408">
        <v>0</v>
      </c>
      <c r="AV171" s="408">
        <v>0</v>
      </c>
      <c r="AW171" s="408">
        <v>0</v>
      </c>
      <c r="AX171" s="408">
        <v>0</v>
      </c>
      <c r="AY171" s="408">
        <v>0</v>
      </c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>
        <v>0</v>
      </c>
      <c r="BG171" s="408">
        <v>85.196216092592891</v>
      </c>
      <c r="BH171" s="408">
        <v>0</v>
      </c>
      <c r="BI171" s="408">
        <v>0</v>
      </c>
      <c r="BJ171" s="408">
        <v>0</v>
      </c>
      <c r="BK171" s="408">
        <v>0</v>
      </c>
      <c r="BL171" s="408">
        <v>0</v>
      </c>
      <c r="BM171" s="408"/>
      <c r="BN171" s="408"/>
      <c r="BO171" s="408"/>
      <c r="BP171" s="408"/>
      <c r="BQ171" s="408"/>
      <c r="BR171" s="408"/>
      <c r="BS171" s="408"/>
      <c r="BT171" s="408"/>
      <c r="BU171" s="408"/>
      <c r="BV171" s="408">
        <v>1708.5409007706257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5337.0859</v>
      </c>
      <c r="CJ171" s="408">
        <v>-13.753200000001016</v>
      </c>
      <c r="CK171" s="408"/>
      <c r="CL171" s="408"/>
      <c r="CM171" s="408"/>
      <c r="CN171" s="408"/>
      <c r="CO171" s="408">
        <v>-219.47590000000028</v>
      </c>
      <c r="CP171" s="408">
        <v>205.75270000000003</v>
      </c>
      <c r="CQ171" s="408">
        <v>30</v>
      </c>
      <c r="CR171" s="408">
        <v>326.4299959847126</v>
      </c>
      <c r="CS171" s="408">
        <v>59.932794069802526</v>
      </c>
      <c r="CT171" s="408">
        <v>58.233335579904519</v>
      </c>
      <c r="CU171" s="408">
        <v>0</v>
      </c>
      <c r="CV171" s="408">
        <v>0</v>
      </c>
      <c r="CW171" s="408">
        <v>0</v>
      </c>
      <c r="CX171" s="408">
        <v>0</v>
      </c>
      <c r="CY171" s="408">
        <v>0</v>
      </c>
      <c r="CZ171" s="408">
        <v>14.718381744286811</v>
      </c>
      <c r="DA171" s="408">
        <v>0</v>
      </c>
      <c r="DB171" s="408">
        <v>0</v>
      </c>
      <c r="DC171" s="408">
        <v>205.72946933033995</v>
      </c>
      <c r="DD171" s="408">
        <v>0</v>
      </c>
      <c r="DE171" s="408">
        <v>0</v>
      </c>
      <c r="DF171" s="408">
        <v>0</v>
      </c>
      <c r="DG171" s="408">
        <v>10.79707377682324</v>
      </c>
      <c r="DH171" s="408">
        <v>0</v>
      </c>
      <c r="DI171" s="408">
        <v>-19.916553230186651</v>
      </c>
      <c r="DJ171" s="408"/>
      <c r="DK171" s="408">
        <v>0</v>
      </c>
      <c r="DL171" s="408">
        <v>0</v>
      </c>
      <c r="DM171" s="408">
        <v>0</v>
      </c>
      <c r="DN171" s="408">
        <v>0</v>
      </c>
      <c r="DO171" s="408">
        <v>-2.738846187907086</v>
      </c>
      <c r="DP171" s="408">
        <v>-0.32565909834938189</v>
      </c>
      <c r="DQ171" s="408">
        <v>0</v>
      </c>
      <c r="DR171" s="408">
        <v>0</v>
      </c>
      <c r="DS171" s="408"/>
      <c r="DT171" s="408"/>
      <c r="DU171" s="408"/>
      <c r="DV171" s="408">
        <v>1369.2483702598372</v>
      </c>
      <c r="DW171" s="408">
        <v>0</v>
      </c>
      <c r="DX171" s="408">
        <v>0</v>
      </c>
      <c r="DY171" s="408">
        <v>-219.47590000000037</v>
      </c>
      <c r="DZ171" s="408">
        <v>205.7527</v>
      </c>
      <c r="EA171" s="408">
        <v>0</v>
      </c>
      <c r="EB171" s="408">
        <v>0</v>
      </c>
      <c r="EC171" s="408">
        <v>-340.14452113856487</v>
      </c>
      <c r="ED171" s="408">
        <v>0</v>
      </c>
      <c r="EE171" s="408">
        <v>0</v>
      </c>
      <c r="EF171" s="408">
        <v>0</v>
      </c>
      <c r="EG171" s="408">
        <v>0</v>
      </c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>
        <v>0</v>
      </c>
      <c r="EN171" s="408">
        <v>0</v>
      </c>
      <c r="EO171" s="408">
        <v>0</v>
      </c>
      <c r="EP171" s="408">
        <v>149.78817646391249</v>
      </c>
      <c r="EQ171" s="408">
        <v>0</v>
      </c>
      <c r="ER171" s="408">
        <v>0</v>
      </c>
      <c r="ES171" s="408">
        <v>0</v>
      </c>
      <c r="ET171" s="408">
        <v>0</v>
      </c>
      <c r="EU171" s="408">
        <v>0</v>
      </c>
      <c r="EV171" s="408">
        <v>240</v>
      </c>
      <c r="EW171" s="408">
        <v>0</v>
      </c>
      <c r="EX171" s="408">
        <v>0</v>
      </c>
      <c r="EY171" s="408">
        <v>0</v>
      </c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170</v>
      </c>
      <c r="B172" s="408" t="s">
        <v>1036</v>
      </c>
      <c r="C172" s="408" t="s">
        <v>2316</v>
      </c>
      <c r="D172" s="408" t="s">
        <v>1958</v>
      </c>
      <c r="E172" s="408" t="s">
        <v>998</v>
      </c>
      <c r="F172" s="408" t="s">
        <v>1322</v>
      </c>
      <c r="G172" s="408" t="s">
        <v>1322</v>
      </c>
      <c r="H172" s="408" t="s">
        <v>1322</v>
      </c>
      <c r="I172" s="408" t="s">
        <v>1322</v>
      </c>
      <c r="J172" s="408" t="s">
        <v>2236</v>
      </c>
      <c r="K172" s="826">
        <v>44440</v>
      </c>
      <c r="L172" s="408">
        <v>0</v>
      </c>
      <c r="M172" s="408">
        <v>0</v>
      </c>
      <c r="N172" s="408">
        <v>0</v>
      </c>
      <c r="O172" s="408">
        <v>0</v>
      </c>
      <c r="P172" s="408">
        <v>0</v>
      </c>
      <c r="Q172" s="408">
        <v>0</v>
      </c>
      <c r="R172" s="408"/>
      <c r="S172" s="408"/>
      <c r="T172" s="408"/>
      <c r="U172" s="408"/>
      <c r="V172" s="408"/>
      <c r="W172" s="408"/>
      <c r="X172" s="408"/>
      <c r="Y172" s="408"/>
      <c r="Z172" s="408"/>
      <c r="AA172" s="408">
        <v>0</v>
      </c>
      <c r="AB172" s="408"/>
      <c r="AC172" s="408"/>
      <c r="AD172" s="408"/>
      <c r="AE172" s="408"/>
      <c r="AF172" s="408"/>
      <c r="AG172" s="408"/>
      <c r="AH172" s="408"/>
      <c r="AI172" s="408"/>
      <c r="AJ172" s="408"/>
      <c r="AK172" s="408"/>
      <c r="AL172" s="408"/>
      <c r="AM172" s="408"/>
      <c r="AN172" s="408"/>
      <c r="AO172" s="408"/>
      <c r="AP172" s="408"/>
      <c r="AQ172" s="408"/>
      <c r="AR172" s="408"/>
      <c r="AS172" s="408"/>
      <c r="AT172" s="408"/>
      <c r="AU172" s="408"/>
      <c r="AV172" s="408"/>
      <c r="AW172" s="408"/>
      <c r="AX172" s="408"/>
      <c r="AY172" s="408"/>
      <c r="AZ172" s="408">
        <v>0</v>
      </c>
      <c r="BA172" s="408"/>
      <c r="BB172" s="408"/>
      <c r="BC172" s="408"/>
      <c r="BD172" s="408"/>
      <c r="BE172" s="408"/>
      <c r="BF172" s="408"/>
      <c r="BG172" s="408"/>
      <c r="BH172" s="408"/>
      <c r="BI172" s="408">
        <v>5.64</v>
      </c>
      <c r="BJ172" s="408">
        <v>48.67</v>
      </c>
      <c r="BK172" s="408">
        <v>3475.78</v>
      </c>
      <c r="BL172" s="408">
        <v>6</v>
      </c>
      <c r="BM172" s="408"/>
      <c r="BN172" s="408"/>
      <c r="BO172" s="408"/>
      <c r="BP172" s="408"/>
      <c r="BQ172" s="408"/>
      <c r="BR172" s="408"/>
      <c r="BS172" s="408"/>
      <c r="BT172" s="408"/>
      <c r="BU172" s="408"/>
      <c r="BV172" s="408"/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/>
      <c r="CJ172" s="408">
        <v>-0.03</v>
      </c>
      <c r="CK172" s="408"/>
      <c r="CL172" s="408"/>
      <c r="CM172" s="408"/>
      <c r="CN172" s="408"/>
      <c r="CO172" s="408">
        <v>0</v>
      </c>
      <c r="CP172" s="408">
        <v>0</v>
      </c>
      <c r="CQ172" s="408">
        <v>30</v>
      </c>
      <c r="CR172" s="408"/>
      <c r="CS172" s="408"/>
      <c r="CT172" s="408"/>
      <c r="CU172" s="408"/>
      <c r="CV172" s="408"/>
      <c r="CW172" s="408"/>
      <c r="CX172" s="408"/>
      <c r="CY172" s="408"/>
      <c r="CZ172" s="408"/>
      <c r="DA172" s="408"/>
      <c r="DB172" s="408"/>
      <c r="DC172" s="408"/>
      <c r="DD172" s="408"/>
      <c r="DE172" s="408"/>
      <c r="DF172" s="408"/>
      <c r="DG172" s="408"/>
      <c r="DH172" s="408"/>
      <c r="DI172" s="408"/>
      <c r="DJ172" s="408"/>
      <c r="DK172" s="408">
        <v>0</v>
      </c>
      <c r="DL172" s="408"/>
      <c r="DM172" s="408"/>
      <c r="DN172" s="408"/>
      <c r="DO172" s="408"/>
      <c r="DP172" s="408"/>
      <c r="DQ172" s="408"/>
      <c r="DR172" s="408"/>
      <c r="DS172" s="408"/>
      <c r="DT172" s="408"/>
      <c r="DU172" s="408"/>
      <c r="DV172" s="408"/>
      <c r="DW172" s="408"/>
      <c r="DX172" s="408"/>
      <c r="DY172" s="408"/>
      <c r="DZ172" s="408"/>
      <c r="EA172" s="408"/>
      <c r="EB172" s="408"/>
      <c r="EC172" s="408"/>
      <c r="ED172" s="408"/>
      <c r="EE172" s="408"/>
      <c r="EF172" s="408"/>
      <c r="EG172" s="408"/>
      <c r="EH172" s="408"/>
      <c r="EI172" s="408"/>
      <c r="EJ172" s="408"/>
      <c r="EK172" s="408"/>
      <c r="EL172" s="408"/>
      <c r="EM172" s="408"/>
      <c r="EN172" s="408"/>
      <c r="EO172" s="408"/>
      <c r="EP172" s="408"/>
      <c r="EQ172" s="408"/>
      <c r="ER172" s="408"/>
      <c r="ES172" s="408"/>
      <c r="ET172" s="408"/>
      <c r="EU172" s="408"/>
      <c r="EV172" s="408">
        <v>240</v>
      </c>
      <c r="EW172" s="408"/>
      <c r="EX172" s="408"/>
      <c r="EY172" s="408"/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171</v>
      </c>
      <c r="B173" s="408" t="s">
        <v>1036</v>
      </c>
      <c r="C173" s="408" t="s">
        <v>2316</v>
      </c>
      <c r="D173" s="408" t="s">
        <v>1958</v>
      </c>
      <c r="E173" s="408" t="s">
        <v>998</v>
      </c>
      <c r="F173" s="408" t="s">
        <v>1322</v>
      </c>
      <c r="G173" s="408" t="s">
        <v>1322</v>
      </c>
      <c r="H173" s="408" t="s">
        <v>1322</v>
      </c>
      <c r="I173" s="408" t="s">
        <v>2317</v>
      </c>
      <c r="J173" s="408" t="s">
        <v>2236</v>
      </c>
      <c r="K173" s="826">
        <v>44440</v>
      </c>
      <c r="L173" s="408">
        <v>0</v>
      </c>
      <c r="M173" s="408">
        <v>0</v>
      </c>
      <c r="N173" s="408">
        <v>0.45300000000000001</v>
      </c>
      <c r="O173" s="408">
        <v>0.45300000000000001</v>
      </c>
      <c r="P173" s="408">
        <v>0.45300000000000001</v>
      </c>
      <c r="Q173" s="408">
        <v>0.45300000000000001</v>
      </c>
      <c r="R173" s="408"/>
      <c r="S173" s="408">
        <v>970.82</v>
      </c>
      <c r="T173" s="408">
        <v>173.25</v>
      </c>
      <c r="U173" s="408"/>
      <c r="V173" s="408">
        <v>518.26371000000006</v>
      </c>
      <c r="W173" s="408">
        <v>518.26371000000006</v>
      </c>
      <c r="X173" s="408">
        <v>497.90589</v>
      </c>
      <c r="Y173" s="408">
        <v>0</v>
      </c>
      <c r="Z173" s="408">
        <v>27.879967989314792</v>
      </c>
      <c r="AA173" s="408">
        <v>0</v>
      </c>
      <c r="AB173" s="408">
        <v>0</v>
      </c>
      <c r="AC173" s="408">
        <v>29.476505076555028</v>
      </c>
      <c r="AD173" s="408">
        <v>2.0383986515521988</v>
      </c>
      <c r="AE173" s="408">
        <v>195.25788093984625</v>
      </c>
      <c r="AF173" s="408">
        <v>77.164233175146791</v>
      </c>
      <c r="AG173" s="408">
        <v>1.3169767893351865</v>
      </c>
      <c r="AH173" s="408">
        <v>0</v>
      </c>
      <c r="AI173" s="408">
        <v>0</v>
      </c>
      <c r="AJ173" s="408">
        <v>0</v>
      </c>
      <c r="AK173" s="408">
        <v>0</v>
      </c>
      <c r="AL173" s="408">
        <v>4.307590715628411</v>
      </c>
      <c r="AM173" s="408"/>
      <c r="AN173" s="408">
        <v>0.54715909160631215</v>
      </c>
      <c r="AO173" s="408">
        <v>85.767567610963056</v>
      </c>
      <c r="AP173" s="408">
        <v>83.335536480149614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</v>
      </c>
      <c r="BE173" s="408">
        <v>0</v>
      </c>
      <c r="BF173" s="408">
        <v>0</v>
      </c>
      <c r="BG173" s="408">
        <v>4.0497256967412989</v>
      </c>
      <c r="BH173" s="408">
        <v>0</v>
      </c>
      <c r="BI173" s="408">
        <v>0</v>
      </c>
      <c r="BJ173" s="408">
        <v>0</v>
      </c>
      <c r="BK173" s="408">
        <v>0</v>
      </c>
      <c r="BL173" s="408">
        <v>0</v>
      </c>
      <c r="BM173" s="408"/>
      <c r="BN173" s="408"/>
      <c r="BO173" s="408"/>
      <c r="BP173" s="408"/>
      <c r="BQ173" s="408"/>
      <c r="BR173" s="408"/>
      <c r="BS173" s="408"/>
      <c r="BT173" s="408"/>
      <c r="BU173" s="408"/>
      <c r="BV173" s="408">
        <v>81.213958871888096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494.60849999999999</v>
      </c>
      <c r="CJ173" s="408">
        <v>-23.685210000000041</v>
      </c>
      <c r="CK173" s="408"/>
      <c r="CL173" s="408"/>
      <c r="CM173" s="408"/>
      <c r="CN173" s="408"/>
      <c r="CO173" s="408">
        <v>-30.138090000000041</v>
      </c>
      <c r="CP173" s="408">
        <v>9.7802700000000016</v>
      </c>
      <c r="CQ173" s="408">
        <v>30</v>
      </c>
      <c r="CR173" s="408">
        <v>28.149649056036992</v>
      </c>
      <c r="CS173" s="408">
        <v>8.5465547891777192</v>
      </c>
      <c r="CT173" s="408">
        <v>8.3042080853187059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2.0988752141118434</v>
      </c>
      <c r="DA173" s="408">
        <v>0</v>
      </c>
      <c r="DB173" s="408">
        <v>0</v>
      </c>
      <c r="DC173" s="408">
        <v>9.7791657509594927</v>
      </c>
      <c r="DD173" s="408">
        <v>0</v>
      </c>
      <c r="DE173" s="408">
        <v>0</v>
      </c>
      <c r="DF173" s="408">
        <v>0</v>
      </c>
      <c r="DG173" s="408">
        <v>0.51322921520471532</v>
      </c>
      <c r="DH173" s="408">
        <v>0</v>
      </c>
      <c r="DI173" s="408">
        <v>-0.94671548932576854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-0.13018859634018032</v>
      </c>
      <c r="DP173" s="408">
        <v>-1.5479913069493145E-2</v>
      </c>
      <c r="DQ173" s="408">
        <v>0</v>
      </c>
      <c r="DR173" s="408">
        <v>0</v>
      </c>
      <c r="DS173" s="408"/>
      <c r="DT173" s="408"/>
      <c r="DU173" s="408"/>
      <c r="DV173" s="408">
        <v>195.25788093984625</v>
      </c>
      <c r="DW173" s="408">
        <v>0</v>
      </c>
      <c r="DX173" s="408">
        <v>0</v>
      </c>
      <c r="DY173" s="408">
        <v>-30.138090000000034</v>
      </c>
      <c r="DZ173" s="408">
        <v>9.7802700000000016</v>
      </c>
      <c r="EA173" s="408">
        <v>0</v>
      </c>
      <c r="EB173" s="408">
        <v>0</v>
      </c>
      <c r="EC173" s="408">
        <v>-48.505369700174725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7.1200465832269018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240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172</v>
      </c>
      <c r="B174" s="408" t="s">
        <v>1036</v>
      </c>
      <c r="C174" s="408" t="s">
        <v>2235</v>
      </c>
      <c r="D174" s="408" t="s">
        <v>2245</v>
      </c>
      <c r="E174" s="408" t="s">
        <v>974</v>
      </c>
      <c r="F174" s="408" t="s">
        <v>1322</v>
      </c>
      <c r="G174" s="408" t="s">
        <v>1322</v>
      </c>
      <c r="H174" s="408" t="s">
        <v>1322</v>
      </c>
      <c r="I174" s="408" t="s">
        <v>1322</v>
      </c>
      <c r="J174" s="408" t="s">
        <v>2236</v>
      </c>
      <c r="K174" s="826">
        <v>44440</v>
      </c>
      <c r="L174" s="408">
        <v>0</v>
      </c>
      <c r="M174" s="408">
        <v>0</v>
      </c>
      <c r="N174" s="408">
        <v>6052.4750000000004</v>
      </c>
      <c r="O174" s="408">
        <v>6052.4750000000004</v>
      </c>
      <c r="P174" s="408">
        <v>6052.4750000000004</v>
      </c>
      <c r="Q174" s="408">
        <v>6052.4750000000004</v>
      </c>
      <c r="R174" s="408"/>
      <c r="S174" s="408">
        <v>368.24</v>
      </c>
      <c r="T174" s="408">
        <v>173.25</v>
      </c>
      <c r="U174" s="408"/>
      <c r="V174" s="408">
        <v>3277354.6877500005</v>
      </c>
      <c r="W174" s="408">
        <v>3277354.6877500005</v>
      </c>
      <c r="X174" s="408">
        <v>3080044.00275</v>
      </c>
      <c r="Y174" s="408">
        <v>0</v>
      </c>
      <c r="Z174" s="408">
        <v>372500.68268460938</v>
      </c>
      <c r="AA174" s="408">
        <v>0</v>
      </c>
      <c r="AB174" s="408">
        <v>0</v>
      </c>
      <c r="AC174" s="408">
        <v>15491.535912507041</v>
      </c>
      <c r="AD174" s="408">
        <v>14883.892220235763</v>
      </c>
      <c r="AE174" s="408">
        <v>1425582.4443888336</v>
      </c>
      <c r="AF174" s="408">
        <v>1030981.4397058424</v>
      </c>
      <c r="AG174" s="408">
        <v>17595.958262762655</v>
      </c>
      <c r="AH174" s="408">
        <v>0</v>
      </c>
      <c r="AI174" s="408">
        <v>0</v>
      </c>
      <c r="AJ174" s="408">
        <v>0</v>
      </c>
      <c r="AK174" s="408">
        <v>0</v>
      </c>
      <c r="AL174" s="408">
        <v>57553.168027755113</v>
      </c>
      <c r="AM174" s="408"/>
      <c r="AN174" s="408">
        <v>7310.5225672625038</v>
      </c>
      <c r="AO174" s="408">
        <v>32885.490717841851</v>
      </c>
      <c r="AP174" s="408">
        <v>153340.1917206962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0</v>
      </c>
      <c r="BF174" s="408">
        <v>0</v>
      </c>
      <c r="BG174" s="408">
        <v>54107.866526234648</v>
      </c>
      <c r="BH174" s="408">
        <v>0</v>
      </c>
      <c r="BI174" s="408">
        <v>2305.2600000000002</v>
      </c>
      <c r="BJ174" s="408">
        <v>20433.25</v>
      </c>
      <c r="BK174" s="408">
        <v>192023.41</v>
      </c>
      <c r="BL174" s="408">
        <v>15966</v>
      </c>
      <c r="BM174" s="408"/>
      <c r="BN174" s="408"/>
      <c r="BO174" s="408"/>
      <c r="BP174" s="408"/>
      <c r="BQ174" s="408"/>
      <c r="BR174" s="408">
        <v>369564.12350000005</v>
      </c>
      <c r="BS174" s="408"/>
      <c r="BT174" s="408"/>
      <c r="BU174" s="408"/>
      <c r="BV174" s="408">
        <v>1085089.3062320771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2710482.1184</v>
      </c>
      <c r="CJ174" s="408">
        <v>-173582.77385</v>
      </c>
      <c r="CK174" s="408"/>
      <c r="CL174" s="408"/>
      <c r="CM174" s="408"/>
      <c r="CN174" s="408"/>
      <c r="CO174" s="408">
        <v>-327983.62024999998</v>
      </c>
      <c r="CP174" s="408">
        <v>130672.93525000002</v>
      </c>
      <c r="CQ174" s="408">
        <v>30</v>
      </c>
      <c r="CR174" s="408">
        <v>156802.63721972355</v>
      </c>
      <c r="CS174" s="408">
        <v>3276.9688591833328</v>
      </c>
      <c r="CT174" s="408">
        <v>15280.022349105595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15325.477401967835</v>
      </c>
      <c r="DA174" s="408">
        <v>0</v>
      </c>
      <c r="DB174" s="408">
        <v>0</v>
      </c>
      <c r="DC174" s="408">
        <v>130658.1815199526</v>
      </c>
      <c r="DD174" s="408">
        <v>0</v>
      </c>
      <c r="DE174" s="408">
        <v>0</v>
      </c>
      <c r="DF174" s="408">
        <v>0</v>
      </c>
      <c r="DG174" s="408">
        <v>6857.1898328833486</v>
      </c>
      <c r="DH174" s="408">
        <v>0</v>
      </c>
      <c r="DI174" s="408">
        <v>-12648.944439860876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-1739.433166962539</v>
      </c>
      <c r="DP174" s="408">
        <v>-206.82513654587365</v>
      </c>
      <c r="DQ174" s="408">
        <v>0</v>
      </c>
      <c r="DR174" s="408">
        <v>0</v>
      </c>
      <c r="DS174" s="408"/>
      <c r="DT174" s="408"/>
      <c r="DU174" s="408"/>
      <c r="DV174" s="408">
        <v>1425582.4443888336</v>
      </c>
      <c r="DW174" s="408">
        <v>0</v>
      </c>
      <c r="DX174" s="408">
        <v>0</v>
      </c>
      <c r="DY174" s="408">
        <v>-327983.62025000015</v>
      </c>
      <c r="DZ174" s="408">
        <v>130672.9352500001</v>
      </c>
      <c r="EA174" s="408">
        <v>0</v>
      </c>
      <c r="EB174" s="408">
        <v>0</v>
      </c>
      <c r="EC174" s="408">
        <v>-354138.86072266917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95130.030781051304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240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173</v>
      </c>
      <c r="B175" s="408" t="s">
        <v>2237</v>
      </c>
      <c r="C175" s="408" t="s">
        <v>2235</v>
      </c>
      <c r="D175" s="408" t="s">
        <v>2245</v>
      </c>
      <c r="E175" s="408" t="s">
        <v>974</v>
      </c>
      <c r="F175" s="408" t="s">
        <v>1322</v>
      </c>
      <c r="G175" s="408" t="s">
        <v>1322</v>
      </c>
      <c r="H175" s="408" t="s">
        <v>1322</v>
      </c>
      <c r="I175" s="408" t="s">
        <v>1322</v>
      </c>
      <c r="J175" s="408" t="s">
        <v>2236</v>
      </c>
      <c r="K175" s="826">
        <v>44440</v>
      </c>
      <c r="L175" s="408">
        <v>0</v>
      </c>
      <c r="M175" s="408">
        <v>0</v>
      </c>
      <c r="N175" s="408">
        <v>-1.728</v>
      </c>
      <c r="O175" s="408">
        <v>-1.728</v>
      </c>
      <c r="P175" s="408">
        <v>-1.728</v>
      </c>
      <c r="Q175" s="408">
        <v>-1.728</v>
      </c>
      <c r="R175" s="408"/>
      <c r="S175" s="408">
        <v>368.24</v>
      </c>
      <c r="T175" s="408">
        <v>173.25</v>
      </c>
      <c r="U175" s="408"/>
      <c r="V175" s="408">
        <v>-935.69471999999996</v>
      </c>
      <c r="W175" s="408">
        <v>-935.69471999999996</v>
      </c>
      <c r="X175" s="408">
        <v>-879.36192000000005</v>
      </c>
      <c r="Y175" s="408">
        <v>0</v>
      </c>
      <c r="Z175" s="408">
        <v>-106.35007656851205</v>
      </c>
      <c r="AA175" s="408">
        <v>0</v>
      </c>
      <c r="AB175" s="408">
        <v>0</v>
      </c>
      <c r="AC175" s="408">
        <v>-4.4228805665140571</v>
      </c>
      <c r="AD175" s="408">
        <v>-4.2493964463409428</v>
      </c>
      <c r="AE175" s="408">
        <v>-407.0081188115447</v>
      </c>
      <c r="AF175" s="408">
        <v>-294.34833317142085</v>
      </c>
      <c r="AG175" s="408">
        <v>-5.0236995407752802</v>
      </c>
      <c r="AH175" s="408">
        <v>0</v>
      </c>
      <c r="AI175" s="408">
        <v>0</v>
      </c>
      <c r="AJ175" s="408">
        <v>0</v>
      </c>
      <c r="AK175" s="408">
        <v>0</v>
      </c>
      <c r="AL175" s="408">
        <v>-16.431604319218309</v>
      </c>
      <c r="AM175" s="408"/>
      <c r="AN175" s="408">
        <v>-2.08717640241878</v>
      </c>
      <c r="AO175" s="408">
        <v>-9.3889075065044825</v>
      </c>
      <c r="AP175" s="408">
        <v>-43.779090585812085</v>
      </c>
      <c r="AQ175" s="408">
        <v>0</v>
      </c>
      <c r="AR175" s="408">
        <v>0</v>
      </c>
      <c r="AS175" s="408">
        <v>0</v>
      </c>
      <c r="AT175" s="408">
        <v>0</v>
      </c>
      <c r="AU175" s="408">
        <v>0</v>
      </c>
      <c r="AV175" s="408">
        <v>0</v>
      </c>
      <c r="AW175" s="408">
        <v>0</v>
      </c>
      <c r="AX175" s="408">
        <v>0</v>
      </c>
      <c r="AY175" s="408">
        <v>0</v>
      </c>
      <c r="AZ175" s="408">
        <v>0</v>
      </c>
      <c r="BA175" s="408"/>
      <c r="BB175" s="408">
        <v>0</v>
      </c>
      <c r="BC175" s="408">
        <v>0</v>
      </c>
      <c r="BD175" s="408">
        <v>0</v>
      </c>
      <c r="BE175" s="408">
        <v>0</v>
      </c>
      <c r="BF175" s="408">
        <v>0</v>
      </c>
      <c r="BG175" s="408">
        <v>-15.447960273662174</v>
      </c>
      <c r="BH175" s="408">
        <v>0</v>
      </c>
      <c r="BI175" s="408">
        <v>-0.8</v>
      </c>
      <c r="BJ175" s="408">
        <v>-7.53</v>
      </c>
      <c r="BK175" s="408">
        <v>-25.99</v>
      </c>
      <c r="BL175" s="408">
        <v>0</v>
      </c>
      <c r="BM175" s="408"/>
      <c r="BN175" s="408"/>
      <c r="BO175" s="408"/>
      <c r="BP175" s="408"/>
      <c r="BQ175" s="408"/>
      <c r="BR175" s="408">
        <v>-105.51168000000001</v>
      </c>
      <c r="BS175" s="408"/>
      <c r="BT175" s="408"/>
      <c r="BU175" s="408"/>
      <c r="BV175" s="408">
        <v>-309.79629344508299</v>
      </c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>
        <v>-774.74590000000001</v>
      </c>
      <c r="CJ175" s="408">
        <v>48.633379999999988</v>
      </c>
      <c r="CK175" s="408"/>
      <c r="CL175" s="408"/>
      <c r="CM175" s="408"/>
      <c r="CN175" s="408"/>
      <c r="CO175" s="408">
        <v>93.640319999999988</v>
      </c>
      <c r="CP175" s="408">
        <v>-37.307520000000004</v>
      </c>
      <c r="CQ175" s="408">
        <v>30</v>
      </c>
      <c r="CR175" s="408">
        <v>-44.767629294740232</v>
      </c>
      <c r="CS175" s="408">
        <v>-0.93558456477206242</v>
      </c>
      <c r="CT175" s="408">
        <v>-4.3624928015819151</v>
      </c>
      <c r="CU175" s="408">
        <v>0</v>
      </c>
      <c r="CV175" s="408">
        <v>0</v>
      </c>
      <c r="CW175" s="408">
        <v>0</v>
      </c>
      <c r="CX175" s="408">
        <v>0</v>
      </c>
      <c r="CY175" s="408">
        <v>0</v>
      </c>
      <c r="CZ175" s="408">
        <v>-4.3754703572671376</v>
      </c>
      <c r="DA175" s="408">
        <v>0</v>
      </c>
      <c r="DB175" s="408">
        <v>0</v>
      </c>
      <c r="DC175" s="408">
        <v>-37.303307765249485</v>
      </c>
      <c r="DD175" s="408">
        <v>0</v>
      </c>
      <c r="DE175" s="408">
        <v>0</v>
      </c>
      <c r="DF175" s="408">
        <v>0</v>
      </c>
      <c r="DG175" s="408">
        <v>-1.95774852952262</v>
      </c>
      <c r="DH175" s="408">
        <v>0</v>
      </c>
      <c r="DI175" s="408">
        <v>3.6113120652426716</v>
      </c>
      <c r="DJ175" s="408"/>
      <c r="DK175" s="408">
        <v>0</v>
      </c>
      <c r="DL175" s="408">
        <v>0</v>
      </c>
      <c r="DM175" s="408">
        <v>0</v>
      </c>
      <c r="DN175" s="408">
        <v>0</v>
      </c>
      <c r="DO175" s="408">
        <v>0.4966134535890312</v>
      </c>
      <c r="DP175" s="408">
        <v>5.9049204821377987E-2</v>
      </c>
      <c r="DQ175" s="408">
        <v>0</v>
      </c>
      <c r="DR175" s="408">
        <v>0</v>
      </c>
      <c r="DS175" s="408"/>
      <c r="DT175" s="408"/>
      <c r="DU175" s="408"/>
      <c r="DV175" s="408">
        <v>-407.0081188115447</v>
      </c>
      <c r="DW175" s="408">
        <v>0</v>
      </c>
      <c r="DX175" s="408">
        <v>0</v>
      </c>
      <c r="DY175" s="408">
        <v>93.640319999999974</v>
      </c>
      <c r="DZ175" s="408">
        <v>-37.307520000000011</v>
      </c>
      <c r="EA175" s="408">
        <v>0</v>
      </c>
      <c r="EB175" s="408">
        <v>0</v>
      </c>
      <c r="EC175" s="408">
        <v>101.10772061491741</v>
      </c>
      <c r="ED175" s="408">
        <v>0</v>
      </c>
      <c r="EE175" s="408">
        <v>0</v>
      </c>
      <c r="EF175" s="408">
        <v>0</v>
      </c>
      <c r="EG175" s="408">
        <v>0</v>
      </c>
      <c r="EH175" s="408">
        <v>0</v>
      </c>
      <c r="EI175" s="408">
        <v>0</v>
      </c>
      <c r="EJ175" s="408">
        <v>0</v>
      </c>
      <c r="EK175" s="408">
        <v>0</v>
      </c>
      <c r="EL175" s="408">
        <v>0</v>
      </c>
      <c r="EM175" s="408">
        <v>0</v>
      </c>
      <c r="EN175" s="408">
        <v>0</v>
      </c>
      <c r="EO175" s="408">
        <v>0</v>
      </c>
      <c r="EP175" s="408">
        <v>-27.159912794295995</v>
      </c>
      <c r="EQ175" s="408">
        <v>0</v>
      </c>
      <c r="ER175" s="408">
        <v>0</v>
      </c>
      <c r="ES175" s="408">
        <v>0</v>
      </c>
      <c r="ET175" s="408">
        <v>0</v>
      </c>
      <c r="EU175" s="408">
        <v>0</v>
      </c>
      <c r="EV175" s="408">
        <v>240</v>
      </c>
      <c r="EW175" s="408">
        <v>0</v>
      </c>
      <c r="EX175" s="408">
        <v>0</v>
      </c>
      <c r="EY175" s="408">
        <v>0</v>
      </c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174</v>
      </c>
      <c r="B176" s="408" t="s">
        <v>2238</v>
      </c>
      <c r="C176" s="408" t="s">
        <v>2235</v>
      </c>
      <c r="D176" s="408" t="s">
        <v>2245</v>
      </c>
      <c r="E176" s="408" t="s">
        <v>974</v>
      </c>
      <c r="F176" s="408" t="s">
        <v>1322</v>
      </c>
      <c r="G176" s="408" t="s">
        <v>1322</v>
      </c>
      <c r="H176" s="408" t="s">
        <v>1322</v>
      </c>
      <c r="I176" s="408" t="s">
        <v>1322</v>
      </c>
      <c r="J176" s="408" t="s">
        <v>2236</v>
      </c>
      <c r="K176" s="826">
        <v>44440</v>
      </c>
      <c r="L176" s="408">
        <v>0</v>
      </c>
      <c r="M176" s="408">
        <v>0</v>
      </c>
      <c r="N176" s="408">
        <v>167.42500000000001</v>
      </c>
      <c r="O176" s="408">
        <v>167.42500000000001</v>
      </c>
      <c r="P176" s="408">
        <v>167.42500000000001</v>
      </c>
      <c r="Q176" s="408">
        <v>167.42500000000001</v>
      </c>
      <c r="R176" s="408"/>
      <c r="S176" s="408">
        <v>368.24</v>
      </c>
      <c r="T176" s="408">
        <v>173.25</v>
      </c>
      <c r="U176" s="408"/>
      <c r="V176" s="408">
        <v>90658.963250000001</v>
      </c>
      <c r="W176" s="408">
        <v>90658.963250000001</v>
      </c>
      <c r="X176" s="408">
        <v>85200.908250000008</v>
      </c>
      <c r="Y176" s="408">
        <v>0</v>
      </c>
      <c r="Z176" s="408">
        <v>10304.20229715459</v>
      </c>
      <c r="AA176" s="408">
        <v>0</v>
      </c>
      <c r="AB176" s="408">
        <v>0</v>
      </c>
      <c r="AC176" s="408">
        <v>428.53054331517131</v>
      </c>
      <c r="AD176" s="408">
        <v>411.7217592758289</v>
      </c>
      <c r="AE176" s="408">
        <v>39434.799937513242</v>
      </c>
      <c r="AF176" s="408">
        <v>28519.253287746033</v>
      </c>
      <c r="AG176" s="408">
        <v>486.74357385086887</v>
      </c>
      <c r="AH176" s="408">
        <v>0</v>
      </c>
      <c r="AI176" s="408">
        <v>0</v>
      </c>
      <c r="AJ176" s="408">
        <v>0</v>
      </c>
      <c r="AK176" s="408">
        <v>0</v>
      </c>
      <c r="AL176" s="408">
        <v>1592.0493941812069</v>
      </c>
      <c r="AM176" s="408"/>
      <c r="AN176" s="408">
        <v>202.2254104021784</v>
      </c>
      <c r="AO176" s="408">
        <v>909.68624958131545</v>
      </c>
      <c r="AP176" s="408">
        <v>4241.7327785472153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0</v>
      </c>
      <c r="BE176" s="408">
        <v>0</v>
      </c>
      <c r="BF176" s="408">
        <v>0</v>
      </c>
      <c r="BG176" s="408">
        <v>1496.7446463066492</v>
      </c>
      <c r="BH176" s="408">
        <v>0</v>
      </c>
      <c r="BI176" s="408">
        <v>65.94</v>
      </c>
      <c r="BJ176" s="408">
        <v>573.32000000000005</v>
      </c>
      <c r="BK176" s="408">
        <v>2846.42</v>
      </c>
      <c r="BL176" s="408">
        <v>199</v>
      </c>
      <c r="BM176" s="408"/>
      <c r="BN176" s="408"/>
      <c r="BO176" s="408"/>
      <c r="BP176" s="408"/>
      <c r="BQ176" s="408"/>
      <c r="BR176" s="408">
        <v>10222.970500000001</v>
      </c>
      <c r="BS176" s="408"/>
      <c r="BT176" s="408"/>
      <c r="BU176" s="408"/>
      <c r="BV176" s="408">
        <v>30015.997934052681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74980.176900000006</v>
      </c>
      <c r="CJ176" s="408">
        <v>-4799.539850000001</v>
      </c>
      <c r="CK176" s="408"/>
      <c r="CL176" s="408"/>
      <c r="CM176" s="408"/>
      <c r="CN176" s="408"/>
      <c r="CO176" s="408">
        <v>-9072.7607499999995</v>
      </c>
      <c r="CP176" s="408">
        <v>3614.705750000001</v>
      </c>
      <c r="CQ176" s="408">
        <v>30</v>
      </c>
      <c r="CR176" s="408">
        <v>4337.5117677499147</v>
      </c>
      <c r="CS176" s="408">
        <v>90.648290368612606</v>
      </c>
      <c r="CT176" s="408">
        <v>422.67960492179009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423.9369933827839</v>
      </c>
      <c r="DA176" s="408">
        <v>0</v>
      </c>
      <c r="DB176" s="408">
        <v>0</v>
      </c>
      <c r="DC176" s="408">
        <v>3614.2976288176433</v>
      </c>
      <c r="DD176" s="408">
        <v>0</v>
      </c>
      <c r="DE176" s="408">
        <v>0</v>
      </c>
      <c r="DF176" s="408">
        <v>0</v>
      </c>
      <c r="DG176" s="408">
        <v>189.68521270562769</v>
      </c>
      <c r="DH176" s="408">
        <v>0</v>
      </c>
      <c r="DI176" s="408">
        <v>-349.898103312069</v>
      </c>
      <c r="DJ176" s="408"/>
      <c r="DK176" s="408">
        <v>0</v>
      </c>
      <c r="DL176" s="408">
        <v>0</v>
      </c>
      <c r="DM176" s="408">
        <v>0</v>
      </c>
      <c r="DN176" s="408">
        <v>0</v>
      </c>
      <c r="DO176" s="408">
        <v>-48.116613117560064</v>
      </c>
      <c r="DP176" s="408">
        <v>-5.7212460169092481</v>
      </c>
      <c r="DQ176" s="408">
        <v>0</v>
      </c>
      <c r="DR176" s="408">
        <v>0</v>
      </c>
      <c r="DS176" s="408"/>
      <c r="DT176" s="408"/>
      <c r="DU176" s="408"/>
      <c r="DV176" s="408">
        <v>39434.799937513242</v>
      </c>
      <c r="DW176" s="408">
        <v>0</v>
      </c>
      <c r="DX176" s="408">
        <v>0</v>
      </c>
      <c r="DY176" s="408">
        <v>-9072.760749999994</v>
      </c>
      <c r="DZ176" s="408">
        <v>3614.705750000001</v>
      </c>
      <c r="EA176" s="408">
        <v>0</v>
      </c>
      <c r="EB176" s="408">
        <v>0</v>
      </c>
      <c r="EC176" s="408">
        <v>-9796.2732198799495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2631.5094905005826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240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175</v>
      </c>
      <c r="B177" s="408" t="s">
        <v>1036</v>
      </c>
      <c r="C177" s="408" t="s">
        <v>2243</v>
      </c>
      <c r="D177" s="408" t="s">
        <v>597</v>
      </c>
      <c r="E177" s="408" t="s">
        <v>974</v>
      </c>
      <c r="F177" s="408" t="s">
        <v>1322</v>
      </c>
      <c r="G177" s="408" t="s">
        <v>1322</v>
      </c>
      <c r="H177" s="408" t="s">
        <v>1322</v>
      </c>
      <c r="I177" s="408" t="s">
        <v>973</v>
      </c>
      <c r="J177" s="408" t="s">
        <v>2236</v>
      </c>
      <c r="K177" s="826">
        <v>44440</v>
      </c>
      <c r="L177" s="408">
        <v>0</v>
      </c>
      <c r="M177" s="408">
        <v>0</v>
      </c>
      <c r="N177" s="408">
        <v>5.8630000000000004</v>
      </c>
      <c r="O177" s="408">
        <v>5.6284799999999997</v>
      </c>
      <c r="P177" s="408">
        <v>5.8630000000000004</v>
      </c>
      <c r="Q177" s="408">
        <v>5.6284799999999997</v>
      </c>
      <c r="R177" s="408"/>
      <c r="S177" s="408">
        <v>1358.36</v>
      </c>
      <c r="T177" s="408">
        <v>173.25</v>
      </c>
      <c r="U177" s="408"/>
      <c r="V177" s="408">
        <v>8979.8294299999998</v>
      </c>
      <c r="W177" s="408">
        <v>8979.8294299999998</v>
      </c>
      <c r="X177" s="408">
        <v>7873.5399600000001</v>
      </c>
      <c r="Y177" s="408">
        <v>0</v>
      </c>
      <c r="Z177" s="408">
        <v>313.93028591518026</v>
      </c>
      <c r="AA177" s="408">
        <v>0</v>
      </c>
      <c r="AB177" s="408">
        <v>0</v>
      </c>
      <c r="AC177" s="408">
        <v>111.0574639112552</v>
      </c>
      <c r="AD177" s="408">
        <v>106.70164866463284</v>
      </c>
      <c r="AE177" s="408">
        <v>5912.8807436005109</v>
      </c>
      <c r="AF177" s="408">
        <v>998.70617904169023</v>
      </c>
      <c r="AG177" s="408">
        <v>17.045110189563353</v>
      </c>
      <c r="AH177" s="408">
        <v>0</v>
      </c>
      <c r="AI177" s="408">
        <v>0</v>
      </c>
      <c r="AJ177" s="408">
        <v>0</v>
      </c>
      <c r="AK177" s="408">
        <v>0</v>
      </c>
      <c r="AL177" s="408">
        <v>55.75144451595888</v>
      </c>
      <c r="AM177" s="408"/>
      <c r="AN177" s="408">
        <v>4.6951714696659197</v>
      </c>
      <c r="AO177" s="408">
        <v>235.75605051984559</v>
      </c>
      <c r="AP177" s="408">
        <v>1099.2896412097155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0</v>
      </c>
      <c r="BE177" s="408">
        <v>0</v>
      </c>
      <c r="BF177" s="408">
        <v>0</v>
      </c>
      <c r="BG177" s="408">
        <v>43.847363546159023</v>
      </c>
      <c r="BH177" s="408">
        <v>0</v>
      </c>
      <c r="BI177" s="408">
        <v>0</v>
      </c>
      <c r="BJ177" s="408">
        <v>0</v>
      </c>
      <c r="BK177" s="408">
        <v>0</v>
      </c>
      <c r="BL177" s="408">
        <v>0</v>
      </c>
      <c r="BM177" s="408"/>
      <c r="BN177" s="408"/>
      <c r="BO177" s="408"/>
      <c r="BP177" s="408"/>
      <c r="BQ177" s="408"/>
      <c r="BR177" s="408">
        <v>314.941598400001</v>
      </c>
      <c r="BS177" s="408"/>
      <c r="BT177" s="408"/>
      <c r="BU177" s="408"/>
      <c r="BV177" s="408">
        <v>1042.5535425878493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7560.6395999999995</v>
      </c>
      <c r="CJ177" s="408">
        <v>-1060.0266528000002</v>
      </c>
      <c r="CK177" s="408"/>
      <c r="CL177" s="408"/>
      <c r="CM177" s="408"/>
      <c r="CN177" s="408"/>
      <c r="CO177" s="408">
        <v>-1232.8716399999998</v>
      </c>
      <c r="CP177" s="408">
        <v>126.58217000000003</v>
      </c>
      <c r="CQ177" s="408">
        <v>30</v>
      </c>
      <c r="CR177" s="408">
        <v>362.54863721861648</v>
      </c>
      <c r="CS177" s="408">
        <v>23.492586519270731</v>
      </c>
      <c r="CT177" s="408">
        <v>109.54186307801365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109.86734391554464</v>
      </c>
      <c r="DA177" s="408">
        <v>0</v>
      </c>
      <c r="DB177" s="408">
        <v>0</v>
      </c>
      <c r="DC177" s="408">
        <v>126.56787814100551</v>
      </c>
      <c r="DD177" s="408">
        <v>0</v>
      </c>
      <c r="DE177" s="408">
        <v>0</v>
      </c>
      <c r="DF177" s="408">
        <v>0</v>
      </c>
      <c r="DG177" s="408">
        <v>5.5568573446093694</v>
      </c>
      <c r="DH177" s="408">
        <v>0</v>
      </c>
      <c r="DI177" s="408">
        <v>-10.660079106197884</v>
      </c>
      <c r="DJ177" s="408"/>
      <c r="DK177" s="408">
        <v>0</v>
      </c>
      <c r="DL177" s="408">
        <v>0</v>
      </c>
      <c r="DM177" s="408">
        <v>0</v>
      </c>
      <c r="DN177" s="408">
        <v>0</v>
      </c>
      <c r="DO177" s="408">
        <v>-1.6849795592549128</v>
      </c>
      <c r="DP177" s="408">
        <v>-0.13283311437524237</v>
      </c>
      <c r="DQ177" s="408">
        <v>0</v>
      </c>
      <c r="DR177" s="408">
        <v>0</v>
      </c>
      <c r="DS177" s="408"/>
      <c r="DT177" s="408"/>
      <c r="DU177" s="408"/>
      <c r="DV177" s="408">
        <v>5912.8807436005109</v>
      </c>
      <c r="DW177" s="408">
        <v>0</v>
      </c>
      <c r="DX177" s="408">
        <v>0</v>
      </c>
      <c r="DY177" s="408">
        <v>-1232.8716400000003</v>
      </c>
      <c r="DZ177" s="408">
        <v>126.58217000000013</v>
      </c>
      <c r="EA177" s="408">
        <v>0</v>
      </c>
      <c r="EB177" s="408">
        <v>0</v>
      </c>
      <c r="EC177" s="408">
        <v>-1468.8598743409793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80.172196053398892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240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176</v>
      </c>
      <c r="B178" s="408" t="s">
        <v>1036</v>
      </c>
      <c r="C178" s="408" t="s">
        <v>2243</v>
      </c>
      <c r="D178" s="408" t="s">
        <v>597</v>
      </c>
      <c r="E178" s="408" t="s">
        <v>974</v>
      </c>
      <c r="F178" s="408" t="s">
        <v>1322</v>
      </c>
      <c r="G178" s="408" t="s">
        <v>1322</v>
      </c>
      <c r="H178" s="408" t="s">
        <v>1322</v>
      </c>
      <c r="I178" s="408" t="s">
        <v>2244</v>
      </c>
      <c r="J178" s="408" t="s">
        <v>2236</v>
      </c>
      <c r="K178" s="826">
        <v>44440</v>
      </c>
      <c r="L178" s="408">
        <v>0</v>
      </c>
      <c r="M178" s="408">
        <v>0</v>
      </c>
      <c r="N178" s="408">
        <v>72.831999999999994</v>
      </c>
      <c r="O178" s="408">
        <v>69.918719999999993</v>
      </c>
      <c r="P178" s="408">
        <v>72.831999999999994</v>
      </c>
      <c r="Q178" s="408">
        <v>69.918719999999993</v>
      </c>
      <c r="R178" s="408"/>
      <c r="S178" s="408">
        <v>85.01</v>
      </c>
      <c r="T178" s="408">
        <v>173.25</v>
      </c>
      <c r="U178" s="408"/>
      <c r="V178" s="408">
        <v>18809.592319999996</v>
      </c>
      <c r="W178" s="408">
        <v>18809.592319999996</v>
      </c>
      <c r="X178" s="408">
        <v>20296.093439999997</v>
      </c>
      <c r="Y178" s="408">
        <v>0</v>
      </c>
      <c r="Z178" s="408">
        <v>3899.7391410155906</v>
      </c>
      <c r="AA178" s="408">
        <v>0</v>
      </c>
      <c r="AB178" s="408">
        <v>0</v>
      </c>
      <c r="AC178" s="408">
        <v>0</v>
      </c>
      <c r="AD178" s="408">
        <v>0</v>
      </c>
      <c r="AE178" s="408">
        <v>0</v>
      </c>
      <c r="AF178" s="408">
        <v>12406.237153669515</v>
      </c>
      <c r="AG178" s="408">
        <v>211.73963249638032</v>
      </c>
      <c r="AH178" s="408">
        <v>0</v>
      </c>
      <c r="AI178" s="408">
        <v>0</v>
      </c>
      <c r="AJ178" s="408">
        <v>0</v>
      </c>
      <c r="AK178" s="408">
        <v>0</v>
      </c>
      <c r="AL178" s="408">
        <v>692.56169315816419</v>
      </c>
      <c r="AM178" s="408"/>
      <c r="AN178" s="408">
        <v>58.324872672472836</v>
      </c>
      <c r="AO178" s="408">
        <v>0</v>
      </c>
      <c r="AP178" s="408">
        <v>0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0</v>
      </c>
      <c r="BE178" s="408">
        <v>0</v>
      </c>
      <c r="BF178" s="408">
        <v>0</v>
      </c>
      <c r="BG178" s="408">
        <v>544.68551625342889</v>
      </c>
      <c r="BH178" s="408">
        <v>0</v>
      </c>
      <c r="BI178" s="408">
        <v>0</v>
      </c>
      <c r="BJ178" s="408">
        <v>0</v>
      </c>
      <c r="BK178" s="408">
        <v>0</v>
      </c>
      <c r="BL178" s="408">
        <v>0</v>
      </c>
      <c r="BM178" s="408"/>
      <c r="BN178" s="408"/>
      <c r="BO178" s="408"/>
      <c r="BP178" s="408"/>
      <c r="BQ178" s="408"/>
      <c r="BR178" s="408">
        <v>811.84373760000005</v>
      </c>
      <c r="BS178" s="408"/>
      <c r="BT178" s="408"/>
      <c r="BU178" s="408"/>
      <c r="BV178" s="408">
        <v>12950.922669922944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19484.606400000001</v>
      </c>
      <c r="CJ178" s="408">
        <v>1427.3677728000039</v>
      </c>
      <c r="CK178" s="408"/>
      <c r="CL178" s="408"/>
      <c r="CM178" s="408"/>
      <c r="CN178" s="408"/>
      <c r="CO178" s="408">
        <v>-85.941760000000485</v>
      </c>
      <c r="CP178" s="408">
        <v>1572.4428800000001</v>
      </c>
      <c r="CQ178" s="408">
        <v>30</v>
      </c>
      <c r="CR178" s="408">
        <v>1486.2901109977574</v>
      </c>
      <c r="CS178" s="408">
        <v>0</v>
      </c>
      <c r="CT178" s="408">
        <v>0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0</v>
      </c>
      <c r="DA178" s="408">
        <v>0</v>
      </c>
      <c r="DB178" s="408">
        <v>0</v>
      </c>
      <c r="DC178" s="408">
        <v>1572.2653421056984</v>
      </c>
      <c r="DD178" s="408">
        <v>0</v>
      </c>
      <c r="DE178" s="408">
        <v>0</v>
      </c>
      <c r="DF178" s="408">
        <v>0</v>
      </c>
      <c r="DG178" s="408">
        <v>69.029001214836967</v>
      </c>
      <c r="DH178" s="408">
        <v>0</v>
      </c>
      <c r="DI178" s="408">
        <v>-132.4228008634841</v>
      </c>
      <c r="DJ178" s="408"/>
      <c r="DK178" s="408">
        <v>0</v>
      </c>
      <c r="DL178" s="408">
        <v>0</v>
      </c>
      <c r="DM178" s="408">
        <v>0</v>
      </c>
      <c r="DN178" s="408">
        <v>0</v>
      </c>
      <c r="DO178" s="408">
        <v>-20.931337414234008</v>
      </c>
      <c r="DP178" s="408">
        <v>-1.6500940450584523</v>
      </c>
      <c r="DQ178" s="408">
        <v>0</v>
      </c>
      <c r="DR178" s="408">
        <v>0</v>
      </c>
      <c r="DS178" s="408"/>
      <c r="DT178" s="408"/>
      <c r="DU178" s="408"/>
      <c r="DV178" s="408">
        <v>0</v>
      </c>
      <c r="DW178" s="408">
        <v>0</v>
      </c>
      <c r="DX178" s="408">
        <v>0</v>
      </c>
      <c r="DY178" s="408">
        <v>-85.941760000000613</v>
      </c>
      <c r="DZ178" s="408">
        <v>1572.4428800000005</v>
      </c>
      <c r="EA178" s="408">
        <v>0</v>
      </c>
      <c r="EB178" s="408">
        <v>0</v>
      </c>
      <c r="EC178" s="408">
        <v>0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995.92382448595379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240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177</v>
      </c>
      <c r="B179" s="408" t="s">
        <v>2238</v>
      </c>
      <c r="C179" s="408" t="s">
        <v>2243</v>
      </c>
      <c r="D179" s="408" t="s">
        <v>597</v>
      </c>
      <c r="E179" s="408" t="s">
        <v>974</v>
      </c>
      <c r="F179" s="408" t="s">
        <v>1322</v>
      </c>
      <c r="G179" s="408" t="s">
        <v>1322</v>
      </c>
      <c r="H179" s="408" t="s">
        <v>1322</v>
      </c>
      <c r="I179" s="408" t="s">
        <v>2244</v>
      </c>
      <c r="J179" s="408" t="s">
        <v>2236</v>
      </c>
      <c r="K179" s="826">
        <v>44440</v>
      </c>
      <c r="L179" s="408">
        <v>0</v>
      </c>
      <c r="M179" s="408">
        <v>0</v>
      </c>
      <c r="N179" s="408">
        <v>31.896999999999998</v>
      </c>
      <c r="O179" s="408">
        <v>30.621119999999998</v>
      </c>
      <c r="P179" s="408">
        <v>31.896999999999998</v>
      </c>
      <c r="Q179" s="408">
        <v>30.621119999999998</v>
      </c>
      <c r="R179" s="408"/>
      <c r="S179" s="408">
        <v>85.01</v>
      </c>
      <c r="T179" s="408">
        <v>173.25</v>
      </c>
      <c r="U179" s="408"/>
      <c r="V179" s="408">
        <v>8237.719219999999</v>
      </c>
      <c r="W179" s="408">
        <v>8237.719219999999</v>
      </c>
      <c r="X179" s="408">
        <v>8888.7369899999994</v>
      </c>
      <c r="Y179" s="408">
        <v>0</v>
      </c>
      <c r="Z179" s="408">
        <v>1707.9028364039748</v>
      </c>
      <c r="AA179" s="408">
        <v>0</v>
      </c>
      <c r="AB179" s="408">
        <v>0</v>
      </c>
      <c r="AC179" s="408">
        <v>0</v>
      </c>
      <c r="AD179" s="408">
        <v>0</v>
      </c>
      <c r="AE179" s="408">
        <v>0</v>
      </c>
      <c r="AF179" s="408">
        <v>5433.3499902597287</v>
      </c>
      <c r="AG179" s="408">
        <v>92.732027923674252</v>
      </c>
      <c r="AH179" s="408">
        <v>0</v>
      </c>
      <c r="AI179" s="408">
        <v>0</v>
      </c>
      <c r="AJ179" s="408">
        <v>0</v>
      </c>
      <c r="AK179" s="408">
        <v>0</v>
      </c>
      <c r="AL179" s="408">
        <v>303.30953875584856</v>
      </c>
      <c r="AM179" s="408"/>
      <c r="AN179" s="408">
        <v>25.543558650508928</v>
      </c>
      <c r="AO179" s="408">
        <v>0</v>
      </c>
      <c r="AP179" s="408">
        <v>0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0</v>
      </c>
      <c r="BF179" s="408">
        <v>0</v>
      </c>
      <c r="BG179" s="408">
        <v>238.54670902811429</v>
      </c>
      <c r="BH179" s="408">
        <v>0</v>
      </c>
      <c r="BI179" s="408">
        <v>0</v>
      </c>
      <c r="BJ179" s="408">
        <v>0</v>
      </c>
      <c r="BK179" s="408">
        <v>0</v>
      </c>
      <c r="BL179" s="408">
        <v>0</v>
      </c>
      <c r="BM179" s="408"/>
      <c r="BN179" s="408"/>
      <c r="BO179" s="408"/>
      <c r="BP179" s="408"/>
      <c r="BQ179" s="408"/>
      <c r="BR179" s="408">
        <v>355.54947960000021</v>
      </c>
      <c r="BS179" s="408"/>
      <c r="BT179" s="408"/>
      <c r="BU179" s="408"/>
      <c r="BV179" s="408">
        <v>5671.8966992878431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8532.8754000000008</v>
      </c>
      <c r="CJ179" s="408">
        <v>624.63494880000144</v>
      </c>
      <c r="CK179" s="408"/>
      <c r="CL179" s="408"/>
      <c r="CM179" s="408"/>
      <c r="CN179" s="408"/>
      <c r="CO179" s="408">
        <v>-37.638460000000215</v>
      </c>
      <c r="CP179" s="408">
        <v>688.65623000000005</v>
      </c>
      <c r="CQ179" s="408">
        <v>30</v>
      </c>
      <c r="CR179" s="408">
        <v>650.92535795385811</v>
      </c>
      <c r="CS179" s="408">
        <v>0</v>
      </c>
      <c r="CT179" s="408">
        <v>0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0</v>
      </c>
      <c r="DA179" s="408">
        <v>0</v>
      </c>
      <c r="DB179" s="408">
        <v>0</v>
      </c>
      <c r="DC179" s="408">
        <v>688.57847672925982</v>
      </c>
      <c r="DD179" s="408">
        <v>0</v>
      </c>
      <c r="DE179" s="408">
        <v>0</v>
      </c>
      <c r="DF179" s="408">
        <v>0</v>
      </c>
      <c r="DG179" s="408">
        <v>30.231464902098793</v>
      </c>
      <c r="DH179" s="408">
        <v>0</v>
      </c>
      <c r="DI179" s="408">
        <v>-57.994975823024788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-9.1669440562090472</v>
      </c>
      <c r="DP179" s="408">
        <v>-0.72266379826490379</v>
      </c>
      <c r="DQ179" s="408">
        <v>0</v>
      </c>
      <c r="DR179" s="408">
        <v>0</v>
      </c>
      <c r="DS179" s="408"/>
      <c r="DT179" s="408"/>
      <c r="DU179" s="408"/>
      <c r="DV179" s="408">
        <v>0</v>
      </c>
      <c r="DW179" s="408">
        <v>0</v>
      </c>
      <c r="DX179" s="408">
        <v>0</v>
      </c>
      <c r="DY179" s="408">
        <v>-37.638460000000123</v>
      </c>
      <c r="DZ179" s="408">
        <v>688.6562299999996</v>
      </c>
      <c r="EA179" s="408">
        <v>0</v>
      </c>
      <c r="EB179" s="408">
        <v>0</v>
      </c>
      <c r="EC179" s="408">
        <v>0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436.16792384705167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240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178</v>
      </c>
      <c r="B180" s="408" t="s">
        <v>1036</v>
      </c>
      <c r="C180" s="408" t="s">
        <v>2243</v>
      </c>
      <c r="D180" s="408" t="s">
        <v>597</v>
      </c>
      <c r="E180" s="408" t="s">
        <v>974</v>
      </c>
      <c r="F180" s="408" t="s">
        <v>1322</v>
      </c>
      <c r="G180" s="408" t="s">
        <v>1322</v>
      </c>
      <c r="H180" s="408" t="s">
        <v>1322</v>
      </c>
      <c r="I180" s="408" t="s">
        <v>1322</v>
      </c>
      <c r="J180" s="408" t="s">
        <v>2236</v>
      </c>
      <c r="K180" s="826">
        <v>44440</v>
      </c>
      <c r="L180" s="408">
        <v>649</v>
      </c>
      <c r="M180" s="408">
        <v>623.04</v>
      </c>
      <c r="N180" s="408">
        <v>0</v>
      </c>
      <c r="O180" s="408">
        <v>0</v>
      </c>
      <c r="P180" s="408">
        <v>0</v>
      </c>
      <c r="Q180" s="408">
        <v>0</v>
      </c>
      <c r="R180" s="408">
        <v>27.19</v>
      </c>
      <c r="S180" s="408"/>
      <c r="T180" s="408"/>
      <c r="U180" s="408">
        <v>17646.310000000001</v>
      </c>
      <c r="V180" s="408"/>
      <c r="W180" s="408">
        <v>17646.310000000001</v>
      </c>
      <c r="X180" s="408">
        <v>14122.240000000002</v>
      </c>
      <c r="Y180" s="408">
        <v>0</v>
      </c>
      <c r="Z180" s="408">
        <v>0</v>
      </c>
      <c r="AA180" s="408">
        <v>0</v>
      </c>
      <c r="AB180" s="408">
        <v>0</v>
      </c>
      <c r="AC180" s="408">
        <v>151.34719811448903</v>
      </c>
      <c r="AD180" s="408">
        <v>145.39861075140519</v>
      </c>
      <c r="AE180" s="408">
        <v>15531.887627810514</v>
      </c>
      <c r="AF180" s="408"/>
      <c r="AG180" s="408"/>
      <c r="AH180" s="408"/>
      <c r="AI180" s="408">
        <v>0</v>
      </c>
      <c r="AJ180" s="408">
        <v>0</v>
      </c>
      <c r="AK180" s="408">
        <v>0</v>
      </c>
      <c r="AL180" s="408">
        <v>0</v>
      </c>
      <c r="AM180" s="408"/>
      <c r="AN180" s="408">
        <v>0</v>
      </c>
      <c r="AO180" s="408">
        <v>321.18025537771115</v>
      </c>
      <c r="AP180" s="408">
        <v>1497.9496591144571</v>
      </c>
      <c r="AQ180" s="408">
        <v>0</v>
      </c>
      <c r="AR180" s="408">
        <v>0</v>
      </c>
      <c r="AS180" s="408"/>
      <c r="AT180" s="408"/>
      <c r="AU180" s="408">
        <v>0</v>
      </c>
      <c r="AV180" s="408">
        <v>0</v>
      </c>
      <c r="AW180" s="408">
        <v>0</v>
      </c>
      <c r="AX180" s="408"/>
      <c r="AY180" s="408"/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/>
      <c r="BG180" s="408">
        <v>0</v>
      </c>
      <c r="BH180" s="408">
        <v>0</v>
      </c>
      <c r="BI180" s="408">
        <v>36.47</v>
      </c>
      <c r="BJ180" s="408">
        <v>312.75</v>
      </c>
      <c r="BK180" s="408">
        <v>27.44</v>
      </c>
      <c r="BL180" s="408">
        <v>4</v>
      </c>
      <c r="BM180" s="408"/>
      <c r="BN180" s="408"/>
      <c r="BO180" s="408"/>
      <c r="BP180" s="408"/>
      <c r="BQ180" s="408"/>
      <c r="BR180" s="408">
        <v>564.88960000000088</v>
      </c>
      <c r="BS180" s="408"/>
      <c r="BT180" s="408"/>
      <c r="BU180" s="408"/>
      <c r="BV180" s="408">
        <v>0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13557.350399999999</v>
      </c>
      <c r="CJ180" s="408">
        <v>-3383.1371999999974</v>
      </c>
      <c r="CK180" s="408"/>
      <c r="CL180" s="408"/>
      <c r="CM180" s="408"/>
      <c r="CN180" s="408"/>
      <c r="CO180" s="408">
        <v>-3524.0699999999997</v>
      </c>
      <c r="CP180" s="408">
        <v>0</v>
      </c>
      <c r="CQ180" s="408">
        <v>30</v>
      </c>
      <c r="CR180" s="408">
        <v>330.98480082115429</v>
      </c>
      <c r="CS180" s="408">
        <v>32.004925944020556</v>
      </c>
      <c r="CT180" s="408">
        <v>149.26748174930435</v>
      </c>
      <c r="CU180" s="408">
        <v>0</v>
      </c>
      <c r="CV180" s="408">
        <v>0</v>
      </c>
      <c r="CW180" s="408"/>
      <c r="CX180" s="408"/>
      <c r="CY180" s="408"/>
      <c r="CZ180" s="408">
        <v>149.7123931278297</v>
      </c>
      <c r="DA180" s="408">
        <v>0</v>
      </c>
      <c r="DB180" s="408">
        <v>0</v>
      </c>
      <c r="DC180" s="408"/>
      <c r="DD180" s="408"/>
      <c r="DE180" s="408">
        <v>0</v>
      </c>
      <c r="DF180" s="408">
        <v>0</v>
      </c>
      <c r="DG180" s="408">
        <v>0</v>
      </c>
      <c r="DH180" s="408">
        <v>0</v>
      </c>
      <c r="DI180" s="408">
        <v>0</v>
      </c>
      <c r="DJ180" s="408"/>
      <c r="DK180" s="408">
        <v>0</v>
      </c>
      <c r="DL180" s="408">
        <v>0</v>
      </c>
      <c r="DM180" s="408"/>
      <c r="DN180" s="408">
        <v>0</v>
      </c>
      <c r="DO180" s="408">
        <v>0</v>
      </c>
      <c r="DP180" s="408">
        <v>0</v>
      </c>
      <c r="DQ180" s="408">
        <v>0</v>
      </c>
      <c r="DR180" s="408">
        <v>0</v>
      </c>
      <c r="DS180" s="408"/>
      <c r="DT180" s="408"/>
      <c r="DU180" s="408">
        <v>15531.887627810514</v>
      </c>
      <c r="DV180" s="408"/>
      <c r="DW180" s="408">
        <v>0</v>
      </c>
      <c r="DX180" s="408">
        <v>0</v>
      </c>
      <c r="DY180" s="408">
        <v>-3524.0699999999997</v>
      </c>
      <c r="DZ180" s="408"/>
      <c r="EA180" s="408">
        <v>0</v>
      </c>
      <c r="EB180" s="408"/>
      <c r="EC180" s="408">
        <v>-3858.3843474190489</v>
      </c>
      <c r="ED180" s="408"/>
      <c r="EE180" s="408">
        <v>0</v>
      </c>
      <c r="EF180" s="408">
        <v>0</v>
      </c>
      <c r="EG180" s="408"/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/>
      <c r="EN180" s="408"/>
      <c r="EO180" s="408">
        <v>0</v>
      </c>
      <c r="EP180" s="408">
        <v>0</v>
      </c>
      <c r="EQ180" s="408"/>
      <c r="ER180" s="408">
        <v>0</v>
      </c>
      <c r="ES180" s="408"/>
      <c r="ET180" s="408">
        <v>0</v>
      </c>
      <c r="EU180" s="408"/>
      <c r="EV180" s="408">
        <v>240</v>
      </c>
      <c r="EW180" s="408"/>
      <c r="EX180" s="408"/>
      <c r="EY180" s="408"/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179</v>
      </c>
      <c r="B181" s="408" t="s">
        <v>2238</v>
      </c>
      <c r="C181" s="408" t="s">
        <v>2243</v>
      </c>
      <c r="D181" s="408" t="s">
        <v>597</v>
      </c>
      <c r="E181" s="408" t="s">
        <v>974</v>
      </c>
      <c r="F181" s="408" t="s">
        <v>1322</v>
      </c>
      <c r="G181" s="408" t="s">
        <v>1322</v>
      </c>
      <c r="H181" s="408" t="s">
        <v>1322</v>
      </c>
      <c r="I181" s="408" t="s">
        <v>1322</v>
      </c>
      <c r="J181" s="408" t="s">
        <v>2236</v>
      </c>
      <c r="K181" s="826">
        <v>44440</v>
      </c>
      <c r="L181" s="408">
        <v>133</v>
      </c>
      <c r="M181" s="408">
        <v>127.67999999999999</v>
      </c>
      <c r="N181" s="408">
        <v>0</v>
      </c>
      <c r="O181" s="408">
        <v>0</v>
      </c>
      <c r="P181" s="408">
        <v>0</v>
      </c>
      <c r="Q181" s="408">
        <v>0</v>
      </c>
      <c r="R181" s="408">
        <v>27.19</v>
      </c>
      <c r="S181" s="408"/>
      <c r="T181" s="408"/>
      <c r="U181" s="408">
        <v>3616.27</v>
      </c>
      <c r="V181" s="408"/>
      <c r="W181" s="408">
        <v>3616.27</v>
      </c>
      <c r="X181" s="408">
        <v>2894.0800000000004</v>
      </c>
      <c r="Y181" s="408">
        <v>0</v>
      </c>
      <c r="Z181" s="408">
        <v>0</v>
      </c>
      <c r="AA181" s="408">
        <v>0</v>
      </c>
      <c r="AB181" s="408">
        <v>0</v>
      </c>
      <c r="AC181" s="408">
        <v>31.015681585866012</v>
      </c>
      <c r="AD181" s="408">
        <v>29.796633636266392</v>
      </c>
      <c r="AE181" s="408">
        <v>3182.9600223402135</v>
      </c>
      <c r="AF181" s="408"/>
      <c r="AG181" s="408"/>
      <c r="AH181" s="408"/>
      <c r="AI181" s="408">
        <v>0</v>
      </c>
      <c r="AJ181" s="408">
        <v>0</v>
      </c>
      <c r="AK181" s="408">
        <v>0</v>
      </c>
      <c r="AL181" s="408">
        <v>0</v>
      </c>
      <c r="AM181" s="408"/>
      <c r="AN181" s="408">
        <v>0</v>
      </c>
      <c r="AO181" s="408">
        <v>65.819682535031717</v>
      </c>
      <c r="AP181" s="408">
        <v>306.97581612052818</v>
      </c>
      <c r="AQ181" s="408">
        <v>0</v>
      </c>
      <c r="AR181" s="408">
        <v>0</v>
      </c>
      <c r="AS181" s="408"/>
      <c r="AT181" s="408"/>
      <c r="AU181" s="408">
        <v>0</v>
      </c>
      <c r="AV181" s="408">
        <v>0</v>
      </c>
      <c r="AW181" s="408">
        <v>0</v>
      </c>
      <c r="AX181" s="408"/>
      <c r="AY181" s="408"/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/>
      <c r="BG181" s="408">
        <v>0</v>
      </c>
      <c r="BH181" s="408">
        <v>0</v>
      </c>
      <c r="BI181" s="408">
        <v>11.22</v>
      </c>
      <c r="BJ181" s="408">
        <v>96.19</v>
      </c>
      <c r="BK181" s="408">
        <v>5.76</v>
      </c>
      <c r="BL181" s="408">
        <v>1</v>
      </c>
      <c r="BM181" s="408"/>
      <c r="BN181" s="408"/>
      <c r="BO181" s="408"/>
      <c r="BP181" s="408"/>
      <c r="BQ181" s="408"/>
      <c r="BR181" s="408">
        <v>115.76320000000017</v>
      </c>
      <c r="BS181" s="408"/>
      <c r="BT181" s="408"/>
      <c r="BU181" s="408"/>
      <c r="BV181" s="408">
        <v>0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2778.3168000000005</v>
      </c>
      <c r="CJ181" s="408">
        <v>-693.33240000000023</v>
      </c>
      <c r="CK181" s="408"/>
      <c r="CL181" s="408"/>
      <c r="CM181" s="408"/>
      <c r="CN181" s="408"/>
      <c r="CO181" s="408">
        <v>-722.18999999999994</v>
      </c>
      <c r="CP181" s="408">
        <v>0</v>
      </c>
      <c r="CQ181" s="408">
        <v>30</v>
      </c>
      <c r="CR181" s="408">
        <v>67.828934528834452</v>
      </c>
      <c r="CS181" s="408">
        <v>6.5587906788208414</v>
      </c>
      <c r="CT181" s="408">
        <v>30.589483933216457</v>
      </c>
      <c r="CU181" s="408">
        <v>0</v>
      </c>
      <c r="CV181" s="408">
        <v>0</v>
      </c>
      <c r="CW181" s="408"/>
      <c r="CX181" s="408"/>
      <c r="CY181" s="408"/>
      <c r="CZ181" s="408">
        <v>30.680659916797154</v>
      </c>
      <c r="DA181" s="408">
        <v>0</v>
      </c>
      <c r="DB181" s="408">
        <v>0</v>
      </c>
      <c r="DC181" s="408"/>
      <c r="DD181" s="408"/>
      <c r="DE181" s="408">
        <v>0</v>
      </c>
      <c r="DF181" s="408">
        <v>0</v>
      </c>
      <c r="DG181" s="408">
        <v>0</v>
      </c>
      <c r="DH181" s="408">
        <v>0</v>
      </c>
      <c r="DI181" s="408">
        <v>0</v>
      </c>
      <c r="DJ181" s="408"/>
      <c r="DK181" s="408">
        <v>0</v>
      </c>
      <c r="DL181" s="408">
        <v>0</v>
      </c>
      <c r="DM181" s="408"/>
      <c r="DN181" s="408">
        <v>0</v>
      </c>
      <c r="DO181" s="408">
        <v>0</v>
      </c>
      <c r="DP181" s="408">
        <v>0</v>
      </c>
      <c r="DQ181" s="408">
        <v>0</v>
      </c>
      <c r="DR181" s="408">
        <v>0</v>
      </c>
      <c r="DS181" s="408"/>
      <c r="DT181" s="408"/>
      <c r="DU181" s="408">
        <v>3182.9600223402135</v>
      </c>
      <c r="DV181" s="408"/>
      <c r="DW181" s="408">
        <v>0</v>
      </c>
      <c r="DX181" s="408">
        <v>0</v>
      </c>
      <c r="DY181" s="408">
        <v>-722.1899999999996</v>
      </c>
      <c r="DZ181" s="408"/>
      <c r="EA181" s="408">
        <v>0</v>
      </c>
      <c r="EB181" s="408"/>
      <c r="EC181" s="408">
        <v>-790.7012607191582</v>
      </c>
      <c r="ED181" s="408"/>
      <c r="EE181" s="408">
        <v>0</v>
      </c>
      <c r="EF181" s="408">
        <v>0</v>
      </c>
      <c r="EG181" s="408"/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/>
      <c r="EN181" s="408"/>
      <c r="EO181" s="408">
        <v>0</v>
      </c>
      <c r="EP181" s="408">
        <v>0</v>
      </c>
      <c r="EQ181" s="408"/>
      <c r="ER181" s="408">
        <v>0</v>
      </c>
      <c r="ES181" s="408"/>
      <c r="ET181" s="408">
        <v>0</v>
      </c>
      <c r="EU181" s="408"/>
      <c r="EV181" s="408">
        <v>240</v>
      </c>
      <c r="EW181" s="408"/>
      <c r="EX181" s="408"/>
      <c r="EY181" s="408"/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180</v>
      </c>
      <c r="B182" s="408" t="s">
        <v>1036</v>
      </c>
      <c r="C182" s="408" t="s">
        <v>2235</v>
      </c>
      <c r="D182" s="408" t="s">
        <v>1958</v>
      </c>
      <c r="E182" s="408" t="s">
        <v>2246</v>
      </c>
      <c r="F182" s="408" t="s">
        <v>1322</v>
      </c>
      <c r="G182" s="408" t="s">
        <v>1322</v>
      </c>
      <c r="H182" s="408" t="s">
        <v>1322</v>
      </c>
      <c r="I182" s="408" t="s">
        <v>1322</v>
      </c>
      <c r="J182" s="408" t="s">
        <v>2236</v>
      </c>
      <c r="K182" s="826">
        <v>44440</v>
      </c>
      <c r="L182" s="408">
        <v>0</v>
      </c>
      <c r="M182" s="408">
        <v>0</v>
      </c>
      <c r="N182" s="408">
        <v>420.55399999999997</v>
      </c>
      <c r="O182" s="408">
        <v>420.55399999999997</v>
      </c>
      <c r="P182" s="408">
        <v>420.55399999999997</v>
      </c>
      <c r="Q182" s="408">
        <v>420.55399999999997</v>
      </c>
      <c r="R182" s="408"/>
      <c r="S182" s="408">
        <v>368.24</v>
      </c>
      <c r="T182" s="408">
        <v>173.25</v>
      </c>
      <c r="U182" s="408"/>
      <c r="V182" s="408">
        <v>227725.78545999998</v>
      </c>
      <c r="W182" s="408">
        <v>227725.78545999998</v>
      </c>
      <c r="X182" s="408">
        <v>214015.72505999997</v>
      </c>
      <c r="Y182" s="408">
        <v>0</v>
      </c>
      <c r="Z182" s="408">
        <v>25883.072975228017</v>
      </c>
      <c r="AA182" s="408">
        <v>0</v>
      </c>
      <c r="AB182" s="408">
        <v>0</v>
      </c>
      <c r="AC182" s="408">
        <v>1076.4236769500883</v>
      </c>
      <c r="AD182" s="408">
        <v>1034.2017784111508</v>
      </c>
      <c r="AE182" s="408">
        <v>99056.071989971286</v>
      </c>
      <c r="AF182" s="408">
        <v>71637.366266535726</v>
      </c>
      <c r="AG182" s="408">
        <v>1222.6486902032448</v>
      </c>
      <c r="AH182" s="408">
        <v>0</v>
      </c>
      <c r="AI182" s="408">
        <v>0</v>
      </c>
      <c r="AJ182" s="408">
        <v>0</v>
      </c>
      <c r="AK182" s="408">
        <v>0</v>
      </c>
      <c r="AL182" s="408">
        <v>3999.0607192503103</v>
      </c>
      <c r="AM182" s="408"/>
      <c r="AN182" s="408">
        <v>507.9689726520993</v>
      </c>
      <c r="AO182" s="408">
        <v>2285.0362311866238</v>
      </c>
      <c r="AP182" s="408">
        <v>10654.786841565749</v>
      </c>
      <c r="AQ182" s="408">
        <v>0</v>
      </c>
      <c r="AR182" s="408">
        <v>0</v>
      </c>
      <c r="AS182" s="408">
        <v>0</v>
      </c>
      <c r="AT182" s="408">
        <v>0</v>
      </c>
      <c r="AU182" s="408">
        <v>0</v>
      </c>
      <c r="AV182" s="408">
        <v>0</v>
      </c>
      <c r="AW182" s="408">
        <v>0</v>
      </c>
      <c r="AX182" s="408">
        <v>0</v>
      </c>
      <c r="AY182" s="408">
        <v>0</v>
      </c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0</v>
      </c>
      <c r="BF182" s="408">
        <v>0</v>
      </c>
      <c r="BG182" s="408">
        <v>3759.6652111861813</v>
      </c>
      <c r="BH182" s="408">
        <v>0</v>
      </c>
      <c r="BI182" s="408">
        <v>182.82</v>
      </c>
      <c r="BJ182" s="408">
        <v>1589.33</v>
      </c>
      <c r="BK182" s="408">
        <v>102013.61</v>
      </c>
      <c r="BL182" s="408">
        <v>587</v>
      </c>
      <c r="BM182" s="408"/>
      <c r="BN182" s="408"/>
      <c r="BO182" s="408"/>
      <c r="BP182" s="408"/>
      <c r="BQ182" s="408"/>
      <c r="BR182" s="408"/>
      <c r="BS182" s="408"/>
      <c r="BT182" s="408"/>
      <c r="BU182" s="408"/>
      <c r="BV182" s="408">
        <v>75397.031477721903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214013.68950000001</v>
      </c>
      <c r="CJ182" s="408">
        <v>-13712.125960000005</v>
      </c>
      <c r="CK182" s="408"/>
      <c r="CL182" s="408"/>
      <c r="CM182" s="408"/>
      <c r="CN182" s="408"/>
      <c r="CO182" s="408">
        <v>-22789.821259999997</v>
      </c>
      <c r="CP182" s="408">
        <v>9079.7608600000003</v>
      </c>
      <c r="CQ182" s="408">
        <v>30</v>
      </c>
      <c r="CR182" s="408">
        <v>10895.373593993165</v>
      </c>
      <c r="CS182" s="408">
        <v>227.69897630390642</v>
      </c>
      <c r="CT182" s="408">
        <v>1061.726734766482</v>
      </c>
      <c r="CU182" s="408">
        <v>0</v>
      </c>
      <c r="CV182" s="408">
        <v>0</v>
      </c>
      <c r="CW182" s="408">
        <v>0</v>
      </c>
      <c r="CX182" s="408">
        <v>0</v>
      </c>
      <c r="CY182" s="408">
        <v>0</v>
      </c>
      <c r="CZ182" s="408">
        <v>1064.885162401692</v>
      </c>
      <c r="DA182" s="408">
        <v>0</v>
      </c>
      <c r="DB182" s="408">
        <v>0</v>
      </c>
      <c r="DC182" s="408">
        <v>9078.7357024923112</v>
      </c>
      <c r="DD182" s="408">
        <v>0</v>
      </c>
      <c r="DE182" s="408">
        <v>0</v>
      </c>
      <c r="DF182" s="408">
        <v>0</v>
      </c>
      <c r="DG182" s="408">
        <v>476.46931428521748</v>
      </c>
      <c r="DH182" s="408">
        <v>0</v>
      </c>
      <c r="DI182" s="408">
        <v>-878.90725363776801</v>
      </c>
      <c r="DJ182" s="408"/>
      <c r="DK182" s="408">
        <v>0</v>
      </c>
      <c r="DL182" s="408">
        <v>0</v>
      </c>
      <c r="DM182" s="408">
        <v>0</v>
      </c>
      <c r="DN182" s="408">
        <v>0</v>
      </c>
      <c r="DO182" s="408">
        <v>-120.86387405132018</v>
      </c>
      <c r="DP182" s="408">
        <v>-14.37116856738993</v>
      </c>
      <c r="DQ182" s="408">
        <v>0</v>
      </c>
      <c r="DR182" s="408">
        <v>0</v>
      </c>
      <c r="DS182" s="408"/>
      <c r="DT182" s="408"/>
      <c r="DU182" s="408"/>
      <c r="DV182" s="408">
        <v>99056.071989971286</v>
      </c>
      <c r="DW182" s="408">
        <v>0</v>
      </c>
      <c r="DX182" s="408">
        <v>0</v>
      </c>
      <c r="DY182" s="408">
        <v>-22789.821260000026</v>
      </c>
      <c r="DZ182" s="408">
        <v>9079.7608600000094</v>
      </c>
      <c r="EA182" s="408">
        <v>0</v>
      </c>
      <c r="EB182" s="408">
        <v>0</v>
      </c>
      <c r="EC182" s="408">
        <v>-24607.208527480325</v>
      </c>
      <c r="ED182" s="408">
        <v>0</v>
      </c>
      <c r="EE182" s="408">
        <v>0</v>
      </c>
      <c r="EF182" s="408">
        <v>0</v>
      </c>
      <c r="EG182" s="408">
        <v>0</v>
      </c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>
        <v>0</v>
      </c>
      <c r="EN182" s="408">
        <v>0</v>
      </c>
      <c r="EO182" s="408">
        <v>0</v>
      </c>
      <c r="EP182" s="408">
        <v>6610.0752113960398</v>
      </c>
      <c r="EQ182" s="408">
        <v>0</v>
      </c>
      <c r="ER182" s="408">
        <v>0</v>
      </c>
      <c r="ES182" s="408">
        <v>0</v>
      </c>
      <c r="ET182" s="408">
        <v>0</v>
      </c>
      <c r="EU182" s="408">
        <v>0</v>
      </c>
      <c r="EV182" s="408">
        <v>240</v>
      </c>
      <c r="EW182" s="408">
        <v>0</v>
      </c>
      <c r="EX182" s="408">
        <v>0</v>
      </c>
      <c r="EY182" s="408">
        <v>0</v>
      </c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181</v>
      </c>
      <c r="B183" s="408" t="s">
        <v>2238</v>
      </c>
      <c r="C183" s="408" t="s">
        <v>2235</v>
      </c>
      <c r="D183" s="408" t="s">
        <v>1958</v>
      </c>
      <c r="E183" s="408" t="s">
        <v>2246</v>
      </c>
      <c r="F183" s="408" t="s">
        <v>1322</v>
      </c>
      <c r="G183" s="408" t="s">
        <v>1322</v>
      </c>
      <c r="H183" s="408" t="s">
        <v>1322</v>
      </c>
      <c r="I183" s="408" t="s">
        <v>1322</v>
      </c>
      <c r="J183" s="408" t="s">
        <v>2236</v>
      </c>
      <c r="K183" s="826">
        <v>44440</v>
      </c>
      <c r="L183" s="408">
        <v>0</v>
      </c>
      <c r="M183" s="408">
        <v>0</v>
      </c>
      <c r="N183" s="408">
        <v>0.90800000000000003</v>
      </c>
      <c r="O183" s="408">
        <v>0.90800000000000003</v>
      </c>
      <c r="P183" s="408">
        <v>0.90800000000000003</v>
      </c>
      <c r="Q183" s="408">
        <v>0.90800000000000003</v>
      </c>
      <c r="R183" s="408"/>
      <c r="S183" s="408">
        <v>368.24</v>
      </c>
      <c r="T183" s="408">
        <v>173.25</v>
      </c>
      <c r="U183" s="408"/>
      <c r="V183" s="408">
        <v>491.67291999999998</v>
      </c>
      <c r="W183" s="408">
        <v>491.67291999999998</v>
      </c>
      <c r="X183" s="408">
        <v>462.07212000000004</v>
      </c>
      <c r="Y183" s="408">
        <v>0</v>
      </c>
      <c r="Z183" s="408">
        <v>55.883026345028327</v>
      </c>
      <c r="AA183" s="408">
        <v>0</v>
      </c>
      <c r="AB183" s="408">
        <v>0</v>
      </c>
      <c r="AC183" s="408">
        <v>2.3240599273117848</v>
      </c>
      <c r="AD183" s="408">
        <v>2.2329004474985972</v>
      </c>
      <c r="AE183" s="408">
        <v>213.86769206069596</v>
      </c>
      <c r="AF183" s="408">
        <v>154.66914729146421</v>
      </c>
      <c r="AG183" s="408">
        <v>2.6397680457314552</v>
      </c>
      <c r="AH183" s="408">
        <v>0</v>
      </c>
      <c r="AI183" s="408">
        <v>0</v>
      </c>
      <c r="AJ183" s="408">
        <v>0</v>
      </c>
      <c r="AK183" s="408">
        <v>0</v>
      </c>
      <c r="AL183" s="408">
        <v>8.6341994918114722</v>
      </c>
      <c r="AM183" s="408"/>
      <c r="AN183" s="408">
        <v>1.0967338966413498</v>
      </c>
      <c r="AO183" s="408">
        <v>4.9335231573530498</v>
      </c>
      <c r="AP183" s="408">
        <v>23.004290655044777</v>
      </c>
      <c r="AQ183" s="408">
        <v>0</v>
      </c>
      <c r="AR183" s="408">
        <v>0</v>
      </c>
      <c r="AS183" s="408">
        <v>0</v>
      </c>
      <c r="AT183" s="408">
        <v>0</v>
      </c>
      <c r="AU183" s="408">
        <v>0</v>
      </c>
      <c r="AV183" s="408">
        <v>0</v>
      </c>
      <c r="AW183" s="408">
        <v>0</v>
      </c>
      <c r="AX183" s="408">
        <v>0</v>
      </c>
      <c r="AY183" s="408">
        <v>0</v>
      </c>
      <c r="AZ183" s="408">
        <v>0</v>
      </c>
      <c r="BA183" s="408"/>
      <c r="BB183" s="408">
        <v>0</v>
      </c>
      <c r="BC183" s="408">
        <v>0</v>
      </c>
      <c r="BD183" s="408">
        <v>0</v>
      </c>
      <c r="BE183" s="408">
        <v>0</v>
      </c>
      <c r="BF183" s="408">
        <v>0</v>
      </c>
      <c r="BG183" s="408">
        <v>8.1173309771326707</v>
      </c>
      <c r="BH183" s="408">
        <v>0</v>
      </c>
      <c r="BI183" s="408">
        <v>0.4</v>
      </c>
      <c r="BJ183" s="408">
        <v>3.45</v>
      </c>
      <c r="BK183" s="408">
        <v>283.52999999999997</v>
      </c>
      <c r="BL183" s="408">
        <v>1</v>
      </c>
      <c r="BM183" s="408"/>
      <c r="BN183" s="408"/>
      <c r="BO183" s="408"/>
      <c r="BP183" s="408"/>
      <c r="BQ183" s="408"/>
      <c r="BR183" s="408"/>
      <c r="BS183" s="408"/>
      <c r="BT183" s="408"/>
      <c r="BU183" s="408"/>
      <c r="BV183" s="408">
        <v>162.78647826859688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463.08990000000006</v>
      </c>
      <c r="CJ183" s="408">
        <v>-28.613019999999892</v>
      </c>
      <c r="CK183" s="408"/>
      <c r="CL183" s="408"/>
      <c r="CM183" s="408"/>
      <c r="CN183" s="408"/>
      <c r="CO183" s="408">
        <v>-49.204520000000002</v>
      </c>
      <c r="CP183" s="408">
        <v>19.603720000000003</v>
      </c>
      <c r="CQ183" s="408">
        <v>30</v>
      </c>
      <c r="CR183" s="408">
        <v>23.523731134041668</v>
      </c>
      <c r="CS183" s="408">
        <v>0.49161503750754232</v>
      </c>
      <c r="CT183" s="408">
        <v>2.2923283934238299</v>
      </c>
      <c r="CU183" s="408">
        <v>0</v>
      </c>
      <c r="CV183" s="408">
        <v>0</v>
      </c>
      <c r="CW183" s="408">
        <v>0</v>
      </c>
      <c r="CX183" s="408">
        <v>0</v>
      </c>
      <c r="CY183" s="408">
        <v>0</v>
      </c>
      <c r="CZ183" s="408">
        <v>2.2991476182862041</v>
      </c>
      <c r="DA183" s="408">
        <v>0</v>
      </c>
      <c r="DB183" s="408">
        <v>0</v>
      </c>
      <c r="DC183" s="408">
        <v>19.601506626647279</v>
      </c>
      <c r="DD183" s="408">
        <v>0</v>
      </c>
      <c r="DE183" s="408">
        <v>0</v>
      </c>
      <c r="DF183" s="408">
        <v>0</v>
      </c>
      <c r="DG183" s="408">
        <v>1.0287243430593396</v>
      </c>
      <c r="DH183" s="408">
        <v>0</v>
      </c>
      <c r="DI183" s="408">
        <v>-1.8976107379863123</v>
      </c>
      <c r="DJ183" s="408"/>
      <c r="DK183" s="408">
        <v>0</v>
      </c>
      <c r="DL183" s="408">
        <v>0</v>
      </c>
      <c r="DM183" s="408">
        <v>0</v>
      </c>
      <c r="DN183" s="408">
        <v>0</v>
      </c>
      <c r="DO183" s="408">
        <v>-0.26095197677016202</v>
      </c>
      <c r="DP183" s="408">
        <v>-3.1028170126048193E-2</v>
      </c>
      <c r="DQ183" s="408">
        <v>0</v>
      </c>
      <c r="DR183" s="408">
        <v>0</v>
      </c>
      <c r="DS183" s="408"/>
      <c r="DT183" s="408"/>
      <c r="DU183" s="408"/>
      <c r="DV183" s="408">
        <v>213.86769206069596</v>
      </c>
      <c r="DW183" s="408">
        <v>0</v>
      </c>
      <c r="DX183" s="408">
        <v>0</v>
      </c>
      <c r="DY183" s="408">
        <v>-49.204520000000002</v>
      </c>
      <c r="DZ183" s="408">
        <v>19.60372000000001</v>
      </c>
      <c r="EA183" s="408">
        <v>0</v>
      </c>
      <c r="EB183" s="408">
        <v>0</v>
      </c>
      <c r="EC183" s="408">
        <v>-53.128362452745961</v>
      </c>
      <c r="ED183" s="408">
        <v>0</v>
      </c>
      <c r="EE183" s="408">
        <v>0</v>
      </c>
      <c r="EF183" s="408">
        <v>0</v>
      </c>
      <c r="EG183" s="408">
        <v>0</v>
      </c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>
        <v>0</v>
      </c>
      <c r="EN183" s="408">
        <v>0</v>
      </c>
      <c r="EO183" s="408">
        <v>0</v>
      </c>
      <c r="EP183" s="408">
        <v>14.27152825070646</v>
      </c>
      <c r="EQ183" s="408">
        <v>0</v>
      </c>
      <c r="ER183" s="408">
        <v>0</v>
      </c>
      <c r="ES183" s="408">
        <v>0</v>
      </c>
      <c r="ET183" s="408">
        <v>0</v>
      </c>
      <c r="EU183" s="408">
        <v>0</v>
      </c>
      <c r="EV183" s="408">
        <v>240</v>
      </c>
      <c r="EW183" s="408">
        <v>0</v>
      </c>
      <c r="EX183" s="408">
        <v>0</v>
      </c>
      <c r="EY183" s="408">
        <v>0</v>
      </c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182</v>
      </c>
      <c r="B184" s="408" t="s">
        <v>1036</v>
      </c>
      <c r="C184" s="408" t="s">
        <v>2243</v>
      </c>
      <c r="D184" s="408" t="s">
        <v>597</v>
      </c>
      <c r="E184" s="408" t="s">
        <v>2246</v>
      </c>
      <c r="F184" s="408" t="s">
        <v>1322</v>
      </c>
      <c r="G184" s="408" t="s">
        <v>1322</v>
      </c>
      <c r="H184" s="408" t="s">
        <v>1322</v>
      </c>
      <c r="I184" s="408" t="s">
        <v>973</v>
      </c>
      <c r="J184" s="408" t="s">
        <v>2236</v>
      </c>
      <c r="K184" s="826">
        <v>44440</v>
      </c>
      <c r="L184" s="408">
        <v>0</v>
      </c>
      <c r="M184" s="408">
        <v>0</v>
      </c>
      <c r="N184" s="408">
        <v>3.1930000000000001</v>
      </c>
      <c r="O184" s="408">
        <v>3.1930000000000001</v>
      </c>
      <c r="P184" s="408">
        <v>3.1930000000000001</v>
      </c>
      <c r="Q184" s="408">
        <v>3.1930000000000001</v>
      </c>
      <c r="R184" s="408"/>
      <c r="S184" s="408">
        <v>1358.36</v>
      </c>
      <c r="T184" s="408">
        <v>173.25</v>
      </c>
      <c r="U184" s="408"/>
      <c r="V184" s="408">
        <v>4890.43073</v>
      </c>
      <c r="W184" s="408">
        <v>4890.43073</v>
      </c>
      <c r="X184" s="408">
        <v>4287.9435599999997</v>
      </c>
      <c r="Y184" s="408">
        <v>0</v>
      </c>
      <c r="Z184" s="408">
        <v>170.96697986136289</v>
      </c>
      <c r="AA184" s="408">
        <v>0</v>
      </c>
      <c r="AB184" s="408">
        <v>0</v>
      </c>
      <c r="AC184" s="408">
        <v>60.482088055370596</v>
      </c>
      <c r="AD184" s="408">
        <v>58.109903494145087</v>
      </c>
      <c r="AE184" s="408">
        <v>3220.1651397435494</v>
      </c>
      <c r="AF184" s="408">
        <v>543.89712257890437</v>
      </c>
      <c r="AG184" s="408">
        <v>9.2827966630182122</v>
      </c>
      <c r="AH184" s="408">
        <v>0</v>
      </c>
      <c r="AI184" s="408">
        <v>0</v>
      </c>
      <c r="AJ184" s="408">
        <v>0</v>
      </c>
      <c r="AK184" s="408">
        <v>0</v>
      </c>
      <c r="AL184" s="408">
        <v>30.362333675500036</v>
      </c>
      <c r="AM184" s="408"/>
      <c r="AN184" s="408">
        <v>2.5569985506810986</v>
      </c>
      <c r="AO184" s="408">
        <v>128.39315526349426</v>
      </c>
      <c r="AP184" s="408">
        <v>598.67505106304304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0</v>
      </c>
      <c r="BF184" s="408">
        <v>0</v>
      </c>
      <c r="BG184" s="408">
        <v>23.879350469535346</v>
      </c>
      <c r="BH184" s="408">
        <v>0</v>
      </c>
      <c r="BI184" s="408">
        <v>0</v>
      </c>
      <c r="BJ184" s="408">
        <v>0</v>
      </c>
      <c r="BK184" s="408">
        <v>0</v>
      </c>
      <c r="BL184" s="408">
        <v>0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>
        <v>567.7764730484397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4283.9147999999996</v>
      </c>
      <c r="CJ184" s="408">
        <v>-606.54593000000114</v>
      </c>
      <c r="CK184" s="408"/>
      <c r="CL184" s="408"/>
      <c r="CM184" s="408"/>
      <c r="CN184" s="408"/>
      <c r="CO184" s="408">
        <v>-671.42403999999988</v>
      </c>
      <c r="CP184" s="408">
        <v>68.936870000000013</v>
      </c>
      <c r="CQ184" s="408">
        <v>30</v>
      </c>
      <c r="CR184" s="408">
        <v>197.44461856371117</v>
      </c>
      <c r="CS184" s="408">
        <v>12.794103489004186</v>
      </c>
      <c r="CT184" s="408">
        <v>59.656689204860527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59.833946635226681</v>
      </c>
      <c r="DA184" s="408">
        <v>0</v>
      </c>
      <c r="DB184" s="408">
        <v>0</v>
      </c>
      <c r="DC184" s="408">
        <v>68.929086628727759</v>
      </c>
      <c r="DD184" s="408">
        <v>0</v>
      </c>
      <c r="DE184" s="408">
        <v>0</v>
      </c>
      <c r="DF184" s="408">
        <v>0</v>
      </c>
      <c r="DG184" s="408">
        <v>3.0262741772706363</v>
      </c>
      <c r="DH184" s="408">
        <v>0</v>
      </c>
      <c r="DI184" s="408">
        <v>-5.8054976268275595</v>
      </c>
      <c r="DJ184" s="408"/>
      <c r="DK184" s="408">
        <v>0</v>
      </c>
      <c r="DL184" s="408">
        <v>0</v>
      </c>
      <c r="DM184" s="408">
        <v>0</v>
      </c>
      <c r="DN184" s="408">
        <v>0</v>
      </c>
      <c r="DO184" s="408">
        <v>-0.91764279936908366</v>
      </c>
      <c r="DP184" s="408">
        <v>-7.2341145181673117E-2</v>
      </c>
      <c r="DQ184" s="408">
        <v>0</v>
      </c>
      <c r="DR184" s="408">
        <v>0</v>
      </c>
      <c r="DS184" s="408"/>
      <c r="DT184" s="408"/>
      <c r="DU184" s="408"/>
      <c r="DV184" s="408">
        <v>3220.1651397435494</v>
      </c>
      <c r="DW184" s="408">
        <v>0</v>
      </c>
      <c r="DX184" s="408">
        <v>0</v>
      </c>
      <c r="DY184" s="408">
        <v>-671.42404000000033</v>
      </c>
      <c r="DZ184" s="408">
        <v>68.936869999999999</v>
      </c>
      <c r="EA184" s="408">
        <v>0</v>
      </c>
      <c r="EB184" s="408">
        <v>0</v>
      </c>
      <c r="EC184" s="408">
        <v>-799.9436429764196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43.661917448149858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240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183</v>
      </c>
      <c r="B185" s="408" t="s">
        <v>2238</v>
      </c>
      <c r="C185" s="408" t="s">
        <v>2243</v>
      </c>
      <c r="D185" s="408" t="s">
        <v>597</v>
      </c>
      <c r="E185" s="408" t="s">
        <v>2246</v>
      </c>
      <c r="F185" s="408" t="s">
        <v>1322</v>
      </c>
      <c r="G185" s="408" t="s">
        <v>1322</v>
      </c>
      <c r="H185" s="408" t="s">
        <v>1322</v>
      </c>
      <c r="I185" s="408" t="s">
        <v>973</v>
      </c>
      <c r="J185" s="408" t="s">
        <v>2236</v>
      </c>
      <c r="K185" s="826">
        <v>44440</v>
      </c>
      <c r="L185" s="408">
        <v>0</v>
      </c>
      <c r="M185" s="408">
        <v>0</v>
      </c>
      <c r="N185" s="408">
        <v>0.45500000000000002</v>
      </c>
      <c r="O185" s="408">
        <v>0.45500000000000002</v>
      </c>
      <c r="P185" s="408">
        <v>0.45500000000000002</v>
      </c>
      <c r="Q185" s="408">
        <v>0.45500000000000002</v>
      </c>
      <c r="R185" s="408"/>
      <c r="S185" s="408">
        <v>1358.36</v>
      </c>
      <c r="T185" s="408">
        <v>173.25</v>
      </c>
      <c r="U185" s="408"/>
      <c r="V185" s="408">
        <v>696.88255000000004</v>
      </c>
      <c r="W185" s="408">
        <v>696.88255000000004</v>
      </c>
      <c r="X185" s="408">
        <v>611.02859999999998</v>
      </c>
      <c r="Y185" s="408">
        <v>0</v>
      </c>
      <c r="Z185" s="408">
        <v>24.362660769470754</v>
      </c>
      <c r="AA185" s="408">
        <v>0</v>
      </c>
      <c r="AB185" s="408">
        <v>0</v>
      </c>
      <c r="AC185" s="408">
        <v>8.6186501926694721</v>
      </c>
      <c r="AD185" s="408">
        <v>8.2806157500269393</v>
      </c>
      <c r="AE185" s="408">
        <v>458.87101114416379</v>
      </c>
      <c r="AF185" s="408">
        <v>77.504914116317423</v>
      </c>
      <c r="AG185" s="408">
        <v>1.3227912563962689</v>
      </c>
      <c r="AH185" s="408">
        <v>0</v>
      </c>
      <c r="AI185" s="408">
        <v>0</v>
      </c>
      <c r="AJ185" s="408">
        <v>0</v>
      </c>
      <c r="AK185" s="408">
        <v>0</v>
      </c>
      <c r="AL185" s="408">
        <v>4.3266087761830621</v>
      </c>
      <c r="AM185" s="408"/>
      <c r="AN185" s="408">
        <v>0.36437029143748823</v>
      </c>
      <c r="AO185" s="408">
        <v>18.295924097992451</v>
      </c>
      <c r="AP185" s="408">
        <v>85.31072603623069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</v>
      </c>
      <c r="BF185" s="408">
        <v>0</v>
      </c>
      <c r="BG185" s="408">
        <v>3.4027887452673298</v>
      </c>
      <c r="BH185" s="408">
        <v>0</v>
      </c>
      <c r="BI185" s="408">
        <v>0</v>
      </c>
      <c r="BJ185" s="408">
        <v>0</v>
      </c>
      <c r="BK185" s="408">
        <v>0</v>
      </c>
      <c r="BL185" s="408">
        <v>0</v>
      </c>
      <c r="BM185" s="408"/>
      <c r="BN185" s="408"/>
      <c r="BO185" s="408"/>
      <c r="BP185" s="408"/>
      <c r="BQ185" s="408"/>
      <c r="BR185" s="408"/>
      <c r="BS185" s="408"/>
      <c r="BT185" s="408"/>
      <c r="BU185" s="408"/>
      <c r="BV185" s="408">
        <v>80.907702861584752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617.7432</v>
      </c>
      <c r="CJ185" s="408">
        <v>-79.169350000000009</v>
      </c>
      <c r="CK185" s="408"/>
      <c r="CL185" s="408"/>
      <c r="CM185" s="408"/>
      <c r="CN185" s="408"/>
      <c r="CO185" s="408">
        <v>-95.677399999999992</v>
      </c>
      <c r="CP185" s="408">
        <v>9.8234500000000011</v>
      </c>
      <c r="CQ185" s="408">
        <v>30</v>
      </c>
      <c r="CR185" s="408">
        <v>28.135703553551082</v>
      </c>
      <c r="CS185" s="408">
        <v>1.8231497298768851</v>
      </c>
      <c r="CT185" s="408">
        <v>8.5010315027283241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8.5262905477695377</v>
      </c>
      <c r="DA185" s="408">
        <v>0</v>
      </c>
      <c r="DB185" s="408">
        <v>0</v>
      </c>
      <c r="DC185" s="408">
        <v>9.8223408756877859</v>
      </c>
      <c r="DD185" s="408">
        <v>0</v>
      </c>
      <c r="DE185" s="408">
        <v>0</v>
      </c>
      <c r="DF185" s="408">
        <v>0</v>
      </c>
      <c r="DG185" s="408">
        <v>0.43124170080117041</v>
      </c>
      <c r="DH185" s="408">
        <v>0</v>
      </c>
      <c r="DI185" s="408">
        <v>-0.82727886633465175</v>
      </c>
      <c r="DJ185" s="408"/>
      <c r="DK185" s="408">
        <v>0</v>
      </c>
      <c r="DL185" s="408">
        <v>0</v>
      </c>
      <c r="DM185" s="408">
        <v>0</v>
      </c>
      <c r="DN185" s="408">
        <v>0</v>
      </c>
      <c r="DO185" s="408">
        <v>-0.13076338042998259</v>
      </c>
      <c r="DP185" s="408">
        <v>-1.0308556547967862E-2</v>
      </c>
      <c r="DQ185" s="408">
        <v>0</v>
      </c>
      <c r="DR185" s="408">
        <v>0</v>
      </c>
      <c r="DS185" s="408"/>
      <c r="DT185" s="408"/>
      <c r="DU185" s="408"/>
      <c r="DV185" s="408">
        <v>458.87101114416379</v>
      </c>
      <c r="DW185" s="408">
        <v>0</v>
      </c>
      <c r="DX185" s="408">
        <v>0</v>
      </c>
      <c r="DY185" s="408">
        <v>-95.677400000000034</v>
      </c>
      <c r="DZ185" s="408">
        <v>9.8234500000000082</v>
      </c>
      <c r="EA185" s="408">
        <v>0</v>
      </c>
      <c r="EB185" s="408">
        <v>0</v>
      </c>
      <c r="EC185" s="408">
        <v>-113.99134279808044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6.2217890507072307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240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184</v>
      </c>
      <c r="B186" s="408" t="s">
        <v>1036</v>
      </c>
      <c r="C186" s="408" t="s">
        <v>2243</v>
      </c>
      <c r="D186" s="408" t="s">
        <v>597</v>
      </c>
      <c r="E186" s="408" t="s">
        <v>2246</v>
      </c>
      <c r="F186" s="408" t="s">
        <v>1322</v>
      </c>
      <c r="G186" s="408" t="s">
        <v>1322</v>
      </c>
      <c r="H186" s="408" t="s">
        <v>1322</v>
      </c>
      <c r="I186" s="408" t="s">
        <v>2244</v>
      </c>
      <c r="J186" s="408" t="s">
        <v>2236</v>
      </c>
      <c r="K186" s="826">
        <v>44440</v>
      </c>
      <c r="L186" s="408">
        <v>0</v>
      </c>
      <c r="M186" s="408">
        <v>0</v>
      </c>
      <c r="N186" s="408">
        <v>22.706</v>
      </c>
      <c r="O186" s="408">
        <v>22.706</v>
      </c>
      <c r="P186" s="408">
        <v>22.706</v>
      </c>
      <c r="Q186" s="408">
        <v>22.706</v>
      </c>
      <c r="R186" s="408"/>
      <c r="S186" s="408">
        <v>85.01</v>
      </c>
      <c r="T186" s="408">
        <v>173.25</v>
      </c>
      <c r="U186" s="408"/>
      <c r="V186" s="408">
        <v>5864.0515599999999</v>
      </c>
      <c r="W186" s="408">
        <v>5864.0515599999999</v>
      </c>
      <c r="X186" s="408">
        <v>6327.4810200000002</v>
      </c>
      <c r="Y186" s="408">
        <v>0</v>
      </c>
      <c r="Z186" s="408">
        <v>1215.7770888606656</v>
      </c>
      <c r="AA186" s="408">
        <v>0</v>
      </c>
      <c r="AB186" s="408">
        <v>0</v>
      </c>
      <c r="AC186" s="408">
        <v>0</v>
      </c>
      <c r="AD186" s="408">
        <v>0</v>
      </c>
      <c r="AE186" s="408">
        <v>0</v>
      </c>
      <c r="AF186" s="408">
        <v>3867.7507251101169</v>
      </c>
      <c r="AG186" s="408">
        <v>66.011644544469632</v>
      </c>
      <c r="AH186" s="408">
        <v>0</v>
      </c>
      <c r="AI186" s="408">
        <v>0</v>
      </c>
      <c r="AJ186" s="408">
        <v>0</v>
      </c>
      <c r="AK186" s="408">
        <v>0</v>
      </c>
      <c r="AL186" s="408">
        <v>215.91204147695075</v>
      </c>
      <c r="AM186" s="408"/>
      <c r="AN186" s="408">
        <v>18.183278763471666</v>
      </c>
      <c r="AO186" s="408">
        <v>0</v>
      </c>
      <c r="AP186" s="408">
        <v>0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0</v>
      </c>
      <c r="BE186" s="408">
        <v>0</v>
      </c>
      <c r="BF186" s="408">
        <v>0</v>
      </c>
      <c r="BG186" s="408">
        <v>169.81037637371423</v>
      </c>
      <c r="BH186" s="408">
        <v>0</v>
      </c>
      <c r="BI186" s="408">
        <v>0</v>
      </c>
      <c r="BJ186" s="408">
        <v>0</v>
      </c>
      <c r="BK186" s="408">
        <v>0</v>
      </c>
      <c r="BL186" s="408">
        <v>0</v>
      </c>
      <c r="BM186" s="408"/>
      <c r="BN186" s="408"/>
      <c r="BO186" s="408"/>
      <c r="BP186" s="408"/>
      <c r="BQ186" s="408"/>
      <c r="BR186" s="408"/>
      <c r="BS186" s="408"/>
      <c r="BT186" s="408"/>
      <c r="BU186" s="408"/>
      <c r="BV186" s="408">
        <v>4037.5611014838314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6328.5957000000008</v>
      </c>
      <c r="CJ186" s="408">
        <v>464.51414000000022</v>
      </c>
      <c r="CK186" s="408"/>
      <c r="CL186" s="408"/>
      <c r="CM186" s="408"/>
      <c r="CN186" s="408"/>
      <c r="CO186" s="408">
        <v>-26.793080000000153</v>
      </c>
      <c r="CP186" s="408">
        <v>490.22254000000009</v>
      </c>
      <c r="CQ186" s="408">
        <v>30</v>
      </c>
      <c r="CR186" s="408">
        <v>463.36367613569746</v>
      </c>
      <c r="CS186" s="408">
        <v>0</v>
      </c>
      <c r="CT186" s="408">
        <v>0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0</v>
      </c>
      <c r="DA186" s="408">
        <v>0</v>
      </c>
      <c r="DB186" s="408">
        <v>0</v>
      </c>
      <c r="DC186" s="408">
        <v>490.16719104036656</v>
      </c>
      <c r="DD186" s="408">
        <v>0</v>
      </c>
      <c r="DE186" s="408">
        <v>0</v>
      </c>
      <c r="DF186" s="408">
        <v>0</v>
      </c>
      <c r="DG186" s="408">
        <v>21.52038254591514</v>
      </c>
      <c r="DH186" s="408">
        <v>0</v>
      </c>
      <c r="DI186" s="408">
        <v>-41.283942723064911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-6.5255237715234387</v>
      </c>
      <c r="DP186" s="408">
        <v>-0.51443095599595168</v>
      </c>
      <c r="DQ186" s="408">
        <v>0</v>
      </c>
      <c r="DR186" s="408">
        <v>0</v>
      </c>
      <c r="DS186" s="408"/>
      <c r="DT186" s="408"/>
      <c r="DU186" s="408"/>
      <c r="DV186" s="408">
        <v>0</v>
      </c>
      <c r="DW186" s="408">
        <v>0</v>
      </c>
      <c r="DX186" s="408">
        <v>0</v>
      </c>
      <c r="DY186" s="408">
        <v>-26.793080000000145</v>
      </c>
      <c r="DZ186" s="408">
        <v>490.22254000000021</v>
      </c>
      <c r="EA186" s="408">
        <v>0</v>
      </c>
      <c r="EB186" s="408">
        <v>0</v>
      </c>
      <c r="EC186" s="408">
        <v>0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310.48778502276565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240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185</v>
      </c>
      <c r="B187" s="408" t="s">
        <v>2238</v>
      </c>
      <c r="C187" s="408" t="s">
        <v>2243</v>
      </c>
      <c r="D187" s="408" t="s">
        <v>597</v>
      </c>
      <c r="E187" s="408" t="s">
        <v>2246</v>
      </c>
      <c r="F187" s="408" t="s">
        <v>1322</v>
      </c>
      <c r="G187" s="408" t="s">
        <v>1322</v>
      </c>
      <c r="H187" s="408" t="s">
        <v>1322</v>
      </c>
      <c r="I187" s="408" t="s">
        <v>2244</v>
      </c>
      <c r="J187" s="408" t="s">
        <v>2236</v>
      </c>
      <c r="K187" s="826">
        <v>44440</v>
      </c>
      <c r="L187" s="408">
        <v>0</v>
      </c>
      <c r="M187" s="408">
        <v>0</v>
      </c>
      <c r="N187" s="408">
        <v>0.23699999999999999</v>
      </c>
      <c r="O187" s="408">
        <v>0.23699999999999999</v>
      </c>
      <c r="P187" s="408">
        <v>0.23699999999999999</v>
      </c>
      <c r="Q187" s="408">
        <v>0.23699999999999999</v>
      </c>
      <c r="R187" s="408"/>
      <c r="S187" s="408">
        <v>85.01</v>
      </c>
      <c r="T187" s="408">
        <v>173.25</v>
      </c>
      <c r="U187" s="408"/>
      <c r="V187" s="408">
        <v>61.207619999999991</v>
      </c>
      <c r="W187" s="408">
        <v>61.207619999999991</v>
      </c>
      <c r="X187" s="408">
        <v>66.044789999999992</v>
      </c>
      <c r="Y187" s="408">
        <v>0</v>
      </c>
      <c r="Z187" s="408">
        <v>12.690001323878171</v>
      </c>
      <c r="AA187" s="408">
        <v>0</v>
      </c>
      <c r="AB187" s="408">
        <v>0</v>
      </c>
      <c r="AC187" s="408">
        <v>0</v>
      </c>
      <c r="AD187" s="408">
        <v>0</v>
      </c>
      <c r="AE187" s="408">
        <v>0</v>
      </c>
      <c r="AF187" s="408">
        <v>40.370691528719178</v>
      </c>
      <c r="AG187" s="408">
        <v>0.68901434673827622</v>
      </c>
      <c r="AH187" s="408">
        <v>0</v>
      </c>
      <c r="AI187" s="408">
        <v>0</v>
      </c>
      <c r="AJ187" s="408">
        <v>0</v>
      </c>
      <c r="AK187" s="408">
        <v>0</v>
      </c>
      <c r="AL187" s="408">
        <v>2.253640175726122</v>
      </c>
      <c r="AM187" s="408"/>
      <c r="AN187" s="408">
        <v>0.18979287707842793</v>
      </c>
      <c r="AO187" s="408">
        <v>0</v>
      </c>
      <c r="AP187" s="408">
        <v>0</v>
      </c>
      <c r="AQ187" s="408">
        <v>0</v>
      </c>
      <c r="AR187" s="408">
        <v>0</v>
      </c>
      <c r="AS187" s="408">
        <v>0</v>
      </c>
      <c r="AT187" s="408">
        <v>0</v>
      </c>
      <c r="AU187" s="408">
        <v>0</v>
      </c>
      <c r="AV187" s="408">
        <v>0</v>
      </c>
      <c r="AW187" s="408">
        <v>0</v>
      </c>
      <c r="AX187" s="408">
        <v>0</v>
      </c>
      <c r="AY187" s="408">
        <v>0</v>
      </c>
      <c r="AZ187" s="408">
        <v>0</v>
      </c>
      <c r="BA187" s="408"/>
      <c r="BB187" s="408">
        <v>0</v>
      </c>
      <c r="BC187" s="408">
        <v>0</v>
      </c>
      <c r="BD187" s="408">
        <v>0</v>
      </c>
      <c r="BE187" s="408">
        <v>0</v>
      </c>
      <c r="BF187" s="408">
        <v>0</v>
      </c>
      <c r="BG187" s="408">
        <v>1.7724416101722134</v>
      </c>
      <c r="BH187" s="408">
        <v>0</v>
      </c>
      <c r="BI187" s="408">
        <v>0</v>
      </c>
      <c r="BJ187" s="408">
        <v>0</v>
      </c>
      <c r="BK187" s="408">
        <v>0</v>
      </c>
      <c r="BL187" s="408">
        <v>0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>
        <v>42.143133138891393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66.880799999999994</v>
      </c>
      <c r="CJ187" s="408">
        <v>5.6431799999999939</v>
      </c>
      <c r="CK187" s="408"/>
      <c r="CL187" s="408"/>
      <c r="CM187" s="408"/>
      <c r="CN187" s="408"/>
      <c r="CO187" s="408">
        <v>-0.27966000000000163</v>
      </c>
      <c r="CP187" s="408">
        <v>5.1168300000000002</v>
      </c>
      <c r="CQ187" s="408">
        <v>30</v>
      </c>
      <c r="CR187" s="408">
        <v>4.8364833631709985</v>
      </c>
      <c r="CS187" s="408">
        <v>0</v>
      </c>
      <c r="CT187" s="408">
        <v>0</v>
      </c>
      <c r="CU187" s="408">
        <v>0</v>
      </c>
      <c r="CV187" s="408">
        <v>0</v>
      </c>
      <c r="CW187" s="408">
        <v>0</v>
      </c>
      <c r="CX187" s="408">
        <v>0</v>
      </c>
      <c r="CY187" s="408">
        <v>0</v>
      </c>
      <c r="CZ187" s="408">
        <v>0</v>
      </c>
      <c r="DA187" s="408">
        <v>0</v>
      </c>
      <c r="DB187" s="408">
        <v>0</v>
      </c>
      <c r="DC187" s="408">
        <v>5.1162522803033141</v>
      </c>
      <c r="DD187" s="408">
        <v>0</v>
      </c>
      <c r="DE187" s="408">
        <v>0</v>
      </c>
      <c r="DF187" s="408">
        <v>0</v>
      </c>
      <c r="DG187" s="408">
        <v>0.22462479799973067</v>
      </c>
      <c r="DH187" s="408">
        <v>0</v>
      </c>
      <c r="DI187" s="408">
        <v>-0.43091228861826814</v>
      </c>
      <c r="DJ187" s="408"/>
      <c r="DK187" s="408">
        <v>0</v>
      </c>
      <c r="DL187" s="408">
        <v>0</v>
      </c>
      <c r="DM187" s="408">
        <v>0</v>
      </c>
      <c r="DN187" s="408">
        <v>0</v>
      </c>
      <c r="DO187" s="408">
        <v>-6.8111914641550975E-2</v>
      </c>
      <c r="DP187" s="408">
        <v>-5.3695118722382196E-3</v>
      </c>
      <c r="DQ187" s="408">
        <v>0</v>
      </c>
      <c r="DR187" s="408">
        <v>0</v>
      </c>
      <c r="DS187" s="408"/>
      <c r="DT187" s="408"/>
      <c r="DU187" s="408"/>
      <c r="DV187" s="408">
        <v>0</v>
      </c>
      <c r="DW187" s="408">
        <v>0</v>
      </c>
      <c r="DX187" s="408">
        <v>0</v>
      </c>
      <c r="DY187" s="408">
        <v>-0.2796599999999998</v>
      </c>
      <c r="DZ187" s="408">
        <v>5.1168300000000002</v>
      </c>
      <c r="EA187" s="408">
        <v>0</v>
      </c>
      <c r="EB187" s="408">
        <v>0</v>
      </c>
      <c r="EC187" s="408">
        <v>0</v>
      </c>
      <c r="ED187" s="408">
        <v>0</v>
      </c>
      <c r="EE187" s="408">
        <v>0</v>
      </c>
      <c r="EF187" s="408">
        <v>0</v>
      </c>
      <c r="EG187" s="408">
        <v>0</v>
      </c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>
        <v>0</v>
      </c>
      <c r="EN187" s="408">
        <v>0</v>
      </c>
      <c r="EO187" s="408">
        <v>0</v>
      </c>
      <c r="EP187" s="408">
        <v>3.240800011027722</v>
      </c>
      <c r="EQ187" s="408">
        <v>0</v>
      </c>
      <c r="ER187" s="408">
        <v>0</v>
      </c>
      <c r="ES187" s="408">
        <v>0</v>
      </c>
      <c r="ET187" s="408">
        <v>0</v>
      </c>
      <c r="EU187" s="408">
        <v>0</v>
      </c>
      <c r="EV187" s="408">
        <v>240</v>
      </c>
      <c r="EW187" s="408">
        <v>0</v>
      </c>
      <c r="EX187" s="408">
        <v>0</v>
      </c>
      <c r="EY187" s="408">
        <v>0</v>
      </c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186</v>
      </c>
      <c r="B188" s="408" t="s">
        <v>1036</v>
      </c>
      <c r="C188" s="408" t="s">
        <v>2243</v>
      </c>
      <c r="D188" s="408" t="s">
        <v>597</v>
      </c>
      <c r="E188" s="408" t="s">
        <v>2246</v>
      </c>
      <c r="F188" s="408" t="s">
        <v>1322</v>
      </c>
      <c r="G188" s="408" t="s">
        <v>1322</v>
      </c>
      <c r="H188" s="408" t="s">
        <v>1322</v>
      </c>
      <c r="I188" s="408" t="s">
        <v>1322</v>
      </c>
      <c r="J188" s="408" t="s">
        <v>2236</v>
      </c>
      <c r="K188" s="826">
        <v>44440</v>
      </c>
      <c r="L188" s="408">
        <v>141</v>
      </c>
      <c r="M188" s="408">
        <v>141</v>
      </c>
      <c r="N188" s="408">
        <v>0</v>
      </c>
      <c r="O188" s="408">
        <v>0</v>
      </c>
      <c r="P188" s="408">
        <v>0</v>
      </c>
      <c r="Q188" s="408">
        <v>0</v>
      </c>
      <c r="R188" s="408">
        <v>27.19</v>
      </c>
      <c r="S188" s="408"/>
      <c r="T188" s="408"/>
      <c r="U188" s="408">
        <v>3833.79</v>
      </c>
      <c r="V188" s="408"/>
      <c r="W188" s="408">
        <v>3833.79</v>
      </c>
      <c r="X188" s="408">
        <v>3068.1600000000003</v>
      </c>
      <c r="Y188" s="408">
        <v>0</v>
      </c>
      <c r="Z188" s="408">
        <v>0</v>
      </c>
      <c r="AA188" s="408">
        <v>0</v>
      </c>
      <c r="AB188" s="408">
        <v>0</v>
      </c>
      <c r="AC188" s="408">
        <v>32.881286493286524</v>
      </c>
      <c r="AD188" s="408">
        <v>31.588912351229787</v>
      </c>
      <c r="AE188" s="408">
        <v>3374.4162642854894</v>
      </c>
      <c r="AF188" s="408"/>
      <c r="AG188" s="408"/>
      <c r="AH188" s="408"/>
      <c r="AI188" s="408">
        <v>0</v>
      </c>
      <c r="AJ188" s="408">
        <v>0</v>
      </c>
      <c r="AK188" s="408">
        <v>0</v>
      </c>
      <c r="AL188" s="408">
        <v>0</v>
      </c>
      <c r="AM188" s="408"/>
      <c r="AN188" s="408">
        <v>0</v>
      </c>
      <c r="AO188" s="408">
        <v>69.778761183755421</v>
      </c>
      <c r="AP188" s="408">
        <v>325.4405268646201</v>
      </c>
      <c r="AQ188" s="408">
        <v>0</v>
      </c>
      <c r="AR188" s="408">
        <v>0</v>
      </c>
      <c r="AS188" s="408"/>
      <c r="AT188" s="408"/>
      <c r="AU188" s="408">
        <v>0</v>
      </c>
      <c r="AV188" s="408">
        <v>0</v>
      </c>
      <c r="AW188" s="408">
        <v>0</v>
      </c>
      <c r="AX188" s="408"/>
      <c r="AY188" s="408"/>
      <c r="AZ188" s="408">
        <v>0</v>
      </c>
      <c r="BA188" s="408"/>
      <c r="BB188" s="408">
        <v>0</v>
      </c>
      <c r="BC188" s="408">
        <v>0</v>
      </c>
      <c r="BD188" s="408">
        <v>0</v>
      </c>
      <c r="BE188" s="408">
        <v>0</v>
      </c>
      <c r="BF188" s="408"/>
      <c r="BG188" s="408">
        <v>0</v>
      </c>
      <c r="BH188" s="408">
        <v>0</v>
      </c>
      <c r="BI188" s="408">
        <v>12.09</v>
      </c>
      <c r="BJ188" s="408">
        <v>103.82</v>
      </c>
      <c r="BK188" s="408">
        <v>7292.99</v>
      </c>
      <c r="BL188" s="408">
        <v>4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>
        <v>0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3068.1600000000003</v>
      </c>
      <c r="CJ188" s="408">
        <v>-765.66000000000031</v>
      </c>
      <c r="CK188" s="408"/>
      <c r="CL188" s="408"/>
      <c r="CM188" s="408"/>
      <c r="CN188" s="408"/>
      <c r="CO188" s="408">
        <v>-765.63</v>
      </c>
      <c r="CP188" s="408">
        <v>0</v>
      </c>
      <c r="CQ188" s="408">
        <v>30</v>
      </c>
      <c r="CR188" s="408">
        <v>71.908870440343208</v>
      </c>
      <c r="CS188" s="408">
        <v>6.9533044038627168</v>
      </c>
      <c r="CT188" s="408">
        <v>32.429452891605422</v>
      </c>
      <c r="CU188" s="408">
        <v>0</v>
      </c>
      <c r="CV188" s="408">
        <v>0</v>
      </c>
      <c r="CW188" s="408"/>
      <c r="CX188" s="408"/>
      <c r="CY188" s="408"/>
      <c r="CZ188" s="408">
        <v>32.526113144875175</v>
      </c>
      <c r="DA188" s="408">
        <v>0</v>
      </c>
      <c r="DB188" s="408">
        <v>0</v>
      </c>
      <c r="DC188" s="408"/>
      <c r="DD188" s="408"/>
      <c r="DE188" s="408">
        <v>0</v>
      </c>
      <c r="DF188" s="408">
        <v>0</v>
      </c>
      <c r="DG188" s="408">
        <v>0</v>
      </c>
      <c r="DH188" s="408">
        <v>0</v>
      </c>
      <c r="DI188" s="408">
        <v>0</v>
      </c>
      <c r="DJ188" s="408"/>
      <c r="DK188" s="408">
        <v>0</v>
      </c>
      <c r="DL188" s="408">
        <v>0</v>
      </c>
      <c r="DM188" s="408"/>
      <c r="DN188" s="408">
        <v>0</v>
      </c>
      <c r="DO188" s="408">
        <v>0</v>
      </c>
      <c r="DP188" s="408">
        <v>0</v>
      </c>
      <c r="DQ188" s="408">
        <v>0</v>
      </c>
      <c r="DR188" s="408">
        <v>0</v>
      </c>
      <c r="DS188" s="408"/>
      <c r="DT188" s="408"/>
      <c r="DU188" s="408">
        <v>3374.4162642854894</v>
      </c>
      <c r="DV188" s="408"/>
      <c r="DW188" s="408">
        <v>0</v>
      </c>
      <c r="DX188" s="408">
        <v>0</v>
      </c>
      <c r="DY188" s="408">
        <v>-765.62999999999965</v>
      </c>
      <c r="DZ188" s="408"/>
      <c r="EA188" s="408">
        <v>0</v>
      </c>
      <c r="EB188" s="408"/>
      <c r="EC188" s="408">
        <v>-838.26223880752832</v>
      </c>
      <c r="ED188" s="408"/>
      <c r="EE188" s="408">
        <v>0</v>
      </c>
      <c r="EF188" s="408">
        <v>0</v>
      </c>
      <c r="EG188" s="408"/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/>
      <c r="EN188" s="408"/>
      <c r="EO188" s="408">
        <v>0</v>
      </c>
      <c r="EP188" s="408">
        <v>0</v>
      </c>
      <c r="EQ188" s="408"/>
      <c r="ER188" s="408">
        <v>0</v>
      </c>
      <c r="ES188" s="408"/>
      <c r="ET188" s="408">
        <v>0</v>
      </c>
      <c r="EU188" s="408"/>
      <c r="EV188" s="408">
        <v>240</v>
      </c>
      <c r="EW188" s="408"/>
      <c r="EX188" s="408"/>
      <c r="EY188" s="408"/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187</v>
      </c>
      <c r="B189" s="408" t="s">
        <v>2238</v>
      </c>
      <c r="C189" s="408" t="s">
        <v>2243</v>
      </c>
      <c r="D189" s="408" t="s">
        <v>597</v>
      </c>
      <c r="E189" s="408" t="s">
        <v>2246</v>
      </c>
      <c r="F189" s="408" t="s">
        <v>1322</v>
      </c>
      <c r="G189" s="408" t="s">
        <v>1322</v>
      </c>
      <c r="H189" s="408" t="s">
        <v>1322</v>
      </c>
      <c r="I189" s="408" t="s">
        <v>1322</v>
      </c>
      <c r="J189" s="408" t="s">
        <v>2236</v>
      </c>
      <c r="K189" s="826">
        <v>44440</v>
      </c>
      <c r="L189" s="408">
        <v>40</v>
      </c>
      <c r="M189" s="408">
        <v>40</v>
      </c>
      <c r="N189" s="408">
        <v>0</v>
      </c>
      <c r="O189" s="408">
        <v>0</v>
      </c>
      <c r="P189" s="408">
        <v>0</v>
      </c>
      <c r="Q189" s="408">
        <v>0</v>
      </c>
      <c r="R189" s="408">
        <v>27.19</v>
      </c>
      <c r="S189" s="408"/>
      <c r="T189" s="408"/>
      <c r="U189" s="408">
        <v>1087.6000000000001</v>
      </c>
      <c r="V189" s="408"/>
      <c r="W189" s="408">
        <v>1087.6000000000001</v>
      </c>
      <c r="X189" s="408">
        <v>870.40000000000009</v>
      </c>
      <c r="Y189" s="408">
        <v>0</v>
      </c>
      <c r="Z189" s="408">
        <v>0</v>
      </c>
      <c r="AA189" s="408">
        <v>0</v>
      </c>
      <c r="AB189" s="408">
        <v>0</v>
      </c>
      <c r="AC189" s="408">
        <v>9.3280245371025607</v>
      </c>
      <c r="AD189" s="408">
        <v>8.9613935748169595</v>
      </c>
      <c r="AE189" s="408">
        <v>957.28120972637998</v>
      </c>
      <c r="AF189" s="408"/>
      <c r="AG189" s="408"/>
      <c r="AH189" s="408"/>
      <c r="AI189" s="408">
        <v>0</v>
      </c>
      <c r="AJ189" s="408">
        <v>0</v>
      </c>
      <c r="AK189" s="408">
        <v>0</v>
      </c>
      <c r="AL189" s="408">
        <v>0</v>
      </c>
      <c r="AM189" s="408"/>
      <c r="AN189" s="408">
        <v>0</v>
      </c>
      <c r="AO189" s="408">
        <v>19.795393243618559</v>
      </c>
      <c r="AP189" s="408">
        <v>92.3235537204596</v>
      </c>
      <c r="AQ189" s="408">
        <v>0</v>
      </c>
      <c r="AR189" s="408">
        <v>0</v>
      </c>
      <c r="AS189" s="408"/>
      <c r="AT189" s="408"/>
      <c r="AU189" s="408">
        <v>0</v>
      </c>
      <c r="AV189" s="408">
        <v>0</v>
      </c>
      <c r="AW189" s="408">
        <v>0</v>
      </c>
      <c r="AX189" s="408"/>
      <c r="AY189" s="408"/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0</v>
      </c>
      <c r="BF189" s="408"/>
      <c r="BG189" s="408">
        <v>0</v>
      </c>
      <c r="BH189" s="408">
        <v>0</v>
      </c>
      <c r="BI189" s="408">
        <v>1.17</v>
      </c>
      <c r="BJ189" s="408">
        <v>10.050000000000001</v>
      </c>
      <c r="BK189" s="408">
        <v>511.88</v>
      </c>
      <c r="BL189" s="408">
        <v>1</v>
      </c>
      <c r="BM189" s="408"/>
      <c r="BN189" s="408"/>
      <c r="BO189" s="408"/>
      <c r="BP189" s="408"/>
      <c r="BQ189" s="408"/>
      <c r="BR189" s="408"/>
      <c r="BS189" s="408"/>
      <c r="BT189" s="408"/>
      <c r="BU189" s="408"/>
      <c r="BV189" s="408">
        <v>0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870.40000000000009</v>
      </c>
      <c r="CJ189" s="408">
        <v>-217.23000000000002</v>
      </c>
      <c r="CK189" s="408"/>
      <c r="CL189" s="408"/>
      <c r="CM189" s="408"/>
      <c r="CN189" s="408"/>
      <c r="CO189" s="408">
        <v>-217.2</v>
      </c>
      <c r="CP189" s="408">
        <v>0</v>
      </c>
      <c r="CQ189" s="408">
        <v>30</v>
      </c>
      <c r="CR189" s="408">
        <v>20.399679557544232</v>
      </c>
      <c r="CS189" s="408">
        <v>1.9725686252092807</v>
      </c>
      <c r="CT189" s="408">
        <v>9.1998447919447983</v>
      </c>
      <c r="CU189" s="408">
        <v>0</v>
      </c>
      <c r="CV189" s="408">
        <v>0</v>
      </c>
      <c r="CW189" s="408"/>
      <c r="CX189" s="408"/>
      <c r="CY189" s="408"/>
      <c r="CZ189" s="408">
        <v>9.2272661403901211</v>
      </c>
      <c r="DA189" s="408">
        <v>0</v>
      </c>
      <c r="DB189" s="408">
        <v>0</v>
      </c>
      <c r="DC189" s="408"/>
      <c r="DD189" s="408"/>
      <c r="DE189" s="408">
        <v>0</v>
      </c>
      <c r="DF189" s="408">
        <v>0</v>
      </c>
      <c r="DG189" s="408">
        <v>0</v>
      </c>
      <c r="DH189" s="408">
        <v>0</v>
      </c>
      <c r="DI189" s="408">
        <v>0</v>
      </c>
      <c r="DJ189" s="408"/>
      <c r="DK189" s="408">
        <v>0</v>
      </c>
      <c r="DL189" s="408">
        <v>0</v>
      </c>
      <c r="DM189" s="408"/>
      <c r="DN189" s="408">
        <v>0</v>
      </c>
      <c r="DO189" s="408">
        <v>0</v>
      </c>
      <c r="DP189" s="408">
        <v>0</v>
      </c>
      <c r="DQ189" s="408">
        <v>0</v>
      </c>
      <c r="DR189" s="408">
        <v>0</v>
      </c>
      <c r="DS189" s="408"/>
      <c r="DT189" s="408"/>
      <c r="DU189" s="408">
        <v>957.28120972637998</v>
      </c>
      <c r="DV189" s="408"/>
      <c r="DW189" s="408">
        <v>0</v>
      </c>
      <c r="DX189" s="408">
        <v>0</v>
      </c>
      <c r="DY189" s="408">
        <v>-217.20000000000005</v>
      </c>
      <c r="DZ189" s="408"/>
      <c r="EA189" s="408">
        <v>0</v>
      </c>
      <c r="EB189" s="408"/>
      <c r="EC189" s="408">
        <v>-237.80489044185208</v>
      </c>
      <c r="ED189" s="408"/>
      <c r="EE189" s="408">
        <v>0</v>
      </c>
      <c r="EF189" s="408">
        <v>0</v>
      </c>
      <c r="EG189" s="408"/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/>
      <c r="EN189" s="408"/>
      <c r="EO189" s="408">
        <v>0</v>
      </c>
      <c r="EP189" s="408">
        <v>0</v>
      </c>
      <c r="EQ189" s="408"/>
      <c r="ER189" s="408">
        <v>0</v>
      </c>
      <c r="ES189" s="408"/>
      <c r="ET189" s="408">
        <v>0</v>
      </c>
      <c r="EU189" s="408"/>
      <c r="EV189" s="408">
        <v>240</v>
      </c>
      <c r="EW189" s="408"/>
      <c r="EX189" s="408"/>
      <c r="EY189" s="408"/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188</v>
      </c>
      <c r="B190" s="408" t="s">
        <v>1036</v>
      </c>
      <c r="C190" s="408" t="s">
        <v>2235</v>
      </c>
      <c r="D190" s="408" t="s">
        <v>2248</v>
      </c>
      <c r="E190" s="408" t="s">
        <v>2249</v>
      </c>
      <c r="F190" s="408" t="s">
        <v>2250</v>
      </c>
      <c r="G190" s="408" t="s">
        <v>1322</v>
      </c>
      <c r="H190" s="408" t="s">
        <v>1322</v>
      </c>
      <c r="I190" s="408" t="s">
        <v>1322</v>
      </c>
      <c r="J190" s="408" t="s">
        <v>2236</v>
      </c>
      <c r="K190" s="826">
        <v>44440</v>
      </c>
      <c r="L190" s="408">
        <v>0</v>
      </c>
      <c r="M190" s="408">
        <v>0</v>
      </c>
      <c r="N190" s="408">
        <v>1548.761</v>
      </c>
      <c r="O190" s="408">
        <v>1548.761</v>
      </c>
      <c r="P190" s="408">
        <v>1548.761</v>
      </c>
      <c r="Q190" s="408">
        <v>1548.761</v>
      </c>
      <c r="R190" s="408"/>
      <c r="S190" s="408">
        <v>199.07</v>
      </c>
      <c r="T190" s="408">
        <v>95.29</v>
      </c>
      <c r="U190" s="408"/>
      <c r="V190" s="408">
        <v>455893.28795999999</v>
      </c>
      <c r="W190" s="408">
        <v>455893.28795999999</v>
      </c>
      <c r="X190" s="408">
        <v>430354.21906999999</v>
      </c>
      <c r="Y190" s="408">
        <v>0</v>
      </c>
      <c r="Z190" s="408">
        <v>52425.328712372022</v>
      </c>
      <c r="AA190" s="408">
        <v>0</v>
      </c>
      <c r="AB190" s="408">
        <v>0</v>
      </c>
      <c r="AC190" s="408">
        <v>2180.2614068235994</v>
      </c>
      <c r="AD190" s="408">
        <v>2811.9038998697165</v>
      </c>
      <c r="AE190" s="408">
        <v>194548.1762106859</v>
      </c>
      <c r="AF190" s="408">
        <v>145099.17266029888</v>
      </c>
      <c r="AG190" s="408">
        <v>2476.435450497032</v>
      </c>
      <c r="AH190" s="408">
        <v>0</v>
      </c>
      <c r="AI190" s="408">
        <v>0</v>
      </c>
      <c r="AJ190" s="408">
        <v>0</v>
      </c>
      <c r="AK190" s="408">
        <v>0</v>
      </c>
      <c r="AL190" s="408">
        <v>8099.9683827374356</v>
      </c>
      <c r="AM190" s="408"/>
      <c r="AN190" s="408">
        <v>1028.8747550362148</v>
      </c>
      <c r="AO190" s="408">
        <v>4628.2671170571584</v>
      </c>
      <c r="AP190" s="408">
        <v>21580.926772641888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0</v>
      </c>
      <c r="BF190" s="408">
        <v>0</v>
      </c>
      <c r="BG190" s="408">
        <v>7615.0805097040038</v>
      </c>
      <c r="BH190" s="408">
        <v>0</v>
      </c>
      <c r="BI190" s="408">
        <v>457.79</v>
      </c>
      <c r="BJ190" s="408">
        <v>3926.6</v>
      </c>
      <c r="BK190" s="408">
        <v>163609</v>
      </c>
      <c r="BL190" s="408">
        <v>60</v>
      </c>
      <c r="BM190" s="408"/>
      <c r="BN190" s="408"/>
      <c r="BO190" s="408"/>
      <c r="BP190" s="408"/>
      <c r="BQ190" s="408"/>
      <c r="BR190" s="408"/>
      <c r="BS190" s="408"/>
      <c r="BT190" s="408"/>
      <c r="BU190" s="408"/>
      <c r="BV190" s="408">
        <v>152714.25317000289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430353.9412</v>
      </c>
      <c r="CJ190" s="408">
        <v>-25539.376760000014</v>
      </c>
      <c r="CK190" s="408"/>
      <c r="CL190" s="408"/>
      <c r="CM190" s="408"/>
      <c r="CN190" s="408"/>
      <c r="CO190" s="408">
        <v>-43922.861959999973</v>
      </c>
      <c r="CP190" s="408">
        <v>18383.793069999985</v>
      </c>
      <c r="CQ190" s="408">
        <v>30</v>
      </c>
      <c r="CR190" s="408">
        <v>22806.666283499886</v>
      </c>
      <c r="CS190" s="408">
        <v>461.1969255593358</v>
      </c>
      <c r="CT190" s="408">
        <v>2150.4932249009908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2895.3293289351645</v>
      </c>
      <c r="DA190" s="408">
        <v>0</v>
      </c>
      <c r="DB190" s="408">
        <v>0</v>
      </c>
      <c r="DC190" s="408">
        <v>18388.686071063916</v>
      </c>
      <c r="DD190" s="408">
        <v>0</v>
      </c>
      <c r="DE190" s="408">
        <v>0</v>
      </c>
      <c r="DF190" s="408">
        <v>0</v>
      </c>
      <c r="DG190" s="408">
        <v>965.07321393665097</v>
      </c>
      <c r="DH190" s="408">
        <v>0</v>
      </c>
      <c r="DI190" s="408">
        <v>-1780.1982679469147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-244.80587496915177</v>
      </c>
      <c r="DP190" s="408">
        <v>-29.108337980091392</v>
      </c>
      <c r="DQ190" s="408">
        <v>0</v>
      </c>
      <c r="DR190" s="408">
        <v>0</v>
      </c>
      <c r="DS190" s="408"/>
      <c r="DT190" s="408"/>
      <c r="DU190" s="408"/>
      <c r="DV190" s="408">
        <v>194548.1762106859</v>
      </c>
      <c r="DW190" s="408">
        <v>0</v>
      </c>
      <c r="DX190" s="408">
        <v>0</v>
      </c>
      <c r="DY190" s="408">
        <v>-43922.861959999951</v>
      </c>
      <c r="DZ190" s="408">
        <v>18383.793069999985</v>
      </c>
      <c r="EA190" s="408">
        <v>0</v>
      </c>
      <c r="EB190" s="408">
        <v>0</v>
      </c>
      <c r="EC190" s="408">
        <v>-48329.067007037869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13388.493943613252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240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189</v>
      </c>
      <c r="B191" s="408" t="s">
        <v>1036</v>
      </c>
      <c r="C191" s="408" t="s">
        <v>2235</v>
      </c>
      <c r="D191" s="408" t="s">
        <v>1958</v>
      </c>
      <c r="E191" s="408" t="s">
        <v>1001</v>
      </c>
      <c r="F191" s="408" t="s">
        <v>2251</v>
      </c>
      <c r="G191" s="408" t="s">
        <v>1322</v>
      </c>
      <c r="H191" s="408" t="s">
        <v>1322</v>
      </c>
      <c r="I191" s="408" t="s">
        <v>1322</v>
      </c>
      <c r="J191" s="408" t="s">
        <v>2236</v>
      </c>
      <c r="K191" s="826">
        <v>44440</v>
      </c>
      <c r="L191" s="408">
        <v>0</v>
      </c>
      <c r="M191" s="408">
        <v>0</v>
      </c>
      <c r="N191" s="408">
        <v>603.96299999999997</v>
      </c>
      <c r="O191" s="408">
        <v>567.72522000000004</v>
      </c>
      <c r="P191" s="408">
        <v>603.96299999999997</v>
      </c>
      <c r="Q191" s="408">
        <v>567.72522000000004</v>
      </c>
      <c r="R191" s="408"/>
      <c r="S191" s="408">
        <v>368.24</v>
      </c>
      <c r="T191" s="408">
        <v>173.25</v>
      </c>
      <c r="U191" s="408"/>
      <c r="V191" s="408">
        <v>327039.92486999999</v>
      </c>
      <c r="W191" s="408">
        <v>327039.92486999999</v>
      </c>
      <c r="X191" s="408">
        <v>307350.73106999998</v>
      </c>
      <c r="Y191" s="408">
        <v>0</v>
      </c>
      <c r="Z191" s="408">
        <v>37171.013480641341</v>
      </c>
      <c r="AA191" s="408">
        <v>0</v>
      </c>
      <c r="AB191" s="408">
        <v>0</v>
      </c>
      <c r="AC191" s="408">
        <v>1545.8658655055146</v>
      </c>
      <c r="AD191" s="408">
        <v>1485.2304548156333</v>
      </c>
      <c r="AE191" s="408">
        <v>142255.69702649131</v>
      </c>
      <c r="AF191" s="408">
        <v>102879.34163611739</v>
      </c>
      <c r="AG191" s="408">
        <v>1755.861484806285</v>
      </c>
      <c r="AH191" s="408">
        <v>0</v>
      </c>
      <c r="AI191" s="408">
        <v>0</v>
      </c>
      <c r="AJ191" s="408">
        <v>0</v>
      </c>
      <c r="AK191" s="408">
        <v>0</v>
      </c>
      <c r="AL191" s="408">
        <v>5743.1024533842865</v>
      </c>
      <c r="AM191" s="408"/>
      <c r="AN191" s="408">
        <v>729.50076477665141</v>
      </c>
      <c r="AO191" s="408">
        <v>3281.5698752031058</v>
      </c>
      <c r="AP191" s="408">
        <v>15301.476208031725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>
        <v>0</v>
      </c>
      <c r="BG191" s="408">
        <v>5399.3034900242055</v>
      </c>
      <c r="BH191" s="408">
        <v>0</v>
      </c>
      <c r="BI191" s="408">
        <v>251.27</v>
      </c>
      <c r="BJ191" s="408">
        <v>2161.52</v>
      </c>
      <c r="BK191" s="408">
        <v>162357.12</v>
      </c>
      <c r="BL191" s="408">
        <v>198</v>
      </c>
      <c r="BM191" s="408"/>
      <c r="BN191" s="408"/>
      <c r="BO191" s="408"/>
      <c r="BP191" s="408"/>
      <c r="BQ191" s="408">
        <v>18441.043864199964</v>
      </c>
      <c r="BR191" s="408"/>
      <c r="BS191" s="408"/>
      <c r="BT191" s="408"/>
      <c r="BU191" s="408"/>
      <c r="BV191" s="408">
        <v>108278.64512614159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288912.11970000004</v>
      </c>
      <c r="CJ191" s="408">
        <v>-18505.439677799994</v>
      </c>
      <c r="CK191" s="408"/>
      <c r="CL191" s="408"/>
      <c r="CM191" s="408"/>
      <c r="CN191" s="408"/>
      <c r="CO191" s="408">
        <v>-32728.754969999998</v>
      </c>
      <c r="CP191" s="408">
        <v>13039.561170000001</v>
      </c>
      <c r="CQ191" s="408">
        <v>30</v>
      </c>
      <c r="CR191" s="408">
        <v>15646.985932719399</v>
      </c>
      <c r="CS191" s="408">
        <v>327.00142389666007</v>
      </c>
      <c r="CT191" s="408">
        <v>1524.759398102904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1529.2952565891967</v>
      </c>
      <c r="DA191" s="408">
        <v>0</v>
      </c>
      <c r="DB191" s="408">
        <v>0</v>
      </c>
      <c r="DC191" s="408">
        <v>13038.088928138517</v>
      </c>
      <c r="DD191" s="408">
        <v>0</v>
      </c>
      <c r="DE191" s="408">
        <v>0</v>
      </c>
      <c r="DF191" s="408">
        <v>0</v>
      </c>
      <c r="DG191" s="408">
        <v>684.26370088892963</v>
      </c>
      <c r="DH191" s="408">
        <v>0</v>
      </c>
      <c r="DI191" s="408">
        <v>-1262.2099935533261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-173.57416161457877</v>
      </c>
      <c r="DP191" s="408">
        <v>-20.63861972889697</v>
      </c>
      <c r="DQ191" s="408">
        <v>0</v>
      </c>
      <c r="DR191" s="408">
        <v>0</v>
      </c>
      <c r="DS191" s="408"/>
      <c r="DT191" s="408"/>
      <c r="DU191" s="408"/>
      <c r="DV191" s="408">
        <v>142255.69702649131</v>
      </c>
      <c r="DW191" s="408">
        <v>0</v>
      </c>
      <c r="DX191" s="408">
        <v>0</v>
      </c>
      <c r="DY191" s="408">
        <v>-32728.754970000009</v>
      </c>
      <c r="DZ191" s="408">
        <v>13039.561170000001</v>
      </c>
      <c r="EA191" s="408">
        <v>0</v>
      </c>
      <c r="EB191" s="408">
        <v>0</v>
      </c>
      <c r="EC191" s="408">
        <v>-35338.728163048247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9492.8138952438603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240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190</v>
      </c>
      <c r="B192" s="408" t="s">
        <v>1036</v>
      </c>
      <c r="C192" s="408" t="s">
        <v>2247</v>
      </c>
      <c r="D192" s="408" t="s">
        <v>597</v>
      </c>
      <c r="E192" s="408" t="s">
        <v>1001</v>
      </c>
      <c r="F192" s="408" t="s">
        <v>2251</v>
      </c>
      <c r="G192" s="408" t="s">
        <v>1322</v>
      </c>
      <c r="H192" s="408" t="s">
        <v>1322</v>
      </c>
      <c r="I192" s="408" t="s">
        <v>973</v>
      </c>
      <c r="J192" s="408" t="s">
        <v>2236</v>
      </c>
      <c r="K192" s="826">
        <v>44440</v>
      </c>
      <c r="L192" s="408">
        <v>65</v>
      </c>
      <c r="M192" s="408">
        <v>61.1</v>
      </c>
      <c r="N192" s="408">
        <v>3.085</v>
      </c>
      <c r="O192" s="408">
        <v>2.8999000000000001</v>
      </c>
      <c r="P192" s="408">
        <v>3.085</v>
      </c>
      <c r="Q192" s="408">
        <v>2.8999000000000001</v>
      </c>
      <c r="R192" s="408">
        <v>52.95</v>
      </c>
      <c r="S192" s="408">
        <v>85.01</v>
      </c>
      <c r="T192" s="408">
        <v>173.25</v>
      </c>
      <c r="U192" s="408">
        <v>3441.75</v>
      </c>
      <c r="V192" s="408">
        <v>796.73210000000006</v>
      </c>
      <c r="W192" s="408">
        <v>4238.4821000000002</v>
      </c>
      <c r="X192" s="408">
        <v>3735.94695</v>
      </c>
      <c r="Y192" s="408">
        <v>0</v>
      </c>
      <c r="Z192" s="408">
        <v>165.18419444795003</v>
      </c>
      <c r="AA192" s="408">
        <v>0</v>
      </c>
      <c r="AB192" s="408">
        <v>0</v>
      </c>
      <c r="AC192" s="408">
        <v>51.198306474712865</v>
      </c>
      <c r="AD192" s="408">
        <v>49.188863943031343</v>
      </c>
      <c r="AE192" s="408">
        <v>2725.6914092779475</v>
      </c>
      <c r="AF192" s="408">
        <v>525.50035175569064</v>
      </c>
      <c r="AG192" s="408">
        <v>8.968815441719757</v>
      </c>
      <c r="AH192" s="408">
        <v>0</v>
      </c>
      <c r="AI192" s="408">
        <v>0</v>
      </c>
      <c r="AJ192" s="408">
        <v>0</v>
      </c>
      <c r="AK192" s="408">
        <v>0</v>
      </c>
      <c r="AL192" s="408">
        <v>29.335358405548888</v>
      </c>
      <c r="AM192" s="408"/>
      <c r="AN192" s="408">
        <v>2.4705106573289037</v>
      </c>
      <c r="AO192" s="408">
        <v>108.68330737188015</v>
      </c>
      <c r="AP192" s="408">
        <v>506.76761947441048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0</v>
      </c>
      <c r="BF192" s="408">
        <v>0</v>
      </c>
      <c r="BG192" s="408">
        <v>23.071655558570793</v>
      </c>
      <c r="BH192" s="408">
        <v>0</v>
      </c>
      <c r="BI192" s="408">
        <v>0</v>
      </c>
      <c r="BJ192" s="408">
        <v>0</v>
      </c>
      <c r="BK192" s="408">
        <v>0</v>
      </c>
      <c r="BL192" s="408">
        <v>0</v>
      </c>
      <c r="BM192" s="408"/>
      <c r="BN192" s="408"/>
      <c r="BO192" s="408"/>
      <c r="BP192" s="408"/>
      <c r="BQ192" s="408">
        <v>224.15681699999988</v>
      </c>
      <c r="BR192" s="408"/>
      <c r="BS192" s="408"/>
      <c r="BT192" s="408"/>
      <c r="BU192" s="408"/>
      <c r="BV192" s="408">
        <v>548.57200731426144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3511.8180000000002</v>
      </c>
      <c r="CJ192" s="408">
        <v>-472.38517400000092</v>
      </c>
      <c r="CK192" s="408"/>
      <c r="CL192" s="408"/>
      <c r="CM192" s="408"/>
      <c r="CN192" s="408"/>
      <c r="CO192" s="408">
        <v>-569.14030000000025</v>
      </c>
      <c r="CP192" s="408">
        <v>66.605150000000009</v>
      </c>
      <c r="CQ192" s="408">
        <v>30</v>
      </c>
      <c r="CR192" s="408">
        <v>174.93251327007169</v>
      </c>
      <c r="CS192" s="408">
        <v>10.830059275274195</v>
      </c>
      <c r="CT192" s="408">
        <v>50.498310093914142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50.648231768467902</v>
      </c>
      <c r="DA192" s="408">
        <v>0</v>
      </c>
      <c r="DB192" s="408">
        <v>0</v>
      </c>
      <c r="DC192" s="408">
        <v>66.597629893399585</v>
      </c>
      <c r="DD192" s="408">
        <v>0</v>
      </c>
      <c r="DE192" s="408">
        <v>0</v>
      </c>
      <c r="DF192" s="408">
        <v>0</v>
      </c>
      <c r="DG192" s="408">
        <v>2.9239135098277202</v>
      </c>
      <c r="DH192" s="408">
        <v>0</v>
      </c>
      <c r="DI192" s="408">
        <v>-5.6091325332799897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-0.88660445851976633</v>
      </c>
      <c r="DP192" s="408">
        <v>-6.9894279012046034E-2</v>
      </c>
      <c r="DQ192" s="408">
        <v>0</v>
      </c>
      <c r="DR192" s="408">
        <v>0</v>
      </c>
      <c r="DS192" s="408"/>
      <c r="DT192" s="408"/>
      <c r="DU192" s="408">
        <v>2725.6914092779475</v>
      </c>
      <c r="DV192" s="408">
        <v>0</v>
      </c>
      <c r="DW192" s="408">
        <v>0</v>
      </c>
      <c r="DX192" s="408">
        <v>0</v>
      </c>
      <c r="DY192" s="408">
        <v>-569.14030000000002</v>
      </c>
      <c r="DZ192" s="408">
        <v>66.605149999999981</v>
      </c>
      <c r="EA192" s="408">
        <v>0</v>
      </c>
      <c r="EB192" s="408">
        <v>0</v>
      </c>
      <c r="EC192" s="408">
        <v>-677.10798078540483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42.185097189960011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240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191</v>
      </c>
      <c r="B193" s="408" t="s">
        <v>1036</v>
      </c>
      <c r="C193" s="408" t="s">
        <v>2247</v>
      </c>
      <c r="D193" s="408" t="s">
        <v>597</v>
      </c>
      <c r="E193" s="408" t="s">
        <v>1001</v>
      </c>
      <c r="F193" s="408" t="s">
        <v>2251</v>
      </c>
      <c r="G193" s="408" t="s">
        <v>1322</v>
      </c>
      <c r="H193" s="408" t="s">
        <v>1322</v>
      </c>
      <c r="I193" s="408" t="s">
        <v>2244</v>
      </c>
      <c r="J193" s="408" t="s">
        <v>2236</v>
      </c>
      <c r="K193" s="826">
        <v>44440</v>
      </c>
      <c r="L193" s="408">
        <v>65</v>
      </c>
      <c r="M193" s="408">
        <v>61.1</v>
      </c>
      <c r="N193" s="408">
        <v>20.21</v>
      </c>
      <c r="O193" s="408">
        <v>18.997399999999999</v>
      </c>
      <c r="P193" s="408">
        <v>20.21</v>
      </c>
      <c r="Q193" s="408">
        <v>18.997399999999999</v>
      </c>
      <c r="R193" s="408">
        <v>27.19</v>
      </c>
      <c r="S193" s="408">
        <v>85.01</v>
      </c>
      <c r="T193" s="408">
        <v>173.25</v>
      </c>
      <c r="U193" s="408">
        <v>1767.3500000000001</v>
      </c>
      <c r="V193" s="408">
        <v>5219.4346000000005</v>
      </c>
      <c r="W193" s="408">
        <v>6986.7846000000009</v>
      </c>
      <c r="X193" s="408">
        <v>7046.3207000000002</v>
      </c>
      <c r="Y193" s="408">
        <v>0</v>
      </c>
      <c r="Z193" s="408">
        <v>1082.130492639569</v>
      </c>
      <c r="AA193" s="408">
        <v>0</v>
      </c>
      <c r="AB193" s="408">
        <v>0</v>
      </c>
      <c r="AC193" s="408">
        <v>15.158039872791662</v>
      </c>
      <c r="AD193" s="408">
        <v>14.56226455907756</v>
      </c>
      <c r="AE193" s="408">
        <v>1555.5819658053674</v>
      </c>
      <c r="AF193" s="408">
        <v>3442.580910529176</v>
      </c>
      <c r="AG193" s="408">
        <v>58.75518965223867</v>
      </c>
      <c r="AH193" s="408">
        <v>0</v>
      </c>
      <c r="AI193" s="408">
        <v>0</v>
      </c>
      <c r="AJ193" s="408">
        <v>0</v>
      </c>
      <c r="AK193" s="408">
        <v>0</v>
      </c>
      <c r="AL193" s="408">
        <v>192.17750190474655</v>
      </c>
      <c r="AM193" s="408"/>
      <c r="AN193" s="408">
        <v>16.184447450443159</v>
      </c>
      <c r="AO193" s="408">
        <v>32.167514020880162</v>
      </c>
      <c r="AP193" s="408">
        <v>150.02577479574686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>
        <v>0</v>
      </c>
      <c r="BG193" s="408">
        <v>151.14364954253347</v>
      </c>
      <c r="BH193" s="408">
        <v>0</v>
      </c>
      <c r="BI193" s="408">
        <v>0</v>
      </c>
      <c r="BJ193" s="408">
        <v>0</v>
      </c>
      <c r="BK193" s="408">
        <v>0</v>
      </c>
      <c r="BL193" s="408">
        <v>0</v>
      </c>
      <c r="BM193" s="408"/>
      <c r="BN193" s="408"/>
      <c r="BO193" s="408"/>
      <c r="BP193" s="408"/>
      <c r="BQ193" s="408">
        <v>422.77924200000052</v>
      </c>
      <c r="BR193" s="408"/>
      <c r="BS193" s="408"/>
      <c r="BT193" s="408"/>
      <c r="BU193" s="408"/>
      <c r="BV193" s="408">
        <v>3593.7245600717097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6624.2659999999996</v>
      </c>
      <c r="CJ193" s="408">
        <v>56.6584759999987</v>
      </c>
      <c r="CK193" s="408"/>
      <c r="CL193" s="408"/>
      <c r="CM193" s="408"/>
      <c r="CN193" s="408"/>
      <c r="CO193" s="408">
        <v>-376.79780000000011</v>
      </c>
      <c r="CP193" s="408">
        <v>436.33390000000009</v>
      </c>
      <c r="CQ193" s="408">
        <v>30</v>
      </c>
      <c r="CR193" s="408">
        <v>445.57702683242678</v>
      </c>
      <c r="CS193" s="408">
        <v>3.2054240159650789</v>
      </c>
      <c r="CT193" s="408">
        <v>14.94974778691028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14.994307478133946</v>
      </c>
      <c r="DA193" s="408">
        <v>0</v>
      </c>
      <c r="DB193" s="408">
        <v>0</v>
      </c>
      <c r="DC193" s="408">
        <v>436.28463537945117</v>
      </c>
      <c r="DD193" s="408">
        <v>0</v>
      </c>
      <c r="DE193" s="408">
        <v>0</v>
      </c>
      <c r="DF193" s="408">
        <v>0</v>
      </c>
      <c r="DG193" s="408">
        <v>19.154713787234442</v>
      </c>
      <c r="DH193" s="408">
        <v>0</v>
      </c>
      <c r="DI193" s="408">
        <v>-36.745727227743373</v>
      </c>
      <c r="DJ193" s="408"/>
      <c r="DK193" s="408">
        <v>0</v>
      </c>
      <c r="DL193" s="408">
        <v>0</v>
      </c>
      <c r="DM193" s="408">
        <v>0</v>
      </c>
      <c r="DN193" s="408">
        <v>0</v>
      </c>
      <c r="DO193" s="408">
        <v>-5.8081932274504311</v>
      </c>
      <c r="DP193" s="408">
        <v>-0.45788116007567048</v>
      </c>
      <c r="DQ193" s="408">
        <v>0</v>
      </c>
      <c r="DR193" s="408">
        <v>0</v>
      </c>
      <c r="DS193" s="408"/>
      <c r="DT193" s="408"/>
      <c r="DU193" s="408">
        <v>1555.5819658053674</v>
      </c>
      <c r="DV193" s="408">
        <v>0</v>
      </c>
      <c r="DW193" s="408">
        <v>0</v>
      </c>
      <c r="DX193" s="408">
        <v>0</v>
      </c>
      <c r="DY193" s="408">
        <v>-376.79780000000028</v>
      </c>
      <c r="DZ193" s="408">
        <v>436.33390000000009</v>
      </c>
      <c r="EA193" s="408">
        <v>0</v>
      </c>
      <c r="EB193" s="408">
        <v>0</v>
      </c>
      <c r="EC193" s="408">
        <v>-386.43294696800945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276.3568279446003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240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192</v>
      </c>
      <c r="B194" s="408" t="s">
        <v>1036</v>
      </c>
      <c r="C194" s="408" t="s">
        <v>2247</v>
      </c>
      <c r="D194" s="408" t="s">
        <v>597</v>
      </c>
      <c r="E194" s="408" t="s">
        <v>1001</v>
      </c>
      <c r="F194" s="408" t="s">
        <v>2251</v>
      </c>
      <c r="G194" s="408" t="s">
        <v>1322</v>
      </c>
      <c r="H194" s="408" t="s">
        <v>1322</v>
      </c>
      <c r="I194" s="408" t="s">
        <v>1322</v>
      </c>
      <c r="J194" s="408" t="s">
        <v>2236</v>
      </c>
      <c r="K194" s="826">
        <v>44440</v>
      </c>
      <c r="L194" s="408">
        <v>0</v>
      </c>
      <c r="M194" s="408">
        <v>0</v>
      </c>
      <c r="N194" s="408">
        <v>0</v>
      </c>
      <c r="O194" s="408">
        <v>0</v>
      </c>
      <c r="P194" s="408">
        <v>0</v>
      </c>
      <c r="Q194" s="408">
        <v>0</v>
      </c>
      <c r="R194" s="408"/>
      <c r="S194" s="408"/>
      <c r="T194" s="408"/>
      <c r="U194" s="408"/>
      <c r="V194" s="408"/>
      <c r="W194" s="408"/>
      <c r="X194" s="408"/>
      <c r="Y194" s="408"/>
      <c r="Z194" s="408"/>
      <c r="AA194" s="408">
        <v>0</v>
      </c>
      <c r="AB194" s="408"/>
      <c r="AC194" s="408"/>
      <c r="AD194" s="408"/>
      <c r="AE194" s="408"/>
      <c r="AF194" s="408"/>
      <c r="AG194" s="408"/>
      <c r="AH194" s="408"/>
      <c r="AI194" s="408"/>
      <c r="AJ194" s="408"/>
      <c r="AK194" s="408"/>
      <c r="AL194" s="408"/>
      <c r="AM194" s="408"/>
      <c r="AN194" s="408"/>
      <c r="AO194" s="408"/>
      <c r="AP194" s="408"/>
      <c r="AQ194" s="408"/>
      <c r="AR194" s="408"/>
      <c r="AS194" s="408"/>
      <c r="AT194" s="408"/>
      <c r="AU194" s="408"/>
      <c r="AV194" s="408"/>
      <c r="AW194" s="408"/>
      <c r="AX194" s="408"/>
      <c r="AY194" s="408"/>
      <c r="AZ194" s="408">
        <v>0</v>
      </c>
      <c r="BA194" s="408"/>
      <c r="BB194" s="408"/>
      <c r="BC194" s="408"/>
      <c r="BD194" s="408"/>
      <c r="BE194" s="408"/>
      <c r="BF194" s="408"/>
      <c r="BG194" s="408"/>
      <c r="BH194" s="408"/>
      <c r="BI194" s="408">
        <v>9.4600000000000009</v>
      </c>
      <c r="BJ194" s="408">
        <v>81.209999999999994</v>
      </c>
      <c r="BK194" s="408">
        <v>5775.45</v>
      </c>
      <c r="BL194" s="408">
        <v>1</v>
      </c>
      <c r="BM194" s="408"/>
      <c r="BN194" s="408"/>
      <c r="BO194" s="408"/>
      <c r="BP194" s="408"/>
      <c r="BQ194" s="408"/>
      <c r="BR194" s="408"/>
      <c r="BS194" s="408"/>
      <c r="BT194" s="408"/>
      <c r="BU194" s="408"/>
      <c r="BV194" s="408"/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/>
      <c r="CJ194" s="408">
        <v>-0.03</v>
      </c>
      <c r="CK194" s="408"/>
      <c r="CL194" s="408"/>
      <c r="CM194" s="408"/>
      <c r="CN194" s="408"/>
      <c r="CO194" s="408">
        <v>0</v>
      </c>
      <c r="CP194" s="408">
        <v>0</v>
      </c>
      <c r="CQ194" s="408">
        <v>30</v>
      </c>
      <c r="CR194" s="408"/>
      <c r="CS194" s="408"/>
      <c r="CT194" s="408"/>
      <c r="CU194" s="408"/>
      <c r="CV194" s="408"/>
      <c r="CW194" s="408"/>
      <c r="CX194" s="408"/>
      <c r="CY194" s="408"/>
      <c r="CZ194" s="408"/>
      <c r="DA194" s="408"/>
      <c r="DB194" s="408"/>
      <c r="DC194" s="408"/>
      <c r="DD194" s="408"/>
      <c r="DE194" s="408"/>
      <c r="DF194" s="408"/>
      <c r="DG194" s="408"/>
      <c r="DH194" s="408"/>
      <c r="DI194" s="408"/>
      <c r="DJ194" s="408"/>
      <c r="DK194" s="408">
        <v>0</v>
      </c>
      <c r="DL194" s="408"/>
      <c r="DM194" s="408"/>
      <c r="DN194" s="408"/>
      <c r="DO194" s="408"/>
      <c r="DP194" s="408"/>
      <c r="DQ194" s="408"/>
      <c r="DR194" s="408"/>
      <c r="DS194" s="408"/>
      <c r="DT194" s="408"/>
      <c r="DU194" s="408"/>
      <c r="DV194" s="408"/>
      <c r="DW194" s="408"/>
      <c r="DX194" s="408"/>
      <c r="DY194" s="408"/>
      <c r="DZ194" s="408"/>
      <c r="EA194" s="408"/>
      <c r="EB194" s="408"/>
      <c r="EC194" s="408"/>
      <c r="ED194" s="408"/>
      <c r="EE194" s="408"/>
      <c r="EF194" s="408"/>
      <c r="EG194" s="408"/>
      <c r="EH194" s="408"/>
      <c r="EI194" s="408"/>
      <c r="EJ194" s="408"/>
      <c r="EK194" s="408"/>
      <c r="EL194" s="408"/>
      <c r="EM194" s="408"/>
      <c r="EN194" s="408"/>
      <c r="EO194" s="408"/>
      <c r="EP194" s="408"/>
      <c r="EQ194" s="408"/>
      <c r="ER194" s="408"/>
      <c r="ES194" s="408"/>
      <c r="ET194" s="408"/>
      <c r="EU194" s="408"/>
      <c r="EV194" s="408">
        <v>240</v>
      </c>
      <c r="EW194" s="408"/>
      <c r="EX194" s="408"/>
      <c r="EY194" s="408"/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193</v>
      </c>
      <c r="B195" s="408" t="s">
        <v>1036</v>
      </c>
      <c r="C195" s="408" t="s">
        <v>2235</v>
      </c>
      <c r="D195" s="408" t="s">
        <v>1958</v>
      </c>
      <c r="E195" s="408" t="s">
        <v>2252</v>
      </c>
      <c r="F195" s="408" t="s">
        <v>1322</v>
      </c>
      <c r="G195" s="408" t="s">
        <v>1322</v>
      </c>
      <c r="H195" s="408" t="s">
        <v>1322</v>
      </c>
      <c r="I195" s="408" t="s">
        <v>1322</v>
      </c>
      <c r="J195" s="408" t="s">
        <v>2236</v>
      </c>
      <c r="K195" s="826">
        <v>44440</v>
      </c>
      <c r="L195" s="408">
        <v>0</v>
      </c>
      <c r="M195" s="408">
        <v>0</v>
      </c>
      <c r="N195" s="408">
        <v>7.4729999999999999</v>
      </c>
      <c r="O195" s="408">
        <v>7.4729999999999999</v>
      </c>
      <c r="P195" s="408">
        <v>7.4729999999999999</v>
      </c>
      <c r="Q195" s="408">
        <v>7.4729999999999999</v>
      </c>
      <c r="R195" s="408"/>
      <c r="S195" s="408">
        <v>368.24</v>
      </c>
      <c r="T195" s="408">
        <v>173.25</v>
      </c>
      <c r="U195" s="408"/>
      <c r="V195" s="408">
        <v>4046.5547699999997</v>
      </c>
      <c r="W195" s="408">
        <v>4046.5547699999997</v>
      </c>
      <c r="X195" s="408">
        <v>3802.9349700000002</v>
      </c>
      <c r="Y195" s="408">
        <v>0</v>
      </c>
      <c r="Z195" s="408">
        <v>459.92715404889498</v>
      </c>
      <c r="AA195" s="408">
        <v>0</v>
      </c>
      <c r="AB195" s="408">
        <v>0</v>
      </c>
      <c r="AC195" s="408">
        <v>19.127422727754368</v>
      </c>
      <c r="AD195" s="408">
        <v>18.377164145547376</v>
      </c>
      <c r="AE195" s="408">
        <v>1760.1687915964546</v>
      </c>
      <c r="AF195" s="408">
        <v>1272.9543366840439</v>
      </c>
      <c r="AG195" s="408">
        <v>21.725756173734762</v>
      </c>
      <c r="AH195" s="408">
        <v>0</v>
      </c>
      <c r="AI195" s="408">
        <v>0</v>
      </c>
      <c r="AJ195" s="408">
        <v>0</v>
      </c>
      <c r="AK195" s="408">
        <v>0</v>
      </c>
      <c r="AL195" s="408">
        <v>71.06098326245278</v>
      </c>
      <c r="AM195" s="408"/>
      <c r="AN195" s="408">
        <v>9.026313226432606</v>
      </c>
      <c r="AO195" s="408">
        <v>40.603764928303242</v>
      </c>
      <c r="AP195" s="408">
        <v>189.32936571051718</v>
      </c>
      <c r="AQ195" s="408">
        <v>0</v>
      </c>
      <c r="AR195" s="408">
        <v>0</v>
      </c>
      <c r="AS195" s="408">
        <v>0</v>
      </c>
      <c r="AT195" s="408">
        <v>0</v>
      </c>
      <c r="AU195" s="408">
        <v>0</v>
      </c>
      <c r="AV195" s="408">
        <v>0</v>
      </c>
      <c r="AW195" s="408">
        <v>0</v>
      </c>
      <c r="AX195" s="408">
        <v>0</v>
      </c>
      <c r="AY195" s="408">
        <v>0</v>
      </c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0</v>
      </c>
      <c r="BF195" s="408">
        <v>0</v>
      </c>
      <c r="BG195" s="408">
        <v>66.807064308493878</v>
      </c>
      <c r="BH195" s="408">
        <v>0</v>
      </c>
      <c r="BI195" s="408">
        <v>3.29</v>
      </c>
      <c r="BJ195" s="408">
        <v>28.36</v>
      </c>
      <c r="BK195" s="408">
        <v>2026.63</v>
      </c>
      <c r="BL195" s="408">
        <v>5</v>
      </c>
      <c r="BM195" s="408"/>
      <c r="BN195" s="408"/>
      <c r="BO195" s="408"/>
      <c r="BP195" s="408"/>
      <c r="BQ195" s="408"/>
      <c r="BR195" s="408"/>
      <c r="BS195" s="408"/>
      <c r="BT195" s="408"/>
      <c r="BU195" s="408"/>
      <c r="BV195" s="408">
        <v>1339.7614009925378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3801.4083000000001</v>
      </c>
      <c r="CJ195" s="408">
        <v>-245.17647000000034</v>
      </c>
      <c r="CK195" s="408"/>
      <c r="CL195" s="408"/>
      <c r="CM195" s="408"/>
      <c r="CN195" s="408"/>
      <c r="CO195" s="408">
        <v>-404.96186999999998</v>
      </c>
      <c r="CP195" s="408">
        <v>161.34207000000004</v>
      </c>
      <c r="CQ195" s="408">
        <v>30</v>
      </c>
      <c r="CR195" s="408">
        <v>193.60445238402326</v>
      </c>
      <c r="CS195" s="408">
        <v>4.0460783868875083</v>
      </c>
      <c r="CT195" s="408">
        <v>18.866266612396799</v>
      </c>
      <c r="CU195" s="408">
        <v>0</v>
      </c>
      <c r="CV195" s="408">
        <v>0</v>
      </c>
      <c r="CW195" s="408">
        <v>0</v>
      </c>
      <c r="CX195" s="408">
        <v>0</v>
      </c>
      <c r="CY195" s="408">
        <v>0</v>
      </c>
      <c r="CZ195" s="408">
        <v>18.922390034639648</v>
      </c>
      <c r="DA195" s="408">
        <v>0</v>
      </c>
      <c r="DB195" s="408">
        <v>0</v>
      </c>
      <c r="DC195" s="408">
        <v>161.32385354728558</v>
      </c>
      <c r="DD195" s="408">
        <v>0</v>
      </c>
      <c r="DE195" s="408">
        <v>0</v>
      </c>
      <c r="DF195" s="408">
        <v>0</v>
      </c>
      <c r="DG195" s="408">
        <v>8.4665826163903688</v>
      </c>
      <c r="DH195" s="408">
        <v>0</v>
      </c>
      <c r="DI195" s="408">
        <v>-15.617670754374103</v>
      </c>
      <c r="DJ195" s="408"/>
      <c r="DK195" s="408">
        <v>0</v>
      </c>
      <c r="DL195" s="408">
        <v>0</v>
      </c>
      <c r="DM195" s="408">
        <v>0</v>
      </c>
      <c r="DN195" s="408">
        <v>0</v>
      </c>
      <c r="DO195" s="408">
        <v>-2.1476807515456073</v>
      </c>
      <c r="DP195" s="408">
        <v>-0.25536730765634097</v>
      </c>
      <c r="DQ195" s="408">
        <v>0</v>
      </c>
      <c r="DR195" s="408">
        <v>0</v>
      </c>
      <c r="DS195" s="408"/>
      <c r="DT195" s="408"/>
      <c r="DU195" s="408"/>
      <c r="DV195" s="408">
        <v>1760.1687915964546</v>
      </c>
      <c r="DW195" s="408">
        <v>0</v>
      </c>
      <c r="DX195" s="408">
        <v>0</v>
      </c>
      <c r="DY195" s="408">
        <v>-404.96187000000009</v>
      </c>
      <c r="DZ195" s="408">
        <v>161.34207000000015</v>
      </c>
      <c r="EA195" s="408">
        <v>0</v>
      </c>
      <c r="EB195" s="408">
        <v>0</v>
      </c>
      <c r="EC195" s="408">
        <v>-437.25578481208208</v>
      </c>
      <c r="ED195" s="408">
        <v>0</v>
      </c>
      <c r="EE195" s="408">
        <v>0</v>
      </c>
      <c r="EF195" s="408">
        <v>0</v>
      </c>
      <c r="EG195" s="408">
        <v>0</v>
      </c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>
        <v>0</v>
      </c>
      <c r="EN195" s="408">
        <v>0</v>
      </c>
      <c r="EO195" s="408">
        <v>0</v>
      </c>
      <c r="EP195" s="408">
        <v>117.45719231005438</v>
      </c>
      <c r="EQ195" s="408">
        <v>0</v>
      </c>
      <c r="ER195" s="408">
        <v>0</v>
      </c>
      <c r="ES195" s="408">
        <v>0</v>
      </c>
      <c r="ET195" s="408">
        <v>0</v>
      </c>
      <c r="EU195" s="408">
        <v>0</v>
      </c>
      <c r="EV195" s="408">
        <v>240</v>
      </c>
      <c r="EW195" s="408">
        <v>0</v>
      </c>
      <c r="EX195" s="408">
        <v>0</v>
      </c>
      <c r="EY195" s="408">
        <v>0</v>
      </c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194</v>
      </c>
      <c r="B196" s="408" t="s">
        <v>2238</v>
      </c>
      <c r="C196" s="408" t="s">
        <v>2235</v>
      </c>
      <c r="D196" s="408" t="s">
        <v>1958</v>
      </c>
      <c r="E196" s="408" t="s">
        <v>2252</v>
      </c>
      <c r="F196" s="408" t="s">
        <v>1322</v>
      </c>
      <c r="G196" s="408" t="s">
        <v>1322</v>
      </c>
      <c r="H196" s="408" t="s">
        <v>1322</v>
      </c>
      <c r="I196" s="408" t="s">
        <v>1322</v>
      </c>
      <c r="J196" s="408" t="s">
        <v>2236</v>
      </c>
      <c r="K196" s="826">
        <v>44440</v>
      </c>
      <c r="L196" s="408">
        <v>0</v>
      </c>
      <c r="M196" s="408">
        <v>0</v>
      </c>
      <c r="N196" s="408">
        <v>1.119</v>
      </c>
      <c r="O196" s="408">
        <v>1.119</v>
      </c>
      <c r="P196" s="408">
        <v>1.119</v>
      </c>
      <c r="Q196" s="408">
        <v>1.119</v>
      </c>
      <c r="R196" s="408"/>
      <c r="S196" s="408">
        <v>368.24</v>
      </c>
      <c r="T196" s="408">
        <v>173.25</v>
      </c>
      <c r="U196" s="408"/>
      <c r="V196" s="408">
        <v>605.92731000000003</v>
      </c>
      <c r="W196" s="408">
        <v>605.92731000000003</v>
      </c>
      <c r="X196" s="408">
        <v>569.44791000000009</v>
      </c>
      <c r="Y196" s="408">
        <v>0</v>
      </c>
      <c r="Z196" s="408">
        <v>68.869060000095473</v>
      </c>
      <c r="AA196" s="408">
        <v>0</v>
      </c>
      <c r="AB196" s="408">
        <v>0</v>
      </c>
      <c r="AC196" s="408">
        <v>2.8641223113016374</v>
      </c>
      <c r="AD196" s="408">
        <v>2.7517792959812004</v>
      </c>
      <c r="AE196" s="408">
        <v>263.56602138317044</v>
      </c>
      <c r="AF196" s="408">
        <v>190.61098658496525</v>
      </c>
      <c r="AG196" s="408">
        <v>3.2531943206756591</v>
      </c>
      <c r="AH196" s="408">
        <v>0</v>
      </c>
      <c r="AI196" s="408">
        <v>0</v>
      </c>
      <c r="AJ196" s="408">
        <v>0</v>
      </c>
      <c r="AK196" s="408">
        <v>0</v>
      </c>
      <c r="AL196" s="408">
        <v>10.640604880327134</v>
      </c>
      <c r="AM196" s="408"/>
      <c r="AN196" s="408">
        <v>1.3515916633718836</v>
      </c>
      <c r="AO196" s="408">
        <v>6.0799696179273823</v>
      </c>
      <c r="AP196" s="408">
        <v>28.350001368937338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</v>
      </c>
      <c r="BF196" s="408">
        <v>0</v>
      </c>
      <c r="BG196" s="408">
        <v>10.003627052215261</v>
      </c>
      <c r="BH196" s="408">
        <v>0</v>
      </c>
      <c r="BI196" s="408">
        <v>0.5</v>
      </c>
      <c r="BJ196" s="408">
        <v>4.3600000000000003</v>
      </c>
      <c r="BK196" s="408">
        <v>443.48</v>
      </c>
      <c r="BL196" s="408">
        <v>1</v>
      </c>
      <c r="BM196" s="408"/>
      <c r="BN196" s="408"/>
      <c r="BO196" s="408"/>
      <c r="BP196" s="408"/>
      <c r="BQ196" s="408"/>
      <c r="BR196" s="408"/>
      <c r="BS196" s="408"/>
      <c r="BT196" s="408"/>
      <c r="BU196" s="408"/>
      <c r="BV196" s="408">
        <v>200.6146136371805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569.95680000000004</v>
      </c>
      <c r="CJ196" s="408">
        <v>-36.000509999999963</v>
      </c>
      <c r="CK196" s="408"/>
      <c r="CL196" s="408"/>
      <c r="CM196" s="408"/>
      <c r="CN196" s="408"/>
      <c r="CO196" s="408">
        <v>-60.63861</v>
      </c>
      <c r="CP196" s="408">
        <v>24.159210000000005</v>
      </c>
      <c r="CQ196" s="408">
        <v>30</v>
      </c>
      <c r="CR196" s="408">
        <v>28.990148831489705</v>
      </c>
      <c r="CS196" s="408">
        <v>0.60585597684024162</v>
      </c>
      <c r="CT196" s="408">
        <v>2.8250170399132912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2.8334209084386153</v>
      </c>
      <c r="DA196" s="408">
        <v>0</v>
      </c>
      <c r="DB196" s="408">
        <v>0</v>
      </c>
      <c r="DC196" s="408">
        <v>24.156482285482724</v>
      </c>
      <c r="DD196" s="408">
        <v>0</v>
      </c>
      <c r="DE196" s="408">
        <v>0</v>
      </c>
      <c r="DF196" s="408">
        <v>0</v>
      </c>
      <c r="DG196" s="408">
        <v>1.2677781276248918</v>
      </c>
      <c r="DH196" s="408">
        <v>0</v>
      </c>
      <c r="DI196" s="408">
        <v>-2.3385753478047064</v>
      </c>
      <c r="DJ196" s="408"/>
      <c r="DK196" s="408">
        <v>0</v>
      </c>
      <c r="DL196" s="408">
        <v>0</v>
      </c>
      <c r="DM196" s="408">
        <v>0</v>
      </c>
      <c r="DN196" s="408">
        <v>0</v>
      </c>
      <c r="DO196" s="408">
        <v>-0.32159169824428524</v>
      </c>
      <c r="DP196" s="408">
        <v>-3.8238460761065962E-2</v>
      </c>
      <c r="DQ196" s="408">
        <v>0</v>
      </c>
      <c r="DR196" s="408">
        <v>0</v>
      </c>
      <c r="DS196" s="408"/>
      <c r="DT196" s="408"/>
      <c r="DU196" s="408"/>
      <c r="DV196" s="408">
        <v>263.56602138317044</v>
      </c>
      <c r="DW196" s="408">
        <v>0</v>
      </c>
      <c r="DX196" s="408">
        <v>0</v>
      </c>
      <c r="DY196" s="408">
        <v>-60.638609999999971</v>
      </c>
      <c r="DZ196" s="408">
        <v>24.159210000000002</v>
      </c>
      <c r="EA196" s="408">
        <v>0</v>
      </c>
      <c r="EB196" s="408">
        <v>0</v>
      </c>
      <c r="EC196" s="408">
        <v>-65.474270467646164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17.587929639361814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240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195</v>
      </c>
      <c r="B197" s="408" t="s">
        <v>1036</v>
      </c>
      <c r="C197" s="408" t="s">
        <v>2235</v>
      </c>
      <c r="D197" s="408" t="s">
        <v>2245</v>
      </c>
      <c r="E197" s="408" t="s">
        <v>974</v>
      </c>
      <c r="F197" s="408" t="s">
        <v>2253</v>
      </c>
      <c r="G197" s="408" t="s">
        <v>2254</v>
      </c>
      <c r="H197" s="408" t="s">
        <v>1322</v>
      </c>
      <c r="I197" s="408" t="s">
        <v>1322</v>
      </c>
      <c r="J197" s="408" t="s">
        <v>2236</v>
      </c>
      <c r="K197" s="826">
        <v>44440</v>
      </c>
      <c r="L197" s="408">
        <v>0</v>
      </c>
      <c r="M197" s="408">
        <v>0</v>
      </c>
      <c r="N197" s="408">
        <v>0</v>
      </c>
      <c r="O197" s="408">
        <v>0</v>
      </c>
      <c r="P197" s="408">
        <v>0</v>
      </c>
      <c r="Q197" s="408">
        <v>0</v>
      </c>
      <c r="R197" s="408"/>
      <c r="S197" s="408"/>
      <c r="T197" s="408"/>
      <c r="U197" s="408"/>
      <c r="V197" s="408"/>
      <c r="W197" s="408"/>
      <c r="X197" s="408"/>
      <c r="Y197" s="408"/>
      <c r="Z197" s="408"/>
      <c r="AA197" s="408">
        <v>0</v>
      </c>
      <c r="AB197" s="408"/>
      <c r="AC197" s="408"/>
      <c r="AD197" s="408"/>
      <c r="AE197" s="408"/>
      <c r="AF197" s="408"/>
      <c r="AG197" s="408"/>
      <c r="AH197" s="408"/>
      <c r="AI197" s="408"/>
      <c r="AJ197" s="408"/>
      <c r="AK197" s="408"/>
      <c r="AL197" s="408"/>
      <c r="AM197" s="408"/>
      <c r="AN197" s="408"/>
      <c r="AO197" s="408"/>
      <c r="AP197" s="408"/>
      <c r="AQ197" s="408"/>
      <c r="AR197" s="408"/>
      <c r="AS197" s="408"/>
      <c r="AT197" s="408"/>
      <c r="AU197" s="408"/>
      <c r="AV197" s="408"/>
      <c r="AW197" s="408"/>
      <c r="AX197" s="408"/>
      <c r="AY197" s="408"/>
      <c r="AZ197" s="408">
        <v>0</v>
      </c>
      <c r="BA197" s="408"/>
      <c r="BB197" s="408"/>
      <c r="BC197" s="408"/>
      <c r="BD197" s="408"/>
      <c r="BE197" s="408"/>
      <c r="BF197" s="408"/>
      <c r="BG197" s="408"/>
      <c r="BH197" s="408"/>
      <c r="BI197" s="408">
        <v>0.19</v>
      </c>
      <c r="BJ197" s="408">
        <v>1.93</v>
      </c>
      <c r="BK197" s="408">
        <v>32.92</v>
      </c>
      <c r="BL197" s="408">
        <v>4</v>
      </c>
      <c r="BM197" s="408"/>
      <c r="BN197" s="408"/>
      <c r="BO197" s="408"/>
      <c r="BP197" s="408"/>
      <c r="BQ197" s="408"/>
      <c r="BR197" s="408"/>
      <c r="BS197" s="408"/>
      <c r="BT197" s="408"/>
      <c r="BU197" s="408"/>
      <c r="BV197" s="408"/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/>
      <c r="CJ197" s="408">
        <v>-0.03</v>
      </c>
      <c r="CK197" s="408"/>
      <c r="CL197" s="408"/>
      <c r="CM197" s="408"/>
      <c r="CN197" s="408"/>
      <c r="CO197" s="408">
        <v>0</v>
      </c>
      <c r="CP197" s="408">
        <v>0</v>
      </c>
      <c r="CQ197" s="408">
        <v>30</v>
      </c>
      <c r="CR197" s="408"/>
      <c r="CS197" s="408"/>
      <c r="CT197" s="408"/>
      <c r="CU197" s="408"/>
      <c r="CV197" s="408"/>
      <c r="CW197" s="408"/>
      <c r="CX197" s="408"/>
      <c r="CY197" s="408"/>
      <c r="CZ197" s="408"/>
      <c r="DA197" s="408"/>
      <c r="DB197" s="408"/>
      <c r="DC197" s="408"/>
      <c r="DD197" s="408"/>
      <c r="DE197" s="408"/>
      <c r="DF197" s="408"/>
      <c r="DG197" s="408"/>
      <c r="DH197" s="408"/>
      <c r="DI197" s="408"/>
      <c r="DJ197" s="408"/>
      <c r="DK197" s="408">
        <v>0</v>
      </c>
      <c r="DL197" s="408"/>
      <c r="DM197" s="408"/>
      <c r="DN197" s="408"/>
      <c r="DO197" s="408"/>
      <c r="DP197" s="408"/>
      <c r="DQ197" s="408"/>
      <c r="DR197" s="408"/>
      <c r="DS197" s="408"/>
      <c r="DT197" s="408"/>
      <c r="DU197" s="408"/>
      <c r="DV197" s="408"/>
      <c r="DW197" s="408"/>
      <c r="DX197" s="408"/>
      <c r="DY197" s="408"/>
      <c r="DZ197" s="408"/>
      <c r="EA197" s="408"/>
      <c r="EB197" s="408"/>
      <c r="EC197" s="408"/>
      <c r="ED197" s="408"/>
      <c r="EE197" s="408"/>
      <c r="EF197" s="408"/>
      <c r="EG197" s="408"/>
      <c r="EH197" s="408"/>
      <c r="EI197" s="408"/>
      <c r="EJ197" s="408"/>
      <c r="EK197" s="408"/>
      <c r="EL197" s="408"/>
      <c r="EM197" s="408"/>
      <c r="EN197" s="408"/>
      <c r="EO197" s="408"/>
      <c r="EP197" s="408"/>
      <c r="EQ197" s="408"/>
      <c r="ER197" s="408"/>
      <c r="ES197" s="408"/>
      <c r="ET197" s="408"/>
      <c r="EU197" s="408"/>
      <c r="EV197" s="408">
        <v>240</v>
      </c>
      <c r="EW197" s="408"/>
      <c r="EX197" s="408"/>
      <c r="EY197" s="408"/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196</v>
      </c>
      <c r="B198" s="408" t="s">
        <v>1036</v>
      </c>
      <c r="C198" s="408" t="s">
        <v>2235</v>
      </c>
      <c r="D198" s="408" t="s">
        <v>2245</v>
      </c>
      <c r="E198" s="408" t="s">
        <v>974</v>
      </c>
      <c r="F198" s="408" t="s">
        <v>2253</v>
      </c>
      <c r="G198" s="408" t="s">
        <v>2254</v>
      </c>
      <c r="H198" s="408" t="s">
        <v>1322</v>
      </c>
      <c r="I198" s="408" t="s">
        <v>1322</v>
      </c>
      <c r="J198" s="408" t="s">
        <v>2236</v>
      </c>
      <c r="K198" s="826">
        <v>44440</v>
      </c>
      <c r="L198" s="408">
        <v>0</v>
      </c>
      <c r="M198" s="408">
        <v>0</v>
      </c>
      <c r="N198" s="408">
        <v>0.45900000000000002</v>
      </c>
      <c r="O198" s="408">
        <v>0.45900000000000002</v>
      </c>
      <c r="P198" s="408">
        <v>0.45900000000000002</v>
      </c>
      <c r="Q198" s="408">
        <v>0.45900000000000002</v>
      </c>
      <c r="R198" s="408"/>
      <c r="S198" s="408">
        <v>368.24</v>
      </c>
      <c r="T198" s="408">
        <v>173.25</v>
      </c>
      <c r="U198" s="408"/>
      <c r="V198" s="408">
        <v>248.54391000000001</v>
      </c>
      <c r="W198" s="408">
        <v>248.54391000000001</v>
      </c>
      <c r="X198" s="408">
        <v>233.58051</v>
      </c>
      <c r="Y198" s="408">
        <v>0</v>
      </c>
      <c r="Z198" s="408">
        <v>28.249239088511015</v>
      </c>
      <c r="AA198" s="408">
        <v>0</v>
      </c>
      <c r="AB198" s="408">
        <v>0</v>
      </c>
      <c r="AC198" s="408">
        <v>1.1748276504802964</v>
      </c>
      <c r="AD198" s="408">
        <v>1.1287459310593129</v>
      </c>
      <c r="AE198" s="408">
        <v>108.11153155931657</v>
      </c>
      <c r="AF198" s="408">
        <v>78.186275998658672</v>
      </c>
      <c r="AG198" s="408">
        <v>1.3344201905184339</v>
      </c>
      <c r="AH198" s="408">
        <v>0</v>
      </c>
      <c r="AI198" s="408">
        <v>0</v>
      </c>
      <c r="AJ198" s="408">
        <v>0</v>
      </c>
      <c r="AK198" s="408">
        <v>0</v>
      </c>
      <c r="AL198" s="408">
        <v>4.3646448972923633</v>
      </c>
      <c r="AM198" s="408"/>
      <c r="AN198" s="408">
        <v>0.5544062318924885</v>
      </c>
      <c r="AO198" s="408">
        <v>2.4939285564152534</v>
      </c>
      <c r="AP198" s="408">
        <v>11.628820936856336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0</v>
      </c>
      <c r="BF198" s="408">
        <v>0</v>
      </c>
      <c r="BG198" s="408">
        <v>4.103364447691515</v>
      </c>
      <c r="BH198" s="408">
        <v>0</v>
      </c>
      <c r="BI198" s="408">
        <v>0</v>
      </c>
      <c r="BJ198" s="408">
        <v>0</v>
      </c>
      <c r="BK198" s="408">
        <v>0</v>
      </c>
      <c r="BL198" s="408">
        <v>0</v>
      </c>
      <c r="BM198" s="408"/>
      <c r="BN198" s="408"/>
      <c r="BO198" s="408"/>
      <c r="BP198" s="408"/>
      <c r="BQ198" s="408"/>
      <c r="BR198" s="408">
        <v>28.026540000000004</v>
      </c>
      <c r="BS198" s="408"/>
      <c r="BT198" s="408"/>
      <c r="BU198" s="408"/>
      <c r="BV198" s="408">
        <v>82.289640446350191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206.0018</v>
      </c>
      <c r="CJ198" s="408">
        <v>-12.746289999999988</v>
      </c>
      <c r="CK198" s="408"/>
      <c r="CL198" s="408"/>
      <c r="CM198" s="408"/>
      <c r="CN198" s="408"/>
      <c r="CO198" s="408">
        <v>-24.87321</v>
      </c>
      <c r="CP198" s="408">
        <v>9.909810000000002</v>
      </c>
      <c r="CQ198" s="408">
        <v>30</v>
      </c>
      <c r="CR198" s="408">
        <v>11.891401531415312</v>
      </c>
      <c r="CS198" s="408">
        <v>0.248514650017579</v>
      </c>
      <c r="CT198" s="408">
        <v>1.1587871504201956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1.1622343136490836</v>
      </c>
      <c r="DA198" s="408">
        <v>0</v>
      </c>
      <c r="DB198" s="408">
        <v>0</v>
      </c>
      <c r="DC198" s="408">
        <v>9.9086911251443865</v>
      </c>
      <c r="DD198" s="408">
        <v>0</v>
      </c>
      <c r="DE198" s="408">
        <v>0</v>
      </c>
      <c r="DF198" s="408">
        <v>0</v>
      </c>
      <c r="DG198" s="408">
        <v>0.52002695315444658</v>
      </c>
      <c r="DH198" s="408">
        <v>0</v>
      </c>
      <c r="DI198" s="408">
        <v>-0.95925476733008352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-0.13191294860958624</v>
      </c>
      <c r="DP198" s="408">
        <v>-1.5684945030678521E-2</v>
      </c>
      <c r="DQ198" s="408">
        <v>0</v>
      </c>
      <c r="DR198" s="408">
        <v>0</v>
      </c>
      <c r="DS198" s="408"/>
      <c r="DT198" s="408"/>
      <c r="DU198" s="408"/>
      <c r="DV198" s="408">
        <v>108.11153155931657</v>
      </c>
      <c r="DW198" s="408">
        <v>0</v>
      </c>
      <c r="DX198" s="408">
        <v>0</v>
      </c>
      <c r="DY198" s="408">
        <v>-24.87321</v>
      </c>
      <c r="DZ198" s="408">
        <v>9.9098100000000073</v>
      </c>
      <c r="EA198" s="408">
        <v>0</v>
      </c>
      <c r="EB198" s="408">
        <v>0</v>
      </c>
      <c r="EC198" s="408">
        <v>-26.856738288337439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7.214351835984874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240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197</v>
      </c>
      <c r="B199" s="408" t="s">
        <v>1036</v>
      </c>
      <c r="C199" s="408" t="s">
        <v>2235</v>
      </c>
      <c r="D199" s="408" t="s">
        <v>2245</v>
      </c>
      <c r="E199" s="408" t="s">
        <v>974</v>
      </c>
      <c r="F199" s="408" t="s">
        <v>2253</v>
      </c>
      <c r="G199" s="408" t="s">
        <v>2255</v>
      </c>
      <c r="H199" s="408" t="s">
        <v>1322</v>
      </c>
      <c r="I199" s="408" t="s">
        <v>1322</v>
      </c>
      <c r="J199" s="408" t="s">
        <v>2236</v>
      </c>
      <c r="K199" s="826">
        <v>44440</v>
      </c>
      <c r="L199" s="408">
        <v>0</v>
      </c>
      <c r="M199" s="408">
        <v>0</v>
      </c>
      <c r="N199" s="408">
        <v>0.27500000000000002</v>
      </c>
      <c r="O199" s="408">
        <v>0.11</v>
      </c>
      <c r="P199" s="408">
        <v>0.27500000000000002</v>
      </c>
      <c r="Q199" s="408">
        <v>0.11</v>
      </c>
      <c r="R199" s="408"/>
      <c r="S199" s="408">
        <v>368.24</v>
      </c>
      <c r="T199" s="408">
        <v>173.25</v>
      </c>
      <c r="U199" s="408"/>
      <c r="V199" s="408">
        <v>148.90975</v>
      </c>
      <c r="W199" s="408">
        <v>148.90975</v>
      </c>
      <c r="X199" s="408">
        <v>139.94475</v>
      </c>
      <c r="Y199" s="408">
        <v>0</v>
      </c>
      <c r="Z199" s="408">
        <v>16.92492537982686</v>
      </c>
      <c r="AA199" s="408">
        <v>0</v>
      </c>
      <c r="AB199" s="408">
        <v>0</v>
      </c>
      <c r="AC199" s="408">
        <v>0.70387277534222559</v>
      </c>
      <c r="AD199" s="408">
        <v>0.67626390205078657</v>
      </c>
      <c r="AE199" s="408">
        <v>64.772704093272452</v>
      </c>
      <c r="AF199" s="408">
        <v>46.843629410961078</v>
      </c>
      <c r="AG199" s="408">
        <v>0.79948922089884389</v>
      </c>
      <c r="AH199" s="408">
        <v>0</v>
      </c>
      <c r="AI199" s="408">
        <v>0</v>
      </c>
      <c r="AJ199" s="408">
        <v>0</v>
      </c>
      <c r="AK199" s="408">
        <v>0</v>
      </c>
      <c r="AL199" s="408">
        <v>2.6149833262644879</v>
      </c>
      <c r="AM199" s="408"/>
      <c r="AN199" s="408">
        <v>0.33216059644974799</v>
      </c>
      <c r="AO199" s="408">
        <v>1.4941837756300538</v>
      </c>
      <c r="AP199" s="408">
        <v>6.9671585133670852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>
        <v>0</v>
      </c>
      <c r="BG199" s="408">
        <v>2.458442751884895</v>
      </c>
      <c r="BH199" s="408">
        <v>0</v>
      </c>
      <c r="BI199" s="408">
        <v>0</v>
      </c>
      <c r="BJ199" s="408">
        <v>0</v>
      </c>
      <c r="BK199" s="408">
        <v>0</v>
      </c>
      <c r="BL199" s="408">
        <v>0</v>
      </c>
      <c r="BM199" s="408"/>
      <c r="BN199" s="408"/>
      <c r="BO199" s="408"/>
      <c r="BP199" s="408"/>
      <c r="BQ199" s="408"/>
      <c r="BR199" s="408"/>
      <c r="BS199" s="408">
        <v>90.683450000000008</v>
      </c>
      <c r="BT199" s="408"/>
      <c r="BU199" s="408"/>
      <c r="BV199" s="408">
        <v>49.302072162845974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49.261300000000006</v>
      </c>
      <c r="CJ199" s="408">
        <v>-3.1847999999999885</v>
      </c>
      <c r="CK199" s="408"/>
      <c r="CL199" s="408"/>
      <c r="CM199" s="408"/>
      <c r="CN199" s="408"/>
      <c r="CO199" s="408">
        <v>-14.90225</v>
      </c>
      <c r="CP199" s="408">
        <v>5.9372500000000015</v>
      </c>
      <c r="CQ199" s="408">
        <v>30</v>
      </c>
      <c r="CR199" s="408">
        <v>7.1244780416976425</v>
      </c>
      <c r="CS199" s="408">
        <v>0.14889221950944287</v>
      </c>
      <c r="CT199" s="408">
        <v>0.69426245395545561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0.69632774782897155</v>
      </c>
      <c r="DA199" s="408">
        <v>0</v>
      </c>
      <c r="DB199" s="408">
        <v>0</v>
      </c>
      <c r="DC199" s="408">
        <v>5.9365796501409704</v>
      </c>
      <c r="DD199" s="408">
        <v>0</v>
      </c>
      <c r="DE199" s="408">
        <v>0</v>
      </c>
      <c r="DF199" s="408">
        <v>0</v>
      </c>
      <c r="DG199" s="408">
        <v>0.31156298936268545</v>
      </c>
      <c r="DH199" s="408">
        <v>0</v>
      </c>
      <c r="DI199" s="408">
        <v>-0.57471690853109436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-7.903281234779147E-2</v>
      </c>
      <c r="DP199" s="408">
        <v>-9.3972982209947209E-3</v>
      </c>
      <c r="DQ199" s="408">
        <v>0</v>
      </c>
      <c r="DR199" s="408">
        <v>0</v>
      </c>
      <c r="DS199" s="408"/>
      <c r="DT199" s="408"/>
      <c r="DU199" s="408"/>
      <c r="DV199" s="408">
        <v>64.772704093272452</v>
      </c>
      <c r="DW199" s="408">
        <v>0</v>
      </c>
      <c r="DX199" s="408">
        <v>0</v>
      </c>
      <c r="DY199" s="408">
        <v>-14.902249999999995</v>
      </c>
      <c r="DZ199" s="408">
        <v>5.9372499999999988</v>
      </c>
      <c r="EA199" s="408">
        <v>0</v>
      </c>
      <c r="EB199" s="408">
        <v>0</v>
      </c>
      <c r="EC199" s="408">
        <v>-16.090638408045301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4.3223240847403925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240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198</v>
      </c>
      <c r="B200" s="408" t="s">
        <v>1036</v>
      </c>
      <c r="C200" s="408" t="s">
        <v>2235</v>
      </c>
      <c r="D200" s="408" t="s">
        <v>1955</v>
      </c>
      <c r="E200" s="408" t="s">
        <v>969</v>
      </c>
      <c r="F200" s="408" t="s">
        <v>969</v>
      </c>
      <c r="G200" s="408" t="s">
        <v>1322</v>
      </c>
      <c r="H200" s="408" t="s">
        <v>1322</v>
      </c>
      <c r="I200" s="408" t="s">
        <v>1322</v>
      </c>
      <c r="J200" s="408" t="s">
        <v>2236</v>
      </c>
      <c r="K200" s="826">
        <v>44470</v>
      </c>
      <c r="L200" s="408">
        <v>0</v>
      </c>
      <c r="M200" s="408">
        <v>0</v>
      </c>
      <c r="N200" s="408">
        <v>8388.2980000000007</v>
      </c>
      <c r="O200" s="408">
        <v>8388.2980000000007</v>
      </c>
      <c r="P200" s="408">
        <v>8388.2980000000007</v>
      </c>
      <c r="Q200" s="408">
        <v>8388.2980000000007</v>
      </c>
      <c r="R200" s="408"/>
      <c r="S200" s="408">
        <v>368.24</v>
      </c>
      <c r="T200" s="408">
        <v>173.25</v>
      </c>
      <c r="U200" s="408"/>
      <c r="V200" s="408">
        <v>4542179.4840200003</v>
      </c>
      <c r="W200" s="408">
        <v>4542179.4840200003</v>
      </c>
      <c r="X200" s="408">
        <v>4268720.9692200003</v>
      </c>
      <c r="Y200" s="408">
        <v>0</v>
      </c>
      <c r="Z200" s="408">
        <v>516259.33714091236</v>
      </c>
      <c r="AA200" s="408">
        <v>0</v>
      </c>
      <c r="AB200" s="408">
        <v>0</v>
      </c>
      <c r="AC200" s="408">
        <v>21470.162158755054</v>
      </c>
      <c r="AD200" s="408">
        <v>20628.011407435672</v>
      </c>
      <c r="AE200" s="408">
        <v>1975755.4334552335</v>
      </c>
      <c r="AF200" s="408">
        <v>1428866.62872984</v>
      </c>
      <c r="AG200" s="408">
        <v>24386.74120977211</v>
      </c>
      <c r="AH200" s="408">
        <v>0</v>
      </c>
      <c r="AI200" s="408">
        <v>0</v>
      </c>
      <c r="AJ200" s="408">
        <v>0</v>
      </c>
      <c r="AK200" s="408">
        <v>0</v>
      </c>
      <c r="AL200" s="408">
        <v>79764.579657228183</v>
      </c>
      <c r="AM200" s="408"/>
      <c r="AN200" s="408">
        <v>10131.862061375376</v>
      </c>
      <c r="AO200" s="408">
        <v>45576.941006363741</v>
      </c>
      <c r="AP200" s="408">
        <v>212518.55208494581</v>
      </c>
      <c r="AQ200" s="408">
        <v>0</v>
      </c>
      <c r="AR200" s="408">
        <v>0</v>
      </c>
      <c r="AS200" s="408">
        <v>0</v>
      </c>
      <c r="AT200" s="408">
        <v>0</v>
      </c>
      <c r="AU200" s="408">
        <v>0</v>
      </c>
      <c r="AV200" s="408">
        <v>0</v>
      </c>
      <c r="AW200" s="408">
        <v>0</v>
      </c>
      <c r="AX200" s="408">
        <v>0</v>
      </c>
      <c r="AY200" s="408">
        <v>0</v>
      </c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>
        <v>0</v>
      </c>
      <c r="BG200" s="408">
        <v>74989.637886365672</v>
      </c>
      <c r="BH200" s="408">
        <v>0</v>
      </c>
      <c r="BI200" s="408">
        <v>155.08000000000001</v>
      </c>
      <c r="BJ200" s="408">
        <v>32933.480000000003</v>
      </c>
      <c r="BK200" s="408">
        <v>2320595.75</v>
      </c>
      <c r="BL200" s="408">
        <v>46511</v>
      </c>
      <c r="BM200" s="408"/>
      <c r="BN200" s="408"/>
      <c r="BO200" s="408"/>
      <c r="BP200" s="408"/>
      <c r="BQ200" s="408"/>
      <c r="BR200" s="408"/>
      <c r="BS200" s="408"/>
      <c r="BT200" s="408"/>
      <c r="BU200" s="408"/>
      <c r="BV200" s="408">
        <v>1503856.2666162057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4268721.9869999997</v>
      </c>
      <c r="CJ200" s="408">
        <v>-273457.52701999992</v>
      </c>
      <c r="CK200" s="408"/>
      <c r="CL200" s="408"/>
      <c r="CM200" s="408"/>
      <c r="CN200" s="408"/>
      <c r="CO200" s="408">
        <v>-454561.86862000002</v>
      </c>
      <c r="CP200" s="408">
        <v>181103.35382000005</v>
      </c>
      <c r="CQ200" s="408">
        <v>31</v>
      </c>
      <c r="CR200" s="408">
        <v>217317.25421169586</v>
      </c>
      <c r="CS200" s="408">
        <v>4541.6447531877129</v>
      </c>
      <c r="CT200" s="408">
        <v>21177.019469053223</v>
      </c>
      <c r="CU200" s="408">
        <v>0</v>
      </c>
      <c r="CV200" s="408">
        <v>0</v>
      </c>
      <c r="CW200" s="408">
        <v>0</v>
      </c>
      <c r="CX200" s="408">
        <v>0</v>
      </c>
      <c r="CY200" s="408">
        <v>0</v>
      </c>
      <c r="CZ200" s="408">
        <v>21240.016925302789</v>
      </c>
      <c r="DA200" s="408">
        <v>0</v>
      </c>
      <c r="DB200" s="408">
        <v>0</v>
      </c>
      <c r="DC200" s="408">
        <v>181082.90620406624</v>
      </c>
      <c r="DD200" s="408">
        <v>0</v>
      </c>
      <c r="DE200" s="408">
        <v>0</v>
      </c>
      <c r="DF200" s="408">
        <v>0</v>
      </c>
      <c r="DG200" s="408">
        <v>9503.5752747092192</v>
      </c>
      <c r="DH200" s="408">
        <v>0</v>
      </c>
      <c r="DI200" s="408">
        <v>-17530.533434172976</v>
      </c>
      <c r="DJ200" s="408"/>
      <c r="DK200" s="408">
        <v>0</v>
      </c>
      <c r="DL200" s="408">
        <v>0</v>
      </c>
      <c r="DM200" s="408">
        <v>0</v>
      </c>
      <c r="DN200" s="408">
        <v>0</v>
      </c>
      <c r="DO200" s="408">
        <v>-2410.7301154594606</v>
      </c>
      <c r="DP200" s="408">
        <v>-286.64486499117811</v>
      </c>
      <c r="DQ200" s="408">
        <v>0</v>
      </c>
      <c r="DR200" s="408">
        <v>0</v>
      </c>
      <c r="DS200" s="408"/>
      <c r="DT200" s="408"/>
      <c r="DU200" s="408"/>
      <c r="DV200" s="408">
        <v>1975755.4334552335</v>
      </c>
      <c r="DW200" s="408">
        <v>0</v>
      </c>
      <c r="DX200" s="408">
        <v>0</v>
      </c>
      <c r="DY200" s="408">
        <v>-454561.86861999985</v>
      </c>
      <c r="DZ200" s="408">
        <v>181103.35382000008</v>
      </c>
      <c r="EA200" s="408">
        <v>0</v>
      </c>
      <c r="EB200" s="408">
        <v>0</v>
      </c>
      <c r="EC200" s="408">
        <v>-490811.16355247144</v>
      </c>
      <c r="ED200" s="408">
        <v>0</v>
      </c>
      <c r="EE200" s="408">
        <v>0</v>
      </c>
      <c r="EF200" s="408">
        <v>0</v>
      </c>
      <c r="EG200" s="408">
        <v>0</v>
      </c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>
        <v>0</v>
      </c>
      <c r="EN200" s="408">
        <v>0</v>
      </c>
      <c r="EO200" s="408">
        <v>0</v>
      </c>
      <c r="EP200" s="408">
        <v>131843.4271831988</v>
      </c>
      <c r="EQ200" s="408">
        <v>0</v>
      </c>
      <c r="ER200" s="408">
        <v>0</v>
      </c>
      <c r="ES200" s="408">
        <v>0</v>
      </c>
      <c r="ET200" s="408">
        <v>0</v>
      </c>
      <c r="EU200" s="408">
        <v>0</v>
      </c>
      <c r="EV200" s="408">
        <v>240</v>
      </c>
      <c r="EW200" s="408">
        <v>0</v>
      </c>
      <c r="EX200" s="408">
        <v>0</v>
      </c>
      <c r="EY200" s="408">
        <v>0</v>
      </c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199</v>
      </c>
      <c r="B201" s="408" t="s">
        <v>2237</v>
      </c>
      <c r="C201" s="408" t="s">
        <v>2235</v>
      </c>
      <c r="D201" s="408" t="s">
        <v>1955</v>
      </c>
      <c r="E201" s="408" t="s">
        <v>969</v>
      </c>
      <c r="F201" s="408" t="s">
        <v>969</v>
      </c>
      <c r="G201" s="408" t="s">
        <v>1322</v>
      </c>
      <c r="H201" s="408" t="s">
        <v>1322</v>
      </c>
      <c r="I201" s="408" t="s">
        <v>1322</v>
      </c>
      <c r="J201" s="408" t="s">
        <v>2236</v>
      </c>
      <c r="K201" s="826">
        <v>44470</v>
      </c>
      <c r="L201" s="408">
        <v>0</v>
      </c>
      <c r="M201" s="408">
        <v>0</v>
      </c>
      <c r="N201" s="408">
        <v>-0.82</v>
      </c>
      <c r="O201" s="408">
        <v>-0.82</v>
      </c>
      <c r="P201" s="408">
        <v>-0.82</v>
      </c>
      <c r="Q201" s="408">
        <v>-0.82</v>
      </c>
      <c r="R201" s="408"/>
      <c r="S201" s="408">
        <v>368.24</v>
      </c>
      <c r="T201" s="408">
        <v>173.25</v>
      </c>
      <c r="U201" s="408"/>
      <c r="V201" s="408">
        <v>-444.02179999999998</v>
      </c>
      <c r="W201" s="408">
        <v>-444.02179999999998</v>
      </c>
      <c r="X201" s="408">
        <v>-417.28980000000001</v>
      </c>
      <c r="Y201" s="408">
        <v>0</v>
      </c>
      <c r="Z201" s="408">
        <v>-50.467050223483724</v>
      </c>
      <c r="AA201" s="408">
        <v>0</v>
      </c>
      <c r="AB201" s="408">
        <v>0</v>
      </c>
      <c r="AC201" s="408">
        <v>-2.0988206392022724</v>
      </c>
      <c r="AD201" s="408">
        <v>-2.0164959988423452</v>
      </c>
      <c r="AE201" s="408">
        <v>-193.14042675084875</v>
      </c>
      <c r="AF201" s="408">
        <v>-139.67918587995666</v>
      </c>
      <c r="AG201" s="408">
        <v>-2.3839314950438251</v>
      </c>
      <c r="AH201" s="408">
        <v>0</v>
      </c>
      <c r="AI201" s="408">
        <v>0</v>
      </c>
      <c r="AJ201" s="408">
        <v>0</v>
      </c>
      <c r="AK201" s="408">
        <v>0</v>
      </c>
      <c r="AL201" s="408">
        <v>-7.7974048274068357</v>
      </c>
      <c r="AM201" s="408"/>
      <c r="AN201" s="408">
        <v>-0.99044250577743032</v>
      </c>
      <c r="AO201" s="408">
        <v>-4.4553843491514327</v>
      </c>
      <c r="AP201" s="408">
        <v>-20.774799930767308</v>
      </c>
      <c r="AQ201" s="408">
        <v>0</v>
      </c>
      <c r="AR201" s="408">
        <v>0</v>
      </c>
      <c r="AS201" s="408">
        <v>0</v>
      </c>
      <c r="AT201" s="408">
        <v>0</v>
      </c>
      <c r="AU201" s="408">
        <v>0</v>
      </c>
      <c r="AV201" s="408">
        <v>0</v>
      </c>
      <c r="AW201" s="408">
        <v>0</v>
      </c>
      <c r="AX201" s="408">
        <v>0</v>
      </c>
      <c r="AY201" s="408">
        <v>0</v>
      </c>
      <c r="AZ201" s="408">
        <v>0</v>
      </c>
      <c r="BA201" s="408"/>
      <c r="BB201" s="408">
        <v>0</v>
      </c>
      <c r="BC201" s="408">
        <v>0</v>
      </c>
      <c r="BD201" s="408">
        <v>0</v>
      </c>
      <c r="BE201" s="408">
        <v>0</v>
      </c>
      <c r="BF201" s="408">
        <v>0</v>
      </c>
      <c r="BG201" s="408">
        <v>-7.3306292965295032</v>
      </c>
      <c r="BH201" s="408">
        <v>0</v>
      </c>
      <c r="BI201" s="408">
        <v>-0.18</v>
      </c>
      <c r="BJ201" s="408">
        <v>-3.24</v>
      </c>
      <c r="BK201" s="408">
        <v>-204.17</v>
      </c>
      <c r="BL201" s="408">
        <v>0</v>
      </c>
      <c r="BM201" s="408"/>
      <c r="BN201" s="408"/>
      <c r="BO201" s="408"/>
      <c r="BP201" s="408"/>
      <c r="BQ201" s="408"/>
      <c r="BR201" s="408"/>
      <c r="BS201" s="408"/>
      <c r="BT201" s="408"/>
      <c r="BU201" s="408"/>
      <c r="BV201" s="408">
        <v>-147.00981517648617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-417.28980000000001</v>
      </c>
      <c r="CJ201" s="408">
        <v>26.701999999999998</v>
      </c>
      <c r="CK201" s="408"/>
      <c r="CL201" s="408"/>
      <c r="CM201" s="408"/>
      <c r="CN201" s="408"/>
      <c r="CO201" s="408">
        <v>44.435799999999993</v>
      </c>
      <c r="CP201" s="408">
        <v>-17.703800000000001</v>
      </c>
      <c r="CQ201" s="408">
        <v>31</v>
      </c>
      <c r="CR201" s="408">
        <v>-21.243898160698365</v>
      </c>
      <c r="CS201" s="408">
        <v>-0.4439695272645201</v>
      </c>
      <c r="CT201" s="408">
        <v>-2.0701644081580852</v>
      </c>
      <c r="CU201" s="408">
        <v>0</v>
      </c>
      <c r="CV201" s="408">
        <v>0</v>
      </c>
      <c r="CW201" s="408">
        <v>0</v>
      </c>
      <c r="CX201" s="408">
        <v>0</v>
      </c>
      <c r="CY201" s="408">
        <v>0</v>
      </c>
      <c r="CZ201" s="408">
        <v>-2.0763227389809331</v>
      </c>
      <c r="DA201" s="408">
        <v>0</v>
      </c>
      <c r="DB201" s="408">
        <v>0</v>
      </c>
      <c r="DC201" s="408">
        <v>-17.70180113860215</v>
      </c>
      <c r="DD201" s="408">
        <v>0</v>
      </c>
      <c r="DE201" s="408">
        <v>0</v>
      </c>
      <c r="DF201" s="408">
        <v>0</v>
      </c>
      <c r="DG201" s="408">
        <v>-0.92902418646328044</v>
      </c>
      <c r="DH201" s="408">
        <v>0</v>
      </c>
      <c r="DI201" s="408">
        <v>1.7137013272563593</v>
      </c>
      <c r="DJ201" s="408"/>
      <c r="DK201" s="408">
        <v>0</v>
      </c>
      <c r="DL201" s="408">
        <v>0</v>
      </c>
      <c r="DM201" s="408">
        <v>0</v>
      </c>
      <c r="DN201" s="408">
        <v>0</v>
      </c>
      <c r="DO201" s="408">
        <v>0.23566147681886918</v>
      </c>
      <c r="DP201" s="408">
        <v>2.8021034695329794E-2</v>
      </c>
      <c r="DQ201" s="408">
        <v>0</v>
      </c>
      <c r="DR201" s="408">
        <v>0</v>
      </c>
      <c r="DS201" s="408"/>
      <c r="DT201" s="408"/>
      <c r="DU201" s="408"/>
      <c r="DV201" s="408">
        <v>-193.14042675084875</v>
      </c>
      <c r="DW201" s="408">
        <v>0</v>
      </c>
      <c r="DX201" s="408">
        <v>0</v>
      </c>
      <c r="DY201" s="408">
        <v>44.435799999999972</v>
      </c>
      <c r="DZ201" s="408">
        <v>-17.703800000000001</v>
      </c>
      <c r="EA201" s="408">
        <v>0</v>
      </c>
      <c r="EB201" s="408">
        <v>0</v>
      </c>
      <c r="EC201" s="408">
        <v>47.979358162171451</v>
      </c>
      <c r="ED201" s="408">
        <v>0</v>
      </c>
      <c r="EE201" s="408">
        <v>0</v>
      </c>
      <c r="EF201" s="408">
        <v>0</v>
      </c>
      <c r="EG201" s="408">
        <v>0</v>
      </c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>
        <v>0</v>
      </c>
      <c r="EN201" s="408">
        <v>0</v>
      </c>
      <c r="EO201" s="408">
        <v>0</v>
      </c>
      <c r="EP201" s="408">
        <v>-12.888384543589533</v>
      </c>
      <c r="EQ201" s="408">
        <v>0</v>
      </c>
      <c r="ER201" s="408">
        <v>0</v>
      </c>
      <c r="ES201" s="408">
        <v>0</v>
      </c>
      <c r="ET201" s="408">
        <v>0</v>
      </c>
      <c r="EU201" s="408">
        <v>0</v>
      </c>
      <c r="EV201" s="408">
        <v>240</v>
      </c>
      <c r="EW201" s="408">
        <v>0</v>
      </c>
      <c r="EX201" s="408">
        <v>0</v>
      </c>
      <c r="EY201" s="408">
        <v>0</v>
      </c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200</v>
      </c>
      <c r="B202" s="408" t="s">
        <v>2238</v>
      </c>
      <c r="C202" s="408" t="s">
        <v>2235</v>
      </c>
      <c r="D202" s="408" t="s">
        <v>1955</v>
      </c>
      <c r="E202" s="408" t="s">
        <v>969</v>
      </c>
      <c r="F202" s="408" t="s">
        <v>969</v>
      </c>
      <c r="G202" s="408" t="s">
        <v>1322</v>
      </c>
      <c r="H202" s="408" t="s">
        <v>1322</v>
      </c>
      <c r="I202" s="408" t="s">
        <v>1322</v>
      </c>
      <c r="J202" s="408" t="s">
        <v>2236</v>
      </c>
      <c r="K202" s="826">
        <v>44470</v>
      </c>
      <c r="L202" s="408">
        <v>0</v>
      </c>
      <c r="M202" s="408">
        <v>0</v>
      </c>
      <c r="N202" s="408">
        <v>99.709000000000003</v>
      </c>
      <c r="O202" s="408">
        <v>99.709000000000003</v>
      </c>
      <c r="P202" s="408">
        <v>99.709000000000003</v>
      </c>
      <c r="Q202" s="408">
        <v>99.709000000000003</v>
      </c>
      <c r="R202" s="408"/>
      <c r="S202" s="408">
        <v>368.24</v>
      </c>
      <c r="T202" s="408">
        <v>173.25</v>
      </c>
      <c r="U202" s="408"/>
      <c r="V202" s="408">
        <v>53991.42641</v>
      </c>
      <c r="W202" s="408">
        <v>53991.42641</v>
      </c>
      <c r="X202" s="408">
        <v>50740.913010000004</v>
      </c>
      <c r="Y202" s="408">
        <v>0</v>
      </c>
      <c r="Z202" s="408">
        <v>6136.6086716260234</v>
      </c>
      <c r="AA202" s="408">
        <v>0</v>
      </c>
      <c r="AB202" s="408">
        <v>0</v>
      </c>
      <c r="AC202" s="408">
        <v>255.2089111149017</v>
      </c>
      <c r="AD202" s="408">
        <v>245.19853603484319</v>
      </c>
      <c r="AE202" s="408">
        <v>23485.16928158583</v>
      </c>
      <c r="AF202" s="408">
        <v>16984.477981590975</v>
      </c>
      <c r="AG202" s="408">
        <v>289.87734809673753</v>
      </c>
      <c r="AH202" s="408">
        <v>0</v>
      </c>
      <c r="AI202" s="408">
        <v>0</v>
      </c>
      <c r="AJ202" s="408">
        <v>0</v>
      </c>
      <c r="AK202" s="408">
        <v>0</v>
      </c>
      <c r="AL202" s="408">
        <v>948.13589992183927</v>
      </c>
      <c r="AM202" s="408"/>
      <c r="AN202" s="408">
        <v>120.43418513239244</v>
      </c>
      <c r="AO202" s="408">
        <v>541.75843667017102</v>
      </c>
      <c r="AP202" s="408">
        <v>2526.1396662157044</v>
      </c>
      <c r="AQ202" s="408">
        <v>0</v>
      </c>
      <c r="AR202" s="408">
        <v>0</v>
      </c>
      <c r="AS202" s="408">
        <v>0</v>
      </c>
      <c r="AT202" s="408">
        <v>0</v>
      </c>
      <c r="AU202" s="408">
        <v>0</v>
      </c>
      <c r="AV202" s="408">
        <v>0</v>
      </c>
      <c r="AW202" s="408">
        <v>0</v>
      </c>
      <c r="AX202" s="408">
        <v>0</v>
      </c>
      <c r="AY202" s="408">
        <v>0</v>
      </c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>
        <v>0</v>
      </c>
      <c r="BG202" s="408">
        <v>891.37770308251265</v>
      </c>
      <c r="BH202" s="408">
        <v>0</v>
      </c>
      <c r="BI202" s="408">
        <v>1.57</v>
      </c>
      <c r="BJ202" s="408">
        <v>387.41</v>
      </c>
      <c r="BK202" s="408">
        <v>59420.37</v>
      </c>
      <c r="BL202" s="408">
        <v>957</v>
      </c>
      <c r="BM202" s="408"/>
      <c r="BN202" s="408"/>
      <c r="BO202" s="408"/>
      <c r="BP202" s="408"/>
      <c r="BQ202" s="408"/>
      <c r="BR202" s="408"/>
      <c r="BS202" s="408"/>
      <c r="BT202" s="408"/>
      <c r="BU202" s="408"/>
      <c r="BV202" s="408">
        <v>17875.855684673486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50741.421900000001</v>
      </c>
      <c r="CJ202" s="408">
        <v>-3250.034510000005</v>
      </c>
      <c r="CK202" s="408"/>
      <c r="CL202" s="408"/>
      <c r="CM202" s="408"/>
      <c r="CN202" s="408"/>
      <c r="CO202" s="408">
        <v>-5403.2307099999998</v>
      </c>
      <c r="CP202" s="408">
        <v>2152.7173100000005</v>
      </c>
      <c r="CQ202" s="408">
        <v>31</v>
      </c>
      <c r="CR202" s="408">
        <v>2583.1802947623037</v>
      </c>
      <c r="CS202" s="408">
        <v>53.985070236607385</v>
      </c>
      <c r="CT202" s="408">
        <v>251.72441825979831</v>
      </c>
      <c r="CU202" s="408">
        <v>0</v>
      </c>
      <c r="CV202" s="408">
        <v>0</v>
      </c>
      <c r="CW202" s="408">
        <v>0</v>
      </c>
      <c r="CX202" s="408">
        <v>0</v>
      </c>
      <c r="CY202" s="408">
        <v>0</v>
      </c>
      <c r="CZ202" s="408">
        <v>252.47324875737792</v>
      </c>
      <c r="DA202" s="408">
        <v>0</v>
      </c>
      <c r="DB202" s="408">
        <v>0</v>
      </c>
      <c r="DC202" s="408">
        <v>2152.4742557669306</v>
      </c>
      <c r="DD202" s="408">
        <v>0</v>
      </c>
      <c r="DE202" s="408">
        <v>0</v>
      </c>
      <c r="DF202" s="408">
        <v>0</v>
      </c>
      <c r="DG202" s="408">
        <v>112.96594220496002</v>
      </c>
      <c r="DH202" s="408">
        <v>0</v>
      </c>
      <c r="DI202" s="408">
        <v>-208.37981175537061</v>
      </c>
      <c r="DJ202" s="408"/>
      <c r="DK202" s="408">
        <v>0</v>
      </c>
      <c r="DL202" s="408">
        <v>0</v>
      </c>
      <c r="DM202" s="408">
        <v>0</v>
      </c>
      <c r="DN202" s="408">
        <v>0</v>
      </c>
      <c r="DO202" s="408">
        <v>-28.655573405039718</v>
      </c>
      <c r="DP202" s="408">
        <v>-3.4072553029715067</v>
      </c>
      <c r="DQ202" s="408">
        <v>0</v>
      </c>
      <c r="DR202" s="408">
        <v>0</v>
      </c>
      <c r="DS202" s="408"/>
      <c r="DT202" s="408"/>
      <c r="DU202" s="408"/>
      <c r="DV202" s="408">
        <v>23485.16928158583</v>
      </c>
      <c r="DW202" s="408">
        <v>0</v>
      </c>
      <c r="DX202" s="408">
        <v>0</v>
      </c>
      <c r="DY202" s="408">
        <v>-5403.2307099999998</v>
      </c>
      <c r="DZ202" s="408">
        <v>2152.71731</v>
      </c>
      <c r="EA202" s="408">
        <v>0</v>
      </c>
      <c r="EB202" s="408">
        <v>0</v>
      </c>
      <c r="EC202" s="408">
        <v>-5834.1144182828721</v>
      </c>
      <c r="ED202" s="408">
        <v>0</v>
      </c>
      <c r="EE202" s="408">
        <v>0</v>
      </c>
      <c r="EF202" s="408">
        <v>0</v>
      </c>
      <c r="EG202" s="408">
        <v>0</v>
      </c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>
        <v>0</v>
      </c>
      <c r="EN202" s="408">
        <v>0</v>
      </c>
      <c r="EO202" s="408">
        <v>0</v>
      </c>
      <c r="EP202" s="408">
        <v>1567.1804078741084</v>
      </c>
      <c r="EQ202" s="408">
        <v>0</v>
      </c>
      <c r="ER202" s="408">
        <v>0</v>
      </c>
      <c r="ES202" s="408">
        <v>0</v>
      </c>
      <c r="ET202" s="408">
        <v>0</v>
      </c>
      <c r="EU202" s="408">
        <v>0</v>
      </c>
      <c r="EV202" s="408">
        <v>240</v>
      </c>
      <c r="EW202" s="408">
        <v>0</v>
      </c>
      <c r="EX202" s="408">
        <v>0</v>
      </c>
      <c r="EY202" s="408">
        <v>0</v>
      </c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201</v>
      </c>
      <c r="B203" s="408" t="s">
        <v>2238</v>
      </c>
      <c r="C203" s="408" t="s">
        <v>2235</v>
      </c>
      <c r="D203" s="408" t="s">
        <v>1955</v>
      </c>
      <c r="E203" s="408" t="s">
        <v>969</v>
      </c>
      <c r="F203" s="408" t="s">
        <v>969</v>
      </c>
      <c r="G203" s="408" t="s">
        <v>1322</v>
      </c>
      <c r="H203" s="408" t="s">
        <v>1322</v>
      </c>
      <c r="I203" s="408" t="s">
        <v>1322</v>
      </c>
      <c r="J203" s="408" t="s">
        <v>2236</v>
      </c>
      <c r="K203" s="826">
        <v>44470</v>
      </c>
      <c r="L203" s="408">
        <v>0</v>
      </c>
      <c r="M203" s="408">
        <v>0</v>
      </c>
      <c r="N203" s="408">
        <v>0</v>
      </c>
      <c r="O203" s="408">
        <v>0</v>
      </c>
      <c r="P203" s="408">
        <v>0</v>
      </c>
      <c r="Q203" s="408">
        <v>0</v>
      </c>
      <c r="R203" s="408"/>
      <c r="S203" s="408"/>
      <c r="T203" s="408"/>
      <c r="U203" s="408"/>
      <c r="V203" s="408"/>
      <c r="W203" s="408"/>
      <c r="X203" s="408"/>
      <c r="Y203" s="408"/>
      <c r="Z203" s="408"/>
      <c r="AA203" s="408">
        <v>0</v>
      </c>
      <c r="AB203" s="408"/>
      <c r="AC203" s="408"/>
      <c r="AD203" s="408"/>
      <c r="AE203" s="408"/>
      <c r="AF203" s="408"/>
      <c r="AG203" s="408"/>
      <c r="AH203" s="408"/>
      <c r="AI203" s="408"/>
      <c r="AJ203" s="408"/>
      <c r="AK203" s="408"/>
      <c r="AL203" s="408"/>
      <c r="AM203" s="408"/>
      <c r="AN203" s="408"/>
      <c r="AO203" s="408"/>
      <c r="AP203" s="408"/>
      <c r="AQ203" s="408"/>
      <c r="AR203" s="408"/>
      <c r="AS203" s="408"/>
      <c r="AT203" s="408"/>
      <c r="AU203" s="408"/>
      <c r="AV203" s="408"/>
      <c r="AW203" s="408"/>
      <c r="AX203" s="408"/>
      <c r="AY203" s="408"/>
      <c r="AZ203" s="408">
        <v>0</v>
      </c>
      <c r="BA203" s="408"/>
      <c r="BB203" s="408"/>
      <c r="BC203" s="408"/>
      <c r="BD203" s="408"/>
      <c r="BE203" s="408"/>
      <c r="BF203" s="408"/>
      <c r="BG203" s="408"/>
      <c r="BH203" s="408"/>
      <c r="BI203" s="408">
        <v>0</v>
      </c>
      <c r="BJ203" s="408">
        <v>0</v>
      </c>
      <c r="BK203" s="408">
        <v>0</v>
      </c>
      <c r="BL203" s="408">
        <v>2</v>
      </c>
      <c r="BM203" s="408"/>
      <c r="BN203" s="408"/>
      <c r="BO203" s="408"/>
      <c r="BP203" s="408"/>
      <c r="BQ203" s="408"/>
      <c r="BR203" s="408"/>
      <c r="BS203" s="408"/>
      <c r="BT203" s="408"/>
      <c r="BU203" s="408"/>
      <c r="BV203" s="408"/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/>
      <c r="CJ203" s="408">
        <v>-0.03</v>
      </c>
      <c r="CK203" s="408"/>
      <c r="CL203" s="408"/>
      <c r="CM203" s="408"/>
      <c r="CN203" s="408"/>
      <c r="CO203" s="408">
        <v>0</v>
      </c>
      <c r="CP203" s="408">
        <v>0</v>
      </c>
      <c r="CQ203" s="408">
        <v>31</v>
      </c>
      <c r="CR203" s="408"/>
      <c r="CS203" s="408"/>
      <c r="CT203" s="408"/>
      <c r="CU203" s="408"/>
      <c r="CV203" s="408"/>
      <c r="CW203" s="408"/>
      <c r="CX203" s="408"/>
      <c r="CY203" s="408"/>
      <c r="CZ203" s="408"/>
      <c r="DA203" s="408"/>
      <c r="DB203" s="408"/>
      <c r="DC203" s="408"/>
      <c r="DD203" s="408"/>
      <c r="DE203" s="408"/>
      <c r="DF203" s="408"/>
      <c r="DG203" s="408"/>
      <c r="DH203" s="408"/>
      <c r="DI203" s="408"/>
      <c r="DJ203" s="408"/>
      <c r="DK203" s="408">
        <v>0</v>
      </c>
      <c r="DL203" s="408"/>
      <c r="DM203" s="408"/>
      <c r="DN203" s="408"/>
      <c r="DO203" s="408"/>
      <c r="DP203" s="408"/>
      <c r="DQ203" s="408"/>
      <c r="DR203" s="408"/>
      <c r="DS203" s="408"/>
      <c r="DT203" s="408"/>
      <c r="DU203" s="408"/>
      <c r="DV203" s="408"/>
      <c r="DW203" s="408"/>
      <c r="DX203" s="408"/>
      <c r="DY203" s="408"/>
      <c r="DZ203" s="408"/>
      <c r="EA203" s="408"/>
      <c r="EB203" s="408"/>
      <c r="EC203" s="408"/>
      <c r="ED203" s="408"/>
      <c r="EE203" s="408"/>
      <c r="EF203" s="408"/>
      <c r="EG203" s="408"/>
      <c r="EH203" s="408"/>
      <c r="EI203" s="408"/>
      <c r="EJ203" s="408"/>
      <c r="EK203" s="408"/>
      <c r="EL203" s="408"/>
      <c r="EM203" s="408"/>
      <c r="EN203" s="408"/>
      <c r="EO203" s="408"/>
      <c r="EP203" s="408"/>
      <c r="EQ203" s="408"/>
      <c r="ER203" s="408"/>
      <c r="ES203" s="408"/>
      <c r="ET203" s="408"/>
      <c r="EU203" s="408"/>
      <c r="EV203" s="408">
        <v>240</v>
      </c>
      <c r="EW203" s="408"/>
      <c r="EX203" s="408"/>
      <c r="EY203" s="408"/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202</v>
      </c>
      <c r="B204" s="408" t="s">
        <v>1036</v>
      </c>
      <c r="C204" s="408" t="s">
        <v>2235</v>
      </c>
      <c r="D204" s="408" t="s">
        <v>1955</v>
      </c>
      <c r="E204" s="408" t="s">
        <v>969</v>
      </c>
      <c r="F204" s="408" t="s">
        <v>2239</v>
      </c>
      <c r="G204" s="408" t="s">
        <v>1322</v>
      </c>
      <c r="H204" s="408" t="s">
        <v>1322</v>
      </c>
      <c r="I204" s="408" t="s">
        <v>1322</v>
      </c>
      <c r="J204" s="408" t="s">
        <v>2236</v>
      </c>
      <c r="K204" s="826">
        <v>44470</v>
      </c>
      <c r="L204" s="408">
        <v>0</v>
      </c>
      <c r="M204" s="408">
        <v>0</v>
      </c>
      <c r="N204" s="408">
        <v>23.12</v>
      </c>
      <c r="O204" s="408">
        <v>23.12</v>
      </c>
      <c r="P204" s="408">
        <v>23.12</v>
      </c>
      <c r="Q204" s="408">
        <v>23.12</v>
      </c>
      <c r="R204" s="408"/>
      <c r="S204" s="408">
        <v>281.47000000000003</v>
      </c>
      <c r="T204" s="408">
        <v>173.25</v>
      </c>
      <c r="U204" s="408"/>
      <c r="V204" s="408">
        <v>10513.126400000001</v>
      </c>
      <c r="W204" s="408">
        <v>10513.126400000001</v>
      </c>
      <c r="X204" s="408">
        <v>9814.44</v>
      </c>
      <c r="Y204" s="408">
        <v>0</v>
      </c>
      <c r="Z204" s="408">
        <v>0</v>
      </c>
      <c r="AA204" s="408">
        <v>0</v>
      </c>
      <c r="AB204" s="408">
        <v>0</v>
      </c>
      <c r="AC204" s="408">
        <v>59.176503876044563</v>
      </c>
      <c r="AD204" s="408">
        <v>56.855350601506132</v>
      </c>
      <c r="AE204" s="408">
        <v>5445.6178859507609</v>
      </c>
      <c r="AF204" s="408">
        <v>3938.2716799324367</v>
      </c>
      <c r="AG204" s="408">
        <v>67.215239226113709</v>
      </c>
      <c r="AH204" s="408">
        <v>0</v>
      </c>
      <c r="AI204" s="408">
        <v>0</v>
      </c>
      <c r="AJ204" s="408">
        <v>0</v>
      </c>
      <c r="AK204" s="408">
        <v>0</v>
      </c>
      <c r="AL204" s="408">
        <v>0</v>
      </c>
      <c r="AM204" s="408"/>
      <c r="AN204" s="408">
        <v>27.925647236066087</v>
      </c>
      <c r="AO204" s="408">
        <v>125.62010506387942</v>
      </c>
      <c r="AP204" s="408">
        <v>585.74801756017098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0</v>
      </c>
      <c r="BF204" s="408">
        <v>0</v>
      </c>
      <c r="BG204" s="408">
        <v>206.68798699483187</v>
      </c>
      <c r="BH204" s="408">
        <v>0</v>
      </c>
      <c r="BI204" s="408">
        <v>0</v>
      </c>
      <c r="BJ204" s="408">
        <v>15.63</v>
      </c>
      <c r="BK204" s="408">
        <v>1421.22</v>
      </c>
      <c r="BL204" s="408">
        <v>28</v>
      </c>
      <c r="BM204" s="408"/>
      <c r="BN204" s="408"/>
      <c r="BO204" s="408"/>
      <c r="BP204" s="408"/>
      <c r="BQ204" s="408"/>
      <c r="BR204" s="408"/>
      <c r="BS204" s="408"/>
      <c r="BT204" s="408">
        <v>6379.5016000000005</v>
      </c>
      <c r="BU204" s="408"/>
      <c r="BV204" s="408">
        <v>4144.9596669272687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3434.9384</v>
      </c>
      <c r="CJ204" s="408">
        <v>-244.8708000000006</v>
      </c>
      <c r="CK204" s="408"/>
      <c r="CL204" s="408"/>
      <c r="CM204" s="408"/>
      <c r="CN204" s="408"/>
      <c r="CO204" s="408">
        <v>-1197.8472000000008</v>
      </c>
      <c r="CP204" s="408">
        <v>499.16080000000011</v>
      </c>
      <c r="CQ204" s="408">
        <v>31</v>
      </c>
      <c r="CR204" s="408">
        <v>653.93682134825303</v>
      </c>
      <c r="CS204" s="408">
        <v>12.517774963848424</v>
      </c>
      <c r="CT204" s="408">
        <v>58.36853794709134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58.542172835657539</v>
      </c>
      <c r="DA204" s="408">
        <v>0</v>
      </c>
      <c r="DB204" s="408">
        <v>0</v>
      </c>
      <c r="DC204" s="408">
        <v>499.10444185912502</v>
      </c>
      <c r="DD204" s="408">
        <v>0</v>
      </c>
      <c r="DE204" s="408">
        <v>0</v>
      </c>
      <c r="DF204" s="408">
        <v>0</v>
      </c>
      <c r="DG204" s="408">
        <v>26.193950232964681</v>
      </c>
      <c r="DH204" s="408">
        <v>0</v>
      </c>
      <c r="DI204" s="408">
        <v>0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0</v>
      </c>
      <c r="DP204" s="408">
        <v>-0.79005649043417847</v>
      </c>
      <c r="DQ204" s="408">
        <v>0</v>
      </c>
      <c r="DR204" s="408">
        <v>0</v>
      </c>
      <c r="DS204" s="408"/>
      <c r="DT204" s="408"/>
      <c r="DU204" s="408"/>
      <c r="DV204" s="408">
        <v>5445.6178859507609</v>
      </c>
      <c r="DW204" s="408">
        <v>0</v>
      </c>
      <c r="DX204" s="408">
        <v>0</v>
      </c>
      <c r="DY204" s="408">
        <v>-1197.8472000000011</v>
      </c>
      <c r="DZ204" s="408">
        <v>499.16080000000056</v>
      </c>
      <c r="EA204" s="408">
        <v>0</v>
      </c>
      <c r="EB204" s="408">
        <v>0</v>
      </c>
      <c r="EC204" s="408">
        <v>-1352.7838545236641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240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203</v>
      </c>
      <c r="B205" s="408" t="s">
        <v>2238</v>
      </c>
      <c r="C205" s="408" t="s">
        <v>2235</v>
      </c>
      <c r="D205" s="408" t="s">
        <v>1955</v>
      </c>
      <c r="E205" s="408" t="s">
        <v>969</v>
      </c>
      <c r="F205" s="408" t="s">
        <v>2239</v>
      </c>
      <c r="G205" s="408" t="s">
        <v>1322</v>
      </c>
      <c r="H205" s="408" t="s">
        <v>1322</v>
      </c>
      <c r="I205" s="408" t="s">
        <v>1322</v>
      </c>
      <c r="J205" s="408" t="s">
        <v>2236</v>
      </c>
      <c r="K205" s="826">
        <v>44470</v>
      </c>
      <c r="L205" s="408">
        <v>0</v>
      </c>
      <c r="M205" s="408">
        <v>0</v>
      </c>
      <c r="N205" s="408">
        <v>0.03</v>
      </c>
      <c r="O205" s="408">
        <v>1.0500000000000001E-2</v>
      </c>
      <c r="P205" s="408">
        <v>0.03</v>
      </c>
      <c r="Q205" s="408">
        <v>1.0500000000000001E-2</v>
      </c>
      <c r="R205" s="408"/>
      <c r="S205" s="408">
        <v>281.47000000000003</v>
      </c>
      <c r="T205" s="408">
        <v>173.25</v>
      </c>
      <c r="U205" s="408"/>
      <c r="V205" s="408">
        <v>13.6416</v>
      </c>
      <c r="W205" s="408">
        <v>13.6416</v>
      </c>
      <c r="X205" s="408">
        <v>12.734999999999999</v>
      </c>
      <c r="Y205" s="408">
        <v>0</v>
      </c>
      <c r="Z205" s="408">
        <v>0</v>
      </c>
      <c r="AA205" s="408">
        <v>0</v>
      </c>
      <c r="AB205" s="408">
        <v>0</v>
      </c>
      <c r="AC205" s="408">
        <v>7.6786120946424591E-2</v>
      </c>
      <c r="AD205" s="408">
        <v>7.3774243860085797E-2</v>
      </c>
      <c r="AE205" s="408">
        <v>7.0661131738115399</v>
      </c>
      <c r="AF205" s="408">
        <v>5.1102141175593898</v>
      </c>
      <c r="AG205" s="408">
        <v>8.7217005916237503E-2</v>
      </c>
      <c r="AH205" s="408">
        <v>0</v>
      </c>
      <c r="AI205" s="408">
        <v>0</v>
      </c>
      <c r="AJ205" s="408">
        <v>0</v>
      </c>
      <c r="AK205" s="408">
        <v>0</v>
      </c>
      <c r="AL205" s="408">
        <v>0</v>
      </c>
      <c r="AM205" s="408"/>
      <c r="AN205" s="408">
        <v>3.6235701430881596E-2</v>
      </c>
      <c r="AO205" s="408">
        <v>0.1630018664323695</v>
      </c>
      <c r="AP205" s="408">
        <v>0.76005365600368202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0</v>
      </c>
      <c r="BE205" s="408">
        <v>0</v>
      </c>
      <c r="BF205" s="408">
        <v>0</v>
      </c>
      <c r="BG205" s="408">
        <v>0.26819375475107943</v>
      </c>
      <c r="BH205" s="408">
        <v>0</v>
      </c>
      <c r="BI205" s="408">
        <v>0</v>
      </c>
      <c r="BJ205" s="408">
        <v>0.02</v>
      </c>
      <c r="BK205" s="408">
        <v>1.91</v>
      </c>
      <c r="BL205" s="408">
        <v>0</v>
      </c>
      <c r="BM205" s="408"/>
      <c r="BN205" s="408"/>
      <c r="BO205" s="408"/>
      <c r="BP205" s="408"/>
      <c r="BQ205" s="408"/>
      <c r="BR205" s="408"/>
      <c r="BS205" s="408"/>
      <c r="BT205" s="408">
        <v>11.175014999999998</v>
      </c>
      <c r="BU205" s="408"/>
      <c r="BV205" s="408">
        <v>5.3784078723104694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1.4857</v>
      </c>
      <c r="CJ205" s="408">
        <v>-0.21548000000000012</v>
      </c>
      <c r="CK205" s="408"/>
      <c r="CL205" s="408"/>
      <c r="CM205" s="408"/>
      <c r="CN205" s="408"/>
      <c r="CO205" s="408">
        <v>-1.5543000000000009</v>
      </c>
      <c r="CP205" s="408">
        <v>0.64770000000000005</v>
      </c>
      <c r="CQ205" s="408">
        <v>31</v>
      </c>
      <c r="CR205" s="408">
        <v>0.84853393773562047</v>
      </c>
      <c r="CS205" s="408">
        <v>1.6242787582848306E-2</v>
      </c>
      <c r="CT205" s="408">
        <v>7.5737722249686001E-2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7.5963027035887809E-2</v>
      </c>
      <c r="DA205" s="408">
        <v>0</v>
      </c>
      <c r="DB205" s="408">
        <v>0</v>
      </c>
      <c r="DC205" s="408">
        <v>0.64762687092447013</v>
      </c>
      <c r="DD205" s="408">
        <v>0</v>
      </c>
      <c r="DE205" s="408">
        <v>0</v>
      </c>
      <c r="DF205" s="408">
        <v>0</v>
      </c>
      <c r="DG205" s="408">
        <v>3.3988689748656598E-2</v>
      </c>
      <c r="DH205" s="408">
        <v>0</v>
      </c>
      <c r="DI205" s="408">
        <v>0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0</v>
      </c>
      <c r="DP205" s="408">
        <v>-1.0251598059266981E-3</v>
      </c>
      <c r="DQ205" s="408">
        <v>0</v>
      </c>
      <c r="DR205" s="408">
        <v>0</v>
      </c>
      <c r="DS205" s="408"/>
      <c r="DT205" s="408"/>
      <c r="DU205" s="408"/>
      <c r="DV205" s="408">
        <v>7.0661131738115399</v>
      </c>
      <c r="DW205" s="408">
        <v>0</v>
      </c>
      <c r="DX205" s="408">
        <v>0</v>
      </c>
      <c r="DY205" s="408">
        <v>-1.5543000000000013</v>
      </c>
      <c r="DZ205" s="408">
        <v>0.64770000000000039</v>
      </c>
      <c r="EA205" s="408">
        <v>0</v>
      </c>
      <c r="EB205" s="408">
        <v>0</v>
      </c>
      <c r="EC205" s="408">
        <v>-1.7553423717867602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240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204</v>
      </c>
      <c r="B206" s="408" t="s">
        <v>1036</v>
      </c>
      <c r="C206" s="408" t="s">
        <v>2235</v>
      </c>
      <c r="D206" s="408" t="s">
        <v>1955</v>
      </c>
      <c r="E206" s="408" t="s">
        <v>969</v>
      </c>
      <c r="F206" s="408" t="s">
        <v>2240</v>
      </c>
      <c r="G206" s="408" t="s">
        <v>1322</v>
      </c>
      <c r="H206" s="408" t="s">
        <v>1322</v>
      </c>
      <c r="I206" s="408" t="s">
        <v>1322</v>
      </c>
      <c r="J206" s="408" t="s">
        <v>2236</v>
      </c>
      <c r="K206" s="826">
        <v>44470</v>
      </c>
      <c r="L206" s="408">
        <v>0</v>
      </c>
      <c r="M206" s="408">
        <v>0</v>
      </c>
      <c r="N206" s="408">
        <v>49.219000000000001</v>
      </c>
      <c r="O206" s="408">
        <v>49.219000000000001</v>
      </c>
      <c r="P206" s="408">
        <v>49.219000000000001</v>
      </c>
      <c r="Q206" s="408">
        <v>49.219000000000001</v>
      </c>
      <c r="R206" s="408"/>
      <c r="S206" s="408">
        <v>281.47000000000003</v>
      </c>
      <c r="T206" s="408">
        <v>173.25</v>
      </c>
      <c r="U206" s="408"/>
      <c r="V206" s="408">
        <v>22380.863680000002</v>
      </c>
      <c r="W206" s="408">
        <v>22380.863680000002</v>
      </c>
      <c r="X206" s="408">
        <v>20893.465499999998</v>
      </c>
      <c r="Y206" s="408">
        <v>0</v>
      </c>
      <c r="Z206" s="408">
        <v>0</v>
      </c>
      <c r="AA206" s="408">
        <v>0</v>
      </c>
      <c r="AB206" s="408">
        <v>0</v>
      </c>
      <c r="AC206" s="408">
        <v>125.97786956206907</v>
      </c>
      <c r="AD206" s="408">
        <v>121.03648361831878</v>
      </c>
      <c r="AE206" s="408">
        <v>11592.900810061006</v>
      </c>
      <c r="AF206" s="408">
        <v>8383.9876217385208</v>
      </c>
      <c r="AG206" s="408">
        <v>143.09112713970981</v>
      </c>
      <c r="AH206" s="408">
        <v>0</v>
      </c>
      <c r="AI206" s="408">
        <v>0</v>
      </c>
      <c r="AJ206" s="408">
        <v>0</v>
      </c>
      <c r="AK206" s="408">
        <v>0</v>
      </c>
      <c r="AL206" s="408">
        <v>0</v>
      </c>
      <c r="AM206" s="408"/>
      <c r="AN206" s="408">
        <v>59.44949962421871</v>
      </c>
      <c r="AO206" s="408">
        <v>267.42629546449314</v>
      </c>
      <c r="AP206" s="408">
        <v>1246.9693631615075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0</v>
      </c>
      <c r="BF206" s="408">
        <v>0</v>
      </c>
      <c r="BG206" s="408">
        <v>440.00761383644596</v>
      </c>
      <c r="BH206" s="408">
        <v>0</v>
      </c>
      <c r="BI206" s="408">
        <v>0</v>
      </c>
      <c r="BJ206" s="408">
        <v>79.97</v>
      </c>
      <c r="BK206" s="408">
        <v>5561.68</v>
      </c>
      <c r="BL206" s="408">
        <v>117</v>
      </c>
      <c r="BM206" s="408"/>
      <c r="BN206" s="408"/>
      <c r="BO206" s="408"/>
      <c r="BP206" s="408"/>
      <c r="BQ206" s="408"/>
      <c r="BR206" s="408"/>
      <c r="BS206" s="408"/>
      <c r="BT206" s="408">
        <v>8357.8783899999999</v>
      </c>
      <c r="BU206" s="408"/>
      <c r="BV206" s="408">
        <v>8823.9952355749665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12535.841799999998</v>
      </c>
      <c r="CJ206" s="408">
        <v>-892.60797000000275</v>
      </c>
      <c r="CK206" s="408"/>
      <c r="CL206" s="408"/>
      <c r="CM206" s="408"/>
      <c r="CN206" s="408"/>
      <c r="CO206" s="408">
        <v>-2550.0363900000016</v>
      </c>
      <c r="CP206" s="408">
        <v>1062.6382100000003</v>
      </c>
      <c r="CQ206" s="408">
        <v>31</v>
      </c>
      <c r="CR206" s="408">
        <v>1392.133062713654</v>
      </c>
      <c r="CS206" s="408">
        <v>26.648458734673682</v>
      </c>
      <c r="CT206" s="408">
        <v>124.25783171357648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124.62747425597871</v>
      </c>
      <c r="DA206" s="408">
        <v>0</v>
      </c>
      <c r="DB206" s="408">
        <v>0</v>
      </c>
      <c r="DC206" s="408">
        <v>1062.5182320010499</v>
      </c>
      <c r="DD206" s="408">
        <v>0</v>
      </c>
      <c r="DE206" s="408">
        <v>0</v>
      </c>
      <c r="DF206" s="408">
        <v>0</v>
      </c>
      <c r="DG206" s="408">
        <v>55.762977357970954</v>
      </c>
      <c r="DH206" s="408">
        <v>0</v>
      </c>
      <c r="DI206" s="408">
        <v>0</v>
      </c>
      <c r="DJ206" s="408"/>
      <c r="DK206" s="408">
        <v>0</v>
      </c>
      <c r="DL206" s="408">
        <v>0</v>
      </c>
      <c r="DM206" s="408">
        <v>0</v>
      </c>
      <c r="DN206" s="408">
        <v>0</v>
      </c>
      <c r="DO206" s="408">
        <v>0</v>
      </c>
      <c r="DP206" s="408">
        <v>-1.6819113495968736</v>
      </c>
      <c r="DQ206" s="408">
        <v>0</v>
      </c>
      <c r="DR206" s="408">
        <v>0</v>
      </c>
      <c r="DS206" s="408"/>
      <c r="DT206" s="408"/>
      <c r="DU206" s="408"/>
      <c r="DV206" s="408">
        <v>11592.900810061006</v>
      </c>
      <c r="DW206" s="408">
        <v>0</v>
      </c>
      <c r="DX206" s="408">
        <v>0</v>
      </c>
      <c r="DY206" s="408">
        <v>-2550.0363900000029</v>
      </c>
      <c r="DZ206" s="408">
        <v>1062.638210000001</v>
      </c>
      <c r="EA206" s="408">
        <v>0</v>
      </c>
      <c r="EB206" s="408">
        <v>0</v>
      </c>
      <c r="EC206" s="408">
        <v>-2879.8732065657514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240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205</v>
      </c>
      <c r="B207" s="408" t="s">
        <v>2238</v>
      </c>
      <c r="C207" s="408" t="s">
        <v>2235</v>
      </c>
      <c r="D207" s="408" t="s">
        <v>1955</v>
      </c>
      <c r="E207" s="408" t="s">
        <v>969</v>
      </c>
      <c r="F207" s="408" t="s">
        <v>2240</v>
      </c>
      <c r="G207" s="408" t="s">
        <v>1322</v>
      </c>
      <c r="H207" s="408" t="s">
        <v>1322</v>
      </c>
      <c r="I207" s="408" t="s">
        <v>1322</v>
      </c>
      <c r="J207" s="408" t="s">
        <v>2236</v>
      </c>
      <c r="K207" s="826">
        <v>44470</v>
      </c>
      <c r="L207" s="408">
        <v>0</v>
      </c>
      <c r="M207" s="408">
        <v>0</v>
      </c>
      <c r="N207" s="408">
        <v>7.0000000000000007E-2</v>
      </c>
      <c r="O207" s="408">
        <v>4.2000000000000003E-2</v>
      </c>
      <c r="P207" s="408">
        <v>7.0000000000000007E-2</v>
      </c>
      <c r="Q207" s="408">
        <v>4.2000000000000003E-2</v>
      </c>
      <c r="R207" s="408"/>
      <c r="S207" s="408">
        <v>281.47000000000003</v>
      </c>
      <c r="T207" s="408">
        <v>173.25</v>
      </c>
      <c r="U207" s="408"/>
      <c r="V207" s="408">
        <v>31.830400000000004</v>
      </c>
      <c r="W207" s="408">
        <v>31.830400000000004</v>
      </c>
      <c r="X207" s="408">
        <v>29.715000000000003</v>
      </c>
      <c r="Y207" s="408">
        <v>0</v>
      </c>
      <c r="Z207" s="408">
        <v>0</v>
      </c>
      <c r="AA207" s="408">
        <v>0</v>
      </c>
      <c r="AB207" s="408">
        <v>0</v>
      </c>
      <c r="AC207" s="408">
        <v>0.17916761554165742</v>
      </c>
      <c r="AD207" s="408">
        <v>0.17213990234020024</v>
      </c>
      <c r="AE207" s="408">
        <v>16.487597405560262</v>
      </c>
      <c r="AF207" s="408">
        <v>11.923832940971911</v>
      </c>
      <c r="AG207" s="408">
        <v>0.20350634713788754</v>
      </c>
      <c r="AH207" s="408">
        <v>0</v>
      </c>
      <c r="AI207" s="408">
        <v>0</v>
      </c>
      <c r="AJ207" s="408">
        <v>0</v>
      </c>
      <c r="AK207" s="408">
        <v>0</v>
      </c>
      <c r="AL207" s="408">
        <v>0</v>
      </c>
      <c r="AM207" s="408"/>
      <c r="AN207" s="408">
        <v>8.4549970005390399E-2</v>
      </c>
      <c r="AO207" s="408">
        <v>0.3803376883421955</v>
      </c>
      <c r="AP207" s="408">
        <v>1.7734585306752582</v>
      </c>
      <c r="AQ207" s="408">
        <v>0</v>
      </c>
      <c r="AR207" s="408">
        <v>0</v>
      </c>
      <c r="AS207" s="408">
        <v>0</v>
      </c>
      <c r="AT207" s="408">
        <v>0</v>
      </c>
      <c r="AU207" s="408">
        <v>0</v>
      </c>
      <c r="AV207" s="408">
        <v>0</v>
      </c>
      <c r="AW207" s="408">
        <v>0</v>
      </c>
      <c r="AX207" s="408">
        <v>0</v>
      </c>
      <c r="AY207" s="408">
        <v>0</v>
      </c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0</v>
      </c>
      <c r="BF207" s="408">
        <v>0</v>
      </c>
      <c r="BG207" s="408">
        <v>0.62578542775251866</v>
      </c>
      <c r="BH207" s="408">
        <v>0</v>
      </c>
      <c r="BI207" s="408">
        <v>0</v>
      </c>
      <c r="BJ207" s="408">
        <v>0.11</v>
      </c>
      <c r="BK207" s="408">
        <v>7.68</v>
      </c>
      <c r="BL207" s="408">
        <v>0</v>
      </c>
      <c r="BM207" s="408"/>
      <c r="BN207" s="408"/>
      <c r="BO207" s="408"/>
      <c r="BP207" s="408"/>
      <c r="BQ207" s="408"/>
      <c r="BR207" s="408"/>
      <c r="BS207" s="408"/>
      <c r="BT207" s="408">
        <v>19.01802</v>
      </c>
      <c r="BU207" s="408"/>
      <c r="BV207" s="408">
        <v>12.549618368724429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10.1876</v>
      </c>
      <c r="CJ207" s="408">
        <v>-1.301260000000001</v>
      </c>
      <c r="CK207" s="408"/>
      <c r="CL207" s="408"/>
      <c r="CM207" s="408"/>
      <c r="CN207" s="408"/>
      <c r="CO207" s="408">
        <v>-3.6267000000000027</v>
      </c>
      <c r="CP207" s="408">
        <v>1.5113000000000003</v>
      </c>
      <c r="CQ207" s="408">
        <v>31</v>
      </c>
      <c r="CR207" s="408">
        <v>1.9799125213831203</v>
      </c>
      <c r="CS207" s="408">
        <v>3.7899837693312732E-2</v>
      </c>
      <c r="CT207" s="408">
        <v>0.17672135191593408</v>
      </c>
      <c r="CU207" s="408">
        <v>0</v>
      </c>
      <c r="CV207" s="408">
        <v>0</v>
      </c>
      <c r="CW207" s="408">
        <v>0</v>
      </c>
      <c r="CX207" s="408">
        <v>0</v>
      </c>
      <c r="CY207" s="408">
        <v>0</v>
      </c>
      <c r="CZ207" s="408">
        <v>0.17724706308373819</v>
      </c>
      <c r="DA207" s="408">
        <v>0</v>
      </c>
      <c r="DB207" s="408">
        <v>0</v>
      </c>
      <c r="DC207" s="408">
        <v>1.5111293654904294</v>
      </c>
      <c r="DD207" s="408">
        <v>0</v>
      </c>
      <c r="DE207" s="408">
        <v>0</v>
      </c>
      <c r="DF207" s="408">
        <v>0</v>
      </c>
      <c r="DG207" s="408">
        <v>7.930694274686545E-2</v>
      </c>
      <c r="DH207" s="408">
        <v>0</v>
      </c>
      <c r="DI207" s="408">
        <v>0</v>
      </c>
      <c r="DJ207" s="408"/>
      <c r="DK207" s="408">
        <v>0</v>
      </c>
      <c r="DL207" s="408">
        <v>0</v>
      </c>
      <c r="DM207" s="408">
        <v>0</v>
      </c>
      <c r="DN207" s="408">
        <v>0</v>
      </c>
      <c r="DO207" s="408">
        <v>0</v>
      </c>
      <c r="DP207" s="408">
        <v>-2.3920395471623002E-3</v>
      </c>
      <c r="DQ207" s="408">
        <v>0</v>
      </c>
      <c r="DR207" s="408">
        <v>0</v>
      </c>
      <c r="DS207" s="408"/>
      <c r="DT207" s="408"/>
      <c r="DU207" s="408"/>
      <c r="DV207" s="408">
        <v>16.487597405560262</v>
      </c>
      <c r="DW207" s="408">
        <v>0</v>
      </c>
      <c r="DX207" s="408">
        <v>0</v>
      </c>
      <c r="DY207" s="408">
        <v>-3.6267000000000031</v>
      </c>
      <c r="DZ207" s="408">
        <v>1.5113000000000003</v>
      </c>
      <c r="EA207" s="408">
        <v>0</v>
      </c>
      <c r="EB207" s="408">
        <v>0</v>
      </c>
      <c r="EC207" s="408">
        <v>-4.0957988675024417</v>
      </c>
      <c r="ED207" s="408">
        <v>0</v>
      </c>
      <c r="EE207" s="408">
        <v>0</v>
      </c>
      <c r="EF207" s="408">
        <v>0</v>
      </c>
      <c r="EG207" s="408">
        <v>0</v>
      </c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>
        <v>0</v>
      </c>
      <c r="EN207" s="408">
        <v>0</v>
      </c>
      <c r="EO207" s="408">
        <v>0</v>
      </c>
      <c r="EP207" s="408">
        <v>0</v>
      </c>
      <c r="EQ207" s="408">
        <v>0</v>
      </c>
      <c r="ER207" s="408">
        <v>0</v>
      </c>
      <c r="ES207" s="408">
        <v>0</v>
      </c>
      <c r="ET207" s="408">
        <v>0</v>
      </c>
      <c r="EU207" s="408">
        <v>0</v>
      </c>
      <c r="EV207" s="408">
        <v>240</v>
      </c>
      <c r="EW207" s="408">
        <v>0</v>
      </c>
      <c r="EX207" s="408">
        <v>0</v>
      </c>
      <c r="EY207" s="408">
        <v>0</v>
      </c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206</v>
      </c>
      <c r="B208" s="408" t="s">
        <v>1036</v>
      </c>
      <c r="C208" s="408" t="s">
        <v>2235</v>
      </c>
      <c r="D208" s="408" t="s">
        <v>1955</v>
      </c>
      <c r="E208" s="408" t="s">
        <v>969</v>
      </c>
      <c r="F208" s="408" t="s">
        <v>2241</v>
      </c>
      <c r="G208" s="408" t="s">
        <v>1322</v>
      </c>
      <c r="H208" s="408" t="s">
        <v>1322</v>
      </c>
      <c r="I208" s="408" t="s">
        <v>1322</v>
      </c>
      <c r="J208" s="408" t="s">
        <v>2236</v>
      </c>
      <c r="K208" s="826">
        <v>44470</v>
      </c>
      <c r="L208" s="408">
        <v>0</v>
      </c>
      <c r="M208" s="408">
        <v>0</v>
      </c>
      <c r="N208" s="408">
        <v>48.664000000000001</v>
      </c>
      <c r="O208" s="408">
        <v>48.664000000000001</v>
      </c>
      <c r="P208" s="408">
        <v>48.664000000000001</v>
      </c>
      <c r="Q208" s="408">
        <v>48.664000000000001</v>
      </c>
      <c r="R208" s="408"/>
      <c r="S208" s="408">
        <v>281.47000000000003</v>
      </c>
      <c r="T208" s="408">
        <v>173.25</v>
      </c>
      <c r="U208" s="408"/>
      <c r="V208" s="408">
        <v>22128.494080000004</v>
      </c>
      <c r="W208" s="408">
        <v>22128.494080000004</v>
      </c>
      <c r="X208" s="408">
        <v>20657.868000000002</v>
      </c>
      <c r="Y208" s="408">
        <v>0</v>
      </c>
      <c r="Z208" s="408">
        <v>0</v>
      </c>
      <c r="AA208" s="408">
        <v>0</v>
      </c>
      <c r="AB208" s="408">
        <v>0</v>
      </c>
      <c r="AC208" s="408">
        <v>124.55732632456022</v>
      </c>
      <c r="AD208" s="408">
        <v>119.6716601069072</v>
      </c>
      <c r="AE208" s="408">
        <v>11462.177716345494</v>
      </c>
      <c r="AF208" s="408">
        <v>8289.4486605636721</v>
      </c>
      <c r="AG208" s="408">
        <v>141.47761253025939</v>
      </c>
      <c r="AH208" s="408">
        <v>0</v>
      </c>
      <c r="AI208" s="408">
        <v>0</v>
      </c>
      <c r="AJ208" s="408">
        <v>0</v>
      </c>
      <c r="AK208" s="408">
        <v>0</v>
      </c>
      <c r="AL208" s="408">
        <v>0</v>
      </c>
      <c r="AM208" s="408"/>
      <c r="AN208" s="408">
        <v>58.779139147747401</v>
      </c>
      <c r="AO208" s="408">
        <v>264.4107609354943</v>
      </c>
      <c r="AP208" s="408">
        <v>1232.9083705254395</v>
      </c>
      <c r="AQ208" s="408">
        <v>0</v>
      </c>
      <c r="AR208" s="408">
        <v>0</v>
      </c>
      <c r="AS208" s="408">
        <v>0</v>
      </c>
      <c r="AT208" s="408">
        <v>0</v>
      </c>
      <c r="AU208" s="408">
        <v>0</v>
      </c>
      <c r="AV208" s="408">
        <v>0</v>
      </c>
      <c r="AW208" s="408">
        <v>0</v>
      </c>
      <c r="AX208" s="408">
        <v>0</v>
      </c>
      <c r="AY208" s="408">
        <v>0</v>
      </c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>
        <v>0</v>
      </c>
      <c r="BG208" s="408">
        <v>435.04602937355099</v>
      </c>
      <c r="BH208" s="408">
        <v>0</v>
      </c>
      <c r="BI208" s="408">
        <v>0</v>
      </c>
      <c r="BJ208" s="408">
        <v>138.43</v>
      </c>
      <c r="BK208" s="408">
        <v>9745.64</v>
      </c>
      <c r="BL208" s="408">
        <v>412</v>
      </c>
      <c r="BM208" s="408"/>
      <c r="BN208" s="408"/>
      <c r="BO208" s="408"/>
      <c r="BP208" s="408"/>
      <c r="BQ208" s="408"/>
      <c r="BR208" s="408"/>
      <c r="BS208" s="408"/>
      <c r="BT208" s="408">
        <v>2066.2734400000004</v>
      </c>
      <c r="BU208" s="408"/>
      <c r="BV208" s="408">
        <v>8724.4946899372226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18590.066399999996</v>
      </c>
      <c r="CJ208" s="408">
        <v>-1325.218960000002</v>
      </c>
      <c r="CK208" s="408"/>
      <c r="CL208" s="408"/>
      <c r="CM208" s="408"/>
      <c r="CN208" s="408"/>
      <c r="CO208" s="408">
        <v>-2521.2818400000015</v>
      </c>
      <c r="CP208" s="408">
        <v>1050.6557600000001</v>
      </c>
      <c r="CQ208" s="408">
        <v>31</v>
      </c>
      <c r="CR208" s="408">
        <v>1376.4351848655424</v>
      </c>
      <c r="CS208" s="408">
        <v>26.347967164391036</v>
      </c>
      <c r="CT208" s="408">
        <v>122.85668385195731</v>
      </c>
      <c r="CU208" s="408">
        <v>0</v>
      </c>
      <c r="CV208" s="408">
        <v>0</v>
      </c>
      <c r="CW208" s="408">
        <v>0</v>
      </c>
      <c r="CX208" s="408">
        <v>0</v>
      </c>
      <c r="CY208" s="408">
        <v>0</v>
      </c>
      <c r="CZ208" s="408">
        <v>123.22215825581479</v>
      </c>
      <c r="DA208" s="408">
        <v>0</v>
      </c>
      <c r="DB208" s="408">
        <v>0</v>
      </c>
      <c r="DC208" s="408">
        <v>1050.5371348889475</v>
      </c>
      <c r="DD208" s="408">
        <v>0</v>
      </c>
      <c r="DE208" s="408">
        <v>0</v>
      </c>
      <c r="DF208" s="408">
        <v>0</v>
      </c>
      <c r="DG208" s="408">
        <v>55.134186597620783</v>
      </c>
      <c r="DH208" s="408">
        <v>0</v>
      </c>
      <c r="DI208" s="408">
        <v>0</v>
      </c>
      <c r="DJ208" s="408"/>
      <c r="DK208" s="408">
        <v>0</v>
      </c>
      <c r="DL208" s="408">
        <v>0</v>
      </c>
      <c r="DM208" s="408">
        <v>0</v>
      </c>
      <c r="DN208" s="408">
        <v>0</v>
      </c>
      <c r="DO208" s="408">
        <v>0</v>
      </c>
      <c r="DP208" s="408">
        <v>-1.6629458931872279</v>
      </c>
      <c r="DQ208" s="408">
        <v>0</v>
      </c>
      <c r="DR208" s="408">
        <v>0</v>
      </c>
      <c r="DS208" s="408"/>
      <c r="DT208" s="408"/>
      <c r="DU208" s="408"/>
      <c r="DV208" s="408">
        <v>11462.177716345494</v>
      </c>
      <c r="DW208" s="408">
        <v>0</v>
      </c>
      <c r="DX208" s="408">
        <v>0</v>
      </c>
      <c r="DY208" s="408">
        <v>-2521.2818400000015</v>
      </c>
      <c r="DZ208" s="408">
        <v>1050.6557599999996</v>
      </c>
      <c r="EA208" s="408">
        <v>0</v>
      </c>
      <c r="EB208" s="408">
        <v>0</v>
      </c>
      <c r="EC208" s="408">
        <v>-2847.3993726876979</v>
      </c>
      <c r="ED208" s="408">
        <v>0</v>
      </c>
      <c r="EE208" s="408">
        <v>0</v>
      </c>
      <c r="EF208" s="408">
        <v>0</v>
      </c>
      <c r="EG208" s="408">
        <v>0</v>
      </c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>
        <v>0</v>
      </c>
      <c r="EN208" s="408">
        <v>0</v>
      </c>
      <c r="EO208" s="408">
        <v>0</v>
      </c>
      <c r="EP208" s="408">
        <v>0</v>
      </c>
      <c r="EQ208" s="408">
        <v>0</v>
      </c>
      <c r="ER208" s="408">
        <v>0</v>
      </c>
      <c r="ES208" s="408">
        <v>0</v>
      </c>
      <c r="ET208" s="408">
        <v>0</v>
      </c>
      <c r="EU208" s="408">
        <v>0</v>
      </c>
      <c r="EV208" s="408">
        <v>240</v>
      </c>
      <c r="EW208" s="408">
        <v>0</v>
      </c>
      <c r="EX208" s="408">
        <v>0</v>
      </c>
      <c r="EY208" s="408">
        <v>0</v>
      </c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207</v>
      </c>
      <c r="B209" s="408" t="s">
        <v>2238</v>
      </c>
      <c r="C209" s="408" t="s">
        <v>2235</v>
      </c>
      <c r="D209" s="408" t="s">
        <v>1955</v>
      </c>
      <c r="E209" s="408" t="s">
        <v>969</v>
      </c>
      <c r="F209" s="408" t="s">
        <v>2241</v>
      </c>
      <c r="G209" s="408" t="s">
        <v>1322</v>
      </c>
      <c r="H209" s="408" t="s">
        <v>1322</v>
      </c>
      <c r="I209" s="408" t="s">
        <v>1322</v>
      </c>
      <c r="J209" s="408" t="s">
        <v>2236</v>
      </c>
      <c r="K209" s="826">
        <v>44470</v>
      </c>
      <c r="L209" s="408">
        <v>0</v>
      </c>
      <c r="M209" s="408">
        <v>0</v>
      </c>
      <c r="N209" s="408">
        <v>0.12</v>
      </c>
      <c r="O209" s="408">
        <v>0.108</v>
      </c>
      <c r="P209" s="408">
        <v>0.12</v>
      </c>
      <c r="Q209" s="408">
        <v>0.108</v>
      </c>
      <c r="R209" s="408"/>
      <c r="S209" s="408">
        <v>281.47000000000003</v>
      </c>
      <c r="T209" s="408">
        <v>173.25</v>
      </c>
      <c r="U209" s="408"/>
      <c r="V209" s="408">
        <v>54.566400000000002</v>
      </c>
      <c r="W209" s="408">
        <v>54.566400000000002</v>
      </c>
      <c r="X209" s="408">
        <v>50.94</v>
      </c>
      <c r="Y209" s="408">
        <v>0</v>
      </c>
      <c r="Z209" s="408">
        <v>0</v>
      </c>
      <c r="AA209" s="408">
        <v>0</v>
      </c>
      <c r="AB209" s="408">
        <v>0</v>
      </c>
      <c r="AC209" s="408">
        <v>0.30714448378569836</v>
      </c>
      <c r="AD209" s="408">
        <v>0.29509697544034319</v>
      </c>
      <c r="AE209" s="408">
        <v>28.26445269524616</v>
      </c>
      <c r="AF209" s="408">
        <v>20.440856470237559</v>
      </c>
      <c r="AG209" s="408">
        <v>0.34886802366495001</v>
      </c>
      <c r="AH209" s="408">
        <v>0</v>
      </c>
      <c r="AI209" s="408">
        <v>0</v>
      </c>
      <c r="AJ209" s="408">
        <v>0</v>
      </c>
      <c r="AK209" s="408">
        <v>0</v>
      </c>
      <c r="AL209" s="408">
        <v>0</v>
      </c>
      <c r="AM209" s="408"/>
      <c r="AN209" s="408">
        <v>0.14494280572352639</v>
      </c>
      <c r="AO209" s="408">
        <v>0.65200746572947799</v>
      </c>
      <c r="AP209" s="408">
        <v>3.0402146240147281</v>
      </c>
      <c r="AQ209" s="408">
        <v>0</v>
      </c>
      <c r="AR209" s="408">
        <v>0</v>
      </c>
      <c r="AS209" s="408">
        <v>0</v>
      </c>
      <c r="AT209" s="408">
        <v>0</v>
      </c>
      <c r="AU209" s="408">
        <v>0</v>
      </c>
      <c r="AV209" s="408">
        <v>0</v>
      </c>
      <c r="AW209" s="408">
        <v>0</v>
      </c>
      <c r="AX209" s="408">
        <v>0</v>
      </c>
      <c r="AY209" s="408">
        <v>0</v>
      </c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>
        <v>0</v>
      </c>
      <c r="BG209" s="408">
        <v>1.0727750190043177</v>
      </c>
      <c r="BH209" s="408">
        <v>0</v>
      </c>
      <c r="BI209" s="408">
        <v>0</v>
      </c>
      <c r="BJ209" s="408">
        <v>0.28000000000000003</v>
      </c>
      <c r="BK209" s="408">
        <v>19.77</v>
      </c>
      <c r="BL209" s="408">
        <v>0</v>
      </c>
      <c r="BM209" s="408"/>
      <c r="BN209" s="408"/>
      <c r="BO209" s="408"/>
      <c r="BP209" s="408"/>
      <c r="BQ209" s="408"/>
      <c r="BR209" s="408"/>
      <c r="BS209" s="408"/>
      <c r="BT209" s="408">
        <v>9.6796799999999994</v>
      </c>
      <c r="BU209" s="408"/>
      <c r="BV209" s="408">
        <v>21.513631489241877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42.0244</v>
      </c>
      <c r="CJ209" s="408">
        <v>-2.2035200000000046</v>
      </c>
      <c r="CK209" s="408"/>
      <c r="CL209" s="408"/>
      <c r="CM209" s="408"/>
      <c r="CN209" s="408"/>
      <c r="CO209" s="408">
        <v>-6.2172000000000036</v>
      </c>
      <c r="CP209" s="408">
        <v>2.5908000000000002</v>
      </c>
      <c r="CQ209" s="408">
        <v>31</v>
      </c>
      <c r="CR209" s="408">
        <v>3.3941357509424819</v>
      </c>
      <c r="CS209" s="408">
        <v>6.4971150331393224E-2</v>
      </c>
      <c r="CT209" s="408">
        <v>0.30295088899874401</v>
      </c>
      <c r="CU209" s="408">
        <v>0</v>
      </c>
      <c r="CV209" s="408">
        <v>0</v>
      </c>
      <c r="CW209" s="408">
        <v>0</v>
      </c>
      <c r="CX209" s="408">
        <v>0</v>
      </c>
      <c r="CY209" s="408">
        <v>0</v>
      </c>
      <c r="CZ209" s="408">
        <v>0.30385210814355124</v>
      </c>
      <c r="DA209" s="408">
        <v>0</v>
      </c>
      <c r="DB209" s="408">
        <v>0</v>
      </c>
      <c r="DC209" s="408">
        <v>2.5905074836978805</v>
      </c>
      <c r="DD209" s="408">
        <v>0</v>
      </c>
      <c r="DE209" s="408">
        <v>0</v>
      </c>
      <c r="DF209" s="408">
        <v>0</v>
      </c>
      <c r="DG209" s="408">
        <v>0.13595475899462639</v>
      </c>
      <c r="DH209" s="408">
        <v>0</v>
      </c>
      <c r="DI209" s="408">
        <v>0</v>
      </c>
      <c r="DJ209" s="408"/>
      <c r="DK209" s="408">
        <v>0</v>
      </c>
      <c r="DL209" s="408">
        <v>0</v>
      </c>
      <c r="DM209" s="408">
        <v>0</v>
      </c>
      <c r="DN209" s="408">
        <v>0</v>
      </c>
      <c r="DO209" s="408">
        <v>0</v>
      </c>
      <c r="DP209" s="408">
        <v>-4.1006392237067923E-3</v>
      </c>
      <c r="DQ209" s="408">
        <v>0</v>
      </c>
      <c r="DR209" s="408">
        <v>0</v>
      </c>
      <c r="DS209" s="408"/>
      <c r="DT209" s="408"/>
      <c r="DU209" s="408"/>
      <c r="DV209" s="408">
        <v>28.26445269524616</v>
      </c>
      <c r="DW209" s="408">
        <v>0</v>
      </c>
      <c r="DX209" s="408">
        <v>0</v>
      </c>
      <c r="DY209" s="408">
        <v>-6.2172000000000054</v>
      </c>
      <c r="DZ209" s="408">
        <v>2.5908000000000015</v>
      </c>
      <c r="EA209" s="408">
        <v>0</v>
      </c>
      <c r="EB209" s="408">
        <v>0</v>
      </c>
      <c r="EC209" s="408">
        <v>-7.0213694871470409</v>
      </c>
      <c r="ED209" s="408">
        <v>0</v>
      </c>
      <c r="EE209" s="408">
        <v>0</v>
      </c>
      <c r="EF209" s="408">
        <v>0</v>
      </c>
      <c r="EG209" s="408">
        <v>0</v>
      </c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>
        <v>0</v>
      </c>
      <c r="EN209" s="408">
        <v>0</v>
      </c>
      <c r="EO209" s="408">
        <v>0</v>
      </c>
      <c r="EP209" s="408">
        <v>0</v>
      </c>
      <c r="EQ209" s="408">
        <v>0</v>
      </c>
      <c r="ER209" s="408">
        <v>0</v>
      </c>
      <c r="ES209" s="408">
        <v>0</v>
      </c>
      <c r="ET209" s="408">
        <v>0</v>
      </c>
      <c r="EU209" s="408">
        <v>0</v>
      </c>
      <c r="EV209" s="408">
        <v>240</v>
      </c>
      <c r="EW209" s="408">
        <v>0</v>
      </c>
      <c r="EX209" s="408">
        <v>0</v>
      </c>
      <c r="EY209" s="408">
        <v>0</v>
      </c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208</v>
      </c>
      <c r="B210" s="408" t="s">
        <v>1036</v>
      </c>
      <c r="C210" s="408" t="s">
        <v>2235</v>
      </c>
      <c r="D210" s="408" t="s">
        <v>1955</v>
      </c>
      <c r="E210" s="408" t="s">
        <v>969</v>
      </c>
      <c r="F210" s="408" t="s">
        <v>2242</v>
      </c>
      <c r="G210" s="408" t="s">
        <v>1322</v>
      </c>
      <c r="H210" s="408" t="s">
        <v>1322</v>
      </c>
      <c r="I210" s="408" t="s">
        <v>1322</v>
      </c>
      <c r="J210" s="408" t="s">
        <v>2236</v>
      </c>
      <c r="K210" s="826">
        <v>44470</v>
      </c>
      <c r="L210" s="408">
        <v>0</v>
      </c>
      <c r="M210" s="408">
        <v>0</v>
      </c>
      <c r="N210" s="408">
        <v>17.187999999999999</v>
      </c>
      <c r="O210" s="408">
        <v>17.187999999999999</v>
      </c>
      <c r="P210" s="408">
        <v>17.187999999999999</v>
      </c>
      <c r="Q210" s="408">
        <v>17.187999999999999</v>
      </c>
      <c r="R210" s="408"/>
      <c r="S210" s="408">
        <v>281.47000000000003</v>
      </c>
      <c r="T210" s="408">
        <v>173.25</v>
      </c>
      <c r="U210" s="408"/>
      <c r="V210" s="408">
        <v>7815.7273599999999</v>
      </c>
      <c r="W210" s="408">
        <v>7815.7273599999999</v>
      </c>
      <c r="X210" s="408">
        <v>7296.3059999999996</v>
      </c>
      <c r="Y210" s="408">
        <v>0</v>
      </c>
      <c r="Z210" s="408">
        <v>0</v>
      </c>
      <c r="AA210" s="408">
        <v>0</v>
      </c>
      <c r="AB210" s="408">
        <v>0</v>
      </c>
      <c r="AC210" s="408">
        <v>43.993328227571531</v>
      </c>
      <c r="AD210" s="408">
        <v>42.267723448905159</v>
      </c>
      <c r="AE210" s="408">
        <v>4048.4117743824249</v>
      </c>
      <c r="AF210" s="408">
        <v>2927.8120084203597</v>
      </c>
      <c r="AG210" s="408">
        <v>49.969529922943003</v>
      </c>
      <c r="AH210" s="408">
        <v>0</v>
      </c>
      <c r="AI210" s="408">
        <v>0</v>
      </c>
      <c r="AJ210" s="408">
        <v>0</v>
      </c>
      <c r="AK210" s="408">
        <v>0</v>
      </c>
      <c r="AL210" s="408">
        <v>0</v>
      </c>
      <c r="AM210" s="408"/>
      <c r="AN210" s="408">
        <v>20.760641206466428</v>
      </c>
      <c r="AO210" s="408">
        <v>93.389202674652225</v>
      </c>
      <c r="AP210" s="408">
        <v>435.4600746463762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0</v>
      </c>
      <c r="BF210" s="408">
        <v>0</v>
      </c>
      <c r="BG210" s="408">
        <v>153.65714188871843</v>
      </c>
      <c r="BH210" s="408">
        <v>0</v>
      </c>
      <c r="BI210" s="408">
        <v>0.56000000000000005</v>
      </c>
      <c r="BJ210" s="408">
        <v>74.069999999999993</v>
      </c>
      <c r="BK210" s="408">
        <v>5250.77</v>
      </c>
      <c r="BL210" s="408">
        <v>214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3081.469150309078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7297.1550000000007</v>
      </c>
      <c r="CJ210" s="408">
        <v>-518.60235999999986</v>
      </c>
      <c r="CK210" s="408"/>
      <c r="CL210" s="408"/>
      <c r="CM210" s="408"/>
      <c r="CN210" s="408"/>
      <c r="CO210" s="408">
        <v>-890.51028000000042</v>
      </c>
      <c r="CP210" s="408">
        <v>371.08892000000003</v>
      </c>
      <c r="CQ210" s="408">
        <v>31</v>
      </c>
      <c r="CR210" s="408">
        <v>486.15337739332927</v>
      </c>
      <c r="CS210" s="408">
        <v>9.3060344324665465</v>
      </c>
      <c r="CT210" s="408">
        <v>43.392665667586755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43.521750289761314</v>
      </c>
      <c r="DA210" s="408">
        <v>0</v>
      </c>
      <c r="DB210" s="408">
        <v>0</v>
      </c>
      <c r="DC210" s="408">
        <v>371.04702191499291</v>
      </c>
      <c r="DD210" s="408">
        <v>0</v>
      </c>
      <c r="DE210" s="408">
        <v>0</v>
      </c>
      <c r="DF210" s="408">
        <v>0</v>
      </c>
      <c r="DG210" s="408">
        <v>19.473253313330304</v>
      </c>
      <c r="DH210" s="408">
        <v>0</v>
      </c>
      <c r="DI210" s="408">
        <v>0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0</v>
      </c>
      <c r="DP210" s="408">
        <v>-0.58734822480893456</v>
      </c>
      <c r="DQ210" s="408">
        <v>0</v>
      </c>
      <c r="DR210" s="408">
        <v>0</v>
      </c>
      <c r="DS210" s="408"/>
      <c r="DT210" s="408"/>
      <c r="DU210" s="408"/>
      <c r="DV210" s="408">
        <v>4048.4117743824249</v>
      </c>
      <c r="DW210" s="408">
        <v>0</v>
      </c>
      <c r="DX210" s="408">
        <v>0</v>
      </c>
      <c r="DY210" s="408">
        <v>-890.51028000000042</v>
      </c>
      <c r="DZ210" s="408">
        <v>371.08892000000014</v>
      </c>
      <c r="EA210" s="408">
        <v>0</v>
      </c>
      <c r="EB210" s="408">
        <v>0</v>
      </c>
      <c r="EC210" s="408">
        <v>-1005.6941562090283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240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209</v>
      </c>
      <c r="B211" s="408" t="s">
        <v>2238</v>
      </c>
      <c r="C211" s="408" t="s">
        <v>2235</v>
      </c>
      <c r="D211" s="408" t="s">
        <v>1955</v>
      </c>
      <c r="E211" s="408" t="s">
        <v>969</v>
      </c>
      <c r="F211" s="408" t="s">
        <v>2242</v>
      </c>
      <c r="G211" s="408" t="s">
        <v>1322</v>
      </c>
      <c r="H211" s="408" t="s">
        <v>1322</v>
      </c>
      <c r="I211" s="408" t="s">
        <v>1322</v>
      </c>
      <c r="J211" s="408" t="s">
        <v>2236</v>
      </c>
      <c r="K211" s="826">
        <v>44470</v>
      </c>
      <c r="L211" s="408">
        <v>0</v>
      </c>
      <c r="M211" s="408">
        <v>0</v>
      </c>
      <c r="N211" s="408">
        <v>4.2000000000000003E-2</v>
      </c>
      <c r="O211" s="408">
        <v>4.2000000000000003E-2</v>
      </c>
      <c r="P211" s="408">
        <v>4.2000000000000003E-2</v>
      </c>
      <c r="Q211" s="408">
        <v>4.2000000000000003E-2</v>
      </c>
      <c r="R211" s="408"/>
      <c r="S211" s="408">
        <v>281.47000000000003</v>
      </c>
      <c r="T211" s="408">
        <v>173.25</v>
      </c>
      <c r="U211" s="408"/>
      <c r="V211" s="408">
        <v>19.098240000000004</v>
      </c>
      <c r="W211" s="408">
        <v>19.098240000000004</v>
      </c>
      <c r="X211" s="408">
        <v>17.829000000000001</v>
      </c>
      <c r="Y211" s="408">
        <v>0</v>
      </c>
      <c r="Z211" s="408">
        <v>0</v>
      </c>
      <c r="AA211" s="408">
        <v>0</v>
      </c>
      <c r="AB211" s="408">
        <v>0</v>
      </c>
      <c r="AC211" s="408">
        <v>0.10750056932499444</v>
      </c>
      <c r="AD211" s="408">
        <v>0.10328394140412013</v>
      </c>
      <c r="AE211" s="408">
        <v>9.8925584433361564</v>
      </c>
      <c r="AF211" s="408">
        <v>7.1542997645831461</v>
      </c>
      <c r="AG211" s="408">
        <v>0.12210380828273251</v>
      </c>
      <c r="AH211" s="408">
        <v>0</v>
      </c>
      <c r="AI211" s="408">
        <v>0</v>
      </c>
      <c r="AJ211" s="408">
        <v>0</v>
      </c>
      <c r="AK211" s="408">
        <v>0</v>
      </c>
      <c r="AL211" s="408">
        <v>0</v>
      </c>
      <c r="AM211" s="408"/>
      <c r="AN211" s="408">
        <v>5.0729982003234239E-2</v>
      </c>
      <c r="AO211" s="408">
        <v>0.2282026130053173</v>
      </c>
      <c r="AP211" s="408">
        <v>1.0640751184051549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0</v>
      </c>
      <c r="BE211" s="408">
        <v>0</v>
      </c>
      <c r="BF211" s="408">
        <v>0</v>
      </c>
      <c r="BG211" s="408">
        <v>0.37547125665151121</v>
      </c>
      <c r="BH211" s="408">
        <v>0</v>
      </c>
      <c r="BI211" s="408">
        <v>0</v>
      </c>
      <c r="BJ211" s="408">
        <v>0.11</v>
      </c>
      <c r="BK211" s="408">
        <v>22.85</v>
      </c>
      <c r="BL211" s="408">
        <v>1</v>
      </c>
      <c r="BM211" s="408"/>
      <c r="BN211" s="408"/>
      <c r="BO211" s="408"/>
      <c r="BP211" s="408"/>
      <c r="BQ211" s="408"/>
      <c r="BR211" s="408"/>
      <c r="BS211" s="408"/>
      <c r="BT211" s="408"/>
      <c r="BU211" s="408"/>
      <c r="BV211" s="408">
        <v>7.5297710212346569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16.98</v>
      </c>
      <c r="CJ211" s="408">
        <v>-2.1482400000000013</v>
      </c>
      <c r="CK211" s="408"/>
      <c r="CL211" s="408"/>
      <c r="CM211" s="408"/>
      <c r="CN211" s="408"/>
      <c r="CO211" s="408">
        <v>-2.1760200000000016</v>
      </c>
      <c r="CP211" s="408">
        <v>0.90678000000000025</v>
      </c>
      <c r="CQ211" s="408">
        <v>31</v>
      </c>
      <c r="CR211" s="408">
        <v>1.1879475128298704</v>
      </c>
      <c r="CS211" s="408">
        <v>2.2739902615987628E-2</v>
      </c>
      <c r="CT211" s="408">
        <v>0.10603281114956054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0.10634823785024293</v>
      </c>
      <c r="DA211" s="408">
        <v>0</v>
      </c>
      <c r="DB211" s="408">
        <v>0</v>
      </c>
      <c r="DC211" s="408">
        <v>0.90667761929425783</v>
      </c>
      <c r="DD211" s="408">
        <v>0</v>
      </c>
      <c r="DE211" s="408">
        <v>0</v>
      </c>
      <c r="DF211" s="408">
        <v>0</v>
      </c>
      <c r="DG211" s="408">
        <v>4.7584165648119237E-2</v>
      </c>
      <c r="DH211" s="408">
        <v>0</v>
      </c>
      <c r="DI211" s="408">
        <v>0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0</v>
      </c>
      <c r="DP211" s="408">
        <v>-1.4352237282973801E-3</v>
      </c>
      <c r="DQ211" s="408">
        <v>0</v>
      </c>
      <c r="DR211" s="408">
        <v>0</v>
      </c>
      <c r="DS211" s="408"/>
      <c r="DT211" s="408"/>
      <c r="DU211" s="408"/>
      <c r="DV211" s="408">
        <v>9.8925584433361564</v>
      </c>
      <c r="DW211" s="408">
        <v>0</v>
      </c>
      <c r="DX211" s="408">
        <v>0</v>
      </c>
      <c r="DY211" s="408">
        <v>-2.1760200000000012</v>
      </c>
      <c r="DZ211" s="408">
        <v>0.90677999999999948</v>
      </c>
      <c r="EA211" s="408">
        <v>0</v>
      </c>
      <c r="EB211" s="408">
        <v>0</v>
      </c>
      <c r="EC211" s="408">
        <v>-2.4574793205014647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240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210</v>
      </c>
      <c r="B212" s="408" t="s">
        <v>1036</v>
      </c>
      <c r="C212" s="408" t="s">
        <v>2316</v>
      </c>
      <c r="D212" s="408" t="s">
        <v>1955</v>
      </c>
      <c r="E212" s="408" t="s">
        <v>969</v>
      </c>
      <c r="F212" s="408" t="s">
        <v>969</v>
      </c>
      <c r="G212" s="408" t="s">
        <v>1322</v>
      </c>
      <c r="H212" s="408" t="s">
        <v>1322</v>
      </c>
      <c r="I212" s="408" t="s">
        <v>973</v>
      </c>
      <c r="J212" s="408" t="s">
        <v>2236</v>
      </c>
      <c r="K212" s="826">
        <v>44470</v>
      </c>
      <c r="L212" s="408">
        <v>0</v>
      </c>
      <c r="M212" s="408">
        <v>0</v>
      </c>
      <c r="N212" s="408">
        <v>0.48399999999999999</v>
      </c>
      <c r="O212" s="408">
        <v>0.48399999999999999</v>
      </c>
      <c r="P212" s="408">
        <v>0.48399999999999999</v>
      </c>
      <c r="Q212" s="408">
        <v>0.48399999999999999</v>
      </c>
      <c r="R212" s="408"/>
      <c r="S212" s="408">
        <v>775.22</v>
      </c>
      <c r="T212" s="408">
        <v>173.25</v>
      </c>
      <c r="U212" s="408"/>
      <c r="V212" s="408">
        <v>459.05948000000001</v>
      </c>
      <c r="W212" s="408">
        <v>459.05948000000001</v>
      </c>
      <c r="X212" s="408">
        <v>404.86599999999999</v>
      </c>
      <c r="Y212" s="408">
        <v>0</v>
      </c>
      <c r="Z212" s="408">
        <v>29.787868668495271</v>
      </c>
      <c r="AA212" s="408">
        <v>0</v>
      </c>
      <c r="AB212" s="408">
        <v>0</v>
      </c>
      <c r="AC212" s="408">
        <v>3.096820693002905</v>
      </c>
      <c r="AD212" s="408">
        <v>2.9753641850910206</v>
      </c>
      <c r="AE212" s="408">
        <v>284.99984588779165</v>
      </c>
      <c r="AF212" s="408">
        <v>82.444787763291487</v>
      </c>
      <c r="AG212" s="408">
        <v>1.407101028781965</v>
      </c>
      <c r="AH212" s="408">
        <v>0</v>
      </c>
      <c r="AI212" s="408">
        <v>0</v>
      </c>
      <c r="AJ212" s="408">
        <v>0</v>
      </c>
      <c r="AK212" s="408">
        <v>0</v>
      </c>
      <c r="AL212" s="408">
        <v>4.6023706542254983</v>
      </c>
      <c r="AM212" s="408"/>
      <c r="AN212" s="408">
        <v>0.5846026497515564</v>
      </c>
      <c r="AO212" s="408">
        <v>6.574036019481647</v>
      </c>
      <c r="AP212" s="408">
        <v>30.653532163907762</v>
      </c>
      <c r="AQ212" s="408">
        <v>0</v>
      </c>
      <c r="AR212" s="408">
        <v>0</v>
      </c>
      <c r="AS212" s="408">
        <v>0</v>
      </c>
      <c r="AT212" s="408">
        <v>0</v>
      </c>
      <c r="AU212" s="408">
        <v>0</v>
      </c>
      <c r="AV212" s="408">
        <v>0</v>
      </c>
      <c r="AW212" s="408">
        <v>0</v>
      </c>
      <c r="AX212" s="408">
        <v>0</v>
      </c>
      <c r="AY212" s="408">
        <v>0</v>
      </c>
      <c r="AZ212" s="408">
        <v>0</v>
      </c>
      <c r="BA212" s="408"/>
      <c r="BB212" s="408">
        <v>0</v>
      </c>
      <c r="BC212" s="408">
        <v>0</v>
      </c>
      <c r="BD212" s="408">
        <v>0</v>
      </c>
      <c r="BE212" s="408">
        <v>0</v>
      </c>
      <c r="BF212" s="408">
        <v>0</v>
      </c>
      <c r="BG212" s="408">
        <v>4.326859243317414</v>
      </c>
      <c r="BH212" s="408">
        <v>0</v>
      </c>
      <c r="BI212" s="408">
        <v>0</v>
      </c>
      <c r="BJ212" s="408">
        <v>0</v>
      </c>
      <c r="BK212" s="408">
        <v>0</v>
      </c>
      <c r="BL212" s="408">
        <v>0</v>
      </c>
      <c r="BM212" s="408"/>
      <c r="BN212" s="408"/>
      <c r="BO212" s="408"/>
      <c r="BP212" s="408"/>
      <c r="BQ212" s="408"/>
      <c r="BR212" s="408"/>
      <c r="BS212" s="408"/>
      <c r="BT212" s="408"/>
      <c r="BU212" s="408"/>
      <c r="BV212" s="408">
        <v>86.771647006608902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401.52</v>
      </c>
      <c r="CJ212" s="408">
        <v>-57.569479999999999</v>
      </c>
      <c r="CK212" s="408"/>
      <c r="CL212" s="408"/>
      <c r="CM212" s="408"/>
      <c r="CN212" s="408"/>
      <c r="CO212" s="408">
        <v>-64.643040000000028</v>
      </c>
      <c r="CP212" s="408">
        <v>10.449560000000002</v>
      </c>
      <c r="CQ212" s="408">
        <v>31</v>
      </c>
      <c r="CR212" s="408">
        <v>16.602879151859412</v>
      </c>
      <c r="CS212" s="408">
        <v>0.65508863771651971</v>
      </c>
      <c r="CT212" s="408">
        <v>3.0545589599671601</v>
      </c>
      <c r="CU212" s="408">
        <v>0</v>
      </c>
      <c r="CV212" s="408">
        <v>0</v>
      </c>
      <c r="CW212" s="408">
        <v>0</v>
      </c>
      <c r="CX212" s="408">
        <v>0</v>
      </c>
      <c r="CY212" s="408">
        <v>0</v>
      </c>
      <c r="CZ212" s="408">
        <v>3.0636392622651289</v>
      </c>
      <c r="DA212" s="408">
        <v>0</v>
      </c>
      <c r="DB212" s="408">
        <v>0</v>
      </c>
      <c r="DC212" s="408">
        <v>10.448380184248109</v>
      </c>
      <c r="DD212" s="408">
        <v>0</v>
      </c>
      <c r="DE212" s="408">
        <v>0</v>
      </c>
      <c r="DF212" s="408">
        <v>0</v>
      </c>
      <c r="DG212" s="408">
        <v>0.548350861278327</v>
      </c>
      <c r="DH212" s="408">
        <v>0</v>
      </c>
      <c r="DI212" s="408">
        <v>-1.0115017590147275</v>
      </c>
      <c r="DJ212" s="408"/>
      <c r="DK212" s="408">
        <v>0</v>
      </c>
      <c r="DL212" s="408">
        <v>0</v>
      </c>
      <c r="DM212" s="408">
        <v>0</v>
      </c>
      <c r="DN212" s="408">
        <v>0</v>
      </c>
      <c r="DO212" s="408">
        <v>-0.13909774973211242</v>
      </c>
      <c r="DP212" s="408">
        <v>-1.6539244868950753E-2</v>
      </c>
      <c r="DQ212" s="408">
        <v>0</v>
      </c>
      <c r="DR212" s="408">
        <v>0</v>
      </c>
      <c r="DS212" s="408"/>
      <c r="DT212" s="408"/>
      <c r="DU212" s="408"/>
      <c r="DV212" s="408">
        <v>284.99984588779165</v>
      </c>
      <c r="DW212" s="408">
        <v>0</v>
      </c>
      <c r="DX212" s="408">
        <v>0</v>
      </c>
      <c r="DY212" s="408">
        <v>-64.643040000000042</v>
      </c>
      <c r="DZ212" s="408">
        <v>10.449560000000005</v>
      </c>
      <c r="EA212" s="408">
        <v>0</v>
      </c>
      <c r="EB212" s="408">
        <v>0</v>
      </c>
      <c r="EC212" s="408">
        <v>-70.798796047259003</v>
      </c>
      <c r="ED212" s="408">
        <v>0</v>
      </c>
      <c r="EE212" s="408">
        <v>0</v>
      </c>
      <c r="EF212" s="408">
        <v>0</v>
      </c>
      <c r="EG212" s="408">
        <v>0</v>
      </c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>
        <v>0</v>
      </c>
      <c r="EN212" s="408">
        <v>0</v>
      </c>
      <c r="EO212" s="408">
        <v>0</v>
      </c>
      <c r="EP212" s="408">
        <v>7.607290389143091</v>
      </c>
      <c r="EQ212" s="408">
        <v>0</v>
      </c>
      <c r="ER212" s="408">
        <v>0</v>
      </c>
      <c r="ES212" s="408">
        <v>0</v>
      </c>
      <c r="ET212" s="408">
        <v>0</v>
      </c>
      <c r="EU212" s="408">
        <v>0</v>
      </c>
      <c r="EV212" s="408">
        <v>240</v>
      </c>
      <c r="EW212" s="408">
        <v>0</v>
      </c>
      <c r="EX212" s="408">
        <v>0</v>
      </c>
      <c r="EY212" s="408">
        <v>0</v>
      </c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211</v>
      </c>
      <c r="B213" s="408" t="s">
        <v>1036</v>
      </c>
      <c r="C213" s="408" t="s">
        <v>2316</v>
      </c>
      <c r="D213" s="408" t="s">
        <v>1955</v>
      </c>
      <c r="E213" s="408" t="s">
        <v>969</v>
      </c>
      <c r="F213" s="408" t="s">
        <v>969</v>
      </c>
      <c r="G213" s="408" t="s">
        <v>1322</v>
      </c>
      <c r="H213" s="408" t="s">
        <v>1322</v>
      </c>
      <c r="I213" s="408" t="s">
        <v>2244</v>
      </c>
      <c r="J213" s="408" t="s">
        <v>2236</v>
      </c>
      <c r="K213" s="826">
        <v>44470</v>
      </c>
      <c r="L213" s="408">
        <v>0</v>
      </c>
      <c r="M213" s="408">
        <v>0</v>
      </c>
      <c r="N213" s="408">
        <v>4.3330000000000002</v>
      </c>
      <c r="O213" s="408">
        <v>4.3330000000000002</v>
      </c>
      <c r="P213" s="408">
        <v>4.3330000000000002</v>
      </c>
      <c r="Q213" s="408">
        <v>4.3330000000000002</v>
      </c>
      <c r="R213" s="408"/>
      <c r="S213" s="408">
        <v>232.58</v>
      </c>
      <c r="T213" s="408">
        <v>173.25</v>
      </c>
      <c r="U213" s="408"/>
      <c r="V213" s="408">
        <v>1758.4613900000002</v>
      </c>
      <c r="W213" s="408">
        <v>1758.4613900000002</v>
      </c>
      <c r="X213" s="408">
        <v>1731.8567700000001</v>
      </c>
      <c r="Y213" s="408">
        <v>0</v>
      </c>
      <c r="Z213" s="408">
        <v>266.67527880287196</v>
      </c>
      <c r="AA213" s="408">
        <v>0</v>
      </c>
      <c r="AB213" s="408">
        <v>0</v>
      </c>
      <c r="AC213" s="408">
        <v>5.5452377010142966</v>
      </c>
      <c r="AD213" s="408">
        <v>5.3277299774291969</v>
      </c>
      <c r="AE213" s="408">
        <v>510.29113970209011</v>
      </c>
      <c r="AF213" s="408">
        <v>738.08525904616124</v>
      </c>
      <c r="AG213" s="408">
        <v>12.597042887835238</v>
      </c>
      <c r="AH213" s="408">
        <v>0</v>
      </c>
      <c r="AI213" s="408">
        <v>0</v>
      </c>
      <c r="AJ213" s="408">
        <v>0</v>
      </c>
      <c r="AK213" s="408">
        <v>0</v>
      </c>
      <c r="AL213" s="408">
        <v>41.202628191651002</v>
      </c>
      <c r="AM213" s="408"/>
      <c r="AN213" s="408">
        <v>5.2336431433336656</v>
      </c>
      <c r="AO213" s="408">
        <v>11.771927973296114</v>
      </c>
      <c r="AP213" s="408">
        <v>54.888541524399237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0</v>
      </c>
      <c r="BF213" s="408">
        <v>0</v>
      </c>
      <c r="BG213" s="408">
        <v>38.736117977880902</v>
      </c>
      <c r="BH213" s="408">
        <v>0</v>
      </c>
      <c r="BI213" s="408">
        <v>0</v>
      </c>
      <c r="BJ213" s="408">
        <v>0</v>
      </c>
      <c r="BK213" s="408">
        <v>0</v>
      </c>
      <c r="BL213" s="408">
        <v>0</v>
      </c>
      <c r="BM213" s="408"/>
      <c r="BN213" s="408"/>
      <c r="BO213" s="408"/>
      <c r="BP213" s="408"/>
      <c r="BQ213" s="408"/>
      <c r="BR213" s="408"/>
      <c r="BS213" s="408"/>
      <c r="BT213" s="408"/>
      <c r="BU213" s="408"/>
      <c r="BV213" s="408">
        <v>776.82137702404214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1730.6577</v>
      </c>
      <c r="CJ213" s="408">
        <v>-27.833690000000161</v>
      </c>
      <c r="CK213" s="408"/>
      <c r="CL213" s="408"/>
      <c r="CM213" s="408"/>
      <c r="CN213" s="408"/>
      <c r="CO213" s="408">
        <v>-120.15409000000008</v>
      </c>
      <c r="CP213" s="408">
        <v>93.549470000000014</v>
      </c>
      <c r="CQ213" s="408">
        <v>31</v>
      </c>
      <c r="CR213" s="408">
        <v>100.12759180753847</v>
      </c>
      <c r="CS213" s="408">
        <v>1.1730474607183243</v>
      </c>
      <c r="CT213" s="408">
        <v>5.4695258417981591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5.4857966024416971</v>
      </c>
      <c r="DA213" s="408">
        <v>0</v>
      </c>
      <c r="DB213" s="408">
        <v>0</v>
      </c>
      <c r="DC213" s="408">
        <v>93.538907723857619</v>
      </c>
      <c r="DD213" s="408">
        <v>0</v>
      </c>
      <c r="DE213" s="408">
        <v>0</v>
      </c>
      <c r="DF213" s="408">
        <v>0</v>
      </c>
      <c r="DG213" s="408">
        <v>4.9090997560309688</v>
      </c>
      <c r="DH213" s="408">
        <v>0</v>
      </c>
      <c r="DI213" s="408">
        <v>-9.0554485987826752</v>
      </c>
      <c r="DJ213" s="408"/>
      <c r="DK213" s="408">
        <v>0</v>
      </c>
      <c r="DL213" s="408">
        <v>0</v>
      </c>
      <c r="DM213" s="408">
        <v>0</v>
      </c>
      <c r="DN213" s="408">
        <v>0</v>
      </c>
      <c r="DO213" s="408">
        <v>-1.2452697305562879</v>
      </c>
      <c r="DP213" s="408">
        <v>-0.14806724796934656</v>
      </c>
      <c r="DQ213" s="408">
        <v>0</v>
      </c>
      <c r="DR213" s="408">
        <v>0</v>
      </c>
      <c r="DS213" s="408"/>
      <c r="DT213" s="408"/>
      <c r="DU213" s="408"/>
      <c r="DV213" s="408">
        <v>510.29113970209011</v>
      </c>
      <c r="DW213" s="408">
        <v>0</v>
      </c>
      <c r="DX213" s="408">
        <v>0</v>
      </c>
      <c r="DY213" s="408">
        <v>-120.15409000000011</v>
      </c>
      <c r="DZ213" s="408">
        <v>93.549470000000042</v>
      </c>
      <c r="EA213" s="408">
        <v>0</v>
      </c>
      <c r="EB213" s="408">
        <v>0</v>
      </c>
      <c r="EC213" s="408">
        <v>-126.76497494920011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68.104110033382256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240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212</v>
      </c>
      <c r="B214" s="408" t="s">
        <v>1036</v>
      </c>
      <c r="C214" s="408" t="s">
        <v>2316</v>
      </c>
      <c r="D214" s="408" t="s">
        <v>1955</v>
      </c>
      <c r="E214" s="408" t="s">
        <v>969</v>
      </c>
      <c r="F214" s="408" t="s">
        <v>969</v>
      </c>
      <c r="G214" s="408" t="s">
        <v>1322</v>
      </c>
      <c r="H214" s="408" t="s">
        <v>1322</v>
      </c>
      <c r="I214" s="408" t="s">
        <v>1322</v>
      </c>
      <c r="J214" s="408" t="s">
        <v>2236</v>
      </c>
      <c r="K214" s="826">
        <v>44470</v>
      </c>
      <c r="L214" s="408">
        <v>0</v>
      </c>
      <c r="M214" s="408">
        <v>0</v>
      </c>
      <c r="N214" s="408">
        <v>0</v>
      </c>
      <c r="O214" s="408">
        <v>0</v>
      </c>
      <c r="P214" s="408">
        <v>0</v>
      </c>
      <c r="Q214" s="408">
        <v>0</v>
      </c>
      <c r="R214" s="408"/>
      <c r="S214" s="408"/>
      <c r="T214" s="408"/>
      <c r="U214" s="408"/>
      <c r="V214" s="408"/>
      <c r="W214" s="408"/>
      <c r="X214" s="408"/>
      <c r="Y214" s="408"/>
      <c r="Z214" s="408"/>
      <c r="AA214" s="408">
        <v>0</v>
      </c>
      <c r="AB214" s="408"/>
      <c r="AC214" s="408"/>
      <c r="AD214" s="408"/>
      <c r="AE214" s="408"/>
      <c r="AF214" s="408"/>
      <c r="AG214" s="408"/>
      <c r="AH214" s="408"/>
      <c r="AI214" s="408"/>
      <c r="AJ214" s="408"/>
      <c r="AK214" s="408"/>
      <c r="AL214" s="408"/>
      <c r="AM214" s="408"/>
      <c r="AN214" s="408"/>
      <c r="AO214" s="408"/>
      <c r="AP214" s="408"/>
      <c r="AQ214" s="408"/>
      <c r="AR214" s="408"/>
      <c r="AS214" s="408"/>
      <c r="AT214" s="408"/>
      <c r="AU214" s="408"/>
      <c r="AV214" s="408"/>
      <c r="AW214" s="408"/>
      <c r="AX214" s="408"/>
      <c r="AY214" s="408"/>
      <c r="AZ214" s="408">
        <v>0</v>
      </c>
      <c r="BA214" s="408"/>
      <c r="BB214" s="408"/>
      <c r="BC214" s="408"/>
      <c r="BD214" s="408"/>
      <c r="BE214" s="408"/>
      <c r="BF214" s="408"/>
      <c r="BG214" s="408"/>
      <c r="BH214" s="408"/>
      <c r="BI214" s="408">
        <v>0.12</v>
      </c>
      <c r="BJ214" s="408">
        <v>18.61</v>
      </c>
      <c r="BK214" s="408">
        <v>1328.3</v>
      </c>
      <c r="BL214" s="408">
        <v>18</v>
      </c>
      <c r="BM214" s="408"/>
      <c r="BN214" s="408"/>
      <c r="BO214" s="408"/>
      <c r="BP214" s="408"/>
      <c r="BQ214" s="408"/>
      <c r="BR214" s="408"/>
      <c r="BS214" s="408"/>
      <c r="BT214" s="408"/>
      <c r="BU214" s="408"/>
      <c r="BV214" s="408"/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/>
      <c r="CJ214" s="408">
        <v>-0.03</v>
      </c>
      <c r="CK214" s="408"/>
      <c r="CL214" s="408"/>
      <c r="CM214" s="408"/>
      <c r="CN214" s="408"/>
      <c r="CO214" s="408">
        <v>0</v>
      </c>
      <c r="CP214" s="408">
        <v>0</v>
      </c>
      <c r="CQ214" s="408">
        <v>31</v>
      </c>
      <c r="CR214" s="408"/>
      <c r="CS214" s="408"/>
      <c r="CT214" s="408"/>
      <c r="CU214" s="408"/>
      <c r="CV214" s="408"/>
      <c r="CW214" s="408"/>
      <c r="CX214" s="408"/>
      <c r="CY214" s="408"/>
      <c r="CZ214" s="408"/>
      <c r="DA214" s="408"/>
      <c r="DB214" s="408"/>
      <c r="DC214" s="408"/>
      <c r="DD214" s="408"/>
      <c r="DE214" s="408"/>
      <c r="DF214" s="408"/>
      <c r="DG214" s="408"/>
      <c r="DH214" s="408"/>
      <c r="DI214" s="408"/>
      <c r="DJ214" s="408"/>
      <c r="DK214" s="408">
        <v>0</v>
      </c>
      <c r="DL214" s="408"/>
      <c r="DM214" s="408"/>
      <c r="DN214" s="408"/>
      <c r="DO214" s="408"/>
      <c r="DP214" s="408"/>
      <c r="DQ214" s="408"/>
      <c r="DR214" s="408"/>
      <c r="DS214" s="408"/>
      <c r="DT214" s="408"/>
      <c r="DU214" s="408"/>
      <c r="DV214" s="408"/>
      <c r="DW214" s="408"/>
      <c r="DX214" s="408"/>
      <c r="DY214" s="408"/>
      <c r="DZ214" s="408"/>
      <c r="EA214" s="408"/>
      <c r="EB214" s="408"/>
      <c r="EC214" s="408"/>
      <c r="ED214" s="408"/>
      <c r="EE214" s="408"/>
      <c r="EF214" s="408"/>
      <c r="EG214" s="408"/>
      <c r="EH214" s="408"/>
      <c r="EI214" s="408"/>
      <c r="EJ214" s="408"/>
      <c r="EK214" s="408"/>
      <c r="EL214" s="408"/>
      <c r="EM214" s="408"/>
      <c r="EN214" s="408"/>
      <c r="EO214" s="408"/>
      <c r="EP214" s="408"/>
      <c r="EQ214" s="408"/>
      <c r="ER214" s="408"/>
      <c r="ES214" s="408"/>
      <c r="ET214" s="408"/>
      <c r="EU214" s="408"/>
      <c r="EV214" s="408">
        <v>240</v>
      </c>
      <c r="EW214" s="408"/>
      <c r="EX214" s="408"/>
      <c r="EY214" s="408"/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213</v>
      </c>
      <c r="B215" s="408" t="s">
        <v>1036</v>
      </c>
      <c r="C215" s="408" t="s">
        <v>2316</v>
      </c>
      <c r="D215" s="408" t="s">
        <v>1955</v>
      </c>
      <c r="E215" s="408" t="s">
        <v>969</v>
      </c>
      <c r="F215" s="408" t="s">
        <v>969</v>
      </c>
      <c r="G215" s="408" t="s">
        <v>1322</v>
      </c>
      <c r="H215" s="408" t="s">
        <v>1322</v>
      </c>
      <c r="I215" s="408" t="s">
        <v>2317</v>
      </c>
      <c r="J215" s="408" t="s">
        <v>2236</v>
      </c>
      <c r="K215" s="826">
        <v>44470</v>
      </c>
      <c r="L215" s="408">
        <v>0</v>
      </c>
      <c r="M215" s="408">
        <v>0</v>
      </c>
      <c r="N215" s="408">
        <v>0.34300000000000003</v>
      </c>
      <c r="O215" s="408">
        <v>0.34300000000000003</v>
      </c>
      <c r="P215" s="408">
        <v>0.34300000000000003</v>
      </c>
      <c r="Q215" s="408">
        <v>0.34300000000000003</v>
      </c>
      <c r="R215" s="408"/>
      <c r="S215" s="408">
        <v>503.9</v>
      </c>
      <c r="T215" s="408">
        <v>173.25</v>
      </c>
      <c r="U215" s="408"/>
      <c r="V215" s="408">
        <v>232.26245</v>
      </c>
      <c r="W215" s="408">
        <v>232.26245</v>
      </c>
      <c r="X215" s="408">
        <v>212.00487000000004</v>
      </c>
      <c r="Y215" s="408">
        <v>0</v>
      </c>
      <c r="Z215" s="408">
        <v>21.10999783738405</v>
      </c>
      <c r="AA215" s="408">
        <v>0</v>
      </c>
      <c r="AB215" s="408">
        <v>0</v>
      </c>
      <c r="AC215" s="408">
        <v>1.3167264063665325</v>
      </c>
      <c r="AD215" s="408">
        <v>1.2650910909471569</v>
      </c>
      <c r="AE215" s="408">
        <v>121.18376705461108</v>
      </c>
      <c r="AF215" s="408">
        <v>58.426781410762366</v>
      </c>
      <c r="AG215" s="408">
        <v>0.99718110097564894</v>
      </c>
      <c r="AH215" s="408">
        <v>0</v>
      </c>
      <c r="AI215" s="408">
        <v>0</v>
      </c>
      <c r="AJ215" s="408">
        <v>0</v>
      </c>
      <c r="AK215" s="408">
        <v>0</v>
      </c>
      <c r="AL215" s="408">
        <v>3.2615973851226157</v>
      </c>
      <c r="AM215" s="408"/>
      <c r="AN215" s="408">
        <v>0.41429485302641295</v>
      </c>
      <c r="AO215" s="408">
        <v>2.7952179607641514</v>
      </c>
      <c r="AP215" s="408">
        <v>13.033527439815954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0</v>
      </c>
      <c r="BE215" s="408">
        <v>0</v>
      </c>
      <c r="BF215" s="408">
        <v>0</v>
      </c>
      <c r="BG215" s="408">
        <v>3.0663485959873413</v>
      </c>
      <c r="BH215" s="408">
        <v>0</v>
      </c>
      <c r="BI215" s="408">
        <v>0</v>
      </c>
      <c r="BJ215" s="408">
        <v>0</v>
      </c>
      <c r="BK215" s="408">
        <v>0</v>
      </c>
      <c r="BL215" s="408">
        <v>0</v>
      </c>
      <c r="BM215" s="408"/>
      <c r="BN215" s="408"/>
      <c r="BO215" s="408"/>
      <c r="BP215" s="408"/>
      <c r="BQ215" s="408"/>
      <c r="BR215" s="408"/>
      <c r="BS215" s="408"/>
      <c r="BT215" s="408"/>
      <c r="BU215" s="408"/>
      <c r="BV215" s="408">
        <v>61.493130006749709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210.1506</v>
      </c>
      <c r="CJ215" s="408">
        <v>-22.141849999999977</v>
      </c>
      <c r="CK215" s="408"/>
      <c r="CL215" s="408"/>
      <c r="CM215" s="408"/>
      <c r="CN215" s="408"/>
      <c r="CO215" s="408">
        <v>-27.662949999999995</v>
      </c>
      <c r="CP215" s="408">
        <v>7.4053700000000013</v>
      </c>
      <c r="CQ215" s="408">
        <v>31</v>
      </c>
      <c r="CR215" s="408">
        <v>9.8459380175310685</v>
      </c>
      <c r="CS215" s="408">
        <v>0.27853749517213</v>
      </c>
      <c r="CT215" s="408">
        <v>1.29876315096055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1.3026246521311076</v>
      </c>
      <c r="DA215" s="408">
        <v>0</v>
      </c>
      <c r="DB215" s="408">
        <v>0</v>
      </c>
      <c r="DC215" s="408">
        <v>7.4045338909031031</v>
      </c>
      <c r="DD215" s="408">
        <v>0</v>
      </c>
      <c r="DE215" s="408">
        <v>0</v>
      </c>
      <c r="DF215" s="408">
        <v>0</v>
      </c>
      <c r="DG215" s="408">
        <v>0.38860401945964096</v>
      </c>
      <c r="DH215" s="408">
        <v>0</v>
      </c>
      <c r="DI215" s="408">
        <v>-0.7168287259133308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-9.8575471401063375E-2</v>
      </c>
      <c r="DP215" s="408">
        <v>-1.1720993781095257E-2</v>
      </c>
      <c r="DQ215" s="408">
        <v>0</v>
      </c>
      <c r="DR215" s="408">
        <v>0</v>
      </c>
      <c r="DS215" s="408"/>
      <c r="DT215" s="408"/>
      <c r="DU215" s="408"/>
      <c r="DV215" s="408">
        <v>121.18376705461108</v>
      </c>
      <c r="DW215" s="408">
        <v>0</v>
      </c>
      <c r="DX215" s="408">
        <v>0</v>
      </c>
      <c r="DY215" s="408">
        <v>-27.662949999999995</v>
      </c>
      <c r="DZ215" s="408">
        <v>7.4053700000000049</v>
      </c>
      <c r="EA215" s="408">
        <v>0</v>
      </c>
      <c r="EB215" s="408">
        <v>0</v>
      </c>
      <c r="EC215" s="408">
        <v>-30.104103324027392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5.3911169493307449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240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214</v>
      </c>
      <c r="B216" s="408" t="s">
        <v>1036</v>
      </c>
      <c r="C216" s="408" t="s">
        <v>2235</v>
      </c>
      <c r="D216" s="408" t="s">
        <v>1958</v>
      </c>
      <c r="E216" s="408" t="s">
        <v>970</v>
      </c>
      <c r="F216" s="408" t="s">
        <v>1322</v>
      </c>
      <c r="G216" s="408" t="s">
        <v>1322</v>
      </c>
      <c r="H216" s="408" t="s">
        <v>1322</v>
      </c>
      <c r="I216" s="408" t="s">
        <v>1322</v>
      </c>
      <c r="J216" s="408" t="s">
        <v>2236</v>
      </c>
      <c r="K216" s="826">
        <v>44470</v>
      </c>
      <c r="L216" s="408">
        <v>0</v>
      </c>
      <c r="M216" s="408">
        <v>0</v>
      </c>
      <c r="N216" s="408">
        <v>530.077</v>
      </c>
      <c r="O216" s="408">
        <v>530.077</v>
      </c>
      <c r="P216" s="408">
        <v>530.077</v>
      </c>
      <c r="Q216" s="408">
        <v>530.077</v>
      </c>
      <c r="R216" s="408"/>
      <c r="S216" s="408">
        <v>368.24</v>
      </c>
      <c r="T216" s="408">
        <v>173.25</v>
      </c>
      <c r="U216" s="408"/>
      <c r="V216" s="408">
        <v>287031.39473</v>
      </c>
      <c r="W216" s="408">
        <v>287031.39473</v>
      </c>
      <c r="X216" s="408">
        <v>269750.88452999998</v>
      </c>
      <c r="Y216" s="408">
        <v>0</v>
      </c>
      <c r="Z216" s="408">
        <v>32623.686074772664</v>
      </c>
      <c r="AA216" s="408">
        <v>0</v>
      </c>
      <c r="AB216" s="408">
        <v>0</v>
      </c>
      <c r="AC216" s="408">
        <v>1356.7518877639304</v>
      </c>
      <c r="AD216" s="408">
        <v>1303.5343287540902</v>
      </c>
      <c r="AE216" s="408">
        <v>124852.80242781666</v>
      </c>
      <c r="AF216" s="408">
        <v>90293.56562645096</v>
      </c>
      <c r="AG216" s="408">
        <v>1541.0576281687142</v>
      </c>
      <c r="AH216" s="408">
        <v>0</v>
      </c>
      <c r="AI216" s="408">
        <v>0</v>
      </c>
      <c r="AJ216" s="408">
        <v>0</v>
      </c>
      <c r="AK216" s="408">
        <v>0</v>
      </c>
      <c r="AL216" s="408">
        <v>5040.5182423138212</v>
      </c>
      <c r="AM216" s="408"/>
      <c r="AN216" s="408">
        <v>640.25706357924753</v>
      </c>
      <c r="AO216" s="408">
        <v>2880.1180117623708</v>
      </c>
      <c r="AP216" s="408">
        <v>13429.565393782124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0</v>
      </c>
      <c r="BF216" s="408">
        <v>0</v>
      </c>
      <c r="BG216" s="408">
        <v>4738.7780312395971</v>
      </c>
      <c r="BH216" s="408">
        <v>0</v>
      </c>
      <c r="BI216" s="408">
        <v>22.73</v>
      </c>
      <c r="BJ216" s="408">
        <v>2082.85</v>
      </c>
      <c r="BK216" s="408">
        <v>73793.149999999994</v>
      </c>
      <c r="BL216" s="408">
        <v>304</v>
      </c>
      <c r="BM216" s="408"/>
      <c r="BN216" s="408"/>
      <c r="BO216" s="408"/>
      <c r="BP216" s="408"/>
      <c r="BQ216" s="408"/>
      <c r="BR216" s="408"/>
      <c r="BS216" s="408"/>
      <c r="BT216" s="408"/>
      <c r="BU216" s="408"/>
      <c r="BV216" s="408">
        <v>95032.343657690551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269752.41120000003</v>
      </c>
      <c r="CJ216" s="408">
        <v>-17279.013529999997</v>
      </c>
      <c r="CK216" s="408"/>
      <c r="CL216" s="408"/>
      <c r="CM216" s="408"/>
      <c r="CN216" s="408"/>
      <c r="CO216" s="408">
        <v>-28724.872629999998</v>
      </c>
      <c r="CP216" s="408">
        <v>11444.362430000001</v>
      </c>
      <c r="CQ216" s="408">
        <v>31</v>
      </c>
      <c r="CR216" s="408">
        <v>13732.807079668972</v>
      </c>
      <c r="CS216" s="408">
        <v>286.9976037851161</v>
      </c>
      <c r="CT216" s="408">
        <v>1338.2274865648942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1342.20844940341</v>
      </c>
      <c r="DA216" s="408">
        <v>0</v>
      </c>
      <c r="DB216" s="408">
        <v>0</v>
      </c>
      <c r="DC216" s="408">
        <v>11443.070295301004</v>
      </c>
      <c r="DD216" s="408">
        <v>0</v>
      </c>
      <c r="DE216" s="408">
        <v>0</v>
      </c>
      <c r="DF216" s="408">
        <v>0</v>
      </c>
      <c r="DG216" s="408">
        <v>600.55408986328894</v>
      </c>
      <c r="DH216" s="408">
        <v>0</v>
      </c>
      <c r="DI216" s="408">
        <v>-1107.7971444488649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-152.3399129850186</v>
      </c>
      <c r="DP216" s="408">
        <v>-18.113787814873604</v>
      </c>
      <c r="DQ216" s="408">
        <v>0</v>
      </c>
      <c r="DR216" s="408">
        <v>0</v>
      </c>
      <c r="DS216" s="408"/>
      <c r="DT216" s="408"/>
      <c r="DU216" s="408"/>
      <c r="DV216" s="408">
        <v>124852.80242781666</v>
      </c>
      <c r="DW216" s="408">
        <v>0</v>
      </c>
      <c r="DX216" s="408">
        <v>0</v>
      </c>
      <c r="DY216" s="408">
        <v>-28724.872629999998</v>
      </c>
      <c r="DZ216" s="408">
        <v>11444.362430000008</v>
      </c>
      <c r="EA216" s="408">
        <v>0</v>
      </c>
      <c r="EB216" s="408">
        <v>0</v>
      </c>
      <c r="EC216" s="408">
        <v>-31015.553946987013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8331.5075776979393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240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215</v>
      </c>
      <c r="B217" s="408" t="s">
        <v>2238</v>
      </c>
      <c r="C217" s="408" t="s">
        <v>2235</v>
      </c>
      <c r="D217" s="408" t="s">
        <v>1958</v>
      </c>
      <c r="E217" s="408" t="s">
        <v>970</v>
      </c>
      <c r="F217" s="408" t="s">
        <v>1322</v>
      </c>
      <c r="G217" s="408" t="s">
        <v>1322</v>
      </c>
      <c r="H217" s="408" t="s">
        <v>1322</v>
      </c>
      <c r="I217" s="408" t="s">
        <v>1322</v>
      </c>
      <c r="J217" s="408" t="s">
        <v>2236</v>
      </c>
      <c r="K217" s="826">
        <v>44470</v>
      </c>
      <c r="L217" s="408">
        <v>0</v>
      </c>
      <c r="M217" s="408">
        <v>0</v>
      </c>
      <c r="N217" s="408">
        <v>49.415999999999997</v>
      </c>
      <c r="O217" s="408">
        <v>49.415999999999997</v>
      </c>
      <c r="P217" s="408">
        <v>49.415999999999997</v>
      </c>
      <c r="Q217" s="408">
        <v>49.415999999999997</v>
      </c>
      <c r="R217" s="408"/>
      <c r="S217" s="408">
        <v>368.24</v>
      </c>
      <c r="T217" s="408">
        <v>173.25</v>
      </c>
      <c r="U217" s="408"/>
      <c r="V217" s="408">
        <v>26758.269840000001</v>
      </c>
      <c r="W217" s="408">
        <v>26758.269840000001</v>
      </c>
      <c r="X217" s="408">
        <v>25147.308239999998</v>
      </c>
      <c r="Y217" s="408">
        <v>0</v>
      </c>
      <c r="Z217" s="408">
        <v>3041.3167729800875</v>
      </c>
      <c r="AA217" s="408">
        <v>0</v>
      </c>
      <c r="AB217" s="408">
        <v>0</v>
      </c>
      <c r="AC217" s="408">
        <v>126.48209842295059</v>
      </c>
      <c r="AD217" s="408">
        <v>121.52093448633333</v>
      </c>
      <c r="AE217" s="408">
        <v>11639.301619902368</v>
      </c>
      <c r="AF217" s="408">
        <v>8417.5446944438263</v>
      </c>
      <c r="AG217" s="408">
        <v>143.6638521452264</v>
      </c>
      <c r="AH217" s="408">
        <v>0</v>
      </c>
      <c r="AI217" s="408">
        <v>0</v>
      </c>
      <c r="AJ217" s="408">
        <v>0</v>
      </c>
      <c r="AK217" s="408">
        <v>0</v>
      </c>
      <c r="AL217" s="408">
        <v>469.89824018431244</v>
      </c>
      <c r="AM217" s="408"/>
      <c r="AN217" s="408">
        <v>59.687447396948166</v>
      </c>
      <c r="AO217" s="408">
        <v>268.49667438739903</v>
      </c>
      <c r="AP217" s="408">
        <v>1251.9603821692649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0</v>
      </c>
      <c r="BE217" s="408">
        <v>0</v>
      </c>
      <c r="BF217" s="408">
        <v>0</v>
      </c>
      <c r="BG217" s="408">
        <v>441.76875282597797</v>
      </c>
      <c r="BH217" s="408">
        <v>0</v>
      </c>
      <c r="BI217" s="408">
        <v>2.09</v>
      </c>
      <c r="BJ217" s="408">
        <v>198.28</v>
      </c>
      <c r="BK217" s="408">
        <v>10983.52</v>
      </c>
      <c r="BL217" s="408">
        <v>43</v>
      </c>
      <c r="BM217" s="408"/>
      <c r="BN217" s="408"/>
      <c r="BO217" s="408"/>
      <c r="BP217" s="408"/>
      <c r="BQ217" s="408"/>
      <c r="BR217" s="408"/>
      <c r="BS217" s="408"/>
      <c r="BT217" s="408"/>
      <c r="BU217" s="408"/>
      <c r="BV217" s="408">
        <v>8859.3134472698039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25149.343800000002</v>
      </c>
      <c r="CJ217" s="408">
        <v>-1608.9560399999937</v>
      </c>
      <c r="CK217" s="408"/>
      <c r="CL217" s="408"/>
      <c r="CM217" s="408"/>
      <c r="CN217" s="408"/>
      <c r="CO217" s="408">
        <v>-2677.8530399999995</v>
      </c>
      <c r="CP217" s="408">
        <v>1066.8914400000001</v>
      </c>
      <c r="CQ217" s="408">
        <v>31</v>
      </c>
      <c r="CR217" s="408">
        <v>1280.2298433037504</v>
      </c>
      <c r="CS217" s="408">
        <v>26.755119706467724</v>
      </c>
      <c r="CT217" s="408">
        <v>124.75517608968289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125.12629813351437</v>
      </c>
      <c r="DA217" s="408">
        <v>0</v>
      </c>
      <c r="DB217" s="408">
        <v>0</v>
      </c>
      <c r="DC217" s="408">
        <v>1066.7709817867872</v>
      </c>
      <c r="DD217" s="408">
        <v>0</v>
      </c>
      <c r="DE217" s="408">
        <v>0</v>
      </c>
      <c r="DF217" s="408">
        <v>0</v>
      </c>
      <c r="DG217" s="408">
        <v>55.986169753987156</v>
      </c>
      <c r="DH217" s="408">
        <v>0</v>
      </c>
      <c r="DI217" s="408">
        <v>-103.27349364353677</v>
      </c>
      <c r="DJ217" s="408"/>
      <c r="DK217" s="408">
        <v>0</v>
      </c>
      <c r="DL217" s="408">
        <v>0</v>
      </c>
      <c r="DM217" s="408">
        <v>0</v>
      </c>
      <c r="DN217" s="408">
        <v>0</v>
      </c>
      <c r="DO217" s="408">
        <v>-14.201765290830792</v>
      </c>
      <c r="DP217" s="408">
        <v>-1.6886432323224625</v>
      </c>
      <c r="DQ217" s="408">
        <v>0</v>
      </c>
      <c r="DR217" s="408">
        <v>0</v>
      </c>
      <c r="DS217" s="408"/>
      <c r="DT217" s="408"/>
      <c r="DU217" s="408"/>
      <c r="DV217" s="408">
        <v>11639.301619902368</v>
      </c>
      <c r="DW217" s="408">
        <v>0</v>
      </c>
      <c r="DX217" s="408">
        <v>0</v>
      </c>
      <c r="DY217" s="408">
        <v>-2677.8530400000018</v>
      </c>
      <c r="DZ217" s="408">
        <v>1066.8914399999994</v>
      </c>
      <c r="EA217" s="408">
        <v>0</v>
      </c>
      <c r="EB217" s="408">
        <v>0</v>
      </c>
      <c r="EC217" s="408">
        <v>-2891.3999548071515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776.69806171465905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240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216</v>
      </c>
      <c r="B218" s="408" t="s">
        <v>1036</v>
      </c>
      <c r="C218" s="408" t="s">
        <v>2247</v>
      </c>
      <c r="D218" s="408" t="s">
        <v>597</v>
      </c>
      <c r="E218" s="408" t="s">
        <v>970</v>
      </c>
      <c r="F218" s="408" t="s">
        <v>1322</v>
      </c>
      <c r="G218" s="408" t="s">
        <v>1322</v>
      </c>
      <c r="H218" s="408" t="s">
        <v>1322</v>
      </c>
      <c r="I218" s="408" t="s">
        <v>973</v>
      </c>
      <c r="J218" s="408" t="s">
        <v>2236</v>
      </c>
      <c r="K218" s="826">
        <v>44470</v>
      </c>
      <c r="L218" s="408">
        <v>10002</v>
      </c>
      <c r="M218" s="408">
        <v>10002</v>
      </c>
      <c r="N218" s="408">
        <v>487.524</v>
      </c>
      <c r="O218" s="408">
        <v>487.524</v>
      </c>
      <c r="P218" s="408">
        <v>487.524</v>
      </c>
      <c r="Q218" s="408">
        <v>487.524</v>
      </c>
      <c r="R218" s="408">
        <v>52.95</v>
      </c>
      <c r="S218" s="408">
        <v>85.01</v>
      </c>
      <c r="T218" s="408">
        <v>173.25</v>
      </c>
      <c r="U218" s="408">
        <v>529605.9</v>
      </c>
      <c r="V218" s="408">
        <v>125907.94824</v>
      </c>
      <c r="W218" s="408">
        <v>655513.84823999996</v>
      </c>
      <c r="X218" s="408">
        <v>578446.81307999999</v>
      </c>
      <c r="Y218" s="408">
        <v>0</v>
      </c>
      <c r="Z218" s="408">
        <v>26104.135887858152</v>
      </c>
      <c r="AA218" s="408">
        <v>0</v>
      </c>
      <c r="AB218" s="408">
        <v>0</v>
      </c>
      <c r="AC218" s="408">
        <v>7878.2378670781245</v>
      </c>
      <c r="AD218" s="408">
        <v>7569.0310332030695</v>
      </c>
      <c r="AE218" s="408">
        <v>419421.00731689273</v>
      </c>
      <c r="AF218" s="408">
        <v>83045.067581634139</v>
      </c>
      <c r="AG218" s="408">
        <v>1417.3461197435925</v>
      </c>
      <c r="AH218" s="408">
        <v>0</v>
      </c>
      <c r="AI218" s="408">
        <v>0</v>
      </c>
      <c r="AJ218" s="408">
        <v>0</v>
      </c>
      <c r="AK218" s="408">
        <v>0</v>
      </c>
      <c r="AL218" s="408">
        <v>4635.8804769227927</v>
      </c>
      <c r="AM218" s="408"/>
      <c r="AN218" s="408">
        <v>390.41596035773631</v>
      </c>
      <c r="AO218" s="408">
        <v>16723.852928208387</v>
      </c>
      <c r="AP218" s="408">
        <v>77979.841999739278</v>
      </c>
      <c r="AQ218" s="408">
        <v>0</v>
      </c>
      <c r="AR218" s="408">
        <v>0</v>
      </c>
      <c r="AS218" s="408">
        <v>0</v>
      </c>
      <c r="AT218" s="408">
        <v>0</v>
      </c>
      <c r="AU218" s="408">
        <v>0</v>
      </c>
      <c r="AV218" s="408">
        <v>0</v>
      </c>
      <c r="AW218" s="408">
        <v>0</v>
      </c>
      <c r="AX218" s="408">
        <v>0</v>
      </c>
      <c r="AY218" s="408">
        <v>0</v>
      </c>
      <c r="AZ218" s="408">
        <v>0</v>
      </c>
      <c r="BA218" s="408"/>
      <c r="BB218" s="408">
        <v>0</v>
      </c>
      <c r="BC218" s="408">
        <v>0</v>
      </c>
      <c r="BD218" s="408">
        <v>0</v>
      </c>
      <c r="BE218" s="408">
        <v>0</v>
      </c>
      <c r="BF218" s="408">
        <v>0</v>
      </c>
      <c r="BG218" s="408">
        <v>3646.0245719729878</v>
      </c>
      <c r="BH218" s="408">
        <v>0</v>
      </c>
      <c r="BI218" s="408">
        <v>0</v>
      </c>
      <c r="BJ218" s="408">
        <v>0</v>
      </c>
      <c r="BK218" s="408">
        <v>0</v>
      </c>
      <c r="BL218" s="408">
        <v>0</v>
      </c>
      <c r="BM218" s="408"/>
      <c r="BN218" s="408"/>
      <c r="BO218" s="408"/>
      <c r="BP218" s="408"/>
      <c r="BQ218" s="408"/>
      <c r="BR218" s="408"/>
      <c r="BS218" s="408"/>
      <c r="BT218" s="408"/>
      <c r="BU218" s="408"/>
      <c r="BV218" s="408">
        <v>86691.092153607126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578445.69839999999</v>
      </c>
      <c r="CJ218" s="408">
        <v>-77068.179839999997</v>
      </c>
      <c r="CK218" s="408"/>
      <c r="CL218" s="408"/>
      <c r="CM218" s="408"/>
      <c r="CN218" s="408"/>
      <c r="CO218" s="408">
        <v>-87592.678320000021</v>
      </c>
      <c r="CP218" s="408">
        <v>10525.643160000001</v>
      </c>
      <c r="CQ218" s="408">
        <v>31</v>
      </c>
      <c r="CR218" s="408">
        <v>27179.567224259139</v>
      </c>
      <c r="CS218" s="408">
        <v>1666.4961980198859</v>
      </c>
      <c r="CT218" s="408">
        <v>7770.5245778358512</v>
      </c>
      <c r="CU218" s="408">
        <v>0</v>
      </c>
      <c r="CV218" s="408">
        <v>0</v>
      </c>
      <c r="CW218" s="408">
        <v>0</v>
      </c>
      <c r="CX218" s="408">
        <v>0</v>
      </c>
      <c r="CY218" s="408">
        <v>0</v>
      </c>
      <c r="CZ218" s="408">
        <v>7793.5940638187076</v>
      </c>
      <c r="DA218" s="408">
        <v>0</v>
      </c>
      <c r="DB218" s="408">
        <v>0</v>
      </c>
      <c r="DC218" s="408">
        <v>10524.454754019374</v>
      </c>
      <c r="DD218" s="408">
        <v>0</v>
      </c>
      <c r="DE218" s="408">
        <v>0</v>
      </c>
      <c r="DF218" s="408">
        <v>0</v>
      </c>
      <c r="DG218" s="408">
        <v>462.0674262448133</v>
      </c>
      <c r="DH218" s="408">
        <v>0</v>
      </c>
      <c r="DI218" s="408">
        <v>-886.41385061743858</v>
      </c>
      <c r="DJ218" s="408"/>
      <c r="DK218" s="408">
        <v>0</v>
      </c>
      <c r="DL218" s="408">
        <v>0</v>
      </c>
      <c r="DM218" s="408">
        <v>0</v>
      </c>
      <c r="DN218" s="408">
        <v>0</v>
      </c>
      <c r="DO218" s="408">
        <v>-140.11051929834412</v>
      </c>
      <c r="DP218" s="408">
        <v>-11.04542576371756</v>
      </c>
      <c r="DQ218" s="408">
        <v>0</v>
      </c>
      <c r="DR218" s="408">
        <v>0</v>
      </c>
      <c r="DS218" s="408"/>
      <c r="DT218" s="408"/>
      <c r="DU218" s="408">
        <v>419421.00731689273</v>
      </c>
      <c r="DV218" s="408">
        <v>0</v>
      </c>
      <c r="DW218" s="408">
        <v>0</v>
      </c>
      <c r="DX218" s="408">
        <v>0</v>
      </c>
      <c r="DY218" s="408">
        <v>-87592.678320000006</v>
      </c>
      <c r="DZ218" s="408">
        <v>10525.643160000007</v>
      </c>
      <c r="EA218" s="408">
        <v>0</v>
      </c>
      <c r="EB218" s="408">
        <v>0</v>
      </c>
      <c r="EC218" s="408">
        <v>-104191.29267408641</v>
      </c>
      <c r="ED218" s="408">
        <v>0</v>
      </c>
      <c r="EE218" s="408">
        <v>0</v>
      </c>
      <c r="EF218" s="408">
        <v>0</v>
      </c>
      <c r="EG218" s="408">
        <v>0</v>
      </c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>
        <v>0</v>
      </c>
      <c r="EN218" s="408">
        <v>0</v>
      </c>
      <c r="EO218" s="408">
        <v>0</v>
      </c>
      <c r="EP218" s="408">
        <v>6666.5307366087727</v>
      </c>
      <c r="EQ218" s="408">
        <v>0</v>
      </c>
      <c r="ER218" s="408">
        <v>0</v>
      </c>
      <c r="ES218" s="408">
        <v>0</v>
      </c>
      <c r="ET218" s="408">
        <v>0</v>
      </c>
      <c r="EU218" s="408">
        <v>0</v>
      </c>
      <c r="EV218" s="408">
        <v>240</v>
      </c>
      <c r="EW218" s="408">
        <v>0</v>
      </c>
      <c r="EX218" s="408">
        <v>0</v>
      </c>
      <c r="EY218" s="408">
        <v>0</v>
      </c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217</v>
      </c>
      <c r="B219" s="408" t="s">
        <v>1036</v>
      </c>
      <c r="C219" s="408" t="s">
        <v>2247</v>
      </c>
      <c r="D219" s="408" t="s">
        <v>597</v>
      </c>
      <c r="E219" s="408" t="s">
        <v>970</v>
      </c>
      <c r="F219" s="408" t="s">
        <v>1322</v>
      </c>
      <c r="G219" s="408" t="s">
        <v>1322</v>
      </c>
      <c r="H219" s="408" t="s">
        <v>1322</v>
      </c>
      <c r="I219" s="408" t="s">
        <v>2244</v>
      </c>
      <c r="J219" s="408" t="s">
        <v>2236</v>
      </c>
      <c r="K219" s="826">
        <v>44470</v>
      </c>
      <c r="L219" s="408">
        <v>10748</v>
      </c>
      <c r="M219" s="408">
        <v>10748</v>
      </c>
      <c r="N219" s="408">
        <v>4467.768</v>
      </c>
      <c r="O219" s="408">
        <v>4467.768</v>
      </c>
      <c r="P219" s="408">
        <v>4467.768</v>
      </c>
      <c r="Q219" s="408">
        <v>4467.768</v>
      </c>
      <c r="R219" s="408">
        <v>27.19</v>
      </c>
      <c r="S219" s="408">
        <v>85.01</v>
      </c>
      <c r="T219" s="408">
        <v>173.25</v>
      </c>
      <c r="U219" s="408">
        <v>292238.12</v>
      </c>
      <c r="V219" s="408">
        <v>1153845.7636800001</v>
      </c>
      <c r="W219" s="408">
        <v>1446083.88368</v>
      </c>
      <c r="X219" s="408">
        <v>1478909.3885599999</v>
      </c>
      <c r="Y219" s="408">
        <v>0</v>
      </c>
      <c r="Z219" s="408">
        <v>239223.55204548748</v>
      </c>
      <c r="AA219" s="408">
        <v>0</v>
      </c>
      <c r="AB219" s="408">
        <v>0</v>
      </c>
      <c r="AC219" s="408">
        <v>2506.4401931194579</v>
      </c>
      <c r="AD219" s="408">
        <v>2407.9264535533171</v>
      </c>
      <c r="AE219" s="408">
        <v>257221.4610534783</v>
      </c>
      <c r="AF219" s="408">
        <v>761041.7035860027</v>
      </c>
      <c r="AG219" s="408">
        <v>12988.84493627922</v>
      </c>
      <c r="AH219" s="408">
        <v>0</v>
      </c>
      <c r="AI219" s="408">
        <v>0</v>
      </c>
      <c r="AJ219" s="408">
        <v>0</v>
      </c>
      <c r="AK219" s="408">
        <v>0</v>
      </c>
      <c r="AL219" s="408">
        <v>42484.141184065593</v>
      </c>
      <c r="AM219" s="408"/>
      <c r="AN219" s="408">
        <v>3577.8503917254593</v>
      </c>
      <c r="AO219" s="408">
        <v>5319.0221645603069</v>
      </c>
      <c r="AP219" s="408">
        <v>24807.338884687495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0</v>
      </c>
      <c r="BF219" s="408">
        <v>0</v>
      </c>
      <c r="BG219" s="408">
        <v>33412.902564539618</v>
      </c>
      <c r="BH219" s="408">
        <v>0</v>
      </c>
      <c r="BI219" s="408">
        <v>0</v>
      </c>
      <c r="BJ219" s="408">
        <v>0</v>
      </c>
      <c r="BK219" s="408">
        <v>0</v>
      </c>
      <c r="BL219" s="408">
        <v>0</v>
      </c>
      <c r="BM219" s="408"/>
      <c r="BN219" s="408"/>
      <c r="BO219" s="408"/>
      <c r="BP219" s="408"/>
      <c r="BQ219" s="408"/>
      <c r="BR219" s="408"/>
      <c r="BS219" s="408"/>
      <c r="BT219" s="408"/>
      <c r="BU219" s="408"/>
      <c r="BV219" s="408">
        <v>794454.60615054227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1478909.9459000002</v>
      </c>
      <c r="CJ219" s="408">
        <v>32826.032220000168</v>
      </c>
      <c r="CK219" s="408"/>
      <c r="CL219" s="408"/>
      <c r="CM219" s="408"/>
      <c r="CN219" s="408"/>
      <c r="CO219" s="408">
        <v>-63633.60624000003</v>
      </c>
      <c r="CP219" s="408">
        <v>96459.111120000016</v>
      </c>
      <c r="CQ219" s="408">
        <v>31</v>
      </c>
      <c r="CR219" s="408">
        <v>96655.59475157503</v>
      </c>
      <c r="CS219" s="408">
        <v>530.02918959373346</v>
      </c>
      <c r="CT219" s="408">
        <v>2471.9982955955675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2479.3664119228256</v>
      </c>
      <c r="DA219" s="408">
        <v>0</v>
      </c>
      <c r="DB219" s="408">
        <v>0</v>
      </c>
      <c r="DC219" s="408">
        <v>96448.220328549272</v>
      </c>
      <c r="DD219" s="408">
        <v>0</v>
      </c>
      <c r="DE219" s="408">
        <v>0</v>
      </c>
      <c r="DF219" s="408">
        <v>0</v>
      </c>
      <c r="DG219" s="408">
        <v>4234.4788375935022</v>
      </c>
      <c r="DH219" s="408">
        <v>0</v>
      </c>
      <c r="DI219" s="408">
        <v>-8123.274826563138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-1284.0009816635138</v>
      </c>
      <c r="DP219" s="408">
        <v>-101.2225034531898</v>
      </c>
      <c r="DQ219" s="408">
        <v>0</v>
      </c>
      <c r="DR219" s="408">
        <v>0</v>
      </c>
      <c r="DS219" s="408"/>
      <c r="DT219" s="408"/>
      <c r="DU219" s="408">
        <v>257221.4610534783</v>
      </c>
      <c r="DV219" s="408">
        <v>0</v>
      </c>
      <c r="DW219" s="408">
        <v>0</v>
      </c>
      <c r="DX219" s="408">
        <v>0</v>
      </c>
      <c r="DY219" s="408">
        <v>-63633.60624000011</v>
      </c>
      <c r="DZ219" s="408">
        <v>96459.111120000016</v>
      </c>
      <c r="EA219" s="408">
        <v>0</v>
      </c>
      <c r="EB219" s="408">
        <v>0</v>
      </c>
      <c r="EC219" s="408">
        <v>-63898.174061725644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61093.428623077234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240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218</v>
      </c>
      <c r="B220" s="408" t="s">
        <v>1036</v>
      </c>
      <c r="C220" s="408" t="s">
        <v>2247</v>
      </c>
      <c r="D220" s="408" t="s">
        <v>597</v>
      </c>
      <c r="E220" s="408" t="s">
        <v>970</v>
      </c>
      <c r="F220" s="408" t="s">
        <v>1322</v>
      </c>
      <c r="G220" s="408" t="s">
        <v>1322</v>
      </c>
      <c r="H220" s="408" t="s">
        <v>1322</v>
      </c>
      <c r="I220" s="408" t="s">
        <v>1322</v>
      </c>
      <c r="J220" s="408" t="s">
        <v>2236</v>
      </c>
      <c r="K220" s="826">
        <v>44470</v>
      </c>
      <c r="L220" s="408">
        <v>0</v>
      </c>
      <c r="M220" s="408">
        <v>0</v>
      </c>
      <c r="N220" s="408">
        <v>0</v>
      </c>
      <c r="O220" s="408">
        <v>0</v>
      </c>
      <c r="P220" s="408">
        <v>0</v>
      </c>
      <c r="Q220" s="408">
        <v>0</v>
      </c>
      <c r="R220" s="408"/>
      <c r="S220" s="408"/>
      <c r="T220" s="408"/>
      <c r="U220" s="408"/>
      <c r="V220" s="408"/>
      <c r="W220" s="408"/>
      <c r="X220" s="408"/>
      <c r="Y220" s="408"/>
      <c r="Z220" s="408"/>
      <c r="AA220" s="408">
        <v>0</v>
      </c>
      <c r="AB220" s="408"/>
      <c r="AC220" s="408"/>
      <c r="AD220" s="408"/>
      <c r="AE220" s="408"/>
      <c r="AF220" s="408"/>
      <c r="AG220" s="408"/>
      <c r="AH220" s="408"/>
      <c r="AI220" s="408"/>
      <c r="AJ220" s="408"/>
      <c r="AK220" s="408"/>
      <c r="AL220" s="408"/>
      <c r="AM220" s="408"/>
      <c r="AN220" s="408"/>
      <c r="AO220" s="408"/>
      <c r="AP220" s="408"/>
      <c r="AQ220" s="408"/>
      <c r="AR220" s="408"/>
      <c r="AS220" s="408"/>
      <c r="AT220" s="408"/>
      <c r="AU220" s="408"/>
      <c r="AV220" s="408"/>
      <c r="AW220" s="408"/>
      <c r="AX220" s="408"/>
      <c r="AY220" s="408"/>
      <c r="AZ220" s="408">
        <v>0</v>
      </c>
      <c r="BA220" s="408"/>
      <c r="BB220" s="408"/>
      <c r="BC220" s="408"/>
      <c r="BD220" s="408"/>
      <c r="BE220" s="408"/>
      <c r="BF220" s="408"/>
      <c r="BG220" s="408"/>
      <c r="BH220" s="408"/>
      <c r="BI220" s="408">
        <v>194.43</v>
      </c>
      <c r="BJ220" s="408">
        <v>16667.21</v>
      </c>
      <c r="BK220" s="408">
        <v>587221.75</v>
      </c>
      <c r="BL220" s="408">
        <v>5</v>
      </c>
      <c r="BM220" s="408"/>
      <c r="BN220" s="408"/>
      <c r="BO220" s="408"/>
      <c r="BP220" s="408"/>
      <c r="BQ220" s="408"/>
      <c r="BR220" s="408"/>
      <c r="BS220" s="408"/>
      <c r="BT220" s="408"/>
      <c r="BU220" s="408"/>
      <c r="BV220" s="408"/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/>
      <c r="CJ220" s="408">
        <v>-0.03</v>
      </c>
      <c r="CK220" s="408"/>
      <c r="CL220" s="408"/>
      <c r="CM220" s="408"/>
      <c r="CN220" s="408"/>
      <c r="CO220" s="408">
        <v>0</v>
      </c>
      <c r="CP220" s="408">
        <v>0</v>
      </c>
      <c r="CQ220" s="408">
        <v>31</v>
      </c>
      <c r="CR220" s="408"/>
      <c r="CS220" s="408"/>
      <c r="CT220" s="408"/>
      <c r="CU220" s="408"/>
      <c r="CV220" s="408"/>
      <c r="CW220" s="408"/>
      <c r="CX220" s="408"/>
      <c r="CY220" s="408"/>
      <c r="CZ220" s="408"/>
      <c r="DA220" s="408"/>
      <c r="DB220" s="408"/>
      <c r="DC220" s="408"/>
      <c r="DD220" s="408"/>
      <c r="DE220" s="408"/>
      <c r="DF220" s="408"/>
      <c r="DG220" s="408"/>
      <c r="DH220" s="408"/>
      <c r="DI220" s="408"/>
      <c r="DJ220" s="408"/>
      <c r="DK220" s="408">
        <v>0</v>
      </c>
      <c r="DL220" s="408"/>
      <c r="DM220" s="408"/>
      <c r="DN220" s="408"/>
      <c r="DO220" s="408"/>
      <c r="DP220" s="408"/>
      <c r="DQ220" s="408"/>
      <c r="DR220" s="408"/>
      <c r="DS220" s="408"/>
      <c r="DT220" s="408"/>
      <c r="DU220" s="408"/>
      <c r="DV220" s="408"/>
      <c r="DW220" s="408"/>
      <c r="DX220" s="408"/>
      <c r="DY220" s="408"/>
      <c r="DZ220" s="408"/>
      <c r="EA220" s="408"/>
      <c r="EB220" s="408"/>
      <c r="EC220" s="408"/>
      <c r="ED220" s="408"/>
      <c r="EE220" s="408"/>
      <c r="EF220" s="408"/>
      <c r="EG220" s="408"/>
      <c r="EH220" s="408"/>
      <c r="EI220" s="408"/>
      <c r="EJ220" s="408"/>
      <c r="EK220" s="408"/>
      <c r="EL220" s="408"/>
      <c r="EM220" s="408"/>
      <c r="EN220" s="408"/>
      <c r="EO220" s="408"/>
      <c r="EP220" s="408"/>
      <c r="EQ220" s="408"/>
      <c r="ER220" s="408"/>
      <c r="ES220" s="408"/>
      <c r="ET220" s="408"/>
      <c r="EU220" s="408"/>
      <c r="EV220" s="408">
        <v>240</v>
      </c>
      <c r="EW220" s="408"/>
      <c r="EX220" s="408"/>
      <c r="EY220" s="408"/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219</v>
      </c>
      <c r="B221" s="408" t="s">
        <v>1036</v>
      </c>
      <c r="C221" s="408" t="s">
        <v>2243</v>
      </c>
      <c r="D221" s="408" t="s">
        <v>597</v>
      </c>
      <c r="E221" s="408" t="s">
        <v>970</v>
      </c>
      <c r="F221" s="408" t="s">
        <v>1322</v>
      </c>
      <c r="G221" s="408" t="s">
        <v>1322</v>
      </c>
      <c r="H221" s="408" t="s">
        <v>1322</v>
      </c>
      <c r="I221" s="408" t="s">
        <v>973</v>
      </c>
      <c r="J221" s="408" t="s">
        <v>2236</v>
      </c>
      <c r="K221" s="826">
        <v>44470</v>
      </c>
      <c r="L221" s="408">
        <v>0</v>
      </c>
      <c r="M221" s="408">
        <v>0</v>
      </c>
      <c r="N221" s="408">
        <v>205.74700000000001</v>
      </c>
      <c r="O221" s="408">
        <v>205.74700000000001</v>
      </c>
      <c r="P221" s="408">
        <v>205.74700000000001</v>
      </c>
      <c r="Q221" s="408">
        <v>205.74700000000001</v>
      </c>
      <c r="R221" s="408"/>
      <c r="S221" s="408">
        <v>1358.36</v>
      </c>
      <c r="T221" s="408">
        <v>173.25</v>
      </c>
      <c r="U221" s="408"/>
      <c r="V221" s="408">
        <v>315124.16267000005</v>
      </c>
      <c r="W221" s="408">
        <v>315124.16267000005</v>
      </c>
      <c r="X221" s="408">
        <v>276301.76124000002</v>
      </c>
      <c r="Y221" s="408">
        <v>0</v>
      </c>
      <c r="Z221" s="408">
        <v>11016.581022717141</v>
      </c>
      <c r="AA221" s="408">
        <v>0</v>
      </c>
      <c r="AB221" s="408">
        <v>0</v>
      </c>
      <c r="AC221" s="408">
        <v>3897.2778487717928</v>
      </c>
      <c r="AD221" s="408">
        <v>3744.4216455402034</v>
      </c>
      <c r="AE221" s="408">
        <v>207497.43720852368</v>
      </c>
      <c r="AF221" s="408">
        <v>35047.040801516399</v>
      </c>
      <c r="AG221" s="408">
        <v>598.15457720827067</v>
      </c>
      <c r="AH221" s="408">
        <v>0</v>
      </c>
      <c r="AI221" s="408">
        <v>0</v>
      </c>
      <c r="AJ221" s="408">
        <v>0</v>
      </c>
      <c r="AK221" s="408">
        <v>0</v>
      </c>
      <c r="AL221" s="408">
        <v>1956.4544524688713</v>
      </c>
      <c r="AM221" s="408"/>
      <c r="AN221" s="408">
        <v>164.76504253272284</v>
      </c>
      <c r="AO221" s="408">
        <v>8273.2560338234125</v>
      </c>
      <c r="AP221" s="408">
        <v>38576.760329178804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</v>
      </c>
      <c r="BF221" s="408">
        <v>0</v>
      </c>
      <c r="BG221" s="408">
        <v>1538.7111559835544</v>
      </c>
      <c r="BH221" s="408">
        <v>0</v>
      </c>
      <c r="BI221" s="408">
        <v>0</v>
      </c>
      <c r="BJ221" s="408">
        <v>0</v>
      </c>
      <c r="BK221" s="408">
        <v>0</v>
      </c>
      <c r="BL221" s="408">
        <v>0</v>
      </c>
      <c r="BM221" s="408"/>
      <c r="BN221" s="408"/>
      <c r="BO221" s="408"/>
      <c r="BP221" s="408"/>
      <c r="BQ221" s="408"/>
      <c r="BR221" s="408"/>
      <c r="BS221" s="408"/>
      <c r="BT221" s="408"/>
      <c r="BU221" s="408"/>
      <c r="BV221" s="408">
        <v>36585.751957499953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276305.78999999998</v>
      </c>
      <c r="CJ221" s="408">
        <v>-38818.402670000098</v>
      </c>
      <c r="CK221" s="408"/>
      <c r="CL221" s="408"/>
      <c r="CM221" s="408"/>
      <c r="CN221" s="408"/>
      <c r="CO221" s="408">
        <v>-43264.479159999995</v>
      </c>
      <c r="CP221" s="408">
        <v>4442.0777300000009</v>
      </c>
      <c r="CQ221" s="408">
        <v>31</v>
      </c>
      <c r="CR221" s="408">
        <v>12722.717800071405</v>
      </c>
      <c r="CS221" s="408">
        <v>824.41228016039531</v>
      </c>
      <c r="CT221" s="408">
        <v>3844.0917111908711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3855.5136293009659</v>
      </c>
      <c r="DA221" s="408">
        <v>0</v>
      </c>
      <c r="DB221" s="408">
        <v>0</v>
      </c>
      <c r="DC221" s="408">
        <v>4441.5761937365605</v>
      </c>
      <c r="DD221" s="408">
        <v>0</v>
      </c>
      <c r="DE221" s="408">
        <v>0</v>
      </c>
      <c r="DF221" s="408">
        <v>0</v>
      </c>
      <c r="DG221" s="408">
        <v>195.00370596645826</v>
      </c>
      <c r="DH221" s="408">
        <v>0</v>
      </c>
      <c r="DI221" s="408">
        <v>-374.08823057528571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-59.130051062258417</v>
      </c>
      <c r="DP221" s="408">
        <v>-4.6614386463181177</v>
      </c>
      <c r="DQ221" s="408">
        <v>0</v>
      </c>
      <c r="DR221" s="408">
        <v>0</v>
      </c>
      <c r="DS221" s="408"/>
      <c r="DT221" s="408"/>
      <c r="DU221" s="408"/>
      <c r="DV221" s="408">
        <v>207497.43720852368</v>
      </c>
      <c r="DW221" s="408">
        <v>0</v>
      </c>
      <c r="DX221" s="408">
        <v>0</v>
      </c>
      <c r="DY221" s="408">
        <v>-43264.479160000017</v>
      </c>
      <c r="DZ221" s="408">
        <v>4442.0777300000045</v>
      </c>
      <c r="EA221" s="408">
        <v>0</v>
      </c>
      <c r="EB221" s="408">
        <v>0</v>
      </c>
      <c r="EC221" s="408">
        <v>-51545.883091597061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2813.43831168321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240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220</v>
      </c>
      <c r="B222" s="408" t="s">
        <v>2238</v>
      </c>
      <c r="C222" s="408" t="s">
        <v>2243</v>
      </c>
      <c r="D222" s="408" t="s">
        <v>597</v>
      </c>
      <c r="E222" s="408" t="s">
        <v>970</v>
      </c>
      <c r="F222" s="408" t="s">
        <v>1322</v>
      </c>
      <c r="G222" s="408" t="s">
        <v>1322</v>
      </c>
      <c r="H222" s="408" t="s">
        <v>1322</v>
      </c>
      <c r="I222" s="408" t="s">
        <v>973</v>
      </c>
      <c r="J222" s="408" t="s">
        <v>2236</v>
      </c>
      <c r="K222" s="826">
        <v>44470</v>
      </c>
      <c r="L222" s="408">
        <v>0</v>
      </c>
      <c r="M222" s="408">
        <v>0</v>
      </c>
      <c r="N222" s="408">
        <v>0.27900000000000003</v>
      </c>
      <c r="O222" s="408">
        <v>0.27900000000000003</v>
      </c>
      <c r="P222" s="408">
        <v>0.27900000000000003</v>
      </c>
      <c r="Q222" s="408">
        <v>0.27900000000000003</v>
      </c>
      <c r="R222" s="408"/>
      <c r="S222" s="408">
        <v>1358.36</v>
      </c>
      <c r="T222" s="408">
        <v>173.25</v>
      </c>
      <c r="U222" s="408"/>
      <c r="V222" s="408">
        <v>427.31918999999999</v>
      </c>
      <c r="W222" s="408">
        <v>427.31918999999999</v>
      </c>
      <c r="X222" s="408">
        <v>374.67468000000002</v>
      </c>
      <c r="Y222" s="408">
        <v>0</v>
      </c>
      <c r="Z222" s="408">
        <v>14.938862317983165</v>
      </c>
      <c r="AA222" s="408">
        <v>0</v>
      </c>
      <c r="AB222" s="408">
        <v>0</v>
      </c>
      <c r="AC222" s="408">
        <v>5.2848426456149067</v>
      </c>
      <c r="AD222" s="408">
        <v>5.0775643829835513</v>
      </c>
      <c r="AE222" s="408">
        <v>281.37365298730043</v>
      </c>
      <c r="AF222" s="408">
        <v>47.524991293302328</v>
      </c>
      <c r="AG222" s="408">
        <v>0.81111815502100892</v>
      </c>
      <c r="AH222" s="408">
        <v>0</v>
      </c>
      <c r="AI222" s="408">
        <v>0</v>
      </c>
      <c r="AJ222" s="408">
        <v>0</v>
      </c>
      <c r="AK222" s="408">
        <v>0</v>
      </c>
      <c r="AL222" s="408">
        <v>2.6530194473737896</v>
      </c>
      <c r="AM222" s="408"/>
      <c r="AN222" s="408">
        <v>0.22342705782650379</v>
      </c>
      <c r="AO222" s="408">
        <v>11.218819391955812</v>
      </c>
      <c r="AP222" s="408">
        <v>52.311412228809594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>
        <v>0</v>
      </c>
      <c r="BG222" s="408">
        <v>2.0865451866584288</v>
      </c>
      <c r="BH222" s="408">
        <v>0</v>
      </c>
      <c r="BI222" s="408">
        <v>0</v>
      </c>
      <c r="BJ222" s="408">
        <v>0</v>
      </c>
      <c r="BK222" s="408">
        <v>0</v>
      </c>
      <c r="BL222" s="408">
        <v>0</v>
      </c>
      <c r="BM222" s="408"/>
      <c r="BN222" s="408"/>
      <c r="BO222" s="408"/>
      <c r="BP222" s="408"/>
      <c r="BQ222" s="408"/>
      <c r="BR222" s="408"/>
      <c r="BS222" s="408"/>
      <c r="BT222" s="408"/>
      <c r="BU222" s="408"/>
      <c r="BV222" s="408">
        <v>49.611536479960755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376.01760000000002</v>
      </c>
      <c r="CJ222" s="408">
        <v>-51.331589999999949</v>
      </c>
      <c r="CK222" s="408"/>
      <c r="CL222" s="408"/>
      <c r="CM222" s="408"/>
      <c r="CN222" s="408"/>
      <c r="CO222" s="408">
        <v>-58.668119999999995</v>
      </c>
      <c r="CP222" s="408">
        <v>6.0236100000000015</v>
      </c>
      <c r="CQ222" s="408">
        <v>31</v>
      </c>
      <c r="CR222" s="408">
        <v>17.252442398770881</v>
      </c>
      <c r="CS222" s="408">
        <v>1.1179313728256055</v>
      </c>
      <c r="CT222" s="408">
        <v>5.2127204159586853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5.228208929291652</v>
      </c>
      <c r="DA222" s="408">
        <v>0</v>
      </c>
      <c r="DB222" s="408">
        <v>0</v>
      </c>
      <c r="DC222" s="408">
        <v>6.0229298995975711</v>
      </c>
      <c r="DD222" s="408">
        <v>0</v>
      </c>
      <c r="DE222" s="408">
        <v>0</v>
      </c>
      <c r="DF222" s="408">
        <v>0</v>
      </c>
      <c r="DG222" s="408">
        <v>0.26443172422753092</v>
      </c>
      <c r="DH222" s="408">
        <v>0</v>
      </c>
      <c r="DI222" s="408">
        <v>-0.50727649166454292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-8.0182380527395569E-2</v>
      </c>
      <c r="DP222" s="408">
        <v>-6.3210709382044705E-3</v>
      </c>
      <c r="DQ222" s="408">
        <v>0</v>
      </c>
      <c r="DR222" s="408">
        <v>0</v>
      </c>
      <c r="DS222" s="408"/>
      <c r="DT222" s="408"/>
      <c r="DU222" s="408"/>
      <c r="DV222" s="408">
        <v>281.37365298730043</v>
      </c>
      <c r="DW222" s="408">
        <v>0</v>
      </c>
      <c r="DX222" s="408">
        <v>0</v>
      </c>
      <c r="DY222" s="408">
        <v>-58.668119999999988</v>
      </c>
      <c r="DZ222" s="408">
        <v>6.023610000000005</v>
      </c>
      <c r="EA222" s="408">
        <v>0</v>
      </c>
      <c r="EB222" s="408">
        <v>0</v>
      </c>
      <c r="EC222" s="408">
        <v>-69.897988221240524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3.8151190003237745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240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221</v>
      </c>
      <c r="B223" s="408" t="s">
        <v>1036</v>
      </c>
      <c r="C223" s="408" t="s">
        <v>2243</v>
      </c>
      <c r="D223" s="408" t="s">
        <v>597</v>
      </c>
      <c r="E223" s="408" t="s">
        <v>970</v>
      </c>
      <c r="F223" s="408" t="s">
        <v>1322</v>
      </c>
      <c r="G223" s="408" t="s">
        <v>1322</v>
      </c>
      <c r="H223" s="408" t="s">
        <v>1322</v>
      </c>
      <c r="I223" s="408" t="s">
        <v>2244</v>
      </c>
      <c r="J223" s="408" t="s">
        <v>2236</v>
      </c>
      <c r="K223" s="826">
        <v>44470</v>
      </c>
      <c r="L223" s="408">
        <v>0</v>
      </c>
      <c r="M223" s="408">
        <v>0</v>
      </c>
      <c r="N223" s="408">
        <v>3434.1439999999998</v>
      </c>
      <c r="O223" s="408">
        <v>3434.1439999999998</v>
      </c>
      <c r="P223" s="408">
        <v>3434.1439999999998</v>
      </c>
      <c r="Q223" s="408">
        <v>3434.1439999999998</v>
      </c>
      <c r="R223" s="408"/>
      <c r="S223" s="408">
        <v>85.01</v>
      </c>
      <c r="T223" s="408">
        <v>173.25</v>
      </c>
      <c r="U223" s="408"/>
      <c r="V223" s="408">
        <v>886902.02943999995</v>
      </c>
      <c r="W223" s="408">
        <v>886902.02943999995</v>
      </c>
      <c r="X223" s="408">
        <v>956992.90847999998</v>
      </c>
      <c r="Y223" s="408">
        <v>0</v>
      </c>
      <c r="Z223" s="408">
        <v>183878.86880332607</v>
      </c>
      <c r="AA223" s="408">
        <v>0</v>
      </c>
      <c r="AB223" s="408">
        <v>0</v>
      </c>
      <c r="AC223" s="408">
        <v>0</v>
      </c>
      <c r="AD223" s="408">
        <v>0</v>
      </c>
      <c r="AE223" s="408">
        <v>0</v>
      </c>
      <c r="AF223" s="408">
        <v>584973.70501772908</v>
      </c>
      <c r="AG223" s="408">
        <v>9983.8585855070505</v>
      </c>
      <c r="AH223" s="408">
        <v>0</v>
      </c>
      <c r="AI223" s="408">
        <v>0</v>
      </c>
      <c r="AJ223" s="408">
        <v>0</v>
      </c>
      <c r="AK223" s="408">
        <v>0</v>
      </c>
      <c r="AL223" s="408">
        <v>32655.379272695391</v>
      </c>
      <c r="AM223" s="408"/>
      <c r="AN223" s="408">
        <v>2750.1100002600033</v>
      </c>
      <c r="AO223" s="408">
        <v>0</v>
      </c>
      <c r="AP223" s="408">
        <v>0</v>
      </c>
      <c r="AQ223" s="408">
        <v>0</v>
      </c>
      <c r="AR223" s="408">
        <v>0</v>
      </c>
      <c r="AS223" s="408">
        <v>0</v>
      </c>
      <c r="AT223" s="408">
        <v>0</v>
      </c>
      <c r="AU223" s="408">
        <v>0</v>
      </c>
      <c r="AV223" s="408">
        <v>0</v>
      </c>
      <c r="AW223" s="408">
        <v>0</v>
      </c>
      <c r="AX223" s="408">
        <v>0</v>
      </c>
      <c r="AY223" s="408">
        <v>0</v>
      </c>
      <c r="AZ223" s="408">
        <v>0</v>
      </c>
      <c r="BA223" s="408"/>
      <c r="BB223" s="408">
        <v>0</v>
      </c>
      <c r="BC223" s="408">
        <v>0</v>
      </c>
      <c r="BD223" s="408">
        <v>0</v>
      </c>
      <c r="BE223" s="408">
        <v>0</v>
      </c>
      <c r="BF223" s="408">
        <v>0</v>
      </c>
      <c r="BG223" s="408">
        <v>25682.783632587532</v>
      </c>
      <c r="BH223" s="408">
        <v>0</v>
      </c>
      <c r="BI223" s="408">
        <v>0</v>
      </c>
      <c r="BJ223" s="408">
        <v>0</v>
      </c>
      <c r="BK223" s="408">
        <v>0</v>
      </c>
      <c r="BL223" s="408">
        <v>0</v>
      </c>
      <c r="BM223" s="408"/>
      <c r="BN223" s="408"/>
      <c r="BO223" s="408"/>
      <c r="BP223" s="408"/>
      <c r="BQ223" s="408"/>
      <c r="BR223" s="408"/>
      <c r="BS223" s="408"/>
      <c r="BT223" s="408"/>
      <c r="BU223" s="408"/>
      <c r="BV223" s="408">
        <v>610656.48865031661</v>
      </c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>
        <v>956991.79379999987</v>
      </c>
      <c r="CJ223" s="408">
        <v>70089.734359999886</v>
      </c>
      <c r="CK223" s="408"/>
      <c r="CL223" s="408"/>
      <c r="CM223" s="408"/>
      <c r="CN223" s="408"/>
      <c r="CO223" s="408">
        <v>-4052.2899200000234</v>
      </c>
      <c r="CP223" s="408">
        <v>74143.16896000001</v>
      </c>
      <c r="CQ223" s="408">
        <v>31</v>
      </c>
      <c r="CR223" s="408">
        <v>70080.929631786654</v>
      </c>
      <c r="CS223" s="408">
        <v>0</v>
      </c>
      <c r="CT223" s="408">
        <v>0</v>
      </c>
      <c r="CU223" s="408">
        <v>0</v>
      </c>
      <c r="CV223" s="408">
        <v>0</v>
      </c>
      <c r="CW223" s="408">
        <v>0</v>
      </c>
      <c r="CX223" s="408">
        <v>0</v>
      </c>
      <c r="CY223" s="408">
        <v>0</v>
      </c>
      <c r="CZ223" s="408">
        <v>0</v>
      </c>
      <c r="DA223" s="408">
        <v>0</v>
      </c>
      <c r="DB223" s="408">
        <v>0</v>
      </c>
      <c r="DC223" s="408">
        <v>74134.79776746803</v>
      </c>
      <c r="DD223" s="408">
        <v>0</v>
      </c>
      <c r="DE223" s="408">
        <v>0</v>
      </c>
      <c r="DF223" s="408">
        <v>0</v>
      </c>
      <c r="DG223" s="408">
        <v>3254.8265919915066</v>
      </c>
      <c r="DH223" s="408">
        <v>0</v>
      </c>
      <c r="DI223" s="408">
        <v>-6243.9445168130624</v>
      </c>
      <c r="DJ223" s="408"/>
      <c r="DK223" s="408">
        <v>0</v>
      </c>
      <c r="DL223" s="408">
        <v>0</v>
      </c>
      <c r="DM223" s="408">
        <v>0</v>
      </c>
      <c r="DN223" s="408">
        <v>0</v>
      </c>
      <c r="DO223" s="408">
        <v>-986.94566664470403</v>
      </c>
      <c r="DP223" s="408">
        <v>-77.804544215086935</v>
      </c>
      <c r="DQ223" s="408">
        <v>0</v>
      </c>
      <c r="DR223" s="408">
        <v>0</v>
      </c>
      <c r="DS223" s="408"/>
      <c r="DT223" s="408"/>
      <c r="DU223" s="408"/>
      <c r="DV223" s="408">
        <v>0</v>
      </c>
      <c r="DW223" s="408">
        <v>0</v>
      </c>
      <c r="DX223" s="408">
        <v>0</v>
      </c>
      <c r="DY223" s="408">
        <v>-4052.2899200000102</v>
      </c>
      <c r="DZ223" s="408">
        <v>74143.168960000039</v>
      </c>
      <c r="EA223" s="408">
        <v>0</v>
      </c>
      <c r="EB223" s="408">
        <v>0</v>
      </c>
      <c r="EC223" s="408">
        <v>0</v>
      </c>
      <c r="ED223" s="408">
        <v>0</v>
      </c>
      <c r="EE223" s="408">
        <v>0</v>
      </c>
      <c r="EF223" s="408">
        <v>0</v>
      </c>
      <c r="EG223" s="408">
        <v>0</v>
      </c>
      <c r="EH223" s="408">
        <v>0</v>
      </c>
      <c r="EI223" s="408">
        <v>0</v>
      </c>
      <c r="EJ223" s="408">
        <v>0</v>
      </c>
      <c r="EK223" s="408">
        <v>0</v>
      </c>
      <c r="EL223" s="408">
        <v>0</v>
      </c>
      <c r="EM223" s="408">
        <v>0</v>
      </c>
      <c r="EN223" s="408">
        <v>0</v>
      </c>
      <c r="EO223" s="408">
        <v>0</v>
      </c>
      <c r="EP223" s="408">
        <v>46959.383599454792</v>
      </c>
      <c r="EQ223" s="408">
        <v>0</v>
      </c>
      <c r="ER223" s="408">
        <v>0</v>
      </c>
      <c r="ES223" s="408">
        <v>0</v>
      </c>
      <c r="ET223" s="408">
        <v>0</v>
      </c>
      <c r="EU223" s="408">
        <v>0</v>
      </c>
      <c r="EV223" s="408">
        <v>240</v>
      </c>
      <c r="EW223" s="408">
        <v>0</v>
      </c>
      <c r="EX223" s="408">
        <v>0</v>
      </c>
      <c r="EY223" s="408">
        <v>0</v>
      </c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222</v>
      </c>
      <c r="B224" s="408" t="s">
        <v>2238</v>
      </c>
      <c r="C224" s="408" t="s">
        <v>2243</v>
      </c>
      <c r="D224" s="408" t="s">
        <v>597</v>
      </c>
      <c r="E224" s="408" t="s">
        <v>970</v>
      </c>
      <c r="F224" s="408" t="s">
        <v>1322</v>
      </c>
      <c r="G224" s="408" t="s">
        <v>1322</v>
      </c>
      <c r="H224" s="408" t="s">
        <v>1322</v>
      </c>
      <c r="I224" s="408" t="s">
        <v>2244</v>
      </c>
      <c r="J224" s="408" t="s">
        <v>2236</v>
      </c>
      <c r="K224" s="826">
        <v>44470</v>
      </c>
      <c r="L224" s="408">
        <v>0</v>
      </c>
      <c r="M224" s="408">
        <v>0</v>
      </c>
      <c r="N224" s="408">
        <v>4.6539999999999999</v>
      </c>
      <c r="O224" s="408">
        <v>4.6539999999999999</v>
      </c>
      <c r="P224" s="408">
        <v>4.6539999999999999</v>
      </c>
      <c r="Q224" s="408">
        <v>4.6539999999999999</v>
      </c>
      <c r="R224" s="408"/>
      <c r="S224" s="408">
        <v>85.01</v>
      </c>
      <c r="T224" s="408">
        <v>173.25</v>
      </c>
      <c r="U224" s="408"/>
      <c r="V224" s="408">
        <v>1201.9420399999999</v>
      </c>
      <c r="W224" s="408">
        <v>1201.9420399999999</v>
      </c>
      <c r="X224" s="408">
        <v>1296.9301799999998</v>
      </c>
      <c r="Y224" s="408">
        <v>0</v>
      </c>
      <c r="Z224" s="408">
        <v>249.19521587058654</v>
      </c>
      <c r="AA224" s="408">
        <v>0</v>
      </c>
      <c r="AB224" s="408">
        <v>0</v>
      </c>
      <c r="AC224" s="408">
        <v>0</v>
      </c>
      <c r="AD224" s="408">
        <v>0</v>
      </c>
      <c r="AE224" s="408">
        <v>0</v>
      </c>
      <c r="AF224" s="408">
        <v>792.76455010404663</v>
      </c>
      <c r="AG224" s="408">
        <v>13.530264851138979</v>
      </c>
      <c r="AH224" s="408">
        <v>0</v>
      </c>
      <c r="AI224" s="408">
        <v>0</v>
      </c>
      <c r="AJ224" s="408">
        <v>0</v>
      </c>
      <c r="AK224" s="408">
        <v>0</v>
      </c>
      <c r="AL224" s="408">
        <v>44.255026910672456</v>
      </c>
      <c r="AM224" s="408"/>
      <c r="AN224" s="408">
        <v>3.7269875524177367</v>
      </c>
      <c r="AO224" s="408">
        <v>0</v>
      </c>
      <c r="AP224" s="408">
        <v>0</v>
      </c>
      <c r="AQ224" s="408">
        <v>0</v>
      </c>
      <c r="AR224" s="408">
        <v>0</v>
      </c>
      <c r="AS224" s="408">
        <v>0</v>
      </c>
      <c r="AT224" s="408">
        <v>0</v>
      </c>
      <c r="AU224" s="408">
        <v>0</v>
      </c>
      <c r="AV224" s="408">
        <v>0</v>
      </c>
      <c r="AW224" s="408">
        <v>0</v>
      </c>
      <c r="AX224" s="408">
        <v>0</v>
      </c>
      <c r="AY224" s="408">
        <v>0</v>
      </c>
      <c r="AZ224" s="408">
        <v>0</v>
      </c>
      <c r="BA224" s="408"/>
      <c r="BB224" s="408">
        <v>0</v>
      </c>
      <c r="BC224" s="408">
        <v>0</v>
      </c>
      <c r="BD224" s="408">
        <v>0</v>
      </c>
      <c r="BE224" s="408">
        <v>0</v>
      </c>
      <c r="BF224" s="408">
        <v>0</v>
      </c>
      <c r="BG224" s="408">
        <v>34.805667737305825</v>
      </c>
      <c r="BH224" s="408">
        <v>0</v>
      </c>
      <c r="BI224" s="408">
        <v>0</v>
      </c>
      <c r="BJ224" s="408">
        <v>0</v>
      </c>
      <c r="BK224" s="408">
        <v>0</v>
      </c>
      <c r="BL224" s="408">
        <v>0</v>
      </c>
      <c r="BM224" s="408"/>
      <c r="BN224" s="408"/>
      <c r="BO224" s="408"/>
      <c r="BP224" s="408"/>
      <c r="BQ224" s="408"/>
      <c r="BR224" s="408"/>
      <c r="BS224" s="408"/>
      <c r="BT224" s="408"/>
      <c r="BU224" s="408"/>
      <c r="BV224" s="408">
        <v>827.57021784135247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1295.8155000000002</v>
      </c>
      <c r="CJ224" s="408">
        <v>93.843460000000277</v>
      </c>
      <c r="CK224" s="408"/>
      <c r="CL224" s="408"/>
      <c r="CM224" s="408"/>
      <c r="CN224" s="408"/>
      <c r="CO224" s="408">
        <v>-5.4917200000000319</v>
      </c>
      <c r="CP224" s="408">
        <v>100.47986000000002</v>
      </c>
      <c r="CQ224" s="408">
        <v>31</v>
      </c>
      <c r="CR224" s="408">
        <v>94.974656422775297</v>
      </c>
      <c r="CS224" s="408">
        <v>0</v>
      </c>
      <c r="CT224" s="408">
        <v>0</v>
      </c>
      <c r="CU224" s="408">
        <v>0</v>
      </c>
      <c r="CV224" s="408">
        <v>0</v>
      </c>
      <c r="CW224" s="408">
        <v>0</v>
      </c>
      <c r="CX224" s="408">
        <v>0</v>
      </c>
      <c r="CY224" s="408">
        <v>0</v>
      </c>
      <c r="CZ224" s="408">
        <v>0</v>
      </c>
      <c r="DA224" s="408">
        <v>0</v>
      </c>
      <c r="DB224" s="408">
        <v>0</v>
      </c>
      <c r="DC224" s="408">
        <v>100.4685152427495</v>
      </c>
      <c r="DD224" s="408">
        <v>0</v>
      </c>
      <c r="DE224" s="408">
        <v>0</v>
      </c>
      <c r="DF224" s="408">
        <v>0</v>
      </c>
      <c r="DG224" s="408">
        <v>4.4109865396234085</v>
      </c>
      <c r="DH224" s="408">
        <v>0</v>
      </c>
      <c r="DI224" s="408">
        <v>-8.4618809756515532</v>
      </c>
      <c r="DJ224" s="408"/>
      <c r="DK224" s="408">
        <v>0</v>
      </c>
      <c r="DL224" s="408">
        <v>0</v>
      </c>
      <c r="DM224" s="408">
        <v>0</v>
      </c>
      <c r="DN224" s="408">
        <v>0</v>
      </c>
      <c r="DO224" s="408">
        <v>-1.3375225769695263</v>
      </c>
      <c r="DP224" s="408">
        <v>-0.10544180697635719</v>
      </c>
      <c r="DQ224" s="408">
        <v>0</v>
      </c>
      <c r="DR224" s="408">
        <v>0</v>
      </c>
      <c r="DS224" s="408"/>
      <c r="DT224" s="408"/>
      <c r="DU224" s="408"/>
      <c r="DV224" s="408">
        <v>0</v>
      </c>
      <c r="DW224" s="408">
        <v>0</v>
      </c>
      <c r="DX224" s="408">
        <v>0</v>
      </c>
      <c r="DY224" s="408">
        <v>-5.4917200000000435</v>
      </c>
      <c r="DZ224" s="408">
        <v>100.47986000000003</v>
      </c>
      <c r="EA224" s="408">
        <v>0</v>
      </c>
      <c r="EB224" s="408">
        <v>0</v>
      </c>
      <c r="EC224" s="408">
        <v>0</v>
      </c>
      <c r="ED224" s="408">
        <v>0</v>
      </c>
      <c r="EE224" s="408">
        <v>0</v>
      </c>
      <c r="EF224" s="408">
        <v>0</v>
      </c>
      <c r="EG224" s="408">
        <v>0</v>
      </c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>
        <v>0</v>
      </c>
      <c r="EN224" s="408">
        <v>0</v>
      </c>
      <c r="EO224" s="408">
        <v>0</v>
      </c>
      <c r="EP224" s="408">
        <v>63.640013718662523</v>
      </c>
      <c r="EQ224" s="408">
        <v>0</v>
      </c>
      <c r="ER224" s="408">
        <v>0</v>
      </c>
      <c r="ES224" s="408">
        <v>0</v>
      </c>
      <c r="ET224" s="408">
        <v>0</v>
      </c>
      <c r="EU224" s="408">
        <v>0</v>
      </c>
      <c r="EV224" s="408">
        <v>240</v>
      </c>
      <c r="EW224" s="408">
        <v>0</v>
      </c>
      <c r="EX224" s="408">
        <v>0</v>
      </c>
      <c r="EY224" s="408">
        <v>0</v>
      </c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223</v>
      </c>
      <c r="B225" s="408" t="s">
        <v>1036</v>
      </c>
      <c r="C225" s="408" t="s">
        <v>2243</v>
      </c>
      <c r="D225" s="408" t="s">
        <v>597</v>
      </c>
      <c r="E225" s="408" t="s">
        <v>970</v>
      </c>
      <c r="F225" s="408" t="s">
        <v>1322</v>
      </c>
      <c r="G225" s="408" t="s">
        <v>1322</v>
      </c>
      <c r="H225" s="408" t="s">
        <v>1322</v>
      </c>
      <c r="I225" s="408" t="s">
        <v>1322</v>
      </c>
      <c r="J225" s="408" t="s">
        <v>2236</v>
      </c>
      <c r="K225" s="826">
        <v>44470</v>
      </c>
      <c r="L225" s="408">
        <v>18985</v>
      </c>
      <c r="M225" s="408">
        <v>18985</v>
      </c>
      <c r="N225" s="408">
        <v>0</v>
      </c>
      <c r="O225" s="408">
        <v>0</v>
      </c>
      <c r="P225" s="408">
        <v>0</v>
      </c>
      <c r="Q225" s="408">
        <v>0</v>
      </c>
      <c r="R225" s="408">
        <v>27.19</v>
      </c>
      <c r="S225" s="408"/>
      <c r="T225" s="408"/>
      <c r="U225" s="408">
        <v>516202.15</v>
      </c>
      <c r="V225" s="408"/>
      <c r="W225" s="408">
        <v>516202.15</v>
      </c>
      <c r="X225" s="408">
        <v>413113.60000000003</v>
      </c>
      <c r="Y225" s="408">
        <v>0</v>
      </c>
      <c r="Z225" s="408">
        <v>0</v>
      </c>
      <c r="AA225" s="408">
        <v>0</v>
      </c>
      <c r="AB225" s="408">
        <v>0</v>
      </c>
      <c r="AC225" s="408">
        <v>4427.3136459223024</v>
      </c>
      <c r="AD225" s="408">
        <v>4253.3014254475002</v>
      </c>
      <c r="AE225" s="408">
        <v>454349.59416638309</v>
      </c>
      <c r="AF225" s="408"/>
      <c r="AG225" s="408"/>
      <c r="AH225" s="408"/>
      <c r="AI225" s="408">
        <v>0</v>
      </c>
      <c r="AJ225" s="408">
        <v>0</v>
      </c>
      <c r="AK225" s="408">
        <v>0</v>
      </c>
      <c r="AL225" s="408">
        <v>0</v>
      </c>
      <c r="AM225" s="408"/>
      <c r="AN225" s="408">
        <v>0</v>
      </c>
      <c r="AO225" s="408">
        <v>9395.3885182524591</v>
      </c>
      <c r="AP225" s="408">
        <v>43819.066684573139</v>
      </c>
      <c r="AQ225" s="408">
        <v>0</v>
      </c>
      <c r="AR225" s="408">
        <v>0</v>
      </c>
      <c r="AS225" s="408"/>
      <c r="AT225" s="408"/>
      <c r="AU225" s="408">
        <v>0</v>
      </c>
      <c r="AV225" s="408">
        <v>0</v>
      </c>
      <c r="AW225" s="408">
        <v>0</v>
      </c>
      <c r="AX225" s="408"/>
      <c r="AY225" s="408"/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</v>
      </c>
      <c r="BF225" s="408"/>
      <c r="BG225" s="408">
        <v>0</v>
      </c>
      <c r="BH225" s="408">
        <v>0</v>
      </c>
      <c r="BI225" s="408">
        <v>153.02000000000001</v>
      </c>
      <c r="BJ225" s="408">
        <v>13164</v>
      </c>
      <c r="BK225" s="408">
        <v>464931.3</v>
      </c>
      <c r="BL225" s="408">
        <v>109</v>
      </c>
      <c r="BM225" s="408"/>
      <c r="BN225" s="408"/>
      <c r="BO225" s="408"/>
      <c r="BP225" s="408"/>
      <c r="BQ225" s="408"/>
      <c r="BR225" s="408"/>
      <c r="BS225" s="408"/>
      <c r="BT225" s="408"/>
      <c r="BU225" s="408"/>
      <c r="BV225" s="408">
        <v>0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413113.60000000003</v>
      </c>
      <c r="CJ225" s="408">
        <v>-103088.58000000002</v>
      </c>
      <c r="CK225" s="408"/>
      <c r="CL225" s="408"/>
      <c r="CM225" s="408"/>
      <c r="CN225" s="408"/>
      <c r="CO225" s="408">
        <v>-103088.54999999999</v>
      </c>
      <c r="CP225" s="408">
        <v>0</v>
      </c>
      <c r="CQ225" s="408">
        <v>31</v>
      </c>
      <c r="CR225" s="408">
        <v>9682.197909999406</v>
      </c>
      <c r="CS225" s="408">
        <v>936.23038373995405</v>
      </c>
      <c r="CT225" s="408">
        <v>4366.4763343767991</v>
      </c>
      <c r="CU225" s="408">
        <v>0</v>
      </c>
      <c r="CV225" s="408">
        <v>0</v>
      </c>
      <c r="CW225" s="408"/>
      <c r="CX225" s="408"/>
      <c r="CY225" s="408"/>
      <c r="CZ225" s="408">
        <v>4379.4911918826601</v>
      </c>
      <c r="DA225" s="408">
        <v>0</v>
      </c>
      <c r="DB225" s="408">
        <v>0</v>
      </c>
      <c r="DC225" s="408"/>
      <c r="DD225" s="408"/>
      <c r="DE225" s="408">
        <v>0</v>
      </c>
      <c r="DF225" s="408">
        <v>0</v>
      </c>
      <c r="DG225" s="408">
        <v>0</v>
      </c>
      <c r="DH225" s="408">
        <v>0</v>
      </c>
      <c r="DI225" s="408">
        <v>0</v>
      </c>
      <c r="DJ225" s="408"/>
      <c r="DK225" s="408">
        <v>0</v>
      </c>
      <c r="DL225" s="408">
        <v>0</v>
      </c>
      <c r="DM225" s="408"/>
      <c r="DN225" s="408">
        <v>0</v>
      </c>
      <c r="DO225" s="408">
        <v>0</v>
      </c>
      <c r="DP225" s="408">
        <v>0</v>
      </c>
      <c r="DQ225" s="408">
        <v>0</v>
      </c>
      <c r="DR225" s="408">
        <v>0</v>
      </c>
      <c r="DS225" s="408"/>
      <c r="DT225" s="408"/>
      <c r="DU225" s="408">
        <v>454349.59416638309</v>
      </c>
      <c r="DV225" s="408"/>
      <c r="DW225" s="408">
        <v>0</v>
      </c>
      <c r="DX225" s="408">
        <v>0</v>
      </c>
      <c r="DY225" s="408">
        <v>-103088.54999999999</v>
      </c>
      <c r="DZ225" s="408"/>
      <c r="EA225" s="408">
        <v>0</v>
      </c>
      <c r="EB225" s="408"/>
      <c r="EC225" s="408">
        <v>-112868.14612596401</v>
      </c>
      <c r="ED225" s="408"/>
      <c r="EE225" s="408">
        <v>0</v>
      </c>
      <c r="EF225" s="408">
        <v>0</v>
      </c>
      <c r="EG225" s="408"/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/>
      <c r="EN225" s="408"/>
      <c r="EO225" s="408">
        <v>0</v>
      </c>
      <c r="EP225" s="408">
        <v>0</v>
      </c>
      <c r="EQ225" s="408"/>
      <c r="ER225" s="408">
        <v>0</v>
      </c>
      <c r="ES225" s="408"/>
      <c r="ET225" s="408">
        <v>0</v>
      </c>
      <c r="EU225" s="408"/>
      <c r="EV225" s="408">
        <v>240</v>
      </c>
      <c r="EW225" s="408"/>
      <c r="EX225" s="408"/>
      <c r="EY225" s="408"/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224</v>
      </c>
      <c r="B226" s="408" t="s">
        <v>2238</v>
      </c>
      <c r="C226" s="408" t="s">
        <v>2243</v>
      </c>
      <c r="D226" s="408" t="s">
        <v>597</v>
      </c>
      <c r="E226" s="408" t="s">
        <v>970</v>
      </c>
      <c r="F226" s="408" t="s">
        <v>1322</v>
      </c>
      <c r="G226" s="408" t="s">
        <v>1322</v>
      </c>
      <c r="H226" s="408" t="s">
        <v>1322</v>
      </c>
      <c r="I226" s="408" t="s">
        <v>1322</v>
      </c>
      <c r="J226" s="408" t="s">
        <v>2236</v>
      </c>
      <c r="K226" s="826">
        <v>44470</v>
      </c>
      <c r="L226" s="408">
        <v>170</v>
      </c>
      <c r="M226" s="408">
        <v>170</v>
      </c>
      <c r="N226" s="408">
        <v>0</v>
      </c>
      <c r="O226" s="408">
        <v>0</v>
      </c>
      <c r="P226" s="408">
        <v>0</v>
      </c>
      <c r="Q226" s="408">
        <v>0</v>
      </c>
      <c r="R226" s="408">
        <v>27.19</v>
      </c>
      <c r="S226" s="408"/>
      <c r="T226" s="408"/>
      <c r="U226" s="408">
        <v>4622.3</v>
      </c>
      <c r="V226" s="408"/>
      <c r="W226" s="408">
        <v>4622.3</v>
      </c>
      <c r="X226" s="408">
        <v>3699.2000000000003</v>
      </c>
      <c r="Y226" s="408">
        <v>0</v>
      </c>
      <c r="Z226" s="408">
        <v>0</v>
      </c>
      <c r="AA226" s="408">
        <v>0</v>
      </c>
      <c r="AB226" s="408">
        <v>0</v>
      </c>
      <c r="AC226" s="408">
        <v>39.64410428268588</v>
      </c>
      <c r="AD226" s="408">
        <v>38.085922692972083</v>
      </c>
      <c r="AE226" s="408">
        <v>4068.4451413371148</v>
      </c>
      <c r="AF226" s="408"/>
      <c r="AG226" s="408"/>
      <c r="AH226" s="408"/>
      <c r="AI226" s="408">
        <v>0</v>
      </c>
      <c r="AJ226" s="408">
        <v>0</v>
      </c>
      <c r="AK226" s="408">
        <v>0</v>
      </c>
      <c r="AL226" s="408">
        <v>0</v>
      </c>
      <c r="AM226" s="408"/>
      <c r="AN226" s="408">
        <v>0</v>
      </c>
      <c r="AO226" s="408">
        <v>84.130421285378873</v>
      </c>
      <c r="AP226" s="408">
        <v>392.3751033119533</v>
      </c>
      <c r="AQ226" s="408">
        <v>0</v>
      </c>
      <c r="AR226" s="408">
        <v>0</v>
      </c>
      <c r="AS226" s="408"/>
      <c r="AT226" s="408"/>
      <c r="AU226" s="408">
        <v>0</v>
      </c>
      <c r="AV226" s="408">
        <v>0</v>
      </c>
      <c r="AW226" s="408">
        <v>0</v>
      </c>
      <c r="AX226" s="408"/>
      <c r="AY226" s="408"/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0</v>
      </c>
      <c r="BF226" s="408"/>
      <c r="BG226" s="408">
        <v>0</v>
      </c>
      <c r="BH226" s="408">
        <v>0</v>
      </c>
      <c r="BI226" s="408">
        <v>0.42</v>
      </c>
      <c r="BJ226" s="408">
        <v>37.5</v>
      </c>
      <c r="BK226" s="408">
        <v>1369.4</v>
      </c>
      <c r="BL226" s="408">
        <v>2</v>
      </c>
      <c r="BM226" s="408"/>
      <c r="BN226" s="408"/>
      <c r="BO226" s="408"/>
      <c r="BP226" s="408"/>
      <c r="BQ226" s="408"/>
      <c r="BR226" s="408"/>
      <c r="BS226" s="408"/>
      <c r="BT226" s="408"/>
      <c r="BU226" s="408"/>
      <c r="BV226" s="408">
        <v>0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3699.2000000000003</v>
      </c>
      <c r="CJ226" s="408">
        <v>-923.13000000000056</v>
      </c>
      <c r="CK226" s="408"/>
      <c r="CL226" s="408"/>
      <c r="CM226" s="408"/>
      <c r="CN226" s="408"/>
      <c r="CO226" s="408">
        <v>-923.09999999999991</v>
      </c>
      <c r="CP226" s="408">
        <v>0</v>
      </c>
      <c r="CQ226" s="408">
        <v>31</v>
      </c>
      <c r="CR226" s="408">
        <v>86.698638119562929</v>
      </c>
      <c r="CS226" s="408">
        <v>8.3834166571394348</v>
      </c>
      <c r="CT226" s="408">
        <v>39.099340365765386</v>
      </c>
      <c r="CU226" s="408">
        <v>0</v>
      </c>
      <c r="CV226" s="408">
        <v>0</v>
      </c>
      <c r="CW226" s="408"/>
      <c r="CX226" s="408"/>
      <c r="CY226" s="408"/>
      <c r="CZ226" s="408">
        <v>39.215881096658016</v>
      </c>
      <c r="DA226" s="408">
        <v>0</v>
      </c>
      <c r="DB226" s="408">
        <v>0</v>
      </c>
      <c r="DC226" s="408"/>
      <c r="DD226" s="408"/>
      <c r="DE226" s="408">
        <v>0</v>
      </c>
      <c r="DF226" s="408">
        <v>0</v>
      </c>
      <c r="DG226" s="408">
        <v>0</v>
      </c>
      <c r="DH226" s="408">
        <v>0</v>
      </c>
      <c r="DI226" s="408">
        <v>0</v>
      </c>
      <c r="DJ226" s="408"/>
      <c r="DK226" s="408">
        <v>0</v>
      </c>
      <c r="DL226" s="408">
        <v>0</v>
      </c>
      <c r="DM226" s="408"/>
      <c r="DN226" s="408">
        <v>0</v>
      </c>
      <c r="DO226" s="408">
        <v>0</v>
      </c>
      <c r="DP226" s="408">
        <v>0</v>
      </c>
      <c r="DQ226" s="408">
        <v>0</v>
      </c>
      <c r="DR226" s="408">
        <v>0</v>
      </c>
      <c r="DS226" s="408"/>
      <c r="DT226" s="408"/>
      <c r="DU226" s="408">
        <v>4068.4451413371148</v>
      </c>
      <c r="DV226" s="408"/>
      <c r="DW226" s="408">
        <v>0</v>
      </c>
      <c r="DX226" s="408">
        <v>0</v>
      </c>
      <c r="DY226" s="408">
        <v>-923.09999999999991</v>
      </c>
      <c r="DZ226" s="408"/>
      <c r="EA226" s="408">
        <v>0</v>
      </c>
      <c r="EB226" s="408"/>
      <c r="EC226" s="408">
        <v>-1010.6707843778713</v>
      </c>
      <c r="ED226" s="408"/>
      <c r="EE226" s="408">
        <v>0</v>
      </c>
      <c r="EF226" s="408">
        <v>0</v>
      </c>
      <c r="EG226" s="408"/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/>
      <c r="EN226" s="408"/>
      <c r="EO226" s="408">
        <v>0</v>
      </c>
      <c r="EP226" s="408">
        <v>0</v>
      </c>
      <c r="EQ226" s="408"/>
      <c r="ER226" s="408">
        <v>0</v>
      </c>
      <c r="ES226" s="408"/>
      <c r="ET226" s="408">
        <v>0</v>
      </c>
      <c r="EU226" s="408"/>
      <c r="EV226" s="408">
        <v>240</v>
      </c>
      <c r="EW226" s="408"/>
      <c r="EX226" s="408"/>
      <c r="EY226" s="408"/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225</v>
      </c>
      <c r="B227" s="408" t="s">
        <v>1036</v>
      </c>
      <c r="C227" s="408" t="s">
        <v>2316</v>
      </c>
      <c r="D227" s="408" t="s">
        <v>1958</v>
      </c>
      <c r="E227" s="408" t="s">
        <v>970</v>
      </c>
      <c r="F227" s="408" t="s">
        <v>1322</v>
      </c>
      <c r="G227" s="408" t="s">
        <v>1322</v>
      </c>
      <c r="H227" s="408" t="s">
        <v>1322</v>
      </c>
      <c r="I227" s="408" t="s">
        <v>973</v>
      </c>
      <c r="J227" s="408" t="s">
        <v>2236</v>
      </c>
      <c r="K227" s="826">
        <v>44470</v>
      </c>
      <c r="L227" s="408">
        <v>0</v>
      </c>
      <c r="M227" s="408">
        <v>0</v>
      </c>
      <c r="N227" s="408">
        <v>1.0999999999999999E-2</v>
      </c>
      <c r="O227" s="408">
        <v>1.0999999999999999E-2</v>
      </c>
      <c r="P227" s="408">
        <v>1.0999999999999999E-2</v>
      </c>
      <c r="Q227" s="408">
        <v>1.0999999999999999E-2</v>
      </c>
      <c r="R227" s="408"/>
      <c r="S227" s="408">
        <v>1553.42</v>
      </c>
      <c r="T227" s="408">
        <v>173.25</v>
      </c>
      <c r="U227" s="408"/>
      <c r="V227" s="408">
        <v>18.993370000000002</v>
      </c>
      <c r="W227" s="408">
        <v>18.993370000000002</v>
      </c>
      <c r="X227" s="408">
        <v>18.02064</v>
      </c>
      <c r="Y227" s="408">
        <v>0</v>
      </c>
      <c r="Z227" s="408">
        <v>0.67699701519307431</v>
      </c>
      <c r="AA227" s="408">
        <v>0</v>
      </c>
      <c r="AB227" s="408">
        <v>0</v>
      </c>
      <c r="AC227" s="408">
        <v>1.192941706556677</v>
      </c>
      <c r="AD227" s="408">
        <v>8.2495821145544948E-2</v>
      </c>
      <c r="AE227" s="408">
        <v>7.9022669378674886</v>
      </c>
      <c r="AF227" s="408">
        <v>1.873745176438443</v>
      </c>
      <c r="AG227" s="408">
        <v>3.1979568835953751E-2</v>
      </c>
      <c r="AH227" s="408">
        <v>0</v>
      </c>
      <c r="AI227" s="408">
        <v>0</v>
      </c>
      <c r="AJ227" s="408">
        <v>0</v>
      </c>
      <c r="AK227" s="408">
        <v>0</v>
      </c>
      <c r="AL227" s="408">
        <v>0.1045993330505795</v>
      </c>
      <c r="AM227" s="408"/>
      <c r="AN227" s="408">
        <v>1.3286423857989919E-2</v>
      </c>
      <c r="AO227" s="408">
        <v>3.4710936119227167</v>
      </c>
      <c r="AP227" s="408">
        <v>3.3726670392996456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>
        <v>0</v>
      </c>
      <c r="BG227" s="408">
        <v>9.8337710075395782E-2</v>
      </c>
      <c r="BH227" s="408">
        <v>0</v>
      </c>
      <c r="BI227" s="408">
        <v>0</v>
      </c>
      <c r="BJ227" s="408">
        <v>0</v>
      </c>
      <c r="BK227" s="408">
        <v>0</v>
      </c>
      <c r="BL227" s="408">
        <v>0</v>
      </c>
      <c r="BM227" s="408"/>
      <c r="BN227" s="408"/>
      <c r="BO227" s="408"/>
      <c r="BP227" s="408"/>
      <c r="BQ227" s="408"/>
      <c r="BR227" s="408"/>
      <c r="BS227" s="408"/>
      <c r="BT227" s="408"/>
      <c r="BU227" s="408"/>
      <c r="BV227" s="408">
        <v>1.9720828865138387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16.382400000000001</v>
      </c>
      <c r="CJ227" s="408">
        <v>-2.6409700000000065</v>
      </c>
      <c r="CK227" s="408"/>
      <c r="CL227" s="408"/>
      <c r="CM227" s="408"/>
      <c r="CN227" s="408"/>
      <c r="CO227" s="408">
        <v>-1.2102199999999996</v>
      </c>
      <c r="CP227" s="408">
        <v>0.23749000000000003</v>
      </c>
      <c r="CQ227" s="408">
        <v>31</v>
      </c>
      <c r="CR227" s="408">
        <v>0.99030930742299716</v>
      </c>
      <c r="CS227" s="408">
        <v>0.34588705916465834</v>
      </c>
      <c r="CT227" s="408">
        <v>0.33607906158392531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8.4943361858259833E-2</v>
      </c>
      <c r="DA227" s="408">
        <v>0</v>
      </c>
      <c r="DB227" s="408">
        <v>0</v>
      </c>
      <c r="DC227" s="408">
        <v>0.23746318600563887</v>
      </c>
      <c r="DD227" s="408">
        <v>0</v>
      </c>
      <c r="DE227" s="408">
        <v>0</v>
      </c>
      <c r="DF227" s="408">
        <v>0</v>
      </c>
      <c r="DG227" s="408">
        <v>1.2462519574507419E-2</v>
      </c>
      <c r="DH227" s="408">
        <v>0</v>
      </c>
      <c r="DI227" s="408">
        <v>-2.2988676341243797E-2</v>
      </c>
      <c r="DJ227" s="408"/>
      <c r="DK227" s="408">
        <v>0</v>
      </c>
      <c r="DL227" s="408">
        <v>0</v>
      </c>
      <c r="DM227" s="408">
        <v>0</v>
      </c>
      <c r="DN227" s="408">
        <v>0</v>
      </c>
      <c r="DO227" s="408">
        <v>-3.1613124939116471E-3</v>
      </c>
      <c r="DP227" s="408">
        <v>-3.7589192883978953E-4</v>
      </c>
      <c r="DQ227" s="408">
        <v>0</v>
      </c>
      <c r="DR227" s="408">
        <v>0</v>
      </c>
      <c r="DS227" s="408"/>
      <c r="DT227" s="408"/>
      <c r="DU227" s="408"/>
      <c r="DV227" s="408">
        <v>7.9022669378674886</v>
      </c>
      <c r="DW227" s="408">
        <v>0</v>
      </c>
      <c r="DX227" s="408">
        <v>0</v>
      </c>
      <c r="DY227" s="408">
        <v>-1.2102200000000014</v>
      </c>
      <c r="DZ227" s="408">
        <v>0.2374900000000002</v>
      </c>
      <c r="EA227" s="408">
        <v>0</v>
      </c>
      <c r="EB227" s="408">
        <v>0</v>
      </c>
      <c r="EC227" s="408">
        <v>-1.9630571500917631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0.17289296338961568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240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226</v>
      </c>
      <c r="B228" s="408" t="s">
        <v>1036</v>
      </c>
      <c r="C228" s="408" t="s">
        <v>2316</v>
      </c>
      <c r="D228" s="408" t="s">
        <v>1958</v>
      </c>
      <c r="E228" s="408" t="s">
        <v>970</v>
      </c>
      <c r="F228" s="408" t="s">
        <v>1322</v>
      </c>
      <c r="G228" s="408" t="s">
        <v>1322</v>
      </c>
      <c r="H228" s="408" t="s">
        <v>1322</v>
      </c>
      <c r="I228" s="408" t="s">
        <v>2244</v>
      </c>
      <c r="J228" s="408" t="s">
        <v>2236</v>
      </c>
      <c r="K228" s="826">
        <v>44470</v>
      </c>
      <c r="L228" s="408">
        <v>0</v>
      </c>
      <c r="M228" s="408">
        <v>0</v>
      </c>
      <c r="N228" s="408">
        <v>2.3370000000000002</v>
      </c>
      <c r="O228" s="408">
        <v>2.3370000000000002</v>
      </c>
      <c r="P228" s="408">
        <v>2.3370000000000002</v>
      </c>
      <c r="Q228" s="408">
        <v>2.3370000000000002</v>
      </c>
      <c r="R228" s="408"/>
      <c r="S228" s="408">
        <v>388.22</v>
      </c>
      <c r="T228" s="408">
        <v>173.25</v>
      </c>
      <c r="U228" s="408"/>
      <c r="V228" s="408">
        <v>1312.1553900000001</v>
      </c>
      <c r="W228" s="408">
        <v>1312.1553900000001</v>
      </c>
      <c r="X228" s="408">
        <v>1308.7901100000001</v>
      </c>
      <c r="Y228" s="408">
        <v>0</v>
      </c>
      <c r="Z228" s="408">
        <v>143.83109313692864</v>
      </c>
      <c r="AA228" s="408">
        <v>0</v>
      </c>
      <c r="AB228" s="408">
        <v>0</v>
      </c>
      <c r="AC228" s="408">
        <v>50.689177604053718</v>
      </c>
      <c r="AD228" s="408">
        <v>3.5053257164661509</v>
      </c>
      <c r="AE228" s="408">
        <v>335.77475774367679</v>
      </c>
      <c r="AF228" s="408">
        <v>398.08567975787651</v>
      </c>
      <c r="AG228" s="408">
        <v>6.7942047608749023</v>
      </c>
      <c r="AH228" s="408">
        <v>0</v>
      </c>
      <c r="AI228" s="408">
        <v>0</v>
      </c>
      <c r="AJ228" s="408">
        <v>0</v>
      </c>
      <c r="AK228" s="408">
        <v>0</v>
      </c>
      <c r="AL228" s="408">
        <v>22.222603758109486</v>
      </c>
      <c r="AM228" s="408"/>
      <c r="AN228" s="408">
        <v>2.8227611414656768</v>
      </c>
      <c r="AO228" s="408">
        <v>147.48992311024347</v>
      </c>
      <c r="AP228" s="408">
        <v>143.3076885607868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</v>
      </c>
      <c r="BF228" s="408">
        <v>0</v>
      </c>
      <c r="BG228" s="408">
        <v>20.892293495109087</v>
      </c>
      <c r="BH228" s="408">
        <v>0</v>
      </c>
      <c r="BI228" s="408">
        <v>0</v>
      </c>
      <c r="BJ228" s="408">
        <v>0</v>
      </c>
      <c r="BK228" s="408">
        <v>0</v>
      </c>
      <c r="BL228" s="408">
        <v>0</v>
      </c>
      <c r="BM228" s="408"/>
      <c r="BN228" s="408"/>
      <c r="BO228" s="408"/>
      <c r="BP228" s="408"/>
      <c r="BQ228" s="408"/>
      <c r="BR228" s="408"/>
      <c r="BS228" s="408"/>
      <c r="BT228" s="408"/>
      <c r="BU228" s="408"/>
      <c r="BV228" s="408">
        <v>418.97797325298558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1310.4702</v>
      </c>
      <c r="CJ228" s="408">
        <v>-1.7151900000001206</v>
      </c>
      <c r="CK228" s="408"/>
      <c r="CL228" s="408"/>
      <c r="CM228" s="408"/>
      <c r="CN228" s="408"/>
      <c r="CO228" s="408">
        <v>-53.821110000000076</v>
      </c>
      <c r="CP228" s="408">
        <v>50.455830000000013</v>
      </c>
      <c r="CQ228" s="408">
        <v>31</v>
      </c>
      <c r="CR228" s="408">
        <v>80.048992719441458</v>
      </c>
      <c r="CS228" s="408">
        <v>14.697055586687128</v>
      </c>
      <c r="CT228" s="408">
        <v>14.280304853120327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3.6093240436934191</v>
      </c>
      <c r="DA228" s="408">
        <v>0</v>
      </c>
      <c r="DB228" s="408">
        <v>0</v>
      </c>
      <c r="DC228" s="408">
        <v>50.450133245016218</v>
      </c>
      <c r="DD228" s="408">
        <v>0</v>
      </c>
      <c r="DE228" s="408">
        <v>0</v>
      </c>
      <c r="DF228" s="408">
        <v>0</v>
      </c>
      <c r="DG228" s="408">
        <v>2.64771893142035</v>
      </c>
      <c r="DH228" s="408">
        <v>0</v>
      </c>
      <c r="DI228" s="408">
        <v>-4.8840487826806225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-0.67163520893377537</v>
      </c>
      <c r="DP228" s="408">
        <v>-7.9859948881690013E-2</v>
      </c>
      <c r="DQ228" s="408">
        <v>0</v>
      </c>
      <c r="DR228" s="408">
        <v>0</v>
      </c>
      <c r="DS228" s="408"/>
      <c r="DT228" s="408"/>
      <c r="DU228" s="408"/>
      <c r="DV228" s="408">
        <v>335.77475774367679</v>
      </c>
      <c r="DW228" s="408">
        <v>0</v>
      </c>
      <c r="DX228" s="408">
        <v>0</v>
      </c>
      <c r="DY228" s="408">
        <v>-53.821109999999976</v>
      </c>
      <c r="DZ228" s="408">
        <v>50.455829999999992</v>
      </c>
      <c r="EA228" s="408">
        <v>0</v>
      </c>
      <c r="EB228" s="408">
        <v>0</v>
      </c>
      <c r="EC228" s="408">
        <v>-83.412145425060459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36.731895949230179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240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227</v>
      </c>
      <c r="B229" s="408" t="s">
        <v>1036</v>
      </c>
      <c r="C229" s="408" t="s">
        <v>2316</v>
      </c>
      <c r="D229" s="408" t="s">
        <v>1958</v>
      </c>
      <c r="E229" s="408" t="s">
        <v>970</v>
      </c>
      <c r="F229" s="408" t="s">
        <v>1322</v>
      </c>
      <c r="G229" s="408" t="s">
        <v>1322</v>
      </c>
      <c r="H229" s="408" t="s">
        <v>1322</v>
      </c>
      <c r="I229" s="408" t="s">
        <v>1322</v>
      </c>
      <c r="J229" s="408" t="s">
        <v>2236</v>
      </c>
      <c r="K229" s="826">
        <v>44470</v>
      </c>
      <c r="L229" s="408">
        <v>0</v>
      </c>
      <c r="M229" s="408">
        <v>0</v>
      </c>
      <c r="N229" s="408">
        <v>0</v>
      </c>
      <c r="O229" s="408">
        <v>0</v>
      </c>
      <c r="P229" s="408">
        <v>0</v>
      </c>
      <c r="Q229" s="408">
        <v>0</v>
      </c>
      <c r="R229" s="408"/>
      <c r="S229" s="408"/>
      <c r="T229" s="408"/>
      <c r="U229" s="408"/>
      <c r="V229" s="408"/>
      <c r="W229" s="408"/>
      <c r="X229" s="408"/>
      <c r="Y229" s="408"/>
      <c r="Z229" s="408"/>
      <c r="AA229" s="408">
        <v>0</v>
      </c>
      <c r="AB229" s="408"/>
      <c r="AC229" s="408"/>
      <c r="AD229" s="408"/>
      <c r="AE229" s="408"/>
      <c r="AF229" s="408"/>
      <c r="AG229" s="408"/>
      <c r="AH229" s="408"/>
      <c r="AI229" s="408"/>
      <c r="AJ229" s="408"/>
      <c r="AK229" s="408"/>
      <c r="AL229" s="408"/>
      <c r="AM229" s="408"/>
      <c r="AN229" s="408"/>
      <c r="AO229" s="408"/>
      <c r="AP229" s="408"/>
      <c r="AQ229" s="408"/>
      <c r="AR229" s="408"/>
      <c r="AS229" s="408"/>
      <c r="AT229" s="408"/>
      <c r="AU229" s="408"/>
      <c r="AV229" s="408"/>
      <c r="AW229" s="408"/>
      <c r="AX229" s="408"/>
      <c r="AY229" s="408"/>
      <c r="AZ229" s="408">
        <v>0</v>
      </c>
      <c r="BA229" s="408"/>
      <c r="BB229" s="408"/>
      <c r="BC229" s="408"/>
      <c r="BD229" s="408"/>
      <c r="BE229" s="408"/>
      <c r="BF229" s="408"/>
      <c r="BG229" s="408"/>
      <c r="BH229" s="408"/>
      <c r="BI229" s="408">
        <v>0.12</v>
      </c>
      <c r="BJ229" s="408">
        <v>11.03</v>
      </c>
      <c r="BK229" s="408">
        <v>389.8</v>
      </c>
      <c r="BL229" s="408">
        <v>1</v>
      </c>
      <c r="BM229" s="408"/>
      <c r="BN229" s="408"/>
      <c r="BO229" s="408"/>
      <c r="BP229" s="408"/>
      <c r="BQ229" s="408"/>
      <c r="BR229" s="408"/>
      <c r="BS229" s="408"/>
      <c r="BT229" s="408"/>
      <c r="BU229" s="408"/>
      <c r="BV229" s="408"/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/>
      <c r="CJ229" s="408">
        <v>-0.03</v>
      </c>
      <c r="CK229" s="408"/>
      <c r="CL229" s="408"/>
      <c r="CM229" s="408"/>
      <c r="CN229" s="408"/>
      <c r="CO229" s="408">
        <v>0</v>
      </c>
      <c r="CP229" s="408">
        <v>0</v>
      </c>
      <c r="CQ229" s="408">
        <v>31</v>
      </c>
      <c r="CR229" s="408"/>
      <c r="CS229" s="408"/>
      <c r="CT229" s="408"/>
      <c r="CU229" s="408"/>
      <c r="CV229" s="408"/>
      <c r="CW229" s="408"/>
      <c r="CX229" s="408"/>
      <c r="CY229" s="408"/>
      <c r="CZ229" s="408"/>
      <c r="DA229" s="408"/>
      <c r="DB229" s="408"/>
      <c r="DC229" s="408"/>
      <c r="DD229" s="408"/>
      <c r="DE229" s="408"/>
      <c r="DF229" s="408"/>
      <c r="DG229" s="408"/>
      <c r="DH229" s="408"/>
      <c r="DI229" s="408"/>
      <c r="DJ229" s="408"/>
      <c r="DK229" s="408">
        <v>0</v>
      </c>
      <c r="DL229" s="408"/>
      <c r="DM229" s="408"/>
      <c r="DN229" s="408"/>
      <c r="DO229" s="408"/>
      <c r="DP229" s="408"/>
      <c r="DQ229" s="408"/>
      <c r="DR229" s="408"/>
      <c r="DS229" s="408"/>
      <c r="DT229" s="408"/>
      <c r="DU229" s="408"/>
      <c r="DV229" s="408"/>
      <c r="DW229" s="408"/>
      <c r="DX229" s="408"/>
      <c r="DY229" s="408"/>
      <c r="DZ229" s="408"/>
      <c r="EA229" s="408"/>
      <c r="EB229" s="408"/>
      <c r="EC229" s="408"/>
      <c r="ED229" s="408"/>
      <c r="EE229" s="408"/>
      <c r="EF229" s="408"/>
      <c r="EG229" s="408"/>
      <c r="EH229" s="408"/>
      <c r="EI229" s="408"/>
      <c r="EJ229" s="408"/>
      <c r="EK229" s="408"/>
      <c r="EL229" s="408"/>
      <c r="EM229" s="408"/>
      <c r="EN229" s="408"/>
      <c r="EO229" s="408"/>
      <c r="EP229" s="408"/>
      <c r="EQ229" s="408"/>
      <c r="ER229" s="408"/>
      <c r="ES229" s="408"/>
      <c r="ET229" s="408"/>
      <c r="EU229" s="408"/>
      <c r="EV229" s="408">
        <v>240</v>
      </c>
      <c r="EW229" s="408"/>
      <c r="EX229" s="408"/>
      <c r="EY229" s="408"/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228</v>
      </c>
      <c r="B230" s="408" t="s">
        <v>1036</v>
      </c>
      <c r="C230" s="408" t="s">
        <v>2316</v>
      </c>
      <c r="D230" s="408" t="s">
        <v>1958</v>
      </c>
      <c r="E230" s="408" t="s">
        <v>970</v>
      </c>
      <c r="F230" s="408" t="s">
        <v>1322</v>
      </c>
      <c r="G230" s="408" t="s">
        <v>1322</v>
      </c>
      <c r="H230" s="408" t="s">
        <v>1322</v>
      </c>
      <c r="I230" s="408" t="s">
        <v>2317</v>
      </c>
      <c r="J230" s="408" t="s">
        <v>2236</v>
      </c>
      <c r="K230" s="826">
        <v>44470</v>
      </c>
      <c r="L230" s="408">
        <v>0</v>
      </c>
      <c r="M230" s="408">
        <v>0</v>
      </c>
      <c r="N230" s="408">
        <v>0.13400000000000001</v>
      </c>
      <c r="O230" s="408">
        <v>0.13400000000000001</v>
      </c>
      <c r="P230" s="408">
        <v>0.13400000000000001</v>
      </c>
      <c r="Q230" s="408">
        <v>0.13400000000000001</v>
      </c>
      <c r="R230" s="408"/>
      <c r="S230" s="408">
        <v>970.82</v>
      </c>
      <c r="T230" s="408">
        <v>173.25</v>
      </c>
      <c r="U230" s="408"/>
      <c r="V230" s="408">
        <v>153.30538000000001</v>
      </c>
      <c r="W230" s="408">
        <v>153.30538000000001</v>
      </c>
      <c r="X230" s="408">
        <v>147.28342000000001</v>
      </c>
      <c r="Y230" s="408">
        <v>0</v>
      </c>
      <c r="Z230" s="408">
        <v>8.2470545487156333</v>
      </c>
      <c r="AA230" s="408">
        <v>0</v>
      </c>
      <c r="AB230" s="408">
        <v>0</v>
      </c>
      <c r="AC230" s="408">
        <v>8.7193193824688162</v>
      </c>
      <c r="AD230" s="408">
        <v>0.60297002054744953</v>
      </c>
      <c r="AE230" s="408">
        <v>57.758401867415891</v>
      </c>
      <c r="AF230" s="408">
        <v>22.825623058431944</v>
      </c>
      <c r="AG230" s="408">
        <v>0.38956929309252758</v>
      </c>
      <c r="AH230" s="408">
        <v>0</v>
      </c>
      <c r="AI230" s="408">
        <v>0</v>
      </c>
      <c r="AJ230" s="408">
        <v>0</v>
      </c>
      <c r="AK230" s="408">
        <v>0</v>
      </c>
      <c r="AL230" s="408">
        <v>1.2742100571616051</v>
      </c>
      <c r="AM230" s="408"/>
      <c r="AN230" s="408">
        <v>0.16185279972460448</v>
      </c>
      <c r="AO230" s="408">
        <v>25.370538763507835</v>
      </c>
      <c r="AP230" s="408">
        <v>24.651129996335648</v>
      </c>
      <c r="AQ230" s="408">
        <v>0</v>
      </c>
      <c r="AR230" s="408">
        <v>0</v>
      </c>
      <c r="AS230" s="408">
        <v>0</v>
      </c>
      <c r="AT230" s="408">
        <v>0</v>
      </c>
      <c r="AU230" s="408">
        <v>0</v>
      </c>
      <c r="AV230" s="408">
        <v>0</v>
      </c>
      <c r="AW230" s="408">
        <v>0</v>
      </c>
      <c r="AX230" s="408">
        <v>0</v>
      </c>
      <c r="AY230" s="408">
        <v>0</v>
      </c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>
        <v>0</v>
      </c>
      <c r="BG230" s="408">
        <v>1.1979321045548215</v>
      </c>
      <c r="BH230" s="408">
        <v>0</v>
      </c>
      <c r="BI230" s="408">
        <v>0</v>
      </c>
      <c r="BJ230" s="408">
        <v>0</v>
      </c>
      <c r="BK230" s="408">
        <v>0</v>
      </c>
      <c r="BL230" s="408">
        <v>0</v>
      </c>
      <c r="BM230" s="408"/>
      <c r="BN230" s="408"/>
      <c r="BO230" s="408"/>
      <c r="BP230" s="408"/>
      <c r="BQ230" s="408"/>
      <c r="BR230" s="408"/>
      <c r="BS230" s="408"/>
      <c r="BT230" s="408"/>
      <c r="BU230" s="408"/>
      <c r="BV230" s="408">
        <v>24.023555162986767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142.8869</v>
      </c>
      <c r="CJ230" s="408">
        <v>-10.448479999999989</v>
      </c>
      <c r="CK230" s="408"/>
      <c r="CL230" s="408"/>
      <c r="CM230" s="408"/>
      <c r="CN230" s="408"/>
      <c r="CO230" s="408">
        <v>-8.9150200000000126</v>
      </c>
      <c r="CP230" s="408">
        <v>2.8930600000000006</v>
      </c>
      <c r="CQ230" s="408">
        <v>31</v>
      </c>
      <c r="CR230" s="408">
        <v>8.3268277560904238</v>
      </c>
      <c r="CS230" s="408">
        <v>2.5281199597126189</v>
      </c>
      <c r="CT230" s="408">
        <v>2.456432413758737</v>
      </c>
      <c r="CU230" s="408">
        <v>0</v>
      </c>
      <c r="CV230" s="408">
        <v>0</v>
      </c>
      <c r="CW230" s="408">
        <v>0</v>
      </c>
      <c r="CX230" s="408">
        <v>0</v>
      </c>
      <c r="CY230" s="408">
        <v>0</v>
      </c>
      <c r="CZ230" s="408">
        <v>0.62085933485869105</v>
      </c>
      <c r="DA230" s="408">
        <v>0</v>
      </c>
      <c r="DB230" s="408">
        <v>0</v>
      </c>
      <c r="DC230" s="408">
        <v>2.892733356795965</v>
      </c>
      <c r="DD230" s="408">
        <v>0</v>
      </c>
      <c r="DE230" s="408">
        <v>0</v>
      </c>
      <c r="DF230" s="408">
        <v>0</v>
      </c>
      <c r="DG230" s="408">
        <v>0.15181614754399941</v>
      </c>
      <c r="DH230" s="408">
        <v>0</v>
      </c>
      <c r="DI230" s="408">
        <v>-0.28004387542969678</v>
      </c>
      <c r="DJ230" s="408"/>
      <c r="DK230" s="408">
        <v>0</v>
      </c>
      <c r="DL230" s="408">
        <v>0</v>
      </c>
      <c r="DM230" s="408">
        <v>0</v>
      </c>
      <c r="DN230" s="408">
        <v>0</v>
      </c>
      <c r="DO230" s="408">
        <v>-3.8510534016741982E-2</v>
      </c>
      <c r="DP230" s="408">
        <v>-4.5790471331392524E-3</v>
      </c>
      <c r="DQ230" s="408">
        <v>0</v>
      </c>
      <c r="DR230" s="408">
        <v>0</v>
      </c>
      <c r="DS230" s="408"/>
      <c r="DT230" s="408"/>
      <c r="DU230" s="408"/>
      <c r="DV230" s="408">
        <v>57.758401867415891</v>
      </c>
      <c r="DW230" s="408">
        <v>0</v>
      </c>
      <c r="DX230" s="408">
        <v>0</v>
      </c>
      <c r="DY230" s="408">
        <v>-8.9150200000000268</v>
      </c>
      <c r="DZ230" s="408">
        <v>2.8930599999999984</v>
      </c>
      <c r="EA230" s="408">
        <v>0</v>
      </c>
      <c r="EB230" s="408">
        <v>0</v>
      </c>
      <c r="EC230" s="408">
        <v>-14.348166754577072</v>
      </c>
      <c r="ED230" s="408">
        <v>0</v>
      </c>
      <c r="EE230" s="408">
        <v>0</v>
      </c>
      <c r="EF230" s="408">
        <v>0</v>
      </c>
      <c r="EG230" s="408">
        <v>0</v>
      </c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>
        <v>0</v>
      </c>
      <c r="EN230" s="408">
        <v>0</v>
      </c>
      <c r="EO230" s="408">
        <v>0</v>
      </c>
      <c r="EP230" s="408">
        <v>2.106150644928046</v>
      </c>
      <c r="EQ230" s="408">
        <v>0</v>
      </c>
      <c r="ER230" s="408">
        <v>0</v>
      </c>
      <c r="ES230" s="408">
        <v>0</v>
      </c>
      <c r="ET230" s="408">
        <v>0</v>
      </c>
      <c r="EU230" s="408">
        <v>0</v>
      </c>
      <c r="EV230" s="408">
        <v>240</v>
      </c>
      <c r="EW230" s="408">
        <v>0</v>
      </c>
      <c r="EX230" s="408">
        <v>0</v>
      </c>
      <c r="EY230" s="408">
        <v>0</v>
      </c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229</v>
      </c>
      <c r="B231" s="408" t="s">
        <v>1036</v>
      </c>
      <c r="C231" s="408" t="s">
        <v>2235</v>
      </c>
      <c r="D231" s="408" t="s">
        <v>1958</v>
      </c>
      <c r="E231" s="408" t="s">
        <v>998</v>
      </c>
      <c r="F231" s="408" t="s">
        <v>1322</v>
      </c>
      <c r="G231" s="408" t="s">
        <v>1322</v>
      </c>
      <c r="H231" s="408" t="s">
        <v>1322</v>
      </c>
      <c r="I231" s="408" t="s">
        <v>1322</v>
      </c>
      <c r="J231" s="408" t="s">
        <v>2236</v>
      </c>
      <c r="K231" s="826">
        <v>44470</v>
      </c>
      <c r="L231" s="408">
        <v>0</v>
      </c>
      <c r="M231" s="408">
        <v>0</v>
      </c>
      <c r="N231" s="408">
        <v>2414.2139999999999</v>
      </c>
      <c r="O231" s="408">
        <v>2414.2139999999999</v>
      </c>
      <c r="P231" s="408">
        <v>2414.2139999999999</v>
      </c>
      <c r="Q231" s="408">
        <v>2414.2139999999999</v>
      </c>
      <c r="R231" s="408"/>
      <c r="S231" s="408">
        <v>368.24</v>
      </c>
      <c r="T231" s="408">
        <v>173.25</v>
      </c>
      <c r="U231" s="408"/>
      <c r="V231" s="408">
        <v>1307272.7388599999</v>
      </c>
      <c r="W231" s="408">
        <v>1307272.7388599999</v>
      </c>
      <c r="X231" s="408">
        <v>1228569.36246</v>
      </c>
      <c r="Y231" s="408">
        <v>0</v>
      </c>
      <c r="Z231" s="408">
        <v>148583.2429124848</v>
      </c>
      <c r="AA231" s="408">
        <v>0</v>
      </c>
      <c r="AB231" s="408">
        <v>0</v>
      </c>
      <c r="AC231" s="408">
        <v>6179.2709398183833</v>
      </c>
      <c r="AD231" s="408">
        <v>5936.8937455477726</v>
      </c>
      <c r="AE231" s="408">
        <v>568636.97832667513</v>
      </c>
      <c r="AF231" s="408">
        <v>411238.34885365085</v>
      </c>
      <c r="AG231" s="408">
        <v>7018.6838907021138</v>
      </c>
      <c r="AH231" s="408">
        <v>0</v>
      </c>
      <c r="AI231" s="408">
        <v>0</v>
      </c>
      <c r="AJ231" s="408">
        <v>0</v>
      </c>
      <c r="AK231" s="408">
        <v>0</v>
      </c>
      <c r="AL231" s="408">
        <v>22956.834021942886</v>
      </c>
      <c r="AM231" s="408"/>
      <c r="AN231" s="408">
        <v>2916.0245898084795</v>
      </c>
      <c r="AO231" s="408">
        <v>13117.379598905216</v>
      </c>
      <c r="AP231" s="408">
        <v>61164.405902509105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0</v>
      </c>
      <c r="BF231" s="408">
        <v>0</v>
      </c>
      <c r="BG231" s="408">
        <v>21582.570581087413</v>
      </c>
      <c r="BH231" s="408">
        <v>0</v>
      </c>
      <c r="BI231" s="408">
        <v>91.37</v>
      </c>
      <c r="BJ231" s="408">
        <v>9479.82</v>
      </c>
      <c r="BK231" s="408">
        <v>677502.4</v>
      </c>
      <c r="BL231" s="408">
        <v>4307</v>
      </c>
      <c r="BM231" s="408"/>
      <c r="BN231" s="408"/>
      <c r="BO231" s="408"/>
      <c r="BP231" s="408"/>
      <c r="BQ231" s="408"/>
      <c r="BR231" s="408"/>
      <c r="BS231" s="408"/>
      <c r="BT231" s="408"/>
      <c r="BU231" s="408"/>
      <c r="BV231" s="408">
        <v>432820.91943473829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1228567.3269</v>
      </c>
      <c r="CJ231" s="408">
        <v>-78705.441959999967</v>
      </c>
      <c r="CK231" s="408"/>
      <c r="CL231" s="408"/>
      <c r="CM231" s="408"/>
      <c r="CN231" s="408"/>
      <c r="CO231" s="408">
        <v>-130826.25665999998</v>
      </c>
      <c r="CP231" s="408">
        <v>52122.880260000005</v>
      </c>
      <c r="CQ231" s="408">
        <v>31</v>
      </c>
      <c r="CR231" s="408">
        <v>62545.507748942124</v>
      </c>
      <c r="CS231" s="408">
        <v>1307.1188393846187</v>
      </c>
      <c r="CT231" s="408">
        <v>6094.9023127767796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6113.0334450806286</v>
      </c>
      <c r="DA231" s="408">
        <v>0</v>
      </c>
      <c r="DB231" s="408">
        <v>0</v>
      </c>
      <c r="DC231" s="408">
        <v>52116.995285401586</v>
      </c>
      <c r="DD231" s="408">
        <v>0</v>
      </c>
      <c r="DE231" s="408">
        <v>0</v>
      </c>
      <c r="DF231" s="408">
        <v>0</v>
      </c>
      <c r="DG231" s="408">
        <v>2735.1990210954427</v>
      </c>
      <c r="DH231" s="408">
        <v>0</v>
      </c>
      <c r="DI231" s="408">
        <v>-5045.4167513181455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-693.82589828876735</v>
      </c>
      <c r="DP231" s="408">
        <v>-82.498505190184005</v>
      </c>
      <c r="DQ231" s="408">
        <v>0</v>
      </c>
      <c r="DR231" s="408">
        <v>0</v>
      </c>
      <c r="DS231" s="408"/>
      <c r="DT231" s="408"/>
      <c r="DU231" s="408"/>
      <c r="DV231" s="408">
        <v>568636.97832667513</v>
      </c>
      <c r="DW231" s="408">
        <v>0</v>
      </c>
      <c r="DX231" s="408">
        <v>0</v>
      </c>
      <c r="DY231" s="408">
        <v>-130826.25665999996</v>
      </c>
      <c r="DZ231" s="408">
        <v>52122.880260000005</v>
      </c>
      <c r="EA231" s="408">
        <v>0</v>
      </c>
      <c r="EB231" s="408">
        <v>0</v>
      </c>
      <c r="EC231" s="408">
        <v>-141259.07095869345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37945.510246972517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240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230</v>
      </c>
      <c r="B232" s="408" t="s">
        <v>2237</v>
      </c>
      <c r="C232" s="408" t="s">
        <v>2235</v>
      </c>
      <c r="D232" s="408" t="s">
        <v>1958</v>
      </c>
      <c r="E232" s="408" t="s">
        <v>998</v>
      </c>
      <c r="F232" s="408" t="s">
        <v>1322</v>
      </c>
      <c r="G232" s="408" t="s">
        <v>1322</v>
      </c>
      <c r="H232" s="408" t="s">
        <v>1322</v>
      </c>
      <c r="I232" s="408" t="s">
        <v>1322</v>
      </c>
      <c r="J232" s="408" t="s">
        <v>2236</v>
      </c>
      <c r="K232" s="826">
        <v>44470</v>
      </c>
      <c r="L232" s="408">
        <v>0</v>
      </c>
      <c r="M232" s="408">
        <v>0</v>
      </c>
      <c r="N232" s="408">
        <v>-0.03</v>
      </c>
      <c r="O232" s="408">
        <v>-0.03</v>
      </c>
      <c r="P232" s="408">
        <v>-0.03</v>
      </c>
      <c r="Q232" s="408">
        <v>-0.03</v>
      </c>
      <c r="R232" s="408"/>
      <c r="S232" s="408">
        <v>368.24</v>
      </c>
      <c r="T232" s="408">
        <v>173.25</v>
      </c>
      <c r="U232" s="408"/>
      <c r="V232" s="408">
        <v>-16.244700000000002</v>
      </c>
      <c r="W232" s="408">
        <v>-16.244700000000002</v>
      </c>
      <c r="X232" s="408">
        <v>-15.2667</v>
      </c>
      <c r="Y232" s="408">
        <v>0</v>
      </c>
      <c r="Z232" s="408">
        <v>-1.8463554959811119</v>
      </c>
      <c r="AA232" s="408">
        <v>0</v>
      </c>
      <c r="AB232" s="408">
        <v>0</v>
      </c>
      <c r="AC232" s="408">
        <v>-7.6786120946424591E-2</v>
      </c>
      <c r="AD232" s="408">
        <v>-7.3774243860085797E-2</v>
      </c>
      <c r="AE232" s="408">
        <v>-7.0661131738115399</v>
      </c>
      <c r="AF232" s="408">
        <v>-5.1102141175593898</v>
      </c>
      <c r="AG232" s="408">
        <v>-8.7217005916237503E-2</v>
      </c>
      <c r="AH232" s="408">
        <v>0</v>
      </c>
      <c r="AI232" s="408">
        <v>0</v>
      </c>
      <c r="AJ232" s="408">
        <v>0</v>
      </c>
      <c r="AK232" s="408">
        <v>0</v>
      </c>
      <c r="AL232" s="408">
        <v>-0.28527090831976226</v>
      </c>
      <c r="AM232" s="408"/>
      <c r="AN232" s="408">
        <v>-3.6235701430881596E-2</v>
      </c>
      <c r="AO232" s="408">
        <v>-0.1630018664323695</v>
      </c>
      <c r="AP232" s="408">
        <v>-0.76005365600368202</v>
      </c>
      <c r="AQ232" s="408">
        <v>0</v>
      </c>
      <c r="AR232" s="408">
        <v>0</v>
      </c>
      <c r="AS232" s="408">
        <v>0</v>
      </c>
      <c r="AT232" s="408">
        <v>0</v>
      </c>
      <c r="AU232" s="408">
        <v>0</v>
      </c>
      <c r="AV232" s="408">
        <v>0</v>
      </c>
      <c r="AW232" s="408">
        <v>0</v>
      </c>
      <c r="AX232" s="408">
        <v>0</v>
      </c>
      <c r="AY232" s="408">
        <v>0</v>
      </c>
      <c r="AZ232" s="408">
        <v>0</v>
      </c>
      <c r="BA232" s="408"/>
      <c r="BB232" s="408">
        <v>0</v>
      </c>
      <c r="BC232" s="408">
        <v>0</v>
      </c>
      <c r="BD232" s="408">
        <v>0</v>
      </c>
      <c r="BE232" s="408">
        <v>0</v>
      </c>
      <c r="BF232" s="408">
        <v>0</v>
      </c>
      <c r="BG232" s="408">
        <v>-0.26819375475107943</v>
      </c>
      <c r="BH232" s="408">
        <v>0</v>
      </c>
      <c r="BI232" s="408">
        <v>0</v>
      </c>
      <c r="BJ232" s="408">
        <v>-0.11</v>
      </c>
      <c r="BK232" s="408">
        <v>-8.32</v>
      </c>
      <c r="BL232" s="408">
        <v>0</v>
      </c>
      <c r="BM232" s="408"/>
      <c r="BN232" s="408"/>
      <c r="BO232" s="408"/>
      <c r="BP232" s="408"/>
      <c r="BQ232" s="408"/>
      <c r="BR232" s="408"/>
      <c r="BS232" s="408"/>
      <c r="BT232" s="408"/>
      <c r="BU232" s="408"/>
      <c r="BV232" s="408">
        <v>-5.3784078723104694</v>
      </c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>
        <v>-15.2667</v>
      </c>
      <c r="CJ232" s="408">
        <v>0.94799999999999685</v>
      </c>
      <c r="CK232" s="408"/>
      <c r="CL232" s="408"/>
      <c r="CM232" s="408"/>
      <c r="CN232" s="408"/>
      <c r="CO232" s="408">
        <v>1.6256999999999999</v>
      </c>
      <c r="CP232" s="408">
        <v>-0.64770000000000005</v>
      </c>
      <c r="CQ232" s="408">
        <v>31</v>
      </c>
      <c r="CR232" s="408">
        <v>-0.77721578636701594</v>
      </c>
      <c r="CS232" s="408">
        <v>-1.6242787582848306E-2</v>
      </c>
      <c r="CT232" s="408">
        <v>-7.5737722249686001E-2</v>
      </c>
      <c r="CU232" s="408">
        <v>0</v>
      </c>
      <c r="CV232" s="408">
        <v>0</v>
      </c>
      <c r="CW232" s="408">
        <v>0</v>
      </c>
      <c r="CX232" s="408">
        <v>0</v>
      </c>
      <c r="CY232" s="408">
        <v>0</v>
      </c>
      <c r="CZ232" s="408">
        <v>-7.5963027035887809E-2</v>
      </c>
      <c r="DA232" s="408">
        <v>0</v>
      </c>
      <c r="DB232" s="408">
        <v>0</v>
      </c>
      <c r="DC232" s="408">
        <v>-0.64762687092447013</v>
      </c>
      <c r="DD232" s="408">
        <v>0</v>
      </c>
      <c r="DE232" s="408">
        <v>0</v>
      </c>
      <c r="DF232" s="408">
        <v>0</v>
      </c>
      <c r="DG232" s="408">
        <v>-3.3988689748656598E-2</v>
      </c>
      <c r="DH232" s="408">
        <v>0</v>
      </c>
      <c r="DI232" s="408">
        <v>6.2696390021574011E-2</v>
      </c>
      <c r="DJ232" s="408"/>
      <c r="DK232" s="408">
        <v>0</v>
      </c>
      <c r="DL232" s="408">
        <v>0</v>
      </c>
      <c r="DM232" s="408">
        <v>0</v>
      </c>
      <c r="DN232" s="408">
        <v>0</v>
      </c>
      <c r="DO232" s="408">
        <v>8.6217613470317422E-3</v>
      </c>
      <c r="DP232" s="408">
        <v>1.0251598059266981E-3</v>
      </c>
      <c r="DQ232" s="408">
        <v>0</v>
      </c>
      <c r="DR232" s="408">
        <v>0</v>
      </c>
      <c r="DS232" s="408"/>
      <c r="DT232" s="408"/>
      <c r="DU232" s="408"/>
      <c r="DV232" s="408">
        <v>-7.0661131738115399</v>
      </c>
      <c r="DW232" s="408">
        <v>0</v>
      </c>
      <c r="DX232" s="408">
        <v>0</v>
      </c>
      <c r="DY232" s="408">
        <v>1.6257000000000001</v>
      </c>
      <c r="DZ232" s="408">
        <v>-0.64770000000000039</v>
      </c>
      <c r="EA232" s="408">
        <v>0</v>
      </c>
      <c r="EB232" s="408">
        <v>0</v>
      </c>
      <c r="EC232" s="408">
        <v>1.7553423717867602</v>
      </c>
      <c r="ED232" s="408">
        <v>0</v>
      </c>
      <c r="EE232" s="408">
        <v>0</v>
      </c>
      <c r="EF232" s="408">
        <v>0</v>
      </c>
      <c r="EG232" s="408">
        <v>0</v>
      </c>
      <c r="EH232" s="408">
        <v>0</v>
      </c>
      <c r="EI232" s="408">
        <v>0</v>
      </c>
      <c r="EJ232" s="408">
        <v>0</v>
      </c>
      <c r="EK232" s="408">
        <v>0</v>
      </c>
      <c r="EL232" s="408">
        <v>0</v>
      </c>
      <c r="EM232" s="408">
        <v>0</v>
      </c>
      <c r="EN232" s="408">
        <v>0</v>
      </c>
      <c r="EO232" s="408">
        <v>0</v>
      </c>
      <c r="EP232" s="408">
        <v>-0.47152626378986101</v>
      </c>
      <c r="EQ232" s="408">
        <v>0</v>
      </c>
      <c r="ER232" s="408">
        <v>0</v>
      </c>
      <c r="ES232" s="408">
        <v>0</v>
      </c>
      <c r="ET232" s="408">
        <v>0</v>
      </c>
      <c r="EU232" s="408">
        <v>0</v>
      </c>
      <c r="EV232" s="408">
        <v>240</v>
      </c>
      <c r="EW232" s="408">
        <v>0</v>
      </c>
      <c r="EX232" s="408">
        <v>0</v>
      </c>
      <c r="EY232" s="408">
        <v>0</v>
      </c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231</v>
      </c>
      <c r="B233" s="408" t="s">
        <v>2238</v>
      </c>
      <c r="C233" s="408" t="s">
        <v>2235</v>
      </c>
      <c r="D233" s="408" t="s">
        <v>1958</v>
      </c>
      <c r="E233" s="408" t="s">
        <v>998</v>
      </c>
      <c r="F233" s="408" t="s">
        <v>1322</v>
      </c>
      <c r="G233" s="408" t="s">
        <v>1322</v>
      </c>
      <c r="H233" s="408" t="s">
        <v>1322</v>
      </c>
      <c r="I233" s="408" t="s">
        <v>1322</v>
      </c>
      <c r="J233" s="408" t="s">
        <v>2236</v>
      </c>
      <c r="K233" s="826">
        <v>44470</v>
      </c>
      <c r="L233" s="408">
        <v>0</v>
      </c>
      <c r="M233" s="408">
        <v>0</v>
      </c>
      <c r="N233" s="408">
        <v>130.036</v>
      </c>
      <c r="O233" s="408">
        <v>130.036</v>
      </c>
      <c r="P233" s="408">
        <v>130.036</v>
      </c>
      <c r="Q233" s="408">
        <v>130.036</v>
      </c>
      <c r="R233" s="408"/>
      <c r="S233" s="408">
        <v>368.24</v>
      </c>
      <c r="T233" s="408">
        <v>173.25</v>
      </c>
      <c r="U233" s="408"/>
      <c r="V233" s="408">
        <v>70413.193640000012</v>
      </c>
      <c r="W233" s="408">
        <v>70413.193640000012</v>
      </c>
      <c r="X233" s="408">
        <v>66174.020040000003</v>
      </c>
      <c r="Y233" s="408">
        <v>0</v>
      </c>
      <c r="Z233" s="408">
        <v>8003.0894425133292</v>
      </c>
      <c r="AA233" s="408">
        <v>0</v>
      </c>
      <c r="AB233" s="408">
        <v>0</v>
      </c>
      <c r="AC233" s="408">
        <v>332.83200077964233</v>
      </c>
      <c r="AD233" s="408">
        <v>319.77691915300392</v>
      </c>
      <c r="AE233" s="408">
        <v>30628.303088991917</v>
      </c>
      <c r="AF233" s="408">
        <v>22150.393433031761</v>
      </c>
      <c r="AG233" s="408">
        <v>378.04501937746204</v>
      </c>
      <c r="AH233" s="408">
        <v>0</v>
      </c>
      <c r="AI233" s="408">
        <v>0</v>
      </c>
      <c r="AJ233" s="408">
        <v>0</v>
      </c>
      <c r="AK233" s="408">
        <v>0</v>
      </c>
      <c r="AL233" s="408">
        <v>1236.516261142287</v>
      </c>
      <c r="AM233" s="408"/>
      <c r="AN233" s="408">
        <v>157.06485570887065</v>
      </c>
      <c r="AO233" s="408">
        <v>706.53702344665328</v>
      </c>
      <c r="AP233" s="408">
        <v>3294.4779070698264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0</v>
      </c>
      <c r="BF233" s="408">
        <v>0</v>
      </c>
      <c r="BG233" s="408">
        <v>1162.4947697603789</v>
      </c>
      <c r="BH233" s="408">
        <v>0</v>
      </c>
      <c r="BI233" s="408">
        <v>4.8899999999999997</v>
      </c>
      <c r="BJ233" s="408">
        <v>512.24</v>
      </c>
      <c r="BK233" s="408">
        <v>66487.53</v>
      </c>
      <c r="BL233" s="408">
        <v>230</v>
      </c>
      <c r="BM233" s="408"/>
      <c r="BN233" s="408"/>
      <c r="BO233" s="408"/>
      <c r="BP233" s="408"/>
      <c r="BQ233" s="408"/>
      <c r="BR233" s="408"/>
      <c r="BS233" s="408"/>
      <c r="BT233" s="408"/>
      <c r="BU233" s="408"/>
      <c r="BV233" s="408">
        <v>23312.888202792139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66176.055599999992</v>
      </c>
      <c r="CJ233" s="408">
        <v>-4237.1680400000041</v>
      </c>
      <c r="CK233" s="408"/>
      <c r="CL233" s="408"/>
      <c r="CM233" s="408"/>
      <c r="CN233" s="408"/>
      <c r="CO233" s="408">
        <v>-7046.6508399999993</v>
      </c>
      <c r="CP233" s="408">
        <v>2807.4772400000006</v>
      </c>
      <c r="CQ233" s="408">
        <v>31</v>
      </c>
      <c r="CR233" s="408">
        <v>3368.8677332007064</v>
      </c>
      <c r="CS233" s="408">
        <v>70.404904204108789</v>
      </c>
      <c r="CT233" s="408">
        <v>328.28768168200577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329.26427278795694</v>
      </c>
      <c r="DA233" s="408">
        <v>0</v>
      </c>
      <c r="DB233" s="408">
        <v>0</v>
      </c>
      <c r="DC233" s="408">
        <v>2807.1602595844779</v>
      </c>
      <c r="DD233" s="408">
        <v>0</v>
      </c>
      <c r="DE233" s="408">
        <v>0</v>
      </c>
      <c r="DF233" s="408">
        <v>0</v>
      </c>
      <c r="DG233" s="408">
        <v>147.32510867187693</v>
      </c>
      <c r="DH233" s="408">
        <v>0</v>
      </c>
      <c r="DI233" s="408">
        <v>-271.75959242818044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-37.371311950754261</v>
      </c>
      <c r="DP233" s="408">
        <v>-4.4435893507828155</v>
      </c>
      <c r="DQ233" s="408">
        <v>0</v>
      </c>
      <c r="DR233" s="408">
        <v>0</v>
      </c>
      <c r="DS233" s="408"/>
      <c r="DT233" s="408"/>
      <c r="DU233" s="408"/>
      <c r="DV233" s="408">
        <v>30628.303088991917</v>
      </c>
      <c r="DW233" s="408">
        <v>0</v>
      </c>
      <c r="DX233" s="408">
        <v>0</v>
      </c>
      <c r="DY233" s="408">
        <v>-7046.6508400000021</v>
      </c>
      <c r="DZ233" s="408">
        <v>2807.4772400000002</v>
      </c>
      <c r="EA233" s="408">
        <v>0</v>
      </c>
      <c r="EB233" s="408">
        <v>0</v>
      </c>
      <c r="EC233" s="408">
        <v>-7608.5900219221076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2043.8463079392789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240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232</v>
      </c>
      <c r="B234" s="408" t="s">
        <v>1036</v>
      </c>
      <c r="C234" s="408" t="s">
        <v>2243</v>
      </c>
      <c r="D234" s="408" t="s">
        <v>597</v>
      </c>
      <c r="E234" s="408" t="s">
        <v>998</v>
      </c>
      <c r="F234" s="408" t="s">
        <v>1322</v>
      </c>
      <c r="G234" s="408" t="s">
        <v>1322</v>
      </c>
      <c r="H234" s="408" t="s">
        <v>1322</v>
      </c>
      <c r="I234" s="408" t="s">
        <v>973</v>
      </c>
      <c r="J234" s="408" t="s">
        <v>2236</v>
      </c>
      <c r="K234" s="826">
        <v>44470</v>
      </c>
      <c r="L234" s="408">
        <v>0</v>
      </c>
      <c r="M234" s="408">
        <v>0</v>
      </c>
      <c r="N234" s="408">
        <v>72.150999999999996</v>
      </c>
      <c r="O234" s="408">
        <v>72.150999999999996</v>
      </c>
      <c r="P234" s="408">
        <v>72.150999999999996</v>
      </c>
      <c r="Q234" s="408">
        <v>72.150999999999996</v>
      </c>
      <c r="R234" s="408"/>
      <c r="S234" s="408">
        <v>1358.36</v>
      </c>
      <c r="T234" s="408">
        <v>173.25</v>
      </c>
      <c r="U234" s="408"/>
      <c r="V234" s="408">
        <v>110507.19310999998</v>
      </c>
      <c r="W234" s="408">
        <v>110507.19310999998</v>
      </c>
      <c r="X234" s="408">
        <v>96893.020919999995</v>
      </c>
      <c r="Y234" s="408">
        <v>0</v>
      </c>
      <c r="Z234" s="408">
        <v>3863.2754663254595</v>
      </c>
      <c r="AA234" s="408">
        <v>0</v>
      </c>
      <c r="AB234" s="408">
        <v>0</v>
      </c>
      <c r="AC234" s="408">
        <v>1366.6906154973517</v>
      </c>
      <c r="AD234" s="408">
        <v>1313.0872680883376</v>
      </c>
      <c r="AE234" s="408">
        <v>72764.84027486277</v>
      </c>
      <c r="AF234" s="408">
        <v>12290.235293200918</v>
      </c>
      <c r="AG234" s="408">
        <v>209.75980646208174</v>
      </c>
      <c r="AH234" s="408">
        <v>0</v>
      </c>
      <c r="AI234" s="408">
        <v>0</v>
      </c>
      <c r="AJ234" s="408">
        <v>0</v>
      </c>
      <c r="AK234" s="408">
        <v>0</v>
      </c>
      <c r="AL234" s="408">
        <v>686.08604353930559</v>
      </c>
      <c r="AM234" s="408"/>
      <c r="AN234" s="408">
        <v>57.779518456057609</v>
      </c>
      <c r="AO234" s="408">
        <v>2901.2510320752817</v>
      </c>
      <c r="AP234" s="408">
        <v>13528.031196132044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0</v>
      </c>
      <c r="BF234" s="408">
        <v>0</v>
      </c>
      <c r="BG234" s="408">
        <v>539.59255112040239</v>
      </c>
      <c r="BH234" s="408">
        <v>0</v>
      </c>
      <c r="BI234" s="408">
        <v>0</v>
      </c>
      <c r="BJ234" s="408">
        <v>0</v>
      </c>
      <c r="BK234" s="408">
        <v>0</v>
      </c>
      <c r="BL234" s="408">
        <v>0</v>
      </c>
      <c r="BM234" s="408"/>
      <c r="BN234" s="408"/>
      <c r="BO234" s="408"/>
      <c r="BP234" s="408"/>
      <c r="BQ234" s="408"/>
      <c r="BR234" s="408"/>
      <c r="BS234" s="408"/>
      <c r="BT234" s="408"/>
      <c r="BU234" s="408"/>
      <c r="BV234" s="408">
        <v>12829.82784432132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96891.678</v>
      </c>
      <c r="CJ234" s="408">
        <v>-13615.545109999963</v>
      </c>
      <c r="CK234" s="408"/>
      <c r="CL234" s="408"/>
      <c r="CM234" s="408"/>
      <c r="CN234" s="408"/>
      <c r="CO234" s="408">
        <v>-15171.912279999997</v>
      </c>
      <c r="CP234" s="408">
        <v>1557.7400900000002</v>
      </c>
      <c r="CQ234" s="408">
        <v>31</v>
      </c>
      <c r="CR234" s="408">
        <v>4461.5805430599357</v>
      </c>
      <c r="CS234" s="408">
        <v>289.10346408867508</v>
      </c>
      <c r="CT234" s="408">
        <v>1348.0393933040687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1352.044811674989</v>
      </c>
      <c r="DA234" s="408">
        <v>0</v>
      </c>
      <c r="DB234" s="408">
        <v>0</v>
      </c>
      <c r="DC234" s="408">
        <v>1557.5642121357141</v>
      </c>
      <c r="DD234" s="408">
        <v>0</v>
      </c>
      <c r="DE234" s="408">
        <v>0</v>
      </c>
      <c r="DF234" s="408">
        <v>0</v>
      </c>
      <c r="DG234" s="408">
        <v>68.383560339572</v>
      </c>
      <c r="DH234" s="408">
        <v>0</v>
      </c>
      <c r="DI234" s="408">
        <v>-131.1846098569481</v>
      </c>
      <c r="DJ234" s="408"/>
      <c r="DK234" s="408">
        <v>0</v>
      </c>
      <c r="DL234" s="408">
        <v>0</v>
      </c>
      <c r="DM234" s="408">
        <v>0</v>
      </c>
      <c r="DN234" s="408">
        <v>0</v>
      </c>
      <c r="DO234" s="408">
        <v>-20.735623431656336</v>
      </c>
      <c r="DP234" s="408">
        <v>-1.6346651944888535</v>
      </c>
      <c r="DQ234" s="408">
        <v>0</v>
      </c>
      <c r="DR234" s="408">
        <v>0</v>
      </c>
      <c r="DS234" s="408"/>
      <c r="DT234" s="408"/>
      <c r="DU234" s="408"/>
      <c r="DV234" s="408">
        <v>72764.84027486277</v>
      </c>
      <c r="DW234" s="408">
        <v>0</v>
      </c>
      <c r="DX234" s="408">
        <v>0</v>
      </c>
      <c r="DY234" s="408">
        <v>-15171.91227999999</v>
      </c>
      <c r="DZ234" s="408">
        <v>1557.7400900000011</v>
      </c>
      <c r="EA234" s="408">
        <v>0</v>
      </c>
      <c r="EB234" s="408">
        <v>0</v>
      </c>
      <c r="EC234" s="408">
        <v>-18076.020602690776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986.61165230236782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240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233</v>
      </c>
      <c r="B235" s="408" t="s">
        <v>2238</v>
      </c>
      <c r="C235" s="408" t="s">
        <v>2243</v>
      </c>
      <c r="D235" s="408" t="s">
        <v>597</v>
      </c>
      <c r="E235" s="408" t="s">
        <v>998</v>
      </c>
      <c r="F235" s="408" t="s">
        <v>1322</v>
      </c>
      <c r="G235" s="408" t="s">
        <v>1322</v>
      </c>
      <c r="H235" s="408" t="s">
        <v>1322</v>
      </c>
      <c r="I235" s="408" t="s">
        <v>973</v>
      </c>
      <c r="J235" s="408" t="s">
        <v>2236</v>
      </c>
      <c r="K235" s="826">
        <v>44470</v>
      </c>
      <c r="L235" s="408">
        <v>0</v>
      </c>
      <c r="M235" s="408">
        <v>0</v>
      </c>
      <c r="N235" s="408">
        <v>3.827</v>
      </c>
      <c r="O235" s="408">
        <v>3.827</v>
      </c>
      <c r="P235" s="408">
        <v>3.827</v>
      </c>
      <c r="Q235" s="408">
        <v>3.827</v>
      </c>
      <c r="R235" s="408"/>
      <c r="S235" s="408">
        <v>1358.36</v>
      </c>
      <c r="T235" s="408">
        <v>173.25</v>
      </c>
      <c r="U235" s="408"/>
      <c r="V235" s="408">
        <v>5861.4714699999995</v>
      </c>
      <c r="W235" s="408">
        <v>5861.4714699999995</v>
      </c>
      <c r="X235" s="408">
        <v>5139.35484</v>
      </c>
      <c r="Y235" s="408">
        <v>0</v>
      </c>
      <c r="Z235" s="408">
        <v>204.91407201047159</v>
      </c>
      <c r="AA235" s="408">
        <v>0</v>
      </c>
      <c r="AB235" s="408">
        <v>0</v>
      </c>
      <c r="AC235" s="408">
        <v>72.491372060101241</v>
      </c>
      <c r="AD235" s="408">
        <v>69.648168077699111</v>
      </c>
      <c r="AE235" s="408">
        <v>3859.5590321949776</v>
      </c>
      <c r="AF235" s="408">
        <v>651.89298092999286</v>
      </c>
      <c r="AG235" s="408">
        <v>11.125982721381364</v>
      </c>
      <c r="AH235" s="408">
        <v>0</v>
      </c>
      <c r="AI235" s="408">
        <v>0</v>
      </c>
      <c r="AJ235" s="408">
        <v>0</v>
      </c>
      <c r="AK235" s="408">
        <v>0</v>
      </c>
      <c r="AL235" s="408">
        <v>36.39105887132434</v>
      </c>
      <c r="AM235" s="408"/>
      <c r="AN235" s="408">
        <v>3.0647145172115766</v>
      </c>
      <c r="AO235" s="408">
        <v>153.88681653410353</v>
      </c>
      <c r="AP235" s="408">
        <v>717.54757921023042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0</v>
      </c>
      <c r="BF235" s="408">
        <v>0</v>
      </c>
      <c r="BG235" s="408">
        <v>28.620818743160594</v>
      </c>
      <c r="BH235" s="408">
        <v>0</v>
      </c>
      <c r="BI235" s="408">
        <v>0</v>
      </c>
      <c r="BJ235" s="408">
        <v>0</v>
      </c>
      <c r="BK235" s="408">
        <v>0</v>
      </c>
      <c r="BL235" s="408">
        <v>0</v>
      </c>
      <c r="BM235" s="408"/>
      <c r="BN235" s="408"/>
      <c r="BO235" s="408"/>
      <c r="BP235" s="408"/>
      <c r="BQ235" s="408"/>
      <c r="BR235" s="408"/>
      <c r="BS235" s="408"/>
      <c r="BT235" s="408"/>
      <c r="BU235" s="408"/>
      <c r="BV235" s="408">
        <v>680.51379967315347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5143.3835999999992</v>
      </c>
      <c r="CJ235" s="408">
        <v>-718.11787000000095</v>
      </c>
      <c r="CK235" s="408"/>
      <c r="CL235" s="408"/>
      <c r="CM235" s="408"/>
      <c r="CN235" s="408"/>
      <c r="CO235" s="408">
        <v>-804.74155999999994</v>
      </c>
      <c r="CP235" s="408">
        <v>82.624930000000006</v>
      </c>
      <c r="CQ235" s="408">
        <v>31</v>
      </c>
      <c r="CR235" s="408">
        <v>236.64909340536269</v>
      </c>
      <c r="CS235" s="408">
        <v>15.334492343382067</v>
      </c>
      <c r="CT235" s="408">
        <v>71.502082551519266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71.714536101789051</v>
      </c>
      <c r="DA235" s="408">
        <v>0</v>
      </c>
      <c r="DB235" s="408">
        <v>0</v>
      </c>
      <c r="DC235" s="408">
        <v>82.615601167598129</v>
      </c>
      <c r="DD235" s="408">
        <v>0</v>
      </c>
      <c r="DE235" s="408">
        <v>0</v>
      </c>
      <c r="DF235" s="408">
        <v>0</v>
      </c>
      <c r="DG235" s="408">
        <v>3.6271692065188539</v>
      </c>
      <c r="DH235" s="408">
        <v>0</v>
      </c>
      <c r="DI235" s="408">
        <v>-6.9582334537641941</v>
      </c>
      <c r="DJ235" s="408"/>
      <c r="DK235" s="408">
        <v>0</v>
      </c>
      <c r="DL235" s="408">
        <v>0</v>
      </c>
      <c r="DM235" s="408">
        <v>0</v>
      </c>
      <c r="DN235" s="408">
        <v>0</v>
      </c>
      <c r="DO235" s="408">
        <v>-1.0998493558363478</v>
      </c>
      <c r="DP235" s="408">
        <v>-8.6705155844116533E-2</v>
      </c>
      <c r="DQ235" s="408">
        <v>0</v>
      </c>
      <c r="DR235" s="408">
        <v>0</v>
      </c>
      <c r="DS235" s="408"/>
      <c r="DT235" s="408"/>
      <c r="DU235" s="408"/>
      <c r="DV235" s="408">
        <v>3859.5590321949776</v>
      </c>
      <c r="DW235" s="408">
        <v>0</v>
      </c>
      <c r="DX235" s="408">
        <v>0</v>
      </c>
      <c r="DY235" s="408">
        <v>-804.74155999999948</v>
      </c>
      <c r="DZ235" s="408">
        <v>82.624930000000063</v>
      </c>
      <c r="EA235" s="408">
        <v>0</v>
      </c>
      <c r="EB235" s="408">
        <v>0</v>
      </c>
      <c r="EC235" s="408">
        <v>-958.77993162253597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52.331399334190266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240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234</v>
      </c>
      <c r="B236" s="408" t="s">
        <v>1036</v>
      </c>
      <c r="C236" s="408" t="s">
        <v>2243</v>
      </c>
      <c r="D236" s="408" t="s">
        <v>597</v>
      </c>
      <c r="E236" s="408" t="s">
        <v>998</v>
      </c>
      <c r="F236" s="408" t="s">
        <v>1322</v>
      </c>
      <c r="G236" s="408" t="s">
        <v>1322</v>
      </c>
      <c r="H236" s="408" t="s">
        <v>1322</v>
      </c>
      <c r="I236" s="408" t="s">
        <v>2244</v>
      </c>
      <c r="J236" s="408" t="s">
        <v>2236</v>
      </c>
      <c r="K236" s="826">
        <v>44470</v>
      </c>
      <c r="L236" s="408">
        <v>0</v>
      </c>
      <c r="M236" s="408">
        <v>0</v>
      </c>
      <c r="N236" s="408">
        <v>884.58699999999999</v>
      </c>
      <c r="O236" s="408">
        <v>884.58699999999999</v>
      </c>
      <c r="P236" s="408">
        <v>884.58699999999999</v>
      </c>
      <c r="Q236" s="408">
        <v>884.58699999999999</v>
      </c>
      <c r="R236" s="408"/>
      <c r="S236" s="408">
        <v>85.01</v>
      </c>
      <c r="T236" s="408">
        <v>173.25</v>
      </c>
      <c r="U236" s="408"/>
      <c r="V236" s="408">
        <v>228453.43862</v>
      </c>
      <c r="W236" s="408">
        <v>228453.43862</v>
      </c>
      <c r="X236" s="408">
        <v>246507.85928999999</v>
      </c>
      <c r="Y236" s="408">
        <v>0</v>
      </c>
      <c r="Z236" s="408">
        <v>47364.600004579836</v>
      </c>
      <c r="AA236" s="408">
        <v>0</v>
      </c>
      <c r="AB236" s="408">
        <v>0</v>
      </c>
      <c r="AC236" s="408">
        <v>0</v>
      </c>
      <c r="AD236" s="408">
        <v>0</v>
      </c>
      <c r="AE236" s="408">
        <v>0</v>
      </c>
      <c r="AF236" s="408">
        <v>150680.96585365027</v>
      </c>
      <c r="AG236" s="408">
        <v>2571.7009870808929</v>
      </c>
      <c r="AH236" s="408">
        <v>0</v>
      </c>
      <c r="AI236" s="408">
        <v>0</v>
      </c>
      <c r="AJ236" s="408">
        <v>0</v>
      </c>
      <c r="AK236" s="408">
        <v>0</v>
      </c>
      <c r="AL236" s="408">
        <v>8411.5645659284528</v>
      </c>
      <c r="AM236" s="408"/>
      <c r="AN236" s="408">
        <v>708.38950108090853</v>
      </c>
      <c r="AO236" s="408">
        <v>0</v>
      </c>
      <c r="AP236" s="408">
        <v>0</v>
      </c>
      <c r="AQ236" s="408">
        <v>0</v>
      </c>
      <c r="AR236" s="408">
        <v>0</v>
      </c>
      <c r="AS236" s="408">
        <v>0</v>
      </c>
      <c r="AT236" s="408">
        <v>0</v>
      </c>
      <c r="AU236" s="408">
        <v>0</v>
      </c>
      <c r="AV236" s="408">
        <v>0</v>
      </c>
      <c r="AW236" s="408">
        <v>0</v>
      </c>
      <c r="AX236" s="408">
        <v>0</v>
      </c>
      <c r="AY236" s="408">
        <v>0</v>
      </c>
      <c r="AZ236" s="408">
        <v>0</v>
      </c>
      <c r="BA236" s="408"/>
      <c r="BB236" s="408">
        <v>0</v>
      </c>
      <c r="BC236" s="408">
        <v>0</v>
      </c>
      <c r="BD236" s="408">
        <v>0</v>
      </c>
      <c r="BE236" s="408">
        <v>0</v>
      </c>
      <c r="BF236" s="408">
        <v>0</v>
      </c>
      <c r="BG236" s="408">
        <v>6615.5223907907493</v>
      </c>
      <c r="BH236" s="408">
        <v>0</v>
      </c>
      <c r="BI236" s="408">
        <v>0</v>
      </c>
      <c r="BJ236" s="408">
        <v>0</v>
      </c>
      <c r="BK236" s="408">
        <v>0</v>
      </c>
      <c r="BL236" s="408">
        <v>0</v>
      </c>
      <c r="BM236" s="408"/>
      <c r="BN236" s="408"/>
      <c r="BO236" s="408"/>
      <c r="BP236" s="408"/>
      <c r="BQ236" s="408"/>
      <c r="BR236" s="408"/>
      <c r="BS236" s="408"/>
      <c r="BT236" s="408"/>
      <c r="BU236" s="408"/>
      <c r="BV236" s="408">
        <v>157296.48824444102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246508.69530000002</v>
      </c>
      <c r="CJ236" s="408">
        <v>18055.226680000022</v>
      </c>
      <c r="CK236" s="408"/>
      <c r="CL236" s="408"/>
      <c r="CM236" s="408"/>
      <c r="CN236" s="408"/>
      <c r="CO236" s="408">
        <v>-1043.812660000006</v>
      </c>
      <c r="CP236" s="408">
        <v>19098.233330000003</v>
      </c>
      <c r="CQ236" s="408">
        <v>31</v>
      </c>
      <c r="CR236" s="408">
        <v>18051.857842942321</v>
      </c>
      <c r="CS236" s="408">
        <v>0</v>
      </c>
      <c r="CT236" s="408">
        <v>0</v>
      </c>
      <c r="CU236" s="408">
        <v>0</v>
      </c>
      <c r="CV236" s="408">
        <v>0</v>
      </c>
      <c r="CW236" s="408">
        <v>0</v>
      </c>
      <c r="CX236" s="408">
        <v>0</v>
      </c>
      <c r="CY236" s="408">
        <v>0</v>
      </c>
      <c r="CZ236" s="408">
        <v>0</v>
      </c>
      <c r="DA236" s="408">
        <v>0</v>
      </c>
      <c r="DB236" s="408">
        <v>0</v>
      </c>
      <c r="DC236" s="408">
        <v>19096.077029015461</v>
      </c>
      <c r="DD236" s="408">
        <v>0</v>
      </c>
      <c r="DE236" s="408">
        <v>0</v>
      </c>
      <c r="DF236" s="408">
        <v>0</v>
      </c>
      <c r="DG236" s="408">
        <v>838.39736788264963</v>
      </c>
      <c r="DH236" s="408">
        <v>0</v>
      </c>
      <c r="DI236" s="408">
        <v>-1608.3519352403746</v>
      </c>
      <c r="DJ236" s="408"/>
      <c r="DK236" s="408">
        <v>0</v>
      </c>
      <c r="DL236" s="408">
        <v>0</v>
      </c>
      <c r="DM236" s="408">
        <v>0</v>
      </c>
      <c r="DN236" s="408">
        <v>0</v>
      </c>
      <c r="DO236" s="408">
        <v>-254.2232668228944</v>
      </c>
      <c r="DP236" s="408">
        <v>-20.041351892521448</v>
      </c>
      <c r="DQ236" s="408">
        <v>0</v>
      </c>
      <c r="DR236" s="408">
        <v>0</v>
      </c>
      <c r="DS236" s="408"/>
      <c r="DT236" s="408"/>
      <c r="DU236" s="408"/>
      <c r="DV236" s="408">
        <v>0</v>
      </c>
      <c r="DW236" s="408">
        <v>0</v>
      </c>
      <c r="DX236" s="408">
        <v>0</v>
      </c>
      <c r="DY236" s="408">
        <v>-1043.8126600000105</v>
      </c>
      <c r="DZ236" s="408">
        <v>19098.233330000017</v>
      </c>
      <c r="EA236" s="408">
        <v>0</v>
      </c>
      <c r="EB236" s="408">
        <v>0</v>
      </c>
      <c r="EC236" s="408">
        <v>0</v>
      </c>
      <c r="ED236" s="408">
        <v>0</v>
      </c>
      <c r="EE236" s="408">
        <v>0</v>
      </c>
      <c r="EF236" s="408">
        <v>0</v>
      </c>
      <c r="EG236" s="408">
        <v>0</v>
      </c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>
        <v>0</v>
      </c>
      <c r="EN236" s="408">
        <v>0</v>
      </c>
      <c r="EO236" s="408">
        <v>0</v>
      </c>
      <c r="EP236" s="408">
        <v>12096.0740901054</v>
      </c>
      <c r="EQ236" s="408">
        <v>0</v>
      </c>
      <c r="ER236" s="408">
        <v>0</v>
      </c>
      <c r="ES236" s="408">
        <v>0</v>
      </c>
      <c r="ET236" s="408">
        <v>0</v>
      </c>
      <c r="EU236" s="408">
        <v>0</v>
      </c>
      <c r="EV236" s="408">
        <v>240</v>
      </c>
      <c r="EW236" s="408">
        <v>0</v>
      </c>
      <c r="EX236" s="408">
        <v>0</v>
      </c>
      <c r="EY236" s="408">
        <v>0</v>
      </c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235</v>
      </c>
      <c r="B237" s="408" t="s">
        <v>2238</v>
      </c>
      <c r="C237" s="408" t="s">
        <v>2243</v>
      </c>
      <c r="D237" s="408" t="s">
        <v>597</v>
      </c>
      <c r="E237" s="408" t="s">
        <v>998</v>
      </c>
      <c r="F237" s="408" t="s">
        <v>1322</v>
      </c>
      <c r="G237" s="408" t="s">
        <v>1322</v>
      </c>
      <c r="H237" s="408" t="s">
        <v>1322</v>
      </c>
      <c r="I237" s="408" t="s">
        <v>2244</v>
      </c>
      <c r="J237" s="408" t="s">
        <v>2236</v>
      </c>
      <c r="K237" s="826">
        <v>44470</v>
      </c>
      <c r="L237" s="408">
        <v>0</v>
      </c>
      <c r="M237" s="408">
        <v>0</v>
      </c>
      <c r="N237" s="408">
        <v>13.172000000000001</v>
      </c>
      <c r="O237" s="408">
        <v>13.172000000000001</v>
      </c>
      <c r="P237" s="408">
        <v>13.172000000000001</v>
      </c>
      <c r="Q237" s="408">
        <v>13.172000000000001</v>
      </c>
      <c r="R237" s="408"/>
      <c r="S237" s="408">
        <v>85.01</v>
      </c>
      <c r="T237" s="408">
        <v>173.25</v>
      </c>
      <c r="U237" s="408"/>
      <c r="V237" s="408">
        <v>3401.8007200000002</v>
      </c>
      <c r="W237" s="408">
        <v>3401.8007200000002</v>
      </c>
      <c r="X237" s="408">
        <v>3670.6412399999999</v>
      </c>
      <c r="Y237" s="408">
        <v>0</v>
      </c>
      <c r="Z237" s="408">
        <v>705.28564319883242</v>
      </c>
      <c r="AA237" s="408">
        <v>0</v>
      </c>
      <c r="AB237" s="408">
        <v>0</v>
      </c>
      <c r="AC237" s="408">
        <v>0</v>
      </c>
      <c r="AD237" s="408">
        <v>0</v>
      </c>
      <c r="AE237" s="408">
        <v>0</v>
      </c>
      <c r="AF237" s="408">
        <v>2243.7246785497427</v>
      </c>
      <c r="AG237" s="408">
        <v>38.294080064289346</v>
      </c>
      <c r="AH237" s="408">
        <v>0</v>
      </c>
      <c r="AI237" s="408">
        <v>0</v>
      </c>
      <c r="AJ237" s="408">
        <v>0</v>
      </c>
      <c r="AK237" s="408">
        <v>0</v>
      </c>
      <c r="AL237" s="408">
        <v>125.2529468129303</v>
      </c>
      <c r="AM237" s="408"/>
      <c r="AN237" s="408">
        <v>10.548319733658451</v>
      </c>
      <c r="AO237" s="408">
        <v>0</v>
      </c>
      <c r="AP237" s="408">
        <v>0</v>
      </c>
      <c r="AQ237" s="408">
        <v>0</v>
      </c>
      <c r="AR237" s="408">
        <v>0</v>
      </c>
      <c r="AS237" s="408">
        <v>0</v>
      </c>
      <c r="AT237" s="408">
        <v>0</v>
      </c>
      <c r="AU237" s="408">
        <v>0</v>
      </c>
      <c r="AV237" s="408">
        <v>0</v>
      </c>
      <c r="AW237" s="408">
        <v>0</v>
      </c>
      <c r="AX237" s="408">
        <v>0</v>
      </c>
      <c r="AY237" s="408">
        <v>0</v>
      </c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>
        <v>0</v>
      </c>
      <c r="BG237" s="408">
        <v>98.508864511343447</v>
      </c>
      <c r="BH237" s="408">
        <v>0</v>
      </c>
      <c r="BI237" s="408">
        <v>0</v>
      </c>
      <c r="BJ237" s="408">
        <v>0</v>
      </c>
      <c r="BK237" s="408">
        <v>0</v>
      </c>
      <c r="BL237" s="408">
        <v>0</v>
      </c>
      <c r="BM237" s="408"/>
      <c r="BN237" s="408"/>
      <c r="BO237" s="408"/>
      <c r="BP237" s="408"/>
      <c r="BQ237" s="408"/>
      <c r="BR237" s="408"/>
      <c r="BS237" s="408"/>
      <c r="BT237" s="408"/>
      <c r="BU237" s="408"/>
      <c r="BV237" s="408">
        <v>2342.233543061086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3670.0839000000001</v>
      </c>
      <c r="CJ237" s="408">
        <v>268.2531799999997</v>
      </c>
      <c r="CK237" s="408"/>
      <c r="CL237" s="408"/>
      <c r="CM237" s="408"/>
      <c r="CN237" s="408"/>
      <c r="CO237" s="408">
        <v>-15.542960000000091</v>
      </c>
      <c r="CP237" s="408">
        <v>284.38348000000008</v>
      </c>
      <c r="CQ237" s="408">
        <v>31</v>
      </c>
      <c r="CR237" s="408">
        <v>268.80235805775601</v>
      </c>
      <c r="CS237" s="408">
        <v>0</v>
      </c>
      <c r="CT237" s="408">
        <v>0</v>
      </c>
      <c r="CU237" s="408">
        <v>0</v>
      </c>
      <c r="CV237" s="408">
        <v>0</v>
      </c>
      <c r="CW237" s="408">
        <v>0</v>
      </c>
      <c r="CX237" s="408">
        <v>0</v>
      </c>
      <c r="CY237" s="408">
        <v>0</v>
      </c>
      <c r="CZ237" s="408">
        <v>0</v>
      </c>
      <c r="DA237" s="408">
        <v>0</v>
      </c>
      <c r="DB237" s="408">
        <v>0</v>
      </c>
      <c r="DC237" s="408">
        <v>284.35137146057059</v>
      </c>
      <c r="DD237" s="408">
        <v>0</v>
      </c>
      <c r="DE237" s="408">
        <v>0</v>
      </c>
      <c r="DF237" s="408">
        <v>0</v>
      </c>
      <c r="DG237" s="408">
        <v>12.484210292204438</v>
      </c>
      <c r="DH237" s="408">
        <v>0</v>
      </c>
      <c r="DI237" s="408">
        <v>-23.949268631560471</v>
      </c>
      <c r="DJ237" s="408"/>
      <c r="DK237" s="408">
        <v>0</v>
      </c>
      <c r="DL237" s="408">
        <v>0</v>
      </c>
      <c r="DM237" s="408">
        <v>0</v>
      </c>
      <c r="DN237" s="408">
        <v>0</v>
      </c>
      <c r="DO237" s="408">
        <v>-3.7855280154367534</v>
      </c>
      <c r="DP237" s="408">
        <v>-0.29842704802161002</v>
      </c>
      <c r="DQ237" s="408">
        <v>0</v>
      </c>
      <c r="DR237" s="408">
        <v>0</v>
      </c>
      <c r="DS237" s="408"/>
      <c r="DT237" s="408"/>
      <c r="DU237" s="408"/>
      <c r="DV237" s="408">
        <v>0</v>
      </c>
      <c r="DW237" s="408">
        <v>0</v>
      </c>
      <c r="DX237" s="408">
        <v>0</v>
      </c>
      <c r="DY237" s="408">
        <v>-15.542960000000221</v>
      </c>
      <c r="DZ237" s="408">
        <v>284.38347999999996</v>
      </c>
      <c r="EA237" s="408">
        <v>0</v>
      </c>
      <c r="EB237" s="408">
        <v>0</v>
      </c>
      <c r="EC237" s="408">
        <v>0</v>
      </c>
      <c r="ED237" s="408">
        <v>0</v>
      </c>
      <c r="EE237" s="408">
        <v>0</v>
      </c>
      <c r="EF237" s="408">
        <v>0</v>
      </c>
      <c r="EG237" s="408">
        <v>0</v>
      </c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>
        <v>0</v>
      </c>
      <c r="EN237" s="408">
        <v>0</v>
      </c>
      <c r="EO237" s="408">
        <v>0</v>
      </c>
      <c r="EP237" s="408">
        <v>180.11737445256185</v>
      </c>
      <c r="EQ237" s="408">
        <v>0</v>
      </c>
      <c r="ER237" s="408">
        <v>0</v>
      </c>
      <c r="ES237" s="408">
        <v>0</v>
      </c>
      <c r="ET237" s="408">
        <v>0</v>
      </c>
      <c r="EU237" s="408">
        <v>0</v>
      </c>
      <c r="EV237" s="408">
        <v>240</v>
      </c>
      <c r="EW237" s="408">
        <v>0</v>
      </c>
      <c r="EX237" s="408">
        <v>0</v>
      </c>
      <c r="EY237" s="408">
        <v>0</v>
      </c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236</v>
      </c>
      <c r="B238" s="408" t="s">
        <v>1036</v>
      </c>
      <c r="C238" s="408" t="s">
        <v>2243</v>
      </c>
      <c r="D238" s="408" t="s">
        <v>597</v>
      </c>
      <c r="E238" s="408" t="s">
        <v>998</v>
      </c>
      <c r="F238" s="408" t="s">
        <v>1322</v>
      </c>
      <c r="G238" s="408" t="s">
        <v>1322</v>
      </c>
      <c r="H238" s="408" t="s">
        <v>1322</v>
      </c>
      <c r="I238" s="408" t="s">
        <v>1322</v>
      </c>
      <c r="J238" s="408" t="s">
        <v>2236</v>
      </c>
      <c r="K238" s="826">
        <v>44470</v>
      </c>
      <c r="L238" s="408">
        <v>4022</v>
      </c>
      <c r="M238" s="408">
        <v>4022</v>
      </c>
      <c r="N238" s="408">
        <v>0</v>
      </c>
      <c r="O238" s="408">
        <v>0</v>
      </c>
      <c r="P238" s="408">
        <v>0</v>
      </c>
      <c r="Q238" s="408">
        <v>0</v>
      </c>
      <c r="R238" s="408">
        <v>27.19</v>
      </c>
      <c r="S238" s="408"/>
      <c r="T238" s="408"/>
      <c r="U238" s="408">
        <v>109358.18000000001</v>
      </c>
      <c r="V238" s="408"/>
      <c r="W238" s="408">
        <v>109358.18000000001</v>
      </c>
      <c r="X238" s="408">
        <v>87518.720000000001</v>
      </c>
      <c r="Y238" s="408">
        <v>0</v>
      </c>
      <c r="Z238" s="408">
        <v>0</v>
      </c>
      <c r="AA238" s="408">
        <v>0</v>
      </c>
      <c r="AB238" s="408">
        <v>0</v>
      </c>
      <c r="AC238" s="408">
        <v>937.93286720566243</v>
      </c>
      <c r="AD238" s="408">
        <v>901.06812394784538</v>
      </c>
      <c r="AE238" s="408">
        <v>96254.625637987498</v>
      </c>
      <c r="AF238" s="408"/>
      <c r="AG238" s="408"/>
      <c r="AH238" s="408"/>
      <c r="AI238" s="408">
        <v>0</v>
      </c>
      <c r="AJ238" s="408">
        <v>0</v>
      </c>
      <c r="AK238" s="408">
        <v>0</v>
      </c>
      <c r="AL238" s="408">
        <v>0</v>
      </c>
      <c r="AM238" s="408"/>
      <c r="AN238" s="408">
        <v>0</v>
      </c>
      <c r="AO238" s="408">
        <v>1990.4267906458463</v>
      </c>
      <c r="AP238" s="408">
        <v>9283.1333265922131</v>
      </c>
      <c r="AQ238" s="408">
        <v>0</v>
      </c>
      <c r="AR238" s="408">
        <v>0</v>
      </c>
      <c r="AS238" s="408"/>
      <c r="AT238" s="408"/>
      <c r="AU238" s="408">
        <v>0</v>
      </c>
      <c r="AV238" s="408">
        <v>0</v>
      </c>
      <c r="AW238" s="408">
        <v>0</v>
      </c>
      <c r="AX238" s="408"/>
      <c r="AY238" s="408"/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/>
      <c r="BG238" s="408">
        <v>0</v>
      </c>
      <c r="BH238" s="408">
        <v>0</v>
      </c>
      <c r="BI238" s="408">
        <v>39.869999999999997</v>
      </c>
      <c r="BJ238" s="408">
        <v>3435.1</v>
      </c>
      <c r="BK238" s="408">
        <v>237644.64</v>
      </c>
      <c r="BL238" s="408">
        <v>40</v>
      </c>
      <c r="BM238" s="408"/>
      <c r="BN238" s="408"/>
      <c r="BO238" s="408"/>
      <c r="BP238" s="408"/>
      <c r="BQ238" s="408"/>
      <c r="BR238" s="408"/>
      <c r="BS238" s="408"/>
      <c r="BT238" s="408"/>
      <c r="BU238" s="408"/>
      <c r="BV238" s="408">
        <v>0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87518.720000000001</v>
      </c>
      <c r="CJ238" s="408">
        <v>-21839.489999999991</v>
      </c>
      <c r="CK238" s="408"/>
      <c r="CL238" s="408"/>
      <c r="CM238" s="408"/>
      <c r="CN238" s="408"/>
      <c r="CO238" s="408">
        <v>-21839.46</v>
      </c>
      <c r="CP238" s="408">
        <v>0</v>
      </c>
      <c r="CQ238" s="408">
        <v>31</v>
      </c>
      <c r="CR238" s="408">
        <v>2051.1877795110668</v>
      </c>
      <c r="CS238" s="408">
        <v>198.34177526479289</v>
      </c>
      <c r="CT238" s="408">
        <v>925.04439383004865</v>
      </c>
      <c r="CU238" s="408">
        <v>0</v>
      </c>
      <c r="CV238" s="408">
        <v>0</v>
      </c>
      <c r="CW238" s="408"/>
      <c r="CX238" s="408"/>
      <c r="CY238" s="408"/>
      <c r="CZ238" s="408">
        <v>927.80161041622659</v>
      </c>
      <c r="DA238" s="408">
        <v>0</v>
      </c>
      <c r="DB238" s="408">
        <v>0</v>
      </c>
      <c r="DC238" s="408"/>
      <c r="DD238" s="408"/>
      <c r="DE238" s="408">
        <v>0</v>
      </c>
      <c r="DF238" s="408">
        <v>0</v>
      </c>
      <c r="DG238" s="408">
        <v>0</v>
      </c>
      <c r="DH238" s="408">
        <v>0</v>
      </c>
      <c r="DI238" s="408">
        <v>0</v>
      </c>
      <c r="DJ238" s="408"/>
      <c r="DK238" s="408">
        <v>0</v>
      </c>
      <c r="DL238" s="408">
        <v>0</v>
      </c>
      <c r="DM238" s="408"/>
      <c r="DN238" s="408">
        <v>0</v>
      </c>
      <c r="DO238" s="408">
        <v>0</v>
      </c>
      <c r="DP238" s="408">
        <v>0</v>
      </c>
      <c r="DQ238" s="408">
        <v>0</v>
      </c>
      <c r="DR238" s="408">
        <v>0</v>
      </c>
      <c r="DS238" s="408"/>
      <c r="DT238" s="408"/>
      <c r="DU238" s="408">
        <v>96254.625637987498</v>
      </c>
      <c r="DV238" s="408"/>
      <c r="DW238" s="408">
        <v>0</v>
      </c>
      <c r="DX238" s="408">
        <v>0</v>
      </c>
      <c r="DY238" s="408">
        <v>-21839.460000000006</v>
      </c>
      <c r="DZ238" s="408"/>
      <c r="EA238" s="408">
        <v>0</v>
      </c>
      <c r="EB238" s="408"/>
      <c r="EC238" s="408">
        <v>-23911.281733928219</v>
      </c>
      <c r="ED238" s="408"/>
      <c r="EE238" s="408">
        <v>0</v>
      </c>
      <c r="EF238" s="408">
        <v>0</v>
      </c>
      <c r="EG238" s="408"/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/>
      <c r="EN238" s="408"/>
      <c r="EO238" s="408">
        <v>0</v>
      </c>
      <c r="EP238" s="408">
        <v>0</v>
      </c>
      <c r="EQ238" s="408"/>
      <c r="ER238" s="408">
        <v>0</v>
      </c>
      <c r="ES238" s="408"/>
      <c r="ET238" s="408">
        <v>0</v>
      </c>
      <c r="EU238" s="408"/>
      <c r="EV238" s="408">
        <v>240</v>
      </c>
      <c r="EW238" s="408"/>
      <c r="EX238" s="408"/>
      <c r="EY238" s="408"/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237</v>
      </c>
      <c r="B239" s="408" t="s">
        <v>2238</v>
      </c>
      <c r="C239" s="408" t="s">
        <v>2243</v>
      </c>
      <c r="D239" s="408" t="s">
        <v>597</v>
      </c>
      <c r="E239" s="408" t="s">
        <v>998</v>
      </c>
      <c r="F239" s="408" t="s">
        <v>1322</v>
      </c>
      <c r="G239" s="408" t="s">
        <v>1322</v>
      </c>
      <c r="H239" s="408" t="s">
        <v>1322</v>
      </c>
      <c r="I239" s="408" t="s">
        <v>1322</v>
      </c>
      <c r="J239" s="408" t="s">
        <v>2236</v>
      </c>
      <c r="K239" s="826">
        <v>44470</v>
      </c>
      <c r="L239" s="408">
        <v>655</v>
      </c>
      <c r="M239" s="408">
        <v>655</v>
      </c>
      <c r="N239" s="408">
        <v>0</v>
      </c>
      <c r="O239" s="408">
        <v>0</v>
      </c>
      <c r="P239" s="408">
        <v>0</v>
      </c>
      <c r="Q239" s="408">
        <v>0</v>
      </c>
      <c r="R239" s="408">
        <v>27.19</v>
      </c>
      <c r="S239" s="408"/>
      <c r="T239" s="408"/>
      <c r="U239" s="408">
        <v>17809.45</v>
      </c>
      <c r="V239" s="408"/>
      <c r="W239" s="408">
        <v>17809.45</v>
      </c>
      <c r="X239" s="408">
        <v>14252.800000000001</v>
      </c>
      <c r="Y239" s="408">
        <v>0</v>
      </c>
      <c r="Z239" s="408">
        <v>0</v>
      </c>
      <c r="AA239" s="408">
        <v>0</v>
      </c>
      <c r="AB239" s="408">
        <v>0</v>
      </c>
      <c r="AC239" s="408">
        <v>152.74640179505442</v>
      </c>
      <c r="AD239" s="408">
        <v>146.74281978762772</v>
      </c>
      <c r="AE239" s="408">
        <v>15675.479809269471</v>
      </c>
      <c r="AF239" s="408"/>
      <c r="AG239" s="408"/>
      <c r="AH239" s="408"/>
      <c r="AI239" s="408">
        <v>0</v>
      </c>
      <c r="AJ239" s="408">
        <v>0</v>
      </c>
      <c r="AK239" s="408">
        <v>0</v>
      </c>
      <c r="AL239" s="408">
        <v>0</v>
      </c>
      <c r="AM239" s="408"/>
      <c r="AN239" s="408">
        <v>0</v>
      </c>
      <c r="AO239" s="408">
        <v>324.14956436425393</v>
      </c>
      <c r="AP239" s="408">
        <v>1511.7981921725261</v>
      </c>
      <c r="AQ239" s="408">
        <v>0</v>
      </c>
      <c r="AR239" s="408">
        <v>0</v>
      </c>
      <c r="AS239" s="408"/>
      <c r="AT239" s="408"/>
      <c r="AU239" s="408">
        <v>0</v>
      </c>
      <c r="AV239" s="408">
        <v>0</v>
      </c>
      <c r="AW239" s="408">
        <v>0</v>
      </c>
      <c r="AX239" s="408"/>
      <c r="AY239" s="408"/>
      <c r="AZ239" s="408">
        <v>0</v>
      </c>
      <c r="BA239" s="408"/>
      <c r="BB239" s="408">
        <v>0</v>
      </c>
      <c r="BC239" s="408">
        <v>0</v>
      </c>
      <c r="BD239" s="408">
        <v>0</v>
      </c>
      <c r="BE239" s="408">
        <v>0</v>
      </c>
      <c r="BF239" s="408"/>
      <c r="BG239" s="408">
        <v>0</v>
      </c>
      <c r="BH239" s="408">
        <v>0</v>
      </c>
      <c r="BI239" s="408">
        <v>1.91</v>
      </c>
      <c r="BJ239" s="408">
        <v>165.49</v>
      </c>
      <c r="BK239" s="408">
        <v>13013.26</v>
      </c>
      <c r="BL239" s="408">
        <v>5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>
        <v>0</v>
      </c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>
        <v>14252.800000000001</v>
      </c>
      <c r="CJ239" s="408">
        <v>-3556.6799999999948</v>
      </c>
      <c r="CK239" s="408"/>
      <c r="CL239" s="408"/>
      <c r="CM239" s="408"/>
      <c r="CN239" s="408"/>
      <c r="CO239" s="408">
        <v>-3556.6499999999996</v>
      </c>
      <c r="CP239" s="408">
        <v>0</v>
      </c>
      <c r="CQ239" s="408">
        <v>31</v>
      </c>
      <c r="CR239" s="408">
        <v>334.04475275478626</v>
      </c>
      <c r="CS239" s="408">
        <v>32.300811237801952</v>
      </c>
      <c r="CT239" s="408">
        <v>150.64745846809592</v>
      </c>
      <c r="CU239" s="408">
        <v>0</v>
      </c>
      <c r="CV239" s="408">
        <v>0</v>
      </c>
      <c r="CW239" s="408"/>
      <c r="CX239" s="408"/>
      <c r="CY239" s="408"/>
      <c r="CZ239" s="408">
        <v>151.09648304888825</v>
      </c>
      <c r="DA239" s="408">
        <v>0</v>
      </c>
      <c r="DB239" s="408">
        <v>0</v>
      </c>
      <c r="DC239" s="408"/>
      <c r="DD239" s="408"/>
      <c r="DE239" s="408">
        <v>0</v>
      </c>
      <c r="DF239" s="408">
        <v>0</v>
      </c>
      <c r="DG239" s="408">
        <v>0</v>
      </c>
      <c r="DH239" s="408">
        <v>0</v>
      </c>
      <c r="DI239" s="408">
        <v>0</v>
      </c>
      <c r="DJ239" s="408"/>
      <c r="DK239" s="408">
        <v>0</v>
      </c>
      <c r="DL239" s="408">
        <v>0</v>
      </c>
      <c r="DM239" s="408"/>
      <c r="DN239" s="408">
        <v>0</v>
      </c>
      <c r="DO239" s="408">
        <v>0</v>
      </c>
      <c r="DP239" s="408">
        <v>0</v>
      </c>
      <c r="DQ239" s="408">
        <v>0</v>
      </c>
      <c r="DR239" s="408">
        <v>0</v>
      </c>
      <c r="DS239" s="408"/>
      <c r="DT239" s="408"/>
      <c r="DU239" s="408">
        <v>15675.479809269471</v>
      </c>
      <c r="DV239" s="408"/>
      <c r="DW239" s="408">
        <v>0</v>
      </c>
      <c r="DX239" s="408">
        <v>0</v>
      </c>
      <c r="DY239" s="408">
        <v>-3556.6499999999996</v>
      </c>
      <c r="DZ239" s="408"/>
      <c r="EA239" s="408">
        <v>0</v>
      </c>
      <c r="EB239" s="408"/>
      <c r="EC239" s="408">
        <v>-3894.0550809853266</v>
      </c>
      <c r="ED239" s="408"/>
      <c r="EE239" s="408">
        <v>0</v>
      </c>
      <c r="EF239" s="408">
        <v>0</v>
      </c>
      <c r="EG239" s="408"/>
      <c r="EH239" s="408">
        <v>0</v>
      </c>
      <c r="EI239" s="408">
        <v>0</v>
      </c>
      <c r="EJ239" s="408">
        <v>0</v>
      </c>
      <c r="EK239" s="408">
        <v>0</v>
      </c>
      <c r="EL239" s="408">
        <v>0</v>
      </c>
      <c r="EM239" s="408"/>
      <c r="EN239" s="408"/>
      <c r="EO239" s="408">
        <v>0</v>
      </c>
      <c r="EP239" s="408">
        <v>0</v>
      </c>
      <c r="EQ239" s="408"/>
      <c r="ER239" s="408">
        <v>0</v>
      </c>
      <c r="ES239" s="408"/>
      <c r="ET239" s="408">
        <v>0</v>
      </c>
      <c r="EU239" s="408"/>
      <c r="EV239" s="408">
        <v>240</v>
      </c>
      <c r="EW239" s="408"/>
      <c r="EX239" s="408"/>
      <c r="EY239" s="408"/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238</v>
      </c>
      <c r="B240" s="408" t="s">
        <v>1036</v>
      </c>
      <c r="C240" s="408" t="s">
        <v>2316</v>
      </c>
      <c r="D240" s="408" t="s">
        <v>1958</v>
      </c>
      <c r="E240" s="408" t="s">
        <v>998</v>
      </c>
      <c r="F240" s="408" t="s">
        <v>1322</v>
      </c>
      <c r="G240" s="408" t="s">
        <v>1322</v>
      </c>
      <c r="H240" s="408" t="s">
        <v>1322</v>
      </c>
      <c r="I240" s="408" t="s">
        <v>973</v>
      </c>
      <c r="J240" s="408" t="s">
        <v>2236</v>
      </c>
      <c r="K240" s="826">
        <v>44470</v>
      </c>
      <c r="L240" s="408">
        <v>0</v>
      </c>
      <c r="M240" s="408">
        <v>0</v>
      </c>
      <c r="N240" s="408">
        <v>0.56999999999999995</v>
      </c>
      <c r="O240" s="408">
        <v>0.56999999999999995</v>
      </c>
      <c r="P240" s="408">
        <v>0.56999999999999995</v>
      </c>
      <c r="Q240" s="408">
        <v>0.56999999999999995</v>
      </c>
      <c r="R240" s="408"/>
      <c r="S240" s="408">
        <v>1553.42</v>
      </c>
      <c r="T240" s="408">
        <v>173.25</v>
      </c>
      <c r="U240" s="408"/>
      <c r="V240" s="408">
        <v>984.20190000000002</v>
      </c>
      <c r="W240" s="408">
        <v>984.20190000000002</v>
      </c>
      <c r="X240" s="408">
        <v>933.79679999999996</v>
      </c>
      <c r="Y240" s="408">
        <v>0</v>
      </c>
      <c r="Z240" s="408">
        <v>35.080754423641125</v>
      </c>
      <c r="AA240" s="408">
        <v>0</v>
      </c>
      <c r="AB240" s="408">
        <v>0</v>
      </c>
      <c r="AC240" s="408">
        <v>61.816070248845989</v>
      </c>
      <c r="AD240" s="408">
        <v>4.274783459360056</v>
      </c>
      <c r="AE240" s="408">
        <v>409.48110496222438</v>
      </c>
      <c r="AF240" s="408">
        <v>97.094068233628406</v>
      </c>
      <c r="AG240" s="408">
        <v>1.6571231124085124</v>
      </c>
      <c r="AH240" s="408">
        <v>0</v>
      </c>
      <c r="AI240" s="408">
        <v>0</v>
      </c>
      <c r="AJ240" s="408">
        <v>0</v>
      </c>
      <c r="AK240" s="408">
        <v>0</v>
      </c>
      <c r="AL240" s="408">
        <v>5.4201472580754828</v>
      </c>
      <c r="AM240" s="408"/>
      <c r="AN240" s="408">
        <v>0.68847832718675028</v>
      </c>
      <c r="AO240" s="408">
        <v>179.86575989054077</v>
      </c>
      <c r="AP240" s="408">
        <v>174.76547385461799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0</v>
      </c>
      <c r="BF240" s="408">
        <v>0</v>
      </c>
      <c r="BG240" s="408">
        <v>5.0956813402705086</v>
      </c>
      <c r="BH240" s="408">
        <v>0</v>
      </c>
      <c r="BI240" s="408">
        <v>0</v>
      </c>
      <c r="BJ240" s="408">
        <v>0</v>
      </c>
      <c r="BK240" s="408">
        <v>0</v>
      </c>
      <c r="BL240" s="408">
        <v>0</v>
      </c>
      <c r="BM240" s="408"/>
      <c r="BN240" s="408"/>
      <c r="BO240" s="408"/>
      <c r="BP240" s="408"/>
      <c r="BQ240" s="408"/>
      <c r="BR240" s="408"/>
      <c r="BS240" s="408"/>
      <c r="BT240" s="408"/>
      <c r="BU240" s="408"/>
      <c r="BV240" s="408">
        <v>102.18974957389891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933.79679999999996</v>
      </c>
      <c r="CJ240" s="408">
        <v>-50.435100000000034</v>
      </c>
      <c r="CK240" s="408"/>
      <c r="CL240" s="408"/>
      <c r="CM240" s="408"/>
      <c r="CN240" s="408"/>
      <c r="CO240" s="408">
        <v>-62.711399999999983</v>
      </c>
      <c r="CP240" s="408">
        <v>12.3063</v>
      </c>
      <c r="CQ240" s="408">
        <v>31</v>
      </c>
      <c r="CR240" s="408">
        <v>51.316027748282409</v>
      </c>
      <c r="CS240" s="408">
        <v>17.92323852035048</v>
      </c>
      <c r="CT240" s="408">
        <v>17.415005918439761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4.4016105690189198</v>
      </c>
      <c r="DA240" s="408">
        <v>0</v>
      </c>
      <c r="DB240" s="408">
        <v>0</v>
      </c>
      <c r="DC240" s="408">
        <v>12.304910547564916</v>
      </c>
      <c r="DD240" s="408">
        <v>0</v>
      </c>
      <c r="DE240" s="408">
        <v>0</v>
      </c>
      <c r="DF240" s="408">
        <v>0</v>
      </c>
      <c r="DG240" s="408">
        <v>0.64578510522447541</v>
      </c>
      <c r="DH240" s="408">
        <v>0</v>
      </c>
      <c r="DI240" s="408">
        <v>-1.1912314104099053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-0.16381346559360388</v>
      </c>
      <c r="DP240" s="408">
        <v>-1.947803631260725E-2</v>
      </c>
      <c r="DQ240" s="408">
        <v>0</v>
      </c>
      <c r="DR240" s="408">
        <v>0</v>
      </c>
      <c r="DS240" s="408"/>
      <c r="DT240" s="408"/>
      <c r="DU240" s="408"/>
      <c r="DV240" s="408">
        <v>409.48110496222438</v>
      </c>
      <c r="DW240" s="408">
        <v>0</v>
      </c>
      <c r="DX240" s="408">
        <v>0</v>
      </c>
      <c r="DY240" s="408">
        <v>-62.711400000000026</v>
      </c>
      <c r="DZ240" s="408">
        <v>12.306299999999993</v>
      </c>
      <c r="EA240" s="408">
        <v>0</v>
      </c>
      <c r="EB240" s="408">
        <v>0</v>
      </c>
      <c r="EC240" s="408">
        <v>-101.7220523229368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8.958999012007359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240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239</v>
      </c>
      <c r="B241" s="408" t="s">
        <v>1036</v>
      </c>
      <c r="C241" s="408" t="s">
        <v>2316</v>
      </c>
      <c r="D241" s="408" t="s">
        <v>1958</v>
      </c>
      <c r="E241" s="408" t="s">
        <v>998</v>
      </c>
      <c r="F241" s="408" t="s">
        <v>1322</v>
      </c>
      <c r="G241" s="408" t="s">
        <v>1322</v>
      </c>
      <c r="H241" s="408" t="s">
        <v>1322</v>
      </c>
      <c r="I241" s="408" t="s">
        <v>2244</v>
      </c>
      <c r="J241" s="408" t="s">
        <v>2236</v>
      </c>
      <c r="K241" s="826">
        <v>44470</v>
      </c>
      <c r="L241" s="408">
        <v>0</v>
      </c>
      <c r="M241" s="408">
        <v>0</v>
      </c>
      <c r="N241" s="408">
        <v>8.8829999999999991</v>
      </c>
      <c r="O241" s="408">
        <v>8.8829999999999991</v>
      </c>
      <c r="P241" s="408">
        <v>8.8829999999999991</v>
      </c>
      <c r="Q241" s="408">
        <v>8.8829999999999991</v>
      </c>
      <c r="R241" s="408"/>
      <c r="S241" s="408">
        <v>388.22</v>
      </c>
      <c r="T241" s="408">
        <v>173.25</v>
      </c>
      <c r="U241" s="408"/>
      <c r="V241" s="408">
        <v>4987.5380099999993</v>
      </c>
      <c r="W241" s="408">
        <v>4987.5380099999993</v>
      </c>
      <c r="X241" s="408">
        <v>4974.7464899999995</v>
      </c>
      <c r="Y241" s="408">
        <v>0</v>
      </c>
      <c r="Z241" s="408">
        <v>546.70586236000725</v>
      </c>
      <c r="AA241" s="408">
        <v>0</v>
      </c>
      <c r="AB241" s="408">
        <v>0</v>
      </c>
      <c r="AC241" s="408">
        <v>192.6709305335084</v>
      </c>
      <c r="AD241" s="408">
        <v>13.323837543589564</v>
      </c>
      <c r="AE241" s="408">
        <v>1276.2889058780831</v>
      </c>
      <c r="AF241" s="408">
        <v>1513.1344002093351</v>
      </c>
      <c r="AG241" s="408">
        <v>25.824955451797923</v>
      </c>
      <c r="AH241" s="408">
        <v>0</v>
      </c>
      <c r="AI241" s="408">
        <v>0</v>
      </c>
      <c r="AJ241" s="408">
        <v>0</v>
      </c>
      <c r="AK241" s="408">
        <v>0</v>
      </c>
      <c r="AL241" s="408">
        <v>84.468715953481606</v>
      </c>
      <c r="AM241" s="408"/>
      <c r="AN241" s="408">
        <v>10.729391193684039</v>
      </c>
      <c r="AO241" s="408">
        <v>560.61317372199073</v>
      </c>
      <c r="AP241" s="408">
        <v>544.71638745634095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0</v>
      </c>
      <c r="BE241" s="408">
        <v>0</v>
      </c>
      <c r="BF241" s="408">
        <v>0</v>
      </c>
      <c r="BG241" s="408">
        <v>79.4121707817946</v>
      </c>
      <c r="BH241" s="408">
        <v>0</v>
      </c>
      <c r="BI241" s="408">
        <v>0</v>
      </c>
      <c r="BJ241" s="408">
        <v>0</v>
      </c>
      <c r="BK241" s="408">
        <v>0</v>
      </c>
      <c r="BL241" s="408">
        <v>0</v>
      </c>
      <c r="BM241" s="408"/>
      <c r="BN241" s="408"/>
      <c r="BO241" s="408"/>
      <c r="BP241" s="408"/>
      <c r="BQ241" s="408"/>
      <c r="BR241" s="408"/>
      <c r="BS241" s="408"/>
      <c r="BT241" s="408"/>
      <c r="BU241" s="408"/>
      <c r="BV241" s="408">
        <v>1592.5465709911298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4973.0664000000006</v>
      </c>
      <c r="CJ241" s="408">
        <v>-14.501609999999346</v>
      </c>
      <c r="CK241" s="408"/>
      <c r="CL241" s="408"/>
      <c r="CM241" s="408"/>
      <c r="CN241" s="408"/>
      <c r="CO241" s="408">
        <v>-204.57549000000023</v>
      </c>
      <c r="CP241" s="408">
        <v>191.78397000000001</v>
      </c>
      <c r="CQ241" s="408">
        <v>31</v>
      </c>
      <c r="CR241" s="408">
        <v>304.2683792583648</v>
      </c>
      <c r="CS241" s="408">
        <v>55.863904482901944</v>
      </c>
      <c r="CT241" s="408">
        <v>54.279823709999164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13.719137988929672</v>
      </c>
      <c r="DA241" s="408">
        <v>0</v>
      </c>
      <c r="DB241" s="408">
        <v>0</v>
      </c>
      <c r="DC241" s="408">
        <v>191.76231648073554</v>
      </c>
      <c r="DD241" s="408">
        <v>0</v>
      </c>
      <c r="DE241" s="408">
        <v>0</v>
      </c>
      <c r="DF241" s="408">
        <v>0</v>
      </c>
      <c r="DG241" s="408">
        <v>10.064051034577233</v>
      </c>
      <c r="DH241" s="408">
        <v>0</v>
      </c>
      <c r="DI241" s="408">
        <v>-18.564401085388113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-2.5529035348561138</v>
      </c>
      <c r="DP241" s="408">
        <v>-0.30354981853489527</v>
      </c>
      <c r="DQ241" s="408">
        <v>0</v>
      </c>
      <c r="DR241" s="408">
        <v>0</v>
      </c>
      <c r="DS241" s="408"/>
      <c r="DT241" s="408"/>
      <c r="DU241" s="408"/>
      <c r="DV241" s="408">
        <v>1276.2889058780831</v>
      </c>
      <c r="DW241" s="408">
        <v>0</v>
      </c>
      <c r="DX241" s="408">
        <v>0</v>
      </c>
      <c r="DY241" s="408">
        <v>-204.57549000000017</v>
      </c>
      <c r="DZ241" s="408">
        <v>191.78397000000018</v>
      </c>
      <c r="EA241" s="408">
        <v>0</v>
      </c>
      <c r="EB241" s="408">
        <v>0</v>
      </c>
      <c r="EC241" s="408">
        <v>-317.05181335507564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139.61892670817784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240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240</v>
      </c>
      <c r="B242" s="408" t="s">
        <v>1036</v>
      </c>
      <c r="C242" s="408" t="s">
        <v>2316</v>
      </c>
      <c r="D242" s="408" t="s">
        <v>1958</v>
      </c>
      <c r="E242" s="408" t="s">
        <v>998</v>
      </c>
      <c r="F242" s="408" t="s">
        <v>1322</v>
      </c>
      <c r="G242" s="408" t="s">
        <v>1322</v>
      </c>
      <c r="H242" s="408" t="s">
        <v>1322</v>
      </c>
      <c r="I242" s="408" t="s">
        <v>1322</v>
      </c>
      <c r="J242" s="408" t="s">
        <v>2236</v>
      </c>
      <c r="K242" s="826">
        <v>44470</v>
      </c>
      <c r="L242" s="408">
        <v>0</v>
      </c>
      <c r="M242" s="408">
        <v>0</v>
      </c>
      <c r="N242" s="408">
        <v>0</v>
      </c>
      <c r="O242" s="408">
        <v>0</v>
      </c>
      <c r="P242" s="408">
        <v>0</v>
      </c>
      <c r="Q242" s="408">
        <v>0</v>
      </c>
      <c r="R242" s="408"/>
      <c r="S242" s="408"/>
      <c r="T242" s="408"/>
      <c r="U242" s="408"/>
      <c r="V242" s="408"/>
      <c r="W242" s="408"/>
      <c r="X242" s="408"/>
      <c r="Y242" s="408"/>
      <c r="Z242" s="408"/>
      <c r="AA242" s="408">
        <v>0</v>
      </c>
      <c r="AB242" s="408"/>
      <c r="AC242" s="408"/>
      <c r="AD242" s="408"/>
      <c r="AE242" s="408"/>
      <c r="AF242" s="408"/>
      <c r="AG242" s="408"/>
      <c r="AH242" s="408"/>
      <c r="AI242" s="408"/>
      <c r="AJ242" s="408"/>
      <c r="AK242" s="408"/>
      <c r="AL242" s="408"/>
      <c r="AM242" s="408"/>
      <c r="AN242" s="408"/>
      <c r="AO242" s="408"/>
      <c r="AP242" s="408"/>
      <c r="AQ242" s="408"/>
      <c r="AR242" s="408"/>
      <c r="AS242" s="408"/>
      <c r="AT242" s="408"/>
      <c r="AU242" s="408"/>
      <c r="AV242" s="408"/>
      <c r="AW242" s="408"/>
      <c r="AX242" s="408"/>
      <c r="AY242" s="408"/>
      <c r="AZ242" s="408">
        <v>0</v>
      </c>
      <c r="BA242" s="408"/>
      <c r="BB242" s="408"/>
      <c r="BC242" s="408"/>
      <c r="BD242" s="408"/>
      <c r="BE242" s="408"/>
      <c r="BF242" s="408"/>
      <c r="BG242" s="408"/>
      <c r="BH242" s="408"/>
      <c r="BI242" s="408">
        <v>0.51</v>
      </c>
      <c r="BJ242" s="408">
        <v>47.25</v>
      </c>
      <c r="BK242" s="408">
        <v>3374.67</v>
      </c>
      <c r="BL242" s="408">
        <v>6</v>
      </c>
      <c r="BM242" s="408"/>
      <c r="BN242" s="408"/>
      <c r="BO242" s="408"/>
      <c r="BP242" s="408"/>
      <c r="BQ242" s="408"/>
      <c r="BR242" s="408"/>
      <c r="BS242" s="408"/>
      <c r="BT242" s="408"/>
      <c r="BU242" s="408"/>
      <c r="BV242" s="408"/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/>
      <c r="CJ242" s="408">
        <v>-0.03</v>
      </c>
      <c r="CK242" s="408"/>
      <c r="CL242" s="408"/>
      <c r="CM242" s="408"/>
      <c r="CN242" s="408"/>
      <c r="CO242" s="408">
        <v>0</v>
      </c>
      <c r="CP242" s="408">
        <v>0</v>
      </c>
      <c r="CQ242" s="408">
        <v>31</v>
      </c>
      <c r="CR242" s="408"/>
      <c r="CS242" s="408"/>
      <c r="CT242" s="408"/>
      <c r="CU242" s="408"/>
      <c r="CV242" s="408"/>
      <c r="CW242" s="408"/>
      <c r="CX242" s="408"/>
      <c r="CY242" s="408"/>
      <c r="CZ242" s="408"/>
      <c r="DA242" s="408"/>
      <c r="DB242" s="408"/>
      <c r="DC242" s="408"/>
      <c r="DD242" s="408"/>
      <c r="DE242" s="408"/>
      <c r="DF242" s="408"/>
      <c r="DG242" s="408"/>
      <c r="DH242" s="408"/>
      <c r="DI242" s="408"/>
      <c r="DJ242" s="408"/>
      <c r="DK242" s="408">
        <v>0</v>
      </c>
      <c r="DL242" s="408"/>
      <c r="DM242" s="408"/>
      <c r="DN242" s="408"/>
      <c r="DO242" s="408"/>
      <c r="DP242" s="408"/>
      <c r="DQ242" s="408"/>
      <c r="DR242" s="408"/>
      <c r="DS242" s="408"/>
      <c r="DT242" s="408"/>
      <c r="DU242" s="408"/>
      <c r="DV242" s="408"/>
      <c r="DW242" s="408"/>
      <c r="DX242" s="408"/>
      <c r="DY242" s="408"/>
      <c r="DZ242" s="408"/>
      <c r="EA242" s="408"/>
      <c r="EB242" s="408"/>
      <c r="EC242" s="408"/>
      <c r="ED242" s="408"/>
      <c r="EE242" s="408"/>
      <c r="EF242" s="408"/>
      <c r="EG242" s="408"/>
      <c r="EH242" s="408"/>
      <c r="EI242" s="408"/>
      <c r="EJ242" s="408"/>
      <c r="EK242" s="408"/>
      <c r="EL242" s="408"/>
      <c r="EM242" s="408"/>
      <c r="EN242" s="408"/>
      <c r="EO242" s="408"/>
      <c r="EP242" s="408"/>
      <c r="EQ242" s="408"/>
      <c r="ER242" s="408"/>
      <c r="ES242" s="408"/>
      <c r="ET242" s="408"/>
      <c r="EU242" s="408"/>
      <c r="EV242" s="408">
        <v>240</v>
      </c>
      <c r="EW242" s="408"/>
      <c r="EX242" s="408"/>
      <c r="EY242" s="408"/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241</v>
      </c>
      <c r="B243" s="408" t="s">
        <v>1036</v>
      </c>
      <c r="C243" s="408" t="s">
        <v>2316</v>
      </c>
      <c r="D243" s="408" t="s">
        <v>1958</v>
      </c>
      <c r="E243" s="408" t="s">
        <v>998</v>
      </c>
      <c r="F243" s="408" t="s">
        <v>1322</v>
      </c>
      <c r="G243" s="408" t="s">
        <v>1322</v>
      </c>
      <c r="H243" s="408" t="s">
        <v>1322</v>
      </c>
      <c r="I243" s="408" t="s">
        <v>2317</v>
      </c>
      <c r="J243" s="408" t="s">
        <v>2236</v>
      </c>
      <c r="K243" s="826">
        <v>44470</v>
      </c>
      <c r="L243" s="408">
        <v>0</v>
      </c>
      <c r="M243" s="408">
        <v>0</v>
      </c>
      <c r="N243" s="408">
        <v>0.46400000000000002</v>
      </c>
      <c r="O243" s="408">
        <v>0.46400000000000002</v>
      </c>
      <c r="P243" s="408">
        <v>0.46400000000000002</v>
      </c>
      <c r="Q243" s="408">
        <v>0.46400000000000002</v>
      </c>
      <c r="R243" s="408"/>
      <c r="S243" s="408">
        <v>970.82</v>
      </c>
      <c r="T243" s="408">
        <v>173.25</v>
      </c>
      <c r="U243" s="408"/>
      <c r="V243" s="408">
        <v>530.84848</v>
      </c>
      <c r="W243" s="408">
        <v>530.84848</v>
      </c>
      <c r="X243" s="408">
        <v>509.99631999999997</v>
      </c>
      <c r="Y243" s="408">
        <v>0</v>
      </c>
      <c r="Z243" s="408">
        <v>28.556965004507866</v>
      </c>
      <c r="AA243" s="408">
        <v>0</v>
      </c>
      <c r="AB243" s="408">
        <v>0</v>
      </c>
      <c r="AC243" s="408">
        <v>30.192270100489036</v>
      </c>
      <c r="AD243" s="408">
        <v>2.0878961905523625</v>
      </c>
      <c r="AE243" s="408">
        <v>199.99924228717146</v>
      </c>
      <c r="AF243" s="408">
        <v>79.037978351585238</v>
      </c>
      <c r="AG243" s="408">
        <v>1.3489563581711401</v>
      </c>
      <c r="AH243" s="408">
        <v>0</v>
      </c>
      <c r="AI243" s="408">
        <v>0</v>
      </c>
      <c r="AJ243" s="408">
        <v>0</v>
      </c>
      <c r="AK243" s="408">
        <v>0</v>
      </c>
      <c r="AL243" s="408">
        <v>4.4121900486789905</v>
      </c>
      <c r="AM243" s="408"/>
      <c r="AN243" s="408">
        <v>0.5604455154643021</v>
      </c>
      <c r="AO243" s="408">
        <v>87.850223778116685</v>
      </c>
      <c r="AP243" s="408">
        <v>85.359136703729405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0</v>
      </c>
      <c r="BE243" s="408">
        <v>0</v>
      </c>
      <c r="BF243" s="408">
        <v>0</v>
      </c>
      <c r="BG243" s="408">
        <v>4.1480634068166955</v>
      </c>
      <c r="BH243" s="408">
        <v>0</v>
      </c>
      <c r="BI243" s="408">
        <v>0</v>
      </c>
      <c r="BJ243" s="408">
        <v>0</v>
      </c>
      <c r="BK243" s="408">
        <v>0</v>
      </c>
      <c r="BL243" s="408">
        <v>0</v>
      </c>
      <c r="BM243" s="408"/>
      <c r="BN243" s="408"/>
      <c r="BO243" s="408"/>
      <c r="BP243" s="408"/>
      <c r="BQ243" s="408"/>
      <c r="BR243" s="408"/>
      <c r="BS243" s="408"/>
      <c r="BT243" s="408"/>
      <c r="BU243" s="408"/>
      <c r="BV243" s="408">
        <v>83.186041758401927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505.59980000000002</v>
      </c>
      <c r="CJ243" s="408">
        <v>-25.278679999999952</v>
      </c>
      <c r="CK243" s="408"/>
      <c r="CL243" s="408"/>
      <c r="CM243" s="408"/>
      <c r="CN243" s="408"/>
      <c r="CO243" s="408">
        <v>-30.869920000000043</v>
      </c>
      <c r="CP243" s="408">
        <v>10.017760000000003</v>
      </c>
      <c r="CQ243" s="408">
        <v>31</v>
      </c>
      <c r="CR243" s="408">
        <v>28.833194618104244</v>
      </c>
      <c r="CS243" s="408">
        <v>8.7540870246765223</v>
      </c>
      <c r="CT243" s="408">
        <v>8.5058555222690586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2.149841278913676</v>
      </c>
      <c r="DA243" s="408">
        <v>0</v>
      </c>
      <c r="DB243" s="408">
        <v>0</v>
      </c>
      <c r="DC243" s="408">
        <v>10.016628936965134</v>
      </c>
      <c r="DD243" s="408">
        <v>0</v>
      </c>
      <c r="DE243" s="408">
        <v>0</v>
      </c>
      <c r="DF243" s="408">
        <v>0</v>
      </c>
      <c r="DG243" s="408">
        <v>0.5256917347792216</v>
      </c>
      <c r="DH243" s="408">
        <v>0</v>
      </c>
      <c r="DI243" s="408">
        <v>-0.9697041656670109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-0.13334990883409148</v>
      </c>
      <c r="DP243" s="408">
        <v>-1.5855804998332945E-2</v>
      </c>
      <c r="DQ243" s="408">
        <v>0</v>
      </c>
      <c r="DR243" s="408">
        <v>0</v>
      </c>
      <c r="DS243" s="408"/>
      <c r="DT243" s="408"/>
      <c r="DU243" s="408"/>
      <c r="DV243" s="408">
        <v>199.99924228717146</v>
      </c>
      <c r="DW243" s="408">
        <v>0</v>
      </c>
      <c r="DX243" s="408">
        <v>0</v>
      </c>
      <c r="DY243" s="408">
        <v>-30.869920000000036</v>
      </c>
      <c r="DZ243" s="408">
        <v>10.017759999999996</v>
      </c>
      <c r="EA243" s="408">
        <v>0</v>
      </c>
      <c r="EB243" s="408">
        <v>0</v>
      </c>
      <c r="EC243" s="408">
        <v>-49.683204284505706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7.292939546616517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240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242</v>
      </c>
      <c r="B244" s="408" t="s">
        <v>1036</v>
      </c>
      <c r="C244" s="408" t="s">
        <v>2235</v>
      </c>
      <c r="D244" s="408" t="s">
        <v>2245</v>
      </c>
      <c r="E244" s="408" t="s">
        <v>974</v>
      </c>
      <c r="F244" s="408" t="s">
        <v>1322</v>
      </c>
      <c r="G244" s="408" t="s">
        <v>1322</v>
      </c>
      <c r="H244" s="408" t="s">
        <v>1322</v>
      </c>
      <c r="I244" s="408" t="s">
        <v>1322</v>
      </c>
      <c r="J244" s="408" t="s">
        <v>2236</v>
      </c>
      <c r="K244" s="826">
        <v>44470</v>
      </c>
      <c r="L244" s="408">
        <v>0</v>
      </c>
      <c r="M244" s="408">
        <v>0</v>
      </c>
      <c r="N244" s="408">
        <v>5791.8059999999996</v>
      </c>
      <c r="O244" s="408">
        <v>5791.8059999999996</v>
      </c>
      <c r="P244" s="408">
        <v>5791.8059999999996</v>
      </c>
      <c r="Q244" s="408">
        <v>5791.8059999999996</v>
      </c>
      <c r="R244" s="408"/>
      <c r="S244" s="408">
        <v>368.24</v>
      </c>
      <c r="T244" s="408">
        <v>173.25</v>
      </c>
      <c r="U244" s="408"/>
      <c r="V244" s="408">
        <v>3136205.03094</v>
      </c>
      <c r="W244" s="408">
        <v>3136205.03094</v>
      </c>
      <c r="X244" s="408">
        <v>2947392.1553400001</v>
      </c>
      <c r="Y244" s="408">
        <v>0</v>
      </c>
      <c r="Z244" s="408">
        <v>356457.76132521266</v>
      </c>
      <c r="AA244" s="408">
        <v>0</v>
      </c>
      <c r="AB244" s="408">
        <v>0</v>
      </c>
      <c r="AC244" s="408">
        <v>14824.34386714092</v>
      </c>
      <c r="AD244" s="408">
        <v>14242.870274476936</v>
      </c>
      <c r="AE244" s="408">
        <v>1364185.2225586907</v>
      </c>
      <c r="AF244" s="408">
        <v>986578.95957883925</v>
      </c>
      <c r="AG244" s="408">
        <v>16838.132605589995</v>
      </c>
      <c r="AH244" s="408">
        <v>0</v>
      </c>
      <c r="AI244" s="408">
        <v>0</v>
      </c>
      <c r="AJ244" s="408">
        <v>0</v>
      </c>
      <c r="AK244" s="408">
        <v>0</v>
      </c>
      <c r="AL244" s="408">
        <v>55074.458614394971</v>
      </c>
      <c r="AM244" s="408"/>
      <c r="AN244" s="408">
        <v>6995.671765386287</v>
      </c>
      <c r="AO244" s="408">
        <v>31469.172933806538</v>
      </c>
      <c r="AP244" s="408">
        <v>146736.11083880204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0</v>
      </c>
      <c r="BF244" s="408">
        <v>0</v>
      </c>
      <c r="BG244" s="408">
        <v>51777.539930994339</v>
      </c>
      <c r="BH244" s="408">
        <v>0</v>
      </c>
      <c r="BI244" s="408">
        <v>165.15</v>
      </c>
      <c r="BJ244" s="408">
        <v>20617.439999999999</v>
      </c>
      <c r="BK244" s="408">
        <v>195915.74</v>
      </c>
      <c r="BL244" s="408">
        <v>15889</v>
      </c>
      <c r="BM244" s="408"/>
      <c r="BN244" s="408"/>
      <c r="BO244" s="408"/>
      <c r="BP244" s="408"/>
      <c r="BQ244" s="408"/>
      <c r="BR244" s="408">
        <v>353647.67436</v>
      </c>
      <c r="BS244" s="408"/>
      <c r="BT244" s="408"/>
      <c r="BU244" s="408"/>
      <c r="BV244" s="408">
        <v>1038356.4995098336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2593746.2723000003</v>
      </c>
      <c r="CJ244" s="408">
        <v>-166107.23475999944</v>
      </c>
      <c r="CK244" s="408"/>
      <c r="CL244" s="408"/>
      <c r="CM244" s="408"/>
      <c r="CN244" s="408"/>
      <c r="CO244" s="408">
        <v>-313857.96713999996</v>
      </c>
      <c r="CP244" s="408">
        <v>125045.09154000001</v>
      </c>
      <c r="CQ244" s="408">
        <v>31</v>
      </c>
      <c r="CR244" s="408">
        <v>150049.43515917333</v>
      </c>
      <c r="CS244" s="408">
        <v>3135.8358193022104</v>
      </c>
      <c r="CT244" s="408">
        <v>14621.939805068832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14665.437192153906</v>
      </c>
      <c r="DA244" s="408">
        <v>0</v>
      </c>
      <c r="DB244" s="408">
        <v>0</v>
      </c>
      <c r="DC244" s="408">
        <v>125030.97322605236</v>
      </c>
      <c r="DD244" s="408">
        <v>0</v>
      </c>
      <c r="DE244" s="408">
        <v>0</v>
      </c>
      <c r="DF244" s="408">
        <v>0</v>
      </c>
      <c r="DG244" s="408">
        <v>6561.8632406135948</v>
      </c>
      <c r="DH244" s="408">
        <v>0</v>
      </c>
      <c r="DI244" s="408">
        <v>-12104.177596843103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-1664.5189700102273</v>
      </c>
      <c r="DP244" s="408">
        <v>-197.91755716416992</v>
      </c>
      <c r="DQ244" s="408">
        <v>0</v>
      </c>
      <c r="DR244" s="408">
        <v>0</v>
      </c>
      <c r="DS244" s="408"/>
      <c r="DT244" s="408"/>
      <c r="DU244" s="408"/>
      <c r="DV244" s="408">
        <v>1364185.2225586907</v>
      </c>
      <c r="DW244" s="408">
        <v>0</v>
      </c>
      <c r="DX244" s="408">
        <v>0</v>
      </c>
      <c r="DY244" s="408">
        <v>-313857.96714000008</v>
      </c>
      <c r="DZ244" s="408">
        <v>125045.09154000005</v>
      </c>
      <c r="EA244" s="408">
        <v>0</v>
      </c>
      <c r="EB244" s="408">
        <v>0</v>
      </c>
      <c r="EC244" s="408">
        <v>-338886.74936562637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91032.95479252332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240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243</v>
      </c>
      <c r="B245" s="408" t="s">
        <v>2238</v>
      </c>
      <c r="C245" s="408" t="s">
        <v>2235</v>
      </c>
      <c r="D245" s="408" t="s">
        <v>2245</v>
      </c>
      <c r="E245" s="408" t="s">
        <v>974</v>
      </c>
      <c r="F245" s="408" t="s">
        <v>1322</v>
      </c>
      <c r="G245" s="408" t="s">
        <v>1322</v>
      </c>
      <c r="H245" s="408" t="s">
        <v>1322</v>
      </c>
      <c r="I245" s="408" t="s">
        <v>1322</v>
      </c>
      <c r="J245" s="408" t="s">
        <v>2236</v>
      </c>
      <c r="K245" s="826">
        <v>44470</v>
      </c>
      <c r="L245" s="408">
        <v>0</v>
      </c>
      <c r="M245" s="408">
        <v>0</v>
      </c>
      <c r="N245" s="408">
        <v>148.37700000000001</v>
      </c>
      <c r="O245" s="408">
        <v>148.37700000000001</v>
      </c>
      <c r="P245" s="408">
        <v>148.37700000000001</v>
      </c>
      <c r="Q245" s="408">
        <v>148.37700000000001</v>
      </c>
      <c r="R245" s="408"/>
      <c r="S245" s="408">
        <v>368.24</v>
      </c>
      <c r="T245" s="408">
        <v>173.25</v>
      </c>
      <c r="U245" s="408"/>
      <c r="V245" s="408">
        <v>80344.661730000007</v>
      </c>
      <c r="W245" s="408">
        <v>80344.661730000007</v>
      </c>
      <c r="X245" s="408">
        <v>75507.571530000016</v>
      </c>
      <c r="Y245" s="408">
        <v>0</v>
      </c>
      <c r="Z245" s="408">
        <v>9131.8896475729816</v>
      </c>
      <c r="AA245" s="408">
        <v>0</v>
      </c>
      <c r="AB245" s="408">
        <v>0</v>
      </c>
      <c r="AC245" s="408">
        <v>379.77647558892147</v>
      </c>
      <c r="AD245" s="408">
        <v>364.88003270759839</v>
      </c>
      <c r="AE245" s="408">
        <v>34948.289146354502</v>
      </c>
      <c r="AF245" s="408">
        <v>25274.608004036989</v>
      </c>
      <c r="AG245" s="408">
        <v>431.3665895611191</v>
      </c>
      <c r="AH245" s="408">
        <v>0</v>
      </c>
      <c r="AI245" s="408">
        <v>0</v>
      </c>
      <c r="AJ245" s="408">
        <v>0</v>
      </c>
      <c r="AK245" s="408">
        <v>0</v>
      </c>
      <c r="AL245" s="408">
        <v>1410.9213854587124</v>
      </c>
      <c r="AM245" s="408"/>
      <c r="AN245" s="408">
        <v>179.21815570699729</v>
      </c>
      <c r="AO245" s="408">
        <v>806.19093118785634</v>
      </c>
      <c r="AP245" s="408">
        <v>3759.1493772286112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0</v>
      </c>
      <c r="BE245" s="408">
        <v>0</v>
      </c>
      <c r="BF245" s="408">
        <v>0</v>
      </c>
      <c r="BG245" s="408">
        <v>1326.4594916233636</v>
      </c>
      <c r="BH245" s="408">
        <v>0</v>
      </c>
      <c r="BI245" s="408">
        <v>5.34</v>
      </c>
      <c r="BJ245" s="408">
        <v>532.59</v>
      </c>
      <c r="BK245" s="408">
        <v>2542.98</v>
      </c>
      <c r="BL245" s="408">
        <v>212</v>
      </c>
      <c r="BM245" s="408"/>
      <c r="BN245" s="408"/>
      <c r="BO245" s="408"/>
      <c r="BP245" s="408"/>
      <c r="BQ245" s="408"/>
      <c r="BR245" s="408">
        <v>9059.8996200000001</v>
      </c>
      <c r="BS245" s="408"/>
      <c r="BT245" s="408"/>
      <c r="BU245" s="408"/>
      <c r="BV245" s="408">
        <v>26601.067495660354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66449.015400000004</v>
      </c>
      <c r="CJ245" s="408">
        <v>-4254.1388699999952</v>
      </c>
      <c r="CK245" s="408"/>
      <c r="CL245" s="408"/>
      <c r="CM245" s="408"/>
      <c r="CN245" s="408"/>
      <c r="CO245" s="408">
        <v>-8040.5496300000004</v>
      </c>
      <c r="CP245" s="408">
        <v>3203.4594300000008</v>
      </c>
      <c r="CQ245" s="408">
        <v>31</v>
      </c>
      <c r="CR245" s="408">
        <v>3844.0315577926303</v>
      </c>
      <c r="CS245" s="408">
        <v>80.33520310600943</v>
      </c>
      <c r="CT245" s="408">
        <v>374.59120047472243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375.70553541679749</v>
      </c>
      <c r="DA245" s="408">
        <v>0</v>
      </c>
      <c r="DB245" s="408">
        <v>0</v>
      </c>
      <c r="DC245" s="408">
        <v>3203.0977409053339</v>
      </c>
      <c r="DD245" s="408">
        <v>0</v>
      </c>
      <c r="DE245" s="408">
        <v>0</v>
      </c>
      <c r="DF245" s="408">
        <v>0</v>
      </c>
      <c r="DG245" s="408">
        <v>168.10466062788078</v>
      </c>
      <c r="DH245" s="408">
        <v>0</v>
      </c>
      <c r="DI245" s="408">
        <v>-310.0900754077029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-42.64236944628442</v>
      </c>
      <c r="DP245" s="408">
        <v>-5.0703378841328401</v>
      </c>
      <c r="DQ245" s="408">
        <v>0</v>
      </c>
      <c r="DR245" s="408">
        <v>0</v>
      </c>
      <c r="DS245" s="408"/>
      <c r="DT245" s="408"/>
      <c r="DU245" s="408"/>
      <c r="DV245" s="408">
        <v>34948.289146354502</v>
      </c>
      <c r="DW245" s="408">
        <v>0</v>
      </c>
      <c r="DX245" s="408">
        <v>0</v>
      </c>
      <c r="DY245" s="408">
        <v>-8040.5496300000013</v>
      </c>
      <c r="DZ245" s="408">
        <v>3203.459429999999</v>
      </c>
      <c r="EA245" s="408">
        <v>0</v>
      </c>
      <c r="EB245" s="408">
        <v>0</v>
      </c>
      <c r="EC245" s="408">
        <v>-8681.7478366201431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2332.1217480782739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240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244</v>
      </c>
      <c r="B246" s="408" t="s">
        <v>1036</v>
      </c>
      <c r="C246" s="408" t="s">
        <v>2243</v>
      </c>
      <c r="D246" s="408" t="s">
        <v>597</v>
      </c>
      <c r="E246" s="408" t="s">
        <v>974</v>
      </c>
      <c r="F246" s="408" t="s">
        <v>1322</v>
      </c>
      <c r="G246" s="408" t="s">
        <v>1322</v>
      </c>
      <c r="H246" s="408" t="s">
        <v>1322</v>
      </c>
      <c r="I246" s="408" t="s">
        <v>973</v>
      </c>
      <c r="J246" s="408" t="s">
        <v>2236</v>
      </c>
      <c r="K246" s="826">
        <v>44470</v>
      </c>
      <c r="L246" s="408">
        <v>0</v>
      </c>
      <c r="M246" s="408">
        <v>0</v>
      </c>
      <c r="N246" s="408">
        <v>5.9930000000000003</v>
      </c>
      <c r="O246" s="408">
        <v>5.7532800000000002</v>
      </c>
      <c r="P246" s="408">
        <v>5.9930000000000003</v>
      </c>
      <c r="Q246" s="408">
        <v>5.7532800000000002</v>
      </c>
      <c r="R246" s="408"/>
      <c r="S246" s="408">
        <v>1358.36</v>
      </c>
      <c r="T246" s="408">
        <v>173.25</v>
      </c>
      <c r="U246" s="408"/>
      <c r="V246" s="408">
        <v>9178.9387299999999</v>
      </c>
      <c r="W246" s="408">
        <v>9178.9387299999999</v>
      </c>
      <c r="X246" s="408">
        <v>8048.1195600000001</v>
      </c>
      <c r="Y246" s="408">
        <v>0</v>
      </c>
      <c r="Z246" s="408">
        <v>320.89104613502906</v>
      </c>
      <c r="AA246" s="408">
        <v>0</v>
      </c>
      <c r="AB246" s="408">
        <v>0</v>
      </c>
      <c r="AC246" s="408">
        <v>113.51993539487503</v>
      </c>
      <c r="AD246" s="408">
        <v>109.06753887892626</v>
      </c>
      <c r="AE246" s="408">
        <v>6043.9867467845579</v>
      </c>
      <c r="AF246" s="408">
        <v>1020.8504402177808</v>
      </c>
      <c r="AG246" s="408">
        <v>17.423050548533713</v>
      </c>
      <c r="AH246" s="408">
        <v>0</v>
      </c>
      <c r="AI246" s="408">
        <v>0</v>
      </c>
      <c r="AJ246" s="408">
        <v>0</v>
      </c>
      <c r="AK246" s="408">
        <v>0</v>
      </c>
      <c r="AL246" s="408">
        <v>56.987618452011183</v>
      </c>
      <c r="AM246" s="408"/>
      <c r="AN246" s="408">
        <v>4.7992772672194883</v>
      </c>
      <c r="AO246" s="408">
        <v>240.9834574049863</v>
      </c>
      <c r="AP246" s="408">
        <v>1123.6641343629242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>
        <v>0</v>
      </c>
      <c r="BG246" s="408">
        <v>44.819588901949686</v>
      </c>
      <c r="BH246" s="408">
        <v>0</v>
      </c>
      <c r="BI246" s="408">
        <v>0</v>
      </c>
      <c r="BJ246" s="408">
        <v>0</v>
      </c>
      <c r="BK246" s="408">
        <v>0</v>
      </c>
      <c r="BL246" s="408">
        <v>0</v>
      </c>
      <c r="BM246" s="408"/>
      <c r="BN246" s="408"/>
      <c r="BO246" s="408"/>
      <c r="BP246" s="408"/>
      <c r="BQ246" s="408"/>
      <c r="BR246" s="408">
        <v>321.92478240000014</v>
      </c>
      <c r="BS246" s="408"/>
      <c r="BT246" s="408"/>
      <c r="BU246" s="408"/>
      <c r="BV246" s="408">
        <v>1065.6700291197305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7721.7899999999991</v>
      </c>
      <c r="CJ246" s="408">
        <v>-1090.0211808000022</v>
      </c>
      <c r="CK246" s="408"/>
      <c r="CL246" s="408"/>
      <c r="CM246" s="408"/>
      <c r="CN246" s="408"/>
      <c r="CO246" s="408">
        <v>-1260.20804</v>
      </c>
      <c r="CP246" s="408">
        <v>129.38887000000003</v>
      </c>
      <c r="CQ246" s="408">
        <v>31</v>
      </c>
      <c r="CR246" s="408">
        <v>370.58740966248752</v>
      </c>
      <c r="CS246" s="408">
        <v>24.01348644209267</v>
      </c>
      <c r="CT246" s="408">
        <v>111.97072922165034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112.30342692919308</v>
      </c>
      <c r="DA246" s="408">
        <v>0</v>
      </c>
      <c r="DB246" s="408">
        <v>0</v>
      </c>
      <c r="DC246" s="408">
        <v>129.37426124834485</v>
      </c>
      <c r="DD246" s="408">
        <v>0</v>
      </c>
      <c r="DE246" s="408">
        <v>0</v>
      </c>
      <c r="DF246" s="408">
        <v>0</v>
      </c>
      <c r="DG246" s="408">
        <v>5.6800692591239894</v>
      </c>
      <c r="DH246" s="408">
        <v>0</v>
      </c>
      <c r="DI246" s="408">
        <v>-10.89644449657925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-1.7223405250920507</v>
      </c>
      <c r="DP246" s="408">
        <v>-0.1357784162460911</v>
      </c>
      <c r="DQ246" s="408">
        <v>0</v>
      </c>
      <c r="DR246" s="408">
        <v>0</v>
      </c>
      <c r="DS246" s="408"/>
      <c r="DT246" s="408"/>
      <c r="DU246" s="408"/>
      <c r="DV246" s="408">
        <v>6043.9867467845579</v>
      </c>
      <c r="DW246" s="408">
        <v>0</v>
      </c>
      <c r="DX246" s="408">
        <v>0</v>
      </c>
      <c r="DY246" s="408">
        <v>-1260.2080399999995</v>
      </c>
      <c r="DZ246" s="408">
        <v>129.38887</v>
      </c>
      <c r="EA246" s="408">
        <v>0</v>
      </c>
      <c r="EB246" s="408">
        <v>0</v>
      </c>
      <c r="EC246" s="408">
        <v>-1501.428829426146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81.949850067886672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240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245</v>
      </c>
      <c r="B247" s="408" t="s">
        <v>1036</v>
      </c>
      <c r="C247" s="408" t="s">
        <v>2243</v>
      </c>
      <c r="D247" s="408" t="s">
        <v>597</v>
      </c>
      <c r="E247" s="408" t="s">
        <v>974</v>
      </c>
      <c r="F247" s="408" t="s">
        <v>1322</v>
      </c>
      <c r="G247" s="408" t="s">
        <v>1322</v>
      </c>
      <c r="H247" s="408" t="s">
        <v>1322</v>
      </c>
      <c r="I247" s="408" t="s">
        <v>2244</v>
      </c>
      <c r="J247" s="408" t="s">
        <v>2236</v>
      </c>
      <c r="K247" s="826">
        <v>44470</v>
      </c>
      <c r="L247" s="408">
        <v>0</v>
      </c>
      <c r="M247" s="408">
        <v>0</v>
      </c>
      <c r="N247" s="408">
        <v>80.86</v>
      </c>
      <c r="O247" s="408">
        <v>77.625600000000006</v>
      </c>
      <c r="P247" s="408">
        <v>80.86</v>
      </c>
      <c r="Q247" s="408">
        <v>77.625600000000006</v>
      </c>
      <c r="R247" s="408"/>
      <c r="S247" s="408">
        <v>85.01</v>
      </c>
      <c r="T247" s="408">
        <v>173.25</v>
      </c>
      <c r="U247" s="408"/>
      <c r="V247" s="408">
        <v>20882.903600000001</v>
      </c>
      <c r="W247" s="408">
        <v>20882.903600000001</v>
      </c>
      <c r="X247" s="408">
        <v>22533.2562</v>
      </c>
      <c r="Y247" s="408">
        <v>0</v>
      </c>
      <c r="Z247" s="408">
        <v>4329.592856745945</v>
      </c>
      <c r="AA247" s="408">
        <v>0</v>
      </c>
      <c r="AB247" s="408">
        <v>0</v>
      </c>
      <c r="AC247" s="408">
        <v>0</v>
      </c>
      <c r="AD247" s="408">
        <v>0</v>
      </c>
      <c r="AE247" s="408">
        <v>0</v>
      </c>
      <c r="AF247" s="408">
        <v>13773.730451528409</v>
      </c>
      <c r="AG247" s="408">
        <v>235.07890327956548</v>
      </c>
      <c r="AH247" s="408">
        <v>0</v>
      </c>
      <c r="AI247" s="408">
        <v>0</v>
      </c>
      <c r="AJ247" s="408">
        <v>0</v>
      </c>
      <c r="AK247" s="408">
        <v>0</v>
      </c>
      <c r="AL247" s="408">
        <v>768.9001882245326</v>
      </c>
      <c r="AM247" s="408"/>
      <c r="AN247" s="408">
        <v>64.753806078319329</v>
      </c>
      <c r="AO247" s="408">
        <v>0</v>
      </c>
      <c r="AP247" s="408">
        <v>0</v>
      </c>
      <c r="AQ247" s="408">
        <v>0</v>
      </c>
      <c r="AR247" s="408">
        <v>0</v>
      </c>
      <c r="AS247" s="408">
        <v>0</v>
      </c>
      <c r="AT247" s="408">
        <v>0</v>
      </c>
      <c r="AU247" s="408">
        <v>0</v>
      </c>
      <c r="AV247" s="408">
        <v>0</v>
      </c>
      <c r="AW247" s="408">
        <v>0</v>
      </c>
      <c r="AX247" s="408">
        <v>0</v>
      </c>
      <c r="AY247" s="408">
        <v>0</v>
      </c>
      <c r="AZ247" s="408">
        <v>0</v>
      </c>
      <c r="BA247" s="408"/>
      <c r="BB247" s="408">
        <v>0</v>
      </c>
      <c r="BC247" s="408">
        <v>0</v>
      </c>
      <c r="BD247" s="408">
        <v>0</v>
      </c>
      <c r="BE247" s="408">
        <v>0</v>
      </c>
      <c r="BF247" s="408">
        <v>0</v>
      </c>
      <c r="BG247" s="408">
        <v>604.72417130179394</v>
      </c>
      <c r="BH247" s="408">
        <v>0</v>
      </c>
      <c r="BI247" s="408">
        <v>0</v>
      </c>
      <c r="BJ247" s="408">
        <v>0</v>
      </c>
      <c r="BK247" s="408">
        <v>0</v>
      </c>
      <c r="BL247" s="408">
        <v>0</v>
      </c>
      <c r="BM247" s="408"/>
      <c r="BN247" s="408"/>
      <c r="BO247" s="408"/>
      <c r="BP247" s="408"/>
      <c r="BQ247" s="408"/>
      <c r="BR247" s="408">
        <v>901.33024799999828</v>
      </c>
      <c r="BS247" s="408"/>
      <c r="BT247" s="408"/>
      <c r="BU247" s="408"/>
      <c r="BV247" s="408">
        <v>14378.454622830202</v>
      </c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>
        <v>21633.152099999999</v>
      </c>
      <c r="CJ247" s="408">
        <v>1585.5346439999994</v>
      </c>
      <c r="CK247" s="408"/>
      <c r="CL247" s="408"/>
      <c r="CM247" s="408"/>
      <c r="CN247" s="408"/>
      <c r="CO247" s="408">
        <v>-95.414800000000554</v>
      </c>
      <c r="CP247" s="408">
        <v>1745.7674000000002</v>
      </c>
      <c r="CQ247" s="408">
        <v>31</v>
      </c>
      <c r="CR247" s="408">
        <v>1650.1183322616307</v>
      </c>
      <c r="CS247" s="408">
        <v>0</v>
      </c>
      <c r="CT247" s="408">
        <v>0</v>
      </c>
      <c r="CU247" s="408">
        <v>0</v>
      </c>
      <c r="CV247" s="408">
        <v>0</v>
      </c>
      <c r="CW247" s="408">
        <v>0</v>
      </c>
      <c r="CX247" s="408">
        <v>0</v>
      </c>
      <c r="CY247" s="408">
        <v>0</v>
      </c>
      <c r="CZ247" s="408">
        <v>0</v>
      </c>
      <c r="DA247" s="408">
        <v>0</v>
      </c>
      <c r="DB247" s="408">
        <v>0</v>
      </c>
      <c r="DC247" s="408">
        <v>1745.5702927650873</v>
      </c>
      <c r="DD247" s="408">
        <v>0</v>
      </c>
      <c r="DE247" s="408">
        <v>0</v>
      </c>
      <c r="DF247" s="408">
        <v>0</v>
      </c>
      <c r="DG247" s="408">
        <v>76.637810828093848</v>
      </c>
      <c r="DH247" s="408">
        <v>0</v>
      </c>
      <c r="DI247" s="408">
        <v>-147.01927281718599</v>
      </c>
      <c r="DJ247" s="408"/>
      <c r="DK247" s="408">
        <v>0</v>
      </c>
      <c r="DL247" s="408">
        <v>0</v>
      </c>
      <c r="DM247" s="408">
        <v>0</v>
      </c>
      <c r="DN247" s="408">
        <v>0</v>
      </c>
      <c r="DO247" s="408">
        <v>-23.238520750699649</v>
      </c>
      <c r="DP247" s="408">
        <v>-1.8319777636674246</v>
      </c>
      <c r="DQ247" s="408">
        <v>0</v>
      </c>
      <c r="DR247" s="408">
        <v>0</v>
      </c>
      <c r="DS247" s="408"/>
      <c r="DT247" s="408"/>
      <c r="DU247" s="408"/>
      <c r="DV247" s="408">
        <v>0</v>
      </c>
      <c r="DW247" s="408">
        <v>0</v>
      </c>
      <c r="DX247" s="408">
        <v>0</v>
      </c>
      <c r="DY247" s="408">
        <v>-95.414800000000469</v>
      </c>
      <c r="DZ247" s="408">
        <v>1745.7673999999988</v>
      </c>
      <c r="EA247" s="408">
        <v>0</v>
      </c>
      <c r="EB247" s="408">
        <v>0</v>
      </c>
      <c r="EC247" s="408">
        <v>0</v>
      </c>
      <c r="ED247" s="408">
        <v>0</v>
      </c>
      <c r="EE247" s="408">
        <v>0</v>
      </c>
      <c r="EF247" s="408">
        <v>0</v>
      </c>
      <c r="EG247" s="408">
        <v>0</v>
      </c>
      <c r="EH247" s="408">
        <v>0</v>
      </c>
      <c r="EI247" s="408">
        <v>0</v>
      </c>
      <c r="EJ247" s="408">
        <v>0</v>
      </c>
      <c r="EK247" s="408">
        <v>0</v>
      </c>
      <c r="EL247" s="408">
        <v>0</v>
      </c>
      <c r="EM247" s="408">
        <v>0</v>
      </c>
      <c r="EN247" s="408">
        <v>0</v>
      </c>
      <c r="EO247" s="408">
        <v>0</v>
      </c>
      <c r="EP247" s="408">
        <v>1105.7007970113991</v>
      </c>
      <c r="EQ247" s="408">
        <v>0</v>
      </c>
      <c r="ER247" s="408">
        <v>0</v>
      </c>
      <c r="ES247" s="408">
        <v>0</v>
      </c>
      <c r="ET247" s="408">
        <v>0</v>
      </c>
      <c r="EU247" s="408">
        <v>0</v>
      </c>
      <c r="EV247" s="408">
        <v>240</v>
      </c>
      <c r="EW247" s="408">
        <v>0</v>
      </c>
      <c r="EX247" s="408">
        <v>0</v>
      </c>
      <c r="EY247" s="408">
        <v>0</v>
      </c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246</v>
      </c>
      <c r="B248" s="408" t="s">
        <v>2238</v>
      </c>
      <c r="C248" s="408" t="s">
        <v>2243</v>
      </c>
      <c r="D248" s="408" t="s">
        <v>597</v>
      </c>
      <c r="E248" s="408" t="s">
        <v>974</v>
      </c>
      <c r="F248" s="408" t="s">
        <v>1322</v>
      </c>
      <c r="G248" s="408" t="s">
        <v>1322</v>
      </c>
      <c r="H248" s="408" t="s">
        <v>1322</v>
      </c>
      <c r="I248" s="408" t="s">
        <v>2244</v>
      </c>
      <c r="J248" s="408" t="s">
        <v>2236</v>
      </c>
      <c r="K248" s="826">
        <v>44470</v>
      </c>
      <c r="L248" s="408">
        <v>0</v>
      </c>
      <c r="M248" s="408">
        <v>0</v>
      </c>
      <c r="N248" s="408">
        <v>33.523000000000003</v>
      </c>
      <c r="O248" s="408">
        <v>32.182079999999999</v>
      </c>
      <c r="P248" s="408">
        <v>33.523000000000003</v>
      </c>
      <c r="Q248" s="408">
        <v>32.182079999999999</v>
      </c>
      <c r="R248" s="408"/>
      <c r="S248" s="408">
        <v>85.01</v>
      </c>
      <c r="T248" s="408">
        <v>173.25</v>
      </c>
      <c r="U248" s="408"/>
      <c r="V248" s="408">
        <v>8657.649980000002</v>
      </c>
      <c r="W248" s="408">
        <v>8657.649980000002</v>
      </c>
      <c r="X248" s="408">
        <v>9341.8544100000017</v>
      </c>
      <c r="Y248" s="408">
        <v>0</v>
      </c>
      <c r="Z248" s="408">
        <v>1794.9658834614684</v>
      </c>
      <c r="AA248" s="408">
        <v>0</v>
      </c>
      <c r="AB248" s="408">
        <v>0</v>
      </c>
      <c r="AC248" s="408">
        <v>0</v>
      </c>
      <c r="AD248" s="408">
        <v>0</v>
      </c>
      <c r="AE248" s="408">
        <v>0</v>
      </c>
      <c r="AF248" s="408">
        <v>5710.3235954314487</v>
      </c>
      <c r="AG248" s="408">
        <v>97.459189644334344</v>
      </c>
      <c r="AH248" s="408">
        <v>0</v>
      </c>
      <c r="AI248" s="408">
        <v>0</v>
      </c>
      <c r="AJ248" s="408">
        <v>0</v>
      </c>
      <c r="AK248" s="408">
        <v>0</v>
      </c>
      <c r="AL248" s="408">
        <v>318.77122198677972</v>
      </c>
      <c r="AM248" s="408"/>
      <c r="AN248" s="408">
        <v>26.845681933755866</v>
      </c>
      <c r="AO248" s="408">
        <v>0</v>
      </c>
      <c r="AP248" s="408">
        <v>0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0</v>
      </c>
      <c r="BE248" s="408">
        <v>0</v>
      </c>
      <c r="BF248" s="408">
        <v>0</v>
      </c>
      <c r="BG248" s="408">
        <v>250.70700463208064</v>
      </c>
      <c r="BH248" s="408">
        <v>0</v>
      </c>
      <c r="BI248" s="408">
        <v>0</v>
      </c>
      <c r="BJ248" s="408">
        <v>0</v>
      </c>
      <c r="BK248" s="408">
        <v>0</v>
      </c>
      <c r="BL248" s="408">
        <v>0</v>
      </c>
      <c r="BM248" s="408"/>
      <c r="BN248" s="408"/>
      <c r="BO248" s="408"/>
      <c r="BP248" s="408"/>
      <c r="BQ248" s="408"/>
      <c r="BR248" s="408">
        <v>373.67417640000116</v>
      </c>
      <c r="BS248" s="408"/>
      <c r="BT248" s="408"/>
      <c r="BU248" s="408"/>
      <c r="BV248" s="408">
        <v>5961.0306000635292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8967.6005999999998</v>
      </c>
      <c r="CJ248" s="408">
        <v>656.22661919999882</v>
      </c>
      <c r="CK248" s="408"/>
      <c r="CL248" s="408"/>
      <c r="CM248" s="408"/>
      <c r="CN248" s="408"/>
      <c r="CO248" s="408">
        <v>-39.557140000000231</v>
      </c>
      <c r="CP248" s="408">
        <v>723.76157000000023</v>
      </c>
      <c r="CQ248" s="408">
        <v>31</v>
      </c>
      <c r="CR248" s="408">
        <v>684.10730710371718</v>
      </c>
      <c r="CS248" s="408">
        <v>0</v>
      </c>
      <c r="CT248" s="408">
        <v>0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0</v>
      </c>
      <c r="DA248" s="408">
        <v>0</v>
      </c>
      <c r="DB248" s="408">
        <v>0</v>
      </c>
      <c r="DC248" s="408">
        <v>723.67985313336612</v>
      </c>
      <c r="DD248" s="408">
        <v>0</v>
      </c>
      <c r="DE248" s="408">
        <v>0</v>
      </c>
      <c r="DF248" s="408">
        <v>0</v>
      </c>
      <c r="DG248" s="408">
        <v>31.772561617489345</v>
      </c>
      <c r="DH248" s="408">
        <v>0</v>
      </c>
      <c r="DI248" s="408">
        <v>-60.951361398102108</v>
      </c>
      <c r="DJ248" s="408"/>
      <c r="DK248" s="408">
        <v>0</v>
      </c>
      <c r="DL248" s="408">
        <v>0</v>
      </c>
      <c r="DM248" s="408">
        <v>0</v>
      </c>
      <c r="DN248" s="408">
        <v>0</v>
      </c>
      <c r="DO248" s="408">
        <v>-9.6342435212181954</v>
      </c>
      <c r="DP248" s="408">
        <v>-0.75950272781874162</v>
      </c>
      <c r="DQ248" s="408">
        <v>0</v>
      </c>
      <c r="DR248" s="408">
        <v>0</v>
      </c>
      <c r="DS248" s="408"/>
      <c r="DT248" s="408"/>
      <c r="DU248" s="408"/>
      <c r="DV248" s="408">
        <v>0</v>
      </c>
      <c r="DW248" s="408">
        <v>0</v>
      </c>
      <c r="DX248" s="408">
        <v>0</v>
      </c>
      <c r="DY248" s="408">
        <v>-39.557140000000345</v>
      </c>
      <c r="DZ248" s="408">
        <v>723.76157000000057</v>
      </c>
      <c r="EA248" s="408">
        <v>0</v>
      </c>
      <c r="EB248" s="408">
        <v>0</v>
      </c>
      <c r="EC248" s="408">
        <v>0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458.40227328979893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240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247</v>
      </c>
      <c r="B249" s="408" t="s">
        <v>1036</v>
      </c>
      <c r="C249" s="408" t="s">
        <v>2243</v>
      </c>
      <c r="D249" s="408" t="s">
        <v>597</v>
      </c>
      <c r="E249" s="408" t="s">
        <v>974</v>
      </c>
      <c r="F249" s="408" t="s">
        <v>1322</v>
      </c>
      <c r="G249" s="408" t="s">
        <v>1322</v>
      </c>
      <c r="H249" s="408" t="s">
        <v>1322</v>
      </c>
      <c r="I249" s="408" t="s">
        <v>1322</v>
      </c>
      <c r="J249" s="408" t="s">
        <v>2236</v>
      </c>
      <c r="K249" s="826">
        <v>44470</v>
      </c>
      <c r="L249" s="408">
        <v>650</v>
      </c>
      <c r="M249" s="408">
        <v>624</v>
      </c>
      <c r="N249" s="408">
        <v>0</v>
      </c>
      <c r="O249" s="408">
        <v>0</v>
      </c>
      <c r="P249" s="408">
        <v>0</v>
      </c>
      <c r="Q249" s="408">
        <v>0</v>
      </c>
      <c r="R249" s="408">
        <v>27.19</v>
      </c>
      <c r="S249" s="408"/>
      <c r="T249" s="408"/>
      <c r="U249" s="408">
        <v>17673.5</v>
      </c>
      <c r="V249" s="408"/>
      <c r="W249" s="408">
        <v>17673.5</v>
      </c>
      <c r="X249" s="408">
        <v>14144.000000000002</v>
      </c>
      <c r="Y249" s="408">
        <v>0</v>
      </c>
      <c r="Z249" s="408">
        <v>0</v>
      </c>
      <c r="AA249" s="408">
        <v>0</v>
      </c>
      <c r="AB249" s="408">
        <v>0</v>
      </c>
      <c r="AC249" s="408">
        <v>151.58039872791662</v>
      </c>
      <c r="AD249" s="408">
        <v>145.62264559077562</v>
      </c>
      <c r="AE249" s="408">
        <v>15555.819658053675</v>
      </c>
      <c r="AF249" s="408"/>
      <c r="AG249" s="408"/>
      <c r="AH249" s="408"/>
      <c r="AI249" s="408">
        <v>0</v>
      </c>
      <c r="AJ249" s="408">
        <v>0</v>
      </c>
      <c r="AK249" s="408">
        <v>0</v>
      </c>
      <c r="AL249" s="408">
        <v>0</v>
      </c>
      <c r="AM249" s="408"/>
      <c r="AN249" s="408">
        <v>0</v>
      </c>
      <c r="AO249" s="408">
        <v>321.67514020880162</v>
      </c>
      <c r="AP249" s="408">
        <v>1500.2577479574686</v>
      </c>
      <c r="AQ249" s="408">
        <v>0</v>
      </c>
      <c r="AR249" s="408">
        <v>0</v>
      </c>
      <c r="AS249" s="408"/>
      <c r="AT249" s="408"/>
      <c r="AU249" s="408">
        <v>0</v>
      </c>
      <c r="AV249" s="408">
        <v>0</v>
      </c>
      <c r="AW249" s="408">
        <v>0</v>
      </c>
      <c r="AX249" s="408"/>
      <c r="AY249" s="408"/>
      <c r="AZ249" s="408">
        <v>0</v>
      </c>
      <c r="BA249" s="408"/>
      <c r="BB249" s="408">
        <v>0</v>
      </c>
      <c r="BC249" s="408">
        <v>0</v>
      </c>
      <c r="BD249" s="408">
        <v>0</v>
      </c>
      <c r="BE249" s="408">
        <v>0</v>
      </c>
      <c r="BF249" s="408"/>
      <c r="BG249" s="408">
        <v>0</v>
      </c>
      <c r="BH249" s="408">
        <v>0</v>
      </c>
      <c r="BI249" s="408">
        <v>3.87</v>
      </c>
      <c r="BJ249" s="408">
        <v>333.64</v>
      </c>
      <c r="BK249" s="408">
        <v>27.14</v>
      </c>
      <c r="BL249" s="408">
        <v>4</v>
      </c>
      <c r="BM249" s="408"/>
      <c r="BN249" s="408"/>
      <c r="BO249" s="408"/>
      <c r="BP249" s="408"/>
      <c r="BQ249" s="408"/>
      <c r="BR249" s="408">
        <v>565.76</v>
      </c>
      <c r="BS249" s="408"/>
      <c r="BT249" s="408"/>
      <c r="BU249" s="408"/>
      <c r="BV249" s="408">
        <v>0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13578.240000000002</v>
      </c>
      <c r="CJ249" s="408">
        <v>-3388.3499999999949</v>
      </c>
      <c r="CK249" s="408"/>
      <c r="CL249" s="408"/>
      <c r="CM249" s="408"/>
      <c r="CN249" s="408"/>
      <c r="CO249" s="408">
        <v>-3529.5</v>
      </c>
      <c r="CP249" s="408">
        <v>0</v>
      </c>
      <c r="CQ249" s="408">
        <v>31</v>
      </c>
      <c r="CR249" s="408">
        <v>331.4947928100928</v>
      </c>
      <c r="CS249" s="408">
        <v>32.05424015965076</v>
      </c>
      <c r="CT249" s="408">
        <v>149.4974778691028</v>
      </c>
      <c r="CU249" s="408">
        <v>0</v>
      </c>
      <c r="CV249" s="408">
        <v>0</v>
      </c>
      <c r="CW249" s="408"/>
      <c r="CX249" s="408"/>
      <c r="CY249" s="408"/>
      <c r="CZ249" s="408">
        <v>149.94307478133942</v>
      </c>
      <c r="DA249" s="408">
        <v>0</v>
      </c>
      <c r="DB249" s="408">
        <v>0</v>
      </c>
      <c r="DC249" s="408"/>
      <c r="DD249" s="408"/>
      <c r="DE249" s="408">
        <v>0</v>
      </c>
      <c r="DF249" s="408">
        <v>0</v>
      </c>
      <c r="DG249" s="408">
        <v>0</v>
      </c>
      <c r="DH249" s="408">
        <v>0</v>
      </c>
      <c r="DI249" s="408">
        <v>0</v>
      </c>
      <c r="DJ249" s="408"/>
      <c r="DK249" s="408">
        <v>0</v>
      </c>
      <c r="DL249" s="408">
        <v>0</v>
      </c>
      <c r="DM249" s="408"/>
      <c r="DN249" s="408">
        <v>0</v>
      </c>
      <c r="DO249" s="408">
        <v>0</v>
      </c>
      <c r="DP249" s="408">
        <v>0</v>
      </c>
      <c r="DQ249" s="408">
        <v>0</v>
      </c>
      <c r="DR249" s="408">
        <v>0</v>
      </c>
      <c r="DS249" s="408"/>
      <c r="DT249" s="408"/>
      <c r="DU249" s="408">
        <v>15555.819658053675</v>
      </c>
      <c r="DV249" s="408"/>
      <c r="DW249" s="408">
        <v>0</v>
      </c>
      <c r="DX249" s="408">
        <v>0</v>
      </c>
      <c r="DY249" s="408">
        <v>-3529.4999999999982</v>
      </c>
      <c r="DZ249" s="408"/>
      <c r="EA249" s="408">
        <v>0</v>
      </c>
      <c r="EB249" s="408"/>
      <c r="EC249" s="408">
        <v>-3864.3294696800967</v>
      </c>
      <c r="ED249" s="408"/>
      <c r="EE249" s="408">
        <v>0</v>
      </c>
      <c r="EF249" s="408">
        <v>0</v>
      </c>
      <c r="EG249" s="408"/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/>
      <c r="EN249" s="408"/>
      <c r="EO249" s="408">
        <v>0</v>
      </c>
      <c r="EP249" s="408">
        <v>0</v>
      </c>
      <c r="EQ249" s="408"/>
      <c r="ER249" s="408">
        <v>0</v>
      </c>
      <c r="ES249" s="408"/>
      <c r="ET249" s="408">
        <v>0</v>
      </c>
      <c r="EU249" s="408"/>
      <c r="EV249" s="408">
        <v>240</v>
      </c>
      <c r="EW249" s="408"/>
      <c r="EX249" s="408"/>
      <c r="EY249" s="408"/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248</v>
      </c>
      <c r="B250" s="408" t="s">
        <v>2238</v>
      </c>
      <c r="C250" s="408" t="s">
        <v>2243</v>
      </c>
      <c r="D250" s="408" t="s">
        <v>597</v>
      </c>
      <c r="E250" s="408" t="s">
        <v>974</v>
      </c>
      <c r="F250" s="408" t="s">
        <v>1322</v>
      </c>
      <c r="G250" s="408" t="s">
        <v>1322</v>
      </c>
      <c r="H250" s="408" t="s">
        <v>1322</v>
      </c>
      <c r="I250" s="408" t="s">
        <v>1322</v>
      </c>
      <c r="J250" s="408" t="s">
        <v>2236</v>
      </c>
      <c r="K250" s="826">
        <v>44470</v>
      </c>
      <c r="L250" s="408">
        <v>143</v>
      </c>
      <c r="M250" s="408">
        <v>137.28</v>
      </c>
      <c r="N250" s="408">
        <v>0</v>
      </c>
      <c r="O250" s="408">
        <v>0</v>
      </c>
      <c r="P250" s="408">
        <v>0</v>
      </c>
      <c r="Q250" s="408">
        <v>0</v>
      </c>
      <c r="R250" s="408">
        <v>27.19</v>
      </c>
      <c r="S250" s="408"/>
      <c r="T250" s="408"/>
      <c r="U250" s="408">
        <v>3888.17</v>
      </c>
      <c r="V250" s="408"/>
      <c r="W250" s="408">
        <v>3888.17</v>
      </c>
      <c r="X250" s="408">
        <v>3111.6800000000003</v>
      </c>
      <c r="Y250" s="408">
        <v>0</v>
      </c>
      <c r="Z250" s="408">
        <v>0</v>
      </c>
      <c r="AA250" s="408">
        <v>0</v>
      </c>
      <c r="AB250" s="408">
        <v>0</v>
      </c>
      <c r="AC250" s="408">
        <v>33.347687720141657</v>
      </c>
      <c r="AD250" s="408">
        <v>32.03698202997063</v>
      </c>
      <c r="AE250" s="408">
        <v>3422.2803247718084</v>
      </c>
      <c r="AF250" s="408"/>
      <c r="AG250" s="408"/>
      <c r="AH250" s="408"/>
      <c r="AI250" s="408">
        <v>0</v>
      </c>
      <c r="AJ250" s="408">
        <v>0</v>
      </c>
      <c r="AK250" s="408">
        <v>0</v>
      </c>
      <c r="AL250" s="408">
        <v>0</v>
      </c>
      <c r="AM250" s="408"/>
      <c r="AN250" s="408">
        <v>0</v>
      </c>
      <c r="AO250" s="408">
        <v>70.768530845936354</v>
      </c>
      <c r="AP250" s="408">
        <v>330.05670455064308</v>
      </c>
      <c r="AQ250" s="408">
        <v>0</v>
      </c>
      <c r="AR250" s="408">
        <v>0</v>
      </c>
      <c r="AS250" s="408"/>
      <c r="AT250" s="408"/>
      <c r="AU250" s="408">
        <v>0</v>
      </c>
      <c r="AV250" s="408">
        <v>0</v>
      </c>
      <c r="AW250" s="408">
        <v>0</v>
      </c>
      <c r="AX250" s="408"/>
      <c r="AY250" s="408"/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0</v>
      </c>
      <c r="BF250" s="408"/>
      <c r="BG250" s="408">
        <v>0</v>
      </c>
      <c r="BH250" s="408">
        <v>0</v>
      </c>
      <c r="BI250" s="408">
        <v>1.23</v>
      </c>
      <c r="BJ250" s="408">
        <v>105.53</v>
      </c>
      <c r="BK250" s="408">
        <v>5.76</v>
      </c>
      <c r="BL250" s="408">
        <v>1</v>
      </c>
      <c r="BM250" s="408"/>
      <c r="BN250" s="408"/>
      <c r="BO250" s="408"/>
      <c r="BP250" s="408"/>
      <c r="BQ250" s="408"/>
      <c r="BR250" s="408">
        <v>124.46719999999999</v>
      </c>
      <c r="BS250" s="408"/>
      <c r="BT250" s="408"/>
      <c r="BU250" s="408"/>
      <c r="BV250" s="408">
        <v>0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2987.2128000000002</v>
      </c>
      <c r="CJ250" s="408">
        <v>-745.46040000000085</v>
      </c>
      <c r="CK250" s="408"/>
      <c r="CL250" s="408"/>
      <c r="CM250" s="408"/>
      <c r="CN250" s="408"/>
      <c r="CO250" s="408">
        <v>-776.49</v>
      </c>
      <c r="CP250" s="408">
        <v>0</v>
      </c>
      <c r="CQ250" s="408">
        <v>31</v>
      </c>
      <c r="CR250" s="408">
        <v>72.92885441822051</v>
      </c>
      <c r="CS250" s="408">
        <v>7.0519328351231678</v>
      </c>
      <c r="CT250" s="408">
        <v>32.889445131202649</v>
      </c>
      <c r="CU250" s="408">
        <v>0</v>
      </c>
      <c r="CV250" s="408">
        <v>0</v>
      </c>
      <c r="CW250" s="408"/>
      <c r="CX250" s="408"/>
      <c r="CY250" s="408"/>
      <c r="CZ250" s="408">
        <v>32.987476451894679</v>
      </c>
      <c r="DA250" s="408">
        <v>0</v>
      </c>
      <c r="DB250" s="408">
        <v>0</v>
      </c>
      <c r="DC250" s="408"/>
      <c r="DD250" s="408"/>
      <c r="DE250" s="408">
        <v>0</v>
      </c>
      <c r="DF250" s="408">
        <v>0</v>
      </c>
      <c r="DG250" s="408">
        <v>0</v>
      </c>
      <c r="DH250" s="408">
        <v>0</v>
      </c>
      <c r="DI250" s="408">
        <v>0</v>
      </c>
      <c r="DJ250" s="408"/>
      <c r="DK250" s="408">
        <v>0</v>
      </c>
      <c r="DL250" s="408">
        <v>0</v>
      </c>
      <c r="DM250" s="408"/>
      <c r="DN250" s="408">
        <v>0</v>
      </c>
      <c r="DO250" s="408">
        <v>0</v>
      </c>
      <c r="DP250" s="408">
        <v>0</v>
      </c>
      <c r="DQ250" s="408">
        <v>0</v>
      </c>
      <c r="DR250" s="408">
        <v>0</v>
      </c>
      <c r="DS250" s="408"/>
      <c r="DT250" s="408"/>
      <c r="DU250" s="408">
        <v>3422.2803247718084</v>
      </c>
      <c r="DV250" s="408"/>
      <c r="DW250" s="408">
        <v>0</v>
      </c>
      <c r="DX250" s="408">
        <v>0</v>
      </c>
      <c r="DY250" s="408">
        <v>-776.48999999999978</v>
      </c>
      <c r="DZ250" s="408"/>
      <c r="EA250" s="408">
        <v>0</v>
      </c>
      <c r="EB250" s="408"/>
      <c r="EC250" s="408">
        <v>-850.15248332962119</v>
      </c>
      <c r="ED250" s="408"/>
      <c r="EE250" s="408">
        <v>0</v>
      </c>
      <c r="EF250" s="408">
        <v>0</v>
      </c>
      <c r="EG250" s="408"/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/>
      <c r="EN250" s="408"/>
      <c r="EO250" s="408">
        <v>0</v>
      </c>
      <c r="EP250" s="408">
        <v>0</v>
      </c>
      <c r="EQ250" s="408"/>
      <c r="ER250" s="408">
        <v>0</v>
      </c>
      <c r="ES250" s="408"/>
      <c r="ET250" s="408">
        <v>0</v>
      </c>
      <c r="EU250" s="408"/>
      <c r="EV250" s="408">
        <v>240</v>
      </c>
      <c r="EW250" s="408"/>
      <c r="EX250" s="408"/>
      <c r="EY250" s="408"/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249</v>
      </c>
      <c r="B251" s="408" t="s">
        <v>1036</v>
      </c>
      <c r="C251" s="408" t="s">
        <v>2235</v>
      </c>
      <c r="D251" s="408" t="s">
        <v>1958</v>
      </c>
      <c r="E251" s="408" t="s">
        <v>2246</v>
      </c>
      <c r="F251" s="408" t="s">
        <v>1322</v>
      </c>
      <c r="G251" s="408" t="s">
        <v>1322</v>
      </c>
      <c r="H251" s="408" t="s">
        <v>1322</v>
      </c>
      <c r="I251" s="408" t="s">
        <v>1322</v>
      </c>
      <c r="J251" s="408" t="s">
        <v>2236</v>
      </c>
      <c r="K251" s="826">
        <v>44470</v>
      </c>
      <c r="L251" s="408">
        <v>0</v>
      </c>
      <c r="M251" s="408">
        <v>0</v>
      </c>
      <c r="N251" s="408">
        <v>398.61200000000002</v>
      </c>
      <c r="O251" s="408">
        <v>398.61200000000002</v>
      </c>
      <c r="P251" s="408">
        <v>398.61200000000002</v>
      </c>
      <c r="Q251" s="408">
        <v>398.61200000000002</v>
      </c>
      <c r="R251" s="408"/>
      <c r="S251" s="408">
        <v>368.24</v>
      </c>
      <c r="T251" s="408">
        <v>173.25</v>
      </c>
      <c r="U251" s="408"/>
      <c r="V251" s="408">
        <v>215844.41188000003</v>
      </c>
      <c r="W251" s="408">
        <v>215844.41188000003</v>
      </c>
      <c r="X251" s="408">
        <v>202849.66068000003</v>
      </c>
      <c r="Y251" s="408">
        <v>0</v>
      </c>
      <c r="Z251" s="408">
        <v>24532.648565467436</v>
      </c>
      <c r="AA251" s="408">
        <v>0</v>
      </c>
      <c r="AB251" s="408">
        <v>0</v>
      </c>
      <c r="AC251" s="408">
        <v>1020.2623080898735</v>
      </c>
      <c r="AD251" s="408">
        <v>980.24329645188413</v>
      </c>
      <c r="AE251" s="408">
        <v>93887.916814645534</v>
      </c>
      <c r="AF251" s="408">
        <v>67899.755660952796</v>
      </c>
      <c r="AG251" s="408">
        <v>1158.858172076109</v>
      </c>
      <c r="AH251" s="408">
        <v>0</v>
      </c>
      <c r="AI251" s="408">
        <v>0</v>
      </c>
      <c r="AJ251" s="408">
        <v>0</v>
      </c>
      <c r="AK251" s="408">
        <v>0</v>
      </c>
      <c r="AL251" s="408">
        <v>3790.4135769052364</v>
      </c>
      <c r="AM251" s="408"/>
      <c r="AN251" s="408">
        <v>481.46618062555251</v>
      </c>
      <c r="AO251" s="408">
        <v>2165.8166660779889</v>
      </c>
      <c r="AP251" s="408">
        <v>10098.883597564656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0</v>
      </c>
      <c r="BE251" s="408">
        <v>0</v>
      </c>
      <c r="BF251" s="408">
        <v>0</v>
      </c>
      <c r="BG251" s="408">
        <v>3563.5082989612424</v>
      </c>
      <c r="BH251" s="408">
        <v>0</v>
      </c>
      <c r="BI251" s="408">
        <v>15.7</v>
      </c>
      <c r="BJ251" s="408">
        <v>1565.25</v>
      </c>
      <c r="BK251" s="408">
        <v>100287.88</v>
      </c>
      <c r="BL251" s="408">
        <v>585</v>
      </c>
      <c r="BM251" s="408"/>
      <c r="BN251" s="408"/>
      <c r="BO251" s="408"/>
      <c r="BP251" s="408"/>
      <c r="BQ251" s="408"/>
      <c r="BR251" s="408"/>
      <c r="BS251" s="408"/>
      <c r="BT251" s="408"/>
      <c r="BU251" s="408"/>
      <c r="BV251" s="408">
        <v>71463.263959914038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202848.64290000004</v>
      </c>
      <c r="CJ251" s="408">
        <v>-12995.798980000021</v>
      </c>
      <c r="CK251" s="408"/>
      <c r="CL251" s="408"/>
      <c r="CM251" s="408"/>
      <c r="CN251" s="408"/>
      <c r="CO251" s="408">
        <v>-21600.78428</v>
      </c>
      <c r="CP251" s="408">
        <v>8606.0330800000011</v>
      </c>
      <c r="CQ251" s="408">
        <v>31</v>
      </c>
      <c r="CR251" s="408">
        <v>10326.917967844303</v>
      </c>
      <c r="CS251" s="408">
        <v>215.8190014658112</v>
      </c>
      <c r="CT251" s="408">
        <v>1006.3321647130633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1009.3258044276438</v>
      </c>
      <c r="DA251" s="408">
        <v>0</v>
      </c>
      <c r="DB251" s="408">
        <v>0</v>
      </c>
      <c r="DC251" s="408">
        <v>8605.0614090981544</v>
      </c>
      <c r="DD251" s="408">
        <v>0</v>
      </c>
      <c r="DE251" s="408">
        <v>0</v>
      </c>
      <c r="DF251" s="408">
        <v>0</v>
      </c>
      <c r="DG251" s="408">
        <v>451.6099866030504</v>
      </c>
      <c r="DH251" s="408">
        <v>0</v>
      </c>
      <c r="DI251" s="408">
        <v>-833.05111397599103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-114.5579178021012</v>
      </c>
      <c r="DP251" s="408">
        <v>-13.62136668533509</v>
      </c>
      <c r="DQ251" s="408">
        <v>0</v>
      </c>
      <c r="DR251" s="408">
        <v>0</v>
      </c>
      <c r="DS251" s="408"/>
      <c r="DT251" s="408"/>
      <c r="DU251" s="408"/>
      <c r="DV251" s="408">
        <v>93887.916814645534</v>
      </c>
      <c r="DW251" s="408">
        <v>0</v>
      </c>
      <c r="DX251" s="408">
        <v>0</v>
      </c>
      <c r="DY251" s="408">
        <v>-21600.784280000007</v>
      </c>
      <c r="DZ251" s="408">
        <v>8606.0330799999938</v>
      </c>
      <c r="EA251" s="408">
        <v>0</v>
      </c>
      <c r="EB251" s="408">
        <v>0</v>
      </c>
      <c r="EC251" s="408">
        <v>-23323.351116755483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6265.2009020601363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240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250</v>
      </c>
      <c r="B252" s="408" t="s">
        <v>2238</v>
      </c>
      <c r="C252" s="408" t="s">
        <v>2235</v>
      </c>
      <c r="D252" s="408" t="s">
        <v>1958</v>
      </c>
      <c r="E252" s="408" t="s">
        <v>2246</v>
      </c>
      <c r="F252" s="408" t="s">
        <v>1322</v>
      </c>
      <c r="G252" s="408" t="s">
        <v>1322</v>
      </c>
      <c r="H252" s="408" t="s">
        <v>1322</v>
      </c>
      <c r="I252" s="408" t="s">
        <v>1322</v>
      </c>
      <c r="J252" s="408" t="s">
        <v>2236</v>
      </c>
      <c r="K252" s="826">
        <v>44470</v>
      </c>
      <c r="L252" s="408">
        <v>0</v>
      </c>
      <c r="M252" s="408">
        <v>0</v>
      </c>
      <c r="N252" s="408">
        <v>1.026</v>
      </c>
      <c r="O252" s="408">
        <v>1.026</v>
      </c>
      <c r="P252" s="408">
        <v>1.026</v>
      </c>
      <c r="Q252" s="408">
        <v>1.026</v>
      </c>
      <c r="R252" s="408"/>
      <c r="S252" s="408">
        <v>368.24</v>
      </c>
      <c r="T252" s="408">
        <v>173.25</v>
      </c>
      <c r="U252" s="408"/>
      <c r="V252" s="408">
        <v>555.56874000000005</v>
      </c>
      <c r="W252" s="408">
        <v>555.56874000000005</v>
      </c>
      <c r="X252" s="408">
        <v>522.12113999999997</v>
      </c>
      <c r="Y252" s="408">
        <v>0</v>
      </c>
      <c r="Z252" s="408">
        <v>63.14535796255403</v>
      </c>
      <c r="AA252" s="408">
        <v>0</v>
      </c>
      <c r="AB252" s="408">
        <v>0</v>
      </c>
      <c r="AC252" s="408">
        <v>2.6260853363677215</v>
      </c>
      <c r="AD252" s="408">
        <v>2.5230791400149348</v>
      </c>
      <c r="AE252" s="408">
        <v>241.66107054435469</v>
      </c>
      <c r="AF252" s="408">
        <v>174.76932282053113</v>
      </c>
      <c r="AG252" s="408">
        <v>2.9828216023353229</v>
      </c>
      <c r="AH252" s="408">
        <v>0</v>
      </c>
      <c r="AI252" s="408">
        <v>0</v>
      </c>
      <c r="AJ252" s="408">
        <v>0</v>
      </c>
      <c r="AK252" s="408">
        <v>0</v>
      </c>
      <c r="AL252" s="408">
        <v>9.7562650645358708</v>
      </c>
      <c r="AM252" s="408"/>
      <c r="AN252" s="408">
        <v>1.2392609889361506</v>
      </c>
      <c r="AO252" s="408">
        <v>5.5746638319870367</v>
      </c>
      <c r="AP252" s="408">
        <v>25.993835035325926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0</v>
      </c>
      <c r="BE252" s="408">
        <v>0</v>
      </c>
      <c r="BF252" s="408">
        <v>0</v>
      </c>
      <c r="BG252" s="408">
        <v>9.1722264124869159</v>
      </c>
      <c r="BH252" s="408">
        <v>0</v>
      </c>
      <c r="BI252" s="408">
        <v>0.04</v>
      </c>
      <c r="BJ252" s="408">
        <v>4.03</v>
      </c>
      <c r="BK252" s="408">
        <v>330.33</v>
      </c>
      <c r="BL252" s="408">
        <v>1</v>
      </c>
      <c r="BM252" s="408"/>
      <c r="BN252" s="408"/>
      <c r="BO252" s="408"/>
      <c r="BP252" s="408"/>
      <c r="BQ252" s="408"/>
      <c r="BR252" s="408"/>
      <c r="BS252" s="408"/>
      <c r="BT252" s="408"/>
      <c r="BU252" s="408"/>
      <c r="BV252" s="408">
        <v>183.94154923301804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524.1567</v>
      </c>
      <c r="CJ252" s="408">
        <v>-31.44204000000002</v>
      </c>
      <c r="CK252" s="408"/>
      <c r="CL252" s="408"/>
      <c r="CM252" s="408"/>
      <c r="CN252" s="408"/>
      <c r="CO252" s="408">
        <v>-55.598939999999999</v>
      </c>
      <c r="CP252" s="408">
        <v>22.151340000000005</v>
      </c>
      <c r="CQ252" s="408">
        <v>31</v>
      </c>
      <c r="CR252" s="408">
        <v>26.580779893751981</v>
      </c>
      <c r="CS252" s="408">
        <v>0.55550333533341245</v>
      </c>
      <c r="CT252" s="408">
        <v>2.5902301009392623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2.5979355246273625</v>
      </c>
      <c r="DA252" s="408">
        <v>0</v>
      </c>
      <c r="DB252" s="408">
        <v>0</v>
      </c>
      <c r="DC252" s="408">
        <v>22.148838985616891</v>
      </c>
      <c r="DD252" s="408">
        <v>0</v>
      </c>
      <c r="DE252" s="408">
        <v>0</v>
      </c>
      <c r="DF252" s="408">
        <v>0</v>
      </c>
      <c r="DG252" s="408">
        <v>1.1624131894040559</v>
      </c>
      <c r="DH252" s="408">
        <v>0</v>
      </c>
      <c r="DI252" s="408">
        <v>-2.1442165387378296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-0.29486423806848627</v>
      </c>
      <c r="DP252" s="408">
        <v>-3.5060465362692916E-2</v>
      </c>
      <c r="DQ252" s="408">
        <v>0</v>
      </c>
      <c r="DR252" s="408">
        <v>0</v>
      </c>
      <c r="DS252" s="408"/>
      <c r="DT252" s="408"/>
      <c r="DU252" s="408"/>
      <c r="DV252" s="408">
        <v>241.66107054435469</v>
      </c>
      <c r="DW252" s="408">
        <v>0</v>
      </c>
      <c r="DX252" s="408">
        <v>0</v>
      </c>
      <c r="DY252" s="408">
        <v>-55.598940000000027</v>
      </c>
      <c r="DZ252" s="408">
        <v>22.151340000000005</v>
      </c>
      <c r="EA252" s="408">
        <v>0</v>
      </c>
      <c r="EB252" s="408">
        <v>0</v>
      </c>
      <c r="EC252" s="408">
        <v>-60.032709115107224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16.126198221613247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240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251</v>
      </c>
      <c r="B253" s="408" t="s">
        <v>1036</v>
      </c>
      <c r="C253" s="408" t="s">
        <v>2243</v>
      </c>
      <c r="D253" s="408" t="s">
        <v>597</v>
      </c>
      <c r="E253" s="408" t="s">
        <v>2246</v>
      </c>
      <c r="F253" s="408" t="s">
        <v>1322</v>
      </c>
      <c r="G253" s="408" t="s">
        <v>1322</v>
      </c>
      <c r="H253" s="408" t="s">
        <v>1322</v>
      </c>
      <c r="I253" s="408" t="s">
        <v>973</v>
      </c>
      <c r="J253" s="408" t="s">
        <v>2236</v>
      </c>
      <c r="K253" s="826">
        <v>44470</v>
      </c>
      <c r="L253" s="408">
        <v>0</v>
      </c>
      <c r="M253" s="408">
        <v>0</v>
      </c>
      <c r="N253" s="408">
        <v>3.5590000000000002</v>
      </c>
      <c r="O253" s="408">
        <v>3.5590000000000002</v>
      </c>
      <c r="P253" s="408">
        <v>3.5590000000000002</v>
      </c>
      <c r="Q253" s="408">
        <v>3.5590000000000002</v>
      </c>
      <c r="R253" s="408"/>
      <c r="S253" s="408">
        <v>1358.36</v>
      </c>
      <c r="T253" s="408">
        <v>173.25</v>
      </c>
      <c r="U253" s="408"/>
      <c r="V253" s="408">
        <v>5450.9999899999993</v>
      </c>
      <c r="W253" s="408">
        <v>5450.9999899999993</v>
      </c>
      <c r="X253" s="408">
        <v>4779.4522800000004</v>
      </c>
      <c r="Y253" s="408">
        <v>0</v>
      </c>
      <c r="Z253" s="408">
        <v>190.56419709570639</v>
      </c>
      <c r="AA253" s="408">
        <v>0</v>
      </c>
      <c r="AB253" s="408">
        <v>0</v>
      </c>
      <c r="AC253" s="408">
        <v>67.414892386177257</v>
      </c>
      <c r="AD253" s="408">
        <v>64.770794405155769</v>
      </c>
      <c r="AE253" s="408">
        <v>3589.2789640924811</v>
      </c>
      <c r="AF253" s="408">
        <v>606.24173481312903</v>
      </c>
      <c r="AG253" s="408">
        <v>10.34684413519631</v>
      </c>
      <c r="AH253" s="408">
        <v>0</v>
      </c>
      <c r="AI253" s="408">
        <v>0</v>
      </c>
      <c r="AJ253" s="408">
        <v>0</v>
      </c>
      <c r="AK253" s="408">
        <v>0</v>
      </c>
      <c r="AL253" s="408">
        <v>33.842638757001133</v>
      </c>
      <c r="AM253" s="408"/>
      <c r="AN253" s="408">
        <v>2.8500964114857599</v>
      </c>
      <c r="AO253" s="408">
        <v>143.11031618627501</v>
      </c>
      <c r="AP253" s="408">
        <v>667.29862409438465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>
        <v>0</v>
      </c>
      <c r="BG253" s="408">
        <v>26.616538778915221</v>
      </c>
      <c r="BH253" s="408">
        <v>0</v>
      </c>
      <c r="BI253" s="408">
        <v>0</v>
      </c>
      <c r="BJ253" s="408">
        <v>0</v>
      </c>
      <c r="BK253" s="408">
        <v>0</v>
      </c>
      <c r="BL253" s="408">
        <v>0</v>
      </c>
      <c r="BM253" s="408"/>
      <c r="BN253" s="408"/>
      <c r="BO253" s="408"/>
      <c r="BP253" s="408"/>
      <c r="BQ253" s="408"/>
      <c r="BR253" s="408"/>
      <c r="BS253" s="408"/>
      <c r="BT253" s="408"/>
      <c r="BU253" s="408"/>
      <c r="BV253" s="408">
        <v>632.85827359204427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4780.7952000000005</v>
      </c>
      <c r="CJ253" s="408">
        <v>-670.23478999999952</v>
      </c>
      <c r="CK253" s="408"/>
      <c r="CL253" s="408"/>
      <c r="CM253" s="408"/>
      <c r="CN253" s="408"/>
      <c r="CO253" s="408">
        <v>-748.3865199999999</v>
      </c>
      <c r="CP253" s="408">
        <v>76.838810000000009</v>
      </c>
      <c r="CQ253" s="408">
        <v>31</v>
      </c>
      <c r="CR253" s="408">
        <v>220.07685482876605</v>
      </c>
      <c r="CS253" s="408">
        <v>14.260637117872164</v>
      </c>
      <c r="CT253" s="408">
        <v>66.494881578483728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66.692457273652295</v>
      </c>
      <c r="DA253" s="408">
        <v>0</v>
      </c>
      <c r="DB253" s="408">
        <v>0</v>
      </c>
      <c r="DC253" s="408">
        <v>76.83013445400627</v>
      </c>
      <c r="DD253" s="408">
        <v>0</v>
      </c>
      <c r="DE253" s="408">
        <v>0</v>
      </c>
      <c r="DF253" s="408">
        <v>0</v>
      </c>
      <c r="DG253" s="408">
        <v>3.3731631058271816</v>
      </c>
      <c r="DH253" s="408">
        <v>0</v>
      </c>
      <c r="DI253" s="408">
        <v>-6.4709571105165367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-1.0228282878028665</v>
      </c>
      <c r="DP253" s="408">
        <v>-8.0633302756522252E-2</v>
      </c>
      <c r="DQ253" s="408">
        <v>0</v>
      </c>
      <c r="DR253" s="408">
        <v>0</v>
      </c>
      <c r="DS253" s="408"/>
      <c r="DT253" s="408"/>
      <c r="DU253" s="408"/>
      <c r="DV253" s="408">
        <v>3589.2789640924811</v>
      </c>
      <c r="DW253" s="408">
        <v>0</v>
      </c>
      <c r="DX253" s="408">
        <v>0</v>
      </c>
      <c r="DY253" s="408">
        <v>-748.38651999999956</v>
      </c>
      <c r="DZ253" s="408">
        <v>76.838809999999967</v>
      </c>
      <c r="EA253" s="408">
        <v>0</v>
      </c>
      <c r="EB253" s="408">
        <v>0</v>
      </c>
      <c r="EC253" s="408">
        <v>-891.63777806234793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48.666697212015457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240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252</v>
      </c>
      <c r="B254" s="408" t="s">
        <v>2238</v>
      </c>
      <c r="C254" s="408" t="s">
        <v>2243</v>
      </c>
      <c r="D254" s="408" t="s">
        <v>597</v>
      </c>
      <c r="E254" s="408" t="s">
        <v>2246</v>
      </c>
      <c r="F254" s="408" t="s">
        <v>1322</v>
      </c>
      <c r="G254" s="408" t="s">
        <v>1322</v>
      </c>
      <c r="H254" s="408" t="s">
        <v>1322</v>
      </c>
      <c r="I254" s="408" t="s">
        <v>973</v>
      </c>
      <c r="J254" s="408" t="s">
        <v>2236</v>
      </c>
      <c r="K254" s="826">
        <v>44470</v>
      </c>
      <c r="L254" s="408">
        <v>0</v>
      </c>
      <c r="M254" s="408">
        <v>0</v>
      </c>
      <c r="N254" s="408">
        <v>0.502</v>
      </c>
      <c r="O254" s="408">
        <v>0.502</v>
      </c>
      <c r="P254" s="408">
        <v>0.502</v>
      </c>
      <c r="Q254" s="408">
        <v>0.502</v>
      </c>
      <c r="R254" s="408"/>
      <c r="S254" s="408">
        <v>1358.36</v>
      </c>
      <c r="T254" s="408">
        <v>173.25</v>
      </c>
      <c r="U254" s="408"/>
      <c r="V254" s="408">
        <v>768.86821999999995</v>
      </c>
      <c r="W254" s="408">
        <v>768.86821999999995</v>
      </c>
      <c r="X254" s="408">
        <v>674.14583999999991</v>
      </c>
      <c r="Y254" s="408">
        <v>0</v>
      </c>
      <c r="Z254" s="408">
        <v>26.879243310493006</v>
      </c>
      <c r="AA254" s="408">
        <v>0</v>
      </c>
      <c r="AB254" s="408">
        <v>0</v>
      </c>
      <c r="AC254" s="408">
        <v>9.5089283444397239</v>
      </c>
      <c r="AD254" s="408">
        <v>9.1359760582714795</v>
      </c>
      <c r="AE254" s="408">
        <v>506.27087383378068</v>
      </c>
      <c r="AF254" s="408">
        <v>85.510916233827132</v>
      </c>
      <c r="AG254" s="408">
        <v>1.4594312323317076</v>
      </c>
      <c r="AH254" s="408">
        <v>0</v>
      </c>
      <c r="AI254" s="408">
        <v>0</v>
      </c>
      <c r="AJ254" s="408">
        <v>0</v>
      </c>
      <c r="AK254" s="408">
        <v>0</v>
      </c>
      <c r="AL254" s="408">
        <v>4.773533199217356</v>
      </c>
      <c r="AM254" s="408"/>
      <c r="AN254" s="408">
        <v>0.40200854132223973</v>
      </c>
      <c r="AO254" s="408">
        <v>20.185832741081782</v>
      </c>
      <c r="AP254" s="408">
        <v>94.123042791621558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0</v>
      </c>
      <c r="BF254" s="408">
        <v>0</v>
      </c>
      <c r="BG254" s="408">
        <v>3.7542856046685702</v>
      </c>
      <c r="BH254" s="408">
        <v>0</v>
      </c>
      <c r="BI254" s="408">
        <v>0</v>
      </c>
      <c r="BJ254" s="408">
        <v>0</v>
      </c>
      <c r="BK254" s="408">
        <v>0</v>
      </c>
      <c r="BL254" s="408">
        <v>0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89.265201838495699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671.45999999999992</v>
      </c>
      <c r="CJ254" s="408">
        <v>-97.438220000000001</v>
      </c>
      <c r="CK254" s="408"/>
      <c r="CL254" s="408"/>
      <c r="CM254" s="408"/>
      <c r="CN254" s="408"/>
      <c r="CO254" s="408">
        <v>-105.56055999999998</v>
      </c>
      <c r="CP254" s="408">
        <v>10.838180000000001</v>
      </c>
      <c r="CQ254" s="408">
        <v>31</v>
      </c>
      <c r="CR254" s="408">
        <v>31.042028975566268</v>
      </c>
      <c r="CS254" s="408">
        <v>2.0114750865894422</v>
      </c>
      <c r="CT254" s="408">
        <v>9.3791600315815771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9.4070282527039755</v>
      </c>
      <c r="DA254" s="408">
        <v>0</v>
      </c>
      <c r="DB254" s="408">
        <v>0</v>
      </c>
      <c r="DC254" s="408">
        <v>10.83695630680279</v>
      </c>
      <c r="DD254" s="408">
        <v>0</v>
      </c>
      <c r="DE254" s="408">
        <v>0</v>
      </c>
      <c r="DF254" s="408">
        <v>0</v>
      </c>
      <c r="DG254" s="408">
        <v>0.47578754681799529</v>
      </c>
      <c r="DH254" s="408">
        <v>0</v>
      </c>
      <c r="DI254" s="408">
        <v>-0.91273404593405516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-0.14427080654033198</v>
      </c>
      <c r="DP254" s="408">
        <v>-1.1373396455120532E-2</v>
      </c>
      <c r="DQ254" s="408">
        <v>0</v>
      </c>
      <c r="DR254" s="408">
        <v>0</v>
      </c>
      <c r="DS254" s="408"/>
      <c r="DT254" s="408"/>
      <c r="DU254" s="408"/>
      <c r="DV254" s="408">
        <v>506.27087383378068</v>
      </c>
      <c r="DW254" s="408">
        <v>0</v>
      </c>
      <c r="DX254" s="408">
        <v>0</v>
      </c>
      <c r="DY254" s="408">
        <v>-105.56056000000001</v>
      </c>
      <c r="DZ254" s="408">
        <v>10.838179999999994</v>
      </c>
      <c r="EA254" s="408">
        <v>0</v>
      </c>
      <c r="EB254" s="408">
        <v>0</v>
      </c>
      <c r="EC254" s="408">
        <v>-125.76627271348656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6.8644793482528126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240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253</v>
      </c>
      <c r="B255" s="408" t="s">
        <v>1036</v>
      </c>
      <c r="C255" s="408" t="s">
        <v>2243</v>
      </c>
      <c r="D255" s="408" t="s">
        <v>597</v>
      </c>
      <c r="E255" s="408" t="s">
        <v>2246</v>
      </c>
      <c r="F255" s="408" t="s">
        <v>1322</v>
      </c>
      <c r="G255" s="408" t="s">
        <v>1322</v>
      </c>
      <c r="H255" s="408" t="s">
        <v>1322</v>
      </c>
      <c r="I255" s="408" t="s">
        <v>2244</v>
      </c>
      <c r="J255" s="408" t="s">
        <v>2236</v>
      </c>
      <c r="K255" s="826">
        <v>44470</v>
      </c>
      <c r="L255" s="408">
        <v>0</v>
      </c>
      <c r="M255" s="408">
        <v>0</v>
      </c>
      <c r="N255" s="408">
        <v>26.175999999999998</v>
      </c>
      <c r="O255" s="408">
        <v>26.175999999999998</v>
      </c>
      <c r="P255" s="408">
        <v>26.175999999999998</v>
      </c>
      <c r="Q255" s="408">
        <v>26.175999999999998</v>
      </c>
      <c r="R255" s="408"/>
      <c r="S255" s="408">
        <v>85.01</v>
      </c>
      <c r="T255" s="408">
        <v>173.25</v>
      </c>
      <c r="U255" s="408"/>
      <c r="V255" s="408">
        <v>6760.2137599999987</v>
      </c>
      <c r="W255" s="408">
        <v>6760.2137599999987</v>
      </c>
      <c r="X255" s="408">
        <v>7294.4659199999996</v>
      </c>
      <c r="Y255" s="408">
        <v>0</v>
      </c>
      <c r="Z255" s="408">
        <v>1401.5758424212447</v>
      </c>
      <c r="AA255" s="408">
        <v>0</v>
      </c>
      <c r="AB255" s="408">
        <v>0</v>
      </c>
      <c r="AC255" s="408">
        <v>0</v>
      </c>
      <c r="AD255" s="408">
        <v>0</v>
      </c>
      <c r="AE255" s="408">
        <v>0</v>
      </c>
      <c r="AF255" s="408">
        <v>4458.832158041153</v>
      </c>
      <c r="AG255" s="408">
        <v>76.099744895447756</v>
      </c>
      <c r="AH255" s="408">
        <v>0</v>
      </c>
      <c r="AI255" s="408">
        <v>0</v>
      </c>
      <c r="AJ255" s="408">
        <v>0</v>
      </c>
      <c r="AK255" s="408">
        <v>0</v>
      </c>
      <c r="AL255" s="408">
        <v>248.90837653926991</v>
      </c>
      <c r="AM255" s="408"/>
      <c r="AN255" s="408">
        <v>20.962102744324596</v>
      </c>
      <c r="AO255" s="408">
        <v>0</v>
      </c>
      <c r="AP255" s="408">
        <v>0</v>
      </c>
      <c r="AQ255" s="408">
        <v>0</v>
      </c>
      <c r="AR255" s="408">
        <v>0</v>
      </c>
      <c r="AS255" s="408">
        <v>0</v>
      </c>
      <c r="AT255" s="408">
        <v>0</v>
      </c>
      <c r="AU255" s="408">
        <v>0</v>
      </c>
      <c r="AV255" s="408">
        <v>0</v>
      </c>
      <c r="AW255" s="408">
        <v>0</v>
      </c>
      <c r="AX255" s="408">
        <v>0</v>
      </c>
      <c r="AY255" s="408">
        <v>0</v>
      </c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>
        <v>0</v>
      </c>
      <c r="BG255" s="408">
        <v>195.76131471674199</v>
      </c>
      <c r="BH255" s="408">
        <v>0</v>
      </c>
      <c r="BI255" s="408">
        <v>0</v>
      </c>
      <c r="BJ255" s="408">
        <v>0</v>
      </c>
      <c r="BK255" s="408">
        <v>0</v>
      </c>
      <c r="BL255" s="408">
        <v>0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4654.5934727578951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7295.5806000000002</v>
      </c>
      <c r="CJ255" s="408">
        <v>535.33684000000085</v>
      </c>
      <c r="CK255" s="408"/>
      <c r="CL255" s="408"/>
      <c r="CM255" s="408"/>
      <c r="CN255" s="408"/>
      <c r="CO255" s="408">
        <v>-30.887680000000177</v>
      </c>
      <c r="CP255" s="408">
        <v>565.13984000000005</v>
      </c>
      <c r="CQ255" s="408">
        <v>31</v>
      </c>
      <c r="CR255" s="408">
        <v>534.17632284541651</v>
      </c>
      <c r="CS255" s="408">
        <v>0</v>
      </c>
      <c r="CT255" s="408">
        <v>0</v>
      </c>
      <c r="CU255" s="408">
        <v>0</v>
      </c>
      <c r="CV255" s="408">
        <v>0</v>
      </c>
      <c r="CW255" s="408">
        <v>0</v>
      </c>
      <c r="CX255" s="408">
        <v>0</v>
      </c>
      <c r="CY255" s="408">
        <v>0</v>
      </c>
      <c r="CZ255" s="408">
        <v>0</v>
      </c>
      <c r="DA255" s="408">
        <v>0</v>
      </c>
      <c r="DB255" s="408">
        <v>0</v>
      </c>
      <c r="DC255" s="408">
        <v>565.07603244396341</v>
      </c>
      <c r="DD255" s="408">
        <v>0</v>
      </c>
      <c r="DE255" s="408">
        <v>0</v>
      </c>
      <c r="DF255" s="408">
        <v>0</v>
      </c>
      <c r="DG255" s="408">
        <v>24.809192879497687</v>
      </c>
      <c r="DH255" s="408">
        <v>0</v>
      </c>
      <c r="DI255" s="408">
        <v>-47.593080450935759</v>
      </c>
      <c r="DJ255" s="408"/>
      <c r="DK255" s="408">
        <v>0</v>
      </c>
      <c r="DL255" s="408">
        <v>0</v>
      </c>
      <c r="DM255" s="408">
        <v>0</v>
      </c>
      <c r="DN255" s="408">
        <v>0</v>
      </c>
      <c r="DO255" s="408">
        <v>-7.5227741673301409</v>
      </c>
      <c r="DP255" s="408">
        <v>-0.59304785977935737</v>
      </c>
      <c r="DQ255" s="408">
        <v>0</v>
      </c>
      <c r="DR255" s="408">
        <v>0</v>
      </c>
      <c r="DS255" s="408"/>
      <c r="DT255" s="408"/>
      <c r="DU255" s="408"/>
      <c r="DV255" s="408">
        <v>0</v>
      </c>
      <c r="DW255" s="408">
        <v>0</v>
      </c>
      <c r="DX255" s="408">
        <v>0</v>
      </c>
      <c r="DY255" s="408">
        <v>-30.887680000000273</v>
      </c>
      <c r="DZ255" s="408">
        <v>565.13984000000073</v>
      </c>
      <c r="EA255" s="408">
        <v>0</v>
      </c>
      <c r="EB255" s="408">
        <v>0</v>
      </c>
      <c r="EC255" s="408">
        <v>0</v>
      </c>
      <c r="ED255" s="408">
        <v>0</v>
      </c>
      <c r="EE255" s="408">
        <v>0</v>
      </c>
      <c r="EF255" s="408">
        <v>0</v>
      </c>
      <c r="EG255" s="408">
        <v>0</v>
      </c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>
        <v>0</v>
      </c>
      <c r="EN255" s="408">
        <v>0</v>
      </c>
      <c r="EO255" s="408">
        <v>0</v>
      </c>
      <c r="EP255" s="408">
        <v>357.93747294793945</v>
      </c>
      <c r="EQ255" s="408">
        <v>0</v>
      </c>
      <c r="ER255" s="408">
        <v>0</v>
      </c>
      <c r="ES255" s="408">
        <v>0</v>
      </c>
      <c r="ET255" s="408">
        <v>0</v>
      </c>
      <c r="EU255" s="408">
        <v>0</v>
      </c>
      <c r="EV255" s="408">
        <v>240</v>
      </c>
      <c r="EW255" s="408">
        <v>0</v>
      </c>
      <c r="EX255" s="408">
        <v>0</v>
      </c>
      <c r="EY255" s="408">
        <v>0</v>
      </c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254</v>
      </c>
      <c r="B256" s="408" t="s">
        <v>2238</v>
      </c>
      <c r="C256" s="408" t="s">
        <v>2243</v>
      </c>
      <c r="D256" s="408" t="s">
        <v>597</v>
      </c>
      <c r="E256" s="408" t="s">
        <v>2246</v>
      </c>
      <c r="F256" s="408" t="s">
        <v>1322</v>
      </c>
      <c r="G256" s="408" t="s">
        <v>1322</v>
      </c>
      <c r="H256" s="408" t="s">
        <v>1322</v>
      </c>
      <c r="I256" s="408" t="s">
        <v>2244</v>
      </c>
      <c r="J256" s="408" t="s">
        <v>2236</v>
      </c>
      <c r="K256" s="826">
        <v>44470</v>
      </c>
      <c r="L256" s="408">
        <v>0</v>
      </c>
      <c r="M256" s="408">
        <v>0</v>
      </c>
      <c r="N256" s="408">
        <v>0.04</v>
      </c>
      <c r="O256" s="408">
        <v>0.04</v>
      </c>
      <c r="P256" s="408">
        <v>0.04</v>
      </c>
      <c r="Q256" s="408">
        <v>0.04</v>
      </c>
      <c r="R256" s="408"/>
      <c r="S256" s="408">
        <v>85.01</v>
      </c>
      <c r="T256" s="408">
        <v>173.25</v>
      </c>
      <c r="U256" s="408"/>
      <c r="V256" s="408">
        <v>10.330400000000001</v>
      </c>
      <c r="W256" s="408">
        <v>10.330400000000001</v>
      </c>
      <c r="X256" s="408">
        <v>11.146800000000001</v>
      </c>
      <c r="Y256" s="408">
        <v>0</v>
      </c>
      <c r="Z256" s="408">
        <v>2.1417723753380882</v>
      </c>
      <c r="AA256" s="408">
        <v>0</v>
      </c>
      <c r="AB256" s="408">
        <v>0</v>
      </c>
      <c r="AC256" s="408">
        <v>0</v>
      </c>
      <c r="AD256" s="408">
        <v>0</v>
      </c>
      <c r="AE256" s="408">
        <v>0</v>
      </c>
      <c r="AF256" s="408">
        <v>6.8136188234125203</v>
      </c>
      <c r="AG256" s="408">
        <v>0.11628934122165001</v>
      </c>
      <c r="AH256" s="408">
        <v>0</v>
      </c>
      <c r="AI256" s="408">
        <v>0</v>
      </c>
      <c r="AJ256" s="408">
        <v>0</v>
      </c>
      <c r="AK256" s="408">
        <v>0</v>
      </c>
      <c r="AL256" s="408">
        <v>0.3803612110930164</v>
      </c>
      <c r="AM256" s="408"/>
      <c r="AN256" s="408">
        <v>3.2032553093405559E-2</v>
      </c>
      <c r="AO256" s="408">
        <v>0</v>
      </c>
      <c r="AP256" s="408">
        <v>0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0</v>
      </c>
      <c r="BE256" s="408">
        <v>0</v>
      </c>
      <c r="BF256" s="408">
        <v>0</v>
      </c>
      <c r="BG256" s="408">
        <v>0.29914626332020477</v>
      </c>
      <c r="BH256" s="408">
        <v>0</v>
      </c>
      <c r="BI256" s="408">
        <v>0</v>
      </c>
      <c r="BJ256" s="408">
        <v>0</v>
      </c>
      <c r="BK256" s="408">
        <v>0</v>
      </c>
      <c r="BL256" s="408">
        <v>0</v>
      </c>
      <c r="BM256" s="408"/>
      <c r="BN256" s="408"/>
      <c r="BO256" s="408"/>
      <c r="BP256" s="408"/>
      <c r="BQ256" s="408"/>
      <c r="BR256" s="408"/>
      <c r="BS256" s="408"/>
      <c r="BT256" s="408"/>
      <c r="BU256" s="408"/>
      <c r="BV256" s="408">
        <v>7.1127650867327255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11.146800000000001</v>
      </c>
      <c r="CJ256" s="408">
        <v>0.78640000000000043</v>
      </c>
      <c r="CK256" s="408"/>
      <c r="CL256" s="408"/>
      <c r="CM256" s="408"/>
      <c r="CN256" s="408"/>
      <c r="CO256" s="408">
        <v>-4.7200000000000276E-2</v>
      </c>
      <c r="CP256" s="408">
        <v>0.86360000000000015</v>
      </c>
      <c r="CQ256" s="408">
        <v>31</v>
      </c>
      <c r="CR256" s="408">
        <v>0.81628411192759387</v>
      </c>
      <c r="CS256" s="408">
        <v>0</v>
      </c>
      <c r="CT256" s="408">
        <v>0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0</v>
      </c>
      <c r="DA256" s="408">
        <v>0</v>
      </c>
      <c r="DB256" s="408">
        <v>0</v>
      </c>
      <c r="DC256" s="408">
        <v>0.86350249456595929</v>
      </c>
      <c r="DD256" s="408">
        <v>0</v>
      </c>
      <c r="DE256" s="408">
        <v>0</v>
      </c>
      <c r="DF256" s="408">
        <v>0</v>
      </c>
      <c r="DG256" s="408">
        <v>3.7911358312190835E-2</v>
      </c>
      <c r="DH256" s="408">
        <v>0</v>
      </c>
      <c r="DI256" s="408">
        <v>-7.272781242502413E-2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-1.1495681796042378E-2</v>
      </c>
      <c r="DP256" s="408">
        <v>-9.0624672949168178E-4</v>
      </c>
      <c r="DQ256" s="408">
        <v>0</v>
      </c>
      <c r="DR256" s="408">
        <v>0</v>
      </c>
      <c r="DS256" s="408"/>
      <c r="DT256" s="408"/>
      <c r="DU256" s="408"/>
      <c r="DV256" s="408">
        <v>0</v>
      </c>
      <c r="DW256" s="408">
        <v>0</v>
      </c>
      <c r="DX256" s="408">
        <v>0</v>
      </c>
      <c r="DY256" s="408">
        <v>-4.7200000000000131E-2</v>
      </c>
      <c r="DZ256" s="408">
        <v>0.86360000000000081</v>
      </c>
      <c r="EA256" s="408">
        <v>0</v>
      </c>
      <c r="EB256" s="408">
        <v>0</v>
      </c>
      <c r="EC256" s="408">
        <v>0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0.54697046599624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240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255</v>
      </c>
      <c r="B257" s="408" t="s">
        <v>1036</v>
      </c>
      <c r="C257" s="408" t="s">
        <v>2243</v>
      </c>
      <c r="D257" s="408" t="s">
        <v>597</v>
      </c>
      <c r="E257" s="408" t="s">
        <v>2246</v>
      </c>
      <c r="F257" s="408" t="s">
        <v>1322</v>
      </c>
      <c r="G257" s="408" t="s">
        <v>1322</v>
      </c>
      <c r="H257" s="408" t="s">
        <v>1322</v>
      </c>
      <c r="I257" s="408" t="s">
        <v>1322</v>
      </c>
      <c r="J257" s="408" t="s">
        <v>2236</v>
      </c>
      <c r="K257" s="826">
        <v>44470</v>
      </c>
      <c r="L257" s="408">
        <v>158</v>
      </c>
      <c r="M257" s="408">
        <v>158</v>
      </c>
      <c r="N257" s="408">
        <v>0</v>
      </c>
      <c r="O257" s="408">
        <v>0</v>
      </c>
      <c r="P257" s="408">
        <v>0</v>
      </c>
      <c r="Q257" s="408">
        <v>0</v>
      </c>
      <c r="R257" s="408">
        <v>27.19</v>
      </c>
      <c r="S257" s="408"/>
      <c r="T257" s="408"/>
      <c r="U257" s="408">
        <v>4296.0200000000004</v>
      </c>
      <c r="V257" s="408"/>
      <c r="W257" s="408">
        <v>4296.0200000000004</v>
      </c>
      <c r="X257" s="408">
        <v>3438.0800000000004</v>
      </c>
      <c r="Y257" s="408">
        <v>0</v>
      </c>
      <c r="Z257" s="408">
        <v>0</v>
      </c>
      <c r="AA257" s="408">
        <v>0</v>
      </c>
      <c r="AB257" s="408">
        <v>0</v>
      </c>
      <c r="AC257" s="408">
        <v>36.845696921555117</v>
      </c>
      <c r="AD257" s="408">
        <v>35.397504620526995</v>
      </c>
      <c r="AE257" s="408">
        <v>3781.260778419201</v>
      </c>
      <c r="AF257" s="408"/>
      <c r="AG257" s="408"/>
      <c r="AH257" s="408"/>
      <c r="AI257" s="408">
        <v>0</v>
      </c>
      <c r="AJ257" s="408">
        <v>0</v>
      </c>
      <c r="AK257" s="408">
        <v>0</v>
      </c>
      <c r="AL257" s="408">
        <v>0</v>
      </c>
      <c r="AM257" s="408"/>
      <c r="AN257" s="408">
        <v>0</v>
      </c>
      <c r="AO257" s="408">
        <v>78.191803312293317</v>
      </c>
      <c r="AP257" s="408">
        <v>364.67803719581542</v>
      </c>
      <c r="AQ257" s="408">
        <v>0</v>
      </c>
      <c r="AR257" s="408">
        <v>0</v>
      </c>
      <c r="AS257" s="408"/>
      <c r="AT257" s="408"/>
      <c r="AU257" s="408">
        <v>0</v>
      </c>
      <c r="AV257" s="408">
        <v>0</v>
      </c>
      <c r="AW257" s="408">
        <v>0</v>
      </c>
      <c r="AX257" s="408"/>
      <c r="AY257" s="408"/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/>
      <c r="BG257" s="408">
        <v>0</v>
      </c>
      <c r="BH257" s="408">
        <v>0</v>
      </c>
      <c r="BI257" s="408">
        <v>1.42</v>
      </c>
      <c r="BJ257" s="408">
        <v>124.12</v>
      </c>
      <c r="BK257" s="408">
        <v>8865.69</v>
      </c>
      <c r="BL257" s="408">
        <v>4</v>
      </c>
      <c r="BM257" s="408"/>
      <c r="BN257" s="408"/>
      <c r="BO257" s="408"/>
      <c r="BP257" s="408"/>
      <c r="BQ257" s="408"/>
      <c r="BR257" s="408"/>
      <c r="BS257" s="408"/>
      <c r="BT257" s="408"/>
      <c r="BU257" s="408"/>
      <c r="BV257" s="408">
        <v>0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3438.0800000000004</v>
      </c>
      <c r="CJ257" s="408">
        <v>-857.97000000000071</v>
      </c>
      <c r="CK257" s="408"/>
      <c r="CL257" s="408"/>
      <c r="CM257" s="408"/>
      <c r="CN257" s="408"/>
      <c r="CO257" s="408">
        <v>-857.93999999999994</v>
      </c>
      <c r="CP257" s="408">
        <v>0</v>
      </c>
      <c r="CQ257" s="408">
        <v>31</v>
      </c>
      <c r="CR257" s="408">
        <v>80.578734252299569</v>
      </c>
      <c r="CS257" s="408">
        <v>7.7916460695766432</v>
      </c>
      <c r="CT257" s="408">
        <v>36.339386928181966</v>
      </c>
      <c r="CU257" s="408">
        <v>0</v>
      </c>
      <c r="CV257" s="408">
        <v>0</v>
      </c>
      <c r="CW257" s="408"/>
      <c r="CX257" s="408"/>
      <c r="CY257" s="408"/>
      <c r="CZ257" s="408">
        <v>36.447701254540966</v>
      </c>
      <c r="DA257" s="408">
        <v>0</v>
      </c>
      <c r="DB257" s="408">
        <v>0</v>
      </c>
      <c r="DC257" s="408"/>
      <c r="DD257" s="408"/>
      <c r="DE257" s="408">
        <v>0</v>
      </c>
      <c r="DF257" s="408">
        <v>0</v>
      </c>
      <c r="DG257" s="408">
        <v>0</v>
      </c>
      <c r="DH257" s="408">
        <v>0</v>
      </c>
      <c r="DI257" s="408">
        <v>0</v>
      </c>
      <c r="DJ257" s="408"/>
      <c r="DK257" s="408">
        <v>0</v>
      </c>
      <c r="DL257" s="408">
        <v>0</v>
      </c>
      <c r="DM257" s="408"/>
      <c r="DN257" s="408">
        <v>0</v>
      </c>
      <c r="DO257" s="408">
        <v>0</v>
      </c>
      <c r="DP257" s="408">
        <v>0</v>
      </c>
      <c r="DQ257" s="408">
        <v>0</v>
      </c>
      <c r="DR257" s="408">
        <v>0</v>
      </c>
      <c r="DS257" s="408"/>
      <c r="DT257" s="408"/>
      <c r="DU257" s="408">
        <v>3781.260778419201</v>
      </c>
      <c r="DV257" s="408"/>
      <c r="DW257" s="408">
        <v>0</v>
      </c>
      <c r="DX257" s="408">
        <v>0</v>
      </c>
      <c r="DY257" s="408">
        <v>-857.94</v>
      </c>
      <c r="DZ257" s="408"/>
      <c r="EA257" s="408">
        <v>0</v>
      </c>
      <c r="EB257" s="408"/>
      <c r="EC257" s="408">
        <v>-939.32931724531545</v>
      </c>
      <c r="ED257" s="408"/>
      <c r="EE257" s="408">
        <v>0</v>
      </c>
      <c r="EF257" s="408">
        <v>0</v>
      </c>
      <c r="EG257" s="408"/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/>
      <c r="EN257" s="408"/>
      <c r="EO257" s="408">
        <v>0</v>
      </c>
      <c r="EP257" s="408">
        <v>0</v>
      </c>
      <c r="EQ257" s="408"/>
      <c r="ER257" s="408">
        <v>0</v>
      </c>
      <c r="ES257" s="408"/>
      <c r="ET257" s="408">
        <v>0</v>
      </c>
      <c r="EU257" s="408"/>
      <c r="EV257" s="408">
        <v>240</v>
      </c>
      <c r="EW257" s="408"/>
      <c r="EX257" s="408"/>
      <c r="EY257" s="408"/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256</v>
      </c>
      <c r="B258" s="408" t="s">
        <v>2238</v>
      </c>
      <c r="C258" s="408" t="s">
        <v>2243</v>
      </c>
      <c r="D258" s="408" t="s">
        <v>597</v>
      </c>
      <c r="E258" s="408" t="s">
        <v>2246</v>
      </c>
      <c r="F258" s="408" t="s">
        <v>1322</v>
      </c>
      <c r="G258" s="408" t="s">
        <v>1322</v>
      </c>
      <c r="H258" s="408" t="s">
        <v>1322</v>
      </c>
      <c r="I258" s="408" t="s">
        <v>1322</v>
      </c>
      <c r="J258" s="408" t="s">
        <v>2236</v>
      </c>
      <c r="K258" s="826">
        <v>44470</v>
      </c>
      <c r="L258" s="408">
        <v>40</v>
      </c>
      <c r="M258" s="408">
        <v>40</v>
      </c>
      <c r="N258" s="408">
        <v>0</v>
      </c>
      <c r="O258" s="408">
        <v>0</v>
      </c>
      <c r="P258" s="408">
        <v>0</v>
      </c>
      <c r="Q258" s="408">
        <v>0</v>
      </c>
      <c r="R258" s="408">
        <v>27.19</v>
      </c>
      <c r="S258" s="408"/>
      <c r="T258" s="408"/>
      <c r="U258" s="408">
        <v>1087.6000000000001</v>
      </c>
      <c r="V258" s="408"/>
      <c r="W258" s="408">
        <v>1087.6000000000001</v>
      </c>
      <c r="X258" s="408">
        <v>870.40000000000009</v>
      </c>
      <c r="Y258" s="408">
        <v>0</v>
      </c>
      <c r="Z258" s="408">
        <v>0</v>
      </c>
      <c r="AA258" s="408">
        <v>0</v>
      </c>
      <c r="AB258" s="408">
        <v>0</v>
      </c>
      <c r="AC258" s="408">
        <v>9.3280245371025607</v>
      </c>
      <c r="AD258" s="408">
        <v>8.9613935748169595</v>
      </c>
      <c r="AE258" s="408">
        <v>957.28120972637998</v>
      </c>
      <c r="AF258" s="408"/>
      <c r="AG258" s="408"/>
      <c r="AH258" s="408"/>
      <c r="AI258" s="408">
        <v>0</v>
      </c>
      <c r="AJ258" s="408">
        <v>0</v>
      </c>
      <c r="AK258" s="408">
        <v>0</v>
      </c>
      <c r="AL258" s="408">
        <v>0</v>
      </c>
      <c r="AM258" s="408"/>
      <c r="AN258" s="408">
        <v>0</v>
      </c>
      <c r="AO258" s="408">
        <v>19.795393243618559</v>
      </c>
      <c r="AP258" s="408">
        <v>92.3235537204596</v>
      </c>
      <c r="AQ258" s="408">
        <v>0</v>
      </c>
      <c r="AR258" s="408">
        <v>0</v>
      </c>
      <c r="AS258" s="408"/>
      <c r="AT258" s="408"/>
      <c r="AU258" s="408">
        <v>0</v>
      </c>
      <c r="AV258" s="408">
        <v>0</v>
      </c>
      <c r="AW258" s="408">
        <v>0</v>
      </c>
      <c r="AX258" s="408"/>
      <c r="AY258" s="408"/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0</v>
      </c>
      <c r="BF258" s="408"/>
      <c r="BG258" s="408">
        <v>0</v>
      </c>
      <c r="BH258" s="408">
        <v>0</v>
      </c>
      <c r="BI258" s="408">
        <v>0.11</v>
      </c>
      <c r="BJ258" s="408">
        <v>10</v>
      </c>
      <c r="BK258" s="408">
        <v>575.91999999999996</v>
      </c>
      <c r="BL258" s="408">
        <v>1</v>
      </c>
      <c r="BM258" s="408"/>
      <c r="BN258" s="408"/>
      <c r="BO258" s="408"/>
      <c r="BP258" s="408"/>
      <c r="BQ258" s="408"/>
      <c r="BR258" s="408"/>
      <c r="BS258" s="408"/>
      <c r="BT258" s="408"/>
      <c r="BU258" s="408"/>
      <c r="BV258" s="408">
        <v>0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870.40000000000009</v>
      </c>
      <c r="CJ258" s="408">
        <v>-217.23000000000002</v>
      </c>
      <c r="CK258" s="408"/>
      <c r="CL258" s="408"/>
      <c r="CM258" s="408"/>
      <c r="CN258" s="408"/>
      <c r="CO258" s="408">
        <v>-217.2</v>
      </c>
      <c r="CP258" s="408">
        <v>0</v>
      </c>
      <c r="CQ258" s="408">
        <v>31</v>
      </c>
      <c r="CR258" s="408">
        <v>20.399679557544232</v>
      </c>
      <c r="CS258" s="408">
        <v>1.9725686252092807</v>
      </c>
      <c r="CT258" s="408">
        <v>9.1998447919447983</v>
      </c>
      <c r="CU258" s="408">
        <v>0</v>
      </c>
      <c r="CV258" s="408">
        <v>0</v>
      </c>
      <c r="CW258" s="408"/>
      <c r="CX258" s="408"/>
      <c r="CY258" s="408"/>
      <c r="CZ258" s="408">
        <v>9.2272661403901211</v>
      </c>
      <c r="DA258" s="408">
        <v>0</v>
      </c>
      <c r="DB258" s="408">
        <v>0</v>
      </c>
      <c r="DC258" s="408"/>
      <c r="DD258" s="408"/>
      <c r="DE258" s="408">
        <v>0</v>
      </c>
      <c r="DF258" s="408">
        <v>0</v>
      </c>
      <c r="DG258" s="408">
        <v>0</v>
      </c>
      <c r="DH258" s="408">
        <v>0</v>
      </c>
      <c r="DI258" s="408">
        <v>0</v>
      </c>
      <c r="DJ258" s="408"/>
      <c r="DK258" s="408">
        <v>0</v>
      </c>
      <c r="DL258" s="408">
        <v>0</v>
      </c>
      <c r="DM258" s="408"/>
      <c r="DN258" s="408">
        <v>0</v>
      </c>
      <c r="DO258" s="408">
        <v>0</v>
      </c>
      <c r="DP258" s="408">
        <v>0</v>
      </c>
      <c r="DQ258" s="408">
        <v>0</v>
      </c>
      <c r="DR258" s="408">
        <v>0</v>
      </c>
      <c r="DS258" s="408"/>
      <c r="DT258" s="408"/>
      <c r="DU258" s="408">
        <v>957.28120972637998</v>
      </c>
      <c r="DV258" s="408"/>
      <c r="DW258" s="408">
        <v>0</v>
      </c>
      <c r="DX258" s="408">
        <v>0</v>
      </c>
      <c r="DY258" s="408">
        <v>-217.20000000000005</v>
      </c>
      <c r="DZ258" s="408"/>
      <c r="EA258" s="408">
        <v>0</v>
      </c>
      <c r="EB258" s="408"/>
      <c r="EC258" s="408">
        <v>-237.80489044185208</v>
      </c>
      <c r="ED258" s="408"/>
      <c r="EE258" s="408">
        <v>0</v>
      </c>
      <c r="EF258" s="408">
        <v>0</v>
      </c>
      <c r="EG258" s="408"/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/>
      <c r="EN258" s="408"/>
      <c r="EO258" s="408">
        <v>0</v>
      </c>
      <c r="EP258" s="408">
        <v>0</v>
      </c>
      <c r="EQ258" s="408"/>
      <c r="ER258" s="408">
        <v>0</v>
      </c>
      <c r="ES258" s="408"/>
      <c r="ET258" s="408">
        <v>0</v>
      </c>
      <c r="EU258" s="408"/>
      <c r="EV258" s="408">
        <v>240</v>
      </c>
      <c r="EW258" s="408"/>
      <c r="EX258" s="408"/>
      <c r="EY258" s="408"/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257</v>
      </c>
      <c r="B259" s="408" t="s">
        <v>1036</v>
      </c>
      <c r="C259" s="408" t="s">
        <v>2235</v>
      </c>
      <c r="D259" s="408" t="s">
        <v>2248</v>
      </c>
      <c r="E259" s="408" t="s">
        <v>2249</v>
      </c>
      <c r="F259" s="408" t="s">
        <v>2250</v>
      </c>
      <c r="G259" s="408" t="s">
        <v>1322</v>
      </c>
      <c r="H259" s="408" t="s">
        <v>1322</v>
      </c>
      <c r="I259" s="408" t="s">
        <v>1322</v>
      </c>
      <c r="J259" s="408" t="s">
        <v>2236</v>
      </c>
      <c r="K259" s="826">
        <v>44470</v>
      </c>
      <c r="L259" s="408">
        <v>0</v>
      </c>
      <c r="M259" s="408">
        <v>0</v>
      </c>
      <c r="N259" s="408">
        <v>1599.2750000000001</v>
      </c>
      <c r="O259" s="408">
        <v>1599.2750000000001</v>
      </c>
      <c r="P259" s="408">
        <v>1599.2750000000001</v>
      </c>
      <c r="Q259" s="408">
        <v>1599.2750000000001</v>
      </c>
      <c r="R259" s="408"/>
      <c r="S259" s="408">
        <v>199.07</v>
      </c>
      <c r="T259" s="408">
        <v>95.29</v>
      </c>
      <c r="U259" s="408"/>
      <c r="V259" s="408">
        <v>470762.58900000004</v>
      </c>
      <c r="W259" s="408">
        <v>470762.58900000004</v>
      </c>
      <c r="X259" s="408">
        <v>444390.54425000004</v>
      </c>
      <c r="Y259" s="408">
        <v>0</v>
      </c>
      <c r="Z259" s="408">
        <v>54135.22007364517</v>
      </c>
      <c r="AA259" s="408">
        <v>0</v>
      </c>
      <c r="AB259" s="408">
        <v>0</v>
      </c>
      <c r="AC259" s="408">
        <v>2251.3722655708739</v>
      </c>
      <c r="AD259" s="408">
        <v>2903.616251612832</v>
      </c>
      <c r="AE259" s="408">
        <v>200893.51068973503</v>
      </c>
      <c r="AF259" s="408">
        <v>149831.69085242948</v>
      </c>
      <c r="AG259" s="408">
        <v>2557.2062475060006</v>
      </c>
      <c r="AH259" s="408">
        <v>0</v>
      </c>
      <c r="AI259" s="408">
        <v>0</v>
      </c>
      <c r="AJ259" s="408">
        <v>0</v>
      </c>
      <c r="AK259" s="408">
        <v>0</v>
      </c>
      <c r="AL259" s="408">
        <v>8364.1549182232848</v>
      </c>
      <c r="AM259" s="408"/>
      <c r="AN259" s="408">
        <v>1062.4322757743398</v>
      </c>
      <c r="AO259" s="408">
        <v>4779.2215155415124</v>
      </c>
      <c r="AP259" s="408">
        <v>22284.804862930341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0</v>
      </c>
      <c r="BF259" s="408">
        <v>0</v>
      </c>
      <c r="BG259" s="408">
        <v>7863.4520640414312</v>
      </c>
      <c r="BH259" s="408">
        <v>0</v>
      </c>
      <c r="BI259" s="408">
        <v>47.02</v>
      </c>
      <c r="BJ259" s="408">
        <v>4053.52</v>
      </c>
      <c r="BK259" s="408">
        <v>168896.61</v>
      </c>
      <c r="BL259" s="408">
        <v>60</v>
      </c>
      <c r="BM259" s="408"/>
      <c r="BN259" s="408"/>
      <c r="BO259" s="408"/>
      <c r="BP259" s="408"/>
      <c r="BQ259" s="408"/>
      <c r="BR259" s="408"/>
      <c r="BS259" s="408"/>
      <c r="BT259" s="408"/>
      <c r="BU259" s="408"/>
      <c r="BV259" s="408">
        <v>157695.14291647091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444391.93359999999</v>
      </c>
      <c r="CJ259" s="408">
        <v>-26370.685400000075</v>
      </c>
      <c r="CK259" s="408"/>
      <c r="CL259" s="408"/>
      <c r="CM259" s="408"/>
      <c r="CN259" s="408"/>
      <c r="CO259" s="408">
        <v>-45355.438999999977</v>
      </c>
      <c r="CP259" s="408">
        <v>18983.394249999987</v>
      </c>
      <c r="CQ259" s="408">
        <v>31</v>
      </c>
      <c r="CR259" s="408">
        <v>23550.522785984562</v>
      </c>
      <c r="CS259" s="408">
        <v>476.23920871193513</v>
      </c>
      <c r="CT259" s="408">
        <v>2220.6331720992021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2989.7626635309039</v>
      </c>
      <c r="DA259" s="408">
        <v>0</v>
      </c>
      <c r="DB259" s="408">
        <v>0</v>
      </c>
      <c r="DC259" s="408">
        <v>18988.446839958313</v>
      </c>
      <c r="DD259" s="408">
        <v>0</v>
      </c>
      <c r="DE259" s="408">
        <v>0</v>
      </c>
      <c r="DF259" s="408">
        <v>0</v>
      </c>
      <c r="DG259" s="408">
        <v>996.54979962598463</v>
      </c>
      <c r="DH259" s="408">
        <v>0</v>
      </c>
      <c r="DI259" s="408">
        <v>-1838.2607677819833</v>
      </c>
      <c r="DJ259" s="408"/>
      <c r="DK259" s="408">
        <v>0</v>
      </c>
      <c r="DL259" s="408">
        <v>0</v>
      </c>
      <c r="DM259" s="408">
        <v>0</v>
      </c>
      <c r="DN259" s="408">
        <v>0</v>
      </c>
      <c r="DO259" s="408">
        <v>-252.79040193502351</v>
      </c>
      <c r="DP259" s="408">
        <v>-30.057728224761831</v>
      </c>
      <c r="DQ259" s="408">
        <v>0</v>
      </c>
      <c r="DR259" s="408">
        <v>0</v>
      </c>
      <c r="DS259" s="408"/>
      <c r="DT259" s="408"/>
      <c r="DU259" s="408"/>
      <c r="DV259" s="408">
        <v>200893.51068973503</v>
      </c>
      <c r="DW259" s="408">
        <v>0</v>
      </c>
      <c r="DX259" s="408">
        <v>0</v>
      </c>
      <c r="DY259" s="408">
        <v>-45355.438999999955</v>
      </c>
      <c r="DZ259" s="408">
        <v>18983.394249999983</v>
      </c>
      <c r="EA259" s="408">
        <v>0</v>
      </c>
      <c r="EB259" s="408">
        <v>0</v>
      </c>
      <c r="EC259" s="408">
        <v>-49905.355724789377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13825.169701246406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240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258</v>
      </c>
      <c r="B260" s="408" t="s">
        <v>1036</v>
      </c>
      <c r="C260" s="408" t="s">
        <v>2235</v>
      </c>
      <c r="D260" s="408" t="s">
        <v>1958</v>
      </c>
      <c r="E260" s="408" t="s">
        <v>1001</v>
      </c>
      <c r="F260" s="408" t="s">
        <v>2251</v>
      </c>
      <c r="G260" s="408" t="s">
        <v>1322</v>
      </c>
      <c r="H260" s="408" t="s">
        <v>1322</v>
      </c>
      <c r="I260" s="408" t="s">
        <v>1322</v>
      </c>
      <c r="J260" s="408" t="s">
        <v>2236</v>
      </c>
      <c r="K260" s="826">
        <v>44470</v>
      </c>
      <c r="L260" s="408">
        <v>0</v>
      </c>
      <c r="M260" s="408">
        <v>0</v>
      </c>
      <c r="N260" s="408">
        <v>591.08500000000004</v>
      </c>
      <c r="O260" s="408">
        <v>555.61990000000003</v>
      </c>
      <c r="P260" s="408">
        <v>591.08500000000004</v>
      </c>
      <c r="Q260" s="408">
        <v>555.61990000000003</v>
      </c>
      <c r="R260" s="408"/>
      <c r="S260" s="408">
        <v>368.24</v>
      </c>
      <c r="T260" s="408">
        <v>173.25</v>
      </c>
      <c r="U260" s="408"/>
      <c r="V260" s="408">
        <v>320066.61665000004</v>
      </c>
      <c r="W260" s="408">
        <v>320066.61665000004</v>
      </c>
      <c r="X260" s="408">
        <v>300797.24565000006</v>
      </c>
      <c r="Y260" s="408">
        <v>0</v>
      </c>
      <c r="Z260" s="408">
        <v>36378.434611399854</v>
      </c>
      <c r="AA260" s="408">
        <v>0</v>
      </c>
      <c r="AB260" s="408">
        <v>0</v>
      </c>
      <c r="AC260" s="408">
        <v>1512.9041433205796</v>
      </c>
      <c r="AD260" s="408">
        <v>1453.5616310679607</v>
      </c>
      <c r="AE260" s="408">
        <v>139222.45017807983</v>
      </c>
      <c r="AF260" s="408">
        <v>100685.69705591974</v>
      </c>
      <c r="AG260" s="408">
        <v>1718.4221313999749</v>
      </c>
      <c r="AH260" s="408">
        <v>0</v>
      </c>
      <c r="AI260" s="408">
        <v>0</v>
      </c>
      <c r="AJ260" s="408">
        <v>0</v>
      </c>
      <c r="AK260" s="408">
        <v>0</v>
      </c>
      <c r="AL260" s="408">
        <v>5620.6451614728903</v>
      </c>
      <c r="AM260" s="408"/>
      <c r="AN260" s="408">
        <v>713.9459860090883</v>
      </c>
      <c r="AO260" s="408">
        <v>3211.5986073392373</v>
      </c>
      <c r="AP260" s="408">
        <v>14975.210508631213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</v>
      </c>
      <c r="BF260" s="408">
        <v>0</v>
      </c>
      <c r="BG260" s="408">
        <v>5284.1768509013928</v>
      </c>
      <c r="BH260" s="408">
        <v>0</v>
      </c>
      <c r="BI260" s="408">
        <v>24.91</v>
      </c>
      <c r="BJ260" s="408">
        <v>2213.41</v>
      </c>
      <c r="BK260" s="408">
        <v>165889.20000000001</v>
      </c>
      <c r="BL260" s="408">
        <v>198</v>
      </c>
      <c r="BM260" s="408"/>
      <c r="BN260" s="408"/>
      <c r="BO260" s="408"/>
      <c r="BP260" s="408"/>
      <c r="BQ260" s="408">
        <v>18047.834739000005</v>
      </c>
      <c r="BR260" s="408"/>
      <c r="BS260" s="408"/>
      <c r="BT260" s="408"/>
      <c r="BU260" s="408"/>
      <c r="BV260" s="408">
        <v>105969.87390682113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282749.46180000005</v>
      </c>
      <c r="CJ260" s="408">
        <v>-18113.187850999995</v>
      </c>
      <c r="CK260" s="408"/>
      <c r="CL260" s="408"/>
      <c r="CM260" s="408"/>
      <c r="CN260" s="408"/>
      <c r="CO260" s="408">
        <v>-32030.89615</v>
      </c>
      <c r="CP260" s="408">
        <v>12761.525150000003</v>
      </c>
      <c r="CQ260" s="408">
        <v>31</v>
      </c>
      <c r="CR260" s="408">
        <v>15313.353102824913</v>
      </c>
      <c r="CS260" s="408">
        <v>320.02893661359667</v>
      </c>
      <c r="CT260" s="408">
        <v>1492.2477185318548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1496.6868611835916</v>
      </c>
      <c r="DA260" s="408">
        <v>0</v>
      </c>
      <c r="DB260" s="408">
        <v>0</v>
      </c>
      <c r="DC260" s="408">
        <v>12760.084300013012</v>
      </c>
      <c r="DD260" s="408">
        <v>0</v>
      </c>
      <c r="DE260" s="408">
        <v>0</v>
      </c>
      <c r="DF260" s="408">
        <v>0</v>
      </c>
      <c r="DG260" s="408">
        <v>669.67348933615631</v>
      </c>
      <c r="DH260" s="408">
        <v>0</v>
      </c>
      <c r="DI260" s="408">
        <v>-1235.2965231967391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-169.87312686034238</v>
      </c>
      <c r="DP260" s="408">
        <v>-20.198552796206059</v>
      </c>
      <c r="DQ260" s="408">
        <v>0</v>
      </c>
      <c r="DR260" s="408">
        <v>0</v>
      </c>
      <c r="DS260" s="408"/>
      <c r="DT260" s="408"/>
      <c r="DU260" s="408"/>
      <c r="DV260" s="408">
        <v>139222.45017807983</v>
      </c>
      <c r="DW260" s="408">
        <v>0</v>
      </c>
      <c r="DX260" s="408">
        <v>0</v>
      </c>
      <c r="DY260" s="408">
        <v>-32030.896150000015</v>
      </c>
      <c r="DZ260" s="408">
        <v>12761.525150000001</v>
      </c>
      <c r="EA260" s="408">
        <v>0</v>
      </c>
      <c r="EB260" s="408">
        <v>0</v>
      </c>
      <c r="EC260" s="408">
        <v>-34585.218194252593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9290.4033877410002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240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259</v>
      </c>
      <c r="B261" s="408" t="s">
        <v>1036</v>
      </c>
      <c r="C261" s="408" t="s">
        <v>2247</v>
      </c>
      <c r="D261" s="408" t="s">
        <v>597</v>
      </c>
      <c r="E261" s="408" t="s">
        <v>1001</v>
      </c>
      <c r="F261" s="408" t="s">
        <v>2251</v>
      </c>
      <c r="G261" s="408" t="s">
        <v>1322</v>
      </c>
      <c r="H261" s="408" t="s">
        <v>1322</v>
      </c>
      <c r="I261" s="408" t="s">
        <v>973</v>
      </c>
      <c r="J261" s="408" t="s">
        <v>2236</v>
      </c>
      <c r="K261" s="826">
        <v>44470</v>
      </c>
      <c r="L261" s="408">
        <v>65</v>
      </c>
      <c r="M261" s="408">
        <v>61.1</v>
      </c>
      <c r="N261" s="408">
        <v>2.9009999999999998</v>
      </c>
      <c r="O261" s="408">
        <v>2.7269399999999999</v>
      </c>
      <c r="P261" s="408">
        <v>2.9009999999999998</v>
      </c>
      <c r="Q261" s="408">
        <v>2.7269399999999999</v>
      </c>
      <c r="R261" s="408">
        <v>52.95</v>
      </c>
      <c r="S261" s="408">
        <v>85.01</v>
      </c>
      <c r="T261" s="408">
        <v>173.25</v>
      </c>
      <c r="U261" s="408">
        <v>3441.75</v>
      </c>
      <c r="V261" s="408">
        <v>749.21226000000001</v>
      </c>
      <c r="W261" s="408">
        <v>4190.9622600000002</v>
      </c>
      <c r="X261" s="408">
        <v>3684.6716699999997</v>
      </c>
      <c r="Y261" s="408">
        <v>0</v>
      </c>
      <c r="Z261" s="408">
        <v>155.33204152139481</v>
      </c>
      <c r="AA261" s="408">
        <v>0</v>
      </c>
      <c r="AB261" s="408">
        <v>0</v>
      </c>
      <c r="AC261" s="408">
        <v>51.198306474712865</v>
      </c>
      <c r="AD261" s="408">
        <v>49.188863943031343</v>
      </c>
      <c r="AE261" s="408">
        <v>2725.6914092779475</v>
      </c>
      <c r="AF261" s="408">
        <v>494.15770516799296</v>
      </c>
      <c r="AG261" s="408">
        <v>8.433884472100166</v>
      </c>
      <c r="AH261" s="408">
        <v>0</v>
      </c>
      <c r="AI261" s="408">
        <v>0</v>
      </c>
      <c r="AJ261" s="408">
        <v>0</v>
      </c>
      <c r="AK261" s="408">
        <v>0</v>
      </c>
      <c r="AL261" s="408">
        <v>27.585696834521013</v>
      </c>
      <c r="AM261" s="408"/>
      <c r="AN261" s="408">
        <v>2.3231609130992381</v>
      </c>
      <c r="AO261" s="408">
        <v>108.68330737188015</v>
      </c>
      <c r="AP261" s="408">
        <v>506.76761947441048</v>
      </c>
      <c r="AQ261" s="408">
        <v>0</v>
      </c>
      <c r="AR261" s="408">
        <v>0</v>
      </c>
      <c r="AS261" s="408">
        <v>0</v>
      </c>
      <c r="AT261" s="408">
        <v>0</v>
      </c>
      <c r="AU261" s="408">
        <v>0</v>
      </c>
      <c r="AV261" s="408">
        <v>0</v>
      </c>
      <c r="AW261" s="408">
        <v>0</v>
      </c>
      <c r="AX261" s="408">
        <v>0</v>
      </c>
      <c r="AY261" s="408">
        <v>0</v>
      </c>
      <c r="AZ261" s="408">
        <v>0</v>
      </c>
      <c r="BA261" s="408"/>
      <c r="BB261" s="408">
        <v>0</v>
      </c>
      <c r="BC261" s="408">
        <v>0</v>
      </c>
      <c r="BD261" s="408">
        <v>0</v>
      </c>
      <c r="BE261" s="408">
        <v>0</v>
      </c>
      <c r="BF261" s="408">
        <v>0</v>
      </c>
      <c r="BG261" s="408">
        <v>21.695582747297852</v>
      </c>
      <c r="BH261" s="408">
        <v>0</v>
      </c>
      <c r="BI261" s="408">
        <v>0</v>
      </c>
      <c r="BJ261" s="408">
        <v>0</v>
      </c>
      <c r="BK261" s="408">
        <v>0</v>
      </c>
      <c r="BL261" s="408">
        <v>0</v>
      </c>
      <c r="BM261" s="408"/>
      <c r="BN261" s="408"/>
      <c r="BO261" s="408"/>
      <c r="BP261" s="408"/>
      <c r="BQ261" s="408">
        <v>221.0803001999999</v>
      </c>
      <c r="BR261" s="408"/>
      <c r="BS261" s="408"/>
      <c r="BT261" s="408"/>
      <c r="BU261" s="408"/>
      <c r="BV261" s="408">
        <v>515.85328791529082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3464.4441000000002</v>
      </c>
      <c r="CJ261" s="408">
        <v>-475.09042440000076</v>
      </c>
      <c r="CK261" s="408"/>
      <c r="CL261" s="408"/>
      <c r="CM261" s="408"/>
      <c r="CN261" s="408"/>
      <c r="CO261" s="408">
        <v>-568.92318000000023</v>
      </c>
      <c r="CP261" s="408">
        <v>62.632590000000008</v>
      </c>
      <c r="CQ261" s="408">
        <v>31</v>
      </c>
      <c r="CR261" s="408">
        <v>171.17760635520517</v>
      </c>
      <c r="CS261" s="408">
        <v>10.830059275274195</v>
      </c>
      <c r="CT261" s="408">
        <v>50.498310093914142</v>
      </c>
      <c r="CU261" s="408">
        <v>0</v>
      </c>
      <c r="CV261" s="408">
        <v>0</v>
      </c>
      <c r="CW261" s="408">
        <v>0</v>
      </c>
      <c r="CX261" s="408">
        <v>0</v>
      </c>
      <c r="CY261" s="408">
        <v>0</v>
      </c>
      <c r="CZ261" s="408">
        <v>50.648231768467902</v>
      </c>
      <c r="DA261" s="408">
        <v>0</v>
      </c>
      <c r="DB261" s="408">
        <v>0</v>
      </c>
      <c r="DC261" s="408">
        <v>62.625518418396268</v>
      </c>
      <c r="DD261" s="408">
        <v>0</v>
      </c>
      <c r="DE261" s="408">
        <v>0</v>
      </c>
      <c r="DF261" s="408">
        <v>0</v>
      </c>
      <c r="DG261" s="408">
        <v>2.7495212615916387</v>
      </c>
      <c r="DH261" s="408">
        <v>0</v>
      </c>
      <c r="DI261" s="408">
        <v>-5.2745845961248676</v>
      </c>
      <c r="DJ261" s="408"/>
      <c r="DK261" s="408">
        <v>0</v>
      </c>
      <c r="DL261" s="408">
        <v>0</v>
      </c>
      <c r="DM261" s="408">
        <v>0</v>
      </c>
      <c r="DN261" s="408">
        <v>0</v>
      </c>
      <c r="DO261" s="408">
        <v>-0.8337243222579751</v>
      </c>
      <c r="DP261" s="408">
        <v>-6.5725544056384422E-2</v>
      </c>
      <c r="DQ261" s="408">
        <v>0</v>
      </c>
      <c r="DR261" s="408">
        <v>0</v>
      </c>
      <c r="DS261" s="408"/>
      <c r="DT261" s="408"/>
      <c r="DU261" s="408">
        <v>2725.6914092779475</v>
      </c>
      <c r="DV261" s="408">
        <v>0</v>
      </c>
      <c r="DW261" s="408">
        <v>0</v>
      </c>
      <c r="DX261" s="408">
        <v>0</v>
      </c>
      <c r="DY261" s="408">
        <v>-568.92318000000023</v>
      </c>
      <c r="DZ261" s="408">
        <v>62.632589999999993</v>
      </c>
      <c r="EA261" s="408">
        <v>0</v>
      </c>
      <c r="EB261" s="408">
        <v>0</v>
      </c>
      <c r="EC261" s="408">
        <v>-677.10798078540483</v>
      </c>
      <c r="ED261" s="408">
        <v>0</v>
      </c>
      <c r="EE261" s="408">
        <v>0</v>
      </c>
      <c r="EF261" s="408">
        <v>0</v>
      </c>
      <c r="EG261" s="408">
        <v>0</v>
      </c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>
        <v>0</v>
      </c>
      <c r="EN261" s="408">
        <v>0</v>
      </c>
      <c r="EO261" s="408">
        <v>0</v>
      </c>
      <c r="EP261" s="408">
        <v>39.669033046377308</v>
      </c>
      <c r="EQ261" s="408">
        <v>0</v>
      </c>
      <c r="ER261" s="408">
        <v>0</v>
      </c>
      <c r="ES261" s="408">
        <v>0</v>
      </c>
      <c r="ET261" s="408">
        <v>0</v>
      </c>
      <c r="EU261" s="408">
        <v>0</v>
      </c>
      <c r="EV261" s="408">
        <v>240</v>
      </c>
      <c r="EW261" s="408">
        <v>0</v>
      </c>
      <c r="EX261" s="408">
        <v>0</v>
      </c>
      <c r="EY261" s="408">
        <v>0</v>
      </c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260</v>
      </c>
      <c r="B262" s="408" t="s">
        <v>1036</v>
      </c>
      <c r="C262" s="408" t="s">
        <v>2247</v>
      </c>
      <c r="D262" s="408" t="s">
        <v>597</v>
      </c>
      <c r="E262" s="408" t="s">
        <v>1001</v>
      </c>
      <c r="F262" s="408" t="s">
        <v>2251</v>
      </c>
      <c r="G262" s="408" t="s">
        <v>1322</v>
      </c>
      <c r="H262" s="408" t="s">
        <v>1322</v>
      </c>
      <c r="I262" s="408" t="s">
        <v>2244</v>
      </c>
      <c r="J262" s="408" t="s">
        <v>2236</v>
      </c>
      <c r="K262" s="826">
        <v>44470</v>
      </c>
      <c r="L262" s="408">
        <v>65</v>
      </c>
      <c r="M262" s="408">
        <v>61.1</v>
      </c>
      <c r="N262" s="408">
        <v>22.882000000000001</v>
      </c>
      <c r="O262" s="408">
        <v>21.509080000000001</v>
      </c>
      <c r="P262" s="408">
        <v>22.882000000000001</v>
      </c>
      <c r="Q262" s="408">
        <v>21.509080000000001</v>
      </c>
      <c r="R262" s="408">
        <v>27.19</v>
      </c>
      <c r="S262" s="408">
        <v>85.01</v>
      </c>
      <c r="T262" s="408">
        <v>173.25</v>
      </c>
      <c r="U262" s="408">
        <v>1767.3500000000001</v>
      </c>
      <c r="V262" s="408">
        <v>5909.5053200000002</v>
      </c>
      <c r="W262" s="408">
        <v>7676.8553200000006</v>
      </c>
      <c r="X262" s="408">
        <v>7790.9269400000003</v>
      </c>
      <c r="Y262" s="408">
        <v>0</v>
      </c>
      <c r="Z262" s="408">
        <v>1225.2008873121533</v>
      </c>
      <c r="AA262" s="408">
        <v>0</v>
      </c>
      <c r="AB262" s="408">
        <v>0</v>
      </c>
      <c r="AC262" s="408">
        <v>15.158039872791662</v>
      </c>
      <c r="AD262" s="408">
        <v>14.56226455907756</v>
      </c>
      <c r="AE262" s="408">
        <v>1555.5819658053674</v>
      </c>
      <c r="AF262" s="408">
        <v>3897.7306479331323</v>
      </c>
      <c r="AG262" s="408">
        <v>66.523317645844898</v>
      </c>
      <c r="AH262" s="408">
        <v>0</v>
      </c>
      <c r="AI262" s="408">
        <v>0</v>
      </c>
      <c r="AJ262" s="408">
        <v>0</v>
      </c>
      <c r="AK262" s="408">
        <v>0</v>
      </c>
      <c r="AL262" s="408">
        <v>217.58563080576005</v>
      </c>
      <c r="AM262" s="408"/>
      <c r="AN262" s="408">
        <v>18.324221997082649</v>
      </c>
      <c r="AO262" s="408">
        <v>32.167514020880162</v>
      </c>
      <c r="AP262" s="408">
        <v>150.02577479574686</v>
      </c>
      <c r="AQ262" s="408">
        <v>0</v>
      </c>
      <c r="AR262" s="408">
        <v>0</v>
      </c>
      <c r="AS262" s="408">
        <v>0</v>
      </c>
      <c r="AT262" s="408">
        <v>0</v>
      </c>
      <c r="AU262" s="408">
        <v>0</v>
      </c>
      <c r="AV262" s="408">
        <v>0</v>
      </c>
      <c r="AW262" s="408">
        <v>0</v>
      </c>
      <c r="AX262" s="408">
        <v>0</v>
      </c>
      <c r="AY262" s="408">
        <v>0</v>
      </c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0</v>
      </c>
      <c r="BF262" s="408">
        <v>0</v>
      </c>
      <c r="BG262" s="408">
        <v>171.12661993232317</v>
      </c>
      <c r="BH262" s="408">
        <v>0</v>
      </c>
      <c r="BI262" s="408">
        <v>0</v>
      </c>
      <c r="BJ262" s="408">
        <v>0</v>
      </c>
      <c r="BK262" s="408">
        <v>0</v>
      </c>
      <c r="BL262" s="408">
        <v>0</v>
      </c>
      <c r="BM262" s="408"/>
      <c r="BN262" s="408"/>
      <c r="BO262" s="408"/>
      <c r="BP262" s="408"/>
      <c r="BQ262" s="408">
        <v>467.45561640000017</v>
      </c>
      <c r="BR262" s="408"/>
      <c r="BS262" s="408"/>
      <c r="BT262" s="408"/>
      <c r="BU262" s="408"/>
      <c r="BV262" s="408">
        <v>4068.8572678654555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7323.7277000000013</v>
      </c>
      <c r="CJ262" s="408">
        <v>107.4536992000003</v>
      </c>
      <c r="CK262" s="408"/>
      <c r="CL262" s="408"/>
      <c r="CM262" s="408"/>
      <c r="CN262" s="408"/>
      <c r="CO262" s="408">
        <v>-379.95076000000017</v>
      </c>
      <c r="CP262" s="408">
        <v>494.02238000000011</v>
      </c>
      <c r="CQ262" s="408">
        <v>31</v>
      </c>
      <c r="CR262" s="408">
        <v>500.10480550918874</v>
      </c>
      <c r="CS262" s="408">
        <v>3.2054240159650789</v>
      </c>
      <c r="CT262" s="408">
        <v>14.94974778691028</v>
      </c>
      <c r="CU262" s="408">
        <v>0</v>
      </c>
      <c r="CV262" s="408">
        <v>0</v>
      </c>
      <c r="CW262" s="408">
        <v>0</v>
      </c>
      <c r="CX262" s="408">
        <v>0</v>
      </c>
      <c r="CY262" s="408">
        <v>0</v>
      </c>
      <c r="CZ262" s="408">
        <v>14.994307478133946</v>
      </c>
      <c r="DA262" s="408">
        <v>0</v>
      </c>
      <c r="DB262" s="408">
        <v>0</v>
      </c>
      <c r="DC262" s="408">
        <v>493.96660201645727</v>
      </c>
      <c r="DD262" s="408">
        <v>0</v>
      </c>
      <c r="DE262" s="408">
        <v>0</v>
      </c>
      <c r="DF262" s="408">
        <v>0</v>
      </c>
      <c r="DG262" s="408">
        <v>21.687192522488772</v>
      </c>
      <c r="DH262" s="408">
        <v>0</v>
      </c>
      <c r="DI262" s="408">
        <v>-41.60394509773505</v>
      </c>
      <c r="DJ262" s="408"/>
      <c r="DK262" s="408">
        <v>0</v>
      </c>
      <c r="DL262" s="408">
        <v>0</v>
      </c>
      <c r="DM262" s="408">
        <v>0</v>
      </c>
      <c r="DN262" s="408">
        <v>0</v>
      </c>
      <c r="DO262" s="408">
        <v>-6.5761047714260599</v>
      </c>
      <c r="DP262" s="408">
        <v>-0.51841844160571426</v>
      </c>
      <c r="DQ262" s="408">
        <v>0</v>
      </c>
      <c r="DR262" s="408">
        <v>0</v>
      </c>
      <c r="DS262" s="408"/>
      <c r="DT262" s="408"/>
      <c r="DU262" s="408">
        <v>1555.5819658053674</v>
      </c>
      <c r="DV262" s="408">
        <v>0</v>
      </c>
      <c r="DW262" s="408">
        <v>0</v>
      </c>
      <c r="DX262" s="408">
        <v>0</v>
      </c>
      <c r="DY262" s="408">
        <v>-379.95076000000017</v>
      </c>
      <c r="DZ262" s="408">
        <v>494.02237999999988</v>
      </c>
      <c r="EA262" s="408">
        <v>0</v>
      </c>
      <c r="EB262" s="408">
        <v>0</v>
      </c>
      <c r="EC262" s="408">
        <v>-386.43294696800945</v>
      </c>
      <c r="ED262" s="408">
        <v>0</v>
      </c>
      <c r="EE262" s="408">
        <v>0</v>
      </c>
      <c r="EF262" s="408">
        <v>0</v>
      </c>
      <c r="EG262" s="408">
        <v>0</v>
      </c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>
        <v>0</v>
      </c>
      <c r="EN262" s="408">
        <v>0</v>
      </c>
      <c r="EO262" s="408">
        <v>0</v>
      </c>
      <c r="EP262" s="408">
        <v>312.89445507314912</v>
      </c>
      <c r="EQ262" s="408">
        <v>0</v>
      </c>
      <c r="ER262" s="408">
        <v>0</v>
      </c>
      <c r="ES262" s="408">
        <v>0</v>
      </c>
      <c r="ET262" s="408">
        <v>0</v>
      </c>
      <c r="EU262" s="408">
        <v>0</v>
      </c>
      <c r="EV262" s="408">
        <v>240</v>
      </c>
      <c r="EW262" s="408">
        <v>0</v>
      </c>
      <c r="EX262" s="408">
        <v>0</v>
      </c>
      <c r="EY262" s="408">
        <v>0</v>
      </c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261</v>
      </c>
      <c r="B263" s="408" t="s">
        <v>1036</v>
      </c>
      <c r="C263" s="408" t="s">
        <v>2247</v>
      </c>
      <c r="D263" s="408" t="s">
        <v>597</v>
      </c>
      <c r="E263" s="408" t="s">
        <v>1001</v>
      </c>
      <c r="F263" s="408" t="s">
        <v>2251</v>
      </c>
      <c r="G263" s="408" t="s">
        <v>1322</v>
      </c>
      <c r="H263" s="408" t="s">
        <v>1322</v>
      </c>
      <c r="I263" s="408" t="s">
        <v>1322</v>
      </c>
      <c r="J263" s="408" t="s">
        <v>2236</v>
      </c>
      <c r="K263" s="826">
        <v>44470</v>
      </c>
      <c r="L263" s="408">
        <v>0</v>
      </c>
      <c r="M263" s="408">
        <v>0</v>
      </c>
      <c r="N263" s="408">
        <v>0</v>
      </c>
      <c r="O263" s="408">
        <v>0</v>
      </c>
      <c r="P263" s="408">
        <v>0</v>
      </c>
      <c r="Q263" s="408">
        <v>0</v>
      </c>
      <c r="R263" s="408"/>
      <c r="S263" s="408"/>
      <c r="T263" s="408"/>
      <c r="U263" s="408"/>
      <c r="V263" s="408"/>
      <c r="W263" s="408"/>
      <c r="X263" s="408"/>
      <c r="Y263" s="408"/>
      <c r="Z263" s="408"/>
      <c r="AA263" s="408">
        <v>0</v>
      </c>
      <c r="AB263" s="408"/>
      <c r="AC263" s="408"/>
      <c r="AD263" s="408"/>
      <c r="AE263" s="408"/>
      <c r="AF263" s="408"/>
      <c r="AG263" s="408"/>
      <c r="AH263" s="408"/>
      <c r="AI263" s="408"/>
      <c r="AJ263" s="408"/>
      <c r="AK263" s="408"/>
      <c r="AL263" s="408"/>
      <c r="AM263" s="408"/>
      <c r="AN263" s="408"/>
      <c r="AO263" s="408"/>
      <c r="AP263" s="408"/>
      <c r="AQ263" s="408"/>
      <c r="AR263" s="408"/>
      <c r="AS263" s="408"/>
      <c r="AT263" s="408"/>
      <c r="AU263" s="408"/>
      <c r="AV263" s="408"/>
      <c r="AW263" s="408"/>
      <c r="AX263" s="408"/>
      <c r="AY263" s="408"/>
      <c r="AZ263" s="408">
        <v>0</v>
      </c>
      <c r="BA263" s="408"/>
      <c r="BB263" s="408"/>
      <c r="BC263" s="408"/>
      <c r="BD263" s="408"/>
      <c r="BE263" s="408"/>
      <c r="BF263" s="408"/>
      <c r="BG263" s="408"/>
      <c r="BH263" s="408"/>
      <c r="BI263" s="408">
        <v>1.02</v>
      </c>
      <c r="BJ263" s="408">
        <v>87.21</v>
      </c>
      <c r="BK263" s="408">
        <v>6251.55</v>
      </c>
      <c r="BL263" s="408">
        <v>1</v>
      </c>
      <c r="BM263" s="408"/>
      <c r="BN263" s="408"/>
      <c r="BO263" s="408"/>
      <c r="BP263" s="408"/>
      <c r="BQ263" s="408"/>
      <c r="BR263" s="408"/>
      <c r="BS263" s="408"/>
      <c r="BT263" s="408"/>
      <c r="BU263" s="408"/>
      <c r="BV263" s="408"/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/>
      <c r="CJ263" s="408">
        <v>-0.03</v>
      </c>
      <c r="CK263" s="408"/>
      <c r="CL263" s="408"/>
      <c r="CM263" s="408"/>
      <c r="CN263" s="408"/>
      <c r="CO263" s="408">
        <v>0</v>
      </c>
      <c r="CP263" s="408">
        <v>0</v>
      </c>
      <c r="CQ263" s="408">
        <v>31</v>
      </c>
      <c r="CR263" s="408"/>
      <c r="CS263" s="408"/>
      <c r="CT263" s="408"/>
      <c r="CU263" s="408"/>
      <c r="CV263" s="408"/>
      <c r="CW263" s="408"/>
      <c r="CX263" s="408"/>
      <c r="CY263" s="408"/>
      <c r="CZ263" s="408"/>
      <c r="DA263" s="408"/>
      <c r="DB263" s="408"/>
      <c r="DC263" s="408"/>
      <c r="DD263" s="408"/>
      <c r="DE263" s="408"/>
      <c r="DF263" s="408"/>
      <c r="DG263" s="408"/>
      <c r="DH263" s="408"/>
      <c r="DI263" s="408"/>
      <c r="DJ263" s="408"/>
      <c r="DK263" s="408">
        <v>0</v>
      </c>
      <c r="DL263" s="408"/>
      <c r="DM263" s="408"/>
      <c r="DN263" s="408"/>
      <c r="DO263" s="408"/>
      <c r="DP263" s="408"/>
      <c r="DQ263" s="408"/>
      <c r="DR263" s="408"/>
      <c r="DS263" s="408"/>
      <c r="DT263" s="408"/>
      <c r="DU263" s="408"/>
      <c r="DV263" s="408"/>
      <c r="DW263" s="408"/>
      <c r="DX263" s="408"/>
      <c r="DY263" s="408"/>
      <c r="DZ263" s="408"/>
      <c r="EA263" s="408"/>
      <c r="EB263" s="408"/>
      <c r="EC263" s="408"/>
      <c r="ED263" s="408"/>
      <c r="EE263" s="408"/>
      <c r="EF263" s="408"/>
      <c r="EG263" s="408"/>
      <c r="EH263" s="408"/>
      <c r="EI263" s="408"/>
      <c r="EJ263" s="408"/>
      <c r="EK263" s="408"/>
      <c r="EL263" s="408"/>
      <c r="EM263" s="408"/>
      <c r="EN263" s="408"/>
      <c r="EO263" s="408"/>
      <c r="EP263" s="408"/>
      <c r="EQ263" s="408"/>
      <c r="ER263" s="408"/>
      <c r="ES263" s="408"/>
      <c r="ET263" s="408"/>
      <c r="EU263" s="408"/>
      <c r="EV263" s="408">
        <v>240</v>
      </c>
      <c r="EW263" s="408"/>
      <c r="EX263" s="408"/>
      <c r="EY263" s="408"/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262</v>
      </c>
      <c r="B264" s="408" t="s">
        <v>1036</v>
      </c>
      <c r="C264" s="408" t="s">
        <v>2235</v>
      </c>
      <c r="D264" s="408" t="s">
        <v>1958</v>
      </c>
      <c r="E264" s="408" t="s">
        <v>2252</v>
      </c>
      <c r="F264" s="408" t="s">
        <v>1322</v>
      </c>
      <c r="G264" s="408" t="s">
        <v>1322</v>
      </c>
      <c r="H264" s="408" t="s">
        <v>1322</v>
      </c>
      <c r="I264" s="408" t="s">
        <v>1322</v>
      </c>
      <c r="J264" s="408" t="s">
        <v>2236</v>
      </c>
      <c r="K264" s="826">
        <v>44470</v>
      </c>
      <c r="L264" s="408">
        <v>0</v>
      </c>
      <c r="M264" s="408">
        <v>0</v>
      </c>
      <c r="N264" s="408">
        <v>7.7859999999999996</v>
      </c>
      <c r="O264" s="408">
        <v>7.7859999999999996</v>
      </c>
      <c r="P264" s="408">
        <v>7.7859999999999996</v>
      </c>
      <c r="Q264" s="408">
        <v>7.7859999999999996</v>
      </c>
      <c r="R264" s="408"/>
      <c r="S264" s="408">
        <v>368.24</v>
      </c>
      <c r="T264" s="408">
        <v>173.25</v>
      </c>
      <c r="U264" s="408"/>
      <c r="V264" s="408">
        <v>4216.0411399999994</v>
      </c>
      <c r="W264" s="408">
        <v>4216.0411399999994</v>
      </c>
      <c r="X264" s="408">
        <v>3962.2175399999996</v>
      </c>
      <c r="Y264" s="408">
        <v>0</v>
      </c>
      <c r="Z264" s="408">
        <v>479.19079639029792</v>
      </c>
      <c r="AA264" s="408">
        <v>0</v>
      </c>
      <c r="AB264" s="408">
        <v>0</v>
      </c>
      <c r="AC264" s="408">
        <v>19.928557922962064</v>
      </c>
      <c r="AD264" s="408">
        <v>19.146875423154267</v>
      </c>
      <c r="AE264" s="408">
        <v>1833.8919057098883</v>
      </c>
      <c r="AF264" s="408">
        <v>1326.2709039772469</v>
      </c>
      <c r="AG264" s="408">
        <v>22.635720268794174</v>
      </c>
      <c r="AH264" s="408">
        <v>0</v>
      </c>
      <c r="AI264" s="408">
        <v>0</v>
      </c>
      <c r="AJ264" s="408">
        <v>0</v>
      </c>
      <c r="AK264" s="408">
        <v>0</v>
      </c>
      <c r="AL264" s="408">
        <v>74.037309739255633</v>
      </c>
      <c r="AM264" s="408"/>
      <c r="AN264" s="408">
        <v>9.4043723780281372</v>
      </c>
      <c r="AO264" s="408">
        <v>42.304417734747624</v>
      </c>
      <c r="AP264" s="408">
        <v>197.25925885482226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>
        <v>0</v>
      </c>
      <c r="BG264" s="408">
        <v>69.605219149730146</v>
      </c>
      <c r="BH264" s="408">
        <v>0</v>
      </c>
      <c r="BI264" s="408">
        <v>0.32</v>
      </c>
      <c r="BJ264" s="408">
        <v>30.6</v>
      </c>
      <c r="BK264" s="408">
        <v>2185.11</v>
      </c>
      <c r="BL264" s="408">
        <v>5</v>
      </c>
      <c r="BM264" s="408"/>
      <c r="BN264" s="408"/>
      <c r="BO264" s="408"/>
      <c r="BP264" s="408"/>
      <c r="BQ264" s="408"/>
      <c r="BR264" s="408"/>
      <c r="BS264" s="408"/>
      <c r="BT264" s="408"/>
      <c r="BU264" s="408"/>
      <c r="BV264" s="408">
        <v>1395.8761231269771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3964.2530999999999</v>
      </c>
      <c r="CJ264" s="408">
        <v>-251.81804000000011</v>
      </c>
      <c r="CK264" s="408"/>
      <c r="CL264" s="408"/>
      <c r="CM264" s="408"/>
      <c r="CN264" s="408"/>
      <c r="CO264" s="408">
        <v>-421.92333999999994</v>
      </c>
      <c r="CP264" s="408">
        <v>168.09974000000003</v>
      </c>
      <c r="CQ264" s="408">
        <v>31</v>
      </c>
      <c r="CR264" s="408">
        <v>201.71340375512045</v>
      </c>
      <c r="CS264" s="408">
        <v>4.215544804001901</v>
      </c>
      <c r="CT264" s="408">
        <v>19.656463514535176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19.714937616714085</v>
      </c>
      <c r="DA264" s="408">
        <v>0</v>
      </c>
      <c r="DB264" s="408">
        <v>0</v>
      </c>
      <c r="DC264" s="408">
        <v>168.08076056726418</v>
      </c>
      <c r="DD264" s="408">
        <v>0</v>
      </c>
      <c r="DE264" s="408">
        <v>0</v>
      </c>
      <c r="DF264" s="408">
        <v>0</v>
      </c>
      <c r="DG264" s="408">
        <v>8.8211979461013357</v>
      </c>
      <c r="DH264" s="408">
        <v>0</v>
      </c>
      <c r="DI264" s="408">
        <v>-16.271803090265848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-2.2376344615996402</v>
      </c>
      <c r="DP264" s="408">
        <v>-0.26606314163150913</v>
      </c>
      <c r="DQ264" s="408">
        <v>0</v>
      </c>
      <c r="DR264" s="408">
        <v>0</v>
      </c>
      <c r="DS264" s="408"/>
      <c r="DT264" s="408"/>
      <c r="DU264" s="408"/>
      <c r="DV264" s="408">
        <v>1833.8919057098883</v>
      </c>
      <c r="DW264" s="408">
        <v>0</v>
      </c>
      <c r="DX264" s="408">
        <v>0</v>
      </c>
      <c r="DY264" s="408">
        <v>-421.92333999999983</v>
      </c>
      <c r="DZ264" s="408">
        <v>168.09974000000011</v>
      </c>
      <c r="EA264" s="408">
        <v>0</v>
      </c>
      <c r="EB264" s="408">
        <v>0</v>
      </c>
      <c r="EC264" s="408">
        <v>-455.56985689105727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122.37678299559525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240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263</v>
      </c>
      <c r="B265" s="408" t="s">
        <v>2238</v>
      </c>
      <c r="C265" s="408" t="s">
        <v>2235</v>
      </c>
      <c r="D265" s="408" t="s">
        <v>1958</v>
      </c>
      <c r="E265" s="408" t="s">
        <v>2252</v>
      </c>
      <c r="F265" s="408" t="s">
        <v>1322</v>
      </c>
      <c r="G265" s="408" t="s">
        <v>1322</v>
      </c>
      <c r="H265" s="408" t="s">
        <v>1322</v>
      </c>
      <c r="I265" s="408" t="s">
        <v>1322</v>
      </c>
      <c r="J265" s="408" t="s">
        <v>2236</v>
      </c>
      <c r="K265" s="826">
        <v>44470</v>
      </c>
      <c r="L265" s="408">
        <v>0</v>
      </c>
      <c r="M265" s="408">
        <v>0</v>
      </c>
      <c r="N265" s="408">
        <v>1.407</v>
      </c>
      <c r="O265" s="408">
        <v>1.407</v>
      </c>
      <c r="P265" s="408">
        <v>1.407</v>
      </c>
      <c r="Q265" s="408">
        <v>1.407</v>
      </c>
      <c r="R265" s="408"/>
      <c r="S265" s="408">
        <v>368.24</v>
      </c>
      <c r="T265" s="408">
        <v>173.25</v>
      </c>
      <c r="U265" s="408"/>
      <c r="V265" s="408">
        <v>761.87643000000003</v>
      </c>
      <c r="W265" s="408">
        <v>761.87643000000003</v>
      </c>
      <c r="X265" s="408">
        <v>716.00823000000003</v>
      </c>
      <c r="Y265" s="408">
        <v>0</v>
      </c>
      <c r="Z265" s="408">
        <v>86.594072761514155</v>
      </c>
      <c r="AA265" s="408">
        <v>0</v>
      </c>
      <c r="AB265" s="408">
        <v>0</v>
      </c>
      <c r="AC265" s="408">
        <v>3.6012690723873138</v>
      </c>
      <c r="AD265" s="408">
        <v>3.4600120370380245</v>
      </c>
      <c r="AE265" s="408">
        <v>331.40070785176124</v>
      </c>
      <c r="AF265" s="408">
        <v>239.6690421135354</v>
      </c>
      <c r="AG265" s="408">
        <v>4.090477577471539</v>
      </c>
      <c r="AH265" s="408">
        <v>0</v>
      </c>
      <c r="AI265" s="408">
        <v>0</v>
      </c>
      <c r="AJ265" s="408">
        <v>0</v>
      </c>
      <c r="AK265" s="408">
        <v>0</v>
      </c>
      <c r="AL265" s="408">
        <v>13.379205600196851</v>
      </c>
      <c r="AM265" s="408"/>
      <c r="AN265" s="408">
        <v>1.6994543971083469</v>
      </c>
      <c r="AO265" s="408">
        <v>7.6447875356781294</v>
      </c>
      <c r="AP265" s="408">
        <v>35.646516466572685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0</v>
      </c>
      <c r="BF265" s="408">
        <v>0</v>
      </c>
      <c r="BG265" s="408">
        <v>12.578287097825624</v>
      </c>
      <c r="BH265" s="408">
        <v>0</v>
      </c>
      <c r="BI265" s="408">
        <v>0.06</v>
      </c>
      <c r="BJ265" s="408">
        <v>5.53</v>
      </c>
      <c r="BK265" s="408">
        <v>512.1</v>
      </c>
      <c r="BL265" s="408">
        <v>1</v>
      </c>
      <c r="BM265" s="408"/>
      <c r="BN265" s="408"/>
      <c r="BO265" s="408"/>
      <c r="BP265" s="408"/>
      <c r="BQ265" s="408"/>
      <c r="BR265" s="408"/>
      <c r="BS265" s="408"/>
      <c r="BT265" s="408"/>
      <c r="BU265" s="408"/>
      <c r="BV265" s="408">
        <v>252.24732921136103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717.53489999999999</v>
      </c>
      <c r="CJ265" s="408">
        <v>-44.371530000000007</v>
      </c>
      <c r="CK265" s="408"/>
      <c r="CL265" s="408"/>
      <c r="CM265" s="408"/>
      <c r="CN265" s="408"/>
      <c r="CO265" s="408">
        <v>-76.245329999999996</v>
      </c>
      <c r="CP265" s="408">
        <v>30.377130000000005</v>
      </c>
      <c r="CQ265" s="408">
        <v>31</v>
      </c>
      <c r="CR265" s="408">
        <v>36.451420380613058</v>
      </c>
      <c r="CS265" s="408">
        <v>0.76178673763558624</v>
      </c>
      <c r="CT265" s="408">
        <v>3.5520991735102783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3.5626659679831376</v>
      </c>
      <c r="DA265" s="408">
        <v>0</v>
      </c>
      <c r="DB265" s="408">
        <v>0</v>
      </c>
      <c r="DC265" s="408">
        <v>30.373700246357657</v>
      </c>
      <c r="DD265" s="408">
        <v>0</v>
      </c>
      <c r="DE265" s="408">
        <v>0</v>
      </c>
      <c r="DF265" s="408">
        <v>0</v>
      </c>
      <c r="DG265" s="408">
        <v>1.5940695492119943</v>
      </c>
      <c r="DH265" s="408">
        <v>0</v>
      </c>
      <c r="DI265" s="408">
        <v>-2.9404606920118255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-0.40436060717578926</v>
      </c>
      <c r="DP265" s="408">
        <v>-4.8079994897962219E-2</v>
      </c>
      <c r="DQ265" s="408">
        <v>0</v>
      </c>
      <c r="DR265" s="408">
        <v>0</v>
      </c>
      <c r="DS265" s="408"/>
      <c r="DT265" s="408"/>
      <c r="DU265" s="408"/>
      <c r="DV265" s="408">
        <v>331.40070785176124</v>
      </c>
      <c r="DW265" s="408">
        <v>0</v>
      </c>
      <c r="DX265" s="408">
        <v>0</v>
      </c>
      <c r="DY265" s="408">
        <v>-76.245330000000024</v>
      </c>
      <c r="DZ265" s="408">
        <v>30.377129999999994</v>
      </c>
      <c r="EA265" s="408">
        <v>0</v>
      </c>
      <c r="EB265" s="408">
        <v>0</v>
      </c>
      <c r="EC265" s="408">
        <v>-82.325557236799085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22.114581771744483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240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264</v>
      </c>
      <c r="B266" s="408" t="s">
        <v>1036</v>
      </c>
      <c r="C266" s="408" t="s">
        <v>2235</v>
      </c>
      <c r="D266" s="408" t="s">
        <v>2245</v>
      </c>
      <c r="E266" s="408" t="s">
        <v>974</v>
      </c>
      <c r="F266" s="408" t="s">
        <v>2253</v>
      </c>
      <c r="G266" s="408" t="s">
        <v>2254</v>
      </c>
      <c r="H266" s="408" t="s">
        <v>1322</v>
      </c>
      <c r="I266" s="408" t="s">
        <v>1322</v>
      </c>
      <c r="J266" s="408" t="s">
        <v>2236</v>
      </c>
      <c r="K266" s="826">
        <v>44470</v>
      </c>
      <c r="L266" s="408">
        <v>0</v>
      </c>
      <c r="M266" s="408">
        <v>0</v>
      </c>
      <c r="N266" s="408">
        <v>0</v>
      </c>
      <c r="O266" s="408">
        <v>0</v>
      </c>
      <c r="P266" s="408">
        <v>0</v>
      </c>
      <c r="Q266" s="408">
        <v>0</v>
      </c>
      <c r="R266" s="408"/>
      <c r="S266" s="408"/>
      <c r="T266" s="408"/>
      <c r="U266" s="408"/>
      <c r="V266" s="408"/>
      <c r="W266" s="408"/>
      <c r="X266" s="408"/>
      <c r="Y266" s="408"/>
      <c r="Z266" s="408"/>
      <c r="AA266" s="408">
        <v>0</v>
      </c>
      <c r="AB266" s="408"/>
      <c r="AC266" s="408"/>
      <c r="AD266" s="408"/>
      <c r="AE266" s="408"/>
      <c r="AF266" s="408"/>
      <c r="AG266" s="408"/>
      <c r="AH266" s="408"/>
      <c r="AI266" s="408"/>
      <c r="AJ266" s="408"/>
      <c r="AK266" s="408"/>
      <c r="AL266" s="408"/>
      <c r="AM266" s="408"/>
      <c r="AN266" s="408"/>
      <c r="AO266" s="408"/>
      <c r="AP266" s="408"/>
      <c r="AQ266" s="408"/>
      <c r="AR266" s="408"/>
      <c r="AS266" s="408"/>
      <c r="AT266" s="408"/>
      <c r="AU266" s="408"/>
      <c r="AV266" s="408"/>
      <c r="AW266" s="408"/>
      <c r="AX266" s="408"/>
      <c r="AY266" s="408"/>
      <c r="AZ266" s="408">
        <v>0</v>
      </c>
      <c r="BA266" s="408"/>
      <c r="BB266" s="408"/>
      <c r="BC266" s="408"/>
      <c r="BD266" s="408"/>
      <c r="BE266" s="408"/>
      <c r="BF266" s="408"/>
      <c r="BG266" s="408"/>
      <c r="BH266" s="408"/>
      <c r="BI266" s="408">
        <v>0</v>
      </c>
      <c r="BJ266" s="408">
        <v>1.72</v>
      </c>
      <c r="BK266" s="408">
        <v>35.68</v>
      </c>
      <c r="BL266" s="408">
        <v>4</v>
      </c>
      <c r="BM266" s="408"/>
      <c r="BN266" s="408"/>
      <c r="BO266" s="408"/>
      <c r="BP266" s="408"/>
      <c r="BQ266" s="408"/>
      <c r="BR266" s="408"/>
      <c r="BS266" s="408"/>
      <c r="BT266" s="408"/>
      <c r="BU266" s="408"/>
      <c r="BV266" s="408"/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/>
      <c r="CJ266" s="408">
        <v>-0.03</v>
      </c>
      <c r="CK266" s="408"/>
      <c r="CL266" s="408"/>
      <c r="CM266" s="408"/>
      <c r="CN266" s="408"/>
      <c r="CO266" s="408">
        <v>0</v>
      </c>
      <c r="CP266" s="408">
        <v>0</v>
      </c>
      <c r="CQ266" s="408">
        <v>31</v>
      </c>
      <c r="CR266" s="408"/>
      <c r="CS266" s="408"/>
      <c r="CT266" s="408"/>
      <c r="CU266" s="408"/>
      <c r="CV266" s="408"/>
      <c r="CW266" s="408"/>
      <c r="CX266" s="408"/>
      <c r="CY266" s="408"/>
      <c r="CZ266" s="408"/>
      <c r="DA266" s="408"/>
      <c r="DB266" s="408"/>
      <c r="DC266" s="408"/>
      <c r="DD266" s="408"/>
      <c r="DE266" s="408"/>
      <c r="DF266" s="408"/>
      <c r="DG266" s="408"/>
      <c r="DH266" s="408"/>
      <c r="DI266" s="408"/>
      <c r="DJ266" s="408"/>
      <c r="DK266" s="408">
        <v>0</v>
      </c>
      <c r="DL266" s="408"/>
      <c r="DM266" s="408"/>
      <c r="DN266" s="408"/>
      <c r="DO266" s="408"/>
      <c r="DP266" s="408"/>
      <c r="DQ266" s="408"/>
      <c r="DR266" s="408"/>
      <c r="DS266" s="408"/>
      <c r="DT266" s="408"/>
      <c r="DU266" s="408"/>
      <c r="DV266" s="408"/>
      <c r="DW266" s="408"/>
      <c r="DX266" s="408"/>
      <c r="DY266" s="408"/>
      <c r="DZ266" s="408"/>
      <c r="EA266" s="408"/>
      <c r="EB266" s="408"/>
      <c r="EC266" s="408"/>
      <c r="ED266" s="408"/>
      <c r="EE266" s="408"/>
      <c r="EF266" s="408"/>
      <c r="EG266" s="408"/>
      <c r="EH266" s="408"/>
      <c r="EI266" s="408"/>
      <c r="EJ266" s="408"/>
      <c r="EK266" s="408"/>
      <c r="EL266" s="408"/>
      <c r="EM266" s="408"/>
      <c r="EN266" s="408"/>
      <c r="EO266" s="408"/>
      <c r="EP266" s="408"/>
      <c r="EQ266" s="408"/>
      <c r="ER266" s="408"/>
      <c r="ES266" s="408"/>
      <c r="ET266" s="408"/>
      <c r="EU266" s="408"/>
      <c r="EV266" s="408">
        <v>240</v>
      </c>
      <c r="EW266" s="408"/>
      <c r="EX266" s="408"/>
      <c r="EY266" s="408"/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265</v>
      </c>
      <c r="B267" s="408" t="s">
        <v>1036</v>
      </c>
      <c r="C267" s="408" t="s">
        <v>2235</v>
      </c>
      <c r="D267" s="408" t="s">
        <v>2245</v>
      </c>
      <c r="E267" s="408" t="s">
        <v>974</v>
      </c>
      <c r="F267" s="408" t="s">
        <v>2253</v>
      </c>
      <c r="G267" s="408" t="s">
        <v>2254</v>
      </c>
      <c r="H267" s="408" t="s">
        <v>1322</v>
      </c>
      <c r="I267" s="408" t="s">
        <v>1322</v>
      </c>
      <c r="J267" s="408" t="s">
        <v>2236</v>
      </c>
      <c r="K267" s="826">
        <v>44470</v>
      </c>
      <c r="L267" s="408">
        <v>0</v>
      </c>
      <c r="M267" s="408">
        <v>0</v>
      </c>
      <c r="N267" s="408">
        <v>0.40400000000000003</v>
      </c>
      <c r="O267" s="408">
        <v>0.40400000000000003</v>
      </c>
      <c r="P267" s="408">
        <v>0.40400000000000003</v>
      </c>
      <c r="Q267" s="408">
        <v>0.40400000000000003</v>
      </c>
      <c r="R267" s="408"/>
      <c r="S267" s="408">
        <v>368.24</v>
      </c>
      <c r="T267" s="408">
        <v>173.25</v>
      </c>
      <c r="U267" s="408"/>
      <c r="V267" s="408">
        <v>218.76196000000004</v>
      </c>
      <c r="W267" s="408">
        <v>218.76196000000004</v>
      </c>
      <c r="X267" s="408">
        <v>205.59156000000002</v>
      </c>
      <c r="Y267" s="408">
        <v>0</v>
      </c>
      <c r="Z267" s="408">
        <v>24.864254012545643</v>
      </c>
      <c r="AA267" s="408">
        <v>0</v>
      </c>
      <c r="AB267" s="408">
        <v>0</v>
      </c>
      <c r="AC267" s="408">
        <v>1.0340530954118514</v>
      </c>
      <c r="AD267" s="408">
        <v>0.99349315064915555</v>
      </c>
      <c r="AE267" s="408">
        <v>95.156990740662081</v>
      </c>
      <c r="AF267" s="408">
        <v>68.81755011646645</v>
      </c>
      <c r="AG267" s="408">
        <v>1.1745223463386651</v>
      </c>
      <c r="AH267" s="408">
        <v>0</v>
      </c>
      <c r="AI267" s="408">
        <v>0</v>
      </c>
      <c r="AJ267" s="408">
        <v>0</v>
      </c>
      <c r="AK267" s="408">
        <v>0</v>
      </c>
      <c r="AL267" s="408">
        <v>3.841648232039466</v>
      </c>
      <c r="AM267" s="408"/>
      <c r="AN267" s="408">
        <v>0.48797411260253887</v>
      </c>
      <c r="AO267" s="408">
        <v>2.1950918012892426</v>
      </c>
      <c r="AP267" s="408">
        <v>10.235389234182918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0</v>
      </c>
      <c r="BF267" s="408">
        <v>0</v>
      </c>
      <c r="BG267" s="408">
        <v>3.6116758973145364</v>
      </c>
      <c r="BH267" s="408">
        <v>0</v>
      </c>
      <c r="BI267" s="408">
        <v>0</v>
      </c>
      <c r="BJ267" s="408">
        <v>0</v>
      </c>
      <c r="BK267" s="408">
        <v>0</v>
      </c>
      <c r="BL267" s="408">
        <v>0</v>
      </c>
      <c r="BM267" s="408"/>
      <c r="BN267" s="408"/>
      <c r="BO267" s="408"/>
      <c r="BP267" s="408"/>
      <c r="BQ267" s="408"/>
      <c r="BR267" s="408">
        <v>24.668240000000004</v>
      </c>
      <c r="BS267" s="408"/>
      <c r="BT267" s="408"/>
      <c r="BU267" s="408"/>
      <c r="BV267" s="408">
        <v>72.42922601378099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179.13200000000001</v>
      </c>
      <c r="CJ267" s="408">
        <v>-13.408039999999971</v>
      </c>
      <c r="CK267" s="408"/>
      <c r="CL267" s="408"/>
      <c r="CM267" s="408"/>
      <c r="CN267" s="408"/>
      <c r="CO267" s="408">
        <v>-21.892759999999999</v>
      </c>
      <c r="CP267" s="408">
        <v>8.7223600000000019</v>
      </c>
      <c r="CQ267" s="408">
        <v>31</v>
      </c>
      <c r="CR267" s="408">
        <v>10.466505923075815</v>
      </c>
      <c r="CS267" s="408">
        <v>0.21873620611569056</v>
      </c>
      <c r="CT267" s="408">
        <v>1.0199346596291061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1.022968764083289</v>
      </c>
      <c r="DA267" s="408">
        <v>0</v>
      </c>
      <c r="DB267" s="408">
        <v>0</v>
      </c>
      <c r="DC267" s="408">
        <v>8.7213751951161953</v>
      </c>
      <c r="DD267" s="408">
        <v>0</v>
      </c>
      <c r="DE267" s="408">
        <v>0</v>
      </c>
      <c r="DF267" s="408">
        <v>0</v>
      </c>
      <c r="DG267" s="408">
        <v>0.45771435528190896</v>
      </c>
      <c r="DH267" s="408">
        <v>0</v>
      </c>
      <c r="DI267" s="408">
        <v>-0.84431138562386465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-0.11610638614002822</v>
      </c>
      <c r="DP267" s="408">
        <v>-1.3805485386479521E-2</v>
      </c>
      <c r="DQ267" s="408">
        <v>0</v>
      </c>
      <c r="DR267" s="408">
        <v>0</v>
      </c>
      <c r="DS267" s="408"/>
      <c r="DT267" s="408"/>
      <c r="DU267" s="408"/>
      <c r="DV267" s="408">
        <v>95.156990740662081</v>
      </c>
      <c r="DW267" s="408">
        <v>0</v>
      </c>
      <c r="DX267" s="408">
        <v>0</v>
      </c>
      <c r="DY267" s="408">
        <v>-21.89276000000001</v>
      </c>
      <c r="DZ267" s="408">
        <v>8.7223599999999948</v>
      </c>
      <c r="EA267" s="408">
        <v>0</v>
      </c>
      <c r="EB267" s="408">
        <v>0</v>
      </c>
      <c r="EC267" s="408">
        <v>-23.638610606728378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6.3498870190367951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240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266</v>
      </c>
      <c r="B268" s="408" t="s">
        <v>1036</v>
      </c>
      <c r="C268" s="408" t="s">
        <v>2235</v>
      </c>
      <c r="D268" s="408" t="s">
        <v>2245</v>
      </c>
      <c r="E268" s="408" t="s">
        <v>974</v>
      </c>
      <c r="F268" s="408" t="s">
        <v>2253</v>
      </c>
      <c r="G268" s="408" t="s">
        <v>2255</v>
      </c>
      <c r="H268" s="408" t="s">
        <v>1322</v>
      </c>
      <c r="I268" s="408" t="s">
        <v>1322</v>
      </c>
      <c r="J268" s="408" t="s">
        <v>2236</v>
      </c>
      <c r="K268" s="826">
        <v>44470</v>
      </c>
      <c r="L268" s="408">
        <v>0</v>
      </c>
      <c r="M268" s="408">
        <v>0</v>
      </c>
      <c r="N268" s="408">
        <v>0.19500000000000001</v>
      </c>
      <c r="O268" s="408">
        <v>7.8E-2</v>
      </c>
      <c r="P268" s="408">
        <v>0.19500000000000001</v>
      </c>
      <c r="Q268" s="408">
        <v>7.8E-2</v>
      </c>
      <c r="R268" s="408"/>
      <c r="S268" s="408">
        <v>368.24</v>
      </c>
      <c r="T268" s="408">
        <v>173.25</v>
      </c>
      <c r="U268" s="408"/>
      <c r="V268" s="408">
        <v>105.59055000000001</v>
      </c>
      <c r="W268" s="408">
        <v>105.59055000000001</v>
      </c>
      <c r="X268" s="408">
        <v>99.233550000000008</v>
      </c>
      <c r="Y268" s="408">
        <v>0</v>
      </c>
      <c r="Z268" s="408">
        <v>12.001310723877229</v>
      </c>
      <c r="AA268" s="408">
        <v>0</v>
      </c>
      <c r="AB268" s="408">
        <v>0</v>
      </c>
      <c r="AC268" s="408">
        <v>0.49910978615175988</v>
      </c>
      <c r="AD268" s="408">
        <v>0.47953258509055774</v>
      </c>
      <c r="AE268" s="408">
        <v>45.929735629775017</v>
      </c>
      <c r="AF268" s="408">
        <v>33.216391764136034</v>
      </c>
      <c r="AG268" s="408">
        <v>0.56691053845554384</v>
      </c>
      <c r="AH268" s="408">
        <v>0</v>
      </c>
      <c r="AI268" s="408">
        <v>0</v>
      </c>
      <c r="AJ268" s="408">
        <v>0</v>
      </c>
      <c r="AK268" s="408">
        <v>0</v>
      </c>
      <c r="AL268" s="408">
        <v>1.854260904078455</v>
      </c>
      <c r="AM268" s="408"/>
      <c r="AN268" s="408">
        <v>0.2355320593007304</v>
      </c>
      <c r="AO268" s="408">
        <v>1.0595121318104017</v>
      </c>
      <c r="AP268" s="408">
        <v>4.9403487640239332</v>
      </c>
      <c r="AQ268" s="408">
        <v>0</v>
      </c>
      <c r="AR268" s="408">
        <v>0</v>
      </c>
      <c r="AS268" s="408">
        <v>0</v>
      </c>
      <c r="AT268" s="408">
        <v>0</v>
      </c>
      <c r="AU268" s="408">
        <v>0</v>
      </c>
      <c r="AV268" s="408">
        <v>0</v>
      </c>
      <c r="AW268" s="408">
        <v>0</v>
      </c>
      <c r="AX268" s="408">
        <v>0</v>
      </c>
      <c r="AY268" s="408">
        <v>0</v>
      </c>
      <c r="AZ268" s="408">
        <v>0</v>
      </c>
      <c r="BA268" s="408"/>
      <c r="BB268" s="408">
        <v>0</v>
      </c>
      <c r="BC268" s="408">
        <v>0</v>
      </c>
      <c r="BD268" s="408">
        <v>0</v>
      </c>
      <c r="BE268" s="408">
        <v>0</v>
      </c>
      <c r="BF268" s="408">
        <v>0</v>
      </c>
      <c r="BG268" s="408">
        <v>1.7432594058820163</v>
      </c>
      <c r="BH268" s="408">
        <v>0</v>
      </c>
      <c r="BI268" s="408">
        <v>0</v>
      </c>
      <c r="BJ268" s="408">
        <v>0</v>
      </c>
      <c r="BK268" s="408">
        <v>0</v>
      </c>
      <c r="BL268" s="408">
        <v>0</v>
      </c>
      <c r="BM268" s="408"/>
      <c r="BN268" s="408"/>
      <c r="BO268" s="408"/>
      <c r="BP268" s="408"/>
      <c r="BQ268" s="408"/>
      <c r="BR268" s="408"/>
      <c r="BS268" s="408">
        <v>64.302810000000008</v>
      </c>
      <c r="BT268" s="408"/>
      <c r="BU268" s="408"/>
      <c r="BV268" s="408">
        <v>34.959651170018049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35.8264</v>
      </c>
      <c r="CJ268" s="408">
        <v>-1.371380000000002</v>
      </c>
      <c r="CK268" s="408"/>
      <c r="CL268" s="408"/>
      <c r="CM268" s="408"/>
      <c r="CN268" s="408"/>
      <c r="CO268" s="408">
        <v>-10.56705</v>
      </c>
      <c r="CP268" s="408">
        <v>4.2100500000000007</v>
      </c>
      <c r="CQ268" s="408">
        <v>31</v>
      </c>
      <c r="CR268" s="408">
        <v>5.0519026113856143</v>
      </c>
      <c r="CS268" s="408">
        <v>0.10557811928851413</v>
      </c>
      <c r="CT268" s="408">
        <v>0.49229519462295901</v>
      </c>
      <c r="CU268" s="408">
        <v>0</v>
      </c>
      <c r="CV268" s="408">
        <v>0</v>
      </c>
      <c r="CW268" s="408">
        <v>0</v>
      </c>
      <c r="CX268" s="408">
        <v>0</v>
      </c>
      <c r="CY268" s="408">
        <v>0</v>
      </c>
      <c r="CZ268" s="408">
        <v>0.49375967573327073</v>
      </c>
      <c r="DA268" s="408">
        <v>0</v>
      </c>
      <c r="DB268" s="408">
        <v>0</v>
      </c>
      <c r="DC268" s="408">
        <v>4.2095746610090572</v>
      </c>
      <c r="DD268" s="408">
        <v>0</v>
      </c>
      <c r="DE268" s="408">
        <v>0</v>
      </c>
      <c r="DF268" s="408">
        <v>0</v>
      </c>
      <c r="DG268" s="408">
        <v>0.22092648336626786</v>
      </c>
      <c r="DH268" s="408">
        <v>0</v>
      </c>
      <c r="DI268" s="408">
        <v>-0.40752653514023152</v>
      </c>
      <c r="DJ268" s="408"/>
      <c r="DK268" s="408">
        <v>0</v>
      </c>
      <c r="DL268" s="408">
        <v>0</v>
      </c>
      <c r="DM268" s="408">
        <v>0</v>
      </c>
      <c r="DN268" s="408">
        <v>0</v>
      </c>
      <c r="DO268" s="408">
        <v>-5.6041448755706602E-2</v>
      </c>
      <c r="DP268" s="408">
        <v>-6.6635387385235445E-3</v>
      </c>
      <c r="DQ268" s="408">
        <v>0</v>
      </c>
      <c r="DR268" s="408">
        <v>0</v>
      </c>
      <c r="DS268" s="408"/>
      <c r="DT268" s="408"/>
      <c r="DU268" s="408"/>
      <c r="DV268" s="408">
        <v>45.929735629775017</v>
      </c>
      <c r="DW268" s="408">
        <v>0</v>
      </c>
      <c r="DX268" s="408">
        <v>0</v>
      </c>
      <c r="DY268" s="408">
        <v>-10.567050000000009</v>
      </c>
      <c r="DZ268" s="408">
        <v>4.2100500000000025</v>
      </c>
      <c r="EA268" s="408">
        <v>0</v>
      </c>
      <c r="EB268" s="408">
        <v>0</v>
      </c>
      <c r="EC268" s="408">
        <v>-11.409725416613945</v>
      </c>
      <c r="ED268" s="408">
        <v>0</v>
      </c>
      <c r="EE268" s="408">
        <v>0</v>
      </c>
      <c r="EF268" s="408">
        <v>0</v>
      </c>
      <c r="EG268" s="408">
        <v>0</v>
      </c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>
        <v>0</v>
      </c>
      <c r="EN268" s="408">
        <v>0</v>
      </c>
      <c r="EO268" s="408">
        <v>0</v>
      </c>
      <c r="EP268" s="408">
        <v>3.0649207146340967</v>
      </c>
      <c r="EQ268" s="408">
        <v>0</v>
      </c>
      <c r="ER268" s="408">
        <v>0</v>
      </c>
      <c r="ES268" s="408">
        <v>0</v>
      </c>
      <c r="ET268" s="408">
        <v>0</v>
      </c>
      <c r="EU268" s="408">
        <v>0</v>
      </c>
      <c r="EV268" s="408">
        <v>240</v>
      </c>
      <c r="EW268" s="408">
        <v>0</v>
      </c>
      <c r="EX268" s="408">
        <v>0</v>
      </c>
      <c r="EY268" s="408">
        <v>0</v>
      </c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267</v>
      </c>
      <c r="B269" s="408" t="s">
        <v>1036</v>
      </c>
      <c r="C269" s="408" t="s">
        <v>2235</v>
      </c>
      <c r="D269" s="408" t="s">
        <v>1955</v>
      </c>
      <c r="E269" s="408" t="s">
        <v>969</v>
      </c>
      <c r="F269" s="408" t="s">
        <v>969</v>
      </c>
      <c r="G269" s="408" t="s">
        <v>1322</v>
      </c>
      <c r="H269" s="408" t="s">
        <v>1322</v>
      </c>
      <c r="I269" s="408" t="s">
        <v>1322</v>
      </c>
      <c r="J269" s="408" t="s">
        <v>2236</v>
      </c>
      <c r="K269" s="826">
        <v>44501</v>
      </c>
      <c r="L269" s="408">
        <v>0</v>
      </c>
      <c r="M269" s="408">
        <v>0</v>
      </c>
      <c r="N269" s="408">
        <v>9279.5840000000007</v>
      </c>
      <c r="O269" s="408">
        <v>9279.5840000000007</v>
      </c>
      <c r="P269" s="408">
        <v>9279.5840000000007</v>
      </c>
      <c r="Q269" s="408">
        <v>9279.5840000000007</v>
      </c>
      <c r="R269" s="408"/>
      <c r="S269" s="408">
        <v>368.24</v>
      </c>
      <c r="T269" s="408">
        <v>173.25</v>
      </c>
      <c r="U269" s="408"/>
      <c r="V269" s="408">
        <v>5024801.9401600007</v>
      </c>
      <c r="W269" s="408">
        <v>5024801.9401600007</v>
      </c>
      <c r="X269" s="408">
        <v>4722287.5017600004</v>
      </c>
      <c r="Y269" s="408">
        <v>0</v>
      </c>
      <c r="Z269" s="408">
        <v>571113.6972939464</v>
      </c>
      <c r="AA269" s="408">
        <v>0</v>
      </c>
      <c r="AB269" s="408">
        <v>0</v>
      </c>
      <c r="AC269" s="408">
        <v>23751.441978550221</v>
      </c>
      <c r="AD269" s="408">
        <v>22819.809764538353</v>
      </c>
      <c r="AE269" s="408">
        <v>2185686.3583296933</v>
      </c>
      <c r="AF269" s="408">
        <v>1580688.7053959412</v>
      </c>
      <c r="AG269" s="408">
        <v>26977.917754274098</v>
      </c>
      <c r="AH269" s="408">
        <v>0</v>
      </c>
      <c r="AI269" s="408">
        <v>0</v>
      </c>
      <c r="AJ269" s="408">
        <v>0</v>
      </c>
      <c r="AK269" s="408">
        <v>0</v>
      </c>
      <c r="AL269" s="408">
        <v>88239.845216984439</v>
      </c>
      <c r="AM269" s="408"/>
      <c r="AN269" s="408">
        <v>11208.407840892867</v>
      </c>
      <c r="AO269" s="408">
        <v>50419.650390531773</v>
      </c>
      <c r="AP269" s="408">
        <v>235099.39151310906</v>
      </c>
      <c r="AQ269" s="408">
        <v>0</v>
      </c>
      <c r="AR269" s="408">
        <v>0</v>
      </c>
      <c r="AS269" s="408">
        <v>0</v>
      </c>
      <c r="AT269" s="408">
        <v>0</v>
      </c>
      <c r="AU269" s="408">
        <v>0</v>
      </c>
      <c r="AV269" s="408">
        <v>0</v>
      </c>
      <c r="AW269" s="408">
        <v>0</v>
      </c>
      <c r="AX269" s="408">
        <v>0</v>
      </c>
      <c r="AY269" s="408">
        <v>0</v>
      </c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>
        <v>0</v>
      </c>
      <c r="BG269" s="408">
        <v>82957.549182934687</v>
      </c>
      <c r="BH269" s="408">
        <v>0</v>
      </c>
      <c r="BI269" s="408">
        <v>4023.11</v>
      </c>
      <c r="BJ269" s="408">
        <v>36480.15</v>
      </c>
      <c r="BK269" s="408">
        <v>2574585.33</v>
      </c>
      <c r="BL269" s="408">
        <v>46668</v>
      </c>
      <c r="BM269" s="408"/>
      <c r="BN269" s="408"/>
      <c r="BO269" s="408"/>
      <c r="BP269" s="408"/>
      <c r="BQ269" s="408"/>
      <c r="BR269" s="408"/>
      <c r="BS269" s="408"/>
      <c r="BT269" s="408"/>
      <c r="BU269" s="408"/>
      <c r="BV269" s="408">
        <v>1663646.2545788758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4722285.4661999997</v>
      </c>
      <c r="CJ269" s="408">
        <v>-302516.50396000035</v>
      </c>
      <c r="CK269" s="408"/>
      <c r="CL269" s="408"/>
      <c r="CM269" s="408"/>
      <c r="CN269" s="408"/>
      <c r="CO269" s="408">
        <v>-502860.65695999999</v>
      </c>
      <c r="CP269" s="408">
        <v>200346.21856000004</v>
      </c>
      <c r="CQ269" s="408">
        <v>30</v>
      </c>
      <c r="CR269" s="408">
        <v>240407.97252395935</v>
      </c>
      <c r="CS269" s="408">
        <v>5024.2103923065952</v>
      </c>
      <c r="CT269" s="408">
        <v>23427.151852821029</v>
      </c>
      <c r="CU269" s="408">
        <v>0</v>
      </c>
      <c r="CV269" s="408">
        <v>0</v>
      </c>
      <c r="CW269" s="408">
        <v>0</v>
      </c>
      <c r="CX269" s="408">
        <v>0</v>
      </c>
      <c r="CY269" s="408">
        <v>0</v>
      </c>
      <c r="CZ269" s="408">
        <v>23496.843009126394</v>
      </c>
      <c r="DA269" s="408">
        <v>0</v>
      </c>
      <c r="DB269" s="408">
        <v>0</v>
      </c>
      <c r="DC269" s="408">
        <v>200323.59831335931</v>
      </c>
      <c r="DD269" s="408">
        <v>0</v>
      </c>
      <c r="DE269" s="408">
        <v>0</v>
      </c>
      <c r="DF269" s="408">
        <v>0</v>
      </c>
      <c r="DG269" s="408">
        <v>10513.36338575327</v>
      </c>
      <c r="DH269" s="408">
        <v>0</v>
      </c>
      <c r="DI269" s="408">
        <v>-19393.213923398638</v>
      </c>
      <c r="DJ269" s="408"/>
      <c r="DK269" s="408">
        <v>0</v>
      </c>
      <c r="DL269" s="408">
        <v>0</v>
      </c>
      <c r="DM269" s="408">
        <v>0</v>
      </c>
      <c r="DN269" s="408">
        <v>0</v>
      </c>
      <c r="DO269" s="408">
        <v>-2666.8786215911532</v>
      </c>
      <c r="DP269" s="408">
        <v>-317.10188441735045</v>
      </c>
      <c r="DQ269" s="408">
        <v>0</v>
      </c>
      <c r="DR269" s="408">
        <v>0</v>
      </c>
      <c r="DS269" s="408"/>
      <c r="DT269" s="408"/>
      <c r="DU269" s="408"/>
      <c r="DV269" s="408">
        <v>2185686.3583296933</v>
      </c>
      <c r="DW269" s="408">
        <v>0</v>
      </c>
      <c r="DX269" s="408">
        <v>0</v>
      </c>
      <c r="DY269" s="408">
        <v>-502860.65696000028</v>
      </c>
      <c r="DZ269" s="408">
        <v>200346.21856000018</v>
      </c>
      <c r="EA269" s="408">
        <v>0</v>
      </c>
      <c r="EB269" s="408">
        <v>0</v>
      </c>
      <c r="EC269" s="408">
        <v>-542961.56625848287</v>
      </c>
      <c r="ED269" s="408">
        <v>0</v>
      </c>
      <c r="EE269" s="408">
        <v>0</v>
      </c>
      <c r="EF269" s="408">
        <v>0</v>
      </c>
      <c r="EG269" s="408">
        <v>0</v>
      </c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>
        <v>0</v>
      </c>
      <c r="EN269" s="408">
        <v>0</v>
      </c>
      <c r="EO269" s="408">
        <v>0</v>
      </c>
      <c r="EP269" s="408">
        <v>145852.25243480579</v>
      </c>
      <c r="EQ269" s="408">
        <v>0</v>
      </c>
      <c r="ER269" s="408">
        <v>0</v>
      </c>
      <c r="ES269" s="408">
        <v>0</v>
      </c>
      <c r="ET269" s="408">
        <v>0</v>
      </c>
      <c r="EU269" s="408">
        <v>0</v>
      </c>
      <c r="EV269" s="408">
        <v>240</v>
      </c>
      <c r="EW269" s="408">
        <v>0</v>
      </c>
      <c r="EX269" s="408">
        <v>0</v>
      </c>
      <c r="EY269" s="408">
        <v>0</v>
      </c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268</v>
      </c>
      <c r="B270" s="408" t="s">
        <v>2237</v>
      </c>
      <c r="C270" s="408" t="s">
        <v>2235</v>
      </c>
      <c r="D270" s="408" t="s">
        <v>1955</v>
      </c>
      <c r="E270" s="408" t="s">
        <v>969</v>
      </c>
      <c r="F270" s="408" t="s">
        <v>969</v>
      </c>
      <c r="G270" s="408" t="s">
        <v>1322</v>
      </c>
      <c r="H270" s="408" t="s">
        <v>1322</v>
      </c>
      <c r="I270" s="408" t="s">
        <v>1322</v>
      </c>
      <c r="J270" s="408" t="s">
        <v>2236</v>
      </c>
      <c r="K270" s="826">
        <v>44501</v>
      </c>
      <c r="L270" s="408">
        <v>0</v>
      </c>
      <c r="M270" s="408">
        <v>0</v>
      </c>
      <c r="N270" s="408">
        <v>-1.9730000000000001</v>
      </c>
      <c r="O270" s="408">
        <v>-1.9730000000000001</v>
      </c>
      <c r="P270" s="408">
        <v>-1.9730000000000001</v>
      </c>
      <c r="Q270" s="408">
        <v>-1.9730000000000001</v>
      </c>
      <c r="R270" s="408"/>
      <c r="S270" s="408">
        <v>368.24</v>
      </c>
      <c r="T270" s="408">
        <v>173.25</v>
      </c>
      <c r="U270" s="408"/>
      <c r="V270" s="408">
        <v>-1068.35977</v>
      </c>
      <c r="W270" s="408">
        <v>-1068.35977</v>
      </c>
      <c r="X270" s="408">
        <v>-1004.03997</v>
      </c>
      <c r="Y270" s="408">
        <v>0</v>
      </c>
      <c r="Z270" s="408">
        <v>-121.4286464523578</v>
      </c>
      <c r="AA270" s="408">
        <v>0</v>
      </c>
      <c r="AB270" s="408">
        <v>0</v>
      </c>
      <c r="AC270" s="408">
        <v>-5.0499672209098581</v>
      </c>
      <c r="AD270" s="408">
        <v>-4.8518861045316433</v>
      </c>
      <c r="AE270" s="408">
        <v>-464.71470973100566</v>
      </c>
      <c r="AF270" s="408">
        <v>-336.08174846482257</v>
      </c>
      <c r="AG270" s="408">
        <v>-5.7359717557578866</v>
      </c>
      <c r="AH270" s="408">
        <v>0</v>
      </c>
      <c r="AI270" s="408">
        <v>0</v>
      </c>
      <c r="AJ270" s="408">
        <v>0</v>
      </c>
      <c r="AK270" s="408">
        <v>0</v>
      </c>
      <c r="AL270" s="408">
        <v>-18.761316737163035</v>
      </c>
      <c r="AM270" s="408"/>
      <c r="AN270" s="408">
        <v>-2.3831012974376464</v>
      </c>
      <c r="AO270" s="408">
        <v>-10.720089415702168</v>
      </c>
      <c r="AP270" s="408">
        <v>-49.98619544317549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>
        <v>0</v>
      </c>
      <c r="BG270" s="408">
        <v>-17.63820927079599</v>
      </c>
      <c r="BH270" s="408">
        <v>0</v>
      </c>
      <c r="BI270" s="408">
        <v>-0.7</v>
      </c>
      <c r="BJ270" s="408">
        <v>-7.56</v>
      </c>
      <c r="BK270" s="408">
        <v>-538.47</v>
      </c>
      <c r="BL270" s="408">
        <v>0</v>
      </c>
      <c r="BM270" s="408"/>
      <c r="BN270" s="408"/>
      <c r="BO270" s="408"/>
      <c r="BP270" s="408"/>
      <c r="BQ270" s="408"/>
      <c r="BR270" s="408"/>
      <c r="BS270" s="408"/>
      <c r="BT270" s="408"/>
      <c r="BU270" s="408"/>
      <c r="BV270" s="408">
        <v>-353.71995773561855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-1002.5133000000001</v>
      </c>
      <c r="CJ270" s="408">
        <v>65.816469999999981</v>
      </c>
      <c r="CK270" s="408"/>
      <c r="CL270" s="408"/>
      <c r="CM270" s="408"/>
      <c r="CN270" s="408"/>
      <c r="CO270" s="408">
        <v>106.91687</v>
      </c>
      <c r="CP270" s="408">
        <v>-42.597070000000009</v>
      </c>
      <c r="CQ270" s="408">
        <v>30</v>
      </c>
      <c r="CR270" s="408">
        <v>-51.114891550070752</v>
      </c>
      <c r="CS270" s="408">
        <v>-1.0682339966986572</v>
      </c>
      <c r="CT270" s="408">
        <v>-4.9810175332876838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-4.9958350780602219</v>
      </c>
      <c r="DA270" s="408">
        <v>0</v>
      </c>
      <c r="DB270" s="408">
        <v>0</v>
      </c>
      <c r="DC270" s="408">
        <v>-42.592260544465944</v>
      </c>
      <c r="DD270" s="408">
        <v>0</v>
      </c>
      <c r="DE270" s="408">
        <v>0</v>
      </c>
      <c r="DF270" s="408">
        <v>0</v>
      </c>
      <c r="DG270" s="408">
        <v>-2.2353228291366491</v>
      </c>
      <c r="DH270" s="408">
        <v>0</v>
      </c>
      <c r="DI270" s="408">
        <v>4.1233325837521733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0.56702450458979214</v>
      </c>
      <c r="DP270" s="408">
        <v>6.7421343236445885E-2</v>
      </c>
      <c r="DQ270" s="408">
        <v>0</v>
      </c>
      <c r="DR270" s="408">
        <v>0</v>
      </c>
      <c r="DS270" s="408"/>
      <c r="DT270" s="408"/>
      <c r="DU270" s="408"/>
      <c r="DV270" s="408">
        <v>-464.71470973100566</v>
      </c>
      <c r="DW270" s="408">
        <v>0</v>
      </c>
      <c r="DX270" s="408">
        <v>0</v>
      </c>
      <c r="DY270" s="408">
        <v>106.91687000000002</v>
      </c>
      <c r="DZ270" s="408">
        <v>-42.597070000000031</v>
      </c>
      <c r="EA270" s="408">
        <v>0</v>
      </c>
      <c r="EB270" s="408">
        <v>0</v>
      </c>
      <c r="EC270" s="408">
        <v>115.44301665117598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-31.010710615246527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240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269</v>
      </c>
      <c r="B271" s="408" t="s">
        <v>2238</v>
      </c>
      <c r="C271" s="408" t="s">
        <v>2235</v>
      </c>
      <c r="D271" s="408" t="s">
        <v>1955</v>
      </c>
      <c r="E271" s="408" t="s">
        <v>969</v>
      </c>
      <c r="F271" s="408" t="s">
        <v>969</v>
      </c>
      <c r="G271" s="408" t="s">
        <v>1322</v>
      </c>
      <c r="H271" s="408" t="s">
        <v>1322</v>
      </c>
      <c r="I271" s="408" t="s">
        <v>1322</v>
      </c>
      <c r="J271" s="408" t="s">
        <v>2236</v>
      </c>
      <c r="K271" s="826">
        <v>44501</v>
      </c>
      <c r="L271" s="408">
        <v>0</v>
      </c>
      <c r="M271" s="408">
        <v>0</v>
      </c>
      <c r="N271" s="408">
        <v>86.906000000000006</v>
      </c>
      <c r="O271" s="408">
        <v>86.906000000000006</v>
      </c>
      <c r="P271" s="408">
        <v>86.906000000000006</v>
      </c>
      <c r="Q271" s="408">
        <v>86.906000000000006</v>
      </c>
      <c r="R271" s="408"/>
      <c r="S271" s="408">
        <v>368.24</v>
      </c>
      <c r="T271" s="408">
        <v>173.25</v>
      </c>
      <c r="U271" s="408"/>
      <c r="V271" s="408">
        <v>47058.729940000005</v>
      </c>
      <c r="W271" s="408">
        <v>47058.729940000005</v>
      </c>
      <c r="X271" s="408">
        <v>44225.594340000003</v>
      </c>
      <c r="Y271" s="408">
        <v>0</v>
      </c>
      <c r="Z271" s="408">
        <v>5348.6456911244841</v>
      </c>
      <c r="AA271" s="408">
        <v>0</v>
      </c>
      <c r="AB271" s="408">
        <v>0</v>
      </c>
      <c r="AC271" s="408">
        <v>222.43915423233256</v>
      </c>
      <c r="AD271" s="408">
        <v>213.71414789682058</v>
      </c>
      <c r="AE271" s="408">
        <v>20469.587716108857</v>
      </c>
      <c r="AF271" s="408">
        <v>14803.608936687213</v>
      </c>
      <c r="AG271" s="408">
        <v>252.6560372052179</v>
      </c>
      <c r="AH271" s="408">
        <v>0</v>
      </c>
      <c r="AI271" s="408">
        <v>0</v>
      </c>
      <c r="AJ271" s="408">
        <v>0</v>
      </c>
      <c r="AK271" s="408">
        <v>0</v>
      </c>
      <c r="AL271" s="408">
        <v>826.39178528124216</v>
      </c>
      <c r="AM271" s="408"/>
      <c r="AN271" s="408">
        <v>104.96999561840654</v>
      </c>
      <c r="AO271" s="408">
        <v>472.19467347238344</v>
      </c>
      <c r="AP271" s="408">
        <v>2201.7741009551996</v>
      </c>
      <c r="AQ271" s="408">
        <v>0</v>
      </c>
      <c r="AR271" s="408">
        <v>0</v>
      </c>
      <c r="AS271" s="408">
        <v>0</v>
      </c>
      <c r="AT271" s="408">
        <v>0</v>
      </c>
      <c r="AU271" s="408">
        <v>0</v>
      </c>
      <c r="AV271" s="408">
        <v>0</v>
      </c>
      <c r="AW271" s="408">
        <v>0</v>
      </c>
      <c r="AX271" s="408">
        <v>0</v>
      </c>
      <c r="AY271" s="408">
        <v>0</v>
      </c>
      <c r="AZ271" s="408">
        <v>0</v>
      </c>
      <c r="BA271" s="408"/>
      <c r="BB271" s="408">
        <v>0</v>
      </c>
      <c r="BC271" s="408">
        <v>0</v>
      </c>
      <c r="BD271" s="408">
        <v>0</v>
      </c>
      <c r="BE271" s="408">
        <v>0</v>
      </c>
      <c r="BF271" s="408">
        <v>0</v>
      </c>
      <c r="BG271" s="408">
        <v>776.92154834657697</v>
      </c>
      <c r="BH271" s="408">
        <v>0</v>
      </c>
      <c r="BI271" s="408">
        <v>35.26</v>
      </c>
      <c r="BJ271" s="408">
        <v>342.09</v>
      </c>
      <c r="BK271" s="408">
        <v>65480.25</v>
      </c>
      <c r="BL271" s="408">
        <v>1049</v>
      </c>
      <c r="BM271" s="408"/>
      <c r="BN271" s="408"/>
      <c r="BO271" s="408"/>
      <c r="BP271" s="408"/>
      <c r="BQ271" s="408"/>
      <c r="BR271" s="408"/>
      <c r="BS271" s="408"/>
      <c r="BT271" s="408"/>
      <c r="BU271" s="408"/>
      <c r="BV271" s="408">
        <v>15580.530485033791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44227.6299</v>
      </c>
      <c r="CJ271" s="408">
        <v>-2831.1300400000036</v>
      </c>
      <c r="CK271" s="408"/>
      <c r="CL271" s="408"/>
      <c r="CM271" s="408"/>
      <c r="CN271" s="408"/>
      <c r="CO271" s="408">
        <v>-4709.4361399999998</v>
      </c>
      <c r="CP271" s="408">
        <v>1876.3005400000004</v>
      </c>
      <c r="CQ271" s="408">
        <v>30</v>
      </c>
      <c r="CR271" s="408">
        <v>2251.4905043337312</v>
      </c>
      <c r="CS271" s="408">
        <v>47.053189922500565</v>
      </c>
      <c r="CT271" s="408">
        <v>219.40208299437381</v>
      </c>
      <c r="CU271" s="408">
        <v>0</v>
      </c>
      <c r="CV271" s="408">
        <v>0</v>
      </c>
      <c r="CW271" s="408">
        <v>0</v>
      </c>
      <c r="CX271" s="408">
        <v>0</v>
      </c>
      <c r="CY271" s="408">
        <v>0</v>
      </c>
      <c r="CZ271" s="408">
        <v>220.0547609193622</v>
      </c>
      <c r="DA271" s="408">
        <v>0</v>
      </c>
      <c r="DB271" s="408">
        <v>0</v>
      </c>
      <c r="DC271" s="408">
        <v>1876.0886948187308</v>
      </c>
      <c r="DD271" s="408">
        <v>0</v>
      </c>
      <c r="DE271" s="408">
        <v>0</v>
      </c>
      <c r="DF271" s="408">
        <v>0</v>
      </c>
      <c r="DG271" s="408">
        <v>98.460702376558402</v>
      </c>
      <c r="DH271" s="408">
        <v>0</v>
      </c>
      <c r="DI271" s="408">
        <v>-181.62308237383058</v>
      </c>
      <c r="DJ271" s="408"/>
      <c r="DK271" s="408">
        <v>0</v>
      </c>
      <c r="DL271" s="408">
        <v>0</v>
      </c>
      <c r="DM271" s="408">
        <v>0</v>
      </c>
      <c r="DN271" s="408">
        <v>0</v>
      </c>
      <c r="DO271" s="408">
        <v>-24.976093054171542</v>
      </c>
      <c r="DP271" s="408">
        <v>-2.9697512697955233</v>
      </c>
      <c r="DQ271" s="408">
        <v>0</v>
      </c>
      <c r="DR271" s="408">
        <v>0</v>
      </c>
      <c r="DS271" s="408"/>
      <c r="DT271" s="408"/>
      <c r="DU271" s="408"/>
      <c r="DV271" s="408">
        <v>20469.587716108857</v>
      </c>
      <c r="DW271" s="408">
        <v>0</v>
      </c>
      <c r="DX271" s="408">
        <v>0</v>
      </c>
      <c r="DY271" s="408">
        <v>-4709.4361400000016</v>
      </c>
      <c r="DZ271" s="408">
        <v>1876.3005400000002</v>
      </c>
      <c r="EA271" s="408">
        <v>0</v>
      </c>
      <c r="EB271" s="408">
        <v>0</v>
      </c>
      <c r="EC271" s="408">
        <v>-5084.9928054166739</v>
      </c>
      <c r="ED271" s="408">
        <v>0</v>
      </c>
      <c r="EE271" s="408">
        <v>0</v>
      </c>
      <c r="EF271" s="408">
        <v>0</v>
      </c>
      <c r="EG271" s="408">
        <v>0</v>
      </c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>
        <v>0</v>
      </c>
      <c r="EN271" s="408">
        <v>0</v>
      </c>
      <c r="EO271" s="408">
        <v>0</v>
      </c>
      <c r="EP271" s="408">
        <v>1365.9487160307222</v>
      </c>
      <c r="EQ271" s="408">
        <v>0</v>
      </c>
      <c r="ER271" s="408">
        <v>0</v>
      </c>
      <c r="ES271" s="408">
        <v>0</v>
      </c>
      <c r="ET271" s="408">
        <v>0</v>
      </c>
      <c r="EU271" s="408">
        <v>0</v>
      </c>
      <c r="EV271" s="408">
        <v>240</v>
      </c>
      <c r="EW271" s="408">
        <v>0</v>
      </c>
      <c r="EX271" s="408">
        <v>0</v>
      </c>
      <c r="EY271" s="408">
        <v>0</v>
      </c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270</v>
      </c>
      <c r="B272" s="408" t="s">
        <v>2238</v>
      </c>
      <c r="C272" s="408" t="s">
        <v>2235</v>
      </c>
      <c r="D272" s="408" t="s">
        <v>1955</v>
      </c>
      <c r="E272" s="408" t="s">
        <v>969</v>
      </c>
      <c r="F272" s="408" t="s">
        <v>969</v>
      </c>
      <c r="G272" s="408" t="s">
        <v>1322</v>
      </c>
      <c r="H272" s="408" t="s">
        <v>1322</v>
      </c>
      <c r="I272" s="408" t="s">
        <v>1322</v>
      </c>
      <c r="J272" s="408" t="s">
        <v>2236</v>
      </c>
      <c r="K272" s="826">
        <v>44501</v>
      </c>
      <c r="L272" s="408">
        <v>0</v>
      </c>
      <c r="M272" s="408">
        <v>0</v>
      </c>
      <c r="N272" s="408">
        <v>0</v>
      </c>
      <c r="O272" s="408">
        <v>0</v>
      </c>
      <c r="P272" s="408">
        <v>0</v>
      </c>
      <c r="Q272" s="408">
        <v>0</v>
      </c>
      <c r="R272" s="408"/>
      <c r="S272" s="408"/>
      <c r="T272" s="408"/>
      <c r="U272" s="408"/>
      <c r="V272" s="408"/>
      <c r="W272" s="408"/>
      <c r="X272" s="408"/>
      <c r="Y272" s="408"/>
      <c r="Z272" s="408"/>
      <c r="AA272" s="408">
        <v>0</v>
      </c>
      <c r="AB272" s="408"/>
      <c r="AC272" s="408"/>
      <c r="AD272" s="408"/>
      <c r="AE272" s="408"/>
      <c r="AF272" s="408"/>
      <c r="AG272" s="408"/>
      <c r="AH272" s="408"/>
      <c r="AI272" s="408"/>
      <c r="AJ272" s="408"/>
      <c r="AK272" s="408"/>
      <c r="AL272" s="408"/>
      <c r="AM272" s="408"/>
      <c r="AN272" s="408"/>
      <c r="AO272" s="408"/>
      <c r="AP272" s="408"/>
      <c r="AQ272" s="408"/>
      <c r="AR272" s="408"/>
      <c r="AS272" s="408"/>
      <c r="AT272" s="408"/>
      <c r="AU272" s="408"/>
      <c r="AV272" s="408"/>
      <c r="AW272" s="408"/>
      <c r="AX272" s="408"/>
      <c r="AY272" s="408"/>
      <c r="AZ272" s="408">
        <v>0</v>
      </c>
      <c r="BA272" s="408"/>
      <c r="BB272" s="408"/>
      <c r="BC272" s="408"/>
      <c r="BD272" s="408"/>
      <c r="BE272" s="408"/>
      <c r="BF272" s="408"/>
      <c r="BG272" s="408"/>
      <c r="BH272" s="408"/>
      <c r="BI272" s="408">
        <v>0</v>
      </c>
      <c r="BJ272" s="408">
        <v>0</v>
      </c>
      <c r="BK272" s="408">
        <v>0</v>
      </c>
      <c r="BL272" s="408">
        <v>2</v>
      </c>
      <c r="BM272" s="408"/>
      <c r="BN272" s="408"/>
      <c r="BO272" s="408"/>
      <c r="BP272" s="408"/>
      <c r="BQ272" s="408"/>
      <c r="BR272" s="408"/>
      <c r="BS272" s="408"/>
      <c r="BT272" s="408"/>
      <c r="BU272" s="408"/>
      <c r="BV272" s="408"/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/>
      <c r="CJ272" s="408">
        <v>-0.03</v>
      </c>
      <c r="CK272" s="408"/>
      <c r="CL272" s="408"/>
      <c r="CM272" s="408"/>
      <c r="CN272" s="408"/>
      <c r="CO272" s="408">
        <v>0</v>
      </c>
      <c r="CP272" s="408">
        <v>0</v>
      </c>
      <c r="CQ272" s="408">
        <v>30</v>
      </c>
      <c r="CR272" s="408"/>
      <c r="CS272" s="408"/>
      <c r="CT272" s="408"/>
      <c r="CU272" s="408"/>
      <c r="CV272" s="408"/>
      <c r="CW272" s="408"/>
      <c r="CX272" s="408"/>
      <c r="CY272" s="408"/>
      <c r="CZ272" s="408"/>
      <c r="DA272" s="408"/>
      <c r="DB272" s="408"/>
      <c r="DC272" s="408"/>
      <c r="DD272" s="408"/>
      <c r="DE272" s="408"/>
      <c r="DF272" s="408"/>
      <c r="DG272" s="408"/>
      <c r="DH272" s="408"/>
      <c r="DI272" s="408"/>
      <c r="DJ272" s="408"/>
      <c r="DK272" s="408">
        <v>0</v>
      </c>
      <c r="DL272" s="408"/>
      <c r="DM272" s="408"/>
      <c r="DN272" s="408"/>
      <c r="DO272" s="408"/>
      <c r="DP272" s="408"/>
      <c r="DQ272" s="408"/>
      <c r="DR272" s="408"/>
      <c r="DS272" s="408"/>
      <c r="DT272" s="408"/>
      <c r="DU272" s="408"/>
      <c r="DV272" s="408"/>
      <c r="DW272" s="408"/>
      <c r="DX272" s="408"/>
      <c r="DY272" s="408"/>
      <c r="DZ272" s="408"/>
      <c r="EA272" s="408"/>
      <c r="EB272" s="408"/>
      <c r="EC272" s="408"/>
      <c r="ED272" s="408"/>
      <c r="EE272" s="408"/>
      <c r="EF272" s="408"/>
      <c r="EG272" s="408"/>
      <c r="EH272" s="408"/>
      <c r="EI272" s="408"/>
      <c r="EJ272" s="408"/>
      <c r="EK272" s="408"/>
      <c r="EL272" s="408"/>
      <c r="EM272" s="408"/>
      <c r="EN272" s="408"/>
      <c r="EO272" s="408"/>
      <c r="EP272" s="408"/>
      <c r="EQ272" s="408"/>
      <c r="ER272" s="408"/>
      <c r="ES272" s="408"/>
      <c r="ET272" s="408"/>
      <c r="EU272" s="408"/>
      <c r="EV272" s="408">
        <v>240</v>
      </c>
      <c r="EW272" s="408"/>
      <c r="EX272" s="408"/>
      <c r="EY272" s="408"/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271</v>
      </c>
      <c r="B273" s="408" t="s">
        <v>1036</v>
      </c>
      <c r="C273" s="408" t="s">
        <v>2235</v>
      </c>
      <c r="D273" s="408" t="s">
        <v>1955</v>
      </c>
      <c r="E273" s="408" t="s">
        <v>969</v>
      </c>
      <c r="F273" s="408" t="s">
        <v>2239</v>
      </c>
      <c r="G273" s="408" t="s">
        <v>1322</v>
      </c>
      <c r="H273" s="408" t="s">
        <v>1322</v>
      </c>
      <c r="I273" s="408" t="s">
        <v>1322</v>
      </c>
      <c r="J273" s="408" t="s">
        <v>2236</v>
      </c>
      <c r="K273" s="826">
        <v>44501</v>
      </c>
      <c r="L273" s="408">
        <v>0</v>
      </c>
      <c r="M273" s="408">
        <v>0</v>
      </c>
      <c r="N273" s="408">
        <v>23.49</v>
      </c>
      <c r="O273" s="408">
        <v>23.49</v>
      </c>
      <c r="P273" s="408">
        <v>23.49</v>
      </c>
      <c r="Q273" s="408">
        <v>23.49</v>
      </c>
      <c r="R273" s="408"/>
      <c r="S273" s="408">
        <v>281.47000000000003</v>
      </c>
      <c r="T273" s="408">
        <v>173.25</v>
      </c>
      <c r="U273" s="408"/>
      <c r="V273" s="408">
        <v>10681.372800000001</v>
      </c>
      <c r="W273" s="408">
        <v>10681.372800000001</v>
      </c>
      <c r="X273" s="408">
        <v>9971.5049999999992</v>
      </c>
      <c r="Y273" s="408">
        <v>0</v>
      </c>
      <c r="Z273" s="408">
        <v>0</v>
      </c>
      <c r="AA273" s="408">
        <v>0</v>
      </c>
      <c r="AB273" s="408">
        <v>0</v>
      </c>
      <c r="AC273" s="408">
        <v>60.123532701050458</v>
      </c>
      <c r="AD273" s="408">
        <v>57.765232942447184</v>
      </c>
      <c r="AE273" s="408">
        <v>5532.766615094436</v>
      </c>
      <c r="AF273" s="408">
        <v>4001.2976540490022</v>
      </c>
      <c r="AG273" s="408">
        <v>68.29091563241397</v>
      </c>
      <c r="AH273" s="408">
        <v>0</v>
      </c>
      <c r="AI273" s="408">
        <v>0</v>
      </c>
      <c r="AJ273" s="408">
        <v>0</v>
      </c>
      <c r="AK273" s="408">
        <v>0</v>
      </c>
      <c r="AL273" s="408">
        <v>0</v>
      </c>
      <c r="AM273" s="408"/>
      <c r="AN273" s="408">
        <v>28.372554220380287</v>
      </c>
      <c r="AO273" s="408">
        <v>127.6304614165453</v>
      </c>
      <c r="AP273" s="408">
        <v>595.12201265088299</v>
      </c>
      <c r="AQ273" s="408">
        <v>0</v>
      </c>
      <c r="AR273" s="408">
        <v>0</v>
      </c>
      <c r="AS273" s="408">
        <v>0</v>
      </c>
      <c r="AT273" s="408">
        <v>0</v>
      </c>
      <c r="AU273" s="408">
        <v>0</v>
      </c>
      <c r="AV273" s="408">
        <v>0</v>
      </c>
      <c r="AW273" s="408">
        <v>0</v>
      </c>
      <c r="AX273" s="408">
        <v>0</v>
      </c>
      <c r="AY273" s="408">
        <v>0</v>
      </c>
      <c r="AZ273" s="408">
        <v>0</v>
      </c>
      <c r="BA273" s="408"/>
      <c r="BB273" s="408">
        <v>0</v>
      </c>
      <c r="BC273" s="408">
        <v>0</v>
      </c>
      <c r="BD273" s="408">
        <v>0</v>
      </c>
      <c r="BE273" s="408">
        <v>0</v>
      </c>
      <c r="BF273" s="408">
        <v>0</v>
      </c>
      <c r="BG273" s="408">
        <v>209.99570997009516</v>
      </c>
      <c r="BH273" s="408">
        <v>0</v>
      </c>
      <c r="BI273" s="408">
        <v>0</v>
      </c>
      <c r="BJ273" s="408">
        <v>23.43</v>
      </c>
      <c r="BK273" s="408">
        <v>1461.92</v>
      </c>
      <c r="BL273" s="408">
        <v>22</v>
      </c>
      <c r="BM273" s="408"/>
      <c r="BN273" s="408"/>
      <c r="BO273" s="408"/>
      <c r="BP273" s="408"/>
      <c r="BQ273" s="408"/>
      <c r="BR273" s="408"/>
      <c r="BS273" s="408"/>
      <c r="BT273" s="408">
        <v>6481.5956999999999</v>
      </c>
      <c r="BU273" s="408"/>
      <c r="BV273" s="408">
        <v>4211.2933640190977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3489.9092999999993</v>
      </c>
      <c r="CJ273" s="408">
        <v>-248.78910000000087</v>
      </c>
      <c r="CK273" s="408"/>
      <c r="CL273" s="408"/>
      <c r="CM273" s="408"/>
      <c r="CN273" s="408"/>
      <c r="CO273" s="408">
        <v>-1217.0169000000005</v>
      </c>
      <c r="CP273" s="408">
        <v>507.14910000000003</v>
      </c>
      <c r="CQ273" s="408">
        <v>30</v>
      </c>
      <c r="CR273" s="408">
        <v>664.40207324698986</v>
      </c>
      <c r="CS273" s="408">
        <v>12.718102677370211</v>
      </c>
      <c r="CT273" s="408">
        <v>59.302636521504155</v>
      </c>
      <c r="CU273" s="408">
        <v>0</v>
      </c>
      <c r="CV273" s="408">
        <v>0</v>
      </c>
      <c r="CW273" s="408">
        <v>0</v>
      </c>
      <c r="CX273" s="408">
        <v>0</v>
      </c>
      <c r="CY273" s="408">
        <v>0</v>
      </c>
      <c r="CZ273" s="408">
        <v>59.479050169100148</v>
      </c>
      <c r="DA273" s="408">
        <v>0</v>
      </c>
      <c r="DB273" s="408">
        <v>0</v>
      </c>
      <c r="DC273" s="408">
        <v>507.09183993385932</v>
      </c>
      <c r="DD273" s="408">
        <v>0</v>
      </c>
      <c r="DE273" s="408">
        <v>0</v>
      </c>
      <c r="DF273" s="408">
        <v>0</v>
      </c>
      <c r="DG273" s="408">
        <v>26.613144073198129</v>
      </c>
      <c r="DH273" s="408">
        <v>0</v>
      </c>
      <c r="DI273" s="408">
        <v>0</v>
      </c>
      <c r="DJ273" s="408"/>
      <c r="DK273" s="408">
        <v>0</v>
      </c>
      <c r="DL273" s="408">
        <v>0</v>
      </c>
      <c r="DM273" s="408">
        <v>0</v>
      </c>
      <c r="DN273" s="408">
        <v>0</v>
      </c>
      <c r="DO273" s="408">
        <v>0</v>
      </c>
      <c r="DP273" s="408">
        <v>-0.80270012804060542</v>
      </c>
      <c r="DQ273" s="408">
        <v>0</v>
      </c>
      <c r="DR273" s="408">
        <v>0</v>
      </c>
      <c r="DS273" s="408"/>
      <c r="DT273" s="408"/>
      <c r="DU273" s="408"/>
      <c r="DV273" s="408">
        <v>5532.766615094436</v>
      </c>
      <c r="DW273" s="408">
        <v>0</v>
      </c>
      <c r="DX273" s="408">
        <v>0</v>
      </c>
      <c r="DY273" s="408">
        <v>-1217.0169000000005</v>
      </c>
      <c r="DZ273" s="408">
        <v>507.14909999999963</v>
      </c>
      <c r="EA273" s="408">
        <v>0</v>
      </c>
      <c r="EB273" s="408">
        <v>0</v>
      </c>
      <c r="EC273" s="408">
        <v>-1374.4330771090335</v>
      </c>
      <c r="ED273" s="408">
        <v>0</v>
      </c>
      <c r="EE273" s="408">
        <v>0</v>
      </c>
      <c r="EF273" s="408">
        <v>0</v>
      </c>
      <c r="EG273" s="408">
        <v>0</v>
      </c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>
        <v>0</v>
      </c>
      <c r="EN273" s="408">
        <v>0</v>
      </c>
      <c r="EO273" s="408">
        <v>0</v>
      </c>
      <c r="EP273" s="408">
        <v>0</v>
      </c>
      <c r="EQ273" s="408">
        <v>0</v>
      </c>
      <c r="ER273" s="408">
        <v>0</v>
      </c>
      <c r="ES273" s="408">
        <v>0</v>
      </c>
      <c r="ET273" s="408">
        <v>0</v>
      </c>
      <c r="EU273" s="408">
        <v>0</v>
      </c>
      <c r="EV273" s="408">
        <v>240</v>
      </c>
      <c r="EW273" s="408">
        <v>0</v>
      </c>
      <c r="EX273" s="408">
        <v>0</v>
      </c>
      <c r="EY273" s="408">
        <v>0</v>
      </c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272</v>
      </c>
      <c r="B274" s="408" t="s">
        <v>2238</v>
      </c>
      <c r="C274" s="408" t="s">
        <v>2235</v>
      </c>
      <c r="D274" s="408" t="s">
        <v>1955</v>
      </c>
      <c r="E274" s="408" t="s">
        <v>969</v>
      </c>
      <c r="F274" s="408" t="s">
        <v>2239</v>
      </c>
      <c r="G274" s="408" t="s">
        <v>1322</v>
      </c>
      <c r="H274" s="408" t="s">
        <v>1322</v>
      </c>
      <c r="I274" s="408" t="s">
        <v>1322</v>
      </c>
      <c r="J274" s="408" t="s">
        <v>2236</v>
      </c>
      <c r="K274" s="826">
        <v>44501</v>
      </c>
      <c r="L274" s="408">
        <v>0</v>
      </c>
      <c r="M274" s="408">
        <v>0</v>
      </c>
      <c r="N274" s="408">
        <v>0</v>
      </c>
      <c r="O274" s="408">
        <v>0</v>
      </c>
      <c r="P274" s="408">
        <v>0</v>
      </c>
      <c r="Q274" s="408">
        <v>0</v>
      </c>
      <c r="R274" s="408"/>
      <c r="S274" s="408"/>
      <c r="T274" s="408"/>
      <c r="U274" s="408"/>
      <c r="V274" s="408"/>
      <c r="W274" s="408"/>
      <c r="X274" s="408"/>
      <c r="Y274" s="408"/>
      <c r="Z274" s="408"/>
      <c r="AA274" s="408">
        <v>0</v>
      </c>
      <c r="AB274" s="408"/>
      <c r="AC274" s="408"/>
      <c r="AD274" s="408"/>
      <c r="AE274" s="408"/>
      <c r="AF274" s="408"/>
      <c r="AG274" s="408"/>
      <c r="AH274" s="408"/>
      <c r="AI274" s="408"/>
      <c r="AJ274" s="408"/>
      <c r="AK274" s="408"/>
      <c r="AL274" s="408"/>
      <c r="AM274" s="408"/>
      <c r="AN274" s="408"/>
      <c r="AO274" s="408"/>
      <c r="AP274" s="408"/>
      <c r="AQ274" s="408"/>
      <c r="AR274" s="408"/>
      <c r="AS274" s="408"/>
      <c r="AT274" s="408"/>
      <c r="AU274" s="408"/>
      <c r="AV274" s="408"/>
      <c r="AW274" s="408"/>
      <c r="AX274" s="408"/>
      <c r="AY274" s="408"/>
      <c r="AZ274" s="408">
        <v>0</v>
      </c>
      <c r="BA274" s="408"/>
      <c r="BB274" s="408"/>
      <c r="BC274" s="408"/>
      <c r="BD274" s="408"/>
      <c r="BE274" s="408"/>
      <c r="BF274" s="408"/>
      <c r="BG274" s="408"/>
      <c r="BH274" s="408"/>
      <c r="BI274" s="408">
        <v>0</v>
      </c>
      <c r="BJ274" s="408">
        <v>0</v>
      </c>
      <c r="BK274" s="408">
        <v>1.03</v>
      </c>
      <c r="BL274" s="408">
        <v>0</v>
      </c>
      <c r="BM274" s="408"/>
      <c r="BN274" s="408"/>
      <c r="BO274" s="408"/>
      <c r="BP274" s="408"/>
      <c r="BQ274" s="408"/>
      <c r="BR274" s="408"/>
      <c r="BS274" s="408"/>
      <c r="BT274" s="408"/>
      <c r="BU274" s="408"/>
      <c r="BV274" s="408"/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/>
      <c r="CJ274" s="408">
        <v>-0.03</v>
      </c>
      <c r="CK274" s="408"/>
      <c r="CL274" s="408"/>
      <c r="CM274" s="408"/>
      <c r="CN274" s="408"/>
      <c r="CO274" s="408">
        <v>0</v>
      </c>
      <c r="CP274" s="408">
        <v>0</v>
      </c>
      <c r="CQ274" s="408">
        <v>30</v>
      </c>
      <c r="CR274" s="408"/>
      <c r="CS274" s="408"/>
      <c r="CT274" s="408"/>
      <c r="CU274" s="408"/>
      <c r="CV274" s="408"/>
      <c r="CW274" s="408"/>
      <c r="CX274" s="408"/>
      <c r="CY274" s="408"/>
      <c r="CZ274" s="408"/>
      <c r="DA274" s="408"/>
      <c r="DB274" s="408"/>
      <c r="DC274" s="408"/>
      <c r="DD274" s="408"/>
      <c r="DE274" s="408"/>
      <c r="DF274" s="408"/>
      <c r="DG274" s="408"/>
      <c r="DH274" s="408"/>
      <c r="DI274" s="408"/>
      <c r="DJ274" s="408"/>
      <c r="DK274" s="408">
        <v>0</v>
      </c>
      <c r="DL274" s="408"/>
      <c r="DM274" s="408"/>
      <c r="DN274" s="408"/>
      <c r="DO274" s="408"/>
      <c r="DP274" s="408"/>
      <c r="DQ274" s="408"/>
      <c r="DR274" s="408"/>
      <c r="DS274" s="408"/>
      <c r="DT274" s="408"/>
      <c r="DU274" s="408"/>
      <c r="DV274" s="408"/>
      <c r="DW274" s="408"/>
      <c r="DX274" s="408"/>
      <c r="DY274" s="408"/>
      <c r="DZ274" s="408"/>
      <c r="EA274" s="408"/>
      <c r="EB274" s="408"/>
      <c r="EC274" s="408"/>
      <c r="ED274" s="408"/>
      <c r="EE274" s="408"/>
      <c r="EF274" s="408"/>
      <c r="EG274" s="408"/>
      <c r="EH274" s="408"/>
      <c r="EI274" s="408"/>
      <c r="EJ274" s="408"/>
      <c r="EK274" s="408"/>
      <c r="EL274" s="408"/>
      <c r="EM274" s="408"/>
      <c r="EN274" s="408"/>
      <c r="EO274" s="408"/>
      <c r="EP274" s="408"/>
      <c r="EQ274" s="408"/>
      <c r="ER274" s="408"/>
      <c r="ES274" s="408"/>
      <c r="ET274" s="408"/>
      <c r="EU274" s="408"/>
      <c r="EV274" s="408">
        <v>240</v>
      </c>
      <c r="EW274" s="408"/>
      <c r="EX274" s="408"/>
      <c r="EY274" s="408"/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273</v>
      </c>
      <c r="B275" s="408" t="s">
        <v>1036</v>
      </c>
      <c r="C275" s="408" t="s">
        <v>2235</v>
      </c>
      <c r="D275" s="408" t="s">
        <v>1955</v>
      </c>
      <c r="E275" s="408" t="s">
        <v>969</v>
      </c>
      <c r="F275" s="408" t="s">
        <v>2240</v>
      </c>
      <c r="G275" s="408" t="s">
        <v>1322</v>
      </c>
      <c r="H275" s="408" t="s">
        <v>1322</v>
      </c>
      <c r="I275" s="408" t="s">
        <v>1322</v>
      </c>
      <c r="J275" s="408" t="s">
        <v>2236</v>
      </c>
      <c r="K275" s="826">
        <v>44501</v>
      </c>
      <c r="L275" s="408">
        <v>0</v>
      </c>
      <c r="M275" s="408">
        <v>0</v>
      </c>
      <c r="N275" s="408">
        <v>51.12</v>
      </c>
      <c r="O275" s="408">
        <v>51.12</v>
      </c>
      <c r="P275" s="408">
        <v>51.12</v>
      </c>
      <c r="Q275" s="408">
        <v>51.12</v>
      </c>
      <c r="R275" s="408"/>
      <c r="S275" s="408">
        <v>281.47000000000003</v>
      </c>
      <c r="T275" s="408">
        <v>173.25</v>
      </c>
      <c r="U275" s="408"/>
      <c r="V275" s="408">
        <v>23245.286399999997</v>
      </c>
      <c r="W275" s="408">
        <v>23245.286399999997</v>
      </c>
      <c r="X275" s="408">
        <v>21700.44</v>
      </c>
      <c r="Y275" s="408">
        <v>0</v>
      </c>
      <c r="Z275" s="408">
        <v>0</v>
      </c>
      <c r="AA275" s="408">
        <v>0</v>
      </c>
      <c r="AB275" s="408">
        <v>0</v>
      </c>
      <c r="AC275" s="408">
        <v>130.84355009270752</v>
      </c>
      <c r="AD275" s="408">
        <v>125.71131153758621</v>
      </c>
      <c r="AE275" s="408">
        <v>12040.656848174864</v>
      </c>
      <c r="AF275" s="408">
        <v>8707.8048563211996</v>
      </c>
      <c r="AG275" s="408">
        <v>148.61777808126871</v>
      </c>
      <c r="AH275" s="408">
        <v>0</v>
      </c>
      <c r="AI275" s="408">
        <v>0</v>
      </c>
      <c r="AJ275" s="408">
        <v>0</v>
      </c>
      <c r="AK275" s="408">
        <v>0</v>
      </c>
      <c r="AL275" s="408">
        <v>0</v>
      </c>
      <c r="AM275" s="408"/>
      <c r="AN275" s="408">
        <v>61.745635238222242</v>
      </c>
      <c r="AO275" s="408">
        <v>277.75518040075758</v>
      </c>
      <c r="AP275" s="408">
        <v>1295.1314298302741</v>
      </c>
      <c r="AQ275" s="408">
        <v>0</v>
      </c>
      <c r="AR275" s="408">
        <v>0</v>
      </c>
      <c r="AS275" s="408">
        <v>0</v>
      </c>
      <c r="AT275" s="408">
        <v>0</v>
      </c>
      <c r="AU275" s="408">
        <v>0</v>
      </c>
      <c r="AV275" s="408">
        <v>0</v>
      </c>
      <c r="AW275" s="408">
        <v>0</v>
      </c>
      <c r="AX275" s="408">
        <v>0</v>
      </c>
      <c r="AY275" s="408">
        <v>0</v>
      </c>
      <c r="AZ275" s="408">
        <v>0</v>
      </c>
      <c r="BA275" s="408"/>
      <c r="BB275" s="408">
        <v>0</v>
      </c>
      <c r="BC275" s="408">
        <v>0</v>
      </c>
      <c r="BD275" s="408">
        <v>0</v>
      </c>
      <c r="BE275" s="408">
        <v>0</v>
      </c>
      <c r="BF275" s="408">
        <v>0</v>
      </c>
      <c r="BG275" s="408">
        <v>457.00215809583932</v>
      </c>
      <c r="BH275" s="408">
        <v>0</v>
      </c>
      <c r="BI275" s="408">
        <v>7.41</v>
      </c>
      <c r="BJ275" s="408">
        <v>81.06</v>
      </c>
      <c r="BK275" s="408">
        <v>5679.65</v>
      </c>
      <c r="BL275" s="408">
        <v>97</v>
      </c>
      <c r="BM275" s="408"/>
      <c r="BN275" s="408"/>
      <c r="BO275" s="408"/>
      <c r="BP275" s="408"/>
      <c r="BQ275" s="408"/>
      <c r="BR275" s="408"/>
      <c r="BS275" s="408"/>
      <c r="BT275" s="408">
        <v>8680.6872000000003</v>
      </c>
      <c r="BU275" s="408"/>
      <c r="BV275" s="408">
        <v>9164.8070144170397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13019.752799999998</v>
      </c>
      <c r="CJ275" s="408">
        <v>-927.34680000000117</v>
      </c>
      <c r="CK275" s="408"/>
      <c r="CL275" s="408"/>
      <c r="CM275" s="408"/>
      <c r="CN275" s="408"/>
      <c r="CO275" s="408">
        <v>-2648.5272000000014</v>
      </c>
      <c r="CP275" s="408">
        <v>1103.6808000000001</v>
      </c>
      <c r="CQ275" s="408">
        <v>30</v>
      </c>
      <c r="CR275" s="408">
        <v>1445.9018299014988</v>
      </c>
      <c r="CS275" s="408">
        <v>27.677710041173555</v>
      </c>
      <c r="CT275" s="408">
        <v>129.05707871346499</v>
      </c>
      <c r="CU275" s="408">
        <v>0</v>
      </c>
      <c r="CV275" s="408">
        <v>0</v>
      </c>
      <c r="CW275" s="408">
        <v>0</v>
      </c>
      <c r="CX275" s="408">
        <v>0</v>
      </c>
      <c r="CY275" s="408">
        <v>0</v>
      </c>
      <c r="CZ275" s="408">
        <v>129.44099806915278</v>
      </c>
      <c r="DA275" s="408">
        <v>0</v>
      </c>
      <c r="DB275" s="408">
        <v>0</v>
      </c>
      <c r="DC275" s="408">
        <v>1103.5561880552978</v>
      </c>
      <c r="DD275" s="408">
        <v>0</v>
      </c>
      <c r="DE275" s="408">
        <v>0</v>
      </c>
      <c r="DF275" s="408">
        <v>0</v>
      </c>
      <c r="DG275" s="408">
        <v>57.916727331710774</v>
      </c>
      <c r="DH275" s="408">
        <v>0</v>
      </c>
      <c r="DI275" s="408">
        <v>0</v>
      </c>
      <c r="DJ275" s="408"/>
      <c r="DK275" s="408">
        <v>0</v>
      </c>
      <c r="DL275" s="408">
        <v>0</v>
      </c>
      <c r="DM275" s="408">
        <v>0</v>
      </c>
      <c r="DN275" s="408">
        <v>0</v>
      </c>
      <c r="DO275" s="408">
        <v>0</v>
      </c>
      <c r="DP275" s="408">
        <v>-1.7468723092990999</v>
      </c>
      <c r="DQ275" s="408">
        <v>0</v>
      </c>
      <c r="DR275" s="408">
        <v>0</v>
      </c>
      <c r="DS275" s="408"/>
      <c r="DT275" s="408"/>
      <c r="DU275" s="408"/>
      <c r="DV275" s="408">
        <v>12040.656848174864</v>
      </c>
      <c r="DW275" s="408">
        <v>0</v>
      </c>
      <c r="DX275" s="408">
        <v>0</v>
      </c>
      <c r="DY275" s="408">
        <v>-2648.5272000000004</v>
      </c>
      <c r="DZ275" s="408">
        <v>1103.6808000000001</v>
      </c>
      <c r="EA275" s="408">
        <v>0</v>
      </c>
      <c r="EB275" s="408">
        <v>0</v>
      </c>
      <c r="EC275" s="408">
        <v>-2991.1034015246405</v>
      </c>
      <c r="ED275" s="408">
        <v>0</v>
      </c>
      <c r="EE275" s="408">
        <v>0</v>
      </c>
      <c r="EF275" s="408">
        <v>0</v>
      </c>
      <c r="EG275" s="408">
        <v>0</v>
      </c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>
        <v>0</v>
      </c>
      <c r="EN275" s="408">
        <v>0</v>
      </c>
      <c r="EO275" s="408">
        <v>0</v>
      </c>
      <c r="EP275" s="408">
        <v>0</v>
      </c>
      <c r="EQ275" s="408">
        <v>0</v>
      </c>
      <c r="ER275" s="408">
        <v>0</v>
      </c>
      <c r="ES275" s="408">
        <v>0</v>
      </c>
      <c r="ET275" s="408">
        <v>0</v>
      </c>
      <c r="EU275" s="408">
        <v>0</v>
      </c>
      <c r="EV275" s="408">
        <v>240</v>
      </c>
      <c r="EW275" s="408">
        <v>0</v>
      </c>
      <c r="EX275" s="408">
        <v>0</v>
      </c>
      <c r="EY275" s="408">
        <v>0</v>
      </c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274</v>
      </c>
      <c r="B276" s="408" t="s">
        <v>2238</v>
      </c>
      <c r="C276" s="408" t="s">
        <v>2235</v>
      </c>
      <c r="D276" s="408" t="s">
        <v>1955</v>
      </c>
      <c r="E276" s="408" t="s">
        <v>969</v>
      </c>
      <c r="F276" s="408" t="s">
        <v>2240</v>
      </c>
      <c r="G276" s="408" t="s">
        <v>1322</v>
      </c>
      <c r="H276" s="408" t="s">
        <v>1322</v>
      </c>
      <c r="I276" s="408" t="s">
        <v>1322</v>
      </c>
      <c r="J276" s="408" t="s">
        <v>2236</v>
      </c>
      <c r="K276" s="826">
        <v>44501</v>
      </c>
      <c r="L276" s="408">
        <v>0</v>
      </c>
      <c r="M276" s="408">
        <v>0</v>
      </c>
      <c r="N276" s="408">
        <v>0</v>
      </c>
      <c r="O276" s="408">
        <v>0</v>
      </c>
      <c r="P276" s="408">
        <v>0</v>
      </c>
      <c r="Q276" s="408">
        <v>0</v>
      </c>
      <c r="R276" s="408"/>
      <c r="S276" s="408"/>
      <c r="T276" s="408"/>
      <c r="U276" s="408"/>
      <c r="V276" s="408"/>
      <c r="W276" s="408"/>
      <c r="X276" s="408"/>
      <c r="Y276" s="408"/>
      <c r="Z276" s="408"/>
      <c r="AA276" s="408">
        <v>0</v>
      </c>
      <c r="AB276" s="408"/>
      <c r="AC276" s="408"/>
      <c r="AD276" s="408"/>
      <c r="AE276" s="408"/>
      <c r="AF276" s="408"/>
      <c r="AG276" s="408"/>
      <c r="AH276" s="408"/>
      <c r="AI276" s="408"/>
      <c r="AJ276" s="408"/>
      <c r="AK276" s="408"/>
      <c r="AL276" s="408"/>
      <c r="AM276" s="408"/>
      <c r="AN276" s="408"/>
      <c r="AO276" s="408"/>
      <c r="AP276" s="408"/>
      <c r="AQ276" s="408"/>
      <c r="AR276" s="408"/>
      <c r="AS276" s="408"/>
      <c r="AT276" s="408"/>
      <c r="AU276" s="408"/>
      <c r="AV276" s="408"/>
      <c r="AW276" s="408"/>
      <c r="AX276" s="408"/>
      <c r="AY276" s="408"/>
      <c r="AZ276" s="408">
        <v>0</v>
      </c>
      <c r="BA276" s="408"/>
      <c r="BB276" s="408"/>
      <c r="BC276" s="408"/>
      <c r="BD276" s="408"/>
      <c r="BE276" s="408"/>
      <c r="BF276" s="408"/>
      <c r="BG276" s="408"/>
      <c r="BH276" s="408"/>
      <c r="BI276" s="408">
        <v>0</v>
      </c>
      <c r="BJ276" s="408">
        <v>0</v>
      </c>
      <c r="BK276" s="408">
        <v>4.13</v>
      </c>
      <c r="BL276" s="408">
        <v>0</v>
      </c>
      <c r="BM276" s="408"/>
      <c r="BN276" s="408"/>
      <c r="BO276" s="408"/>
      <c r="BP276" s="408"/>
      <c r="BQ276" s="408"/>
      <c r="BR276" s="408"/>
      <c r="BS276" s="408"/>
      <c r="BT276" s="408"/>
      <c r="BU276" s="408"/>
      <c r="BV276" s="408"/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/>
      <c r="CJ276" s="408">
        <v>-0.03</v>
      </c>
      <c r="CK276" s="408"/>
      <c r="CL276" s="408"/>
      <c r="CM276" s="408"/>
      <c r="CN276" s="408"/>
      <c r="CO276" s="408">
        <v>0</v>
      </c>
      <c r="CP276" s="408">
        <v>0</v>
      </c>
      <c r="CQ276" s="408">
        <v>30</v>
      </c>
      <c r="CR276" s="408"/>
      <c r="CS276" s="408"/>
      <c r="CT276" s="408"/>
      <c r="CU276" s="408"/>
      <c r="CV276" s="408"/>
      <c r="CW276" s="408"/>
      <c r="CX276" s="408"/>
      <c r="CY276" s="408"/>
      <c r="CZ276" s="408"/>
      <c r="DA276" s="408"/>
      <c r="DB276" s="408"/>
      <c r="DC276" s="408"/>
      <c r="DD276" s="408"/>
      <c r="DE276" s="408"/>
      <c r="DF276" s="408"/>
      <c r="DG276" s="408"/>
      <c r="DH276" s="408"/>
      <c r="DI276" s="408"/>
      <c r="DJ276" s="408"/>
      <c r="DK276" s="408">
        <v>0</v>
      </c>
      <c r="DL276" s="408"/>
      <c r="DM276" s="408"/>
      <c r="DN276" s="408"/>
      <c r="DO276" s="408"/>
      <c r="DP276" s="408"/>
      <c r="DQ276" s="408"/>
      <c r="DR276" s="408"/>
      <c r="DS276" s="408"/>
      <c r="DT276" s="408"/>
      <c r="DU276" s="408"/>
      <c r="DV276" s="408"/>
      <c r="DW276" s="408"/>
      <c r="DX276" s="408"/>
      <c r="DY276" s="408"/>
      <c r="DZ276" s="408"/>
      <c r="EA276" s="408"/>
      <c r="EB276" s="408"/>
      <c r="EC276" s="408"/>
      <c r="ED276" s="408"/>
      <c r="EE276" s="408"/>
      <c r="EF276" s="408"/>
      <c r="EG276" s="408"/>
      <c r="EH276" s="408"/>
      <c r="EI276" s="408"/>
      <c r="EJ276" s="408"/>
      <c r="EK276" s="408"/>
      <c r="EL276" s="408"/>
      <c r="EM276" s="408"/>
      <c r="EN276" s="408"/>
      <c r="EO276" s="408"/>
      <c r="EP276" s="408"/>
      <c r="EQ276" s="408"/>
      <c r="ER276" s="408"/>
      <c r="ES276" s="408"/>
      <c r="ET276" s="408"/>
      <c r="EU276" s="408"/>
      <c r="EV276" s="408">
        <v>240</v>
      </c>
      <c r="EW276" s="408"/>
      <c r="EX276" s="408"/>
      <c r="EY276" s="408"/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275</v>
      </c>
      <c r="B277" s="408" t="s">
        <v>1036</v>
      </c>
      <c r="C277" s="408" t="s">
        <v>2235</v>
      </c>
      <c r="D277" s="408" t="s">
        <v>1955</v>
      </c>
      <c r="E277" s="408" t="s">
        <v>969</v>
      </c>
      <c r="F277" s="408" t="s">
        <v>2241</v>
      </c>
      <c r="G277" s="408" t="s">
        <v>1322</v>
      </c>
      <c r="H277" s="408" t="s">
        <v>1322</v>
      </c>
      <c r="I277" s="408" t="s">
        <v>1322</v>
      </c>
      <c r="J277" s="408" t="s">
        <v>2236</v>
      </c>
      <c r="K277" s="826">
        <v>44501</v>
      </c>
      <c r="L277" s="408">
        <v>0</v>
      </c>
      <c r="M277" s="408">
        <v>0</v>
      </c>
      <c r="N277" s="408">
        <v>55.491</v>
      </c>
      <c r="O277" s="408">
        <v>55.491</v>
      </c>
      <c r="P277" s="408">
        <v>55.491</v>
      </c>
      <c r="Q277" s="408">
        <v>55.491</v>
      </c>
      <c r="R277" s="408"/>
      <c r="S277" s="408">
        <v>281.47000000000003</v>
      </c>
      <c r="T277" s="408">
        <v>173.25</v>
      </c>
      <c r="U277" s="408"/>
      <c r="V277" s="408">
        <v>25232.86752</v>
      </c>
      <c r="W277" s="408">
        <v>25232.86752</v>
      </c>
      <c r="X277" s="408">
        <v>23555.929499999998</v>
      </c>
      <c r="Y277" s="408">
        <v>0</v>
      </c>
      <c r="Z277" s="408">
        <v>0</v>
      </c>
      <c r="AA277" s="408">
        <v>0</v>
      </c>
      <c r="AB277" s="408">
        <v>0</v>
      </c>
      <c r="AC277" s="408">
        <v>142.03128791460159</v>
      </c>
      <c r="AD277" s="408">
        <v>136.46021886800071</v>
      </c>
      <c r="AE277" s="408">
        <v>13070.189537599206</v>
      </c>
      <c r="AF277" s="408">
        <v>9452.3630532496045</v>
      </c>
      <c r="AG277" s="408">
        <v>161.32529584326451</v>
      </c>
      <c r="AH277" s="408">
        <v>0</v>
      </c>
      <c r="AI277" s="408">
        <v>0</v>
      </c>
      <c r="AJ277" s="408">
        <v>0</v>
      </c>
      <c r="AK277" s="408">
        <v>0</v>
      </c>
      <c r="AL277" s="408">
        <v>0</v>
      </c>
      <c r="AM277" s="408"/>
      <c r="AN277" s="408">
        <v>67.025176936701683</v>
      </c>
      <c r="AO277" s="408">
        <v>301.50455233995382</v>
      </c>
      <c r="AP277" s="408">
        <v>1405.8712475100106</v>
      </c>
      <c r="AQ277" s="408">
        <v>0</v>
      </c>
      <c r="AR277" s="408">
        <v>0</v>
      </c>
      <c r="AS277" s="408">
        <v>0</v>
      </c>
      <c r="AT277" s="408">
        <v>0</v>
      </c>
      <c r="AU277" s="408">
        <v>0</v>
      </c>
      <c r="AV277" s="408">
        <v>0</v>
      </c>
      <c r="AW277" s="408">
        <v>0</v>
      </c>
      <c r="AX277" s="408">
        <v>0</v>
      </c>
      <c r="AY277" s="408">
        <v>0</v>
      </c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0</v>
      </c>
      <c r="BF277" s="408">
        <v>0</v>
      </c>
      <c r="BG277" s="408">
        <v>496.07798816307161</v>
      </c>
      <c r="BH277" s="408">
        <v>0</v>
      </c>
      <c r="BI277" s="408">
        <v>16.21</v>
      </c>
      <c r="BJ277" s="408">
        <v>138.16</v>
      </c>
      <c r="BK277" s="408">
        <v>10152.27</v>
      </c>
      <c r="BL277" s="408">
        <v>398</v>
      </c>
      <c r="BM277" s="408"/>
      <c r="BN277" s="408"/>
      <c r="BO277" s="408"/>
      <c r="BP277" s="408"/>
      <c r="BQ277" s="408"/>
      <c r="BR277" s="408"/>
      <c r="BS277" s="408"/>
      <c r="BT277" s="408">
        <v>2356.1478600000005</v>
      </c>
      <c r="BU277" s="408"/>
      <c r="BV277" s="408">
        <v>9948.441041412676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21199.399600000001</v>
      </c>
      <c r="CJ277" s="408">
        <v>-1509.7672399999974</v>
      </c>
      <c r="CK277" s="408"/>
      <c r="CL277" s="408"/>
      <c r="CM277" s="408"/>
      <c r="CN277" s="408"/>
      <c r="CO277" s="408">
        <v>-2874.9887100000019</v>
      </c>
      <c r="CP277" s="408">
        <v>1198.0506900000003</v>
      </c>
      <c r="CQ277" s="408">
        <v>30</v>
      </c>
      <c r="CR277" s="408">
        <v>1569.5332246295784</v>
      </c>
      <c r="CS277" s="408">
        <v>30.044284191994564</v>
      </c>
      <c r="CT277" s="408">
        <v>140.09206484524429</v>
      </c>
      <c r="CU277" s="408">
        <v>0</v>
      </c>
      <c r="CV277" s="408">
        <v>0</v>
      </c>
      <c r="CW277" s="408">
        <v>0</v>
      </c>
      <c r="CX277" s="408">
        <v>0</v>
      </c>
      <c r="CY277" s="408">
        <v>0</v>
      </c>
      <c r="CZ277" s="408">
        <v>140.50881110828169</v>
      </c>
      <c r="DA277" s="408">
        <v>0</v>
      </c>
      <c r="DB277" s="408">
        <v>0</v>
      </c>
      <c r="DC277" s="408">
        <v>1197.9154231489902</v>
      </c>
      <c r="DD277" s="408">
        <v>0</v>
      </c>
      <c r="DE277" s="408">
        <v>0</v>
      </c>
      <c r="DF277" s="408">
        <v>0</v>
      </c>
      <c r="DG277" s="408">
        <v>62.868879428090054</v>
      </c>
      <c r="DH277" s="408">
        <v>0</v>
      </c>
      <c r="DI277" s="408">
        <v>0</v>
      </c>
      <c r="DJ277" s="408"/>
      <c r="DK277" s="408">
        <v>0</v>
      </c>
      <c r="DL277" s="408">
        <v>0</v>
      </c>
      <c r="DM277" s="408">
        <v>0</v>
      </c>
      <c r="DN277" s="408">
        <v>0</v>
      </c>
      <c r="DO277" s="408">
        <v>0</v>
      </c>
      <c r="DP277" s="408">
        <v>-1.8962380930226033</v>
      </c>
      <c r="DQ277" s="408">
        <v>0</v>
      </c>
      <c r="DR277" s="408">
        <v>0</v>
      </c>
      <c r="DS277" s="408"/>
      <c r="DT277" s="408"/>
      <c r="DU277" s="408"/>
      <c r="DV277" s="408">
        <v>13070.189537599206</v>
      </c>
      <c r="DW277" s="408">
        <v>0</v>
      </c>
      <c r="DX277" s="408">
        <v>0</v>
      </c>
      <c r="DY277" s="408">
        <v>-2874.9887100000014</v>
      </c>
      <c r="DZ277" s="408">
        <v>1198.05069</v>
      </c>
      <c r="EA277" s="408">
        <v>0</v>
      </c>
      <c r="EB277" s="408">
        <v>0</v>
      </c>
      <c r="EC277" s="408">
        <v>-3246.8567850939708</v>
      </c>
      <c r="ED277" s="408">
        <v>0</v>
      </c>
      <c r="EE277" s="408">
        <v>0</v>
      </c>
      <c r="EF277" s="408">
        <v>0</v>
      </c>
      <c r="EG277" s="408">
        <v>0</v>
      </c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>
        <v>0</v>
      </c>
      <c r="EN277" s="408">
        <v>0</v>
      </c>
      <c r="EO277" s="408">
        <v>0</v>
      </c>
      <c r="EP277" s="408">
        <v>0</v>
      </c>
      <c r="EQ277" s="408">
        <v>0</v>
      </c>
      <c r="ER277" s="408">
        <v>0</v>
      </c>
      <c r="ES277" s="408">
        <v>0</v>
      </c>
      <c r="ET277" s="408">
        <v>0</v>
      </c>
      <c r="EU277" s="408">
        <v>0</v>
      </c>
      <c r="EV277" s="408">
        <v>240</v>
      </c>
      <c r="EW277" s="408">
        <v>0</v>
      </c>
      <c r="EX277" s="408">
        <v>0</v>
      </c>
      <c r="EY277" s="408">
        <v>0</v>
      </c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276</v>
      </c>
      <c r="B278" s="408" t="s">
        <v>2238</v>
      </c>
      <c r="C278" s="408" t="s">
        <v>2235</v>
      </c>
      <c r="D278" s="408" t="s">
        <v>1955</v>
      </c>
      <c r="E278" s="408" t="s">
        <v>969</v>
      </c>
      <c r="F278" s="408" t="s">
        <v>2241</v>
      </c>
      <c r="G278" s="408" t="s">
        <v>1322</v>
      </c>
      <c r="H278" s="408" t="s">
        <v>1322</v>
      </c>
      <c r="I278" s="408" t="s">
        <v>1322</v>
      </c>
      <c r="J278" s="408" t="s">
        <v>2236</v>
      </c>
      <c r="K278" s="826">
        <v>44501</v>
      </c>
      <c r="L278" s="408">
        <v>0</v>
      </c>
      <c r="M278" s="408">
        <v>0</v>
      </c>
      <c r="N278" s="408">
        <v>0</v>
      </c>
      <c r="O278" s="408">
        <v>0</v>
      </c>
      <c r="P278" s="408">
        <v>0</v>
      </c>
      <c r="Q278" s="408">
        <v>0</v>
      </c>
      <c r="R278" s="408"/>
      <c r="S278" s="408"/>
      <c r="T278" s="408"/>
      <c r="U278" s="408"/>
      <c r="V278" s="408"/>
      <c r="W278" s="408"/>
      <c r="X278" s="408"/>
      <c r="Y278" s="408"/>
      <c r="Z278" s="408"/>
      <c r="AA278" s="408">
        <v>0</v>
      </c>
      <c r="AB278" s="408"/>
      <c r="AC278" s="408"/>
      <c r="AD278" s="408"/>
      <c r="AE278" s="408"/>
      <c r="AF278" s="408"/>
      <c r="AG278" s="408"/>
      <c r="AH278" s="408"/>
      <c r="AI278" s="408"/>
      <c r="AJ278" s="408"/>
      <c r="AK278" s="408"/>
      <c r="AL278" s="408"/>
      <c r="AM278" s="408"/>
      <c r="AN278" s="408"/>
      <c r="AO278" s="408"/>
      <c r="AP278" s="408"/>
      <c r="AQ278" s="408"/>
      <c r="AR278" s="408"/>
      <c r="AS278" s="408"/>
      <c r="AT278" s="408"/>
      <c r="AU278" s="408"/>
      <c r="AV278" s="408"/>
      <c r="AW278" s="408"/>
      <c r="AX278" s="408"/>
      <c r="AY278" s="408"/>
      <c r="AZ278" s="408">
        <v>0</v>
      </c>
      <c r="BA278" s="408"/>
      <c r="BB278" s="408"/>
      <c r="BC278" s="408"/>
      <c r="BD278" s="408"/>
      <c r="BE278" s="408"/>
      <c r="BF278" s="408"/>
      <c r="BG278" s="408"/>
      <c r="BH278" s="408"/>
      <c r="BI278" s="408">
        <v>0</v>
      </c>
      <c r="BJ278" s="408">
        <v>0</v>
      </c>
      <c r="BK278" s="408">
        <v>10.62</v>
      </c>
      <c r="BL278" s="408">
        <v>0</v>
      </c>
      <c r="BM278" s="408"/>
      <c r="BN278" s="408"/>
      <c r="BO278" s="408"/>
      <c r="BP278" s="408"/>
      <c r="BQ278" s="408"/>
      <c r="BR278" s="408"/>
      <c r="BS278" s="408"/>
      <c r="BT278" s="408"/>
      <c r="BU278" s="408"/>
      <c r="BV278" s="408"/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/>
      <c r="CJ278" s="408">
        <v>-0.03</v>
      </c>
      <c r="CK278" s="408"/>
      <c r="CL278" s="408"/>
      <c r="CM278" s="408"/>
      <c r="CN278" s="408"/>
      <c r="CO278" s="408">
        <v>0</v>
      </c>
      <c r="CP278" s="408">
        <v>0</v>
      </c>
      <c r="CQ278" s="408">
        <v>30</v>
      </c>
      <c r="CR278" s="408"/>
      <c r="CS278" s="408"/>
      <c r="CT278" s="408"/>
      <c r="CU278" s="408"/>
      <c r="CV278" s="408"/>
      <c r="CW278" s="408"/>
      <c r="CX278" s="408"/>
      <c r="CY278" s="408"/>
      <c r="CZ278" s="408"/>
      <c r="DA278" s="408"/>
      <c r="DB278" s="408"/>
      <c r="DC278" s="408"/>
      <c r="DD278" s="408"/>
      <c r="DE278" s="408"/>
      <c r="DF278" s="408"/>
      <c r="DG278" s="408"/>
      <c r="DH278" s="408"/>
      <c r="DI278" s="408"/>
      <c r="DJ278" s="408"/>
      <c r="DK278" s="408">
        <v>0</v>
      </c>
      <c r="DL278" s="408"/>
      <c r="DM278" s="408"/>
      <c r="DN278" s="408"/>
      <c r="DO278" s="408"/>
      <c r="DP278" s="408"/>
      <c r="DQ278" s="408"/>
      <c r="DR278" s="408"/>
      <c r="DS278" s="408"/>
      <c r="DT278" s="408"/>
      <c r="DU278" s="408"/>
      <c r="DV278" s="408"/>
      <c r="DW278" s="408"/>
      <c r="DX278" s="408"/>
      <c r="DY278" s="408"/>
      <c r="DZ278" s="408"/>
      <c r="EA278" s="408"/>
      <c r="EB278" s="408"/>
      <c r="EC278" s="408"/>
      <c r="ED278" s="408"/>
      <c r="EE278" s="408"/>
      <c r="EF278" s="408"/>
      <c r="EG278" s="408"/>
      <c r="EH278" s="408"/>
      <c r="EI278" s="408"/>
      <c r="EJ278" s="408"/>
      <c r="EK278" s="408"/>
      <c r="EL278" s="408"/>
      <c r="EM278" s="408"/>
      <c r="EN278" s="408"/>
      <c r="EO278" s="408"/>
      <c r="EP278" s="408"/>
      <c r="EQ278" s="408"/>
      <c r="ER278" s="408"/>
      <c r="ES278" s="408"/>
      <c r="ET278" s="408"/>
      <c r="EU278" s="408"/>
      <c r="EV278" s="408">
        <v>240</v>
      </c>
      <c r="EW278" s="408"/>
      <c r="EX278" s="408"/>
      <c r="EY278" s="408"/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277</v>
      </c>
      <c r="B279" s="408" t="s">
        <v>1036</v>
      </c>
      <c r="C279" s="408" t="s">
        <v>2235</v>
      </c>
      <c r="D279" s="408" t="s">
        <v>1955</v>
      </c>
      <c r="E279" s="408" t="s">
        <v>969</v>
      </c>
      <c r="F279" s="408" t="s">
        <v>2242</v>
      </c>
      <c r="G279" s="408" t="s">
        <v>1322</v>
      </c>
      <c r="H279" s="408" t="s">
        <v>1322</v>
      </c>
      <c r="I279" s="408" t="s">
        <v>1322</v>
      </c>
      <c r="J279" s="408" t="s">
        <v>2236</v>
      </c>
      <c r="K279" s="826">
        <v>44501</v>
      </c>
      <c r="L279" s="408">
        <v>0</v>
      </c>
      <c r="M279" s="408">
        <v>0</v>
      </c>
      <c r="N279" s="408">
        <v>25.242000000000001</v>
      </c>
      <c r="O279" s="408">
        <v>25.242000000000001</v>
      </c>
      <c r="P279" s="408">
        <v>25.242000000000001</v>
      </c>
      <c r="Q279" s="408">
        <v>25.242000000000001</v>
      </c>
      <c r="R279" s="408"/>
      <c r="S279" s="408">
        <v>281.47000000000003</v>
      </c>
      <c r="T279" s="408">
        <v>173.25</v>
      </c>
      <c r="U279" s="408"/>
      <c r="V279" s="408">
        <v>11478.042240000002</v>
      </c>
      <c r="W279" s="408">
        <v>11478.042240000002</v>
      </c>
      <c r="X279" s="408">
        <v>10715.228999999999</v>
      </c>
      <c r="Y279" s="408">
        <v>0</v>
      </c>
      <c r="Z279" s="408">
        <v>0</v>
      </c>
      <c r="AA279" s="408">
        <v>0</v>
      </c>
      <c r="AB279" s="408">
        <v>0</v>
      </c>
      <c r="AC279" s="408">
        <v>64.607842164321653</v>
      </c>
      <c r="AD279" s="408">
        <v>62.073648783876202</v>
      </c>
      <c r="AE279" s="408">
        <v>5945.4276244450302</v>
      </c>
      <c r="AF279" s="408">
        <v>4299.7341585144704</v>
      </c>
      <c r="AG279" s="408">
        <v>73.38438877792224</v>
      </c>
      <c r="AH279" s="408">
        <v>0</v>
      </c>
      <c r="AI279" s="408">
        <v>0</v>
      </c>
      <c r="AJ279" s="408">
        <v>0</v>
      </c>
      <c r="AK279" s="408">
        <v>0</v>
      </c>
      <c r="AL279" s="408">
        <v>0</v>
      </c>
      <c r="AM279" s="408"/>
      <c r="AN279" s="408">
        <v>30.488719183943775</v>
      </c>
      <c r="AO279" s="408">
        <v>137.14977041619571</v>
      </c>
      <c r="AP279" s="408">
        <v>639.50914616149805</v>
      </c>
      <c r="AQ279" s="408">
        <v>0</v>
      </c>
      <c r="AR279" s="408">
        <v>0</v>
      </c>
      <c r="AS279" s="408">
        <v>0</v>
      </c>
      <c r="AT279" s="408">
        <v>0</v>
      </c>
      <c r="AU279" s="408">
        <v>0</v>
      </c>
      <c r="AV279" s="408">
        <v>0</v>
      </c>
      <c r="AW279" s="408">
        <v>0</v>
      </c>
      <c r="AX279" s="408">
        <v>0</v>
      </c>
      <c r="AY279" s="408">
        <v>0</v>
      </c>
      <c r="AZ279" s="408">
        <v>0</v>
      </c>
      <c r="BA279" s="408"/>
      <c r="BB279" s="408">
        <v>0</v>
      </c>
      <c r="BC279" s="408">
        <v>0</v>
      </c>
      <c r="BD279" s="408">
        <v>0</v>
      </c>
      <c r="BE279" s="408">
        <v>0</v>
      </c>
      <c r="BF279" s="408">
        <v>0</v>
      </c>
      <c r="BG279" s="408">
        <v>225.65822524755822</v>
      </c>
      <c r="BH279" s="408">
        <v>0</v>
      </c>
      <c r="BI279" s="408">
        <v>10.64</v>
      </c>
      <c r="BJ279" s="408">
        <v>85.96</v>
      </c>
      <c r="BK279" s="408">
        <v>6107.72</v>
      </c>
      <c r="BL279" s="408">
        <v>266</v>
      </c>
      <c r="BM279" s="408"/>
      <c r="BN279" s="408"/>
      <c r="BO279" s="408"/>
      <c r="BP279" s="408"/>
      <c r="BQ279" s="408"/>
      <c r="BR279" s="408"/>
      <c r="BS279" s="408"/>
      <c r="BT279" s="408"/>
      <c r="BU279" s="408"/>
      <c r="BV279" s="408">
        <v>4525.3923837620287</v>
      </c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>
        <v>10714.38</v>
      </c>
      <c r="CJ279" s="408">
        <v>-763.69224000000395</v>
      </c>
      <c r="CK279" s="408"/>
      <c r="CL279" s="408"/>
      <c r="CM279" s="408"/>
      <c r="CN279" s="408"/>
      <c r="CO279" s="408">
        <v>-1307.7880200000009</v>
      </c>
      <c r="CP279" s="408">
        <v>544.97478000000012</v>
      </c>
      <c r="CQ279" s="408">
        <v>30</v>
      </c>
      <c r="CR279" s="408">
        <v>713.95645521075221</v>
      </c>
      <c r="CS279" s="408">
        <v>13.666681472208552</v>
      </c>
      <c r="CT279" s="408">
        <v>63.725719500885816</v>
      </c>
      <c r="CU279" s="408">
        <v>0</v>
      </c>
      <c r="CV279" s="408">
        <v>0</v>
      </c>
      <c r="CW279" s="408">
        <v>0</v>
      </c>
      <c r="CX279" s="408">
        <v>0</v>
      </c>
      <c r="CY279" s="408">
        <v>0</v>
      </c>
      <c r="CZ279" s="408">
        <v>63.915290947995992</v>
      </c>
      <c r="DA279" s="408">
        <v>0</v>
      </c>
      <c r="DB279" s="408">
        <v>0</v>
      </c>
      <c r="DC279" s="408">
        <v>544.91324919584895</v>
      </c>
      <c r="DD279" s="408">
        <v>0</v>
      </c>
      <c r="DE279" s="408">
        <v>0</v>
      </c>
      <c r="DF279" s="408">
        <v>0</v>
      </c>
      <c r="DG279" s="408">
        <v>28.598083554519661</v>
      </c>
      <c r="DH279" s="408">
        <v>0</v>
      </c>
      <c r="DI279" s="408">
        <v>0</v>
      </c>
      <c r="DJ279" s="408"/>
      <c r="DK279" s="408">
        <v>0</v>
      </c>
      <c r="DL279" s="408">
        <v>0</v>
      </c>
      <c r="DM279" s="408">
        <v>0</v>
      </c>
      <c r="DN279" s="408">
        <v>0</v>
      </c>
      <c r="DO279" s="408">
        <v>0</v>
      </c>
      <c r="DP279" s="408">
        <v>-0.86256946070672313</v>
      </c>
      <c r="DQ279" s="408">
        <v>0</v>
      </c>
      <c r="DR279" s="408">
        <v>0</v>
      </c>
      <c r="DS279" s="408"/>
      <c r="DT279" s="408"/>
      <c r="DU279" s="408"/>
      <c r="DV279" s="408">
        <v>5945.4276244450302</v>
      </c>
      <c r="DW279" s="408">
        <v>0</v>
      </c>
      <c r="DX279" s="408">
        <v>0</v>
      </c>
      <c r="DY279" s="408">
        <v>-1307.7880200000009</v>
      </c>
      <c r="DZ279" s="408">
        <v>544.97477999999956</v>
      </c>
      <c r="EA279" s="408">
        <v>0</v>
      </c>
      <c r="EB279" s="408">
        <v>0</v>
      </c>
      <c r="EC279" s="408">
        <v>-1476.9450716213805</v>
      </c>
      <c r="ED279" s="408">
        <v>0</v>
      </c>
      <c r="EE279" s="408">
        <v>0</v>
      </c>
      <c r="EF279" s="408">
        <v>0</v>
      </c>
      <c r="EG279" s="408">
        <v>0</v>
      </c>
      <c r="EH279" s="408">
        <v>0</v>
      </c>
      <c r="EI279" s="408">
        <v>0</v>
      </c>
      <c r="EJ279" s="408">
        <v>0</v>
      </c>
      <c r="EK279" s="408">
        <v>0</v>
      </c>
      <c r="EL279" s="408">
        <v>0</v>
      </c>
      <c r="EM279" s="408">
        <v>0</v>
      </c>
      <c r="EN279" s="408">
        <v>0</v>
      </c>
      <c r="EO279" s="408">
        <v>0</v>
      </c>
      <c r="EP279" s="408">
        <v>0</v>
      </c>
      <c r="EQ279" s="408">
        <v>0</v>
      </c>
      <c r="ER279" s="408">
        <v>0</v>
      </c>
      <c r="ES279" s="408">
        <v>0</v>
      </c>
      <c r="ET279" s="408">
        <v>0</v>
      </c>
      <c r="EU279" s="408">
        <v>0</v>
      </c>
      <c r="EV279" s="408">
        <v>240</v>
      </c>
      <c r="EW279" s="408">
        <v>0</v>
      </c>
      <c r="EX279" s="408">
        <v>0</v>
      </c>
      <c r="EY279" s="408">
        <v>0</v>
      </c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278</v>
      </c>
      <c r="B280" s="408" t="s">
        <v>2238</v>
      </c>
      <c r="C280" s="408" t="s">
        <v>2235</v>
      </c>
      <c r="D280" s="408" t="s">
        <v>1955</v>
      </c>
      <c r="E280" s="408" t="s">
        <v>969</v>
      </c>
      <c r="F280" s="408" t="s">
        <v>2242</v>
      </c>
      <c r="G280" s="408" t="s">
        <v>1322</v>
      </c>
      <c r="H280" s="408" t="s">
        <v>1322</v>
      </c>
      <c r="I280" s="408" t="s">
        <v>1322</v>
      </c>
      <c r="J280" s="408" t="s">
        <v>2236</v>
      </c>
      <c r="K280" s="826">
        <v>44501</v>
      </c>
      <c r="L280" s="408">
        <v>0</v>
      </c>
      <c r="M280" s="408">
        <v>0</v>
      </c>
      <c r="N280" s="408">
        <v>0</v>
      </c>
      <c r="O280" s="408">
        <v>0</v>
      </c>
      <c r="P280" s="408">
        <v>0</v>
      </c>
      <c r="Q280" s="408">
        <v>0</v>
      </c>
      <c r="R280" s="408"/>
      <c r="S280" s="408"/>
      <c r="T280" s="408"/>
      <c r="U280" s="408"/>
      <c r="V280" s="408"/>
      <c r="W280" s="408"/>
      <c r="X280" s="408"/>
      <c r="Y280" s="408"/>
      <c r="Z280" s="408"/>
      <c r="AA280" s="408">
        <v>0</v>
      </c>
      <c r="AB280" s="408"/>
      <c r="AC280" s="408"/>
      <c r="AD280" s="408"/>
      <c r="AE280" s="408"/>
      <c r="AF280" s="408"/>
      <c r="AG280" s="408"/>
      <c r="AH280" s="408"/>
      <c r="AI280" s="408"/>
      <c r="AJ280" s="408"/>
      <c r="AK280" s="408"/>
      <c r="AL280" s="408"/>
      <c r="AM280" s="408"/>
      <c r="AN280" s="408"/>
      <c r="AO280" s="408"/>
      <c r="AP280" s="408"/>
      <c r="AQ280" s="408"/>
      <c r="AR280" s="408"/>
      <c r="AS280" s="408"/>
      <c r="AT280" s="408"/>
      <c r="AU280" s="408"/>
      <c r="AV280" s="408"/>
      <c r="AW280" s="408"/>
      <c r="AX280" s="408"/>
      <c r="AY280" s="408"/>
      <c r="AZ280" s="408">
        <v>0</v>
      </c>
      <c r="BA280" s="408"/>
      <c r="BB280" s="408"/>
      <c r="BC280" s="408"/>
      <c r="BD280" s="408"/>
      <c r="BE280" s="408"/>
      <c r="BF280" s="408"/>
      <c r="BG280" s="408"/>
      <c r="BH280" s="408"/>
      <c r="BI280" s="408">
        <v>0</v>
      </c>
      <c r="BJ280" s="408">
        <v>0</v>
      </c>
      <c r="BK280" s="408">
        <v>9.1300000000000008</v>
      </c>
      <c r="BL280" s="408">
        <v>1</v>
      </c>
      <c r="BM280" s="408"/>
      <c r="BN280" s="408"/>
      <c r="BO280" s="408"/>
      <c r="BP280" s="408"/>
      <c r="BQ280" s="408"/>
      <c r="BR280" s="408"/>
      <c r="BS280" s="408"/>
      <c r="BT280" s="408"/>
      <c r="BU280" s="408"/>
      <c r="BV280" s="408"/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/>
      <c r="CJ280" s="408">
        <v>-0.03</v>
      </c>
      <c r="CK280" s="408"/>
      <c r="CL280" s="408"/>
      <c r="CM280" s="408"/>
      <c r="CN280" s="408"/>
      <c r="CO280" s="408">
        <v>0</v>
      </c>
      <c r="CP280" s="408">
        <v>0</v>
      </c>
      <c r="CQ280" s="408">
        <v>30</v>
      </c>
      <c r="CR280" s="408"/>
      <c r="CS280" s="408"/>
      <c r="CT280" s="408"/>
      <c r="CU280" s="408"/>
      <c r="CV280" s="408"/>
      <c r="CW280" s="408"/>
      <c r="CX280" s="408"/>
      <c r="CY280" s="408"/>
      <c r="CZ280" s="408"/>
      <c r="DA280" s="408"/>
      <c r="DB280" s="408"/>
      <c r="DC280" s="408"/>
      <c r="DD280" s="408"/>
      <c r="DE280" s="408"/>
      <c r="DF280" s="408"/>
      <c r="DG280" s="408"/>
      <c r="DH280" s="408"/>
      <c r="DI280" s="408"/>
      <c r="DJ280" s="408"/>
      <c r="DK280" s="408">
        <v>0</v>
      </c>
      <c r="DL280" s="408"/>
      <c r="DM280" s="408"/>
      <c r="DN280" s="408"/>
      <c r="DO280" s="408"/>
      <c r="DP280" s="408"/>
      <c r="DQ280" s="408"/>
      <c r="DR280" s="408"/>
      <c r="DS280" s="408"/>
      <c r="DT280" s="408"/>
      <c r="DU280" s="408"/>
      <c r="DV280" s="408"/>
      <c r="DW280" s="408"/>
      <c r="DX280" s="408"/>
      <c r="DY280" s="408"/>
      <c r="DZ280" s="408"/>
      <c r="EA280" s="408"/>
      <c r="EB280" s="408"/>
      <c r="EC280" s="408"/>
      <c r="ED280" s="408"/>
      <c r="EE280" s="408"/>
      <c r="EF280" s="408"/>
      <c r="EG280" s="408"/>
      <c r="EH280" s="408"/>
      <c r="EI280" s="408"/>
      <c r="EJ280" s="408"/>
      <c r="EK280" s="408"/>
      <c r="EL280" s="408"/>
      <c r="EM280" s="408"/>
      <c r="EN280" s="408"/>
      <c r="EO280" s="408"/>
      <c r="EP280" s="408"/>
      <c r="EQ280" s="408"/>
      <c r="ER280" s="408"/>
      <c r="ES280" s="408"/>
      <c r="ET280" s="408"/>
      <c r="EU280" s="408"/>
      <c r="EV280" s="408">
        <v>240</v>
      </c>
      <c r="EW280" s="408"/>
      <c r="EX280" s="408"/>
      <c r="EY280" s="408"/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279</v>
      </c>
      <c r="B281" s="408" t="s">
        <v>1036</v>
      </c>
      <c r="C281" s="408" t="s">
        <v>2316</v>
      </c>
      <c r="D281" s="408" t="s">
        <v>1955</v>
      </c>
      <c r="E281" s="408" t="s">
        <v>969</v>
      </c>
      <c r="F281" s="408" t="s">
        <v>969</v>
      </c>
      <c r="G281" s="408" t="s">
        <v>1322</v>
      </c>
      <c r="H281" s="408" t="s">
        <v>1322</v>
      </c>
      <c r="I281" s="408" t="s">
        <v>973</v>
      </c>
      <c r="J281" s="408" t="s">
        <v>2236</v>
      </c>
      <c r="K281" s="826">
        <v>44501</v>
      </c>
      <c r="L281" s="408">
        <v>0</v>
      </c>
      <c r="M281" s="408">
        <v>0</v>
      </c>
      <c r="N281" s="408">
        <v>0.52</v>
      </c>
      <c r="O281" s="408">
        <v>0.52</v>
      </c>
      <c r="P281" s="408">
        <v>0.52</v>
      </c>
      <c r="Q281" s="408">
        <v>0.52</v>
      </c>
      <c r="R281" s="408"/>
      <c r="S281" s="408">
        <v>775.22</v>
      </c>
      <c r="T281" s="408">
        <v>173.25</v>
      </c>
      <c r="U281" s="408"/>
      <c r="V281" s="408">
        <v>493.20440000000008</v>
      </c>
      <c r="W281" s="408">
        <v>493.20440000000008</v>
      </c>
      <c r="X281" s="408">
        <v>434.98</v>
      </c>
      <c r="Y281" s="408">
        <v>0</v>
      </c>
      <c r="Z281" s="408">
        <v>32.003495263672612</v>
      </c>
      <c r="AA281" s="408">
        <v>0</v>
      </c>
      <c r="AB281" s="408">
        <v>0</v>
      </c>
      <c r="AC281" s="408">
        <v>3.3271627280196503</v>
      </c>
      <c r="AD281" s="408">
        <v>3.1966722649738242</v>
      </c>
      <c r="AE281" s="408">
        <v>306.1981815323382</v>
      </c>
      <c r="AF281" s="408">
        <v>88.577044704362763</v>
      </c>
      <c r="AG281" s="408">
        <v>1.5117614358814502</v>
      </c>
      <c r="AH281" s="408">
        <v>0</v>
      </c>
      <c r="AI281" s="408">
        <v>0</v>
      </c>
      <c r="AJ281" s="408">
        <v>0</v>
      </c>
      <c r="AK281" s="408">
        <v>0</v>
      </c>
      <c r="AL281" s="408">
        <v>4.9446957442092137</v>
      </c>
      <c r="AM281" s="408"/>
      <c r="AN281" s="408">
        <v>0.62808549146861437</v>
      </c>
      <c r="AO281" s="408">
        <v>7.0630139052282166</v>
      </c>
      <c r="AP281" s="408">
        <v>32.933546952958757</v>
      </c>
      <c r="AQ281" s="408">
        <v>0</v>
      </c>
      <c r="AR281" s="408">
        <v>0</v>
      </c>
      <c r="AS281" s="408">
        <v>0</v>
      </c>
      <c r="AT281" s="408">
        <v>0</v>
      </c>
      <c r="AU281" s="408">
        <v>0</v>
      </c>
      <c r="AV281" s="408">
        <v>0</v>
      </c>
      <c r="AW281" s="408">
        <v>0</v>
      </c>
      <c r="AX281" s="408">
        <v>0</v>
      </c>
      <c r="AY281" s="408">
        <v>0</v>
      </c>
      <c r="AZ281" s="408">
        <v>0</v>
      </c>
      <c r="BA281" s="408"/>
      <c r="BB281" s="408">
        <v>0</v>
      </c>
      <c r="BC281" s="408">
        <v>0</v>
      </c>
      <c r="BD281" s="408">
        <v>0</v>
      </c>
      <c r="BE281" s="408">
        <v>0</v>
      </c>
      <c r="BF281" s="408">
        <v>0</v>
      </c>
      <c r="BG281" s="408">
        <v>4.6486917490187096</v>
      </c>
      <c r="BH281" s="408">
        <v>0</v>
      </c>
      <c r="BI281" s="408">
        <v>0</v>
      </c>
      <c r="BJ281" s="408">
        <v>0</v>
      </c>
      <c r="BK281" s="408">
        <v>0</v>
      </c>
      <c r="BL281" s="408">
        <v>0</v>
      </c>
      <c r="BM281" s="408"/>
      <c r="BN281" s="408"/>
      <c r="BO281" s="408"/>
      <c r="BP281" s="408"/>
      <c r="BQ281" s="408"/>
      <c r="BR281" s="408"/>
      <c r="BS281" s="408"/>
      <c r="BT281" s="408"/>
      <c r="BU281" s="408"/>
      <c r="BV281" s="408">
        <v>93.225736453381472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434.98</v>
      </c>
      <c r="CJ281" s="408">
        <v>-58.254400000000032</v>
      </c>
      <c r="CK281" s="408"/>
      <c r="CL281" s="408"/>
      <c r="CM281" s="408"/>
      <c r="CN281" s="408"/>
      <c r="CO281" s="408">
        <v>-69.451200000000028</v>
      </c>
      <c r="CP281" s="408">
        <v>11.226800000000003</v>
      </c>
      <c r="CQ281" s="408">
        <v>30</v>
      </c>
      <c r="CR281" s="408">
        <v>17.837804047452323</v>
      </c>
      <c r="CS281" s="408">
        <v>0.7038142388689872</v>
      </c>
      <c r="CT281" s="408">
        <v>3.2817575602952971</v>
      </c>
      <c r="CU281" s="408">
        <v>0</v>
      </c>
      <c r="CV281" s="408">
        <v>0</v>
      </c>
      <c r="CW281" s="408">
        <v>0</v>
      </c>
      <c r="CX281" s="408">
        <v>0</v>
      </c>
      <c r="CY281" s="408">
        <v>0</v>
      </c>
      <c r="CZ281" s="408">
        <v>3.2915132569790644</v>
      </c>
      <c r="DA281" s="408">
        <v>0</v>
      </c>
      <c r="DB281" s="408">
        <v>0</v>
      </c>
      <c r="DC281" s="408">
        <v>11.225532429357472</v>
      </c>
      <c r="DD281" s="408">
        <v>0</v>
      </c>
      <c r="DE281" s="408">
        <v>0</v>
      </c>
      <c r="DF281" s="408">
        <v>0</v>
      </c>
      <c r="DG281" s="408">
        <v>0.58913728897671458</v>
      </c>
      <c r="DH281" s="408">
        <v>0</v>
      </c>
      <c r="DI281" s="408">
        <v>-1.0867374270406209</v>
      </c>
      <c r="DJ281" s="408"/>
      <c r="DK281" s="408">
        <v>0</v>
      </c>
      <c r="DL281" s="408">
        <v>0</v>
      </c>
      <c r="DM281" s="408">
        <v>0</v>
      </c>
      <c r="DN281" s="408">
        <v>0</v>
      </c>
      <c r="DO281" s="408">
        <v>-0.14944386334855153</v>
      </c>
      <c r="DP281" s="408">
        <v>-1.7769436636062785E-2</v>
      </c>
      <c r="DQ281" s="408">
        <v>0</v>
      </c>
      <c r="DR281" s="408">
        <v>0</v>
      </c>
      <c r="DS281" s="408"/>
      <c r="DT281" s="408"/>
      <c r="DU281" s="408"/>
      <c r="DV281" s="408">
        <v>306.1981815323382</v>
      </c>
      <c r="DW281" s="408">
        <v>0</v>
      </c>
      <c r="DX281" s="408">
        <v>0</v>
      </c>
      <c r="DY281" s="408">
        <v>-69.451200000000028</v>
      </c>
      <c r="DZ281" s="408">
        <v>11.226799999999997</v>
      </c>
      <c r="EA281" s="408">
        <v>0</v>
      </c>
      <c r="EB281" s="408">
        <v>0</v>
      </c>
      <c r="EC281" s="408">
        <v>-76.064822199534518</v>
      </c>
      <c r="ED281" s="408">
        <v>0</v>
      </c>
      <c r="EE281" s="408">
        <v>0</v>
      </c>
      <c r="EF281" s="408">
        <v>0</v>
      </c>
      <c r="EG281" s="408">
        <v>0</v>
      </c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>
        <v>0</v>
      </c>
      <c r="EN281" s="408">
        <v>0</v>
      </c>
      <c r="EO281" s="408">
        <v>0</v>
      </c>
      <c r="EP281" s="408">
        <v>8.173121905690925</v>
      </c>
      <c r="EQ281" s="408">
        <v>0</v>
      </c>
      <c r="ER281" s="408">
        <v>0</v>
      </c>
      <c r="ES281" s="408">
        <v>0</v>
      </c>
      <c r="ET281" s="408">
        <v>0</v>
      </c>
      <c r="EU281" s="408">
        <v>0</v>
      </c>
      <c r="EV281" s="408">
        <v>240</v>
      </c>
      <c r="EW281" s="408">
        <v>0</v>
      </c>
      <c r="EX281" s="408">
        <v>0</v>
      </c>
      <c r="EY281" s="408">
        <v>0</v>
      </c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280</v>
      </c>
      <c r="B282" s="408" t="s">
        <v>1036</v>
      </c>
      <c r="C282" s="408" t="s">
        <v>2316</v>
      </c>
      <c r="D282" s="408" t="s">
        <v>1955</v>
      </c>
      <c r="E282" s="408" t="s">
        <v>969</v>
      </c>
      <c r="F282" s="408" t="s">
        <v>969</v>
      </c>
      <c r="G282" s="408" t="s">
        <v>1322</v>
      </c>
      <c r="H282" s="408" t="s">
        <v>1322</v>
      </c>
      <c r="I282" s="408" t="s">
        <v>2244</v>
      </c>
      <c r="J282" s="408" t="s">
        <v>2236</v>
      </c>
      <c r="K282" s="826">
        <v>44501</v>
      </c>
      <c r="L282" s="408">
        <v>0</v>
      </c>
      <c r="M282" s="408">
        <v>0</v>
      </c>
      <c r="N282" s="408">
        <v>4.7290000000000001</v>
      </c>
      <c r="O282" s="408">
        <v>4.7290000000000001</v>
      </c>
      <c r="P282" s="408">
        <v>4.7290000000000001</v>
      </c>
      <c r="Q282" s="408">
        <v>4.7290000000000001</v>
      </c>
      <c r="R282" s="408"/>
      <c r="S282" s="408">
        <v>232.58</v>
      </c>
      <c r="T282" s="408">
        <v>173.25</v>
      </c>
      <c r="U282" s="408"/>
      <c r="V282" s="408">
        <v>1919.1700700000001</v>
      </c>
      <c r="W282" s="408">
        <v>1919.1700700000001</v>
      </c>
      <c r="X282" s="408">
        <v>1890.13401</v>
      </c>
      <c r="Y282" s="408">
        <v>0</v>
      </c>
      <c r="Z282" s="408">
        <v>291.04717134982263</v>
      </c>
      <c r="AA282" s="408">
        <v>0</v>
      </c>
      <c r="AB282" s="408">
        <v>0</v>
      </c>
      <c r="AC282" s="408">
        <v>6.0520260992606989</v>
      </c>
      <c r="AD282" s="408">
        <v>5.814639986905763</v>
      </c>
      <c r="AE282" s="408">
        <v>556.92748664924625</v>
      </c>
      <c r="AF282" s="408">
        <v>805.54008539794518</v>
      </c>
      <c r="AG282" s="408">
        <v>13.748307365929573</v>
      </c>
      <c r="AH282" s="408">
        <v>0</v>
      </c>
      <c r="AI282" s="408">
        <v>0</v>
      </c>
      <c r="AJ282" s="408">
        <v>0</v>
      </c>
      <c r="AK282" s="408">
        <v>0</v>
      </c>
      <c r="AL282" s="408">
        <v>44.968204181471862</v>
      </c>
      <c r="AM282" s="408"/>
      <c r="AN282" s="408">
        <v>5.7119544022213029</v>
      </c>
      <c r="AO282" s="408">
        <v>12.847783841614891</v>
      </c>
      <c r="AP282" s="408">
        <v>59.904895654023541</v>
      </c>
      <c r="AQ282" s="408">
        <v>0</v>
      </c>
      <c r="AR282" s="408">
        <v>0</v>
      </c>
      <c r="AS282" s="408">
        <v>0</v>
      </c>
      <c r="AT282" s="408">
        <v>0</v>
      </c>
      <c r="AU282" s="408">
        <v>0</v>
      </c>
      <c r="AV282" s="408">
        <v>0</v>
      </c>
      <c r="AW282" s="408">
        <v>0</v>
      </c>
      <c r="AX282" s="408">
        <v>0</v>
      </c>
      <c r="AY282" s="408">
        <v>0</v>
      </c>
      <c r="AZ282" s="408">
        <v>0</v>
      </c>
      <c r="BA282" s="408"/>
      <c r="BB282" s="408">
        <v>0</v>
      </c>
      <c r="BC282" s="408">
        <v>0</v>
      </c>
      <c r="BD282" s="408">
        <v>0</v>
      </c>
      <c r="BE282" s="408">
        <v>0</v>
      </c>
      <c r="BF282" s="408">
        <v>0</v>
      </c>
      <c r="BG282" s="408">
        <v>42.276275540595151</v>
      </c>
      <c r="BH282" s="408">
        <v>0</v>
      </c>
      <c r="BI282" s="408">
        <v>0</v>
      </c>
      <c r="BJ282" s="408">
        <v>0</v>
      </c>
      <c r="BK282" s="408">
        <v>0</v>
      </c>
      <c r="BL282" s="408">
        <v>0</v>
      </c>
      <c r="BM282" s="408"/>
      <c r="BN282" s="408"/>
      <c r="BO282" s="408"/>
      <c r="BP282" s="408"/>
      <c r="BQ282" s="408"/>
      <c r="BR282" s="408"/>
      <c r="BS282" s="408"/>
      <c r="BT282" s="408"/>
      <c r="BU282" s="408"/>
      <c r="BV282" s="408">
        <v>847.81636093854036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1890.5337000000002</v>
      </c>
      <c r="CJ282" s="408">
        <v>-28.666369999999915</v>
      </c>
      <c r="CK282" s="408"/>
      <c r="CL282" s="408"/>
      <c r="CM282" s="408"/>
      <c r="CN282" s="408"/>
      <c r="CO282" s="408">
        <v>-131.1351700000001</v>
      </c>
      <c r="CP282" s="408">
        <v>102.09911000000002</v>
      </c>
      <c r="CQ282" s="408">
        <v>30</v>
      </c>
      <c r="CR282" s="408">
        <v>109.27841718390209</v>
      </c>
      <c r="CS282" s="408">
        <v>1.2802541984160989</v>
      </c>
      <c r="CT282" s="408">
        <v>5.9693948086460793</v>
      </c>
      <c r="CU282" s="408">
        <v>0</v>
      </c>
      <c r="CV282" s="408">
        <v>0</v>
      </c>
      <c r="CW282" s="408">
        <v>0</v>
      </c>
      <c r="CX282" s="408">
        <v>0</v>
      </c>
      <c r="CY282" s="408">
        <v>0</v>
      </c>
      <c r="CZ282" s="408">
        <v>5.9871525808785568</v>
      </c>
      <c r="DA282" s="408">
        <v>0</v>
      </c>
      <c r="DB282" s="408">
        <v>0</v>
      </c>
      <c r="DC282" s="408">
        <v>102.08758242006058</v>
      </c>
      <c r="DD282" s="408">
        <v>0</v>
      </c>
      <c r="DE282" s="408">
        <v>0</v>
      </c>
      <c r="DF282" s="408">
        <v>0</v>
      </c>
      <c r="DG282" s="408">
        <v>5.3577504607132411</v>
      </c>
      <c r="DH282" s="408">
        <v>0</v>
      </c>
      <c r="DI282" s="408">
        <v>-9.8830409470674567</v>
      </c>
      <c r="DJ282" s="408"/>
      <c r="DK282" s="408">
        <v>0</v>
      </c>
      <c r="DL282" s="408">
        <v>0</v>
      </c>
      <c r="DM282" s="408">
        <v>0</v>
      </c>
      <c r="DN282" s="408">
        <v>0</v>
      </c>
      <c r="DO282" s="408">
        <v>-1.3590769803371074</v>
      </c>
      <c r="DP282" s="408">
        <v>-0.16159935740757891</v>
      </c>
      <c r="DQ282" s="408">
        <v>0</v>
      </c>
      <c r="DR282" s="408">
        <v>0</v>
      </c>
      <c r="DS282" s="408"/>
      <c r="DT282" s="408"/>
      <c r="DU282" s="408"/>
      <c r="DV282" s="408">
        <v>556.92748664924625</v>
      </c>
      <c r="DW282" s="408">
        <v>0</v>
      </c>
      <c r="DX282" s="408">
        <v>0</v>
      </c>
      <c r="DY282" s="408">
        <v>-131.13517000000013</v>
      </c>
      <c r="DZ282" s="408">
        <v>102.09911</v>
      </c>
      <c r="EA282" s="408">
        <v>0</v>
      </c>
      <c r="EB282" s="408">
        <v>0</v>
      </c>
      <c r="EC282" s="408">
        <v>-138.35023460299266</v>
      </c>
      <c r="ED282" s="408">
        <v>0</v>
      </c>
      <c r="EE282" s="408">
        <v>0</v>
      </c>
      <c r="EF282" s="408">
        <v>0</v>
      </c>
      <c r="EG282" s="408">
        <v>0</v>
      </c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>
        <v>0</v>
      </c>
      <c r="EN282" s="408">
        <v>0</v>
      </c>
      <c r="EO282" s="408">
        <v>0</v>
      </c>
      <c r="EP282" s="408">
        <v>74.328256715408429</v>
      </c>
      <c r="EQ282" s="408">
        <v>0</v>
      </c>
      <c r="ER282" s="408">
        <v>0</v>
      </c>
      <c r="ES282" s="408">
        <v>0</v>
      </c>
      <c r="ET282" s="408">
        <v>0</v>
      </c>
      <c r="EU282" s="408">
        <v>0</v>
      </c>
      <c r="EV282" s="408">
        <v>240</v>
      </c>
      <c r="EW282" s="408">
        <v>0</v>
      </c>
      <c r="EX282" s="408">
        <v>0</v>
      </c>
      <c r="EY282" s="408">
        <v>0</v>
      </c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281</v>
      </c>
      <c r="B283" s="408" t="s">
        <v>1036</v>
      </c>
      <c r="C283" s="408" t="s">
        <v>2316</v>
      </c>
      <c r="D283" s="408" t="s">
        <v>1955</v>
      </c>
      <c r="E283" s="408" t="s">
        <v>969</v>
      </c>
      <c r="F283" s="408" t="s">
        <v>969</v>
      </c>
      <c r="G283" s="408" t="s">
        <v>1322</v>
      </c>
      <c r="H283" s="408" t="s">
        <v>1322</v>
      </c>
      <c r="I283" s="408" t="s">
        <v>1322</v>
      </c>
      <c r="J283" s="408" t="s">
        <v>2236</v>
      </c>
      <c r="K283" s="826">
        <v>44501</v>
      </c>
      <c r="L283" s="408">
        <v>0</v>
      </c>
      <c r="M283" s="408">
        <v>0</v>
      </c>
      <c r="N283" s="408">
        <v>0</v>
      </c>
      <c r="O283" s="408">
        <v>0</v>
      </c>
      <c r="P283" s="408">
        <v>0</v>
      </c>
      <c r="Q283" s="408">
        <v>0</v>
      </c>
      <c r="R283" s="408"/>
      <c r="S283" s="408"/>
      <c r="T283" s="408"/>
      <c r="U283" s="408"/>
      <c r="V283" s="408"/>
      <c r="W283" s="408"/>
      <c r="X283" s="408"/>
      <c r="Y283" s="408"/>
      <c r="Z283" s="408"/>
      <c r="AA283" s="408">
        <v>0</v>
      </c>
      <c r="AB283" s="408"/>
      <c r="AC283" s="408"/>
      <c r="AD283" s="408"/>
      <c r="AE283" s="408"/>
      <c r="AF283" s="408"/>
      <c r="AG283" s="408"/>
      <c r="AH283" s="408"/>
      <c r="AI283" s="408"/>
      <c r="AJ283" s="408"/>
      <c r="AK283" s="408"/>
      <c r="AL283" s="408"/>
      <c r="AM283" s="408"/>
      <c r="AN283" s="408"/>
      <c r="AO283" s="408"/>
      <c r="AP283" s="408"/>
      <c r="AQ283" s="408"/>
      <c r="AR283" s="408"/>
      <c r="AS283" s="408"/>
      <c r="AT283" s="408"/>
      <c r="AU283" s="408"/>
      <c r="AV283" s="408"/>
      <c r="AW283" s="408"/>
      <c r="AX283" s="408"/>
      <c r="AY283" s="408"/>
      <c r="AZ283" s="408">
        <v>0</v>
      </c>
      <c r="BA283" s="408"/>
      <c r="BB283" s="408"/>
      <c r="BC283" s="408"/>
      <c r="BD283" s="408"/>
      <c r="BE283" s="408"/>
      <c r="BF283" s="408"/>
      <c r="BG283" s="408"/>
      <c r="BH283" s="408"/>
      <c r="BI283" s="408">
        <v>2.2400000000000002</v>
      </c>
      <c r="BJ283" s="408">
        <v>20.010000000000002</v>
      </c>
      <c r="BK283" s="408">
        <v>1418.4</v>
      </c>
      <c r="BL283" s="408">
        <v>18</v>
      </c>
      <c r="BM283" s="408"/>
      <c r="BN283" s="408"/>
      <c r="BO283" s="408"/>
      <c r="BP283" s="408"/>
      <c r="BQ283" s="408"/>
      <c r="BR283" s="408"/>
      <c r="BS283" s="408"/>
      <c r="BT283" s="408"/>
      <c r="BU283" s="408"/>
      <c r="BV283" s="408"/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/>
      <c r="CJ283" s="408">
        <v>-0.03</v>
      </c>
      <c r="CK283" s="408"/>
      <c r="CL283" s="408"/>
      <c r="CM283" s="408"/>
      <c r="CN283" s="408"/>
      <c r="CO283" s="408">
        <v>0</v>
      </c>
      <c r="CP283" s="408">
        <v>0</v>
      </c>
      <c r="CQ283" s="408">
        <v>30</v>
      </c>
      <c r="CR283" s="408"/>
      <c r="CS283" s="408"/>
      <c r="CT283" s="408"/>
      <c r="CU283" s="408"/>
      <c r="CV283" s="408"/>
      <c r="CW283" s="408"/>
      <c r="CX283" s="408"/>
      <c r="CY283" s="408"/>
      <c r="CZ283" s="408"/>
      <c r="DA283" s="408"/>
      <c r="DB283" s="408"/>
      <c r="DC283" s="408"/>
      <c r="DD283" s="408"/>
      <c r="DE283" s="408"/>
      <c r="DF283" s="408"/>
      <c r="DG283" s="408"/>
      <c r="DH283" s="408"/>
      <c r="DI283" s="408"/>
      <c r="DJ283" s="408"/>
      <c r="DK283" s="408">
        <v>0</v>
      </c>
      <c r="DL283" s="408"/>
      <c r="DM283" s="408"/>
      <c r="DN283" s="408"/>
      <c r="DO283" s="408"/>
      <c r="DP283" s="408"/>
      <c r="DQ283" s="408"/>
      <c r="DR283" s="408"/>
      <c r="DS283" s="408"/>
      <c r="DT283" s="408"/>
      <c r="DU283" s="408"/>
      <c r="DV283" s="408"/>
      <c r="DW283" s="408"/>
      <c r="DX283" s="408"/>
      <c r="DY283" s="408"/>
      <c r="DZ283" s="408"/>
      <c r="EA283" s="408"/>
      <c r="EB283" s="408"/>
      <c r="EC283" s="408"/>
      <c r="ED283" s="408"/>
      <c r="EE283" s="408"/>
      <c r="EF283" s="408"/>
      <c r="EG283" s="408"/>
      <c r="EH283" s="408"/>
      <c r="EI283" s="408"/>
      <c r="EJ283" s="408"/>
      <c r="EK283" s="408"/>
      <c r="EL283" s="408"/>
      <c r="EM283" s="408"/>
      <c r="EN283" s="408"/>
      <c r="EO283" s="408"/>
      <c r="EP283" s="408"/>
      <c r="EQ283" s="408"/>
      <c r="ER283" s="408"/>
      <c r="ES283" s="408"/>
      <c r="ET283" s="408"/>
      <c r="EU283" s="408"/>
      <c r="EV283" s="408">
        <v>240</v>
      </c>
      <c r="EW283" s="408"/>
      <c r="EX283" s="408"/>
      <c r="EY283" s="408"/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282</v>
      </c>
      <c r="B284" s="408" t="s">
        <v>1036</v>
      </c>
      <c r="C284" s="408" t="s">
        <v>2316</v>
      </c>
      <c r="D284" s="408" t="s">
        <v>1955</v>
      </c>
      <c r="E284" s="408" t="s">
        <v>969</v>
      </c>
      <c r="F284" s="408" t="s">
        <v>969</v>
      </c>
      <c r="G284" s="408" t="s">
        <v>1322</v>
      </c>
      <c r="H284" s="408" t="s">
        <v>1322</v>
      </c>
      <c r="I284" s="408" t="s">
        <v>2317</v>
      </c>
      <c r="J284" s="408" t="s">
        <v>2236</v>
      </c>
      <c r="K284" s="826">
        <v>44501</v>
      </c>
      <c r="L284" s="408">
        <v>0</v>
      </c>
      <c r="M284" s="408">
        <v>0</v>
      </c>
      <c r="N284" s="408">
        <v>0.318</v>
      </c>
      <c r="O284" s="408">
        <v>0.318</v>
      </c>
      <c r="P284" s="408">
        <v>0.318</v>
      </c>
      <c r="Q284" s="408">
        <v>0.318</v>
      </c>
      <c r="R284" s="408"/>
      <c r="S284" s="408">
        <v>503.9</v>
      </c>
      <c r="T284" s="408">
        <v>173.25</v>
      </c>
      <c r="U284" s="408"/>
      <c r="V284" s="408">
        <v>215.33369999999999</v>
      </c>
      <c r="W284" s="408">
        <v>215.33369999999999</v>
      </c>
      <c r="X284" s="408">
        <v>196.55261999999999</v>
      </c>
      <c r="Y284" s="408">
        <v>0</v>
      </c>
      <c r="Z284" s="408">
        <v>19.571368257399786</v>
      </c>
      <c r="AA284" s="408">
        <v>0</v>
      </c>
      <c r="AB284" s="408">
        <v>0</v>
      </c>
      <c r="AC284" s="408">
        <v>1.2207550939491467</v>
      </c>
      <c r="AD284" s="408">
        <v>1.1728832854845359</v>
      </c>
      <c r="AE284" s="408">
        <v>112.35113097191348</v>
      </c>
      <c r="AF284" s="408">
        <v>54.168269646129538</v>
      </c>
      <c r="AG284" s="408">
        <v>0.9245002627121176</v>
      </c>
      <c r="AH284" s="408">
        <v>0</v>
      </c>
      <c r="AI284" s="408">
        <v>0</v>
      </c>
      <c r="AJ284" s="408">
        <v>0</v>
      </c>
      <c r="AK284" s="408">
        <v>0</v>
      </c>
      <c r="AL284" s="408">
        <v>3.0238716281894802</v>
      </c>
      <c r="AM284" s="408"/>
      <c r="AN284" s="408">
        <v>0.38409843516734493</v>
      </c>
      <c r="AO284" s="408">
        <v>2.5914848732448981</v>
      </c>
      <c r="AP284" s="408">
        <v>12.083561882978056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0</v>
      </c>
      <c r="BE284" s="408">
        <v>0</v>
      </c>
      <c r="BF284" s="408">
        <v>0</v>
      </c>
      <c r="BG284" s="408">
        <v>2.8428538003614419</v>
      </c>
      <c r="BH284" s="408">
        <v>0</v>
      </c>
      <c r="BI284" s="408">
        <v>0</v>
      </c>
      <c r="BJ284" s="408">
        <v>0</v>
      </c>
      <c r="BK284" s="408">
        <v>0</v>
      </c>
      <c r="BL284" s="408">
        <v>0</v>
      </c>
      <c r="BM284" s="408"/>
      <c r="BN284" s="408"/>
      <c r="BO284" s="408"/>
      <c r="BP284" s="408"/>
      <c r="BQ284" s="408"/>
      <c r="BR284" s="408"/>
      <c r="BS284" s="408"/>
      <c r="BT284" s="408"/>
      <c r="BU284" s="408"/>
      <c r="BV284" s="408">
        <v>57.011123446490977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197.78880000000001</v>
      </c>
      <c r="CJ284" s="408">
        <v>-17.574899999999957</v>
      </c>
      <c r="CK284" s="408"/>
      <c r="CL284" s="408"/>
      <c r="CM284" s="408"/>
      <c r="CN284" s="408"/>
      <c r="CO284" s="408">
        <v>-25.646699999999992</v>
      </c>
      <c r="CP284" s="408">
        <v>6.8656200000000016</v>
      </c>
      <c r="CQ284" s="408">
        <v>30</v>
      </c>
      <c r="CR284" s="408">
        <v>9.1283040512386719</v>
      </c>
      <c r="CS284" s="408">
        <v>0.25823592846862198</v>
      </c>
      <c r="CT284" s="408">
        <v>1.2041011137185258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1.20768116436645</v>
      </c>
      <c r="DA284" s="408">
        <v>0</v>
      </c>
      <c r="DB284" s="408">
        <v>0</v>
      </c>
      <c r="DC284" s="408">
        <v>6.864844831799374</v>
      </c>
      <c r="DD284" s="408">
        <v>0</v>
      </c>
      <c r="DE284" s="408">
        <v>0</v>
      </c>
      <c r="DF284" s="408">
        <v>0</v>
      </c>
      <c r="DG284" s="408">
        <v>0.3602801113357601</v>
      </c>
      <c r="DH284" s="408">
        <v>0</v>
      </c>
      <c r="DI284" s="408">
        <v>-0.66458173422868327</v>
      </c>
      <c r="DJ284" s="408"/>
      <c r="DK284" s="408">
        <v>0</v>
      </c>
      <c r="DL284" s="408">
        <v>0</v>
      </c>
      <c r="DM284" s="408">
        <v>0</v>
      </c>
      <c r="DN284" s="408">
        <v>0</v>
      </c>
      <c r="DO284" s="408">
        <v>-9.1390670278536756E-2</v>
      </c>
      <c r="DP284" s="408">
        <v>-1.0866693942823025E-2</v>
      </c>
      <c r="DQ284" s="408">
        <v>0</v>
      </c>
      <c r="DR284" s="408">
        <v>0</v>
      </c>
      <c r="DS284" s="408"/>
      <c r="DT284" s="408"/>
      <c r="DU284" s="408"/>
      <c r="DV284" s="408">
        <v>112.35113097191348</v>
      </c>
      <c r="DW284" s="408">
        <v>0</v>
      </c>
      <c r="DX284" s="408">
        <v>0</v>
      </c>
      <c r="DY284" s="408">
        <v>-25.646699999999981</v>
      </c>
      <c r="DZ284" s="408">
        <v>6.8656199999999998</v>
      </c>
      <c r="EA284" s="408">
        <v>0</v>
      </c>
      <c r="EB284" s="408">
        <v>0</v>
      </c>
      <c r="EC284" s="408">
        <v>-27.909926696911697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4.998178396172527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240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283</v>
      </c>
      <c r="B285" s="408" t="s">
        <v>1036</v>
      </c>
      <c r="C285" s="408" t="s">
        <v>2235</v>
      </c>
      <c r="D285" s="408" t="s">
        <v>1958</v>
      </c>
      <c r="E285" s="408" t="s">
        <v>970</v>
      </c>
      <c r="F285" s="408" t="s">
        <v>1322</v>
      </c>
      <c r="G285" s="408" t="s">
        <v>1322</v>
      </c>
      <c r="H285" s="408" t="s">
        <v>1322</v>
      </c>
      <c r="I285" s="408" t="s">
        <v>1322</v>
      </c>
      <c r="J285" s="408" t="s">
        <v>2236</v>
      </c>
      <c r="K285" s="826">
        <v>44501</v>
      </c>
      <c r="L285" s="408">
        <v>0</v>
      </c>
      <c r="M285" s="408">
        <v>0</v>
      </c>
      <c r="N285" s="408">
        <v>540.09100000000001</v>
      </c>
      <c r="O285" s="408">
        <v>540.09100000000001</v>
      </c>
      <c r="P285" s="408">
        <v>540.09100000000001</v>
      </c>
      <c r="Q285" s="408">
        <v>540.09100000000001</v>
      </c>
      <c r="R285" s="408"/>
      <c r="S285" s="408">
        <v>368.24</v>
      </c>
      <c r="T285" s="408">
        <v>173.25</v>
      </c>
      <c r="U285" s="408"/>
      <c r="V285" s="408">
        <v>292453.87559000001</v>
      </c>
      <c r="W285" s="408">
        <v>292453.87559000001</v>
      </c>
      <c r="X285" s="408">
        <v>274846.90899000003</v>
      </c>
      <c r="Y285" s="408">
        <v>0</v>
      </c>
      <c r="Z285" s="408">
        <v>33239.999539331162</v>
      </c>
      <c r="AA285" s="408">
        <v>0</v>
      </c>
      <c r="AB285" s="408">
        <v>0</v>
      </c>
      <c r="AC285" s="408">
        <v>1382.3830949358469</v>
      </c>
      <c r="AD285" s="408">
        <v>1328.1601713545867</v>
      </c>
      <c r="AE285" s="408">
        <v>127211.47100523495</v>
      </c>
      <c r="AF285" s="408">
        <v>91999.35509889228</v>
      </c>
      <c r="AG285" s="408">
        <v>1570.1706647435544</v>
      </c>
      <c r="AH285" s="408">
        <v>0</v>
      </c>
      <c r="AI285" s="408">
        <v>0</v>
      </c>
      <c r="AJ285" s="408">
        <v>0</v>
      </c>
      <c r="AK285" s="408">
        <v>0</v>
      </c>
      <c r="AL285" s="408">
        <v>5135.7416715109584</v>
      </c>
      <c r="AM285" s="408"/>
      <c r="AN285" s="408">
        <v>652.35254071687575</v>
      </c>
      <c r="AO285" s="408">
        <v>2934.5280347774956</v>
      </c>
      <c r="AP285" s="408">
        <v>13683.271304156155</v>
      </c>
      <c r="AQ285" s="408">
        <v>0</v>
      </c>
      <c r="AR285" s="408">
        <v>0</v>
      </c>
      <c r="AS285" s="408">
        <v>0</v>
      </c>
      <c r="AT285" s="408">
        <v>0</v>
      </c>
      <c r="AU285" s="408">
        <v>0</v>
      </c>
      <c r="AV285" s="408">
        <v>0</v>
      </c>
      <c r="AW285" s="408">
        <v>0</v>
      </c>
      <c r="AX285" s="408">
        <v>0</v>
      </c>
      <c r="AY285" s="408">
        <v>0</v>
      </c>
      <c r="AZ285" s="408">
        <v>0</v>
      </c>
      <c r="BA285" s="408"/>
      <c r="BB285" s="408">
        <v>0</v>
      </c>
      <c r="BC285" s="408">
        <v>0</v>
      </c>
      <c r="BD285" s="408">
        <v>0</v>
      </c>
      <c r="BE285" s="408">
        <v>0</v>
      </c>
      <c r="BF285" s="408">
        <v>0</v>
      </c>
      <c r="BG285" s="408">
        <v>4828.3011065755081</v>
      </c>
      <c r="BH285" s="408">
        <v>0</v>
      </c>
      <c r="BI285" s="408">
        <v>246.3</v>
      </c>
      <c r="BJ285" s="408">
        <v>2123.38</v>
      </c>
      <c r="BK285" s="408">
        <v>81331.839999999997</v>
      </c>
      <c r="BL285" s="408">
        <v>298</v>
      </c>
      <c r="BM285" s="408"/>
      <c r="BN285" s="408"/>
      <c r="BO285" s="408"/>
      <c r="BP285" s="408"/>
      <c r="BQ285" s="408"/>
      <c r="BR285" s="408"/>
      <c r="BS285" s="408"/>
      <c r="BT285" s="408"/>
      <c r="BU285" s="408"/>
      <c r="BV285" s="408">
        <v>96827.656205467792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274846.40010000003</v>
      </c>
      <c r="CJ285" s="408">
        <v>-17607.50549000001</v>
      </c>
      <c r="CK285" s="408"/>
      <c r="CL285" s="408"/>
      <c r="CM285" s="408"/>
      <c r="CN285" s="408"/>
      <c r="CO285" s="408">
        <v>-29267.531289999999</v>
      </c>
      <c r="CP285" s="408">
        <v>11660.564690000003</v>
      </c>
      <c r="CQ285" s="408">
        <v>30</v>
      </c>
      <c r="CR285" s="408">
        <v>13992.241709158232</v>
      </c>
      <c r="CS285" s="408">
        <v>292.41944628027113</v>
      </c>
      <c r="CT285" s="408">
        <v>1363.5087382518395</v>
      </c>
      <c r="CU285" s="408">
        <v>0</v>
      </c>
      <c r="CV285" s="408">
        <v>0</v>
      </c>
      <c r="CW285" s="408">
        <v>0</v>
      </c>
      <c r="CX285" s="408">
        <v>0</v>
      </c>
      <c r="CY285" s="408">
        <v>0</v>
      </c>
      <c r="CZ285" s="408">
        <v>1367.5649078279896</v>
      </c>
      <c r="DA285" s="408">
        <v>0</v>
      </c>
      <c r="DB285" s="408">
        <v>0</v>
      </c>
      <c r="DC285" s="408">
        <v>11659.248144815603</v>
      </c>
      <c r="DD285" s="408">
        <v>0</v>
      </c>
      <c r="DE285" s="408">
        <v>0</v>
      </c>
      <c r="DF285" s="408">
        <v>0</v>
      </c>
      <c r="DG285" s="408">
        <v>611.8995145013896</v>
      </c>
      <c r="DH285" s="408">
        <v>0</v>
      </c>
      <c r="DI285" s="408">
        <v>-1128.7251994380676</v>
      </c>
      <c r="DJ285" s="408"/>
      <c r="DK285" s="408">
        <v>0</v>
      </c>
      <c r="DL285" s="408">
        <v>0</v>
      </c>
      <c r="DM285" s="408">
        <v>0</v>
      </c>
      <c r="DN285" s="408">
        <v>0</v>
      </c>
      <c r="DO285" s="408">
        <v>-155.21785692265894</v>
      </c>
      <c r="DP285" s="408">
        <v>-18.455986158091832</v>
      </c>
      <c r="DQ285" s="408">
        <v>0</v>
      </c>
      <c r="DR285" s="408">
        <v>0</v>
      </c>
      <c r="DS285" s="408"/>
      <c r="DT285" s="408"/>
      <c r="DU285" s="408"/>
      <c r="DV285" s="408">
        <v>127211.47100523495</v>
      </c>
      <c r="DW285" s="408">
        <v>0</v>
      </c>
      <c r="DX285" s="408">
        <v>0</v>
      </c>
      <c r="DY285" s="408">
        <v>-29267.531290000014</v>
      </c>
      <c r="DZ285" s="408">
        <v>11660.564689999999</v>
      </c>
      <c r="EA285" s="408">
        <v>0</v>
      </c>
      <c r="EB285" s="408">
        <v>0</v>
      </c>
      <c r="EC285" s="408">
        <v>-31601.487230689439</v>
      </c>
      <c r="ED285" s="408">
        <v>0</v>
      </c>
      <c r="EE285" s="408">
        <v>0</v>
      </c>
      <c r="EF285" s="408">
        <v>0</v>
      </c>
      <c r="EG285" s="408">
        <v>0</v>
      </c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>
        <v>0</v>
      </c>
      <c r="EN285" s="408">
        <v>0</v>
      </c>
      <c r="EO285" s="408">
        <v>0</v>
      </c>
      <c r="EP285" s="408">
        <v>8488.9030445509943</v>
      </c>
      <c r="EQ285" s="408">
        <v>0</v>
      </c>
      <c r="ER285" s="408">
        <v>0</v>
      </c>
      <c r="ES285" s="408">
        <v>0</v>
      </c>
      <c r="ET285" s="408">
        <v>0</v>
      </c>
      <c r="EU285" s="408">
        <v>0</v>
      </c>
      <c r="EV285" s="408">
        <v>240</v>
      </c>
      <c r="EW285" s="408">
        <v>0</v>
      </c>
      <c r="EX285" s="408">
        <v>0</v>
      </c>
      <c r="EY285" s="408">
        <v>0</v>
      </c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284</v>
      </c>
      <c r="B286" s="408" t="s">
        <v>2237</v>
      </c>
      <c r="C286" s="408" t="s">
        <v>2235</v>
      </c>
      <c r="D286" s="408" t="s">
        <v>1958</v>
      </c>
      <c r="E286" s="408" t="s">
        <v>970</v>
      </c>
      <c r="F286" s="408" t="s">
        <v>1322</v>
      </c>
      <c r="G286" s="408" t="s">
        <v>1322</v>
      </c>
      <c r="H286" s="408" t="s">
        <v>1322</v>
      </c>
      <c r="I286" s="408" t="s">
        <v>1322</v>
      </c>
      <c r="J286" s="408" t="s">
        <v>2236</v>
      </c>
      <c r="K286" s="826">
        <v>44501</v>
      </c>
      <c r="L286" s="408">
        <v>0</v>
      </c>
      <c r="M286" s="408">
        <v>0</v>
      </c>
      <c r="N286" s="408">
        <v>-1.1830000000000001</v>
      </c>
      <c r="O286" s="408">
        <v>-1.1830000000000001</v>
      </c>
      <c r="P286" s="408">
        <v>-1.1830000000000001</v>
      </c>
      <c r="Q286" s="408">
        <v>-1.1830000000000001</v>
      </c>
      <c r="R286" s="408"/>
      <c r="S286" s="408">
        <v>368.24</v>
      </c>
      <c r="T286" s="408">
        <v>173.25</v>
      </c>
      <c r="U286" s="408"/>
      <c r="V286" s="408">
        <v>-640.58267000000001</v>
      </c>
      <c r="W286" s="408">
        <v>-640.58267000000001</v>
      </c>
      <c r="X286" s="408">
        <v>-602.01687000000004</v>
      </c>
      <c r="Y286" s="408">
        <v>0</v>
      </c>
      <c r="Z286" s="408">
        <v>-72.807951724855187</v>
      </c>
      <c r="AA286" s="408">
        <v>0</v>
      </c>
      <c r="AB286" s="408">
        <v>0</v>
      </c>
      <c r="AC286" s="408">
        <v>-3.0279327026540099</v>
      </c>
      <c r="AD286" s="408">
        <v>-2.9091643495493837</v>
      </c>
      <c r="AE286" s="408">
        <v>-278.64039615396842</v>
      </c>
      <c r="AF286" s="408">
        <v>-201.5127767024253</v>
      </c>
      <c r="AG286" s="408">
        <v>-3.4392572666302992</v>
      </c>
      <c r="AH286" s="408">
        <v>0</v>
      </c>
      <c r="AI286" s="408">
        <v>0</v>
      </c>
      <c r="AJ286" s="408">
        <v>0</v>
      </c>
      <c r="AK286" s="408">
        <v>0</v>
      </c>
      <c r="AL286" s="408">
        <v>-11.24918281807596</v>
      </c>
      <c r="AM286" s="408"/>
      <c r="AN286" s="408">
        <v>-1.4288944930910976</v>
      </c>
      <c r="AO286" s="408">
        <v>-6.4277069329831038</v>
      </c>
      <c r="AP286" s="408">
        <v>-29.971449168411862</v>
      </c>
      <c r="AQ286" s="408">
        <v>0</v>
      </c>
      <c r="AR286" s="408">
        <v>0</v>
      </c>
      <c r="AS286" s="408">
        <v>0</v>
      </c>
      <c r="AT286" s="408">
        <v>0</v>
      </c>
      <c r="AU286" s="408">
        <v>0</v>
      </c>
      <c r="AV286" s="408">
        <v>0</v>
      </c>
      <c r="AW286" s="408">
        <v>0</v>
      </c>
      <c r="AX286" s="408">
        <v>0</v>
      </c>
      <c r="AY286" s="408">
        <v>0</v>
      </c>
      <c r="AZ286" s="408">
        <v>0</v>
      </c>
      <c r="BA286" s="408"/>
      <c r="BB286" s="408">
        <v>0</v>
      </c>
      <c r="BC286" s="408">
        <v>0</v>
      </c>
      <c r="BD286" s="408">
        <v>0</v>
      </c>
      <c r="BE286" s="408">
        <v>0</v>
      </c>
      <c r="BF286" s="408">
        <v>0</v>
      </c>
      <c r="BG286" s="408">
        <v>-10.575773729017566</v>
      </c>
      <c r="BH286" s="408">
        <v>0</v>
      </c>
      <c r="BI286" s="408">
        <v>-0.05</v>
      </c>
      <c r="BJ286" s="408">
        <v>-4.6500000000000004</v>
      </c>
      <c r="BK286" s="408">
        <v>-164.32</v>
      </c>
      <c r="BL286" s="408">
        <v>0</v>
      </c>
      <c r="BM286" s="408"/>
      <c r="BN286" s="408"/>
      <c r="BO286" s="408"/>
      <c r="BP286" s="408"/>
      <c r="BQ286" s="408"/>
      <c r="BR286" s="408"/>
      <c r="BS286" s="408"/>
      <c r="BT286" s="408"/>
      <c r="BU286" s="408"/>
      <c r="BV286" s="408">
        <v>-212.08855043144285</v>
      </c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>
        <v>-600.49019999999996</v>
      </c>
      <c r="CJ286" s="408">
        <v>40.062470000000076</v>
      </c>
      <c r="CK286" s="408"/>
      <c r="CL286" s="408"/>
      <c r="CM286" s="408"/>
      <c r="CN286" s="408"/>
      <c r="CO286" s="408">
        <v>64.106769999999997</v>
      </c>
      <c r="CP286" s="408">
        <v>-25.540970000000005</v>
      </c>
      <c r="CQ286" s="408">
        <v>30</v>
      </c>
      <c r="CR286" s="408">
        <v>-30.648209175739396</v>
      </c>
      <c r="CS286" s="408">
        <v>-0.64050725701698497</v>
      </c>
      <c r="CT286" s="408">
        <v>-2.9865908473792864</v>
      </c>
      <c r="CU286" s="408">
        <v>0</v>
      </c>
      <c r="CV286" s="408">
        <v>0</v>
      </c>
      <c r="CW286" s="408">
        <v>0</v>
      </c>
      <c r="CX286" s="408">
        <v>0</v>
      </c>
      <c r="CY286" s="408">
        <v>0</v>
      </c>
      <c r="CZ286" s="408">
        <v>-2.9954753661151754</v>
      </c>
      <c r="DA286" s="408">
        <v>0</v>
      </c>
      <c r="DB286" s="408">
        <v>0</v>
      </c>
      <c r="DC286" s="408">
        <v>-25.538086276788249</v>
      </c>
      <c r="DD286" s="408">
        <v>0</v>
      </c>
      <c r="DE286" s="408">
        <v>0</v>
      </c>
      <c r="DF286" s="408">
        <v>0</v>
      </c>
      <c r="DG286" s="408">
        <v>-1.3402873324220241</v>
      </c>
      <c r="DH286" s="408">
        <v>0</v>
      </c>
      <c r="DI286" s="408">
        <v>2.4723276465173996</v>
      </c>
      <c r="DJ286" s="408"/>
      <c r="DK286" s="408">
        <v>0</v>
      </c>
      <c r="DL286" s="408">
        <v>0</v>
      </c>
      <c r="DM286" s="408">
        <v>0</v>
      </c>
      <c r="DN286" s="408">
        <v>0</v>
      </c>
      <c r="DO286" s="408">
        <v>0.3399847891179526</v>
      </c>
      <c r="DP286" s="408">
        <v>4.0425468347042637E-2</v>
      </c>
      <c r="DQ286" s="408">
        <v>0</v>
      </c>
      <c r="DR286" s="408">
        <v>0</v>
      </c>
      <c r="DS286" s="408"/>
      <c r="DT286" s="408"/>
      <c r="DU286" s="408"/>
      <c r="DV286" s="408">
        <v>-278.64039615396842</v>
      </c>
      <c r="DW286" s="408">
        <v>0</v>
      </c>
      <c r="DX286" s="408">
        <v>0</v>
      </c>
      <c r="DY286" s="408">
        <v>64.106769999999983</v>
      </c>
      <c r="DZ286" s="408">
        <v>-25.540969999999987</v>
      </c>
      <c r="EA286" s="408">
        <v>0</v>
      </c>
      <c r="EB286" s="408">
        <v>0</v>
      </c>
      <c r="EC286" s="408">
        <v>69.219000860791283</v>
      </c>
      <c r="ED286" s="408">
        <v>0</v>
      </c>
      <c r="EE286" s="408">
        <v>0</v>
      </c>
      <c r="EF286" s="408">
        <v>0</v>
      </c>
      <c r="EG286" s="408">
        <v>0</v>
      </c>
      <c r="EH286" s="408">
        <v>0</v>
      </c>
      <c r="EI286" s="408">
        <v>0</v>
      </c>
      <c r="EJ286" s="408">
        <v>0</v>
      </c>
      <c r="EK286" s="408">
        <v>0</v>
      </c>
      <c r="EL286" s="408">
        <v>0</v>
      </c>
      <c r="EM286" s="408">
        <v>0</v>
      </c>
      <c r="EN286" s="408">
        <v>0</v>
      </c>
      <c r="EO286" s="408">
        <v>0</v>
      </c>
      <c r="EP286" s="408">
        <v>-18.593852335446854</v>
      </c>
      <c r="EQ286" s="408">
        <v>0</v>
      </c>
      <c r="ER286" s="408">
        <v>0</v>
      </c>
      <c r="ES286" s="408">
        <v>0</v>
      </c>
      <c r="ET286" s="408">
        <v>0</v>
      </c>
      <c r="EU286" s="408">
        <v>0</v>
      </c>
      <c r="EV286" s="408">
        <v>240</v>
      </c>
      <c r="EW286" s="408">
        <v>0</v>
      </c>
      <c r="EX286" s="408">
        <v>0</v>
      </c>
      <c r="EY286" s="408">
        <v>0</v>
      </c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285</v>
      </c>
      <c r="B287" s="408" t="s">
        <v>2238</v>
      </c>
      <c r="C287" s="408" t="s">
        <v>2235</v>
      </c>
      <c r="D287" s="408" t="s">
        <v>1958</v>
      </c>
      <c r="E287" s="408" t="s">
        <v>970</v>
      </c>
      <c r="F287" s="408" t="s">
        <v>1322</v>
      </c>
      <c r="G287" s="408" t="s">
        <v>1322</v>
      </c>
      <c r="H287" s="408" t="s">
        <v>1322</v>
      </c>
      <c r="I287" s="408" t="s">
        <v>1322</v>
      </c>
      <c r="J287" s="408" t="s">
        <v>2236</v>
      </c>
      <c r="K287" s="826">
        <v>44501</v>
      </c>
      <c r="L287" s="408">
        <v>0</v>
      </c>
      <c r="M287" s="408">
        <v>0</v>
      </c>
      <c r="N287" s="408">
        <v>26.696000000000002</v>
      </c>
      <c r="O287" s="408">
        <v>26.696000000000002</v>
      </c>
      <c r="P287" s="408">
        <v>26.696000000000002</v>
      </c>
      <c r="Q287" s="408">
        <v>26.696000000000002</v>
      </c>
      <c r="R287" s="408"/>
      <c r="S287" s="408">
        <v>368.24</v>
      </c>
      <c r="T287" s="408">
        <v>173.25</v>
      </c>
      <c r="U287" s="408"/>
      <c r="V287" s="408">
        <v>14455.617040000001</v>
      </c>
      <c r="W287" s="408">
        <v>14455.617040000001</v>
      </c>
      <c r="X287" s="408">
        <v>13585.327440000001</v>
      </c>
      <c r="Y287" s="408">
        <v>0</v>
      </c>
      <c r="Z287" s="408">
        <v>1643.0102106903923</v>
      </c>
      <c r="AA287" s="408">
        <v>0</v>
      </c>
      <c r="AB287" s="408">
        <v>0</v>
      </c>
      <c r="AC287" s="408">
        <v>68.329409492858375</v>
      </c>
      <c r="AD287" s="408">
        <v>65.649240469628353</v>
      </c>
      <c r="AE287" s="408">
        <v>6287.8985762690963</v>
      </c>
      <c r="AF287" s="408">
        <v>4547.4092027455163</v>
      </c>
      <c r="AG287" s="408">
        <v>77.611506331329224</v>
      </c>
      <c r="AH287" s="408">
        <v>0</v>
      </c>
      <c r="AI287" s="408">
        <v>0</v>
      </c>
      <c r="AJ287" s="408">
        <v>0</v>
      </c>
      <c r="AK287" s="408">
        <v>0</v>
      </c>
      <c r="AL287" s="408">
        <v>253.85307228347915</v>
      </c>
      <c r="AM287" s="408"/>
      <c r="AN287" s="408">
        <v>32.244942846627175</v>
      </c>
      <c r="AO287" s="408">
        <v>145.04992754261787</v>
      </c>
      <c r="AP287" s="408">
        <v>676.34641335580989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0</v>
      </c>
      <c r="BE287" s="408">
        <v>0</v>
      </c>
      <c r="BF287" s="408">
        <v>0</v>
      </c>
      <c r="BG287" s="408">
        <v>238.65668256116055</v>
      </c>
      <c r="BH287" s="408">
        <v>0</v>
      </c>
      <c r="BI287" s="408">
        <v>12.48</v>
      </c>
      <c r="BJ287" s="408">
        <v>109.02</v>
      </c>
      <c r="BK287" s="408">
        <v>8885.7800000000007</v>
      </c>
      <c r="BL287" s="408">
        <v>46</v>
      </c>
      <c r="BM287" s="408"/>
      <c r="BN287" s="408"/>
      <c r="BO287" s="408"/>
      <c r="BP287" s="408"/>
      <c r="BQ287" s="408"/>
      <c r="BR287" s="408"/>
      <c r="BS287" s="408"/>
      <c r="BT287" s="408"/>
      <c r="BU287" s="408"/>
      <c r="BV287" s="408">
        <v>4786.065885306677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13587.363000000001</v>
      </c>
      <c r="CJ287" s="408">
        <v>-868.28404000000046</v>
      </c>
      <c r="CK287" s="408"/>
      <c r="CL287" s="408"/>
      <c r="CM287" s="408"/>
      <c r="CN287" s="408"/>
      <c r="CO287" s="408">
        <v>-1446.65624</v>
      </c>
      <c r="CP287" s="408">
        <v>576.36664000000007</v>
      </c>
      <c r="CQ287" s="408">
        <v>30</v>
      </c>
      <c r="CR287" s="408">
        <v>691.61842109512872</v>
      </c>
      <c r="CS287" s="408">
        <v>14.453915243723969</v>
      </c>
      <c r="CT287" s="408">
        <v>67.396474439253893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67.596965658335364</v>
      </c>
      <c r="DA287" s="408">
        <v>0</v>
      </c>
      <c r="DB287" s="408">
        <v>0</v>
      </c>
      <c r="DC287" s="408">
        <v>576.30156487332169</v>
      </c>
      <c r="DD287" s="408">
        <v>0</v>
      </c>
      <c r="DE287" s="408">
        <v>0</v>
      </c>
      <c r="DF287" s="408">
        <v>0</v>
      </c>
      <c r="DG287" s="408">
        <v>30.245402051004532</v>
      </c>
      <c r="DH287" s="408">
        <v>0</v>
      </c>
      <c r="DI287" s="408">
        <v>-55.791427600531506</v>
      </c>
      <c r="DJ287" s="408"/>
      <c r="DK287" s="408">
        <v>0</v>
      </c>
      <c r="DL287" s="408">
        <v>0</v>
      </c>
      <c r="DM287" s="408">
        <v>0</v>
      </c>
      <c r="DN287" s="408">
        <v>0</v>
      </c>
      <c r="DO287" s="408">
        <v>-7.672218030678664</v>
      </c>
      <c r="DP287" s="408">
        <v>-0.91225553930064152</v>
      </c>
      <c r="DQ287" s="408">
        <v>0</v>
      </c>
      <c r="DR287" s="408">
        <v>0</v>
      </c>
      <c r="DS287" s="408"/>
      <c r="DT287" s="408"/>
      <c r="DU287" s="408"/>
      <c r="DV287" s="408">
        <v>6287.8985762690963</v>
      </c>
      <c r="DW287" s="408">
        <v>0</v>
      </c>
      <c r="DX287" s="408">
        <v>0</v>
      </c>
      <c r="DY287" s="408">
        <v>-1446.6562400000003</v>
      </c>
      <c r="DZ287" s="408">
        <v>576.36664000000019</v>
      </c>
      <c r="EA287" s="408">
        <v>0</v>
      </c>
      <c r="EB287" s="408">
        <v>0</v>
      </c>
      <c r="EC287" s="408">
        <v>-1562.0206652406459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419.59550460447099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240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286</v>
      </c>
      <c r="B288" s="408" t="s">
        <v>1036</v>
      </c>
      <c r="C288" s="408" t="s">
        <v>2247</v>
      </c>
      <c r="D288" s="408" t="s">
        <v>597</v>
      </c>
      <c r="E288" s="408" t="s">
        <v>970</v>
      </c>
      <c r="F288" s="408" t="s">
        <v>1322</v>
      </c>
      <c r="G288" s="408" t="s">
        <v>1322</v>
      </c>
      <c r="H288" s="408" t="s">
        <v>1322</v>
      </c>
      <c r="I288" s="408" t="s">
        <v>973</v>
      </c>
      <c r="J288" s="408" t="s">
        <v>2236</v>
      </c>
      <c r="K288" s="826">
        <v>44501</v>
      </c>
      <c r="L288" s="408">
        <v>10068</v>
      </c>
      <c r="M288" s="408">
        <v>10068</v>
      </c>
      <c r="N288" s="408">
        <v>490.30500000000001</v>
      </c>
      <c r="O288" s="408">
        <v>490.30500000000001</v>
      </c>
      <c r="P288" s="408">
        <v>490.30500000000001</v>
      </c>
      <c r="Q288" s="408">
        <v>490.30500000000001</v>
      </c>
      <c r="R288" s="408">
        <v>52.95</v>
      </c>
      <c r="S288" s="408">
        <v>85.01</v>
      </c>
      <c r="T288" s="408">
        <v>173.25</v>
      </c>
      <c r="U288" s="408">
        <v>533100.6</v>
      </c>
      <c r="V288" s="408">
        <v>126626.16930000001</v>
      </c>
      <c r="W288" s="408">
        <v>659726.76930000004</v>
      </c>
      <c r="X288" s="408">
        <v>582142.29434999998</v>
      </c>
      <c r="Y288" s="408">
        <v>0</v>
      </c>
      <c r="Z288" s="408">
        <v>26253.042612253532</v>
      </c>
      <c r="AA288" s="408">
        <v>0</v>
      </c>
      <c r="AB288" s="408">
        <v>0</v>
      </c>
      <c r="AC288" s="408">
        <v>7930.2238398062946</v>
      </c>
      <c r="AD288" s="408">
        <v>7618.9766488990699</v>
      </c>
      <c r="AE288" s="408">
        <v>422188.63244015962</v>
      </c>
      <c r="AF288" s="408">
        <v>83518.784430331885</v>
      </c>
      <c r="AG288" s="408">
        <v>1425.4311361920277</v>
      </c>
      <c r="AH288" s="408">
        <v>0</v>
      </c>
      <c r="AI288" s="408">
        <v>0</v>
      </c>
      <c r="AJ288" s="408">
        <v>0</v>
      </c>
      <c r="AK288" s="408">
        <v>0</v>
      </c>
      <c r="AL288" s="408">
        <v>4662.3250901240353</v>
      </c>
      <c r="AM288" s="408"/>
      <c r="AN288" s="408">
        <v>392.64302361155529</v>
      </c>
      <c r="AO288" s="408">
        <v>16834.208286462912</v>
      </c>
      <c r="AP288" s="408">
        <v>78494.406044128686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</v>
      </c>
      <c r="BF288" s="408">
        <v>0</v>
      </c>
      <c r="BG288" s="408">
        <v>3666.8227159303251</v>
      </c>
      <c r="BH288" s="408">
        <v>0</v>
      </c>
      <c r="BI288" s="408">
        <v>0</v>
      </c>
      <c r="BJ288" s="408">
        <v>0</v>
      </c>
      <c r="BK288" s="408">
        <v>0</v>
      </c>
      <c r="BL288" s="408">
        <v>0</v>
      </c>
      <c r="BM288" s="408"/>
      <c r="BN288" s="408"/>
      <c r="BO288" s="408"/>
      <c r="BP288" s="408"/>
      <c r="BQ288" s="408"/>
      <c r="BR288" s="408"/>
      <c r="BS288" s="408"/>
      <c r="BT288" s="408"/>
      <c r="BU288" s="408"/>
      <c r="BV288" s="408">
        <v>87185.607146262206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582143.68770000001</v>
      </c>
      <c r="CJ288" s="408">
        <v>-77583.111600000062</v>
      </c>
      <c r="CK288" s="408"/>
      <c r="CL288" s="408"/>
      <c r="CM288" s="408"/>
      <c r="CN288" s="408"/>
      <c r="CO288" s="408">
        <v>-88170.159900000042</v>
      </c>
      <c r="CP288" s="408">
        <v>10585.684950000003</v>
      </c>
      <c r="CQ288" s="408">
        <v>30</v>
      </c>
      <c r="CR288" s="408">
        <v>27350.018695219158</v>
      </c>
      <c r="CS288" s="408">
        <v>1677.4928735917019</v>
      </c>
      <c r="CT288" s="408">
        <v>7821.7997850081156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7845.0214991528446</v>
      </c>
      <c r="DA288" s="408">
        <v>0</v>
      </c>
      <c r="DB288" s="408">
        <v>0</v>
      </c>
      <c r="DC288" s="408">
        <v>10584.48976495408</v>
      </c>
      <c r="DD288" s="408">
        <v>0</v>
      </c>
      <c r="DE288" s="408">
        <v>0</v>
      </c>
      <c r="DF288" s="408">
        <v>0</v>
      </c>
      <c r="DG288" s="408">
        <v>464.70321343146861</v>
      </c>
      <c r="DH288" s="408">
        <v>0</v>
      </c>
      <c r="DI288" s="408">
        <v>-891.47025177628529</v>
      </c>
      <c r="DJ288" s="408"/>
      <c r="DK288" s="408">
        <v>0</v>
      </c>
      <c r="DL288" s="408">
        <v>0</v>
      </c>
      <c r="DM288" s="408">
        <v>0</v>
      </c>
      <c r="DN288" s="408">
        <v>0</v>
      </c>
      <c r="DO288" s="408">
        <v>-140.90975657521449</v>
      </c>
      <c r="DP288" s="408">
        <v>-11.108432567585453</v>
      </c>
      <c r="DQ288" s="408">
        <v>0</v>
      </c>
      <c r="DR288" s="408">
        <v>0</v>
      </c>
      <c r="DS288" s="408"/>
      <c r="DT288" s="408"/>
      <c r="DU288" s="408">
        <v>422188.63244015962</v>
      </c>
      <c r="DV288" s="408">
        <v>0</v>
      </c>
      <c r="DW288" s="408">
        <v>0</v>
      </c>
      <c r="DX288" s="408">
        <v>0</v>
      </c>
      <c r="DY288" s="408">
        <v>-88170.15989999997</v>
      </c>
      <c r="DZ288" s="408">
        <v>10585.68495000001</v>
      </c>
      <c r="EA288" s="408">
        <v>0</v>
      </c>
      <c r="EB288" s="408">
        <v>0</v>
      </c>
      <c r="EC288" s="408">
        <v>-104878.81770073011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6704.5588582571618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240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287</v>
      </c>
      <c r="B289" s="408" t="s">
        <v>1036</v>
      </c>
      <c r="C289" s="408" t="s">
        <v>2247</v>
      </c>
      <c r="D289" s="408" t="s">
        <v>597</v>
      </c>
      <c r="E289" s="408" t="s">
        <v>970</v>
      </c>
      <c r="F289" s="408" t="s">
        <v>1322</v>
      </c>
      <c r="G289" s="408" t="s">
        <v>1322</v>
      </c>
      <c r="H289" s="408" t="s">
        <v>1322</v>
      </c>
      <c r="I289" s="408" t="s">
        <v>2244</v>
      </c>
      <c r="J289" s="408" t="s">
        <v>2236</v>
      </c>
      <c r="K289" s="826">
        <v>44501</v>
      </c>
      <c r="L289" s="408">
        <v>10857</v>
      </c>
      <c r="M289" s="408">
        <v>10857</v>
      </c>
      <c r="N289" s="408">
        <v>4423.3370000000004</v>
      </c>
      <c r="O289" s="408">
        <v>4423.3370000000004</v>
      </c>
      <c r="P289" s="408">
        <v>4423.3370000000004</v>
      </c>
      <c r="Q289" s="408">
        <v>4423.3370000000004</v>
      </c>
      <c r="R289" s="408">
        <v>27.19</v>
      </c>
      <c r="S289" s="408">
        <v>85.01</v>
      </c>
      <c r="T289" s="408">
        <v>173.25</v>
      </c>
      <c r="U289" s="408">
        <v>295201.83</v>
      </c>
      <c r="V289" s="408">
        <v>1142371.0136200001</v>
      </c>
      <c r="W289" s="408">
        <v>1437572.8436200002</v>
      </c>
      <c r="X289" s="408">
        <v>1468899.64179</v>
      </c>
      <c r="Y289" s="408">
        <v>0</v>
      </c>
      <c r="Z289" s="408">
        <v>236844.52483527132</v>
      </c>
      <c r="AA289" s="408">
        <v>0</v>
      </c>
      <c r="AB289" s="408">
        <v>0</v>
      </c>
      <c r="AC289" s="408">
        <v>2531.8590599830627</v>
      </c>
      <c r="AD289" s="408">
        <v>2432.3462510446934</v>
      </c>
      <c r="AE289" s="408">
        <v>259830.05234998267</v>
      </c>
      <c r="AF289" s="408">
        <v>753473.30613742676</v>
      </c>
      <c r="AG289" s="408">
        <v>12859.673643283744</v>
      </c>
      <c r="AH289" s="408">
        <v>0</v>
      </c>
      <c r="AI289" s="408">
        <v>0</v>
      </c>
      <c r="AJ289" s="408">
        <v>0</v>
      </c>
      <c r="AK289" s="408">
        <v>0</v>
      </c>
      <c r="AL289" s="408">
        <v>42061.64545981375</v>
      </c>
      <c r="AM289" s="408"/>
      <c r="AN289" s="408">
        <v>3542.2694325631319</v>
      </c>
      <c r="AO289" s="408">
        <v>5372.9646111491675</v>
      </c>
      <c r="AP289" s="408">
        <v>25058.920568575748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0</v>
      </c>
      <c r="BE289" s="408">
        <v>0</v>
      </c>
      <c r="BF289" s="408">
        <v>0</v>
      </c>
      <c r="BG289" s="408">
        <v>33080.618373900121</v>
      </c>
      <c r="BH289" s="408">
        <v>0</v>
      </c>
      <c r="BI289" s="408">
        <v>0</v>
      </c>
      <c r="BJ289" s="408">
        <v>0</v>
      </c>
      <c r="BK289" s="408">
        <v>0</v>
      </c>
      <c r="BL289" s="408">
        <v>0</v>
      </c>
      <c r="BM289" s="408"/>
      <c r="BN289" s="408"/>
      <c r="BO289" s="408"/>
      <c r="BP289" s="408"/>
      <c r="BQ289" s="408"/>
      <c r="BR289" s="408"/>
      <c r="BS289" s="408"/>
      <c r="BT289" s="408"/>
      <c r="BU289" s="408"/>
      <c r="BV289" s="408">
        <v>786553.92451132683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1468900.4778</v>
      </c>
      <c r="CJ289" s="408">
        <v>31327.604179999791</v>
      </c>
      <c r="CK289" s="408"/>
      <c r="CL289" s="408"/>
      <c r="CM289" s="408"/>
      <c r="CN289" s="408"/>
      <c r="CO289" s="408">
        <v>-64173.047660000026</v>
      </c>
      <c r="CP289" s="408">
        <v>95499.84583000002</v>
      </c>
      <c r="CQ289" s="408">
        <v>30</v>
      </c>
      <c r="CR289" s="408">
        <v>95804.475893942872</v>
      </c>
      <c r="CS289" s="408">
        <v>535.40443909742862</v>
      </c>
      <c r="CT289" s="408">
        <v>2497.0678726536134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2504.5107121553883</v>
      </c>
      <c r="DA289" s="408">
        <v>0</v>
      </c>
      <c r="DB289" s="408">
        <v>0</v>
      </c>
      <c r="DC289" s="408">
        <v>95489.063345147646</v>
      </c>
      <c r="DD289" s="408">
        <v>0</v>
      </c>
      <c r="DE289" s="408">
        <v>0</v>
      </c>
      <c r="DF289" s="408">
        <v>0</v>
      </c>
      <c r="DG289" s="408">
        <v>4192.3678485642813</v>
      </c>
      <c r="DH289" s="408">
        <v>0</v>
      </c>
      <c r="DI289" s="408">
        <v>-8042.4905907167122</v>
      </c>
      <c r="DJ289" s="408"/>
      <c r="DK289" s="408">
        <v>0</v>
      </c>
      <c r="DL289" s="408">
        <v>0</v>
      </c>
      <c r="DM289" s="408">
        <v>0</v>
      </c>
      <c r="DN289" s="408">
        <v>0</v>
      </c>
      <c r="DO289" s="408">
        <v>-1271.231865716516</v>
      </c>
      <c r="DP289" s="408">
        <v>-100.21586724223835</v>
      </c>
      <c r="DQ289" s="408">
        <v>0</v>
      </c>
      <c r="DR289" s="408">
        <v>0</v>
      </c>
      <c r="DS289" s="408"/>
      <c r="DT289" s="408"/>
      <c r="DU289" s="408">
        <v>259830.05234998267</v>
      </c>
      <c r="DV289" s="408">
        <v>0</v>
      </c>
      <c r="DW289" s="408">
        <v>0</v>
      </c>
      <c r="DX289" s="408">
        <v>0</v>
      </c>
      <c r="DY289" s="408">
        <v>-64173.047660000157</v>
      </c>
      <c r="DZ289" s="408">
        <v>95499.845830000006</v>
      </c>
      <c r="EA289" s="408">
        <v>0</v>
      </c>
      <c r="EB289" s="408">
        <v>0</v>
      </c>
      <c r="EC289" s="408">
        <v>-64546.192388179683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60485.867503710266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240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288</v>
      </c>
      <c r="B290" s="408" t="s">
        <v>1036</v>
      </c>
      <c r="C290" s="408" t="s">
        <v>2247</v>
      </c>
      <c r="D290" s="408" t="s">
        <v>597</v>
      </c>
      <c r="E290" s="408" t="s">
        <v>970</v>
      </c>
      <c r="F290" s="408" t="s">
        <v>1322</v>
      </c>
      <c r="G290" s="408" t="s">
        <v>1322</v>
      </c>
      <c r="H290" s="408" t="s">
        <v>1322</v>
      </c>
      <c r="I290" s="408" t="s">
        <v>1322</v>
      </c>
      <c r="J290" s="408" t="s">
        <v>2236</v>
      </c>
      <c r="K290" s="826">
        <v>44501</v>
      </c>
      <c r="L290" s="408">
        <v>0</v>
      </c>
      <c r="M290" s="408">
        <v>0</v>
      </c>
      <c r="N290" s="408">
        <v>0</v>
      </c>
      <c r="O290" s="408">
        <v>0</v>
      </c>
      <c r="P290" s="408">
        <v>0</v>
      </c>
      <c r="Q290" s="408">
        <v>0</v>
      </c>
      <c r="R290" s="408"/>
      <c r="S290" s="408"/>
      <c r="T290" s="408"/>
      <c r="U290" s="408"/>
      <c r="V290" s="408"/>
      <c r="W290" s="408"/>
      <c r="X290" s="408"/>
      <c r="Y290" s="408"/>
      <c r="Z290" s="408"/>
      <c r="AA290" s="408">
        <v>0</v>
      </c>
      <c r="AB290" s="408"/>
      <c r="AC290" s="408"/>
      <c r="AD290" s="408"/>
      <c r="AE290" s="408"/>
      <c r="AF290" s="408"/>
      <c r="AG290" s="408"/>
      <c r="AH290" s="408"/>
      <c r="AI290" s="408"/>
      <c r="AJ290" s="408"/>
      <c r="AK290" s="408"/>
      <c r="AL290" s="408"/>
      <c r="AM290" s="408"/>
      <c r="AN290" s="408"/>
      <c r="AO290" s="408"/>
      <c r="AP290" s="408"/>
      <c r="AQ290" s="408"/>
      <c r="AR290" s="408"/>
      <c r="AS290" s="408"/>
      <c r="AT290" s="408"/>
      <c r="AU290" s="408"/>
      <c r="AV290" s="408"/>
      <c r="AW290" s="408"/>
      <c r="AX290" s="408"/>
      <c r="AY290" s="408"/>
      <c r="AZ290" s="408">
        <v>0</v>
      </c>
      <c r="BA290" s="408"/>
      <c r="BB290" s="408"/>
      <c r="BC290" s="408"/>
      <c r="BD290" s="408"/>
      <c r="BE290" s="408"/>
      <c r="BF290" s="408"/>
      <c r="BG290" s="408"/>
      <c r="BH290" s="408"/>
      <c r="BI290" s="408">
        <v>1943.7</v>
      </c>
      <c r="BJ290" s="408">
        <v>16660.439999999999</v>
      </c>
      <c r="BK290" s="408">
        <v>586015.31999999995</v>
      </c>
      <c r="BL290" s="408">
        <v>5</v>
      </c>
      <c r="BM290" s="408"/>
      <c r="BN290" s="408"/>
      <c r="BO290" s="408"/>
      <c r="BP290" s="408"/>
      <c r="BQ290" s="408"/>
      <c r="BR290" s="408"/>
      <c r="BS290" s="408"/>
      <c r="BT290" s="408"/>
      <c r="BU290" s="408"/>
      <c r="BV290" s="408"/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/>
      <c r="CJ290" s="408">
        <v>-0.03</v>
      </c>
      <c r="CK290" s="408"/>
      <c r="CL290" s="408"/>
      <c r="CM290" s="408"/>
      <c r="CN290" s="408"/>
      <c r="CO290" s="408">
        <v>0</v>
      </c>
      <c r="CP290" s="408">
        <v>0</v>
      </c>
      <c r="CQ290" s="408">
        <v>30</v>
      </c>
      <c r="CR290" s="408"/>
      <c r="CS290" s="408"/>
      <c r="CT290" s="408"/>
      <c r="CU290" s="408"/>
      <c r="CV290" s="408"/>
      <c r="CW290" s="408"/>
      <c r="CX290" s="408"/>
      <c r="CY290" s="408"/>
      <c r="CZ290" s="408"/>
      <c r="DA290" s="408"/>
      <c r="DB290" s="408"/>
      <c r="DC290" s="408"/>
      <c r="DD290" s="408"/>
      <c r="DE290" s="408"/>
      <c r="DF290" s="408"/>
      <c r="DG290" s="408"/>
      <c r="DH290" s="408"/>
      <c r="DI290" s="408"/>
      <c r="DJ290" s="408"/>
      <c r="DK290" s="408">
        <v>0</v>
      </c>
      <c r="DL290" s="408"/>
      <c r="DM290" s="408"/>
      <c r="DN290" s="408"/>
      <c r="DO290" s="408"/>
      <c r="DP290" s="408"/>
      <c r="DQ290" s="408"/>
      <c r="DR290" s="408"/>
      <c r="DS290" s="408"/>
      <c r="DT290" s="408"/>
      <c r="DU290" s="408"/>
      <c r="DV290" s="408"/>
      <c r="DW290" s="408"/>
      <c r="DX290" s="408"/>
      <c r="DY290" s="408"/>
      <c r="DZ290" s="408"/>
      <c r="EA290" s="408"/>
      <c r="EB290" s="408"/>
      <c r="EC290" s="408"/>
      <c r="ED290" s="408"/>
      <c r="EE290" s="408"/>
      <c r="EF290" s="408"/>
      <c r="EG290" s="408"/>
      <c r="EH290" s="408"/>
      <c r="EI290" s="408"/>
      <c r="EJ290" s="408"/>
      <c r="EK290" s="408"/>
      <c r="EL290" s="408"/>
      <c r="EM290" s="408"/>
      <c r="EN290" s="408"/>
      <c r="EO290" s="408"/>
      <c r="EP290" s="408"/>
      <c r="EQ290" s="408"/>
      <c r="ER290" s="408"/>
      <c r="ES290" s="408"/>
      <c r="ET290" s="408"/>
      <c r="EU290" s="408"/>
      <c r="EV290" s="408">
        <v>240</v>
      </c>
      <c r="EW290" s="408"/>
      <c r="EX290" s="408"/>
      <c r="EY290" s="408"/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289</v>
      </c>
      <c r="B291" s="408" t="s">
        <v>1036</v>
      </c>
      <c r="C291" s="408" t="s">
        <v>2243</v>
      </c>
      <c r="D291" s="408" t="s">
        <v>597</v>
      </c>
      <c r="E291" s="408" t="s">
        <v>970</v>
      </c>
      <c r="F291" s="408" t="s">
        <v>1322</v>
      </c>
      <c r="G291" s="408" t="s">
        <v>1322</v>
      </c>
      <c r="H291" s="408" t="s">
        <v>1322</v>
      </c>
      <c r="I291" s="408" t="s">
        <v>973</v>
      </c>
      <c r="J291" s="408" t="s">
        <v>2236</v>
      </c>
      <c r="K291" s="826">
        <v>44501</v>
      </c>
      <c r="L291" s="408">
        <v>0</v>
      </c>
      <c r="M291" s="408">
        <v>0</v>
      </c>
      <c r="N291" s="408">
        <v>182.81100000000001</v>
      </c>
      <c r="O291" s="408">
        <v>182.81100000000001</v>
      </c>
      <c r="P291" s="408">
        <v>182.81100000000001</v>
      </c>
      <c r="Q291" s="408">
        <v>182.81100000000001</v>
      </c>
      <c r="R291" s="408"/>
      <c r="S291" s="408">
        <v>1358.36</v>
      </c>
      <c r="T291" s="408">
        <v>173.25</v>
      </c>
      <c r="U291" s="408"/>
      <c r="V291" s="408">
        <v>279995.15570999996</v>
      </c>
      <c r="W291" s="408">
        <v>279995.15570999996</v>
      </c>
      <c r="X291" s="408">
        <v>245500.54812000002</v>
      </c>
      <c r="Y291" s="408">
        <v>0</v>
      </c>
      <c r="Z291" s="408">
        <v>9788.4887426982805</v>
      </c>
      <c r="AA291" s="408">
        <v>0</v>
      </c>
      <c r="AB291" s="408">
        <v>0</v>
      </c>
      <c r="AC291" s="408">
        <v>3462.8221107079094</v>
      </c>
      <c r="AD291" s="408">
        <v>3327.0058151168673</v>
      </c>
      <c r="AE291" s="408">
        <v>184366.30421599062</v>
      </c>
      <c r="AF291" s="408">
        <v>31140.111768171657</v>
      </c>
      <c r="AG291" s="408">
        <v>531.47426895177648</v>
      </c>
      <c r="AH291" s="408">
        <v>0</v>
      </c>
      <c r="AI291" s="408">
        <v>0</v>
      </c>
      <c r="AJ291" s="408">
        <v>0</v>
      </c>
      <c r="AK291" s="408">
        <v>0</v>
      </c>
      <c r="AL291" s="408">
        <v>1738.3553340281355</v>
      </c>
      <c r="AM291" s="408"/>
      <c r="AN291" s="408">
        <v>146.39757658896409</v>
      </c>
      <c r="AO291" s="408">
        <v>7350.9806159958198</v>
      </c>
      <c r="AP291" s="408">
        <v>34276.349752548063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0</v>
      </c>
      <c r="BE291" s="408">
        <v>0</v>
      </c>
      <c r="BF291" s="408">
        <v>0</v>
      </c>
      <c r="BG291" s="408">
        <v>1367.180688595749</v>
      </c>
      <c r="BH291" s="408">
        <v>0</v>
      </c>
      <c r="BI291" s="408">
        <v>0</v>
      </c>
      <c r="BJ291" s="408">
        <v>0</v>
      </c>
      <c r="BK291" s="408">
        <v>0</v>
      </c>
      <c r="BL291" s="408">
        <v>0</v>
      </c>
      <c r="BM291" s="408"/>
      <c r="BN291" s="408"/>
      <c r="BO291" s="408"/>
      <c r="BP291" s="408"/>
      <c r="BQ291" s="408"/>
      <c r="BR291" s="408"/>
      <c r="BS291" s="408"/>
      <c r="BT291" s="408"/>
      <c r="BU291" s="408"/>
      <c r="BV291" s="408">
        <v>32507.292456767405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245499.2052</v>
      </c>
      <c r="CJ291" s="408">
        <v>-34495.980509999994</v>
      </c>
      <c r="CK291" s="408"/>
      <c r="CL291" s="408"/>
      <c r="CM291" s="408"/>
      <c r="CN291" s="408"/>
      <c r="CO291" s="408">
        <v>-38441.497079999994</v>
      </c>
      <c r="CP291" s="408">
        <v>3946.8894900000009</v>
      </c>
      <c r="CQ291" s="408">
        <v>30</v>
      </c>
      <c r="CR291" s="408">
        <v>11304.430994127979</v>
      </c>
      <c r="CS291" s="408">
        <v>732.5095060846661</v>
      </c>
      <c r="CT291" s="408">
        <v>3415.5649891104767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3425.7136292929613</v>
      </c>
      <c r="DA291" s="408">
        <v>0</v>
      </c>
      <c r="DB291" s="408">
        <v>0</v>
      </c>
      <c r="DC291" s="408">
        <v>3946.4438633524405</v>
      </c>
      <c r="DD291" s="408">
        <v>0</v>
      </c>
      <c r="DE291" s="408">
        <v>0</v>
      </c>
      <c r="DF291" s="408">
        <v>0</v>
      </c>
      <c r="DG291" s="408">
        <v>173.26533311024809</v>
      </c>
      <c r="DH291" s="408">
        <v>0</v>
      </c>
      <c r="DI291" s="408">
        <v>-332.38610293077727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-52.538427120407505</v>
      </c>
      <c r="DP291" s="408">
        <v>-4.1417967716275825</v>
      </c>
      <c r="DQ291" s="408">
        <v>0</v>
      </c>
      <c r="DR291" s="408">
        <v>0</v>
      </c>
      <c r="DS291" s="408"/>
      <c r="DT291" s="408"/>
      <c r="DU291" s="408"/>
      <c r="DV291" s="408">
        <v>184366.30421599062</v>
      </c>
      <c r="DW291" s="408">
        <v>0</v>
      </c>
      <c r="DX291" s="408">
        <v>0</v>
      </c>
      <c r="DY291" s="408">
        <v>-38441.497079999972</v>
      </c>
      <c r="DZ291" s="408">
        <v>3946.889490000005</v>
      </c>
      <c r="EA291" s="408">
        <v>0</v>
      </c>
      <c r="EB291" s="408">
        <v>0</v>
      </c>
      <c r="EC291" s="408">
        <v>-45799.717292878864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2499.8054464809661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240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290</v>
      </c>
      <c r="B292" s="408" t="s">
        <v>2238</v>
      </c>
      <c r="C292" s="408" t="s">
        <v>2243</v>
      </c>
      <c r="D292" s="408" t="s">
        <v>597</v>
      </c>
      <c r="E292" s="408" t="s">
        <v>970</v>
      </c>
      <c r="F292" s="408" t="s">
        <v>1322</v>
      </c>
      <c r="G292" s="408" t="s">
        <v>1322</v>
      </c>
      <c r="H292" s="408" t="s">
        <v>1322</v>
      </c>
      <c r="I292" s="408" t="s">
        <v>973</v>
      </c>
      <c r="J292" s="408" t="s">
        <v>2236</v>
      </c>
      <c r="K292" s="826">
        <v>44501</v>
      </c>
      <c r="L292" s="408">
        <v>0</v>
      </c>
      <c r="M292" s="408">
        <v>0</v>
      </c>
      <c r="N292" s="408">
        <v>0.33600000000000002</v>
      </c>
      <c r="O292" s="408">
        <v>0.33600000000000002</v>
      </c>
      <c r="P292" s="408">
        <v>0.33600000000000002</v>
      </c>
      <c r="Q292" s="408">
        <v>0.33600000000000002</v>
      </c>
      <c r="R292" s="408"/>
      <c r="S292" s="408">
        <v>1358.36</v>
      </c>
      <c r="T292" s="408">
        <v>173.25</v>
      </c>
      <c r="U292" s="408"/>
      <c r="V292" s="408">
        <v>514.62095999999997</v>
      </c>
      <c r="W292" s="408">
        <v>514.62095999999997</v>
      </c>
      <c r="X292" s="408">
        <v>451.22112000000004</v>
      </c>
      <c r="Y292" s="408">
        <v>0</v>
      </c>
      <c r="Z292" s="408">
        <v>17.990887952839941</v>
      </c>
      <c r="AA292" s="408">
        <v>0</v>
      </c>
      <c r="AB292" s="408">
        <v>0</v>
      </c>
      <c r="AC292" s="408">
        <v>6.3645416807405333</v>
      </c>
      <c r="AD292" s="408">
        <v>6.1149162461737392</v>
      </c>
      <c r="AE292" s="408">
        <v>338.85859284492096</v>
      </c>
      <c r="AF292" s="408">
        <v>57.234398116665169</v>
      </c>
      <c r="AG292" s="408">
        <v>0.9768304662618601</v>
      </c>
      <c r="AH292" s="408">
        <v>0</v>
      </c>
      <c r="AI292" s="408">
        <v>0</v>
      </c>
      <c r="AJ292" s="408">
        <v>0</v>
      </c>
      <c r="AK292" s="408">
        <v>0</v>
      </c>
      <c r="AL292" s="408">
        <v>3.1950341731813379</v>
      </c>
      <c r="AM292" s="408"/>
      <c r="AN292" s="408">
        <v>0.2690734459846067</v>
      </c>
      <c r="AO292" s="408">
        <v>13.510836256979042</v>
      </c>
      <c r="AP292" s="408">
        <v>62.998689995985742</v>
      </c>
      <c r="AQ292" s="408">
        <v>0</v>
      </c>
      <c r="AR292" s="408">
        <v>0</v>
      </c>
      <c r="AS292" s="408">
        <v>0</v>
      </c>
      <c r="AT292" s="408">
        <v>0</v>
      </c>
      <c r="AU292" s="408">
        <v>0</v>
      </c>
      <c r="AV292" s="408">
        <v>0</v>
      </c>
      <c r="AW292" s="408">
        <v>0</v>
      </c>
      <c r="AX292" s="408">
        <v>0</v>
      </c>
      <c r="AY292" s="408">
        <v>0</v>
      </c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>
        <v>0</v>
      </c>
      <c r="BG292" s="408">
        <v>2.5128286118897205</v>
      </c>
      <c r="BH292" s="408">
        <v>0</v>
      </c>
      <c r="BI292" s="408">
        <v>0</v>
      </c>
      <c r="BJ292" s="408">
        <v>0</v>
      </c>
      <c r="BK292" s="408">
        <v>0</v>
      </c>
      <c r="BL292" s="408">
        <v>0</v>
      </c>
      <c r="BM292" s="408"/>
      <c r="BN292" s="408"/>
      <c r="BO292" s="408"/>
      <c r="BP292" s="408"/>
      <c r="BQ292" s="408"/>
      <c r="BR292" s="408"/>
      <c r="BS292" s="408"/>
      <c r="BT292" s="408"/>
      <c r="BU292" s="408"/>
      <c r="BV292" s="408">
        <v>59.747226728554892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456.59280000000001</v>
      </c>
      <c r="CJ292" s="408">
        <v>-58.05815999999993</v>
      </c>
      <c r="CK292" s="408"/>
      <c r="CL292" s="408"/>
      <c r="CM292" s="408"/>
      <c r="CN292" s="408"/>
      <c r="CO292" s="408">
        <v>-70.654079999999993</v>
      </c>
      <c r="CP292" s="408">
        <v>7.254240000000002</v>
      </c>
      <c r="CQ292" s="408">
        <v>30</v>
      </c>
      <c r="CR292" s="408">
        <v>20.777134931853141</v>
      </c>
      <c r="CS292" s="408">
        <v>1.3463259543706219</v>
      </c>
      <c r="CT292" s="408">
        <v>6.2776848020147611</v>
      </c>
      <c r="CU292" s="408">
        <v>0</v>
      </c>
      <c r="CV292" s="408">
        <v>0</v>
      </c>
      <c r="CW292" s="408">
        <v>0</v>
      </c>
      <c r="CX292" s="408">
        <v>0</v>
      </c>
      <c r="CY292" s="408">
        <v>0</v>
      </c>
      <c r="CZ292" s="408">
        <v>6.2963376352759672</v>
      </c>
      <c r="DA292" s="408">
        <v>0</v>
      </c>
      <c r="DB292" s="408">
        <v>0</v>
      </c>
      <c r="DC292" s="408">
        <v>7.2534209543540626</v>
      </c>
      <c r="DD292" s="408">
        <v>0</v>
      </c>
      <c r="DE292" s="408">
        <v>0</v>
      </c>
      <c r="DF292" s="408">
        <v>0</v>
      </c>
      <c r="DG292" s="408">
        <v>0.31845540982240284</v>
      </c>
      <c r="DH292" s="408">
        <v>0</v>
      </c>
      <c r="DI292" s="408">
        <v>-0.6109136243702018</v>
      </c>
      <c r="DJ292" s="408"/>
      <c r="DK292" s="408">
        <v>0</v>
      </c>
      <c r="DL292" s="408">
        <v>0</v>
      </c>
      <c r="DM292" s="408">
        <v>0</v>
      </c>
      <c r="DN292" s="408">
        <v>0</v>
      </c>
      <c r="DO292" s="408">
        <v>-9.6563727086755868E-2</v>
      </c>
      <c r="DP292" s="408">
        <v>-7.6124725277301186E-3</v>
      </c>
      <c r="DQ292" s="408">
        <v>0</v>
      </c>
      <c r="DR292" s="408">
        <v>0</v>
      </c>
      <c r="DS292" s="408"/>
      <c r="DT292" s="408"/>
      <c r="DU292" s="408"/>
      <c r="DV292" s="408">
        <v>338.85859284492096</v>
      </c>
      <c r="DW292" s="408">
        <v>0</v>
      </c>
      <c r="DX292" s="408">
        <v>0</v>
      </c>
      <c r="DY292" s="408">
        <v>-70.654079999999965</v>
      </c>
      <c r="DZ292" s="408">
        <v>7.2542399999999958</v>
      </c>
      <c r="EA292" s="408">
        <v>0</v>
      </c>
      <c r="EB292" s="408">
        <v>0</v>
      </c>
      <c r="EC292" s="408">
        <v>-84.178222373967088</v>
      </c>
      <c r="ED292" s="408">
        <v>0</v>
      </c>
      <c r="EE292" s="408">
        <v>0</v>
      </c>
      <c r="EF292" s="408">
        <v>0</v>
      </c>
      <c r="EG292" s="408">
        <v>0</v>
      </c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>
        <v>0</v>
      </c>
      <c r="EN292" s="408">
        <v>0</v>
      </c>
      <c r="EO292" s="408">
        <v>0</v>
      </c>
      <c r="EP292" s="408">
        <v>4.5945519143684166</v>
      </c>
      <c r="EQ292" s="408">
        <v>0</v>
      </c>
      <c r="ER292" s="408">
        <v>0</v>
      </c>
      <c r="ES292" s="408">
        <v>0</v>
      </c>
      <c r="ET292" s="408">
        <v>0</v>
      </c>
      <c r="EU292" s="408">
        <v>0</v>
      </c>
      <c r="EV292" s="408">
        <v>240</v>
      </c>
      <c r="EW292" s="408">
        <v>0</v>
      </c>
      <c r="EX292" s="408">
        <v>0</v>
      </c>
      <c r="EY292" s="408">
        <v>0</v>
      </c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291</v>
      </c>
      <c r="B293" s="408" t="s">
        <v>1036</v>
      </c>
      <c r="C293" s="408" t="s">
        <v>2243</v>
      </c>
      <c r="D293" s="408" t="s">
        <v>597</v>
      </c>
      <c r="E293" s="408" t="s">
        <v>970</v>
      </c>
      <c r="F293" s="408" t="s">
        <v>1322</v>
      </c>
      <c r="G293" s="408" t="s">
        <v>1322</v>
      </c>
      <c r="H293" s="408" t="s">
        <v>1322</v>
      </c>
      <c r="I293" s="408" t="s">
        <v>2244</v>
      </c>
      <c r="J293" s="408" t="s">
        <v>2236</v>
      </c>
      <c r="K293" s="826">
        <v>44501</v>
      </c>
      <c r="L293" s="408">
        <v>0</v>
      </c>
      <c r="M293" s="408">
        <v>0</v>
      </c>
      <c r="N293" s="408">
        <v>3198.0410000000002</v>
      </c>
      <c r="O293" s="408">
        <v>3198.0410000000002</v>
      </c>
      <c r="P293" s="408">
        <v>3198.0410000000002</v>
      </c>
      <c r="Q293" s="408">
        <v>3198.0410000000002</v>
      </c>
      <c r="R293" s="408"/>
      <c r="S293" s="408">
        <v>85.01</v>
      </c>
      <c r="T293" s="408">
        <v>173.25</v>
      </c>
      <c r="U293" s="408"/>
      <c r="V293" s="408">
        <v>825926.06866000011</v>
      </c>
      <c r="W293" s="408">
        <v>825926.06866000011</v>
      </c>
      <c r="X293" s="408">
        <v>891198.08547000005</v>
      </c>
      <c r="Y293" s="408">
        <v>0</v>
      </c>
      <c r="Z293" s="408">
        <v>171236.89672496487</v>
      </c>
      <c r="AA293" s="408">
        <v>0</v>
      </c>
      <c r="AB293" s="408">
        <v>0</v>
      </c>
      <c r="AC293" s="408">
        <v>0</v>
      </c>
      <c r="AD293" s="408">
        <v>0</v>
      </c>
      <c r="AE293" s="408">
        <v>0</v>
      </c>
      <c r="AF293" s="408">
        <v>544755.80889112502</v>
      </c>
      <c r="AG293" s="408">
        <v>9297.4520272456703</v>
      </c>
      <c r="AH293" s="408">
        <v>0</v>
      </c>
      <c r="AI293" s="408">
        <v>0</v>
      </c>
      <c r="AJ293" s="408">
        <v>0</v>
      </c>
      <c r="AK293" s="408">
        <v>0</v>
      </c>
      <c r="AL293" s="408">
        <v>30410.268697128031</v>
      </c>
      <c r="AM293" s="408"/>
      <c r="AN293" s="408">
        <v>2561.0354531846951</v>
      </c>
      <c r="AO293" s="408">
        <v>0</v>
      </c>
      <c r="AP293" s="408">
        <v>0</v>
      </c>
      <c r="AQ293" s="408">
        <v>0</v>
      </c>
      <c r="AR293" s="408">
        <v>0</v>
      </c>
      <c r="AS293" s="408">
        <v>0</v>
      </c>
      <c r="AT293" s="408">
        <v>0</v>
      </c>
      <c r="AU293" s="408">
        <v>0</v>
      </c>
      <c r="AV293" s="408">
        <v>0</v>
      </c>
      <c r="AW293" s="408">
        <v>0</v>
      </c>
      <c r="AX293" s="408">
        <v>0</v>
      </c>
      <c r="AY293" s="408">
        <v>0</v>
      </c>
      <c r="AZ293" s="408">
        <v>0</v>
      </c>
      <c r="BA293" s="408"/>
      <c r="BB293" s="408">
        <v>0</v>
      </c>
      <c r="BC293" s="408">
        <v>0</v>
      </c>
      <c r="BD293" s="408">
        <v>0</v>
      </c>
      <c r="BE293" s="408">
        <v>0</v>
      </c>
      <c r="BF293" s="408">
        <v>0</v>
      </c>
      <c r="BG293" s="408">
        <v>23917.050377370277</v>
      </c>
      <c r="BH293" s="408">
        <v>0</v>
      </c>
      <c r="BI293" s="408">
        <v>0</v>
      </c>
      <c r="BJ293" s="408">
        <v>0</v>
      </c>
      <c r="BK293" s="408">
        <v>0</v>
      </c>
      <c r="BL293" s="408">
        <v>0</v>
      </c>
      <c r="BM293" s="408"/>
      <c r="BN293" s="408"/>
      <c r="BO293" s="408"/>
      <c r="BP293" s="408"/>
      <c r="BQ293" s="408"/>
      <c r="BR293" s="408"/>
      <c r="BS293" s="408"/>
      <c r="BT293" s="408"/>
      <c r="BU293" s="408"/>
      <c r="BV293" s="408">
        <v>568672.85926849535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891197.80680000002</v>
      </c>
      <c r="CJ293" s="408">
        <v>65271.708139999886</v>
      </c>
      <c r="CK293" s="408"/>
      <c r="CL293" s="408"/>
      <c r="CM293" s="408"/>
      <c r="CN293" s="408"/>
      <c r="CO293" s="408">
        <v>-3773.6883800000219</v>
      </c>
      <c r="CP293" s="408">
        <v>69045.705190000008</v>
      </c>
      <c r="CQ293" s="408">
        <v>30</v>
      </c>
      <c r="CR293" s="408">
        <v>65262.751439825632</v>
      </c>
      <c r="CS293" s="408">
        <v>0</v>
      </c>
      <c r="CT293" s="408">
        <v>0</v>
      </c>
      <c r="CU293" s="408">
        <v>0</v>
      </c>
      <c r="CV293" s="408">
        <v>0</v>
      </c>
      <c r="CW293" s="408">
        <v>0</v>
      </c>
      <c r="CX293" s="408">
        <v>0</v>
      </c>
      <c r="CY293" s="408">
        <v>0</v>
      </c>
      <c r="CZ293" s="408">
        <v>0</v>
      </c>
      <c r="DA293" s="408">
        <v>0</v>
      </c>
      <c r="DB293" s="408">
        <v>0</v>
      </c>
      <c r="DC293" s="408">
        <v>69037.909530605422</v>
      </c>
      <c r="DD293" s="408">
        <v>0</v>
      </c>
      <c r="DE293" s="408">
        <v>0</v>
      </c>
      <c r="DF293" s="408">
        <v>0</v>
      </c>
      <c r="DG293" s="408">
        <v>3031.051956201929</v>
      </c>
      <c r="DH293" s="408">
        <v>0</v>
      </c>
      <c r="DI293" s="408">
        <v>-5814.6631493884197</v>
      </c>
      <c r="DJ293" s="408"/>
      <c r="DK293" s="408">
        <v>0</v>
      </c>
      <c r="DL293" s="408">
        <v>0</v>
      </c>
      <c r="DM293" s="408">
        <v>0</v>
      </c>
      <c r="DN293" s="408">
        <v>0</v>
      </c>
      <c r="DO293" s="408">
        <v>-919.09154266742553</v>
      </c>
      <c r="DP293" s="408">
        <v>-72.455354925757547</v>
      </c>
      <c r="DQ293" s="408">
        <v>0</v>
      </c>
      <c r="DR293" s="408">
        <v>0</v>
      </c>
      <c r="DS293" s="408"/>
      <c r="DT293" s="408"/>
      <c r="DU293" s="408"/>
      <c r="DV293" s="408">
        <v>0</v>
      </c>
      <c r="DW293" s="408">
        <v>0</v>
      </c>
      <c r="DX293" s="408">
        <v>0</v>
      </c>
      <c r="DY293" s="408">
        <v>-3773.6883800000069</v>
      </c>
      <c r="DZ293" s="408">
        <v>69045.705190000008</v>
      </c>
      <c r="EA293" s="408">
        <v>0</v>
      </c>
      <c r="EB293" s="408">
        <v>0</v>
      </c>
      <c r="EC293" s="408">
        <v>0</v>
      </c>
      <c r="ED293" s="408">
        <v>0</v>
      </c>
      <c r="EE293" s="408">
        <v>0</v>
      </c>
      <c r="EF293" s="408">
        <v>0</v>
      </c>
      <c r="EG293" s="408">
        <v>0</v>
      </c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>
        <v>0</v>
      </c>
      <c r="EN293" s="408">
        <v>0</v>
      </c>
      <c r="EO293" s="408">
        <v>0</v>
      </c>
      <c r="EP293" s="408">
        <v>43730.849401127038</v>
      </c>
      <c r="EQ293" s="408">
        <v>0</v>
      </c>
      <c r="ER293" s="408">
        <v>0</v>
      </c>
      <c r="ES293" s="408">
        <v>0</v>
      </c>
      <c r="ET293" s="408">
        <v>0</v>
      </c>
      <c r="EU293" s="408">
        <v>0</v>
      </c>
      <c r="EV293" s="408">
        <v>240</v>
      </c>
      <c r="EW293" s="408">
        <v>0</v>
      </c>
      <c r="EX293" s="408">
        <v>0</v>
      </c>
      <c r="EY293" s="408">
        <v>0</v>
      </c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292</v>
      </c>
      <c r="B294" s="408" t="s">
        <v>2238</v>
      </c>
      <c r="C294" s="408" t="s">
        <v>2243</v>
      </c>
      <c r="D294" s="408" t="s">
        <v>597</v>
      </c>
      <c r="E294" s="408" t="s">
        <v>970</v>
      </c>
      <c r="F294" s="408" t="s">
        <v>1322</v>
      </c>
      <c r="G294" s="408" t="s">
        <v>1322</v>
      </c>
      <c r="H294" s="408" t="s">
        <v>1322</v>
      </c>
      <c r="I294" s="408" t="s">
        <v>2244</v>
      </c>
      <c r="J294" s="408" t="s">
        <v>2236</v>
      </c>
      <c r="K294" s="826">
        <v>44501</v>
      </c>
      <c r="L294" s="408">
        <v>0</v>
      </c>
      <c r="M294" s="408">
        <v>0</v>
      </c>
      <c r="N294" s="408">
        <v>20.515999999999998</v>
      </c>
      <c r="O294" s="408">
        <v>20.515999999999998</v>
      </c>
      <c r="P294" s="408">
        <v>20.515999999999998</v>
      </c>
      <c r="Q294" s="408">
        <v>20.515999999999998</v>
      </c>
      <c r="R294" s="408"/>
      <c r="S294" s="408">
        <v>85.01</v>
      </c>
      <c r="T294" s="408">
        <v>173.25</v>
      </c>
      <c r="U294" s="408"/>
      <c r="V294" s="408">
        <v>5298.4621599999991</v>
      </c>
      <c r="W294" s="408">
        <v>5298.4621599999991</v>
      </c>
      <c r="X294" s="408">
        <v>5717.1937199999993</v>
      </c>
      <c r="Y294" s="408">
        <v>0</v>
      </c>
      <c r="Z294" s="408">
        <v>1098.5150513109052</v>
      </c>
      <c r="AA294" s="408">
        <v>0</v>
      </c>
      <c r="AB294" s="408">
        <v>0</v>
      </c>
      <c r="AC294" s="408">
        <v>0</v>
      </c>
      <c r="AD294" s="408">
        <v>0</v>
      </c>
      <c r="AE294" s="408">
        <v>0</v>
      </c>
      <c r="AF294" s="408">
        <v>3494.7050945282813</v>
      </c>
      <c r="AG294" s="408">
        <v>59.644803112584285</v>
      </c>
      <c r="AH294" s="408">
        <v>0</v>
      </c>
      <c r="AI294" s="408">
        <v>0</v>
      </c>
      <c r="AJ294" s="408">
        <v>0</v>
      </c>
      <c r="AK294" s="408">
        <v>0</v>
      </c>
      <c r="AL294" s="408">
        <v>195.08726516960809</v>
      </c>
      <c r="AM294" s="408"/>
      <c r="AN294" s="408">
        <v>16.42949648160771</v>
      </c>
      <c r="AO294" s="408">
        <v>0</v>
      </c>
      <c r="AP294" s="408">
        <v>0</v>
      </c>
      <c r="AQ294" s="408">
        <v>0</v>
      </c>
      <c r="AR294" s="408">
        <v>0</v>
      </c>
      <c r="AS294" s="408">
        <v>0</v>
      </c>
      <c r="AT294" s="408">
        <v>0</v>
      </c>
      <c r="AU294" s="408">
        <v>0</v>
      </c>
      <c r="AV294" s="408">
        <v>0</v>
      </c>
      <c r="AW294" s="408">
        <v>0</v>
      </c>
      <c r="AX294" s="408">
        <v>0</v>
      </c>
      <c r="AY294" s="408">
        <v>0</v>
      </c>
      <c r="AZ294" s="408">
        <v>0</v>
      </c>
      <c r="BA294" s="408"/>
      <c r="BB294" s="408">
        <v>0</v>
      </c>
      <c r="BC294" s="408">
        <v>0</v>
      </c>
      <c r="BD294" s="408">
        <v>0</v>
      </c>
      <c r="BE294" s="408">
        <v>0</v>
      </c>
      <c r="BF294" s="408">
        <v>0</v>
      </c>
      <c r="BG294" s="408">
        <v>153.43211845693301</v>
      </c>
      <c r="BH294" s="408">
        <v>0</v>
      </c>
      <c r="BI294" s="408">
        <v>0</v>
      </c>
      <c r="BJ294" s="408">
        <v>0</v>
      </c>
      <c r="BK294" s="408">
        <v>0</v>
      </c>
      <c r="BL294" s="408">
        <v>0</v>
      </c>
      <c r="BM294" s="408"/>
      <c r="BN294" s="408"/>
      <c r="BO294" s="408"/>
      <c r="BP294" s="408"/>
      <c r="BQ294" s="408"/>
      <c r="BR294" s="408"/>
      <c r="BS294" s="408"/>
      <c r="BT294" s="408"/>
      <c r="BU294" s="408"/>
      <c r="BV294" s="408">
        <v>3648.1372129852143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5718.3083999999999</v>
      </c>
      <c r="CJ294" s="408">
        <v>419.81624000000011</v>
      </c>
      <c r="CK294" s="408"/>
      <c r="CL294" s="408"/>
      <c r="CM294" s="408"/>
      <c r="CN294" s="408"/>
      <c r="CO294" s="408">
        <v>-24.208880000000139</v>
      </c>
      <c r="CP294" s="408">
        <v>442.94044000000002</v>
      </c>
      <c r="CQ294" s="408">
        <v>30</v>
      </c>
      <c r="CR294" s="408">
        <v>418.6721210076621</v>
      </c>
      <c r="CS294" s="408">
        <v>0</v>
      </c>
      <c r="CT294" s="408">
        <v>0</v>
      </c>
      <c r="CU294" s="408">
        <v>0</v>
      </c>
      <c r="CV294" s="408">
        <v>0</v>
      </c>
      <c r="CW294" s="408">
        <v>0</v>
      </c>
      <c r="CX294" s="408">
        <v>0</v>
      </c>
      <c r="CY294" s="408">
        <v>0</v>
      </c>
      <c r="CZ294" s="408">
        <v>0</v>
      </c>
      <c r="DA294" s="408">
        <v>0</v>
      </c>
      <c r="DB294" s="408">
        <v>0</v>
      </c>
      <c r="DC294" s="408">
        <v>442.89042946288055</v>
      </c>
      <c r="DD294" s="408">
        <v>0</v>
      </c>
      <c r="DE294" s="408">
        <v>0</v>
      </c>
      <c r="DF294" s="408">
        <v>0</v>
      </c>
      <c r="DG294" s="408">
        <v>19.444735678322701</v>
      </c>
      <c r="DH294" s="408">
        <v>0</v>
      </c>
      <c r="DI294" s="408">
        <v>-37.302094992794764</v>
      </c>
      <c r="DJ294" s="408"/>
      <c r="DK294" s="408">
        <v>0</v>
      </c>
      <c r="DL294" s="408">
        <v>0</v>
      </c>
      <c r="DM294" s="408">
        <v>0</v>
      </c>
      <c r="DN294" s="408">
        <v>0</v>
      </c>
      <c r="DO294" s="408">
        <v>-5.8961351931901334</v>
      </c>
      <c r="DP294" s="408">
        <v>-0.46481394755628358</v>
      </c>
      <c r="DQ294" s="408">
        <v>0</v>
      </c>
      <c r="DR294" s="408">
        <v>0</v>
      </c>
      <c r="DS294" s="408"/>
      <c r="DT294" s="408"/>
      <c r="DU294" s="408"/>
      <c r="DV294" s="408">
        <v>0</v>
      </c>
      <c r="DW294" s="408">
        <v>0</v>
      </c>
      <c r="DX294" s="408">
        <v>0</v>
      </c>
      <c r="DY294" s="408">
        <v>-24.208880000000136</v>
      </c>
      <c r="DZ294" s="408">
        <v>442.94044000000031</v>
      </c>
      <c r="EA294" s="408">
        <v>0</v>
      </c>
      <c r="EB294" s="408">
        <v>0</v>
      </c>
      <c r="EC294" s="408">
        <v>0</v>
      </c>
      <c r="ED294" s="408">
        <v>0</v>
      </c>
      <c r="EE294" s="408">
        <v>0</v>
      </c>
      <c r="EF294" s="408">
        <v>0</v>
      </c>
      <c r="EG294" s="408">
        <v>0</v>
      </c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>
        <v>0</v>
      </c>
      <c r="EN294" s="408">
        <v>0</v>
      </c>
      <c r="EO294" s="408">
        <v>0</v>
      </c>
      <c r="EP294" s="408">
        <v>280.54115200947149</v>
      </c>
      <c r="EQ294" s="408">
        <v>0</v>
      </c>
      <c r="ER294" s="408">
        <v>0</v>
      </c>
      <c r="ES294" s="408">
        <v>0</v>
      </c>
      <c r="ET294" s="408">
        <v>0</v>
      </c>
      <c r="EU294" s="408">
        <v>0</v>
      </c>
      <c r="EV294" s="408">
        <v>240</v>
      </c>
      <c r="EW294" s="408">
        <v>0</v>
      </c>
      <c r="EX294" s="408">
        <v>0</v>
      </c>
      <c r="EY294" s="408">
        <v>0</v>
      </c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293</v>
      </c>
      <c r="B295" s="408" t="s">
        <v>1036</v>
      </c>
      <c r="C295" s="408" t="s">
        <v>2243</v>
      </c>
      <c r="D295" s="408" t="s">
        <v>597</v>
      </c>
      <c r="E295" s="408" t="s">
        <v>970</v>
      </c>
      <c r="F295" s="408" t="s">
        <v>1322</v>
      </c>
      <c r="G295" s="408" t="s">
        <v>1322</v>
      </c>
      <c r="H295" s="408" t="s">
        <v>1322</v>
      </c>
      <c r="I295" s="408" t="s">
        <v>1322</v>
      </c>
      <c r="J295" s="408" t="s">
        <v>2236</v>
      </c>
      <c r="K295" s="826">
        <v>44501</v>
      </c>
      <c r="L295" s="408">
        <v>17805</v>
      </c>
      <c r="M295" s="408">
        <v>17805</v>
      </c>
      <c r="N295" s="408">
        <v>0</v>
      </c>
      <c r="O295" s="408">
        <v>0</v>
      </c>
      <c r="P295" s="408">
        <v>0</v>
      </c>
      <c r="Q295" s="408">
        <v>0</v>
      </c>
      <c r="R295" s="408">
        <v>27.19</v>
      </c>
      <c r="S295" s="408"/>
      <c r="T295" s="408"/>
      <c r="U295" s="408">
        <v>484117.95</v>
      </c>
      <c r="V295" s="408"/>
      <c r="W295" s="408">
        <v>484117.95</v>
      </c>
      <c r="X295" s="408">
        <v>387436.80000000005</v>
      </c>
      <c r="Y295" s="408">
        <v>0</v>
      </c>
      <c r="Z295" s="408">
        <v>0</v>
      </c>
      <c r="AA295" s="408">
        <v>0</v>
      </c>
      <c r="AB295" s="408">
        <v>0</v>
      </c>
      <c r="AC295" s="408">
        <v>4152.1369220777769</v>
      </c>
      <c r="AD295" s="408">
        <v>3988.9403149903997</v>
      </c>
      <c r="AE295" s="408">
        <v>426109.79847945488</v>
      </c>
      <c r="AF295" s="408"/>
      <c r="AG295" s="408"/>
      <c r="AH295" s="408"/>
      <c r="AI295" s="408">
        <v>0</v>
      </c>
      <c r="AJ295" s="408">
        <v>0</v>
      </c>
      <c r="AK295" s="408">
        <v>0</v>
      </c>
      <c r="AL295" s="408">
        <v>0</v>
      </c>
      <c r="AM295" s="408"/>
      <c r="AN295" s="408">
        <v>0</v>
      </c>
      <c r="AO295" s="408">
        <v>8811.4244175657113</v>
      </c>
      <c r="AP295" s="408">
        <v>41095.521849819583</v>
      </c>
      <c r="AQ295" s="408">
        <v>0</v>
      </c>
      <c r="AR295" s="408">
        <v>0</v>
      </c>
      <c r="AS295" s="408"/>
      <c r="AT295" s="408"/>
      <c r="AU295" s="408">
        <v>0</v>
      </c>
      <c r="AV295" s="408">
        <v>0</v>
      </c>
      <c r="AW295" s="408">
        <v>0</v>
      </c>
      <c r="AX295" s="408"/>
      <c r="AY295" s="408"/>
      <c r="AZ295" s="408">
        <v>0</v>
      </c>
      <c r="BA295" s="408"/>
      <c r="BB295" s="408">
        <v>0</v>
      </c>
      <c r="BC295" s="408">
        <v>0</v>
      </c>
      <c r="BD295" s="408">
        <v>0</v>
      </c>
      <c r="BE295" s="408">
        <v>0</v>
      </c>
      <c r="BF295" s="408"/>
      <c r="BG295" s="408">
        <v>0</v>
      </c>
      <c r="BH295" s="408">
        <v>0</v>
      </c>
      <c r="BI295" s="408">
        <v>1424.59</v>
      </c>
      <c r="BJ295" s="408">
        <v>12215.32</v>
      </c>
      <c r="BK295" s="408">
        <v>456402.27</v>
      </c>
      <c r="BL295" s="408">
        <v>104</v>
      </c>
      <c r="BM295" s="408"/>
      <c r="BN295" s="408"/>
      <c r="BO295" s="408"/>
      <c r="BP295" s="408"/>
      <c r="BQ295" s="408"/>
      <c r="BR295" s="408"/>
      <c r="BS295" s="408"/>
      <c r="BT295" s="408"/>
      <c r="BU295" s="408"/>
      <c r="BV295" s="408">
        <v>0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387436.80000000005</v>
      </c>
      <c r="CJ295" s="408">
        <v>-96681.18</v>
      </c>
      <c r="CK295" s="408"/>
      <c r="CL295" s="408"/>
      <c r="CM295" s="408"/>
      <c r="CN295" s="408"/>
      <c r="CO295" s="408">
        <v>-96681.15</v>
      </c>
      <c r="CP295" s="408">
        <v>0</v>
      </c>
      <c r="CQ295" s="408">
        <v>30</v>
      </c>
      <c r="CR295" s="408">
        <v>9080.4073630518615</v>
      </c>
      <c r="CS295" s="408">
        <v>878.0396092962801</v>
      </c>
      <c r="CT295" s="408">
        <v>4095.0809130144262</v>
      </c>
      <c r="CU295" s="408">
        <v>0</v>
      </c>
      <c r="CV295" s="408">
        <v>0</v>
      </c>
      <c r="CW295" s="408"/>
      <c r="CX295" s="408"/>
      <c r="CY295" s="408"/>
      <c r="CZ295" s="408">
        <v>4107.2868407411515</v>
      </c>
      <c r="DA295" s="408">
        <v>0</v>
      </c>
      <c r="DB295" s="408">
        <v>0</v>
      </c>
      <c r="DC295" s="408"/>
      <c r="DD295" s="408"/>
      <c r="DE295" s="408">
        <v>0</v>
      </c>
      <c r="DF295" s="408">
        <v>0</v>
      </c>
      <c r="DG295" s="408">
        <v>0</v>
      </c>
      <c r="DH295" s="408">
        <v>0</v>
      </c>
      <c r="DI295" s="408">
        <v>0</v>
      </c>
      <c r="DJ295" s="408"/>
      <c r="DK295" s="408">
        <v>0</v>
      </c>
      <c r="DL295" s="408">
        <v>0</v>
      </c>
      <c r="DM295" s="408"/>
      <c r="DN295" s="408">
        <v>0</v>
      </c>
      <c r="DO295" s="408">
        <v>0</v>
      </c>
      <c r="DP295" s="408">
        <v>0</v>
      </c>
      <c r="DQ295" s="408">
        <v>0</v>
      </c>
      <c r="DR295" s="408">
        <v>0</v>
      </c>
      <c r="DS295" s="408"/>
      <c r="DT295" s="408"/>
      <c r="DU295" s="408">
        <v>426109.79847945488</v>
      </c>
      <c r="DV295" s="408"/>
      <c r="DW295" s="408">
        <v>0</v>
      </c>
      <c r="DX295" s="408">
        <v>0</v>
      </c>
      <c r="DY295" s="408">
        <v>-96681.149999999965</v>
      </c>
      <c r="DZ295" s="408"/>
      <c r="EA295" s="408">
        <v>0</v>
      </c>
      <c r="EB295" s="408"/>
      <c r="EC295" s="408">
        <v>-105852.90185792936</v>
      </c>
      <c r="ED295" s="408"/>
      <c r="EE295" s="408">
        <v>0</v>
      </c>
      <c r="EF295" s="408">
        <v>0</v>
      </c>
      <c r="EG295" s="408"/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/>
      <c r="EN295" s="408"/>
      <c r="EO295" s="408">
        <v>0</v>
      </c>
      <c r="EP295" s="408">
        <v>0</v>
      </c>
      <c r="EQ295" s="408"/>
      <c r="ER295" s="408">
        <v>0</v>
      </c>
      <c r="ES295" s="408"/>
      <c r="ET295" s="408">
        <v>0</v>
      </c>
      <c r="EU295" s="408"/>
      <c r="EV295" s="408">
        <v>240</v>
      </c>
      <c r="EW295" s="408"/>
      <c r="EX295" s="408"/>
      <c r="EY295" s="408"/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294</v>
      </c>
      <c r="B296" s="408" t="s">
        <v>2238</v>
      </c>
      <c r="C296" s="408" t="s">
        <v>2243</v>
      </c>
      <c r="D296" s="408" t="s">
        <v>597</v>
      </c>
      <c r="E296" s="408" t="s">
        <v>970</v>
      </c>
      <c r="F296" s="408" t="s">
        <v>1322</v>
      </c>
      <c r="G296" s="408" t="s">
        <v>1322</v>
      </c>
      <c r="H296" s="408" t="s">
        <v>1322</v>
      </c>
      <c r="I296" s="408" t="s">
        <v>1322</v>
      </c>
      <c r="J296" s="408" t="s">
        <v>2236</v>
      </c>
      <c r="K296" s="826">
        <v>44501</v>
      </c>
      <c r="L296" s="408">
        <v>370</v>
      </c>
      <c r="M296" s="408">
        <v>370</v>
      </c>
      <c r="N296" s="408">
        <v>0</v>
      </c>
      <c r="O296" s="408">
        <v>0</v>
      </c>
      <c r="P296" s="408">
        <v>0</v>
      </c>
      <c r="Q296" s="408">
        <v>0</v>
      </c>
      <c r="R296" s="408">
        <v>27.19</v>
      </c>
      <c r="S296" s="408"/>
      <c r="T296" s="408"/>
      <c r="U296" s="408">
        <v>10060.300000000001</v>
      </c>
      <c r="V296" s="408"/>
      <c r="W296" s="408">
        <v>10060.300000000001</v>
      </c>
      <c r="X296" s="408">
        <v>8051.2000000000007</v>
      </c>
      <c r="Y296" s="408">
        <v>0</v>
      </c>
      <c r="Z296" s="408">
        <v>0</v>
      </c>
      <c r="AA296" s="408">
        <v>0</v>
      </c>
      <c r="AB296" s="408">
        <v>0</v>
      </c>
      <c r="AC296" s="408">
        <v>86.284226968198681</v>
      </c>
      <c r="AD296" s="408">
        <v>82.892890567056881</v>
      </c>
      <c r="AE296" s="408">
        <v>8854.8511899690147</v>
      </c>
      <c r="AF296" s="408"/>
      <c r="AG296" s="408"/>
      <c r="AH296" s="408"/>
      <c r="AI296" s="408">
        <v>0</v>
      </c>
      <c r="AJ296" s="408">
        <v>0</v>
      </c>
      <c r="AK296" s="408">
        <v>0</v>
      </c>
      <c r="AL296" s="408">
        <v>0</v>
      </c>
      <c r="AM296" s="408"/>
      <c r="AN296" s="408">
        <v>0</v>
      </c>
      <c r="AO296" s="408">
        <v>183.10738750347167</v>
      </c>
      <c r="AP296" s="408">
        <v>853.99287191425128</v>
      </c>
      <c r="AQ296" s="408">
        <v>0</v>
      </c>
      <c r="AR296" s="408">
        <v>0</v>
      </c>
      <c r="AS296" s="408"/>
      <c r="AT296" s="408"/>
      <c r="AU296" s="408">
        <v>0</v>
      </c>
      <c r="AV296" s="408">
        <v>0</v>
      </c>
      <c r="AW296" s="408">
        <v>0</v>
      </c>
      <c r="AX296" s="408"/>
      <c r="AY296" s="408"/>
      <c r="AZ296" s="408">
        <v>0</v>
      </c>
      <c r="BA296" s="408"/>
      <c r="BB296" s="408">
        <v>0</v>
      </c>
      <c r="BC296" s="408">
        <v>0</v>
      </c>
      <c r="BD296" s="408">
        <v>0</v>
      </c>
      <c r="BE296" s="408">
        <v>0</v>
      </c>
      <c r="BF296" s="408"/>
      <c r="BG296" s="408">
        <v>0</v>
      </c>
      <c r="BH296" s="408">
        <v>0</v>
      </c>
      <c r="BI296" s="408">
        <v>12.35</v>
      </c>
      <c r="BJ296" s="408">
        <v>106</v>
      </c>
      <c r="BK296" s="408">
        <v>3664.25</v>
      </c>
      <c r="BL296" s="408">
        <v>3</v>
      </c>
      <c r="BM296" s="408"/>
      <c r="BN296" s="408"/>
      <c r="BO296" s="408"/>
      <c r="BP296" s="408"/>
      <c r="BQ296" s="408"/>
      <c r="BR296" s="408"/>
      <c r="BS296" s="408"/>
      <c r="BT296" s="408"/>
      <c r="BU296" s="408"/>
      <c r="BV296" s="408">
        <v>0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8051.2000000000007</v>
      </c>
      <c r="CJ296" s="408">
        <v>-2009.130000000001</v>
      </c>
      <c r="CK296" s="408"/>
      <c r="CL296" s="408"/>
      <c r="CM296" s="408"/>
      <c r="CN296" s="408"/>
      <c r="CO296" s="408">
        <v>-2009.1</v>
      </c>
      <c r="CP296" s="408">
        <v>0</v>
      </c>
      <c r="CQ296" s="408">
        <v>30</v>
      </c>
      <c r="CR296" s="408">
        <v>188.69703590728386</v>
      </c>
      <c r="CS296" s="408">
        <v>18.246259783185849</v>
      </c>
      <c r="CT296" s="408">
        <v>85.098564325489406</v>
      </c>
      <c r="CU296" s="408">
        <v>0</v>
      </c>
      <c r="CV296" s="408">
        <v>0</v>
      </c>
      <c r="CW296" s="408"/>
      <c r="CX296" s="408"/>
      <c r="CY296" s="408"/>
      <c r="CZ296" s="408">
        <v>85.352211798608622</v>
      </c>
      <c r="DA296" s="408">
        <v>0</v>
      </c>
      <c r="DB296" s="408">
        <v>0</v>
      </c>
      <c r="DC296" s="408"/>
      <c r="DD296" s="408"/>
      <c r="DE296" s="408">
        <v>0</v>
      </c>
      <c r="DF296" s="408">
        <v>0</v>
      </c>
      <c r="DG296" s="408">
        <v>0</v>
      </c>
      <c r="DH296" s="408">
        <v>0</v>
      </c>
      <c r="DI296" s="408">
        <v>0</v>
      </c>
      <c r="DJ296" s="408"/>
      <c r="DK296" s="408">
        <v>0</v>
      </c>
      <c r="DL296" s="408">
        <v>0</v>
      </c>
      <c r="DM296" s="408"/>
      <c r="DN296" s="408">
        <v>0</v>
      </c>
      <c r="DO296" s="408">
        <v>0</v>
      </c>
      <c r="DP296" s="408">
        <v>0</v>
      </c>
      <c r="DQ296" s="408">
        <v>0</v>
      </c>
      <c r="DR296" s="408">
        <v>0</v>
      </c>
      <c r="DS296" s="408"/>
      <c r="DT296" s="408"/>
      <c r="DU296" s="408">
        <v>8854.8511899690147</v>
      </c>
      <c r="DV296" s="408"/>
      <c r="DW296" s="408">
        <v>0</v>
      </c>
      <c r="DX296" s="408">
        <v>0</v>
      </c>
      <c r="DY296" s="408">
        <v>-2009.1000000000004</v>
      </c>
      <c r="DZ296" s="408"/>
      <c r="EA296" s="408">
        <v>0</v>
      </c>
      <c r="EB296" s="408"/>
      <c r="EC296" s="408">
        <v>-2199.6952365871311</v>
      </c>
      <c r="ED296" s="408"/>
      <c r="EE296" s="408">
        <v>0</v>
      </c>
      <c r="EF296" s="408">
        <v>0</v>
      </c>
      <c r="EG296" s="408"/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/>
      <c r="EN296" s="408"/>
      <c r="EO296" s="408">
        <v>0</v>
      </c>
      <c r="EP296" s="408">
        <v>0</v>
      </c>
      <c r="EQ296" s="408"/>
      <c r="ER296" s="408">
        <v>0</v>
      </c>
      <c r="ES296" s="408"/>
      <c r="ET296" s="408">
        <v>0</v>
      </c>
      <c r="EU296" s="408"/>
      <c r="EV296" s="408">
        <v>240</v>
      </c>
      <c r="EW296" s="408"/>
      <c r="EX296" s="408"/>
      <c r="EY296" s="408"/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295</v>
      </c>
      <c r="B297" s="408" t="s">
        <v>1036</v>
      </c>
      <c r="C297" s="408" t="s">
        <v>2316</v>
      </c>
      <c r="D297" s="408" t="s">
        <v>1958</v>
      </c>
      <c r="E297" s="408" t="s">
        <v>970</v>
      </c>
      <c r="F297" s="408" t="s">
        <v>1322</v>
      </c>
      <c r="G297" s="408" t="s">
        <v>1322</v>
      </c>
      <c r="H297" s="408" t="s">
        <v>1322</v>
      </c>
      <c r="I297" s="408" t="s">
        <v>973</v>
      </c>
      <c r="J297" s="408" t="s">
        <v>2236</v>
      </c>
      <c r="K297" s="826">
        <v>44501</v>
      </c>
      <c r="L297" s="408">
        <v>0</v>
      </c>
      <c r="M297" s="408">
        <v>0</v>
      </c>
      <c r="N297" s="408">
        <v>0.02</v>
      </c>
      <c r="O297" s="408">
        <v>0.02</v>
      </c>
      <c r="P297" s="408">
        <v>0.02</v>
      </c>
      <c r="Q297" s="408">
        <v>0.02</v>
      </c>
      <c r="R297" s="408"/>
      <c r="S297" s="408">
        <v>1553.42</v>
      </c>
      <c r="T297" s="408">
        <v>173.25</v>
      </c>
      <c r="U297" s="408"/>
      <c r="V297" s="408">
        <v>34.5334</v>
      </c>
      <c r="W297" s="408">
        <v>34.5334</v>
      </c>
      <c r="X297" s="408">
        <v>32.764800000000001</v>
      </c>
      <c r="Y297" s="408">
        <v>0</v>
      </c>
      <c r="Z297" s="408">
        <v>1.230903663987408</v>
      </c>
      <c r="AA297" s="408">
        <v>0</v>
      </c>
      <c r="AB297" s="408">
        <v>0</v>
      </c>
      <c r="AC297" s="408">
        <v>2.1689849210121399</v>
      </c>
      <c r="AD297" s="408">
        <v>0.14999240208280901</v>
      </c>
      <c r="AE297" s="408">
        <v>14.36775806884998</v>
      </c>
      <c r="AF297" s="408">
        <v>3.4068094117062602</v>
      </c>
      <c r="AG297" s="408">
        <v>5.8144670610825004E-2</v>
      </c>
      <c r="AH297" s="408">
        <v>0</v>
      </c>
      <c r="AI297" s="408">
        <v>0</v>
      </c>
      <c r="AJ297" s="408">
        <v>0</v>
      </c>
      <c r="AK297" s="408">
        <v>0</v>
      </c>
      <c r="AL297" s="408">
        <v>0.1901806055465082</v>
      </c>
      <c r="AM297" s="408"/>
      <c r="AN297" s="408">
        <v>2.4157134287254398E-2</v>
      </c>
      <c r="AO297" s="408">
        <v>6.3110792944049399</v>
      </c>
      <c r="AP297" s="408">
        <v>6.1321218896357195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0</v>
      </c>
      <c r="BE297" s="408">
        <v>0</v>
      </c>
      <c r="BF297" s="408">
        <v>0</v>
      </c>
      <c r="BG297" s="408">
        <v>0.17879583650071962</v>
      </c>
      <c r="BH297" s="408">
        <v>0</v>
      </c>
      <c r="BI297" s="408">
        <v>0</v>
      </c>
      <c r="BJ297" s="408">
        <v>0</v>
      </c>
      <c r="BK297" s="408">
        <v>0</v>
      </c>
      <c r="BL297" s="408">
        <v>0</v>
      </c>
      <c r="BM297" s="408"/>
      <c r="BN297" s="408"/>
      <c r="BO297" s="408"/>
      <c r="BP297" s="408"/>
      <c r="BQ297" s="408"/>
      <c r="BR297" s="408"/>
      <c r="BS297" s="408"/>
      <c r="BT297" s="408"/>
      <c r="BU297" s="408"/>
      <c r="BV297" s="408">
        <v>3.5856052482069796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32.764800000000001</v>
      </c>
      <c r="CJ297" s="408">
        <v>-1.7986000000000004</v>
      </c>
      <c r="CK297" s="408"/>
      <c r="CL297" s="408"/>
      <c r="CM297" s="408"/>
      <c r="CN297" s="408"/>
      <c r="CO297" s="408">
        <v>-2.2003999999999997</v>
      </c>
      <c r="CP297" s="408">
        <v>0.43180000000000007</v>
      </c>
      <c r="CQ297" s="408">
        <v>30</v>
      </c>
      <c r="CR297" s="408">
        <v>1.8005623771327137</v>
      </c>
      <c r="CS297" s="408">
        <v>0.62888556211756086</v>
      </c>
      <c r="CT297" s="408">
        <v>0.6110528392435004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0.15444247610592698</v>
      </c>
      <c r="DA297" s="408">
        <v>0</v>
      </c>
      <c r="DB297" s="408">
        <v>0</v>
      </c>
      <c r="DC297" s="408">
        <v>0.43175124728297964</v>
      </c>
      <c r="DD297" s="408">
        <v>0</v>
      </c>
      <c r="DE297" s="408">
        <v>0</v>
      </c>
      <c r="DF297" s="408">
        <v>0</v>
      </c>
      <c r="DG297" s="408">
        <v>2.2659126499104398E-2</v>
      </c>
      <c r="DH297" s="408">
        <v>0</v>
      </c>
      <c r="DI297" s="408">
        <v>-4.1797593347716155E-2</v>
      </c>
      <c r="DJ297" s="408"/>
      <c r="DK297" s="408">
        <v>0</v>
      </c>
      <c r="DL297" s="408">
        <v>0</v>
      </c>
      <c r="DM297" s="408">
        <v>0</v>
      </c>
      <c r="DN297" s="408">
        <v>0</v>
      </c>
      <c r="DO297" s="408">
        <v>-5.7478408980211892E-3</v>
      </c>
      <c r="DP297" s="408">
        <v>-6.8343987061779757E-4</v>
      </c>
      <c r="DQ297" s="408">
        <v>0</v>
      </c>
      <c r="DR297" s="408">
        <v>0</v>
      </c>
      <c r="DS297" s="408"/>
      <c r="DT297" s="408"/>
      <c r="DU297" s="408"/>
      <c r="DV297" s="408">
        <v>14.36775806884998</v>
      </c>
      <c r="DW297" s="408">
        <v>0</v>
      </c>
      <c r="DX297" s="408">
        <v>0</v>
      </c>
      <c r="DY297" s="408">
        <v>-2.2003999999999984</v>
      </c>
      <c r="DZ297" s="408">
        <v>0.43180000000000041</v>
      </c>
      <c r="EA297" s="408">
        <v>0</v>
      </c>
      <c r="EB297" s="408">
        <v>0</v>
      </c>
      <c r="EC297" s="408">
        <v>-3.5691948183486595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0.31435084252657403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240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296</v>
      </c>
      <c r="B298" s="408" t="s">
        <v>1036</v>
      </c>
      <c r="C298" s="408" t="s">
        <v>2316</v>
      </c>
      <c r="D298" s="408" t="s">
        <v>1958</v>
      </c>
      <c r="E298" s="408" t="s">
        <v>970</v>
      </c>
      <c r="F298" s="408" t="s">
        <v>1322</v>
      </c>
      <c r="G298" s="408" t="s">
        <v>1322</v>
      </c>
      <c r="H298" s="408" t="s">
        <v>1322</v>
      </c>
      <c r="I298" s="408" t="s">
        <v>2244</v>
      </c>
      <c r="J298" s="408" t="s">
        <v>2236</v>
      </c>
      <c r="K298" s="826">
        <v>44501</v>
      </c>
      <c r="L298" s="408">
        <v>0</v>
      </c>
      <c r="M298" s="408">
        <v>0</v>
      </c>
      <c r="N298" s="408">
        <v>2.181</v>
      </c>
      <c r="O298" s="408">
        <v>2.181</v>
      </c>
      <c r="P298" s="408">
        <v>2.181</v>
      </c>
      <c r="Q298" s="408">
        <v>2.181</v>
      </c>
      <c r="R298" s="408"/>
      <c r="S298" s="408">
        <v>388.22</v>
      </c>
      <c r="T298" s="408">
        <v>173.25</v>
      </c>
      <c r="U298" s="408"/>
      <c r="V298" s="408">
        <v>1224.5660700000001</v>
      </c>
      <c r="W298" s="408">
        <v>1224.5660700000001</v>
      </c>
      <c r="X298" s="408">
        <v>1221.42543</v>
      </c>
      <c r="Y298" s="408">
        <v>0</v>
      </c>
      <c r="Z298" s="408">
        <v>134.23004455782683</v>
      </c>
      <c r="AA298" s="408">
        <v>0</v>
      </c>
      <c r="AB298" s="408">
        <v>0</v>
      </c>
      <c r="AC298" s="408">
        <v>47.305561127274778</v>
      </c>
      <c r="AD298" s="408">
        <v>3.2713373502835577</v>
      </c>
      <c r="AE298" s="408">
        <v>313.36103835642234</v>
      </c>
      <c r="AF298" s="408">
        <v>371.51256634656767</v>
      </c>
      <c r="AG298" s="408">
        <v>6.3406763301104672</v>
      </c>
      <c r="AH298" s="408">
        <v>0</v>
      </c>
      <c r="AI298" s="408">
        <v>0</v>
      </c>
      <c r="AJ298" s="408">
        <v>0</v>
      </c>
      <c r="AK298" s="408">
        <v>0</v>
      </c>
      <c r="AL298" s="408">
        <v>20.73919503484672</v>
      </c>
      <c r="AM298" s="408"/>
      <c r="AN298" s="408">
        <v>2.634335494025092</v>
      </c>
      <c r="AO298" s="408">
        <v>137.64463941097173</v>
      </c>
      <c r="AP298" s="408">
        <v>133.74157841295505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0</v>
      </c>
      <c r="BE298" s="408">
        <v>0</v>
      </c>
      <c r="BF298" s="408">
        <v>0</v>
      </c>
      <c r="BG298" s="408">
        <v>19.497685970403474</v>
      </c>
      <c r="BH298" s="408">
        <v>0</v>
      </c>
      <c r="BI298" s="408">
        <v>0</v>
      </c>
      <c r="BJ298" s="408">
        <v>0</v>
      </c>
      <c r="BK298" s="408">
        <v>0</v>
      </c>
      <c r="BL298" s="408">
        <v>0</v>
      </c>
      <c r="BM298" s="408"/>
      <c r="BN298" s="408"/>
      <c r="BO298" s="408"/>
      <c r="BP298" s="408"/>
      <c r="BQ298" s="408"/>
      <c r="BR298" s="408"/>
      <c r="BS298" s="408"/>
      <c r="BT298" s="408"/>
      <c r="BU298" s="408"/>
      <c r="BV298" s="408">
        <v>391.01025231697116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1220.8654000000001</v>
      </c>
      <c r="CJ298" s="408">
        <v>-3.7306699999999182</v>
      </c>
      <c r="CK298" s="408"/>
      <c r="CL298" s="408"/>
      <c r="CM298" s="408"/>
      <c r="CN298" s="408"/>
      <c r="CO298" s="408">
        <v>-50.228430000000067</v>
      </c>
      <c r="CP298" s="408">
        <v>47.087790000000005</v>
      </c>
      <c r="CQ298" s="408">
        <v>30</v>
      </c>
      <c r="CR298" s="408">
        <v>74.705542627771365</v>
      </c>
      <c r="CS298" s="408">
        <v>13.715994109783765</v>
      </c>
      <c r="CT298" s="408">
        <v>13.327062423900514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3.3683935555393019</v>
      </c>
      <c r="DA298" s="408">
        <v>0</v>
      </c>
      <c r="DB298" s="408">
        <v>0</v>
      </c>
      <c r="DC298" s="408">
        <v>47.08247351620895</v>
      </c>
      <c r="DD298" s="408">
        <v>0</v>
      </c>
      <c r="DE298" s="408">
        <v>0</v>
      </c>
      <c r="DF298" s="408">
        <v>0</v>
      </c>
      <c r="DG298" s="408">
        <v>2.4709777447273353</v>
      </c>
      <c r="DH298" s="408">
        <v>0</v>
      </c>
      <c r="DI298" s="408">
        <v>-4.5580275545684117</v>
      </c>
      <c r="DJ298" s="408"/>
      <c r="DK298" s="408">
        <v>0</v>
      </c>
      <c r="DL298" s="408">
        <v>0</v>
      </c>
      <c r="DM298" s="408">
        <v>0</v>
      </c>
      <c r="DN298" s="408">
        <v>0</v>
      </c>
      <c r="DO298" s="408">
        <v>-0.62680204992921063</v>
      </c>
      <c r="DP298" s="408">
        <v>-7.4529117890870911E-2</v>
      </c>
      <c r="DQ298" s="408">
        <v>0</v>
      </c>
      <c r="DR298" s="408">
        <v>0</v>
      </c>
      <c r="DS298" s="408"/>
      <c r="DT298" s="408"/>
      <c r="DU298" s="408"/>
      <c r="DV298" s="408">
        <v>313.36103835642234</v>
      </c>
      <c r="DW298" s="408">
        <v>0</v>
      </c>
      <c r="DX298" s="408">
        <v>0</v>
      </c>
      <c r="DY298" s="408">
        <v>-50.228430000000117</v>
      </c>
      <c r="DZ298" s="408">
        <v>47.087790000000041</v>
      </c>
      <c r="EA298" s="408">
        <v>0</v>
      </c>
      <c r="EB298" s="408">
        <v>0</v>
      </c>
      <c r="EC298" s="408">
        <v>-77.844197335069254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34.279959377522893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240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297</v>
      </c>
      <c r="B299" s="408" t="s">
        <v>1036</v>
      </c>
      <c r="C299" s="408" t="s">
        <v>2316</v>
      </c>
      <c r="D299" s="408" t="s">
        <v>1958</v>
      </c>
      <c r="E299" s="408" t="s">
        <v>970</v>
      </c>
      <c r="F299" s="408" t="s">
        <v>1322</v>
      </c>
      <c r="G299" s="408" t="s">
        <v>1322</v>
      </c>
      <c r="H299" s="408" t="s">
        <v>1322</v>
      </c>
      <c r="I299" s="408" t="s">
        <v>1322</v>
      </c>
      <c r="J299" s="408" t="s">
        <v>2236</v>
      </c>
      <c r="K299" s="826">
        <v>44501</v>
      </c>
      <c r="L299" s="408">
        <v>0</v>
      </c>
      <c r="M299" s="408">
        <v>0</v>
      </c>
      <c r="N299" s="408">
        <v>0</v>
      </c>
      <c r="O299" s="408">
        <v>0</v>
      </c>
      <c r="P299" s="408">
        <v>0</v>
      </c>
      <c r="Q299" s="408">
        <v>0</v>
      </c>
      <c r="R299" s="408"/>
      <c r="S299" s="408"/>
      <c r="T299" s="408"/>
      <c r="U299" s="408"/>
      <c r="V299" s="408"/>
      <c r="W299" s="408"/>
      <c r="X299" s="408"/>
      <c r="Y299" s="408"/>
      <c r="Z299" s="408"/>
      <c r="AA299" s="408">
        <v>0</v>
      </c>
      <c r="AB299" s="408"/>
      <c r="AC299" s="408"/>
      <c r="AD299" s="408"/>
      <c r="AE299" s="408"/>
      <c r="AF299" s="408"/>
      <c r="AG299" s="408"/>
      <c r="AH299" s="408"/>
      <c r="AI299" s="408"/>
      <c r="AJ299" s="408"/>
      <c r="AK299" s="408"/>
      <c r="AL299" s="408"/>
      <c r="AM299" s="408"/>
      <c r="AN299" s="408"/>
      <c r="AO299" s="408"/>
      <c r="AP299" s="408"/>
      <c r="AQ299" s="408"/>
      <c r="AR299" s="408"/>
      <c r="AS299" s="408"/>
      <c r="AT299" s="408"/>
      <c r="AU299" s="408"/>
      <c r="AV299" s="408"/>
      <c r="AW299" s="408"/>
      <c r="AX299" s="408"/>
      <c r="AY299" s="408"/>
      <c r="AZ299" s="408">
        <v>0</v>
      </c>
      <c r="BA299" s="408"/>
      <c r="BB299" s="408"/>
      <c r="BC299" s="408"/>
      <c r="BD299" s="408"/>
      <c r="BE299" s="408"/>
      <c r="BF299" s="408"/>
      <c r="BG299" s="408"/>
      <c r="BH299" s="408"/>
      <c r="BI299" s="408">
        <v>1.23</v>
      </c>
      <c r="BJ299" s="408">
        <v>10.55</v>
      </c>
      <c r="BK299" s="408">
        <v>754.14</v>
      </c>
      <c r="BL299" s="408">
        <v>1</v>
      </c>
      <c r="BM299" s="408"/>
      <c r="BN299" s="408"/>
      <c r="BO299" s="408"/>
      <c r="BP299" s="408"/>
      <c r="BQ299" s="408"/>
      <c r="BR299" s="408"/>
      <c r="BS299" s="408"/>
      <c r="BT299" s="408"/>
      <c r="BU299" s="408"/>
      <c r="BV299" s="408"/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/>
      <c r="CJ299" s="408">
        <v>-0.03</v>
      </c>
      <c r="CK299" s="408"/>
      <c r="CL299" s="408"/>
      <c r="CM299" s="408"/>
      <c r="CN299" s="408"/>
      <c r="CO299" s="408">
        <v>0</v>
      </c>
      <c r="CP299" s="408">
        <v>0</v>
      </c>
      <c r="CQ299" s="408">
        <v>30</v>
      </c>
      <c r="CR299" s="408"/>
      <c r="CS299" s="408"/>
      <c r="CT299" s="408"/>
      <c r="CU299" s="408"/>
      <c r="CV299" s="408"/>
      <c r="CW299" s="408"/>
      <c r="CX299" s="408"/>
      <c r="CY299" s="408"/>
      <c r="CZ299" s="408"/>
      <c r="DA299" s="408"/>
      <c r="DB299" s="408"/>
      <c r="DC299" s="408"/>
      <c r="DD299" s="408"/>
      <c r="DE299" s="408"/>
      <c r="DF299" s="408"/>
      <c r="DG299" s="408"/>
      <c r="DH299" s="408"/>
      <c r="DI299" s="408"/>
      <c r="DJ299" s="408"/>
      <c r="DK299" s="408">
        <v>0</v>
      </c>
      <c r="DL299" s="408"/>
      <c r="DM299" s="408"/>
      <c r="DN299" s="408"/>
      <c r="DO299" s="408"/>
      <c r="DP299" s="408"/>
      <c r="DQ299" s="408"/>
      <c r="DR299" s="408"/>
      <c r="DS299" s="408"/>
      <c r="DT299" s="408"/>
      <c r="DU299" s="408"/>
      <c r="DV299" s="408"/>
      <c r="DW299" s="408"/>
      <c r="DX299" s="408"/>
      <c r="DY299" s="408"/>
      <c r="DZ299" s="408"/>
      <c r="EA299" s="408"/>
      <c r="EB299" s="408"/>
      <c r="EC299" s="408"/>
      <c r="ED299" s="408"/>
      <c r="EE299" s="408"/>
      <c r="EF299" s="408"/>
      <c r="EG299" s="408"/>
      <c r="EH299" s="408"/>
      <c r="EI299" s="408"/>
      <c r="EJ299" s="408"/>
      <c r="EK299" s="408"/>
      <c r="EL299" s="408"/>
      <c r="EM299" s="408"/>
      <c r="EN299" s="408"/>
      <c r="EO299" s="408"/>
      <c r="EP299" s="408"/>
      <c r="EQ299" s="408"/>
      <c r="ER299" s="408"/>
      <c r="ES299" s="408"/>
      <c r="ET299" s="408"/>
      <c r="EU299" s="408"/>
      <c r="EV299" s="408">
        <v>240</v>
      </c>
      <c r="EW299" s="408"/>
      <c r="EX299" s="408"/>
      <c r="EY299" s="408"/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298</v>
      </c>
      <c r="B300" s="408" t="s">
        <v>1036</v>
      </c>
      <c r="C300" s="408" t="s">
        <v>2316</v>
      </c>
      <c r="D300" s="408" t="s">
        <v>1958</v>
      </c>
      <c r="E300" s="408" t="s">
        <v>970</v>
      </c>
      <c r="F300" s="408" t="s">
        <v>1322</v>
      </c>
      <c r="G300" s="408" t="s">
        <v>1322</v>
      </c>
      <c r="H300" s="408" t="s">
        <v>1322</v>
      </c>
      <c r="I300" s="408" t="s">
        <v>2317</v>
      </c>
      <c r="J300" s="408" t="s">
        <v>2236</v>
      </c>
      <c r="K300" s="826">
        <v>44501</v>
      </c>
      <c r="L300" s="408">
        <v>0</v>
      </c>
      <c r="M300" s="408">
        <v>0</v>
      </c>
      <c r="N300" s="408">
        <v>0.14599999999999999</v>
      </c>
      <c r="O300" s="408">
        <v>0.14599999999999999</v>
      </c>
      <c r="P300" s="408">
        <v>0.14599999999999999</v>
      </c>
      <c r="Q300" s="408">
        <v>0.14599999999999999</v>
      </c>
      <c r="R300" s="408"/>
      <c r="S300" s="408">
        <v>970.82</v>
      </c>
      <c r="T300" s="408">
        <v>173.25</v>
      </c>
      <c r="U300" s="408"/>
      <c r="V300" s="408">
        <v>167.03422</v>
      </c>
      <c r="W300" s="408">
        <v>167.03422</v>
      </c>
      <c r="X300" s="408">
        <v>160.47297999999998</v>
      </c>
      <c r="Y300" s="408">
        <v>0</v>
      </c>
      <c r="Z300" s="408">
        <v>8.9855967471080778</v>
      </c>
      <c r="AA300" s="408">
        <v>0</v>
      </c>
      <c r="AB300" s="408">
        <v>0</v>
      </c>
      <c r="AC300" s="408">
        <v>9.5001539540331876</v>
      </c>
      <c r="AD300" s="408">
        <v>0.65696733582035538</v>
      </c>
      <c r="AE300" s="408">
        <v>62.930796064497905</v>
      </c>
      <c r="AF300" s="408">
        <v>24.869708705455697</v>
      </c>
      <c r="AG300" s="408">
        <v>0.42445609545902252</v>
      </c>
      <c r="AH300" s="408">
        <v>0</v>
      </c>
      <c r="AI300" s="408">
        <v>0</v>
      </c>
      <c r="AJ300" s="408">
        <v>0</v>
      </c>
      <c r="AK300" s="408">
        <v>0</v>
      </c>
      <c r="AL300" s="408">
        <v>1.3883184204895098</v>
      </c>
      <c r="AM300" s="408"/>
      <c r="AN300" s="408">
        <v>0.17634708029695709</v>
      </c>
      <c r="AO300" s="408">
        <v>27.642527309493609</v>
      </c>
      <c r="AP300" s="408">
        <v>26.858693876604509</v>
      </c>
      <c r="AQ300" s="408">
        <v>0</v>
      </c>
      <c r="AR300" s="408">
        <v>0</v>
      </c>
      <c r="AS300" s="408">
        <v>0</v>
      </c>
      <c r="AT300" s="408">
        <v>0</v>
      </c>
      <c r="AU300" s="408">
        <v>0</v>
      </c>
      <c r="AV300" s="408">
        <v>0</v>
      </c>
      <c r="AW300" s="408">
        <v>0</v>
      </c>
      <c r="AX300" s="408">
        <v>0</v>
      </c>
      <c r="AY300" s="408">
        <v>0</v>
      </c>
      <c r="AZ300" s="408">
        <v>0</v>
      </c>
      <c r="BA300" s="408"/>
      <c r="BB300" s="408">
        <v>0</v>
      </c>
      <c r="BC300" s="408">
        <v>0</v>
      </c>
      <c r="BD300" s="408">
        <v>0</v>
      </c>
      <c r="BE300" s="408">
        <v>0</v>
      </c>
      <c r="BF300" s="408">
        <v>0</v>
      </c>
      <c r="BG300" s="408">
        <v>1.305209606455253</v>
      </c>
      <c r="BH300" s="408">
        <v>0</v>
      </c>
      <c r="BI300" s="408">
        <v>0</v>
      </c>
      <c r="BJ300" s="408">
        <v>0</v>
      </c>
      <c r="BK300" s="408">
        <v>0</v>
      </c>
      <c r="BL300" s="408">
        <v>0</v>
      </c>
      <c r="BM300" s="408"/>
      <c r="BN300" s="408"/>
      <c r="BO300" s="408"/>
      <c r="BP300" s="408"/>
      <c r="BQ300" s="408"/>
      <c r="BR300" s="408"/>
      <c r="BS300" s="408"/>
      <c r="BT300" s="408"/>
      <c r="BU300" s="408"/>
      <c r="BV300" s="408">
        <v>26.17491831191095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164.86949999999999</v>
      </c>
      <c r="CJ300" s="408">
        <v>-2.1947199999999896</v>
      </c>
      <c r="CK300" s="408"/>
      <c r="CL300" s="408"/>
      <c r="CM300" s="408"/>
      <c r="CN300" s="408"/>
      <c r="CO300" s="408">
        <v>-9.7133800000000114</v>
      </c>
      <c r="CP300" s="408">
        <v>3.1521400000000002</v>
      </c>
      <c r="CQ300" s="408">
        <v>30</v>
      </c>
      <c r="CR300" s="408">
        <v>9.0725138238000227</v>
      </c>
      <c r="CS300" s="408">
        <v>2.754518762074941</v>
      </c>
      <c r="CT300" s="408">
        <v>2.6764114358863829</v>
      </c>
      <c r="CU300" s="408">
        <v>0</v>
      </c>
      <c r="CV300" s="408">
        <v>0</v>
      </c>
      <c r="CW300" s="408">
        <v>0</v>
      </c>
      <c r="CX300" s="408">
        <v>0</v>
      </c>
      <c r="CY300" s="408">
        <v>0</v>
      </c>
      <c r="CZ300" s="408">
        <v>0.67645867827887218</v>
      </c>
      <c r="DA300" s="408">
        <v>0</v>
      </c>
      <c r="DB300" s="408">
        <v>0</v>
      </c>
      <c r="DC300" s="408">
        <v>3.1517841051657527</v>
      </c>
      <c r="DD300" s="408">
        <v>0</v>
      </c>
      <c r="DE300" s="408">
        <v>0</v>
      </c>
      <c r="DF300" s="408">
        <v>0</v>
      </c>
      <c r="DG300" s="408">
        <v>0.16541162344346216</v>
      </c>
      <c r="DH300" s="408">
        <v>0</v>
      </c>
      <c r="DI300" s="408">
        <v>-0.30512243143832762</v>
      </c>
      <c r="DJ300" s="408"/>
      <c r="DK300" s="408">
        <v>0</v>
      </c>
      <c r="DL300" s="408">
        <v>0</v>
      </c>
      <c r="DM300" s="408">
        <v>0</v>
      </c>
      <c r="DN300" s="408">
        <v>0</v>
      </c>
      <c r="DO300" s="408">
        <v>-4.1959238555554723E-2</v>
      </c>
      <c r="DP300" s="408">
        <v>-4.9891110555099205E-3</v>
      </c>
      <c r="DQ300" s="408">
        <v>0</v>
      </c>
      <c r="DR300" s="408">
        <v>0</v>
      </c>
      <c r="DS300" s="408"/>
      <c r="DT300" s="408"/>
      <c r="DU300" s="408"/>
      <c r="DV300" s="408">
        <v>62.930796064497905</v>
      </c>
      <c r="DW300" s="408">
        <v>0</v>
      </c>
      <c r="DX300" s="408">
        <v>0</v>
      </c>
      <c r="DY300" s="408">
        <v>-9.7133800000000292</v>
      </c>
      <c r="DZ300" s="408">
        <v>3.1521399999999993</v>
      </c>
      <c r="EA300" s="408">
        <v>0</v>
      </c>
      <c r="EB300" s="408">
        <v>0</v>
      </c>
      <c r="EC300" s="408">
        <v>-15.633077210210843</v>
      </c>
      <c r="ED300" s="408">
        <v>0</v>
      </c>
      <c r="EE300" s="408">
        <v>0</v>
      </c>
      <c r="EF300" s="408">
        <v>0</v>
      </c>
      <c r="EG300" s="408">
        <v>0</v>
      </c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>
        <v>0</v>
      </c>
      <c r="EN300" s="408">
        <v>0</v>
      </c>
      <c r="EO300" s="408">
        <v>0</v>
      </c>
      <c r="EP300" s="408">
        <v>2.29476115044399</v>
      </c>
      <c r="EQ300" s="408">
        <v>0</v>
      </c>
      <c r="ER300" s="408">
        <v>0</v>
      </c>
      <c r="ES300" s="408">
        <v>0</v>
      </c>
      <c r="ET300" s="408">
        <v>0</v>
      </c>
      <c r="EU300" s="408">
        <v>0</v>
      </c>
      <c r="EV300" s="408">
        <v>240</v>
      </c>
      <c r="EW300" s="408">
        <v>0</v>
      </c>
      <c r="EX300" s="408">
        <v>0</v>
      </c>
      <c r="EY300" s="408">
        <v>0</v>
      </c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299</v>
      </c>
      <c r="B301" s="408" t="s">
        <v>1036</v>
      </c>
      <c r="C301" s="408" t="s">
        <v>2235</v>
      </c>
      <c r="D301" s="408" t="s">
        <v>1958</v>
      </c>
      <c r="E301" s="408" t="s">
        <v>998</v>
      </c>
      <c r="F301" s="408" t="s">
        <v>1322</v>
      </c>
      <c r="G301" s="408" t="s">
        <v>1322</v>
      </c>
      <c r="H301" s="408" t="s">
        <v>1322</v>
      </c>
      <c r="I301" s="408" t="s">
        <v>1322</v>
      </c>
      <c r="J301" s="408" t="s">
        <v>2236</v>
      </c>
      <c r="K301" s="826">
        <v>44501</v>
      </c>
      <c r="L301" s="408">
        <v>0</v>
      </c>
      <c r="M301" s="408">
        <v>0</v>
      </c>
      <c r="N301" s="408">
        <v>2789.2860000000001</v>
      </c>
      <c r="O301" s="408">
        <v>2789.2860000000001</v>
      </c>
      <c r="P301" s="408">
        <v>2789.2860000000001</v>
      </c>
      <c r="Q301" s="408">
        <v>2789.2860000000001</v>
      </c>
      <c r="R301" s="408"/>
      <c r="S301" s="408">
        <v>368.24</v>
      </c>
      <c r="T301" s="408">
        <v>173.25</v>
      </c>
      <c r="U301" s="408"/>
      <c r="V301" s="408">
        <v>1510370.4761400002</v>
      </c>
      <c r="W301" s="408">
        <v>1510370.4761400002</v>
      </c>
      <c r="X301" s="408">
        <v>1419439.75254</v>
      </c>
      <c r="Y301" s="408">
        <v>0</v>
      </c>
      <c r="Z301" s="408">
        <v>171667.11786543907</v>
      </c>
      <c r="AA301" s="408">
        <v>0</v>
      </c>
      <c r="AB301" s="408">
        <v>0</v>
      </c>
      <c r="AC301" s="408">
        <v>7139.2817383389629</v>
      </c>
      <c r="AD301" s="408">
        <v>6859.2488519841099</v>
      </c>
      <c r="AE301" s="408">
        <v>656980.35167093656</v>
      </c>
      <c r="AF301" s="408">
        <v>475128.28983702534</v>
      </c>
      <c r="AG301" s="408">
        <v>8109.1057854692817</v>
      </c>
      <c r="AH301" s="408">
        <v>0</v>
      </c>
      <c r="AI301" s="408">
        <v>0</v>
      </c>
      <c r="AJ301" s="408">
        <v>0</v>
      </c>
      <c r="AK301" s="408">
        <v>0</v>
      </c>
      <c r="AL301" s="408">
        <v>26523.405026119883</v>
      </c>
      <c r="AM301" s="408"/>
      <c r="AN301" s="408">
        <v>3369.0578233779338</v>
      </c>
      <c r="AO301" s="408">
        <v>15155.294133789273</v>
      </c>
      <c r="AP301" s="408">
        <v>70666.900731329544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0</v>
      </c>
      <c r="BE301" s="408">
        <v>0</v>
      </c>
      <c r="BF301" s="408">
        <v>0</v>
      </c>
      <c r="BG301" s="408">
        <v>24935.636180487309</v>
      </c>
      <c r="BH301" s="408">
        <v>0</v>
      </c>
      <c r="BI301" s="408">
        <v>1257.8900000000001</v>
      </c>
      <c r="BJ301" s="408">
        <v>10965.23</v>
      </c>
      <c r="BK301" s="408">
        <v>783263.61</v>
      </c>
      <c r="BL301" s="408">
        <v>4306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>
        <v>500063.92601751263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1419441.7881</v>
      </c>
      <c r="CJ301" s="408">
        <v>-90928.718040000182</v>
      </c>
      <c r="CK301" s="408"/>
      <c r="CL301" s="408"/>
      <c r="CM301" s="408"/>
      <c r="CN301" s="408"/>
      <c r="CO301" s="408">
        <v>-151151.40833999999</v>
      </c>
      <c r="CP301" s="408">
        <v>60220.684740000012</v>
      </c>
      <c r="CQ301" s="408">
        <v>30</v>
      </c>
      <c r="CR301" s="408">
        <v>72262.570396417053</v>
      </c>
      <c r="CS301" s="408">
        <v>1510.192666860421</v>
      </c>
      <c r="CT301" s="408">
        <v>7041.8056114312494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7062.7535942941122</v>
      </c>
      <c r="DA301" s="408">
        <v>0</v>
      </c>
      <c r="DB301" s="408">
        <v>0</v>
      </c>
      <c r="DC301" s="408">
        <v>60213.885476447758</v>
      </c>
      <c r="DD301" s="408">
        <v>0</v>
      </c>
      <c r="DE301" s="408">
        <v>0</v>
      </c>
      <c r="DF301" s="408">
        <v>0</v>
      </c>
      <c r="DG301" s="408">
        <v>3160.1392158090493</v>
      </c>
      <c r="DH301" s="408">
        <v>0</v>
      </c>
      <c r="DI301" s="408">
        <v>-5829.2720979238802</v>
      </c>
      <c r="DJ301" s="408"/>
      <c r="DK301" s="408">
        <v>0</v>
      </c>
      <c r="DL301" s="408">
        <v>0</v>
      </c>
      <c r="DM301" s="408">
        <v>0</v>
      </c>
      <c r="DN301" s="408">
        <v>0</v>
      </c>
      <c r="DO301" s="408">
        <v>-801.61860735389564</v>
      </c>
      <c r="DP301" s="408">
        <v>-95.315463147801893</v>
      </c>
      <c r="DQ301" s="408">
        <v>0</v>
      </c>
      <c r="DR301" s="408">
        <v>0</v>
      </c>
      <c r="DS301" s="408"/>
      <c r="DT301" s="408"/>
      <c r="DU301" s="408"/>
      <c r="DV301" s="408">
        <v>656980.35167093656</v>
      </c>
      <c r="DW301" s="408">
        <v>0</v>
      </c>
      <c r="DX301" s="408">
        <v>0</v>
      </c>
      <c r="DY301" s="408">
        <v>-151151.40834000008</v>
      </c>
      <c r="DZ301" s="408">
        <v>60220.684739999997</v>
      </c>
      <c r="EA301" s="408">
        <v>0</v>
      </c>
      <c r="EB301" s="408">
        <v>0</v>
      </c>
      <c r="EC301" s="408">
        <v>-163205.06342772022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43840.720207378879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240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300</v>
      </c>
      <c r="B302" s="408" t="s">
        <v>2237</v>
      </c>
      <c r="C302" s="408" t="s">
        <v>2235</v>
      </c>
      <c r="D302" s="408" t="s">
        <v>1958</v>
      </c>
      <c r="E302" s="408" t="s">
        <v>998</v>
      </c>
      <c r="F302" s="408" t="s">
        <v>1322</v>
      </c>
      <c r="G302" s="408" t="s">
        <v>1322</v>
      </c>
      <c r="H302" s="408" t="s">
        <v>1322</v>
      </c>
      <c r="I302" s="408" t="s">
        <v>1322</v>
      </c>
      <c r="J302" s="408" t="s">
        <v>2236</v>
      </c>
      <c r="K302" s="826">
        <v>44501</v>
      </c>
      <c r="L302" s="408">
        <v>0</v>
      </c>
      <c r="M302" s="408">
        <v>0</v>
      </c>
      <c r="N302" s="408">
        <v>-0.72599999999999998</v>
      </c>
      <c r="O302" s="408">
        <v>-0.72599999999999998</v>
      </c>
      <c r="P302" s="408">
        <v>-0.72599999999999998</v>
      </c>
      <c r="Q302" s="408">
        <v>-0.72599999999999998</v>
      </c>
      <c r="R302" s="408"/>
      <c r="S302" s="408">
        <v>368.24</v>
      </c>
      <c r="T302" s="408">
        <v>173.25</v>
      </c>
      <c r="U302" s="408"/>
      <c r="V302" s="408">
        <v>-393.12173999999999</v>
      </c>
      <c r="W302" s="408">
        <v>-393.12173999999999</v>
      </c>
      <c r="X302" s="408">
        <v>-369.45414</v>
      </c>
      <c r="Y302" s="408">
        <v>0</v>
      </c>
      <c r="Z302" s="408">
        <v>-44.68180300274291</v>
      </c>
      <c r="AA302" s="408">
        <v>0</v>
      </c>
      <c r="AB302" s="408">
        <v>0</v>
      </c>
      <c r="AC302" s="408">
        <v>-1.8582241269034752</v>
      </c>
      <c r="AD302" s="408">
        <v>-1.7853367014140764</v>
      </c>
      <c r="AE302" s="408">
        <v>-170.99993880623927</v>
      </c>
      <c r="AF302" s="408">
        <v>-123.66718164493723</v>
      </c>
      <c r="AG302" s="408">
        <v>-2.1106515431729478</v>
      </c>
      <c r="AH302" s="408">
        <v>0</v>
      </c>
      <c r="AI302" s="408">
        <v>0</v>
      </c>
      <c r="AJ302" s="408">
        <v>0</v>
      </c>
      <c r="AK302" s="408">
        <v>0</v>
      </c>
      <c r="AL302" s="408">
        <v>-6.903555981338247</v>
      </c>
      <c r="AM302" s="408"/>
      <c r="AN302" s="408">
        <v>-0.8769039746273346</v>
      </c>
      <c r="AO302" s="408">
        <v>-3.9446451676633414</v>
      </c>
      <c r="AP302" s="408">
        <v>-18.393298475289104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0</v>
      </c>
      <c r="BE302" s="408">
        <v>0</v>
      </c>
      <c r="BF302" s="408">
        <v>0</v>
      </c>
      <c r="BG302" s="408">
        <v>-6.4902888649761215</v>
      </c>
      <c r="BH302" s="408">
        <v>0</v>
      </c>
      <c r="BI302" s="408">
        <v>-0.08</v>
      </c>
      <c r="BJ302" s="408">
        <v>-2.93</v>
      </c>
      <c r="BK302" s="408">
        <v>-199.91</v>
      </c>
      <c r="BL302" s="408">
        <v>0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>
        <v>-130.15747050991334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-371.48970000000003</v>
      </c>
      <c r="CJ302" s="408">
        <v>21.602039999999988</v>
      </c>
      <c r="CK302" s="408"/>
      <c r="CL302" s="408"/>
      <c r="CM302" s="408"/>
      <c r="CN302" s="408"/>
      <c r="CO302" s="408">
        <v>39.341939999999994</v>
      </c>
      <c r="CP302" s="408">
        <v>-15.674340000000003</v>
      </c>
      <c r="CQ302" s="408">
        <v>30</v>
      </c>
      <c r="CR302" s="408">
        <v>-18.808622030081779</v>
      </c>
      <c r="CS302" s="408">
        <v>-0.39307545950492884</v>
      </c>
      <c r="CT302" s="408">
        <v>-1.8328528784424023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-1.8383052542684848</v>
      </c>
      <c r="DA302" s="408">
        <v>0</v>
      </c>
      <c r="DB302" s="408">
        <v>0</v>
      </c>
      <c r="DC302" s="408">
        <v>-15.672570276372184</v>
      </c>
      <c r="DD302" s="408">
        <v>0</v>
      </c>
      <c r="DE302" s="408">
        <v>0</v>
      </c>
      <c r="DF302" s="408">
        <v>0</v>
      </c>
      <c r="DG302" s="408">
        <v>-0.82252629191749005</v>
      </c>
      <c r="DH302" s="408">
        <v>0</v>
      </c>
      <c r="DI302" s="408">
        <v>1.5172526385220948</v>
      </c>
      <c r="DJ302" s="408"/>
      <c r="DK302" s="408">
        <v>0</v>
      </c>
      <c r="DL302" s="408">
        <v>0</v>
      </c>
      <c r="DM302" s="408">
        <v>0</v>
      </c>
      <c r="DN302" s="408">
        <v>0</v>
      </c>
      <c r="DO302" s="408">
        <v>0.20864662459816863</v>
      </c>
      <c r="DP302" s="408">
        <v>2.480886730342613E-2</v>
      </c>
      <c r="DQ302" s="408">
        <v>0</v>
      </c>
      <c r="DR302" s="408">
        <v>0</v>
      </c>
      <c r="DS302" s="408"/>
      <c r="DT302" s="408"/>
      <c r="DU302" s="408"/>
      <c r="DV302" s="408">
        <v>-170.99993880623927</v>
      </c>
      <c r="DW302" s="408">
        <v>0</v>
      </c>
      <c r="DX302" s="408">
        <v>0</v>
      </c>
      <c r="DY302" s="408">
        <v>39.341939999999994</v>
      </c>
      <c r="DZ302" s="408">
        <v>-15.674339999999987</v>
      </c>
      <c r="EA302" s="408">
        <v>0</v>
      </c>
      <c r="EB302" s="408">
        <v>0</v>
      </c>
      <c r="EC302" s="408">
        <v>42.479285397239607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-11.410935583714636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240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301</v>
      </c>
      <c r="B303" s="408" t="s">
        <v>2238</v>
      </c>
      <c r="C303" s="408" t="s">
        <v>2235</v>
      </c>
      <c r="D303" s="408" t="s">
        <v>1958</v>
      </c>
      <c r="E303" s="408" t="s">
        <v>998</v>
      </c>
      <c r="F303" s="408" t="s">
        <v>1322</v>
      </c>
      <c r="G303" s="408" t="s">
        <v>1322</v>
      </c>
      <c r="H303" s="408" t="s">
        <v>1322</v>
      </c>
      <c r="I303" s="408" t="s">
        <v>1322</v>
      </c>
      <c r="J303" s="408" t="s">
        <v>2236</v>
      </c>
      <c r="K303" s="826">
        <v>44501</v>
      </c>
      <c r="L303" s="408">
        <v>0</v>
      </c>
      <c r="M303" s="408">
        <v>0</v>
      </c>
      <c r="N303" s="408">
        <v>83.018000000000001</v>
      </c>
      <c r="O303" s="408">
        <v>83.018000000000001</v>
      </c>
      <c r="P303" s="408">
        <v>83.018000000000001</v>
      </c>
      <c r="Q303" s="408">
        <v>83.018000000000001</v>
      </c>
      <c r="R303" s="408"/>
      <c r="S303" s="408">
        <v>368.24</v>
      </c>
      <c r="T303" s="408">
        <v>173.25</v>
      </c>
      <c r="U303" s="408"/>
      <c r="V303" s="408">
        <v>44953.416819999999</v>
      </c>
      <c r="W303" s="408">
        <v>44953.416819999999</v>
      </c>
      <c r="X303" s="408">
        <v>42247.030020000006</v>
      </c>
      <c r="Y303" s="408">
        <v>0</v>
      </c>
      <c r="Z303" s="408">
        <v>5109.3580188453316</v>
      </c>
      <c r="AA303" s="408">
        <v>0</v>
      </c>
      <c r="AB303" s="408">
        <v>0</v>
      </c>
      <c r="AC303" s="408">
        <v>212.48767295767593</v>
      </c>
      <c r="AD303" s="408">
        <v>204.15300589255344</v>
      </c>
      <c r="AE303" s="408">
        <v>19553.81944878288</v>
      </c>
      <c r="AF303" s="408">
        <v>14141.325187051514</v>
      </c>
      <c r="AG303" s="408">
        <v>241.35271323847351</v>
      </c>
      <c r="AH303" s="408">
        <v>0</v>
      </c>
      <c r="AI303" s="408">
        <v>0</v>
      </c>
      <c r="AJ303" s="408">
        <v>0</v>
      </c>
      <c r="AK303" s="408">
        <v>0</v>
      </c>
      <c r="AL303" s="408">
        <v>789.42067556300083</v>
      </c>
      <c r="AM303" s="408"/>
      <c r="AN303" s="408">
        <v>100.27384871296428</v>
      </c>
      <c r="AO303" s="408">
        <v>451.06963158274834</v>
      </c>
      <c r="AP303" s="408">
        <v>2103.2711471371226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0</v>
      </c>
      <c r="BE303" s="408">
        <v>0</v>
      </c>
      <c r="BF303" s="408">
        <v>0</v>
      </c>
      <c r="BG303" s="408">
        <v>742.16363773083708</v>
      </c>
      <c r="BH303" s="408">
        <v>0</v>
      </c>
      <c r="BI303" s="408">
        <v>37.14</v>
      </c>
      <c r="BJ303" s="408">
        <v>329.2</v>
      </c>
      <c r="BK303" s="408">
        <v>62105.1</v>
      </c>
      <c r="BL303" s="408">
        <v>241</v>
      </c>
      <c r="BM303" s="408"/>
      <c r="BN303" s="408"/>
      <c r="BO303" s="408"/>
      <c r="BP303" s="408"/>
      <c r="BQ303" s="408"/>
      <c r="BR303" s="408"/>
      <c r="BS303" s="408"/>
      <c r="BT303" s="408"/>
      <c r="BU303" s="408"/>
      <c r="BV303" s="408">
        <v>14883.488824782351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42248.0478</v>
      </c>
      <c r="CJ303" s="408">
        <v>-2705.3990200000044</v>
      </c>
      <c r="CK303" s="408"/>
      <c r="CL303" s="408"/>
      <c r="CM303" s="408"/>
      <c r="CN303" s="408"/>
      <c r="CO303" s="408">
        <v>-4498.7454200000002</v>
      </c>
      <c r="CP303" s="408">
        <v>1792.3586200000002</v>
      </c>
      <c r="CQ303" s="408">
        <v>30</v>
      </c>
      <c r="CR303" s="408">
        <v>2150.7633384205619</v>
      </c>
      <c r="CS303" s="408">
        <v>44.948124651763351</v>
      </c>
      <c r="CT303" s="408">
        <v>209.58647419081444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210.20995261551116</v>
      </c>
      <c r="DA303" s="408">
        <v>0</v>
      </c>
      <c r="DB303" s="408">
        <v>0</v>
      </c>
      <c r="DC303" s="408">
        <v>1792.156252346922</v>
      </c>
      <c r="DD303" s="408">
        <v>0</v>
      </c>
      <c r="DE303" s="408">
        <v>0</v>
      </c>
      <c r="DF303" s="408">
        <v>0</v>
      </c>
      <c r="DG303" s="408">
        <v>94.055768185132365</v>
      </c>
      <c r="DH303" s="408">
        <v>0</v>
      </c>
      <c r="DI303" s="408">
        <v>-173.49763022703428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-23.858712783596047</v>
      </c>
      <c r="DP303" s="408">
        <v>-2.8368905589474167</v>
      </c>
      <c r="DQ303" s="408">
        <v>0</v>
      </c>
      <c r="DR303" s="408">
        <v>0</v>
      </c>
      <c r="DS303" s="408"/>
      <c r="DT303" s="408"/>
      <c r="DU303" s="408"/>
      <c r="DV303" s="408">
        <v>19553.81944878288</v>
      </c>
      <c r="DW303" s="408">
        <v>0</v>
      </c>
      <c r="DX303" s="408">
        <v>0</v>
      </c>
      <c r="DY303" s="408">
        <v>-4498.7454199999993</v>
      </c>
      <c r="DZ303" s="408">
        <v>1792.3586199999991</v>
      </c>
      <c r="EA303" s="408">
        <v>0</v>
      </c>
      <c r="EB303" s="408">
        <v>0</v>
      </c>
      <c r="EC303" s="408">
        <v>-4857.5004340331088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1304.838912243556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240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302</v>
      </c>
      <c r="B304" s="408" t="s">
        <v>1036</v>
      </c>
      <c r="C304" s="408" t="s">
        <v>2243</v>
      </c>
      <c r="D304" s="408" t="s">
        <v>597</v>
      </c>
      <c r="E304" s="408" t="s">
        <v>998</v>
      </c>
      <c r="F304" s="408" t="s">
        <v>1322</v>
      </c>
      <c r="G304" s="408" t="s">
        <v>1322</v>
      </c>
      <c r="H304" s="408" t="s">
        <v>1322</v>
      </c>
      <c r="I304" s="408" t="s">
        <v>973</v>
      </c>
      <c r="J304" s="408" t="s">
        <v>2236</v>
      </c>
      <c r="K304" s="826">
        <v>44501</v>
      </c>
      <c r="L304" s="408">
        <v>0</v>
      </c>
      <c r="M304" s="408">
        <v>0</v>
      </c>
      <c r="N304" s="408">
        <v>83.543999999999997</v>
      </c>
      <c r="O304" s="408">
        <v>83.543999999999997</v>
      </c>
      <c r="P304" s="408">
        <v>83.543999999999997</v>
      </c>
      <c r="Q304" s="408">
        <v>83.543999999999997</v>
      </c>
      <c r="R304" s="408"/>
      <c r="S304" s="408">
        <v>1358.36</v>
      </c>
      <c r="T304" s="408">
        <v>173.25</v>
      </c>
      <c r="U304" s="408"/>
      <c r="V304" s="408">
        <v>127956.82583999998</v>
      </c>
      <c r="W304" s="408">
        <v>127956.82583999998</v>
      </c>
      <c r="X304" s="408">
        <v>112192.90848</v>
      </c>
      <c r="Y304" s="408">
        <v>0</v>
      </c>
      <c r="Z304" s="408">
        <v>4473.3057831311307</v>
      </c>
      <c r="AA304" s="408">
        <v>0</v>
      </c>
      <c r="AB304" s="408">
        <v>0</v>
      </c>
      <c r="AC304" s="408">
        <v>1582.4978279041281</v>
      </c>
      <c r="AD304" s="408">
        <v>1520.4302466379131</v>
      </c>
      <c r="AE304" s="408">
        <v>84254.768692369267</v>
      </c>
      <c r="AF304" s="408">
        <v>14230.924274579389</v>
      </c>
      <c r="AG304" s="408">
        <v>242.88191807553821</v>
      </c>
      <c r="AH304" s="408">
        <v>0</v>
      </c>
      <c r="AI304" s="408">
        <v>0</v>
      </c>
      <c r="AJ304" s="408">
        <v>0</v>
      </c>
      <c r="AK304" s="408">
        <v>0</v>
      </c>
      <c r="AL304" s="408">
        <v>794.42242548887396</v>
      </c>
      <c r="AM304" s="408"/>
      <c r="AN304" s="408">
        <v>66.903190390886849</v>
      </c>
      <c r="AO304" s="408">
        <v>3359.3729293245742</v>
      </c>
      <c r="AP304" s="408">
        <v>15664.174276859025</v>
      </c>
      <c r="AQ304" s="408">
        <v>0</v>
      </c>
      <c r="AR304" s="408">
        <v>0</v>
      </c>
      <c r="AS304" s="408">
        <v>0</v>
      </c>
      <c r="AT304" s="408">
        <v>0</v>
      </c>
      <c r="AU304" s="408">
        <v>0</v>
      </c>
      <c r="AV304" s="408">
        <v>0</v>
      </c>
      <c r="AW304" s="408">
        <v>0</v>
      </c>
      <c r="AX304" s="408">
        <v>0</v>
      </c>
      <c r="AY304" s="408">
        <v>0</v>
      </c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0</v>
      </c>
      <c r="BF304" s="408">
        <v>0</v>
      </c>
      <c r="BG304" s="408">
        <v>624.79688557057966</v>
      </c>
      <c r="BH304" s="408">
        <v>0</v>
      </c>
      <c r="BI304" s="408">
        <v>0</v>
      </c>
      <c r="BJ304" s="408">
        <v>0</v>
      </c>
      <c r="BK304" s="408">
        <v>0</v>
      </c>
      <c r="BL304" s="408">
        <v>0</v>
      </c>
      <c r="BM304" s="408"/>
      <c r="BN304" s="408"/>
      <c r="BO304" s="408"/>
      <c r="BP304" s="408"/>
      <c r="BQ304" s="408"/>
      <c r="BR304" s="408"/>
      <c r="BS304" s="408"/>
      <c r="BT304" s="408"/>
      <c r="BU304" s="408"/>
      <c r="BV304" s="408">
        <v>14855.721160149969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112187.5368</v>
      </c>
      <c r="CJ304" s="408">
        <v>-15769.319039999958</v>
      </c>
      <c r="CK304" s="408"/>
      <c r="CL304" s="408"/>
      <c r="CM304" s="408"/>
      <c r="CN304" s="408"/>
      <c r="CO304" s="408">
        <v>-17567.632319999997</v>
      </c>
      <c r="CP304" s="408">
        <v>1803.7149600000002</v>
      </c>
      <c r="CQ304" s="408">
        <v>30</v>
      </c>
      <c r="CR304" s="408">
        <v>5166.0861926986181</v>
      </c>
      <c r="CS304" s="408">
        <v>334.75433194029529</v>
      </c>
      <c r="CT304" s="408">
        <v>1560.9014854152429</v>
      </c>
      <c r="CU304" s="408">
        <v>0</v>
      </c>
      <c r="CV304" s="408">
        <v>0</v>
      </c>
      <c r="CW304" s="408">
        <v>0</v>
      </c>
      <c r="CX304" s="408">
        <v>0</v>
      </c>
      <c r="CY304" s="408">
        <v>0</v>
      </c>
      <c r="CZ304" s="408">
        <v>1565.5393791711172</v>
      </c>
      <c r="DA304" s="408">
        <v>0</v>
      </c>
      <c r="DB304" s="408">
        <v>0</v>
      </c>
      <c r="DC304" s="408">
        <v>1803.511310150463</v>
      </c>
      <c r="DD304" s="408">
        <v>0</v>
      </c>
      <c r="DE304" s="408">
        <v>0</v>
      </c>
      <c r="DF304" s="408">
        <v>0</v>
      </c>
      <c r="DG304" s="408">
        <v>79.181662970841785</v>
      </c>
      <c r="DH304" s="408">
        <v>0</v>
      </c>
      <c r="DI304" s="408">
        <v>-151.8993090309059</v>
      </c>
      <c r="DJ304" s="408"/>
      <c r="DK304" s="408">
        <v>0</v>
      </c>
      <c r="DL304" s="408">
        <v>0</v>
      </c>
      <c r="DM304" s="408">
        <v>0</v>
      </c>
      <c r="DN304" s="408">
        <v>0</v>
      </c>
      <c r="DO304" s="408">
        <v>-24.009880999214033</v>
      </c>
      <c r="DP304" s="408">
        <v>-1.89278691921632</v>
      </c>
      <c r="DQ304" s="408">
        <v>0</v>
      </c>
      <c r="DR304" s="408">
        <v>0</v>
      </c>
      <c r="DS304" s="408"/>
      <c r="DT304" s="408"/>
      <c r="DU304" s="408"/>
      <c r="DV304" s="408">
        <v>84254.768692369267</v>
      </c>
      <c r="DW304" s="408">
        <v>0</v>
      </c>
      <c r="DX304" s="408">
        <v>0</v>
      </c>
      <c r="DY304" s="408">
        <v>-17567.63231999999</v>
      </c>
      <c r="DZ304" s="408">
        <v>1803.7149599999993</v>
      </c>
      <c r="EA304" s="408">
        <v>0</v>
      </c>
      <c r="EB304" s="408">
        <v>0</v>
      </c>
      <c r="EC304" s="408">
        <v>-20930.313720269958</v>
      </c>
      <c r="ED304" s="408">
        <v>0</v>
      </c>
      <c r="EE304" s="408">
        <v>0</v>
      </c>
      <c r="EF304" s="408">
        <v>0</v>
      </c>
      <c r="EG304" s="408">
        <v>0</v>
      </c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>
        <v>0</v>
      </c>
      <c r="EN304" s="408">
        <v>0</v>
      </c>
      <c r="EO304" s="408">
        <v>0</v>
      </c>
      <c r="EP304" s="408">
        <v>1142.4025152797469</v>
      </c>
      <c r="EQ304" s="408">
        <v>0</v>
      </c>
      <c r="ER304" s="408">
        <v>0</v>
      </c>
      <c r="ES304" s="408">
        <v>0</v>
      </c>
      <c r="ET304" s="408">
        <v>0</v>
      </c>
      <c r="EU304" s="408">
        <v>0</v>
      </c>
      <c r="EV304" s="408">
        <v>240</v>
      </c>
      <c r="EW304" s="408">
        <v>0</v>
      </c>
      <c r="EX304" s="408">
        <v>0</v>
      </c>
      <c r="EY304" s="408">
        <v>0</v>
      </c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303</v>
      </c>
      <c r="B305" s="408" t="s">
        <v>2238</v>
      </c>
      <c r="C305" s="408" t="s">
        <v>2243</v>
      </c>
      <c r="D305" s="408" t="s">
        <v>597</v>
      </c>
      <c r="E305" s="408" t="s">
        <v>998</v>
      </c>
      <c r="F305" s="408" t="s">
        <v>1322</v>
      </c>
      <c r="G305" s="408" t="s">
        <v>1322</v>
      </c>
      <c r="H305" s="408" t="s">
        <v>1322</v>
      </c>
      <c r="I305" s="408" t="s">
        <v>973</v>
      </c>
      <c r="J305" s="408" t="s">
        <v>2236</v>
      </c>
      <c r="K305" s="826">
        <v>44501</v>
      </c>
      <c r="L305" s="408">
        <v>0</v>
      </c>
      <c r="M305" s="408">
        <v>0</v>
      </c>
      <c r="N305" s="408">
        <v>5.75</v>
      </c>
      <c r="O305" s="408">
        <v>5.75</v>
      </c>
      <c r="P305" s="408">
        <v>5.75</v>
      </c>
      <c r="Q305" s="408">
        <v>5.75</v>
      </c>
      <c r="R305" s="408"/>
      <c r="S305" s="408">
        <v>1358.36</v>
      </c>
      <c r="T305" s="408">
        <v>173.25</v>
      </c>
      <c r="U305" s="408"/>
      <c r="V305" s="408">
        <v>8806.7574999999997</v>
      </c>
      <c r="W305" s="408">
        <v>8806.7574999999997</v>
      </c>
      <c r="X305" s="408">
        <v>7721.7899999999991</v>
      </c>
      <c r="Y305" s="408">
        <v>0</v>
      </c>
      <c r="Z305" s="408">
        <v>307.87977895485017</v>
      </c>
      <c r="AA305" s="408">
        <v>0</v>
      </c>
      <c r="AB305" s="408">
        <v>0</v>
      </c>
      <c r="AC305" s="408">
        <v>108.91700792933948</v>
      </c>
      <c r="AD305" s="408">
        <v>104.64514409374702</v>
      </c>
      <c r="AE305" s="408">
        <v>5798.91937160207</v>
      </c>
      <c r="AF305" s="408">
        <v>979.45770586554977</v>
      </c>
      <c r="AG305" s="408">
        <v>16.71659280061219</v>
      </c>
      <c r="AH305" s="408">
        <v>0</v>
      </c>
      <c r="AI305" s="408">
        <v>0</v>
      </c>
      <c r="AJ305" s="408">
        <v>0</v>
      </c>
      <c r="AK305" s="408">
        <v>0</v>
      </c>
      <c r="AL305" s="408">
        <v>54.676924094621107</v>
      </c>
      <c r="AM305" s="408"/>
      <c r="AN305" s="408">
        <v>4.6046795071770488</v>
      </c>
      <c r="AO305" s="408">
        <v>231.21222761199252</v>
      </c>
      <c r="AP305" s="408">
        <v>1078.1025817765417</v>
      </c>
      <c r="AQ305" s="408">
        <v>0</v>
      </c>
      <c r="AR305" s="408">
        <v>0</v>
      </c>
      <c r="AS305" s="408">
        <v>0</v>
      </c>
      <c r="AT305" s="408">
        <v>0</v>
      </c>
      <c r="AU305" s="408">
        <v>0</v>
      </c>
      <c r="AV305" s="408">
        <v>0</v>
      </c>
      <c r="AW305" s="408">
        <v>0</v>
      </c>
      <c r="AX305" s="408">
        <v>0</v>
      </c>
      <c r="AY305" s="408">
        <v>0</v>
      </c>
      <c r="AZ305" s="408">
        <v>0</v>
      </c>
      <c r="BA305" s="408"/>
      <c r="BB305" s="408">
        <v>0</v>
      </c>
      <c r="BC305" s="408">
        <v>0</v>
      </c>
      <c r="BD305" s="408">
        <v>0</v>
      </c>
      <c r="BE305" s="408">
        <v>0</v>
      </c>
      <c r="BF305" s="408">
        <v>0</v>
      </c>
      <c r="BG305" s="408">
        <v>43.00227535227944</v>
      </c>
      <c r="BH305" s="408">
        <v>0</v>
      </c>
      <c r="BI305" s="408">
        <v>0</v>
      </c>
      <c r="BJ305" s="408">
        <v>0</v>
      </c>
      <c r="BK305" s="408">
        <v>0</v>
      </c>
      <c r="BL305" s="408">
        <v>0</v>
      </c>
      <c r="BM305" s="408"/>
      <c r="BN305" s="408"/>
      <c r="BO305" s="408"/>
      <c r="BP305" s="408"/>
      <c r="BQ305" s="408"/>
      <c r="BR305" s="408"/>
      <c r="BS305" s="408"/>
      <c r="BT305" s="408"/>
      <c r="BU305" s="408"/>
      <c r="BV305" s="408">
        <v>1022.4599812178292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7721.7899999999991</v>
      </c>
      <c r="CJ305" s="408">
        <v>-1084.9975000000013</v>
      </c>
      <c r="CK305" s="408"/>
      <c r="CL305" s="408"/>
      <c r="CM305" s="408"/>
      <c r="CN305" s="408"/>
      <c r="CO305" s="408">
        <v>-1209.1099999999999</v>
      </c>
      <c r="CP305" s="408">
        <v>124.14250000000001</v>
      </c>
      <c r="CQ305" s="408">
        <v>30</v>
      </c>
      <c r="CR305" s="408">
        <v>355.56108886355878</v>
      </c>
      <c r="CS305" s="408">
        <v>23.039804278663922</v>
      </c>
      <c r="CT305" s="408">
        <v>107.43061789162175</v>
      </c>
      <c r="CU305" s="408">
        <v>0</v>
      </c>
      <c r="CV305" s="408">
        <v>0</v>
      </c>
      <c r="CW305" s="408">
        <v>0</v>
      </c>
      <c r="CX305" s="408">
        <v>0</v>
      </c>
      <c r="CY305" s="408">
        <v>0</v>
      </c>
      <c r="CZ305" s="408">
        <v>107.74982560368097</v>
      </c>
      <c r="DA305" s="408">
        <v>0</v>
      </c>
      <c r="DB305" s="408">
        <v>0</v>
      </c>
      <c r="DC305" s="408">
        <v>124.1284835938568</v>
      </c>
      <c r="DD305" s="408">
        <v>0</v>
      </c>
      <c r="DE305" s="408">
        <v>0</v>
      </c>
      <c r="DF305" s="408">
        <v>0</v>
      </c>
      <c r="DG305" s="408">
        <v>5.4497577573774336</v>
      </c>
      <c r="DH305" s="408">
        <v>0</v>
      </c>
      <c r="DI305" s="408">
        <v>-10.454623036097246</v>
      </c>
      <c r="DJ305" s="408"/>
      <c r="DK305" s="408">
        <v>0</v>
      </c>
      <c r="DL305" s="408">
        <v>0</v>
      </c>
      <c r="DM305" s="408">
        <v>0</v>
      </c>
      <c r="DN305" s="408">
        <v>0</v>
      </c>
      <c r="DO305" s="408">
        <v>-1.6525042581810894</v>
      </c>
      <c r="DP305" s="408">
        <v>-0.13027296736442917</v>
      </c>
      <c r="DQ305" s="408">
        <v>0</v>
      </c>
      <c r="DR305" s="408">
        <v>0</v>
      </c>
      <c r="DS305" s="408"/>
      <c r="DT305" s="408"/>
      <c r="DU305" s="408"/>
      <c r="DV305" s="408">
        <v>5798.91937160207</v>
      </c>
      <c r="DW305" s="408">
        <v>0</v>
      </c>
      <c r="DX305" s="408">
        <v>0</v>
      </c>
      <c r="DY305" s="408">
        <v>-1209.1100000000006</v>
      </c>
      <c r="DZ305" s="408">
        <v>124.14249999999993</v>
      </c>
      <c r="EA305" s="408">
        <v>0</v>
      </c>
      <c r="EB305" s="408">
        <v>0</v>
      </c>
      <c r="EC305" s="408">
        <v>-1440.5499364592588</v>
      </c>
      <c r="ED305" s="408">
        <v>0</v>
      </c>
      <c r="EE305" s="408">
        <v>0</v>
      </c>
      <c r="EF305" s="408">
        <v>0</v>
      </c>
      <c r="EG305" s="408">
        <v>0</v>
      </c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>
        <v>0</v>
      </c>
      <c r="EN305" s="408">
        <v>0</v>
      </c>
      <c r="EO305" s="408">
        <v>0</v>
      </c>
      <c r="EP305" s="408">
        <v>78.627004486959507</v>
      </c>
      <c r="EQ305" s="408">
        <v>0</v>
      </c>
      <c r="ER305" s="408">
        <v>0</v>
      </c>
      <c r="ES305" s="408">
        <v>0</v>
      </c>
      <c r="ET305" s="408">
        <v>0</v>
      </c>
      <c r="EU305" s="408">
        <v>0</v>
      </c>
      <c r="EV305" s="408">
        <v>240</v>
      </c>
      <c r="EW305" s="408">
        <v>0</v>
      </c>
      <c r="EX305" s="408">
        <v>0</v>
      </c>
      <c r="EY305" s="408">
        <v>0</v>
      </c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304</v>
      </c>
      <c r="B306" s="408" t="s">
        <v>1036</v>
      </c>
      <c r="C306" s="408" t="s">
        <v>2243</v>
      </c>
      <c r="D306" s="408" t="s">
        <v>597</v>
      </c>
      <c r="E306" s="408" t="s">
        <v>998</v>
      </c>
      <c r="F306" s="408" t="s">
        <v>1322</v>
      </c>
      <c r="G306" s="408" t="s">
        <v>1322</v>
      </c>
      <c r="H306" s="408" t="s">
        <v>1322</v>
      </c>
      <c r="I306" s="408" t="s">
        <v>2244</v>
      </c>
      <c r="J306" s="408" t="s">
        <v>2236</v>
      </c>
      <c r="K306" s="826">
        <v>44501</v>
      </c>
      <c r="L306" s="408">
        <v>0</v>
      </c>
      <c r="M306" s="408">
        <v>0</v>
      </c>
      <c r="N306" s="408">
        <v>988.95399999999995</v>
      </c>
      <c r="O306" s="408">
        <v>988.95399999999995</v>
      </c>
      <c r="P306" s="408">
        <v>988.95399999999995</v>
      </c>
      <c r="Q306" s="408">
        <v>988.95399999999995</v>
      </c>
      <c r="R306" s="408"/>
      <c r="S306" s="408">
        <v>85.01</v>
      </c>
      <c r="T306" s="408">
        <v>173.25</v>
      </c>
      <c r="U306" s="408"/>
      <c r="V306" s="408">
        <v>255407.26003999999</v>
      </c>
      <c r="W306" s="408">
        <v>255407.26003999999</v>
      </c>
      <c r="X306" s="408">
        <v>275591.81117999996</v>
      </c>
      <c r="Y306" s="408">
        <v>0</v>
      </c>
      <c r="Z306" s="408">
        <v>52952.858942002589</v>
      </c>
      <c r="AA306" s="408">
        <v>0</v>
      </c>
      <c r="AB306" s="408">
        <v>0</v>
      </c>
      <c r="AC306" s="408">
        <v>0</v>
      </c>
      <c r="AD306" s="408">
        <v>0</v>
      </c>
      <c r="AE306" s="408">
        <v>0</v>
      </c>
      <c r="AF306" s="408">
        <v>168458.88974722763</v>
      </c>
      <c r="AG306" s="408">
        <v>2875.1202289628914</v>
      </c>
      <c r="AH306" s="408">
        <v>0</v>
      </c>
      <c r="AI306" s="408">
        <v>0</v>
      </c>
      <c r="AJ306" s="408">
        <v>0</v>
      </c>
      <c r="AK306" s="408">
        <v>0</v>
      </c>
      <c r="AL306" s="408">
        <v>9403.9935288820725</v>
      </c>
      <c r="AM306" s="408"/>
      <c r="AN306" s="408">
        <v>791.96803779839502</v>
      </c>
      <c r="AO306" s="408">
        <v>0</v>
      </c>
      <c r="AP306" s="408">
        <v>0</v>
      </c>
      <c r="AQ306" s="408">
        <v>0</v>
      </c>
      <c r="AR306" s="408">
        <v>0</v>
      </c>
      <c r="AS306" s="408">
        <v>0</v>
      </c>
      <c r="AT306" s="408">
        <v>0</v>
      </c>
      <c r="AU306" s="408">
        <v>0</v>
      </c>
      <c r="AV306" s="408">
        <v>0</v>
      </c>
      <c r="AW306" s="408">
        <v>0</v>
      </c>
      <c r="AX306" s="408">
        <v>0</v>
      </c>
      <c r="AY306" s="408">
        <v>0</v>
      </c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0</v>
      </c>
      <c r="BF306" s="408">
        <v>0</v>
      </c>
      <c r="BG306" s="408">
        <v>7396.0473423892445</v>
      </c>
      <c r="BH306" s="408">
        <v>0</v>
      </c>
      <c r="BI306" s="408">
        <v>0</v>
      </c>
      <c r="BJ306" s="408">
        <v>0</v>
      </c>
      <c r="BK306" s="408">
        <v>0</v>
      </c>
      <c r="BL306" s="408">
        <v>0</v>
      </c>
      <c r="BM306" s="408"/>
      <c r="BN306" s="408"/>
      <c r="BO306" s="408"/>
      <c r="BP306" s="408"/>
      <c r="BQ306" s="408"/>
      <c r="BR306" s="408"/>
      <c r="BS306" s="408"/>
      <c r="BT306" s="408"/>
      <c r="BU306" s="408"/>
      <c r="BV306" s="408">
        <v>175854.93708961687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275590.69650000002</v>
      </c>
      <c r="CJ306" s="408">
        <v>20183.406460000027</v>
      </c>
      <c r="CK306" s="408"/>
      <c r="CL306" s="408"/>
      <c r="CM306" s="408"/>
      <c r="CN306" s="408"/>
      <c r="CO306" s="408">
        <v>-1166.9657200000067</v>
      </c>
      <c r="CP306" s="408">
        <v>21351.516860000003</v>
      </c>
      <c r="CQ306" s="408">
        <v>30</v>
      </c>
      <c r="CR306" s="408">
        <v>20181.685940681025</v>
      </c>
      <c r="CS306" s="408">
        <v>0</v>
      </c>
      <c r="CT306" s="408">
        <v>0</v>
      </c>
      <c r="CU306" s="408">
        <v>0</v>
      </c>
      <c r="CV306" s="408">
        <v>0</v>
      </c>
      <c r="CW306" s="408">
        <v>0</v>
      </c>
      <c r="CX306" s="408">
        <v>0</v>
      </c>
      <c r="CY306" s="408">
        <v>0</v>
      </c>
      <c r="CZ306" s="408">
        <v>0</v>
      </c>
      <c r="DA306" s="408">
        <v>0</v>
      </c>
      <c r="DB306" s="408">
        <v>0</v>
      </c>
      <c r="DC306" s="408">
        <v>21349.106150274602</v>
      </c>
      <c r="DD306" s="408">
        <v>0</v>
      </c>
      <c r="DE306" s="408">
        <v>0</v>
      </c>
      <c r="DF306" s="408">
        <v>0</v>
      </c>
      <c r="DG306" s="408">
        <v>937.31473620686029</v>
      </c>
      <c r="DH306" s="408">
        <v>0</v>
      </c>
      <c r="DI306" s="408">
        <v>-1798.1115252244344</v>
      </c>
      <c r="DJ306" s="408"/>
      <c r="DK306" s="408">
        <v>0</v>
      </c>
      <c r="DL306" s="408">
        <v>0</v>
      </c>
      <c r="DM306" s="408">
        <v>0</v>
      </c>
      <c r="DN306" s="408">
        <v>0</v>
      </c>
      <c r="DO306" s="408">
        <v>-284.21751237308126</v>
      </c>
      <c r="DP306" s="408">
        <v>-22.405908202942896</v>
      </c>
      <c r="DQ306" s="408">
        <v>0</v>
      </c>
      <c r="DR306" s="408">
        <v>0</v>
      </c>
      <c r="DS306" s="408"/>
      <c r="DT306" s="408"/>
      <c r="DU306" s="408"/>
      <c r="DV306" s="408">
        <v>0</v>
      </c>
      <c r="DW306" s="408">
        <v>0</v>
      </c>
      <c r="DX306" s="408">
        <v>0</v>
      </c>
      <c r="DY306" s="408">
        <v>-1166.9657200000074</v>
      </c>
      <c r="DZ306" s="408">
        <v>21351.516860000003</v>
      </c>
      <c r="EA306" s="408">
        <v>0</v>
      </c>
      <c r="EB306" s="408">
        <v>0</v>
      </c>
      <c r="EC306" s="408">
        <v>0</v>
      </c>
      <c r="ED306" s="408">
        <v>0</v>
      </c>
      <c r="EE306" s="408">
        <v>0</v>
      </c>
      <c r="EF306" s="408">
        <v>0</v>
      </c>
      <c r="EG306" s="408">
        <v>0</v>
      </c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>
        <v>0</v>
      </c>
      <c r="EN306" s="408">
        <v>0</v>
      </c>
      <c r="EO306" s="408">
        <v>0</v>
      </c>
      <c r="EP306" s="408">
        <v>13523.215755721138</v>
      </c>
      <c r="EQ306" s="408">
        <v>0</v>
      </c>
      <c r="ER306" s="408">
        <v>0</v>
      </c>
      <c r="ES306" s="408">
        <v>0</v>
      </c>
      <c r="ET306" s="408">
        <v>0</v>
      </c>
      <c r="EU306" s="408">
        <v>0</v>
      </c>
      <c r="EV306" s="408">
        <v>240</v>
      </c>
      <c r="EW306" s="408">
        <v>0</v>
      </c>
      <c r="EX306" s="408">
        <v>0</v>
      </c>
      <c r="EY306" s="408">
        <v>0</v>
      </c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305</v>
      </c>
      <c r="B307" s="408" t="s">
        <v>2238</v>
      </c>
      <c r="C307" s="408" t="s">
        <v>2243</v>
      </c>
      <c r="D307" s="408" t="s">
        <v>597</v>
      </c>
      <c r="E307" s="408" t="s">
        <v>998</v>
      </c>
      <c r="F307" s="408" t="s">
        <v>1322</v>
      </c>
      <c r="G307" s="408" t="s">
        <v>1322</v>
      </c>
      <c r="H307" s="408" t="s">
        <v>1322</v>
      </c>
      <c r="I307" s="408" t="s">
        <v>2244</v>
      </c>
      <c r="J307" s="408" t="s">
        <v>2236</v>
      </c>
      <c r="K307" s="826">
        <v>44501</v>
      </c>
      <c r="L307" s="408">
        <v>0</v>
      </c>
      <c r="M307" s="408">
        <v>0</v>
      </c>
      <c r="N307" s="408">
        <v>12.67</v>
      </c>
      <c r="O307" s="408">
        <v>12.67</v>
      </c>
      <c r="P307" s="408">
        <v>12.67</v>
      </c>
      <c r="Q307" s="408">
        <v>12.67</v>
      </c>
      <c r="R307" s="408"/>
      <c r="S307" s="408">
        <v>85.01</v>
      </c>
      <c r="T307" s="408">
        <v>173.25</v>
      </c>
      <c r="U307" s="408"/>
      <c r="V307" s="408">
        <v>3272.1541999999999</v>
      </c>
      <c r="W307" s="408">
        <v>3272.1541999999999</v>
      </c>
      <c r="X307" s="408">
        <v>3530.7489</v>
      </c>
      <c r="Y307" s="408">
        <v>0</v>
      </c>
      <c r="Z307" s="408">
        <v>678.40639988833937</v>
      </c>
      <c r="AA307" s="408">
        <v>0</v>
      </c>
      <c r="AB307" s="408">
        <v>0</v>
      </c>
      <c r="AC307" s="408">
        <v>0</v>
      </c>
      <c r="AD307" s="408">
        <v>0</v>
      </c>
      <c r="AE307" s="408">
        <v>0</v>
      </c>
      <c r="AF307" s="408">
        <v>2158.2137623159156</v>
      </c>
      <c r="AG307" s="408">
        <v>36.834648831957637</v>
      </c>
      <c r="AH307" s="408">
        <v>0</v>
      </c>
      <c r="AI307" s="408">
        <v>0</v>
      </c>
      <c r="AJ307" s="408">
        <v>0</v>
      </c>
      <c r="AK307" s="408">
        <v>0</v>
      </c>
      <c r="AL307" s="408">
        <v>120.47941361371294</v>
      </c>
      <c r="AM307" s="408"/>
      <c r="AN307" s="408">
        <v>10.14631119233621</v>
      </c>
      <c r="AO307" s="408">
        <v>0</v>
      </c>
      <c r="AP307" s="408">
        <v>0</v>
      </c>
      <c r="AQ307" s="408">
        <v>0</v>
      </c>
      <c r="AR307" s="408">
        <v>0</v>
      </c>
      <c r="AS307" s="408">
        <v>0</v>
      </c>
      <c r="AT307" s="408">
        <v>0</v>
      </c>
      <c r="AU307" s="408">
        <v>0</v>
      </c>
      <c r="AV307" s="408">
        <v>0</v>
      </c>
      <c r="AW307" s="408">
        <v>0</v>
      </c>
      <c r="AX307" s="408">
        <v>0</v>
      </c>
      <c r="AY307" s="408">
        <v>0</v>
      </c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0</v>
      </c>
      <c r="BF307" s="408">
        <v>0</v>
      </c>
      <c r="BG307" s="408">
        <v>94.754578906674865</v>
      </c>
      <c r="BH307" s="408">
        <v>0</v>
      </c>
      <c r="BI307" s="408">
        <v>0</v>
      </c>
      <c r="BJ307" s="408">
        <v>0</v>
      </c>
      <c r="BK307" s="408">
        <v>0</v>
      </c>
      <c r="BL307" s="408">
        <v>0</v>
      </c>
      <c r="BM307" s="408"/>
      <c r="BN307" s="408"/>
      <c r="BO307" s="408"/>
      <c r="BP307" s="408"/>
      <c r="BQ307" s="408"/>
      <c r="BR307" s="408"/>
      <c r="BS307" s="408"/>
      <c r="BT307" s="408"/>
      <c r="BU307" s="408"/>
      <c r="BV307" s="408">
        <v>2252.9683412225904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3530.7489</v>
      </c>
      <c r="CJ307" s="408">
        <v>258.5646999999999</v>
      </c>
      <c r="CK307" s="408"/>
      <c r="CL307" s="408"/>
      <c r="CM307" s="408"/>
      <c r="CN307" s="408"/>
      <c r="CO307" s="408">
        <v>-14.950600000000087</v>
      </c>
      <c r="CP307" s="408">
        <v>273.54530000000005</v>
      </c>
      <c r="CQ307" s="408">
        <v>30</v>
      </c>
      <c r="CR307" s="408">
        <v>258.5579924530648</v>
      </c>
      <c r="CS307" s="408">
        <v>0</v>
      </c>
      <c r="CT307" s="408">
        <v>0</v>
      </c>
      <c r="CU307" s="408">
        <v>0</v>
      </c>
      <c r="CV307" s="408">
        <v>0</v>
      </c>
      <c r="CW307" s="408">
        <v>0</v>
      </c>
      <c r="CX307" s="408">
        <v>0</v>
      </c>
      <c r="CY307" s="408">
        <v>0</v>
      </c>
      <c r="CZ307" s="408">
        <v>0</v>
      </c>
      <c r="DA307" s="408">
        <v>0</v>
      </c>
      <c r="DB307" s="408">
        <v>0</v>
      </c>
      <c r="DC307" s="408">
        <v>273.51441515376791</v>
      </c>
      <c r="DD307" s="408">
        <v>0</v>
      </c>
      <c r="DE307" s="408">
        <v>0</v>
      </c>
      <c r="DF307" s="408">
        <v>0</v>
      </c>
      <c r="DG307" s="408">
        <v>12.008422745386454</v>
      </c>
      <c r="DH307" s="408">
        <v>0</v>
      </c>
      <c r="DI307" s="408">
        <v>-23.036534585626327</v>
      </c>
      <c r="DJ307" s="408"/>
      <c r="DK307" s="408">
        <v>0</v>
      </c>
      <c r="DL307" s="408">
        <v>0</v>
      </c>
      <c r="DM307" s="408">
        <v>0</v>
      </c>
      <c r="DN307" s="408">
        <v>0</v>
      </c>
      <c r="DO307" s="408">
        <v>-3.6412572088964197</v>
      </c>
      <c r="DP307" s="408">
        <v>-0.28705365156648988</v>
      </c>
      <c r="DQ307" s="408">
        <v>0</v>
      </c>
      <c r="DR307" s="408">
        <v>0</v>
      </c>
      <c r="DS307" s="408"/>
      <c r="DT307" s="408"/>
      <c r="DU307" s="408"/>
      <c r="DV307" s="408">
        <v>0</v>
      </c>
      <c r="DW307" s="408">
        <v>0</v>
      </c>
      <c r="DX307" s="408">
        <v>0</v>
      </c>
      <c r="DY307" s="408">
        <v>-14.950600000000122</v>
      </c>
      <c r="DZ307" s="408">
        <v>273.54530000000022</v>
      </c>
      <c r="EA307" s="408">
        <v>0</v>
      </c>
      <c r="EB307" s="408">
        <v>0</v>
      </c>
      <c r="EC307" s="408">
        <v>0</v>
      </c>
      <c r="ED307" s="408">
        <v>0</v>
      </c>
      <c r="EE307" s="408">
        <v>0</v>
      </c>
      <c r="EF307" s="408">
        <v>0</v>
      </c>
      <c r="EG307" s="408">
        <v>0</v>
      </c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>
        <v>0</v>
      </c>
      <c r="EN307" s="408">
        <v>0</v>
      </c>
      <c r="EO307" s="408">
        <v>0</v>
      </c>
      <c r="EP307" s="408">
        <v>173.25289510430903</v>
      </c>
      <c r="EQ307" s="408">
        <v>0</v>
      </c>
      <c r="ER307" s="408">
        <v>0</v>
      </c>
      <c r="ES307" s="408">
        <v>0</v>
      </c>
      <c r="ET307" s="408">
        <v>0</v>
      </c>
      <c r="EU307" s="408">
        <v>0</v>
      </c>
      <c r="EV307" s="408">
        <v>240</v>
      </c>
      <c r="EW307" s="408">
        <v>0</v>
      </c>
      <c r="EX307" s="408">
        <v>0</v>
      </c>
      <c r="EY307" s="408">
        <v>0</v>
      </c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306</v>
      </c>
      <c r="B308" s="408" t="s">
        <v>1036</v>
      </c>
      <c r="C308" s="408" t="s">
        <v>2243</v>
      </c>
      <c r="D308" s="408" t="s">
        <v>597</v>
      </c>
      <c r="E308" s="408" t="s">
        <v>998</v>
      </c>
      <c r="F308" s="408" t="s">
        <v>1322</v>
      </c>
      <c r="G308" s="408" t="s">
        <v>1322</v>
      </c>
      <c r="H308" s="408" t="s">
        <v>1322</v>
      </c>
      <c r="I308" s="408" t="s">
        <v>1322</v>
      </c>
      <c r="J308" s="408" t="s">
        <v>2236</v>
      </c>
      <c r="K308" s="826">
        <v>44501</v>
      </c>
      <c r="L308" s="408">
        <v>4343</v>
      </c>
      <c r="M308" s="408">
        <v>4343</v>
      </c>
      <c r="N308" s="408">
        <v>0</v>
      </c>
      <c r="O308" s="408">
        <v>0</v>
      </c>
      <c r="P308" s="408">
        <v>0</v>
      </c>
      <c r="Q308" s="408">
        <v>0</v>
      </c>
      <c r="R308" s="408">
        <v>27.19</v>
      </c>
      <c r="S308" s="408"/>
      <c r="T308" s="408"/>
      <c r="U308" s="408">
        <v>118086.17000000001</v>
      </c>
      <c r="V308" s="408"/>
      <c r="W308" s="408">
        <v>118086.17000000001</v>
      </c>
      <c r="X308" s="408">
        <v>94503.680000000008</v>
      </c>
      <c r="Y308" s="408">
        <v>0</v>
      </c>
      <c r="Z308" s="408">
        <v>0</v>
      </c>
      <c r="AA308" s="408">
        <v>0</v>
      </c>
      <c r="AB308" s="408">
        <v>0</v>
      </c>
      <c r="AC308" s="408">
        <v>1012.7902641159105</v>
      </c>
      <c r="AD308" s="408">
        <v>972.98330738575146</v>
      </c>
      <c r="AE308" s="408">
        <v>103936.80734604171</v>
      </c>
      <c r="AF308" s="408"/>
      <c r="AG308" s="408"/>
      <c r="AH308" s="408"/>
      <c r="AI308" s="408">
        <v>0</v>
      </c>
      <c r="AJ308" s="408">
        <v>0</v>
      </c>
      <c r="AK308" s="408">
        <v>0</v>
      </c>
      <c r="AL308" s="408">
        <v>0</v>
      </c>
      <c r="AM308" s="408"/>
      <c r="AN308" s="408">
        <v>0</v>
      </c>
      <c r="AO308" s="408">
        <v>2149.2848214258852</v>
      </c>
      <c r="AP308" s="408">
        <v>10024.029845198902</v>
      </c>
      <c r="AQ308" s="408">
        <v>0</v>
      </c>
      <c r="AR308" s="408">
        <v>0</v>
      </c>
      <c r="AS308" s="408"/>
      <c r="AT308" s="408"/>
      <c r="AU308" s="408">
        <v>0</v>
      </c>
      <c r="AV308" s="408">
        <v>0</v>
      </c>
      <c r="AW308" s="408">
        <v>0</v>
      </c>
      <c r="AX308" s="408"/>
      <c r="AY308" s="408"/>
      <c r="AZ308" s="408">
        <v>0</v>
      </c>
      <c r="BA308" s="408"/>
      <c r="BB308" s="408">
        <v>0</v>
      </c>
      <c r="BC308" s="408">
        <v>0</v>
      </c>
      <c r="BD308" s="408">
        <v>0</v>
      </c>
      <c r="BE308" s="408">
        <v>0</v>
      </c>
      <c r="BF308" s="408"/>
      <c r="BG308" s="408">
        <v>0</v>
      </c>
      <c r="BH308" s="408">
        <v>0</v>
      </c>
      <c r="BI308" s="408">
        <v>451.11</v>
      </c>
      <c r="BJ308" s="408">
        <v>3868.62</v>
      </c>
      <c r="BK308" s="408">
        <v>268870.37</v>
      </c>
      <c r="BL308" s="408">
        <v>44</v>
      </c>
      <c r="BM308" s="408"/>
      <c r="BN308" s="408"/>
      <c r="BO308" s="408"/>
      <c r="BP308" s="408"/>
      <c r="BQ308" s="408"/>
      <c r="BR308" s="408"/>
      <c r="BS308" s="408"/>
      <c r="BT308" s="408"/>
      <c r="BU308" s="408"/>
      <c r="BV308" s="408">
        <v>0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94503.680000000008</v>
      </c>
      <c r="CJ308" s="408">
        <v>-23582.51999999999</v>
      </c>
      <c r="CK308" s="408"/>
      <c r="CL308" s="408"/>
      <c r="CM308" s="408"/>
      <c r="CN308" s="408"/>
      <c r="CO308" s="408">
        <v>-23582.489999999998</v>
      </c>
      <c r="CP308" s="408">
        <v>0</v>
      </c>
      <c r="CQ308" s="408">
        <v>30</v>
      </c>
      <c r="CR308" s="408">
        <v>2214.8952079603605</v>
      </c>
      <c r="CS308" s="408">
        <v>214.17163848209748</v>
      </c>
      <c r="CT308" s="408">
        <v>998.87314828540548</v>
      </c>
      <c r="CU308" s="408">
        <v>0</v>
      </c>
      <c r="CV308" s="408">
        <v>0</v>
      </c>
      <c r="CW308" s="408"/>
      <c r="CX308" s="408"/>
      <c r="CY308" s="408"/>
      <c r="CZ308" s="408">
        <v>1001.8504211928573</v>
      </c>
      <c r="DA308" s="408">
        <v>0</v>
      </c>
      <c r="DB308" s="408">
        <v>0</v>
      </c>
      <c r="DC308" s="408"/>
      <c r="DD308" s="408"/>
      <c r="DE308" s="408">
        <v>0</v>
      </c>
      <c r="DF308" s="408">
        <v>0</v>
      </c>
      <c r="DG308" s="408">
        <v>0</v>
      </c>
      <c r="DH308" s="408">
        <v>0</v>
      </c>
      <c r="DI308" s="408">
        <v>0</v>
      </c>
      <c r="DJ308" s="408"/>
      <c r="DK308" s="408">
        <v>0</v>
      </c>
      <c r="DL308" s="408">
        <v>0</v>
      </c>
      <c r="DM308" s="408"/>
      <c r="DN308" s="408">
        <v>0</v>
      </c>
      <c r="DO308" s="408">
        <v>0</v>
      </c>
      <c r="DP308" s="408">
        <v>0</v>
      </c>
      <c r="DQ308" s="408">
        <v>0</v>
      </c>
      <c r="DR308" s="408">
        <v>0</v>
      </c>
      <c r="DS308" s="408"/>
      <c r="DT308" s="408"/>
      <c r="DU308" s="408">
        <v>103936.80734604171</v>
      </c>
      <c r="DV308" s="408"/>
      <c r="DW308" s="408">
        <v>0</v>
      </c>
      <c r="DX308" s="408">
        <v>0</v>
      </c>
      <c r="DY308" s="408">
        <v>-23582.490000000005</v>
      </c>
      <c r="DZ308" s="408"/>
      <c r="EA308" s="408">
        <v>0</v>
      </c>
      <c r="EB308" s="408"/>
      <c r="EC308" s="408">
        <v>-25819.665979724086</v>
      </c>
      <c r="ED308" s="408"/>
      <c r="EE308" s="408">
        <v>0</v>
      </c>
      <c r="EF308" s="408">
        <v>0</v>
      </c>
      <c r="EG308" s="408"/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/>
      <c r="EN308" s="408"/>
      <c r="EO308" s="408">
        <v>0</v>
      </c>
      <c r="EP308" s="408">
        <v>0</v>
      </c>
      <c r="EQ308" s="408"/>
      <c r="ER308" s="408">
        <v>0</v>
      </c>
      <c r="ES308" s="408"/>
      <c r="ET308" s="408">
        <v>0</v>
      </c>
      <c r="EU308" s="408"/>
      <c r="EV308" s="408">
        <v>240</v>
      </c>
      <c r="EW308" s="408"/>
      <c r="EX308" s="408"/>
      <c r="EY308" s="408"/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307</v>
      </c>
      <c r="B309" s="408" t="s">
        <v>2238</v>
      </c>
      <c r="C309" s="408" t="s">
        <v>2243</v>
      </c>
      <c r="D309" s="408" t="s">
        <v>597</v>
      </c>
      <c r="E309" s="408" t="s">
        <v>998</v>
      </c>
      <c r="F309" s="408" t="s">
        <v>1322</v>
      </c>
      <c r="G309" s="408" t="s">
        <v>1322</v>
      </c>
      <c r="H309" s="408" t="s">
        <v>1322</v>
      </c>
      <c r="I309" s="408" t="s">
        <v>1322</v>
      </c>
      <c r="J309" s="408" t="s">
        <v>2236</v>
      </c>
      <c r="K309" s="826">
        <v>44501</v>
      </c>
      <c r="L309" s="408">
        <v>670</v>
      </c>
      <c r="M309" s="408">
        <v>670</v>
      </c>
      <c r="N309" s="408">
        <v>0</v>
      </c>
      <c r="O309" s="408">
        <v>0</v>
      </c>
      <c r="P309" s="408">
        <v>0</v>
      </c>
      <c r="Q309" s="408">
        <v>0</v>
      </c>
      <c r="R309" s="408">
        <v>27.19</v>
      </c>
      <c r="S309" s="408"/>
      <c r="T309" s="408"/>
      <c r="U309" s="408">
        <v>18217.3</v>
      </c>
      <c r="V309" s="408"/>
      <c r="W309" s="408">
        <v>18217.3</v>
      </c>
      <c r="X309" s="408">
        <v>14579.2</v>
      </c>
      <c r="Y309" s="408">
        <v>0</v>
      </c>
      <c r="Z309" s="408">
        <v>0</v>
      </c>
      <c r="AA309" s="408">
        <v>0</v>
      </c>
      <c r="AB309" s="408">
        <v>0</v>
      </c>
      <c r="AC309" s="408">
        <v>156.24441099646788</v>
      </c>
      <c r="AD309" s="408">
        <v>150.1033423781841</v>
      </c>
      <c r="AE309" s="408">
        <v>16034.460262916864</v>
      </c>
      <c r="AF309" s="408"/>
      <c r="AG309" s="408"/>
      <c r="AH309" s="408"/>
      <c r="AI309" s="408">
        <v>0</v>
      </c>
      <c r="AJ309" s="408">
        <v>0</v>
      </c>
      <c r="AK309" s="408">
        <v>0</v>
      </c>
      <c r="AL309" s="408">
        <v>0</v>
      </c>
      <c r="AM309" s="408"/>
      <c r="AN309" s="408">
        <v>0</v>
      </c>
      <c r="AO309" s="408">
        <v>331.57283683061087</v>
      </c>
      <c r="AP309" s="408">
        <v>1546.4195248176984</v>
      </c>
      <c r="AQ309" s="408">
        <v>0</v>
      </c>
      <c r="AR309" s="408">
        <v>0</v>
      </c>
      <c r="AS309" s="408"/>
      <c r="AT309" s="408"/>
      <c r="AU309" s="408">
        <v>0</v>
      </c>
      <c r="AV309" s="408">
        <v>0</v>
      </c>
      <c r="AW309" s="408">
        <v>0</v>
      </c>
      <c r="AX309" s="408"/>
      <c r="AY309" s="408"/>
      <c r="AZ309" s="408">
        <v>0</v>
      </c>
      <c r="BA309" s="408"/>
      <c r="BB309" s="408">
        <v>0</v>
      </c>
      <c r="BC309" s="408">
        <v>0</v>
      </c>
      <c r="BD309" s="408">
        <v>0</v>
      </c>
      <c r="BE309" s="408">
        <v>0</v>
      </c>
      <c r="BF309" s="408"/>
      <c r="BG309" s="408">
        <v>0</v>
      </c>
      <c r="BH309" s="408">
        <v>0</v>
      </c>
      <c r="BI309" s="408">
        <v>21.94</v>
      </c>
      <c r="BJ309" s="408">
        <v>188.34</v>
      </c>
      <c r="BK309" s="408">
        <v>14829.92</v>
      </c>
      <c r="BL309" s="408">
        <v>5</v>
      </c>
      <c r="BM309" s="408"/>
      <c r="BN309" s="408"/>
      <c r="BO309" s="408"/>
      <c r="BP309" s="408"/>
      <c r="BQ309" s="408"/>
      <c r="BR309" s="408"/>
      <c r="BS309" s="408"/>
      <c r="BT309" s="408"/>
      <c r="BU309" s="408"/>
      <c r="BV309" s="408">
        <v>0</v>
      </c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>
        <v>14579.2</v>
      </c>
      <c r="CJ309" s="408">
        <v>-3638.1299999999937</v>
      </c>
      <c r="CK309" s="408"/>
      <c r="CL309" s="408"/>
      <c r="CM309" s="408"/>
      <c r="CN309" s="408"/>
      <c r="CO309" s="408">
        <v>-3638.1</v>
      </c>
      <c r="CP309" s="408">
        <v>0</v>
      </c>
      <c r="CQ309" s="408">
        <v>30</v>
      </c>
      <c r="CR309" s="408">
        <v>341.69463258886526</v>
      </c>
      <c r="CS309" s="408">
        <v>33.040524472255413</v>
      </c>
      <c r="CT309" s="408">
        <v>154.09740026507529</v>
      </c>
      <c r="CU309" s="408">
        <v>0</v>
      </c>
      <c r="CV309" s="408">
        <v>0</v>
      </c>
      <c r="CW309" s="408"/>
      <c r="CX309" s="408"/>
      <c r="CY309" s="408"/>
      <c r="CZ309" s="408">
        <v>154.5567078515345</v>
      </c>
      <c r="DA309" s="408">
        <v>0</v>
      </c>
      <c r="DB309" s="408">
        <v>0</v>
      </c>
      <c r="DC309" s="408"/>
      <c r="DD309" s="408"/>
      <c r="DE309" s="408">
        <v>0</v>
      </c>
      <c r="DF309" s="408">
        <v>0</v>
      </c>
      <c r="DG309" s="408">
        <v>0</v>
      </c>
      <c r="DH309" s="408">
        <v>0</v>
      </c>
      <c r="DI309" s="408">
        <v>0</v>
      </c>
      <c r="DJ309" s="408"/>
      <c r="DK309" s="408">
        <v>0</v>
      </c>
      <c r="DL309" s="408">
        <v>0</v>
      </c>
      <c r="DM309" s="408"/>
      <c r="DN309" s="408">
        <v>0</v>
      </c>
      <c r="DO309" s="408">
        <v>0</v>
      </c>
      <c r="DP309" s="408">
        <v>0</v>
      </c>
      <c r="DQ309" s="408">
        <v>0</v>
      </c>
      <c r="DR309" s="408">
        <v>0</v>
      </c>
      <c r="DS309" s="408"/>
      <c r="DT309" s="408"/>
      <c r="DU309" s="408">
        <v>16034.460262916864</v>
      </c>
      <c r="DV309" s="408"/>
      <c r="DW309" s="408">
        <v>0</v>
      </c>
      <c r="DX309" s="408">
        <v>0</v>
      </c>
      <c r="DY309" s="408">
        <v>-3638.0999999999985</v>
      </c>
      <c r="DZ309" s="408"/>
      <c r="EA309" s="408">
        <v>0</v>
      </c>
      <c r="EB309" s="408"/>
      <c r="EC309" s="408">
        <v>-3983.2319149010218</v>
      </c>
      <c r="ED309" s="408"/>
      <c r="EE309" s="408">
        <v>0</v>
      </c>
      <c r="EF309" s="408">
        <v>0</v>
      </c>
      <c r="EG309" s="408"/>
      <c r="EH309" s="408">
        <v>0</v>
      </c>
      <c r="EI309" s="408">
        <v>0</v>
      </c>
      <c r="EJ309" s="408">
        <v>0</v>
      </c>
      <c r="EK309" s="408">
        <v>0</v>
      </c>
      <c r="EL309" s="408">
        <v>0</v>
      </c>
      <c r="EM309" s="408"/>
      <c r="EN309" s="408"/>
      <c r="EO309" s="408">
        <v>0</v>
      </c>
      <c r="EP309" s="408">
        <v>0</v>
      </c>
      <c r="EQ309" s="408"/>
      <c r="ER309" s="408">
        <v>0</v>
      </c>
      <c r="ES309" s="408"/>
      <c r="ET309" s="408">
        <v>0</v>
      </c>
      <c r="EU309" s="408"/>
      <c r="EV309" s="408">
        <v>240</v>
      </c>
      <c r="EW309" s="408"/>
      <c r="EX309" s="408"/>
      <c r="EY309" s="408"/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308</v>
      </c>
      <c r="B310" s="408" t="s">
        <v>1036</v>
      </c>
      <c r="C310" s="408" t="s">
        <v>2316</v>
      </c>
      <c r="D310" s="408" t="s">
        <v>1958</v>
      </c>
      <c r="E310" s="408" t="s">
        <v>998</v>
      </c>
      <c r="F310" s="408" t="s">
        <v>1322</v>
      </c>
      <c r="G310" s="408" t="s">
        <v>1322</v>
      </c>
      <c r="H310" s="408" t="s">
        <v>1322</v>
      </c>
      <c r="I310" s="408" t="s">
        <v>973</v>
      </c>
      <c r="J310" s="408" t="s">
        <v>2236</v>
      </c>
      <c r="K310" s="826">
        <v>44501</v>
      </c>
      <c r="L310" s="408">
        <v>0</v>
      </c>
      <c r="M310" s="408">
        <v>0</v>
      </c>
      <c r="N310" s="408">
        <v>0.66300000000000003</v>
      </c>
      <c r="O310" s="408">
        <v>0.66300000000000003</v>
      </c>
      <c r="P310" s="408">
        <v>0.66300000000000003</v>
      </c>
      <c r="Q310" s="408">
        <v>0.66300000000000003</v>
      </c>
      <c r="R310" s="408"/>
      <c r="S310" s="408">
        <v>1553.42</v>
      </c>
      <c r="T310" s="408">
        <v>173.25</v>
      </c>
      <c r="U310" s="408"/>
      <c r="V310" s="408">
        <v>1144.7822100000001</v>
      </c>
      <c r="W310" s="408">
        <v>1144.7822100000001</v>
      </c>
      <c r="X310" s="408">
        <v>1086.1531200000002</v>
      </c>
      <c r="Y310" s="408">
        <v>0</v>
      </c>
      <c r="Z310" s="408">
        <v>40.804456461182575</v>
      </c>
      <c r="AA310" s="408">
        <v>0</v>
      </c>
      <c r="AB310" s="408">
        <v>0</v>
      </c>
      <c r="AC310" s="408">
        <v>71.90185013155245</v>
      </c>
      <c r="AD310" s="408">
        <v>4.972248129045119</v>
      </c>
      <c r="AE310" s="408">
        <v>476.29117998237689</v>
      </c>
      <c r="AF310" s="408">
        <v>112.93573199806252</v>
      </c>
      <c r="AG310" s="408">
        <v>1.927495830748849</v>
      </c>
      <c r="AH310" s="408">
        <v>0</v>
      </c>
      <c r="AI310" s="408">
        <v>0</v>
      </c>
      <c r="AJ310" s="408">
        <v>0</v>
      </c>
      <c r="AK310" s="408">
        <v>0</v>
      </c>
      <c r="AL310" s="408">
        <v>6.3044870738667473</v>
      </c>
      <c r="AM310" s="408"/>
      <c r="AN310" s="408">
        <v>0.80080900162248336</v>
      </c>
      <c r="AO310" s="408">
        <v>209.21227860952376</v>
      </c>
      <c r="AP310" s="408">
        <v>203.27984064142413</v>
      </c>
      <c r="AQ310" s="408">
        <v>0</v>
      </c>
      <c r="AR310" s="408">
        <v>0</v>
      </c>
      <c r="AS310" s="408">
        <v>0</v>
      </c>
      <c r="AT310" s="408">
        <v>0</v>
      </c>
      <c r="AU310" s="408">
        <v>0</v>
      </c>
      <c r="AV310" s="408">
        <v>0</v>
      </c>
      <c r="AW310" s="408">
        <v>0</v>
      </c>
      <c r="AX310" s="408">
        <v>0</v>
      </c>
      <c r="AY310" s="408">
        <v>0</v>
      </c>
      <c r="AZ310" s="408">
        <v>0</v>
      </c>
      <c r="BA310" s="408"/>
      <c r="BB310" s="408">
        <v>0</v>
      </c>
      <c r="BC310" s="408">
        <v>0</v>
      </c>
      <c r="BD310" s="408">
        <v>0</v>
      </c>
      <c r="BE310" s="408">
        <v>0</v>
      </c>
      <c r="BF310" s="408">
        <v>0</v>
      </c>
      <c r="BG310" s="408">
        <v>5.9270819799988557</v>
      </c>
      <c r="BH310" s="408">
        <v>0</v>
      </c>
      <c r="BI310" s="408">
        <v>0</v>
      </c>
      <c r="BJ310" s="408">
        <v>0</v>
      </c>
      <c r="BK310" s="408">
        <v>0</v>
      </c>
      <c r="BL310" s="408">
        <v>0</v>
      </c>
      <c r="BM310" s="408"/>
      <c r="BN310" s="408"/>
      <c r="BO310" s="408"/>
      <c r="BP310" s="408"/>
      <c r="BQ310" s="408"/>
      <c r="BR310" s="408"/>
      <c r="BS310" s="408"/>
      <c r="BT310" s="408"/>
      <c r="BU310" s="408"/>
      <c r="BV310" s="408">
        <v>118.86281397806138</v>
      </c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>
        <v>1081.2384000000002</v>
      </c>
      <c r="CJ310" s="408">
        <v>-63.573809999999867</v>
      </c>
      <c r="CK310" s="408"/>
      <c r="CL310" s="408"/>
      <c r="CM310" s="408"/>
      <c r="CN310" s="408"/>
      <c r="CO310" s="408">
        <v>-72.943259999999995</v>
      </c>
      <c r="CP310" s="408">
        <v>14.314170000000003</v>
      </c>
      <c r="CQ310" s="408">
        <v>30</v>
      </c>
      <c r="CR310" s="408">
        <v>59.688642801949527</v>
      </c>
      <c r="CS310" s="408">
        <v>20.847556384197134</v>
      </c>
      <c r="CT310" s="408">
        <v>20.25640162092202</v>
      </c>
      <c r="CU310" s="408">
        <v>0</v>
      </c>
      <c r="CV310" s="408">
        <v>0</v>
      </c>
      <c r="CW310" s="408">
        <v>0</v>
      </c>
      <c r="CX310" s="408">
        <v>0</v>
      </c>
      <c r="CY310" s="408">
        <v>0</v>
      </c>
      <c r="CZ310" s="408">
        <v>5.11976808291148</v>
      </c>
      <c r="DA310" s="408">
        <v>0</v>
      </c>
      <c r="DB310" s="408">
        <v>0</v>
      </c>
      <c r="DC310" s="408">
        <v>14.312553847430792</v>
      </c>
      <c r="DD310" s="408">
        <v>0</v>
      </c>
      <c r="DE310" s="408">
        <v>0</v>
      </c>
      <c r="DF310" s="408">
        <v>0</v>
      </c>
      <c r="DG310" s="408">
        <v>0.75115004344531044</v>
      </c>
      <c r="DH310" s="408">
        <v>0</v>
      </c>
      <c r="DI310" s="408">
        <v>-1.3855902194767822</v>
      </c>
      <c r="DJ310" s="408"/>
      <c r="DK310" s="408">
        <v>0</v>
      </c>
      <c r="DL310" s="408">
        <v>0</v>
      </c>
      <c r="DM310" s="408">
        <v>0</v>
      </c>
      <c r="DN310" s="408">
        <v>0</v>
      </c>
      <c r="DO310" s="408">
        <v>-0.19054092576940285</v>
      </c>
      <c r="DP310" s="408">
        <v>-2.2656031710980074E-2</v>
      </c>
      <c r="DQ310" s="408">
        <v>0</v>
      </c>
      <c r="DR310" s="408">
        <v>0</v>
      </c>
      <c r="DS310" s="408"/>
      <c r="DT310" s="408"/>
      <c r="DU310" s="408"/>
      <c r="DV310" s="408">
        <v>476.29117998237689</v>
      </c>
      <c r="DW310" s="408">
        <v>0</v>
      </c>
      <c r="DX310" s="408">
        <v>0</v>
      </c>
      <c r="DY310" s="408">
        <v>-72.943260000000009</v>
      </c>
      <c r="DZ310" s="408">
        <v>14.314170000000004</v>
      </c>
      <c r="EA310" s="408">
        <v>0</v>
      </c>
      <c r="EB310" s="408">
        <v>0</v>
      </c>
      <c r="EC310" s="408">
        <v>-118.31880822825809</v>
      </c>
      <c r="ED310" s="408">
        <v>0</v>
      </c>
      <c r="EE310" s="408">
        <v>0</v>
      </c>
      <c r="EF310" s="408">
        <v>0</v>
      </c>
      <c r="EG310" s="408">
        <v>0</v>
      </c>
      <c r="EH310" s="408">
        <v>0</v>
      </c>
      <c r="EI310" s="408">
        <v>0</v>
      </c>
      <c r="EJ310" s="408">
        <v>0</v>
      </c>
      <c r="EK310" s="408">
        <v>0</v>
      </c>
      <c r="EL310" s="408">
        <v>0</v>
      </c>
      <c r="EM310" s="408">
        <v>0</v>
      </c>
      <c r="EN310" s="408">
        <v>0</v>
      </c>
      <c r="EO310" s="408">
        <v>0</v>
      </c>
      <c r="EP310" s="408">
        <v>10.420730429755929</v>
      </c>
      <c r="EQ310" s="408">
        <v>0</v>
      </c>
      <c r="ER310" s="408">
        <v>0</v>
      </c>
      <c r="ES310" s="408">
        <v>0</v>
      </c>
      <c r="ET310" s="408">
        <v>0</v>
      </c>
      <c r="EU310" s="408">
        <v>0</v>
      </c>
      <c r="EV310" s="408">
        <v>240</v>
      </c>
      <c r="EW310" s="408">
        <v>0</v>
      </c>
      <c r="EX310" s="408">
        <v>0</v>
      </c>
      <c r="EY310" s="408">
        <v>0</v>
      </c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309</v>
      </c>
      <c r="B311" s="408" t="s">
        <v>1036</v>
      </c>
      <c r="C311" s="408" t="s">
        <v>2316</v>
      </c>
      <c r="D311" s="408" t="s">
        <v>1958</v>
      </c>
      <c r="E311" s="408" t="s">
        <v>998</v>
      </c>
      <c r="F311" s="408" t="s">
        <v>1322</v>
      </c>
      <c r="G311" s="408" t="s">
        <v>1322</v>
      </c>
      <c r="H311" s="408" t="s">
        <v>1322</v>
      </c>
      <c r="I311" s="408" t="s">
        <v>2244</v>
      </c>
      <c r="J311" s="408" t="s">
        <v>2236</v>
      </c>
      <c r="K311" s="826">
        <v>44501</v>
      </c>
      <c r="L311" s="408">
        <v>0</v>
      </c>
      <c r="M311" s="408">
        <v>0</v>
      </c>
      <c r="N311" s="408">
        <v>10.773999999999999</v>
      </c>
      <c r="O311" s="408">
        <v>10.773999999999999</v>
      </c>
      <c r="P311" s="408">
        <v>10.773999999999999</v>
      </c>
      <c r="Q311" s="408">
        <v>10.773999999999999</v>
      </c>
      <c r="R311" s="408"/>
      <c r="S311" s="408">
        <v>388.22</v>
      </c>
      <c r="T311" s="408">
        <v>173.25</v>
      </c>
      <c r="U311" s="408"/>
      <c r="V311" s="408">
        <v>6049.2777800000003</v>
      </c>
      <c r="W311" s="408">
        <v>6049.2777800000003</v>
      </c>
      <c r="X311" s="408">
        <v>6033.7632199999989</v>
      </c>
      <c r="Y311" s="408">
        <v>0</v>
      </c>
      <c r="Z311" s="408">
        <v>663.08780379001666</v>
      </c>
      <c r="AA311" s="408">
        <v>0</v>
      </c>
      <c r="AB311" s="408">
        <v>0</v>
      </c>
      <c r="AC311" s="408">
        <v>233.68643538984796</v>
      </c>
      <c r="AD311" s="408">
        <v>16.160196520841378</v>
      </c>
      <c r="AE311" s="408">
        <v>1547.9834146043531</v>
      </c>
      <c r="AF311" s="408">
        <v>1835.248230086162</v>
      </c>
      <c r="AG311" s="408">
        <v>31.322534058051428</v>
      </c>
      <c r="AH311" s="408">
        <v>0</v>
      </c>
      <c r="AI311" s="408">
        <v>0</v>
      </c>
      <c r="AJ311" s="408">
        <v>0</v>
      </c>
      <c r="AK311" s="408">
        <v>0</v>
      </c>
      <c r="AL311" s="408">
        <v>102.45029220790396</v>
      </c>
      <c r="AM311" s="408"/>
      <c r="AN311" s="408">
        <v>13.013448240543942</v>
      </c>
      <c r="AO311" s="408">
        <v>679.95568317918821</v>
      </c>
      <c r="AP311" s="408">
        <v>660.67481238935238</v>
      </c>
      <c r="AQ311" s="408">
        <v>0</v>
      </c>
      <c r="AR311" s="408">
        <v>0</v>
      </c>
      <c r="AS311" s="408">
        <v>0</v>
      </c>
      <c r="AT311" s="408">
        <v>0</v>
      </c>
      <c r="AU311" s="408">
        <v>0</v>
      </c>
      <c r="AV311" s="408">
        <v>0</v>
      </c>
      <c r="AW311" s="408">
        <v>0</v>
      </c>
      <c r="AX311" s="408">
        <v>0</v>
      </c>
      <c r="AY311" s="408">
        <v>0</v>
      </c>
      <c r="AZ311" s="408">
        <v>0</v>
      </c>
      <c r="BA311" s="408"/>
      <c r="BB311" s="408">
        <v>0</v>
      </c>
      <c r="BC311" s="408">
        <v>0</v>
      </c>
      <c r="BD311" s="408">
        <v>0</v>
      </c>
      <c r="BE311" s="408">
        <v>0</v>
      </c>
      <c r="BF311" s="408">
        <v>0</v>
      </c>
      <c r="BG311" s="408">
        <v>96.317317122937652</v>
      </c>
      <c r="BH311" s="408">
        <v>0</v>
      </c>
      <c r="BI311" s="408">
        <v>0</v>
      </c>
      <c r="BJ311" s="408">
        <v>0</v>
      </c>
      <c r="BK311" s="408">
        <v>0</v>
      </c>
      <c r="BL311" s="408">
        <v>0</v>
      </c>
      <c r="BM311" s="408"/>
      <c r="BN311" s="408"/>
      <c r="BO311" s="408"/>
      <c r="BP311" s="408"/>
      <c r="BQ311" s="408"/>
      <c r="BR311" s="408"/>
      <c r="BS311" s="408"/>
      <c r="BT311" s="408"/>
      <c r="BU311" s="408"/>
      <c r="BV311" s="408">
        <v>1931.5655472090998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6031.5230999999994</v>
      </c>
      <c r="CJ311" s="408">
        <v>-17.784680000001572</v>
      </c>
      <c r="CK311" s="408"/>
      <c r="CL311" s="408"/>
      <c r="CM311" s="408"/>
      <c r="CN311" s="408"/>
      <c r="CO311" s="408">
        <v>-248.1252200000003</v>
      </c>
      <c r="CP311" s="408">
        <v>232.61066000000002</v>
      </c>
      <c r="CQ311" s="408">
        <v>30</v>
      </c>
      <c r="CR311" s="408">
        <v>369.04058517726207</v>
      </c>
      <c r="CS311" s="408">
        <v>67.756130462544775</v>
      </c>
      <c r="CT311" s="408">
        <v>65.834832900093602</v>
      </c>
      <c r="CU311" s="408">
        <v>0</v>
      </c>
      <c r="CV311" s="408">
        <v>0</v>
      </c>
      <c r="CW311" s="408">
        <v>0</v>
      </c>
      <c r="CX311" s="408">
        <v>0</v>
      </c>
      <c r="CY311" s="408">
        <v>0</v>
      </c>
      <c r="CZ311" s="408">
        <v>16.639647944695295</v>
      </c>
      <c r="DA311" s="408">
        <v>0</v>
      </c>
      <c r="DB311" s="408">
        <v>0</v>
      </c>
      <c r="DC311" s="408">
        <v>232.58439691134117</v>
      </c>
      <c r="DD311" s="408">
        <v>0</v>
      </c>
      <c r="DE311" s="408">
        <v>0</v>
      </c>
      <c r="DF311" s="408">
        <v>0</v>
      </c>
      <c r="DG311" s="408">
        <v>12.206471445067535</v>
      </c>
      <c r="DH311" s="408">
        <v>0</v>
      </c>
      <c r="DI311" s="408">
        <v>-22.516363536414701</v>
      </c>
      <c r="DJ311" s="408"/>
      <c r="DK311" s="408">
        <v>0</v>
      </c>
      <c r="DL311" s="408">
        <v>0</v>
      </c>
      <c r="DM311" s="408">
        <v>0</v>
      </c>
      <c r="DN311" s="408">
        <v>0</v>
      </c>
      <c r="DO311" s="408">
        <v>-3.096361891764019</v>
      </c>
      <c r="DP311" s="408">
        <v>-0.36816905830180779</v>
      </c>
      <c r="DQ311" s="408">
        <v>0</v>
      </c>
      <c r="DR311" s="408">
        <v>0</v>
      </c>
      <c r="DS311" s="408"/>
      <c r="DT311" s="408"/>
      <c r="DU311" s="408"/>
      <c r="DV311" s="408">
        <v>1547.9834146043531</v>
      </c>
      <c r="DW311" s="408">
        <v>0</v>
      </c>
      <c r="DX311" s="408">
        <v>0</v>
      </c>
      <c r="DY311" s="408">
        <v>-248.12522000000035</v>
      </c>
      <c r="DZ311" s="408">
        <v>232.61065999999983</v>
      </c>
      <c r="EA311" s="408">
        <v>0</v>
      </c>
      <c r="EB311" s="408">
        <v>0</v>
      </c>
      <c r="EC311" s="408">
        <v>-384.54533795875113</v>
      </c>
      <c r="ED311" s="408">
        <v>0</v>
      </c>
      <c r="EE311" s="408">
        <v>0</v>
      </c>
      <c r="EF311" s="408">
        <v>0</v>
      </c>
      <c r="EG311" s="408">
        <v>0</v>
      </c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>
        <v>0</v>
      </c>
      <c r="EN311" s="408">
        <v>0</v>
      </c>
      <c r="EO311" s="408">
        <v>0</v>
      </c>
      <c r="EP311" s="408">
        <v>169.3407988690654</v>
      </c>
      <c r="EQ311" s="408">
        <v>0</v>
      </c>
      <c r="ER311" s="408">
        <v>0</v>
      </c>
      <c r="ES311" s="408">
        <v>0</v>
      </c>
      <c r="ET311" s="408">
        <v>0</v>
      </c>
      <c r="EU311" s="408">
        <v>0</v>
      </c>
      <c r="EV311" s="408">
        <v>240</v>
      </c>
      <c r="EW311" s="408">
        <v>0</v>
      </c>
      <c r="EX311" s="408">
        <v>0</v>
      </c>
      <c r="EY311" s="408">
        <v>0</v>
      </c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310</v>
      </c>
      <c r="B312" s="408" t="s">
        <v>1036</v>
      </c>
      <c r="C312" s="408" t="s">
        <v>2316</v>
      </c>
      <c r="D312" s="408" t="s">
        <v>1958</v>
      </c>
      <c r="E312" s="408" t="s">
        <v>998</v>
      </c>
      <c r="F312" s="408" t="s">
        <v>1322</v>
      </c>
      <c r="G312" s="408" t="s">
        <v>1322</v>
      </c>
      <c r="H312" s="408" t="s">
        <v>1322</v>
      </c>
      <c r="I312" s="408" t="s">
        <v>1322</v>
      </c>
      <c r="J312" s="408" t="s">
        <v>2236</v>
      </c>
      <c r="K312" s="826">
        <v>44501</v>
      </c>
      <c r="L312" s="408">
        <v>0</v>
      </c>
      <c r="M312" s="408">
        <v>0</v>
      </c>
      <c r="N312" s="408">
        <v>0</v>
      </c>
      <c r="O312" s="408">
        <v>0</v>
      </c>
      <c r="P312" s="408">
        <v>0</v>
      </c>
      <c r="Q312" s="408">
        <v>0</v>
      </c>
      <c r="R312" s="408"/>
      <c r="S312" s="408"/>
      <c r="T312" s="408"/>
      <c r="U312" s="408"/>
      <c r="V312" s="408"/>
      <c r="W312" s="408"/>
      <c r="X312" s="408"/>
      <c r="Y312" s="408"/>
      <c r="Z312" s="408"/>
      <c r="AA312" s="408">
        <v>0</v>
      </c>
      <c r="AB312" s="408"/>
      <c r="AC312" s="408"/>
      <c r="AD312" s="408"/>
      <c r="AE312" s="408"/>
      <c r="AF312" s="408"/>
      <c r="AG312" s="408"/>
      <c r="AH312" s="408"/>
      <c r="AI312" s="408"/>
      <c r="AJ312" s="408"/>
      <c r="AK312" s="408"/>
      <c r="AL312" s="408"/>
      <c r="AM312" s="408"/>
      <c r="AN312" s="408"/>
      <c r="AO312" s="408"/>
      <c r="AP312" s="408"/>
      <c r="AQ312" s="408"/>
      <c r="AR312" s="408"/>
      <c r="AS312" s="408"/>
      <c r="AT312" s="408"/>
      <c r="AU312" s="408"/>
      <c r="AV312" s="408"/>
      <c r="AW312" s="408"/>
      <c r="AX312" s="408"/>
      <c r="AY312" s="408"/>
      <c r="AZ312" s="408">
        <v>0</v>
      </c>
      <c r="BA312" s="408"/>
      <c r="BB312" s="408"/>
      <c r="BC312" s="408"/>
      <c r="BD312" s="408"/>
      <c r="BE312" s="408"/>
      <c r="BF312" s="408"/>
      <c r="BG312" s="408"/>
      <c r="BH312" s="408"/>
      <c r="BI312" s="408">
        <v>6.58</v>
      </c>
      <c r="BJ312" s="408">
        <v>56.7</v>
      </c>
      <c r="BK312" s="408">
        <v>4049.93</v>
      </c>
      <c r="BL312" s="408">
        <v>6</v>
      </c>
      <c r="BM312" s="408"/>
      <c r="BN312" s="408"/>
      <c r="BO312" s="408"/>
      <c r="BP312" s="408"/>
      <c r="BQ312" s="408"/>
      <c r="BR312" s="408"/>
      <c r="BS312" s="408"/>
      <c r="BT312" s="408"/>
      <c r="BU312" s="408"/>
      <c r="BV312" s="408"/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/>
      <c r="CJ312" s="408">
        <v>-0.03</v>
      </c>
      <c r="CK312" s="408"/>
      <c r="CL312" s="408"/>
      <c r="CM312" s="408"/>
      <c r="CN312" s="408"/>
      <c r="CO312" s="408">
        <v>0</v>
      </c>
      <c r="CP312" s="408">
        <v>0</v>
      </c>
      <c r="CQ312" s="408">
        <v>30</v>
      </c>
      <c r="CR312" s="408"/>
      <c r="CS312" s="408"/>
      <c r="CT312" s="408"/>
      <c r="CU312" s="408"/>
      <c r="CV312" s="408"/>
      <c r="CW312" s="408"/>
      <c r="CX312" s="408"/>
      <c r="CY312" s="408"/>
      <c r="CZ312" s="408"/>
      <c r="DA312" s="408"/>
      <c r="DB312" s="408"/>
      <c r="DC312" s="408"/>
      <c r="DD312" s="408"/>
      <c r="DE312" s="408"/>
      <c r="DF312" s="408"/>
      <c r="DG312" s="408"/>
      <c r="DH312" s="408"/>
      <c r="DI312" s="408"/>
      <c r="DJ312" s="408"/>
      <c r="DK312" s="408">
        <v>0</v>
      </c>
      <c r="DL312" s="408"/>
      <c r="DM312" s="408"/>
      <c r="DN312" s="408"/>
      <c r="DO312" s="408"/>
      <c r="DP312" s="408"/>
      <c r="DQ312" s="408"/>
      <c r="DR312" s="408"/>
      <c r="DS312" s="408"/>
      <c r="DT312" s="408"/>
      <c r="DU312" s="408"/>
      <c r="DV312" s="408"/>
      <c r="DW312" s="408"/>
      <c r="DX312" s="408"/>
      <c r="DY312" s="408"/>
      <c r="DZ312" s="408"/>
      <c r="EA312" s="408"/>
      <c r="EB312" s="408"/>
      <c r="EC312" s="408"/>
      <c r="ED312" s="408"/>
      <c r="EE312" s="408"/>
      <c r="EF312" s="408"/>
      <c r="EG312" s="408"/>
      <c r="EH312" s="408"/>
      <c r="EI312" s="408"/>
      <c r="EJ312" s="408"/>
      <c r="EK312" s="408"/>
      <c r="EL312" s="408"/>
      <c r="EM312" s="408"/>
      <c r="EN312" s="408"/>
      <c r="EO312" s="408"/>
      <c r="EP312" s="408"/>
      <c r="EQ312" s="408"/>
      <c r="ER312" s="408"/>
      <c r="ES312" s="408"/>
      <c r="ET312" s="408"/>
      <c r="EU312" s="408"/>
      <c r="EV312" s="408">
        <v>240</v>
      </c>
      <c r="EW312" s="408"/>
      <c r="EX312" s="408"/>
      <c r="EY312" s="408"/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311</v>
      </c>
      <c r="B313" s="408" t="s">
        <v>1036</v>
      </c>
      <c r="C313" s="408" t="s">
        <v>2316</v>
      </c>
      <c r="D313" s="408" t="s">
        <v>1958</v>
      </c>
      <c r="E313" s="408" t="s">
        <v>998</v>
      </c>
      <c r="F313" s="408" t="s">
        <v>1322</v>
      </c>
      <c r="G313" s="408" t="s">
        <v>1322</v>
      </c>
      <c r="H313" s="408" t="s">
        <v>1322</v>
      </c>
      <c r="I313" s="408" t="s">
        <v>2317</v>
      </c>
      <c r="J313" s="408" t="s">
        <v>2236</v>
      </c>
      <c r="K313" s="826">
        <v>44501</v>
      </c>
      <c r="L313" s="408">
        <v>0</v>
      </c>
      <c r="M313" s="408">
        <v>0</v>
      </c>
      <c r="N313" s="408">
        <v>0.51800000000000002</v>
      </c>
      <c r="O313" s="408">
        <v>0.51800000000000002</v>
      </c>
      <c r="P313" s="408">
        <v>0.51800000000000002</v>
      </c>
      <c r="Q313" s="408">
        <v>0.51800000000000002</v>
      </c>
      <c r="R313" s="408"/>
      <c r="S313" s="408">
        <v>970.82</v>
      </c>
      <c r="T313" s="408">
        <v>173.25</v>
      </c>
      <c r="U313" s="408"/>
      <c r="V313" s="408">
        <v>592.62826000000007</v>
      </c>
      <c r="W313" s="408">
        <v>592.62826000000007</v>
      </c>
      <c r="X313" s="408">
        <v>569.34933999999998</v>
      </c>
      <c r="Y313" s="408">
        <v>0</v>
      </c>
      <c r="Z313" s="408">
        <v>31.880404897273866</v>
      </c>
      <c r="AA313" s="408">
        <v>0</v>
      </c>
      <c r="AB313" s="408">
        <v>0</v>
      </c>
      <c r="AC313" s="408">
        <v>33.70602567252871</v>
      </c>
      <c r="AD313" s="408">
        <v>2.3308841092804391</v>
      </c>
      <c r="AE313" s="408">
        <v>223.27501617404053</v>
      </c>
      <c r="AF313" s="408">
        <v>88.236363763192131</v>
      </c>
      <c r="AG313" s="408">
        <v>1.5059469688203677</v>
      </c>
      <c r="AH313" s="408">
        <v>0</v>
      </c>
      <c r="AI313" s="408">
        <v>0</v>
      </c>
      <c r="AJ313" s="408">
        <v>0</v>
      </c>
      <c r="AK313" s="408">
        <v>0</v>
      </c>
      <c r="AL313" s="408">
        <v>4.9256776836545626</v>
      </c>
      <c r="AM313" s="408"/>
      <c r="AN313" s="408">
        <v>0.62566977803988888</v>
      </c>
      <c r="AO313" s="408">
        <v>98.074172235052671</v>
      </c>
      <c r="AP313" s="408">
        <v>95.293174164939302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0</v>
      </c>
      <c r="BE313" s="408">
        <v>0</v>
      </c>
      <c r="BF313" s="408">
        <v>0</v>
      </c>
      <c r="BG313" s="408">
        <v>4.6308121653686376</v>
      </c>
      <c r="BH313" s="408">
        <v>0</v>
      </c>
      <c r="BI313" s="408">
        <v>0</v>
      </c>
      <c r="BJ313" s="408">
        <v>0</v>
      </c>
      <c r="BK313" s="408">
        <v>0</v>
      </c>
      <c r="BL313" s="408">
        <v>0</v>
      </c>
      <c r="BM313" s="408"/>
      <c r="BN313" s="408"/>
      <c r="BO313" s="408"/>
      <c r="BP313" s="408"/>
      <c r="BQ313" s="408"/>
      <c r="BR313" s="408"/>
      <c r="BS313" s="408"/>
      <c r="BT313" s="408"/>
      <c r="BU313" s="408"/>
      <c r="BV313" s="408">
        <v>92.867175928560769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571.54759999999999</v>
      </c>
      <c r="CJ313" s="408">
        <v>-21.110660000000053</v>
      </c>
      <c r="CK313" s="408"/>
      <c r="CL313" s="408"/>
      <c r="CM313" s="408"/>
      <c r="CN313" s="408"/>
      <c r="CO313" s="408">
        <v>-34.462540000000047</v>
      </c>
      <c r="CP313" s="408">
        <v>11.183620000000001</v>
      </c>
      <c r="CQ313" s="408">
        <v>30</v>
      </c>
      <c r="CR313" s="408">
        <v>32.188781922797432</v>
      </c>
      <c r="CS313" s="408">
        <v>9.7728816353069874</v>
      </c>
      <c r="CT313" s="408">
        <v>9.4957611218434579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2.400038324304492</v>
      </c>
      <c r="DA313" s="408">
        <v>0</v>
      </c>
      <c r="DB313" s="408">
        <v>0</v>
      </c>
      <c r="DC313" s="408">
        <v>11.182357304629178</v>
      </c>
      <c r="DD313" s="408">
        <v>0</v>
      </c>
      <c r="DE313" s="408">
        <v>0</v>
      </c>
      <c r="DF313" s="408">
        <v>0</v>
      </c>
      <c r="DG313" s="408">
        <v>0.58687137632680475</v>
      </c>
      <c r="DH313" s="408">
        <v>0</v>
      </c>
      <c r="DI313" s="408">
        <v>-1.0825576677058422</v>
      </c>
      <c r="DJ313" s="408"/>
      <c r="DK313" s="408">
        <v>0</v>
      </c>
      <c r="DL313" s="408">
        <v>0</v>
      </c>
      <c r="DM313" s="408">
        <v>0</v>
      </c>
      <c r="DN313" s="408">
        <v>0</v>
      </c>
      <c r="DO313" s="408">
        <v>-0.14886907925874926</v>
      </c>
      <c r="DP313" s="408">
        <v>-1.7701092649000993E-2</v>
      </c>
      <c r="DQ313" s="408">
        <v>0</v>
      </c>
      <c r="DR313" s="408">
        <v>0</v>
      </c>
      <c r="DS313" s="408"/>
      <c r="DT313" s="408"/>
      <c r="DU313" s="408"/>
      <c r="DV313" s="408">
        <v>223.27501617404053</v>
      </c>
      <c r="DW313" s="408">
        <v>0</v>
      </c>
      <c r="DX313" s="408">
        <v>0</v>
      </c>
      <c r="DY313" s="408">
        <v>-34.462540000000047</v>
      </c>
      <c r="DZ313" s="408">
        <v>11.183620000000005</v>
      </c>
      <c r="EA313" s="408">
        <v>0</v>
      </c>
      <c r="EB313" s="408">
        <v>0</v>
      </c>
      <c r="EC313" s="408">
        <v>-55.465301334857656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8.1416868214382667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240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312</v>
      </c>
      <c r="B314" s="408" t="s">
        <v>1036</v>
      </c>
      <c r="C314" s="408" t="s">
        <v>2235</v>
      </c>
      <c r="D314" s="408" t="s">
        <v>2245</v>
      </c>
      <c r="E314" s="408" t="s">
        <v>974</v>
      </c>
      <c r="F314" s="408" t="s">
        <v>1322</v>
      </c>
      <c r="G314" s="408" t="s">
        <v>1322</v>
      </c>
      <c r="H314" s="408" t="s">
        <v>1322</v>
      </c>
      <c r="I314" s="408" t="s">
        <v>1322</v>
      </c>
      <c r="J314" s="408" t="s">
        <v>2236</v>
      </c>
      <c r="K314" s="826">
        <v>44501</v>
      </c>
      <c r="L314" s="408">
        <v>0</v>
      </c>
      <c r="M314" s="408">
        <v>0</v>
      </c>
      <c r="N314" s="408">
        <v>6279.9570000000003</v>
      </c>
      <c r="O314" s="408">
        <v>6279.9570000000003</v>
      </c>
      <c r="P314" s="408">
        <v>6279.9570000000003</v>
      </c>
      <c r="Q314" s="408">
        <v>6279.9570000000003</v>
      </c>
      <c r="R314" s="408"/>
      <c r="S314" s="408">
        <v>368.24</v>
      </c>
      <c r="T314" s="408">
        <v>173.25</v>
      </c>
      <c r="U314" s="408"/>
      <c r="V314" s="408">
        <v>3400533.9159300001</v>
      </c>
      <c r="W314" s="408">
        <v>3400533.9159300001</v>
      </c>
      <c r="X314" s="408">
        <v>3195807.3177300002</v>
      </c>
      <c r="Y314" s="408">
        <v>0</v>
      </c>
      <c r="Z314" s="408">
        <v>386501.10404916853</v>
      </c>
      <c r="AA314" s="408">
        <v>0</v>
      </c>
      <c r="AB314" s="408">
        <v>0</v>
      </c>
      <c r="AC314" s="408">
        <v>16073.78459134486</v>
      </c>
      <c r="AD314" s="408">
        <v>15443.302638295097</v>
      </c>
      <c r="AE314" s="408">
        <v>1479162.8962890001</v>
      </c>
      <c r="AF314" s="408">
        <v>1069730.8306355306</v>
      </c>
      <c r="AG314" s="408">
        <v>18257.301560757238</v>
      </c>
      <c r="AH314" s="408">
        <v>0</v>
      </c>
      <c r="AI314" s="408">
        <v>0</v>
      </c>
      <c r="AJ314" s="408">
        <v>0</v>
      </c>
      <c r="AK314" s="408">
        <v>0</v>
      </c>
      <c r="AL314" s="408">
        <v>59716.301253301652</v>
      </c>
      <c r="AM314" s="408"/>
      <c r="AN314" s="408">
        <v>7585.2882283591634</v>
      </c>
      <c r="AO314" s="408">
        <v>34121.490403834126</v>
      </c>
      <c r="AP314" s="408">
        <v>159103.47591319718</v>
      </c>
      <c r="AQ314" s="408">
        <v>0</v>
      </c>
      <c r="AR314" s="408">
        <v>0</v>
      </c>
      <c r="AS314" s="408">
        <v>0</v>
      </c>
      <c r="AT314" s="408">
        <v>0</v>
      </c>
      <c r="AU314" s="408">
        <v>0</v>
      </c>
      <c r="AV314" s="408">
        <v>0</v>
      </c>
      <c r="AW314" s="408">
        <v>0</v>
      </c>
      <c r="AX314" s="408">
        <v>0</v>
      </c>
      <c r="AY314" s="408">
        <v>0</v>
      </c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0</v>
      </c>
      <c r="BF314" s="408">
        <v>0</v>
      </c>
      <c r="BG314" s="408">
        <v>56141.508250177481</v>
      </c>
      <c r="BH314" s="408">
        <v>0</v>
      </c>
      <c r="BI314" s="408">
        <v>2537.25</v>
      </c>
      <c r="BJ314" s="408">
        <v>22359.96</v>
      </c>
      <c r="BK314" s="408">
        <v>197256.7</v>
      </c>
      <c r="BL314" s="408">
        <v>15780</v>
      </c>
      <c r="BM314" s="408"/>
      <c r="BN314" s="408"/>
      <c r="BO314" s="408"/>
      <c r="BP314" s="408"/>
      <c r="BQ314" s="408"/>
      <c r="BR314" s="408">
        <v>383454.17442000005</v>
      </c>
      <c r="BS314" s="408"/>
      <c r="BT314" s="408"/>
      <c r="BU314" s="408"/>
      <c r="BV314" s="408">
        <v>1125872.338885708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2812354.4868000001</v>
      </c>
      <c r="CJ314" s="408">
        <v>-180107.85326999985</v>
      </c>
      <c r="CK314" s="408"/>
      <c r="CL314" s="408"/>
      <c r="CM314" s="408"/>
      <c r="CN314" s="408"/>
      <c r="CO314" s="408">
        <v>-340310.86982999998</v>
      </c>
      <c r="CP314" s="408">
        <v>135584.27163000003</v>
      </c>
      <c r="CQ314" s="408">
        <v>30</v>
      </c>
      <c r="CR314" s="408">
        <v>162696.05727020185</v>
      </c>
      <c r="CS314" s="408">
        <v>3400.1335860140462</v>
      </c>
      <c r="CT314" s="408">
        <v>15854.321300199052</v>
      </c>
      <c r="CU314" s="408">
        <v>0</v>
      </c>
      <c r="CV314" s="408">
        <v>0</v>
      </c>
      <c r="CW314" s="408">
        <v>0</v>
      </c>
      <c r="CX314" s="408">
        <v>0</v>
      </c>
      <c r="CY314" s="408">
        <v>0</v>
      </c>
      <c r="CZ314" s="408">
        <v>15901.484779173761</v>
      </c>
      <c r="DA314" s="408">
        <v>0</v>
      </c>
      <c r="DB314" s="408">
        <v>0</v>
      </c>
      <c r="DC314" s="408">
        <v>135568.96338167391</v>
      </c>
      <c r="DD314" s="408">
        <v>0</v>
      </c>
      <c r="DE314" s="408">
        <v>0</v>
      </c>
      <c r="DF314" s="408">
        <v>0</v>
      </c>
      <c r="DG314" s="408">
        <v>7114.9170035968127</v>
      </c>
      <c r="DH314" s="408">
        <v>0</v>
      </c>
      <c r="DI314" s="408">
        <v>-13124.354446357116</v>
      </c>
      <c r="DJ314" s="408"/>
      <c r="DK314" s="408">
        <v>0</v>
      </c>
      <c r="DL314" s="408">
        <v>0</v>
      </c>
      <c r="DM314" s="408">
        <v>0</v>
      </c>
      <c r="DN314" s="408">
        <v>0</v>
      </c>
      <c r="DO314" s="408">
        <v>-1804.8096841207225</v>
      </c>
      <c r="DP314" s="408">
        <v>-214.59864997826662</v>
      </c>
      <c r="DQ314" s="408">
        <v>0</v>
      </c>
      <c r="DR314" s="408">
        <v>0</v>
      </c>
      <c r="DS314" s="408"/>
      <c r="DT314" s="408"/>
      <c r="DU314" s="408"/>
      <c r="DV314" s="408">
        <v>1479162.8962890001</v>
      </c>
      <c r="DW314" s="408">
        <v>0</v>
      </c>
      <c r="DX314" s="408">
        <v>0</v>
      </c>
      <c r="DY314" s="408">
        <v>-340310.86983000021</v>
      </c>
      <c r="DZ314" s="408">
        <v>135584.27163000009</v>
      </c>
      <c r="EA314" s="408">
        <v>0</v>
      </c>
      <c r="EB314" s="408">
        <v>0</v>
      </c>
      <c r="EC314" s="408">
        <v>-367449.15383662912</v>
      </c>
      <c r="ED314" s="408">
        <v>0</v>
      </c>
      <c r="EE314" s="408">
        <v>0</v>
      </c>
      <c r="EF314" s="408">
        <v>0</v>
      </c>
      <c r="EG314" s="408">
        <v>0</v>
      </c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>
        <v>0</v>
      </c>
      <c r="EN314" s="408">
        <v>0</v>
      </c>
      <c r="EO314" s="408">
        <v>0</v>
      </c>
      <c r="EP314" s="408">
        <v>98705.488699032809</v>
      </c>
      <c r="EQ314" s="408">
        <v>0</v>
      </c>
      <c r="ER314" s="408">
        <v>0</v>
      </c>
      <c r="ES314" s="408">
        <v>0</v>
      </c>
      <c r="ET314" s="408">
        <v>0</v>
      </c>
      <c r="EU314" s="408">
        <v>0</v>
      </c>
      <c r="EV314" s="408">
        <v>240</v>
      </c>
      <c r="EW314" s="408">
        <v>0</v>
      </c>
      <c r="EX314" s="408">
        <v>0</v>
      </c>
      <c r="EY314" s="408">
        <v>0</v>
      </c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313</v>
      </c>
      <c r="B315" s="408" t="s">
        <v>2237</v>
      </c>
      <c r="C315" s="408" t="s">
        <v>2235</v>
      </c>
      <c r="D315" s="408" t="s">
        <v>2245</v>
      </c>
      <c r="E315" s="408" t="s">
        <v>974</v>
      </c>
      <c r="F315" s="408" t="s">
        <v>1322</v>
      </c>
      <c r="G315" s="408" t="s">
        <v>1322</v>
      </c>
      <c r="H315" s="408" t="s">
        <v>1322</v>
      </c>
      <c r="I315" s="408" t="s">
        <v>1322</v>
      </c>
      <c r="J315" s="408" t="s">
        <v>2236</v>
      </c>
      <c r="K315" s="826">
        <v>44501</v>
      </c>
      <c r="L315" s="408">
        <v>0</v>
      </c>
      <c r="M315" s="408">
        <v>0</v>
      </c>
      <c r="N315" s="408">
        <v>-0.09</v>
      </c>
      <c r="O315" s="408">
        <v>-0.09</v>
      </c>
      <c r="P315" s="408">
        <v>-0.09</v>
      </c>
      <c r="Q315" s="408">
        <v>-0.09</v>
      </c>
      <c r="R315" s="408"/>
      <c r="S315" s="408">
        <v>368.24</v>
      </c>
      <c r="T315" s="408">
        <v>173.25</v>
      </c>
      <c r="U315" s="408"/>
      <c r="V315" s="408">
        <v>-48.734099999999998</v>
      </c>
      <c r="W315" s="408">
        <v>-48.734099999999998</v>
      </c>
      <c r="X315" s="408">
        <v>-45.8001</v>
      </c>
      <c r="Y315" s="408">
        <v>0</v>
      </c>
      <c r="Z315" s="408">
        <v>-5.5390664879433356</v>
      </c>
      <c r="AA315" s="408">
        <v>0</v>
      </c>
      <c r="AB315" s="408">
        <v>0</v>
      </c>
      <c r="AC315" s="408">
        <v>-0.2303583628392738</v>
      </c>
      <c r="AD315" s="408">
        <v>-0.22132273158025742</v>
      </c>
      <c r="AE315" s="408">
        <v>-21.198339521434619</v>
      </c>
      <c r="AF315" s="408">
        <v>-15.330642352678169</v>
      </c>
      <c r="AG315" s="408">
        <v>-0.26165101774871252</v>
      </c>
      <c r="AH315" s="408">
        <v>0</v>
      </c>
      <c r="AI315" s="408">
        <v>0</v>
      </c>
      <c r="AJ315" s="408">
        <v>0</v>
      </c>
      <c r="AK315" s="408">
        <v>0</v>
      </c>
      <c r="AL315" s="408">
        <v>-0.85581272495928684</v>
      </c>
      <c r="AM315" s="408"/>
      <c r="AN315" s="408">
        <v>-0.10870710429264478</v>
      </c>
      <c r="AO315" s="408">
        <v>-0.48900559929710846</v>
      </c>
      <c r="AP315" s="408">
        <v>-2.280160968011046</v>
      </c>
      <c r="AQ315" s="408">
        <v>0</v>
      </c>
      <c r="AR315" s="408">
        <v>0</v>
      </c>
      <c r="AS315" s="408">
        <v>0</v>
      </c>
      <c r="AT315" s="408">
        <v>0</v>
      </c>
      <c r="AU315" s="408">
        <v>0</v>
      </c>
      <c r="AV315" s="408">
        <v>0</v>
      </c>
      <c r="AW315" s="408">
        <v>0</v>
      </c>
      <c r="AX315" s="408">
        <v>0</v>
      </c>
      <c r="AY315" s="408">
        <v>0</v>
      </c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>
        <v>0</v>
      </c>
      <c r="BG315" s="408">
        <v>-0.80458126425323817</v>
      </c>
      <c r="BH315" s="408">
        <v>0</v>
      </c>
      <c r="BI315" s="408">
        <v>-0.02</v>
      </c>
      <c r="BJ315" s="408">
        <v>-0.28999999999999998</v>
      </c>
      <c r="BK315" s="408">
        <v>-7.69</v>
      </c>
      <c r="BL315" s="408">
        <v>0</v>
      </c>
      <c r="BM315" s="408"/>
      <c r="BN315" s="408"/>
      <c r="BO315" s="408"/>
      <c r="BP315" s="408"/>
      <c r="BQ315" s="408"/>
      <c r="BR315" s="408">
        <v>-5.4954000000000001</v>
      </c>
      <c r="BS315" s="408"/>
      <c r="BT315" s="408"/>
      <c r="BU315" s="408"/>
      <c r="BV315" s="408">
        <v>-16.135223616931405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-40.304699999999997</v>
      </c>
      <c r="CJ315" s="408">
        <v>2.5512000000000015</v>
      </c>
      <c r="CK315" s="408"/>
      <c r="CL315" s="408"/>
      <c r="CM315" s="408"/>
      <c r="CN315" s="408"/>
      <c r="CO315" s="408">
        <v>4.8770999999999995</v>
      </c>
      <c r="CP315" s="408">
        <v>-1.9431000000000003</v>
      </c>
      <c r="CQ315" s="408">
        <v>30</v>
      </c>
      <c r="CR315" s="408">
        <v>-2.3316473591010478</v>
      </c>
      <c r="CS315" s="408">
        <v>-4.8728362748544918E-2</v>
      </c>
      <c r="CT315" s="408">
        <v>-0.227213166749058</v>
      </c>
      <c r="CU315" s="408">
        <v>0</v>
      </c>
      <c r="CV315" s="408">
        <v>0</v>
      </c>
      <c r="CW315" s="408">
        <v>0</v>
      </c>
      <c r="CX315" s="408">
        <v>0</v>
      </c>
      <c r="CY315" s="408">
        <v>0</v>
      </c>
      <c r="CZ315" s="408">
        <v>-0.2278890811076634</v>
      </c>
      <c r="DA315" s="408">
        <v>0</v>
      </c>
      <c r="DB315" s="408">
        <v>0</v>
      </c>
      <c r="DC315" s="408">
        <v>-1.9428806127734113</v>
      </c>
      <c r="DD315" s="408">
        <v>0</v>
      </c>
      <c r="DE315" s="408">
        <v>0</v>
      </c>
      <c r="DF315" s="408">
        <v>0</v>
      </c>
      <c r="DG315" s="408">
        <v>-0.10196606924596985</v>
      </c>
      <c r="DH315" s="408">
        <v>0</v>
      </c>
      <c r="DI315" s="408">
        <v>0.18808917006472203</v>
      </c>
      <c r="DJ315" s="408"/>
      <c r="DK315" s="408">
        <v>0</v>
      </c>
      <c r="DL315" s="408">
        <v>0</v>
      </c>
      <c r="DM315" s="408">
        <v>0</v>
      </c>
      <c r="DN315" s="408">
        <v>0</v>
      </c>
      <c r="DO315" s="408">
        <v>2.5865284041095338E-2</v>
      </c>
      <c r="DP315" s="408">
        <v>3.0754794177800943E-3</v>
      </c>
      <c r="DQ315" s="408">
        <v>0</v>
      </c>
      <c r="DR315" s="408">
        <v>0</v>
      </c>
      <c r="DS315" s="408"/>
      <c r="DT315" s="408"/>
      <c r="DU315" s="408"/>
      <c r="DV315" s="408">
        <v>-21.198339521434619</v>
      </c>
      <c r="DW315" s="408">
        <v>0</v>
      </c>
      <c r="DX315" s="408">
        <v>0</v>
      </c>
      <c r="DY315" s="408">
        <v>4.8770999999999951</v>
      </c>
      <c r="DZ315" s="408">
        <v>-1.9430999999999994</v>
      </c>
      <c r="EA315" s="408">
        <v>0</v>
      </c>
      <c r="EB315" s="408">
        <v>0</v>
      </c>
      <c r="EC315" s="408">
        <v>5.2660271153602807</v>
      </c>
      <c r="ED315" s="408">
        <v>0</v>
      </c>
      <c r="EE315" s="408">
        <v>0</v>
      </c>
      <c r="EF315" s="408">
        <v>0</v>
      </c>
      <c r="EG315" s="408">
        <v>0</v>
      </c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>
        <v>0</v>
      </c>
      <c r="EN315" s="408">
        <v>0</v>
      </c>
      <c r="EO315" s="408">
        <v>0</v>
      </c>
      <c r="EP315" s="408">
        <v>-1.4145787913695829</v>
      </c>
      <c r="EQ315" s="408">
        <v>0</v>
      </c>
      <c r="ER315" s="408">
        <v>0</v>
      </c>
      <c r="ES315" s="408">
        <v>0</v>
      </c>
      <c r="ET315" s="408">
        <v>0</v>
      </c>
      <c r="EU315" s="408">
        <v>0</v>
      </c>
      <c r="EV315" s="408">
        <v>240</v>
      </c>
      <c r="EW315" s="408">
        <v>0</v>
      </c>
      <c r="EX315" s="408">
        <v>0</v>
      </c>
      <c r="EY315" s="408">
        <v>0</v>
      </c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314</v>
      </c>
      <c r="B316" s="408" t="s">
        <v>2238</v>
      </c>
      <c r="C316" s="408" t="s">
        <v>2235</v>
      </c>
      <c r="D316" s="408" t="s">
        <v>2245</v>
      </c>
      <c r="E316" s="408" t="s">
        <v>974</v>
      </c>
      <c r="F316" s="408" t="s">
        <v>1322</v>
      </c>
      <c r="G316" s="408" t="s">
        <v>1322</v>
      </c>
      <c r="H316" s="408" t="s">
        <v>1322</v>
      </c>
      <c r="I316" s="408" t="s">
        <v>1322</v>
      </c>
      <c r="J316" s="408" t="s">
        <v>2236</v>
      </c>
      <c r="K316" s="826">
        <v>44501</v>
      </c>
      <c r="L316" s="408">
        <v>0</v>
      </c>
      <c r="M316" s="408">
        <v>0</v>
      </c>
      <c r="N316" s="408">
        <v>120.291</v>
      </c>
      <c r="O316" s="408">
        <v>120.291</v>
      </c>
      <c r="P316" s="408">
        <v>120.291</v>
      </c>
      <c r="Q316" s="408">
        <v>120.291</v>
      </c>
      <c r="R316" s="408"/>
      <c r="S316" s="408">
        <v>368.24</v>
      </c>
      <c r="T316" s="408">
        <v>173.25</v>
      </c>
      <c r="U316" s="408"/>
      <c r="V316" s="408">
        <v>65136.373590000003</v>
      </c>
      <c r="W316" s="408">
        <v>65136.373590000003</v>
      </c>
      <c r="X316" s="408">
        <v>61214.886989999999</v>
      </c>
      <c r="Y316" s="408">
        <v>0</v>
      </c>
      <c r="Z316" s="408">
        <v>7403.3316322354649</v>
      </c>
      <c r="AA316" s="408">
        <v>0</v>
      </c>
      <c r="AB316" s="408">
        <v>0</v>
      </c>
      <c r="AC316" s="408">
        <v>307.88930915887869</v>
      </c>
      <c r="AD316" s="408">
        <v>295.81258560578607</v>
      </c>
      <c r="AE316" s="408">
        <v>28332.993993032134</v>
      </c>
      <c r="AF316" s="408">
        <v>20490.425547177885</v>
      </c>
      <c r="AG316" s="408">
        <v>349.71402862233754</v>
      </c>
      <c r="AH316" s="408">
        <v>0</v>
      </c>
      <c r="AI316" s="408">
        <v>0</v>
      </c>
      <c r="AJ316" s="408">
        <v>0</v>
      </c>
      <c r="AK316" s="408">
        <v>0</v>
      </c>
      <c r="AL316" s="408">
        <v>1143.8507610897509</v>
      </c>
      <c r="AM316" s="408"/>
      <c r="AN316" s="408">
        <v>145.29429202740593</v>
      </c>
      <c r="AO316" s="408">
        <v>653.58858383387189</v>
      </c>
      <c r="AP316" s="408">
        <v>3047.5871444779636</v>
      </c>
      <c r="AQ316" s="408">
        <v>0</v>
      </c>
      <c r="AR316" s="408">
        <v>0</v>
      </c>
      <c r="AS316" s="408">
        <v>0</v>
      </c>
      <c r="AT316" s="408">
        <v>0</v>
      </c>
      <c r="AU316" s="408">
        <v>0</v>
      </c>
      <c r="AV316" s="408">
        <v>0</v>
      </c>
      <c r="AW316" s="408">
        <v>0</v>
      </c>
      <c r="AX316" s="408">
        <v>0</v>
      </c>
      <c r="AY316" s="408">
        <v>0</v>
      </c>
      <c r="AZ316" s="408">
        <v>0</v>
      </c>
      <c r="BA316" s="408"/>
      <c r="BB316" s="408">
        <v>0</v>
      </c>
      <c r="BC316" s="408">
        <v>0</v>
      </c>
      <c r="BD316" s="408">
        <v>0</v>
      </c>
      <c r="BE316" s="408">
        <v>0</v>
      </c>
      <c r="BF316" s="408">
        <v>0</v>
      </c>
      <c r="BG316" s="408">
        <v>1075.376498425403</v>
      </c>
      <c r="BH316" s="408">
        <v>0</v>
      </c>
      <c r="BI316" s="408">
        <v>50.08</v>
      </c>
      <c r="BJ316" s="408">
        <v>433.34</v>
      </c>
      <c r="BK316" s="408">
        <v>2499.11</v>
      </c>
      <c r="BL316" s="408">
        <v>236</v>
      </c>
      <c r="BM316" s="408"/>
      <c r="BN316" s="408"/>
      <c r="BO316" s="408"/>
      <c r="BP316" s="408"/>
      <c r="BQ316" s="408"/>
      <c r="BR316" s="408">
        <v>7344.9684600000001</v>
      </c>
      <c r="BS316" s="408"/>
      <c r="BT316" s="408"/>
      <c r="BU316" s="408"/>
      <c r="BV316" s="408">
        <v>21565.80204560329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53869.470700000005</v>
      </c>
      <c r="CJ316" s="408">
        <v>-3450.4237099999955</v>
      </c>
      <c r="CK316" s="408"/>
      <c r="CL316" s="408"/>
      <c r="CM316" s="408"/>
      <c r="CN316" s="408"/>
      <c r="CO316" s="408">
        <v>-6518.5692899999995</v>
      </c>
      <c r="CP316" s="408">
        <v>2597.0826900000002</v>
      </c>
      <c r="CQ316" s="408">
        <v>30</v>
      </c>
      <c r="CR316" s="408">
        <v>3116.4021385958258</v>
      </c>
      <c r="CS316" s="408">
        <v>65.128705370946932</v>
      </c>
      <c r="CT316" s="408">
        <v>303.68554490456609</v>
      </c>
      <c r="CU316" s="408">
        <v>0</v>
      </c>
      <c r="CV316" s="408">
        <v>0</v>
      </c>
      <c r="CW316" s="408">
        <v>0</v>
      </c>
      <c r="CX316" s="408">
        <v>0</v>
      </c>
      <c r="CY316" s="408">
        <v>0</v>
      </c>
      <c r="CZ316" s="408">
        <v>304.58894950579935</v>
      </c>
      <c r="DA316" s="408">
        <v>0</v>
      </c>
      <c r="DB316" s="408">
        <v>0</v>
      </c>
      <c r="DC316" s="408">
        <v>2596.7894643458458</v>
      </c>
      <c r="DD316" s="408">
        <v>0</v>
      </c>
      <c r="DE316" s="408">
        <v>0</v>
      </c>
      <c r="DF316" s="408">
        <v>0</v>
      </c>
      <c r="DG316" s="408">
        <v>136.28444928518843</v>
      </c>
      <c r="DH316" s="408">
        <v>0</v>
      </c>
      <c r="DI316" s="408">
        <v>-251.39371506950556</v>
      </c>
      <c r="DJ316" s="408"/>
      <c r="DK316" s="408">
        <v>0</v>
      </c>
      <c r="DL316" s="408">
        <v>0</v>
      </c>
      <c r="DM316" s="408">
        <v>0</v>
      </c>
      <c r="DN316" s="408">
        <v>0</v>
      </c>
      <c r="DO316" s="408">
        <v>-34.570676473193316</v>
      </c>
      <c r="DP316" s="408">
        <v>-4.1105832738242896</v>
      </c>
      <c r="DQ316" s="408">
        <v>0</v>
      </c>
      <c r="DR316" s="408">
        <v>0</v>
      </c>
      <c r="DS316" s="408"/>
      <c r="DT316" s="408"/>
      <c r="DU316" s="408"/>
      <c r="DV316" s="408">
        <v>28332.993993032134</v>
      </c>
      <c r="DW316" s="408">
        <v>0</v>
      </c>
      <c r="DX316" s="408">
        <v>0</v>
      </c>
      <c r="DY316" s="408">
        <v>-6518.5692899999995</v>
      </c>
      <c r="DZ316" s="408">
        <v>2597.0826899999993</v>
      </c>
      <c r="EA316" s="408">
        <v>0</v>
      </c>
      <c r="EB316" s="408">
        <v>0</v>
      </c>
      <c r="EC316" s="408">
        <v>-7038.3963081533766</v>
      </c>
      <c r="ED316" s="408">
        <v>0</v>
      </c>
      <c r="EE316" s="408">
        <v>0</v>
      </c>
      <c r="EF316" s="408">
        <v>0</v>
      </c>
      <c r="EG316" s="408">
        <v>0</v>
      </c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>
        <v>0</v>
      </c>
      <c r="EN316" s="408">
        <v>0</v>
      </c>
      <c r="EO316" s="408">
        <v>0</v>
      </c>
      <c r="EP316" s="408">
        <v>1890.6788599182057</v>
      </c>
      <c r="EQ316" s="408">
        <v>0</v>
      </c>
      <c r="ER316" s="408">
        <v>0</v>
      </c>
      <c r="ES316" s="408">
        <v>0</v>
      </c>
      <c r="ET316" s="408">
        <v>0</v>
      </c>
      <c r="EU316" s="408">
        <v>0</v>
      </c>
      <c r="EV316" s="408">
        <v>240</v>
      </c>
      <c r="EW316" s="408">
        <v>0</v>
      </c>
      <c r="EX316" s="408">
        <v>0</v>
      </c>
      <c r="EY316" s="408">
        <v>0</v>
      </c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315</v>
      </c>
      <c r="B317" s="408" t="s">
        <v>1036</v>
      </c>
      <c r="C317" s="408" t="s">
        <v>2243</v>
      </c>
      <c r="D317" s="408" t="s">
        <v>597</v>
      </c>
      <c r="E317" s="408" t="s">
        <v>974</v>
      </c>
      <c r="F317" s="408" t="s">
        <v>1322</v>
      </c>
      <c r="G317" s="408" t="s">
        <v>1322</v>
      </c>
      <c r="H317" s="408" t="s">
        <v>1322</v>
      </c>
      <c r="I317" s="408" t="s">
        <v>973</v>
      </c>
      <c r="J317" s="408" t="s">
        <v>2236</v>
      </c>
      <c r="K317" s="826">
        <v>44501</v>
      </c>
      <c r="L317" s="408">
        <v>0</v>
      </c>
      <c r="M317" s="408">
        <v>0</v>
      </c>
      <c r="N317" s="408">
        <v>5.5190000000000001</v>
      </c>
      <c r="O317" s="408">
        <v>5.2982399999999998</v>
      </c>
      <c r="P317" s="408">
        <v>5.5190000000000001</v>
      </c>
      <c r="Q317" s="408">
        <v>5.2982399999999998</v>
      </c>
      <c r="R317" s="408"/>
      <c r="S317" s="408">
        <v>1358.36</v>
      </c>
      <c r="T317" s="408">
        <v>173.25</v>
      </c>
      <c r="U317" s="408"/>
      <c r="V317" s="408">
        <v>8452.9555899999996</v>
      </c>
      <c r="W317" s="408">
        <v>8452.9555899999996</v>
      </c>
      <c r="X317" s="408">
        <v>7411.5754799999995</v>
      </c>
      <c r="Y317" s="408">
        <v>0</v>
      </c>
      <c r="Z317" s="408">
        <v>295.51104348727273</v>
      </c>
      <c r="AA317" s="408">
        <v>0</v>
      </c>
      <c r="AB317" s="408">
        <v>0</v>
      </c>
      <c r="AC317" s="408">
        <v>104.54138552383036</v>
      </c>
      <c r="AD317" s="408">
        <v>100.44113917450258</v>
      </c>
      <c r="AE317" s="408">
        <v>5565.9540890211865</v>
      </c>
      <c r="AF317" s="408">
        <v>940.10905716034245</v>
      </c>
      <c r="AG317" s="408">
        <v>16.045021855057161</v>
      </c>
      <c r="AH317" s="408">
        <v>0</v>
      </c>
      <c r="AI317" s="408">
        <v>0</v>
      </c>
      <c r="AJ317" s="408">
        <v>0</v>
      </c>
      <c r="AK317" s="408">
        <v>0</v>
      </c>
      <c r="AL317" s="408">
        <v>52.480338100558939</v>
      </c>
      <c r="AM317" s="408"/>
      <c r="AN317" s="408">
        <v>4.4196915130626317</v>
      </c>
      <c r="AO317" s="408">
        <v>221.92352768531941</v>
      </c>
      <c r="AP317" s="408">
        <v>1034.7909824043015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0</v>
      </c>
      <c r="BE317" s="408">
        <v>0</v>
      </c>
      <c r="BF317" s="408">
        <v>0</v>
      </c>
      <c r="BG317" s="408">
        <v>41.274705681605255</v>
      </c>
      <c r="BH317" s="408">
        <v>0</v>
      </c>
      <c r="BI317" s="408">
        <v>0</v>
      </c>
      <c r="BJ317" s="408">
        <v>0</v>
      </c>
      <c r="BK317" s="408">
        <v>0</v>
      </c>
      <c r="BL317" s="408">
        <v>0</v>
      </c>
      <c r="BM317" s="408"/>
      <c r="BN317" s="408"/>
      <c r="BO317" s="408"/>
      <c r="BP317" s="408"/>
      <c r="BQ317" s="408"/>
      <c r="BR317" s="408">
        <v>296.46301920000036</v>
      </c>
      <c r="BS317" s="408"/>
      <c r="BT317" s="408"/>
      <c r="BU317" s="408"/>
      <c r="BV317" s="408">
        <v>981.38376284194771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7117.4759999999997</v>
      </c>
      <c r="CJ317" s="408">
        <v>-997.39136640000015</v>
      </c>
      <c r="CK317" s="408"/>
      <c r="CL317" s="408"/>
      <c r="CM317" s="408"/>
      <c r="CN317" s="408"/>
      <c r="CO317" s="408">
        <v>-1160.53532</v>
      </c>
      <c r="CP317" s="408">
        <v>119.15521000000003</v>
      </c>
      <c r="CQ317" s="408">
        <v>30</v>
      </c>
      <c r="CR317" s="408">
        <v>341.27680859790917</v>
      </c>
      <c r="CS317" s="408">
        <v>22.114205185034137</v>
      </c>
      <c r="CT317" s="408">
        <v>103.11470959023654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103.42109347942875</v>
      </c>
      <c r="DA317" s="408">
        <v>0</v>
      </c>
      <c r="DB317" s="408">
        <v>0</v>
      </c>
      <c r="DC317" s="408">
        <v>119.14175668773828</v>
      </c>
      <c r="DD317" s="408">
        <v>0</v>
      </c>
      <c r="DE317" s="408">
        <v>0</v>
      </c>
      <c r="DF317" s="408">
        <v>0</v>
      </c>
      <c r="DG317" s="408">
        <v>5.2308196631245352</v>
      </c>
      <c r="DH317" s="408">
        <v>0</v>
      </c>
      <c r="DI317" s="408">
        <v>-10.034619919342731</v>
      </c>
      <c r="DJ317" s="408"/>
      <c r="DK317" s="408">
        <v>0</v>
      </c>
      <c r="DL317" s="408">
        <v>0</v>
      </c>
      <c r="DM317" s="408">
        <v>0</v>
      </c>
      <c r="DN317" s="408">
        <v>0</v>
      </c>
      <c r="DO317" s="408">
        <v>-1.586116695808947</v>
      </c>
      <c r="DP317" s="408">
        <v>-0.12503939250161444</v>
      </c>
      <c r="DQ317" s="408">
        <v>0</v>
      </c>
      <c r="DR317" s="408">
        <v>0</v>
      </c>
      <c r="DS317" s="408"/>
      <c r="DT317" s="408"/>
      <c r="DU317" s="408"/>
      <c r="DV317" s="408">
        <v>5565.9540890211865</v>
      </c>
      <c r="DW317" s="408">
        <v>0</v>
      </c>
      <c r="DX317" s="408">
        <v>0</v>
      </c>
      <c r="DY317" s="408">
        <v>-1160.53532</v>
      </c>
      <c r="DZ317" s="408">
        <v>119.15521000000001</v>
      </c>
      <c r="EA317" s="408">
        <v>0</v>
      </c>
      <c r="EB317" s="408">
        <v>0</v>
      </c>
      <c r="EC317" s="408">
        <v>-1382.6774085771558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75.468250045831212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240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316</v>
      </c>
      <c r="B318" s="408" t="s">
        <v>1036</v>
      </c>
      <c r="C318" s="408" t="s">
        <v>2243</v>
      </c>
      <c r="D318" s="408" t="s">
        <v>597</v>
      </c>
      <c r="E318" s="408" t="s">
        <v>974</v>
      </c>
      <c r="F318" s="408" t="s">
        <v>1322</v>
      </c>
      <c r="G318" s="408" t="s">
        <v>1322</v>
      </c>
      <c r="H318" s="408" t="s">
        <v>1322</v>
      </c>
      <c r="I318" s="408" t="s">
        <v>2244</v>
      </c>
      <c r="J318" s="408" t="s">
        <v>2236</v>
      </c>
      <c r="K318" s="826">
        <v>44501</v>
      </c>
      <c r="L318" s="408">
        <v>0</v>
      </c>
      <c r="M318" s="408">
        <v>0</v>
      </c>
      <c r="N318" s="408">
        <v>75.811999999999998</v>
      </c>
      <c r="O318" s="408">
        <v>72.779520000000005</v>
      </c>
      <c r="P318" s="408">
        <v>75.811999999999998</v>
      </c>
      <c r="Q318" s="408">
        <v>72.779520000000005</v>
      </c>
      <c r="R318" s="408"/>
      <c r="S318" s="408">
        <v>85.01</v>
      </c>
      <c r="T318" s="408">
        <v>173.25</v>
      </c>
      <c r="U318" s="408"/>
      <c r="V318" s="408">
        <v>19579.207119999999</v>
      </c>
      <c r="W318" s="408">
        <v>19579.207119999999</v>
      </c>
      <c r="X318" s="408">
        <v>21126.530039999998</v>
      </c>
      <c r="Y318" s="408">
        <v>0</v>
      </c>
      <c r="Z318" s="408">
        <v>4059.3011829782781</v>
      </c>
      <c r="AA318" s="408">
        <v>0</v>
      </c>
      <c r="AB318" s="408">
        <v>0</v>
      </c>
      <c r="AC318" s="408">
        <v>0</v>
      </c>
      <c r="AD318" s="408">
        <v>0</v>
      </c>
      <c r="AE318" s="408">
        <v>0</v>
      </c>
      <c r="AF318" s="408">
        <v>12913.851756013748</v>
      </c>
      <c r="AG318" s="408">
        <v>220.40318841739327</v>
      </c>
      <c r="AH318" s="408">
        <v>0</v>
      </c>
      <c r="AI318" s="408">
        <v>0</v>
      </c>
      <c r="AJ318" s="408">
        <v>0</v>
      </c>
      <c r="AK318" s="408">
        <v>0</v>
      </c>
      <c r="AL318" s="408">
        <v>720.89860338459391</v>
      </c>
      <c r="AM318" s="408"/>
      <c r="AN318" s="408">
        <v>60.71129787793155</v>
      </c>
      <c r="AO318" s="408">
        <v>0</v>
      </c>
      <c r="AP318" s="408">
        <v>0</v>
      </c>
      <c r="AQ318" s="408">
        <v>0</v>
      </c>
      <c r="AR318" s="408">
        <v>0</v>
      </c>
      <c r="AS318" s="408">
        <v>0</v>
      </c>
      <c r="AT318" s="408">
        <v>0</v>
      </c>
      <c r="AU318" s="408">
        <v>0</v>
      </c>
      <c r="AV318" s="408">
        <v>0</v>
      </c>
      <c r="AW318" s="408">
        <v>0</v>
      </c>
      <c r="AX318" s="408">
        <v>0</v>
      </c>
      <c r="AY318" s="408">
        <v>0</v>
      </c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0</v>
      </c>
      <c r="BF318" s="408">
        <v>0</v>
      </c>
      <c r="BG318" s="408">
        <v>566.97191287078408</v>
      </c>
      <c r="BH318" s="408">
        <v>0</v>
      </c>
      <c r="BI318" s="408">
        <v>0</v>
      </c>
      <c r="BJ318" s="408">
        <v>0</v>
      </c>
      <c r="BK318" s="408">
        <v>0</v>
      </c>
      <c r="BL318" s="408">
        <v>0</v>
      </c>
      <c r="BM318" s="408"/>
      <c r="BN318" s="408"/>
      <c r="BO318" s="408"/>
      <c r="BP318" s="408"/>
      <c r="BQ318" s="408"/>
      <c r="BR318" s="408">
        <v>845.06120159999796</v>
      </c>
      <c r="BS318" s="408"/>
      <c r="BT318" s="408"/>
      <c r="BU318" s="408"/>
      <c r="BV318" s="408">
        <v>13480.823668884532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20281.602599999998</v>
      </c>
      <c r="CJ318" s="408">
        <v>1485.5337647999986</v>
      </c>
      <c r="CK318" s="408"/>
      <c r="CL318" s="408"/>
      <c r="CM318" s="408"/>
      <c r="CN318" s="408"/>
      <c r="CO318" s="408">
        <v>-89.458160000000518</v>
      </c>
      <c r="CP318" s="408">
        <v>1636.7810800000002</v>
      </c>
      <c r="CQ318" s="408">
        <v>30</v>
      </c>
      <c r="CR318" s="408">
        <v>1547.1032773363695</v>
      </c>
      <c r="CS318" s="408">
        <v>0</v>
      </c>
      <c r="CT318" s="408">
        <v>0</v>
      </c>
      <c r="CU318" s="408">
        <v>0</v>
      </c>
      <c r="CV318" s="408">
        <v>0</v>
      </c>
      <c r="CW318" s="408">
        <v>0</v>
      </c>
      <c r="CX318" s="408">
        <v>0</v>
      </c>
      <c r="CY318" s="408">
        <v>0</v>
      </c>
      <c r="CZ318" s="408">
        <v>0</v>
      </c>
      <c r="DA318" s="408">
        <v>0</v>
      </c>
      <c r="DB318" s="408">
        <v>0</v>
      </c>
      <c r="DC318" s="408">
        <v>1636.5962779508645</v>
      </c>
      <c r="DD318" s="408">
        <v>0</v>
      </c>
      <c r="DE318" s="408">
        <v>0</v>
      </c>
      <c r="DF318" s="408">
        <v>0</v>
      </c>
      <c r="DG318" s="408">
        <v>71.853397409095351</v>
      </c>
      <c r="DH318" s="408">
        <v>0</v>
      </c>
      <c r="DI318" s="408">
        <v>-137.84102288914846</v>
      </c>
      <c r="DJ318" s="408"/>
      <c r="DK318" s="408">
        <v>0</v>
      </c>
      <c r="DL318" s="408">
        <v>0</v>
      </c>
      <c r="DM318" s="408">
        <v>0</v>
      </c>
      <c r="DN318" s="408">
        <v>0</v>
      </c>
      <c r="DO318" s="408">
        <v>-21.787765708039046</v>
      </c>
      <c r="DP318" s="408">
        <v>-1.7176094264055806</v>
      </c>
      <c r="DQ318" s="408">
        <v>0</v>
      </c>
      <c r="DR318" s="408">
        <v>0</v>
      </c>
      <c r="DS318" s="408"/>
      <c r="DT318" s="408"/>
      <c r="DU318" s="408"/>
      <c r="DV318" s="408">
        <v>0</v>
      </c>
      <c r="DW318" s="408">
        <v>0</v>
      </c>
      <c r="DX318" s="408">
        <v>0</v>
      </c>
      <c r="DY318" s="408">
        <v>-89.458160000000134</v>
      </c>
      <c r="DZ318" s="408">
        <v>1636.7810799999988</v>
      </c>
      <c r="EA318" s="408">
        <v>0</v>
      </c>
      <c r="EB318" s="408">
        <v>0</v>
      </c>
      <c r="EC318" s="408">
        <v>0</v>
      </c>
      <c r="ED318" s="408">
        <v>0</v>
      </c>
      <c r="EE318" s="408">
        <v>0</v>
      </c>
      <c r="EF318" s="408">
        <v>0</v>
      </c>
      <c r="EG318" s="408">
        <v>0</v>
      </c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>
        <v>0</v>
      </c>
      <c r="EN318" s="408">
        <v>0</v>
      </c>
      <c r="EO318" s="408">
        <v>0</v>
      </c>
      <c r="EP318" s="408">
        <v>1036.6731242026738</v>
      </c>
      <c r="EQ318" s="408">
        <v>0</v>
      </c>
      <c r="ER318" s="408">
        <v>0</v>
      </c>
      <c r="ES318" s="408">
        <v>0</v>
      </c>
      <c r="ET318" s="408">
        <v>0</v>
      </c>
      <c r="EU318" s="408">
        <v>0</v>
      </c>
      <c r="EV318" s="408">
        <v>240</v>
      </c>
      <c r="EW318" s="408">
        <v>0</v>
      </c>
      <c r="EX318" s="408">
        <v>0</v>
      </c>
      <c r="EY318" s="408">
        <v>0</v>
      </c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317</v>
      </c>
      <c r="B319" s="408" t="s">
        <v>2238</v>
      </c>
      <c r="C319" s="408" t="s">
        <v>2243</v>
      </c>
      <c r="D319" s="408" t="s">
        <v>597</v>
      </c>
      <c r="E319" s="408" t="s">
        <v>974</v>
      </c>
      <c r="F319" s="408" t="s">
        <v>1322</v>
      </c>
      <c r="G319" s="408" t="s">
        <v>1322</v>
      </c>
      <c r="H319" s="408" t="s">
        <v>1322</v>
      </c>
      <c r="I319" s="408" t="s">
        <v>2244</v>
      </c>
      <c r="J319" s="408" t="s">
        <v>2236</v>
      </c>
      <c r="K319" s="826">
        <v>44501</v>
      </c>
      <c r="L319" s="408">
        <v>0</v>
      </c>
      <c r="M319" s="408">
        <v>0</v>
      </c>
      <c r="N319" s="408">
        <v>38.777999999999999</v>
      </c>
      <c r="O319" s="408">
        <v>37.226879999999994</v>
      </c>
      <c r="P319" s="408">
        <v>38.777999999999999</v>
      </c>
      <c r="Q319" s="408">
        <v>37.226879999999994</v>
      </c>
      <c r="R319" s="408"/>
      <c r="S319" s="408">
        <v>85.01</v>
      </c>
      <c r="T319" s="408">
        <v>173.25</v>
      </c>
      <c r="U319" s="408"/>
      <c r="V319" s="408">
        <v>10014.806280000001</v>
      </c>
      <c r="W319" s="408">
        <v>10014.806280000001</v>
      </c>
      <c r="X319" s="408">
        <v>10806.26526</v>
      </c>
      <c r="Y319" s="408">
        <v>0</v>
      </c>
      <c r="Z319" s="408">
        <v>2076.3412292715093</v>
      </c>
      <c r="AA319" s="408">
        <v>0</v>
      </c>
      <c r="AB319" s="408">
        <v>0</v>
      </c>
      <c r="AC319" s="408">
        <v>0</v>
      </c>
      <c r="AD319" s="408">
        <v>0</v>
      </c>
      <c r="AE319" s="408">
        <v>0</v>
      </c>
      <c r="AF319" s="408">
        <v>6605.4627683572671</v>
      </c>
      <c r="AG319" s="408">
        <v>112.7367018473286</v>
      </c>
      <c r="AH319" s="408">
        <v>0</v>
      </c>
      <c r="AI319" s="408">
        <v>0</v>
      </c>
      <c r="AJ319" s="408">
        <v>0</v>
      </c>
      <c r="AK319" s="408">
        <v>0</v>
      </c>
      <c r="AL319" s="408">
        <v>368.74117609412474</v>
      </c>
      <c r="AM319" s="408"/>
      <c r="AN319" s="408">
        <v>31.053958596402016</v>
      </c>
      <c r="AO319" s="408">
        <v>0</v>
      </c>
      <c r="AP319" s="408">
        <v>0</v>
      </c>
      <c r="AQ319" s="408">
        <v>0</v>
      </c>
      <c r="AR319" s="408">
        <v>0</v>
      </c>
      <c r="AS319" s="408">
        <v>0</v>
      </c>
      <c r="AT319" s="408">
        <v>0</v>
      </c>
      <c r="AU319" s="408">
        <v>0</v>
      </c>
      <c r="AV319" s="408">
        <v>0</v>
      </c>
      <c r="AW319" s="408">
        <v>0</v>
      </c>
      <c r="AX319" s="408">
        <v>0</v>
      </c>
      <c r="AY319" s="408">
        <v>0</v>
      </c>
      <c r="AZ319" s="408">
        <v>0</v>
      </c>
      <c r="BA319" s="408"/>
      <c r="BB319" s="408">
        <v>0</v>
      </c>
      <c r="BC319" s="408">
        <v>0</v>
      </c>
      <c r="BD319" s="408">
        <v>0</v>
      </c>
      <c r="BE319" s="408">
        <v>0</v>
      </c>
      <c r="BF319" s="408">
        <v>0</v>
      </c>
      <c r="BG319" s="408">
        <v>290.00734497577253</v>
      </c>
      <c r="BH319" s="408">
        <v>0</v>
      </c>
      <c r="BI319" s="408">
        <v>0</v>
      </c>
      <c r="BJ319" s="408">
        <v>0</v>
      </c>
      <c r="BK319" s="408">
        <v>0</v>
      </c>
      <c r="BL319" s="408">
        <v>0</v>
      </c>
      <c r="BM319" s="408"/>
      <c r="BN319" s="408"/>
      <c r="BO319" s="408"/>
      <c r="BP319" s="408"/>
      <c r="BQ319" s="408"/>
      <c r="BR319" s="408">
        <v>432.25061040000128</v>
      </c>
      <c r="BS319" s="408"/>
      <c r="BT319" s="408"/>
      <c r="BU319" s="408"/>
      <c r="BV319" s="408">
        <v>6895.47011333304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10374.884099999999</v>
      </c>
      <c r="CJ319" s="408">
        <v>760.64007119999951</v>
      </c>
      <c r="CK319" s="408"/>
      <c r="CL319" s="408"/>
      <c r="CM319" s="408"/>
      <c r="CN319" s="408"/>
      <c r="CO319" s="408">
        <v>-45.758040000000264</v>
      </c>
      <c r="CP319" s="408">
        <v>837.21702000000005</v>
      </c>
      <c r="CQ319" s="408">
        <v>30</v>
      </c>
      <c r="CR319" s="408">
        <v>791.34663230820479</v>
      </c>
      <c r="CS319" s="408">
        <v>0</v>
      </c>
      <c r="CT319" s="408">
        <v>0</v>
      </c>
      <c r="CU319" s="408">
        <v>0</v>
      </c>
      <c r="CV319" s="408">
        <v>0</v>
      </c>
      <c r="CW319" s="408">
        <v>0</v>
      </c>
      <c r="CX319" s="408">
        <v>0</v>
      </c>
      <c r="CY319" s="408">
        <v>0</v>
      </c>
      <c r="CZ319" s="408">
        <v>0</v>
      </c>
      <c r="DA319" s="408">
        <v>0</v>
      </c>
      <c r="DB319" s="408">
        <v>0</v>
      </c>
      <c r="DC319" s="408">
        <v>837.12249335697015</v>
      </c>
      <c r="DD319" s="408">
        <v>0</v>
      </c>
      <c r="DE319" s="408">
        <v>0</v>
      </c>
      <c r="DF319" s="408">
        <v>0</v>
      </c>
      <c r="DG319" s="408">
        <v>36.75316631575339</v>
      </c>
      <c r="DH319" s="408">
        <v>0</v>
      </c>
      <c r="DI319" s="408">
        <v>-70.505977755439517</v>
      </c>
      <c r="DJ319" s="408"/>
      <c r="DK319" s="408">
        <v>0</v>
      </c>
      <c r="DL319" s="408">
        <v>0</v>
      </c>
      <c r="DM319" s="408">
        <v>0</v>
      </c>
      <c r="DN319" s="408">
        <v>0</v>
      </c>
      <c r="DO319" s="408">
        <v>-11.144488717173317</v>
      </c>
      <c r="DP319" s="408">
        <v>-0.87856089190570685</v>
      </c>
      <c r="DQ319" s="408">
        <v>0</v>
      </c>
      <c r="DR319" s="408">
        <v>0</v>
      </c>
      <c r="DS319" s="408"/>
      <c r="DT319" s="408"/>
      <c r="DU319" s="408"/>
      <c r="DV319" s="408">
        <v>0</v>
      </c>
      <c r="DW319" s="408">
        <v>0</v>
      </c>
      <c r="DX319" s="408">
        <v>0</v>
      </c>
      <c r="DY319" s="408">
        <v>-45.758040000000165</v>
      </c>
      <c r="DZ319" s="408">
        <v>837.21702000000005</v>
      </c>
      <c r="EA319" s="408">
        <v>0</v>
      </c>
      <c r="EB319" s="408">
        <v>0</v>
      </c>
      <c r="EC319" s="408">
        <v>0</v>
      </c>
      <c r="ED319" s="408">
        <v>0</v>
      </c>
      <c r="EE319" s="408">
        <v>0</v>
      </c>
      <c r="EF319" s="408">
        <v>0</v>
      </c>
      <c r="EG319" s="408">
        <v>0</v>
      </c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>
        <v>0</v>
      </c>
      <c r="EN319" s="408">
        <v>0</v>
      </c>
      <c r="EO319" s="408">
        <v>0</v>
      </c>
      <c r="EP319" s="408">
        <v>530.26051826005482</v>
      </c>
      <c r="EQ319" s="408">
        <v>0</v>
      </c>
      <c r="ER319" s="408">
        <v>0</v>
      </c>
      <c r="ES319" s="408">
        <v>0</v>
      </c>
      <c r="ET319" s="408">
        <v>0</v>
      </c>
      <c r="EU319" s="408">
        <v>0</v>
      </c>
      <c r="EV319" s="408">
        <v>240</v>
      </c>
      <c r="EW319" s="408">
        <v>0</v>
      </c>
      <c r="EX319" s="408">
        <v>0</v>
      </c>
      <c r="EY319" s="408">
        <v>0</v>
      </c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318</v>
      </c>
      <c r="B320" s="408" t="s">
        <v>1036</v>
      </c>
      <c r="C320" s="408" t="s">
        <v>2243</v>
      </c>
      <c r="D320" s="408" t="s">
        <v>597</v>
      </c>
      <c r="E320" s="408" t="s">
        <v>974</v>
      </c>
      <c r="F320" s="408" t="s">
        <v>1322</v>
      </c>
      <c r="G320" s="408" t="s">
        <v>1322</v>
      </c>
      <c r="H320" s="408" t="s">
        <v>1322</v>
      </c>
      <c r="I320" s="408" t="s">
        <v>1322</v>
      </c>
      <c r="J320" s="408" t="s">
        <v>2236</v>
      </c>
      <c r="K320" s="826">
        <v>44501</v>
      </c>
      <c r="L320" s="408">
        <v>651</v>
      </c>
      <c r="M320" s="408">
        <v>624.96</v>
      </c>
      <c r="N320" s="408">
        <v>0</v>
      </c>
      <c r="O320" s="408">
        <v>0</v>
      </c>
      <c r="P320" s="408">
        <v>0</v>
      </c>
      <c r="Q320" s="408">
        <v>0</v>
      </c>
      <c r="R320" s="408">
        <v>27.19</v>
      </c>
      <c r="S320" s="408"/>
      <c r="T320" s="408"/>
      <c r="U320" s="408">
        <v>17700.690000000002</v>
      </c>
      <c r="V320" s="408"/>
      <c r="W320" s="408">
        <v>17700.690000000002</v>
      </c>
      <c r="X320" s="408">
        <v>14165.76</v>
      </c>
      <c r="Y320" s="408">
        <v>0</v>
      </c>
      <c r="Z320" s="408">
        <v>0</v>
      </c>
      <c r="AA320" s="408">
        <v>0</v>
      </c>
      <c r="AB320" s="408">
        <v>0</v>
      </c>
      <c r="AC320" s="408">
        <v>151.81359934134417</v>
      </c>
      <c r="AD320" s="408">
        <v>145.84668043014602</v>
      </c>
      <c r="AE320" s="408">
        <v>15579.751688296834</v>
      </c>
      <c r="AF320" s="408"/>
      <c r="AG320" s="408"/>
      <c r="AH320" s="408"/>
      <c r="AI320" s="408">
        <v>0</v>
      </c>
      <c r="AJ320" s="408">
        <v>0</v>
      </c>
      <c r="AK320" s="408">
        <v>0</v>
      </c>
      <c r="AL320" s="408">
        <v>0</v>
      </c>
      <c r="AM320" s="408"/>
      <c r="AN320" s="408">
        <v>0</v>
      </c>
      <c r="AO320" s="408">
        <v>322.17002503989204</v>
      </c>
      <c r="AP320" s="408">
        <v>1502.5658368004802</v>
      </c>
      <c r="AQ320" s="408">
        <v>0</v>
      </c>
      <c r="AR320" s="408">
        <v>0</v>
      </c>
      <c r="AS320" s="408"/>
      <c r="AT320" s="408"/>
      <c r="AU320" s="408">
        <v>0</v>
      </c>
      <c r="AV320" s="408">
        <v>0</v>
      </c>
      <c r="AW320" s="408">
        <v>0</v>
      </c>
      <c r="AX320" s="408"/>
      <c r="AY320" s="408"/>
      <c r="AZ320" s="408">
        <v>0</v>
      </c>
      <c r="BA320" s="408"/>
      <c r="BB320" s="408">
        <v>0</v>
      </c>
      <c r="BC320" s="408">
        <v>0</v>
      </c>
      <c r="BD320" s="408">
        <v>0</v>
      </c>
      <c r="BE320" s="408">
        <v>0</v>
      </c>
      <c r="BF320" s="408"/>
      <c r="BG320" s="408">
        <v>0</v>
      </c>
      <c r="BH320" s="408">
        <v>0</v>
      </c>
      <c r="BI320" s="408">
        <v>37.01</v>
      </c>
      <c r="BJ320" s="408">
        <v>317.39</v>
      </c>
      <c r="BK320" s="408">
        <v>27.45</v>
      </c>
      <c r="BL320" s="408">
        <v>4</v>
      </c>
      <c r="BM320" s="408"/>
      <c r="BN320" s="408"/>
      <c r="BO320" s="408"/>
      <c r="BP320" s="408"/>
      <c r="BQ320" s="408"/>
      <c r="BR320" s="408">
        <v>566.63039999999921</v>
      </c>
      <c r="BS320" s="408"/>
      <c r="BT320" s="408"/>
      <c r="BU320" s="408"/>
      <c r="BV320" s="408">
        <v>0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13599.129600000002</v>
      </c>
      <c r="CJ320" s="408">
        <v>-3393.5627999999942</v>
      </c>
      <c r="CK320" s="408"/>
      <c r="CL320" s="408"/>
      <c r="CM320" s="408"/>
      <c r="CN320" s="408"/>
      <c r="CO320" s="408">
        <v>-3534.93</v>
      </c>
      <c r="CP320" s="408">
        <v>0</v>
      </c>
      <c r="CQ320" s="408">
        <v>30</v>
      </c>
      <c r="CR320" s="408">
        <v>332.00478479903177</v>
      </c>
      <c r="CS320" s="408">
        <v>32.103554375281021</v>
      </c>
      <c r="CT320" s="408">
        <v>149.72747398890147</v>
      </c>
      <c r="CU320" s="408">
        <v>0</v>
      </c>
      <c r="CV320" s="408">
        <v>0</v>
      </c>
      <c r="CW320" s="408"/>
      <c r="CX320" s="408"/>
      <c r="CY320" s="408"/>
      <c r="CZ320" s="408">
        <v>150.17375643484922</v>
      </c>
      <c r="DA320" s="408">
        <v>0</v>
      </c>
      <c r="DB320" s="408">
        <v>0</v>
      </c>
      <c r="DC320" s="408"/>
      <c r="DD320" s="408"/>
      <c r="DE320" s="408">
        <v>0</v>
      </c>
      <c r="DF320" s="408">
        <v>0</v>
      </c>
      <c r="DG320" s="408">
        <v>0</v>
      </c>
      <c r="DH320" s="408">
        <v>0</v>
      </c>
      <c r="DI320" s="408">
        <v>0</v>
      </c>
      <c r="DJ320" s="408"/>
      <c r="DK320" s="408">
        <v>0</v>
      </c>
      <c r="DL320" s="408">
        <v>0</v>
      </c>
      <c r="DM320" s="408"/>
      <c r="DN320" s="408">
        <v>0</v>
      </c>
      <c r="DO320" s="408">
        <v>0</v>
      </c>
      <c r="DP320" s="408">
        <v>0</v>
      </c>
      <c r="DQ320" s="408">
        <v>0</v>
      </c>
      <c r="DR320" s="408">
        <v>0</v>
      </c>
      <c r="DS320" s="408"/>
      <c r="DT320" s="408"/>
      <c r="DU320" s="408">
        <v>15579.751688296834</v>
      </c>
      <c r="DV320" s="408"/>
      <c r="DW320" s="408">
        <v>0</v>
      </c>
      <c r="DX320" s="408">
        <v>0</v>
      </c>
      <c r="DY320" s="408">
        <v>-3534.9300000000021</v>
      </c>
      <c r="DZ320" s="408"/>
      <c r="EA320" s="408">
        <v>0</v>
      </c>
      <c r="EB320" s="408"/>
      <c r="EC320" s="408">
        <v>-3870.2745919411409</v>
      </c>
      <c r="ED320" s="408"/>
      <c r="EE320" s="408">
        <v>0</v>
      </c>
      <c r="EF320" s="408">
        <v>0</v>
      </c>
      <c r="EG320" s="408"/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/>
      <c r="EN320" s="408"/>
      <c r="EO320" s="408">
        <v>0</v>
      </c>
      <c r="EP320" s="408">
        <v>0</v>
      </c>
      <c r="EQ320" s="408"/>
      <c r="ER320" s="408">
        <v>0</v>
      </c>
      <c r="ES320" s="408"/>
      <c r="ET320" s="408">
        <v>0</v>
      </c>
      <c r="EU320" s="408"/>
      <c r="EV320" s="408">
        <v>240</v>
      </c>
      <c r="EW320" s="408"/>
      <c r="EX320" s="408"/>
      <c r="EY320" s="408"/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319</v>
      </c>
      <c r="B321" s="408" t="s">
        <v>2238</v>
      </c>
      <c r="C321" s="408" t="s">
        <v>2243</v>
      </c>
      <c r="D321" s="408" t="s">
        <v>597</v>
      </c>
      <c r="E321" s="408" t="s">
        <v>974</v>
      </c>
      <c r="F321" s="408" t="s">
        <v>1322</v>
      </c>
      <c r="G321" s="408" t="s">
        <v>1322</v>
      </c>
      <c r="H321" s="408" t="s">
        <v>1322</v>
      </c>
      <c r="I321" s="408" t="s">
        <v>1322</v>
      </c>
      <c r="J321" s="408" t="s">
        <v>2236</v>
      </c>
      <c r="K321" s="826">
        <v>44501</v>
      </c>
      <c r="L321" s="408">
        <v>147</v>
      </c>
      <c r="M321" s="408">
        <v>141.12</v>
      </c>
      <c r="N321" s="408">
        <v>0</v>
      </c>
      <c r="O321" s="408">
        <v>0</v>
      </c>
      <c r="P321" s="408">
        <v>0</v>
      </c>
      <c r="Q321" s="408">
        <v>0</v>
      </c>
      <c r="R321" s="408">
        <v>27.19</v>
      </c>
      <c r="S321" s="408"/>
      <c r="T321" s="408"/>
      <c r="U321" s="408">
        <v>3996.9300000000003</v>
      </c>
      <c r="V321" s="408"/>
      <c r="W321" s="408">
        <v>3996.9300000000003</v>
      </c>
      <c r="X321" s="408">
        <v>3198.7200000000003</v>
      </c>
      <c r="Y321" s="408">
        <v>0</v>
      </c>
      <c r="Z321" s="408">
        <v>0</v>
      </c>
      <c r="AA321" s="408">
        <v>0</v>
      </c>
      <c r="AB321" s="408">
        <v>0</v>
      </c>
      <c r="AC321" s="408">
        <v>34.280490173851909</v>
      </c>
      <c r="AD321" s="408">
        <v>32.933121387452331</v>
      </c>
      <c r="AE321" s="408">
        <v>3518.0084457444464</v>
      </c>
      <c r="AF321" s="408"/>
      <c r="AG321" s="408"/>
      <c r="AH321" s="408"/>
      <c r="AI321" s="408">
        <v>0</v>
      </c>
      <c r="AJ321" s="408">
        <v>0</v>
      </c>
      <c r="AK321" s="408">
        <v>0</v>
      </c>
      <c r="AL321" s="408">
        <v>0</v>
      </c>
      <c r="AM321" s="408"/>
      <c r="AN321" s="408">
        <v>0</v>
      </c>
      <c r="AO321" s="408">
        <v>72.748070170298206</v>
      </c>
      <c r="AP321" s="408">
        <v>339.28905992268903</v>
      </c>
      <c r="AQ321" s="408">
        <v>0</v>
      </c>
      <c r="AR321" s="408">
        <v>0</v>
      </c>
      <c r="AS321" s="408"/>
      <c r="AT321" s="408"/>
      <c r="AU321" s="408">
        <v>0</v>
      </c>
      <c r="AV321" s="408">
        <v>0</v>
      </c>
      <c r="AW321" s="408">
        <v>0</v>
      </c>
      <c r="AX321" s="408"/>
      <c r="AY321" s="408"/>
      <c r="AZ321" s="408">
        <v>0</v>
      </c>
      <c r="BA321" s="408"/>
      <c r="BB321" s="408">
        <v>0</v>
      </c>
      <c r="BC321" s="408">
        <v>0</v>
      </c>
      <c r="BD321" s="408">
        <v>0</v>
      </c>
      <c r="BE321" s="408">
        <v>0</v>
      </c>
      <c r="BF321" s="408"/>
      <c r="BG321" s="408">
        <v>0</v>
      </c>
      <c r="BH321" s="408">
        <v>0</v>
      </c>
      <c r="BI321" s="408">
        <v>14.12</v>
      </c>
      <c r="BJ321" s="408">
        <v>121.03</v>
      </c>
      <c r="BK321" s="408">
        <v>5.76</v>
      </c>
      <c r="BL321" s="408">
        <v>1</v>
      </c>
      <c r="BM321" s="408"/>
      <c r="BN321" s="408"/>
      <c r="BO321" s="408"/>
      <c r="BP321" s="408"/>
      <c r="BQ321" s="408"/>
      <c r="BR321" s="408">
        <v>127.94879999999991</v>
      </c>
      <c r="BS321" s="408"/>
      <c r="BT321" s="408"/>
      <c r="BU321" s="408"/>
      <c r="BV321" s="408">
        <v>0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3070.7712000000001</v>
      </c>
      <c r="CJ321" s="408">
        <v>-766.31160000000091</v>
      </c>
      <c r="CK321" s="408"/>
      <c r="CL321" s="408"/>
      <c r="CM321" s="408"/>
      <c r="CN321" s="408"/>
      <c r="CO321" s="408">
        <v>-798.20999999999992</v>
      </c>
      <c r="CP321" s="408">
        <v>0</v>
      </c>
      <c r="CQ321" s="408">
        <v>30</v>
      </c>
      <c r="CR321" s="408">
        <v>74.968822373974945</v>
      </c>
      <c r="CS321" s="408">
        <v>7.2491896976440984</v>
      </c>
      <c r="CT321" s="408">
        <v>33.809429610397103</v>
      </c>
      <c r="CU321" s="408">
        <v>0</v>
      </c>
      <c r="CV321" s="408">
        <v>0</v>
      </c>
      <c r="CW321" s="408"/>
      <c r="CX321" s="408"/>
      <c r="CY321" s="408"/>
      <c r="CZ321" s="408">
        <v>33.910203065933686</v>
      </c>
      <c r="DA321" s="408">
        <v>0</v>
      </c>
      <c r="DB321" s="408">
        <v>0</v>
      </c>
      <c r="DC321" s="408"/>
      <c r="DD321" s="408"/>
      <c r="DE321" s="408">
        <v>0</v>
      </c>
      <c r="DF321" s="408">
        <v>0</v>
      </c>
      <c r="DG321" s="408">
        <v>0</v>
      </c>
      <c r="DH321" s="408">
        <v>0</v>
      </c>
      <c r="DI321" s="408">
        <v>0</v>
      </c>
      <c r="DJ321" s="408"/>
      <c r="DK321" s="408">
        <v>0</v>
      </c>
      <c r="DL321" s="408">
        <v>0</v>
      </c>
      <c r="DM321" s="408"/>
      <c r="DN321" s="408">
        <v>0</v>
      </c>
      <c r="DO321" s="408">
        <v>0</v>
      </c>
      <c r="DP321" s="408">
        <v>0</v>
      </c>
      <c r="DQ321" s="408">
        <v>0</v>
      </c>
      <c r="DR321" s="408">
        <v>0</v>
      </c>
      <c r="DS321" s="408"/>
      <c r="DT321" s="408"/>
      <c r="DU321" s="408">
        <v>3518.0084457444464</v>
      </c>
      <c r="DV321" s="408"/>
      <c r="DW321" s="408">
        <v>0</v>
      </c>
      <c r="DX321" s="408">
        <v>0</v>
      </c>
      <c r="DY321" s="408">
        <v>-798.21</v>
      </c>
      <c r="DZ321" s="408"/>
      <c r="EA321" s="408">
        <v>0</v>
      </c>
      <c r="EB321" s="408"/>
      <c r="EC321" s="408">
        <v>-873.93297237380602</v>
      </c>
      <c r="ED321" s="408"/>
      <c r="EE321" s="408">
        <v>0</v>
      </c>
      <c r="EF321" s="408">
        <v>0</v>
      </c>
      <c r="EG321" s="408"/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/>
      <c r="EN321" s="408"/>
      <c r="EO321" s="408">
        <v>0</v>
      </c>
      <c r="EP321" s="408">
        <v>0</v>
      </c>
      <c r="EQ321" s="408"/>
      <c r="ER321" s="408">
        <v>0</v>
      </c>
      <c r="ES321" s="408"/>
      <c r="ET321" s="408">
        <v>0</v>
      </c>
      <c r="EU321" s="408"/>
      <c r="EV321" s="408">
        <v>240</v>
      </c>
      <c r="EW321" s="408"/>
      <c r="EX321" s="408"/>
      <c r="EY321" s="408"/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320</v>
      </c>
      <c r="B322" s="408" t="s">
        <v>1036</v>
      </c>
      <c r="C322" s="408" t="s">
        <v>2235</v>
      </c>
      <c r="D322" s="408" t="s">
        <v>1958</v>
      </c>
      <c r="E322" s="408" t="s">
        <v>2246</v>
      </c>
      <c r="F322" s="408" t="s">
        <v>1322</v>
      </c>
      <c r="G322" s="408" t="s">
        <v>1322</v>
      </c>
      <c r="H322" s="408" t="s">
        <v>1322</v>
      </c>
      <c r="I322" s="408" t="s">
        <v>1322</v>
      </c>
      <c r="J322" s="408" t="s">
        <v>2236</v>
      </c>
      <c r="K322" s="826">
        <v>44501</v>
      </c>
      <c r="L322" s="408">
        <v>0</v>
      </c>
      <c r="M322" s="408">
        <v>0</v>
      </c>
      <c r="N322" s="408">
        <v>464.92</v>
      </c>
      <c r="O322" s="408">
        <v>464.92</v>
      </c>
      <c r="P322" s="408">
        <v>464.92</v>
      </c>
      <c r="Q322" s="408">
        <v>464.92</v>
      </c>
      <c r="R322" s="408"/>
      <c r="S322" s="408">
        <v>368.24</v>
      </c>
      <c r="T322" s="408">
        <v>173.25</v>
      </c>
      <c r="U322" s="408"/>
      <c r="V322" s="408">
        <v>251749.53080000001</v>
      </c>
      <c r="W322" s="408">
        <v>251749.53080000001</v>
      </c>
      <c r="X322" s="408">
        <v>236593.13880000002</v>
      </c>
      <c r="Y322" s="408">
        <v>0</v>
      </c>
      <c r="Z322" s="408">
        <v>28613.586573051289</v>
      </c>
      <c r="AA322" s="408">
        <v>0</v>
      </c>
      <c r="AB322" s="408">
        <v>0</v>
      </c>
      <c r="AC322" s="408">
        <v>1189.9801116803908</v>
      </c>
      <c r="AD322" s="408">
        <v>1143.3040485143697</v>
      </c>
      <c r="AE322" s="408">
        <v>109505.91122561539</v>
      </c>
      <c r="AF322" s="408">
        <v>79194.691584523724</v>
      </c>
      <c r="AG322" s="408">
        <v>1351.631013019238</v>
      </c>
      <c r="AH322" s="408">
        <v>0</v>
      </c>
      <c r="AI322" s="408">
        <v>0</v>
      </c>
      <c r="AJ322" s="408">
        <v>0</v>
      </c>
      <c r="AK322" s="408">
        <v>0</v>
      </c>
      <c r="AL322" s="408">
        <v>4420.9383565341295</v>
      </c>
      <c r="AM322" s="408"/>
      <c r="AN322" s="408">
        <v>561.55674364151571</v>
      </c>
      <c r="AO322" s="408">
        <v>2526.0942580579076</v>
      </c>
      <c r="AP322" s="408">
        <v>11778.804858307729</v>
      </c>
      <c r="AQ322" s="408">
        <v>0</v>
      </c>
      <c r="AR322" s="408">
        <v>0</v>
      </c>
      <c r="AS322" s="408">
        <v>0</v>
      </c>
      <c r="AT322" s="408">
        <v>0</v>
      </c>
      <c r="AU322" s="408">
        <v>0</v>
      </c>
      <c r="AV322" s="408">
        <v>0</v>
      </c>
      <c r="AW322" s="408">
        <v>0</v>
      </c>
      <c r="AX322" s="408">
        <v>0</v>
      </c>
      <c r="AY322" s="408">
        <v>0</v>
      </c>
      <c r="AZ322" s="408">
        <v>0</v>
      </c>
      <c r="BA322" s="408"/>
      <c r="BB322" s="408">
        <v>0</v>
      </c>
      <c r="BC322" s="408">
        <v>0</v>
      </c>
      <c r="BD322" s="408">
        <v>0</v>
      </c>
      <c r="BE322" s="408">
        <v>0</v>
      </c>
      <c r="BF322" s="408">
        <v>0</v>
      </c>
      <c r="BG322" s="408">
        <v>4156.2880152957277</v>
      </c>
      <c r="BH322" s="408">
        <v>0</v>
      </c>
      <c r="BI322" s="408">
        <v>210.35</v>
      </c>
      <c r="BJ322" s="408">
        <v>1827.82</v>
      </c>
      <c r="BK322" s="408">
        <v>116604.85</v>
      </c>
      <c r="BL322" s="408">
        <v>584</v>
      </c>
      <c r="BM322" s="408"/>
      <c r="BN322" s="408"/>
      <c r="BO322" s="408"/>
      <c r="BP322" s="408"/>
      <c r="BQ322" s="408"/>
      <c r="BR322" s="408"/>
      <c r="BS322" s="408"/>
      <c r="BT322" s="408"/>
      <c r="BU322" s="408"/>
      <c r="BV322" s="408">
        <v>83350.979599819446</v>
      </c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>
        <v>236593.13880000002</v>
      </c>
      <c r="CJ322" s="408">
        <v>-15156.42200000002</v>
      </c>
      <c r="CK322" s="408"/>
      <c r="CL322" s="408"/>
      <c r="CM322" s="408"/>
      <c r="CN322" s="408"/>
      <c r="CO322" s="408">
        <v>-25194.014800000001</v>
      </c>
      <c r="CP322" s="408">
        <v>10037.622800000003</v>
      </c>
      <c r="CQ322" s="408">
        <v>30</v>
      </c>
      <c r="CR322" s="408">
        <v>12044.772113258427</v>
      </c>
      <c r="CS322" s="408">
        <v>251.71989343392761</v>
      </c>
      <c r="CT322" s="408">
        <v>1173.7327276108008</v>
      </c>
      <c r="CU322" s="408">
        <v>0</v>
      </c>
      <c r="CV322" s="408">
        <v>0</v>
      </c>
      <c r="CW322" s="408">
        <v>0</v>
      </c>
      <c r="CX322" s="408">
        <v>0</v>
      </c>
      <c r="CY322" s="408">
        <v>0</v>
      </c>
      <c r="CZ322" s="408">
        <v>1177.2243509841655</v>
      </c>
      <c r="DA322" s="408">
        <v>0</v>
      </c>
      <c r="DB322" s="408">
        <v>0</v>
      </c>
      <c r="DC322" s="408">
        <v>10036.489494340145</v>
      </c>
      <c r="DD322" s="408">
        <v>0</v>
      </c>
      <c r="DE322" s="408">
        <v>0</v>
      </c>
      <c r="DF322" s="408">
        <v>0</v>
      </c>
      <c r="DG322" s="408">
        <v>526.7340545981815</v>
      </c>
      <c r="DH322" s="408">
        <v>0</v>
      </c>
      <c r="DI322" s="408">
        <v>-971.62685496101039</v>
      </c>
      <c r="DJ322" s="408"/>
      <c r="DK322" s="408">
        <v>0</v>
      </c>
      <c r="DL322" s="408">
        <v>0</v>
      </c>
      <c r="DM322" s="408">
        <v>0</v>
      </c>
      <c r="DN322" s="408">
        <v>0</v>
      </c>
      <c r="DO322" s="408">
        <v>-133.61430951540024</v>
      </c>
      <c r="DP322" s="408">
        <v>-15.887243232381252</v>
      </c>
      <c r="DQ322" s="408">
        <v>0</v>
      </c>
      <c r="DR322" s="408">
        <v>0</v>
      </c>
      <c r="DS322" s="408"/>
      <c r="DT322" s="408"/>
      <c r="DU322" s="408"/>
      <c r="DV322" s="408">
        <v>109505.91122561539</v>
      </c>
      <c r="DW322" s="408">
        <v>0</v>
      </c>
      <c r="DX322" s="408">
        <v>0</v>
      </c>
      <c r="DY322" s="408">
        <v>-25194.014800000004</v>
      </c>
      <c r="DZ322" s="408">
        <v>10037.622800000012</v>
      </c>
      <c r="EA322" s="408">
        <v>0</v>
      </c>
      <c r="EB322" s="408">
        <v>0</v>
      </c>
      <c r="EC322" s="408">
        <v>-27203.12584970337</v>
      </c>
      <c r="ED322" s="408">
        <v>0</v>
      </c>
      <c r="EE322" s="408">
        <v>0</v>
      </c>
      <c r="EF322" s="408">
        <v>0</v>
      </c>
      <c r="EG322" s="408">
        <v>0</v>
      </c>
      <c r="EH322" s="408">
        <v>0</v>
      </c>
      <c r="EI322" s="408">
        <v>0</v>
      </c>
      <c r="EJ322" s="408">
        <v>0</v>
      </c>
      <c r="EK322" s="408">
        <v>0</v>
      </c>
      <c r="EL322" s="408">
        <v>0</v>
      </c>
      <c r="EM322" s="408">
        <v>0</v>
      </c>
      <c r="EN322" s="408">
        <v>0</v>
      </c>
      <c r="EO322" s="408">
        <v>0</v>
      </c>
      <c r="EP322" s="408">
        <v>7307.3996853727394</v>
      </c>
      <c r="EQ322" s="408">
        <v>0</v>
      </c>
      <c r="ER322" s="408">
        <v>0</v>
      </c>
      <c r="ES322" s="408">
        <v>0</v>
      </c>
      <c r="ET322" s="408">
        <v>0</v>
      </c>
      <c r="EU322" s="408">
        <v>0</v>
      </c>
      <c r="EV322" s="408">
        <v>240</v>
      </c>
      <c r="EW322" s="408">
        <v>0</v>
      </c>
      <c r="EX322" s="408">
        <v>0</v>
      </c>
      <c r="EY322" s="408">
        <v>0</v>
      </c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321</v>
      </c>
      <c r="B323" s="408" t="s">
        <v>2238</v>
      </c>
      <c r="C323" s="408" t="s">
        <v>2235</v>
      </c>
      <c r="D323" s="408" t="s">
        <v>1958</v>
      </c>
      <c r="E323" s="408" t="s">
        <v>2246</v>
      </c>
      <c r="F323" s="408" t="s">
        <v>1322</v>
      </c>
      <c r="G323" s="408" t="s">
        <v>1322</v>
      </c>
      <c r="H323" s="408" t="s">
        <v>1322</v>
      </c>
      <c r="I323" s="408" t="s">
        <v>1322</v>
      </c>
      <c r="J323" s="408" t="s">
        <v>2236</v>
      </c>
      <c r="K323" s="826">
        <v>44501</v>
      </c>
      <c r="L323" s="408">
        <v>0</v>
      </c>
      <c r="M323" s="408">
        <v>0</v>
      </c>
      <c r="N323" s="408">
        <v>1.4570000000000001</v>
      </c>
      <c r="O323" s="408">
        <v>1.4570000000000001</v>
      </c>
      <c r="P323" s="408">
        <v>1.4570000000000001</v>
      </c>
      <c r="Q323" s="408">
        <v>1.4570000000000001</v>
      </c>
      <c r="R323" s="408"/>
      <c r="S323" s="408">
        <v>368.24</v>
      </c>
      <c r="T323" s="408">
        <v>173.25</v>
      </c>
      <c r="U323" s="408"/>
      <c r="V323" s="408">
        <v>788.95093000000008</v>
      </c>
      <c r="W323" s="408">
        <v>788.95093000000008</v>
      </c>
      <c r="X323" s="408">
        <v>741.45273000000009</v>
      </c>
      <c r="Y323" s="408">
        <v>0</v>
      </c>
      <c r="Z323" s="408">
        <v>89.671331921482675</v>
      </c>
      <c r="AA323" s="408">
        <v>0</v>
      </c>
      <c r="AB323" s="408">
        <v>0</v>
      </c>
      <c r="AC323" s="408">
        <v>3.7292459406313547</v>
      </c>
      <c r="AD323" s="408">
        <v>3.5829691101381673</v>
      </c>
      <c r="AE323" s="408">
        <v>343.17756314144714</v>
      </c>
      <c r="AF323" s="408">
        <v>248.18606564280105</v>
      </c>
      <c r="AG323" s="408">
        <v>4.2358392539986021</v>
      </c>
      <c r="AH323" s="408">
        <v>0</v>
      </c>
      <c r="AI323" s="408">
        <v>0</v>
      </c>
      <c r="AJ323" s="408">
        <v>0</v>
      </c>
      <c r="AK323" s="408">
        <v>0</v>
      </c>
      <c r="AL323" s="408">
        <v>13.854657114063123</v>
      </c>
      <c r="AM323" s="408"/>
      <c r="AN323" s="408">
        <v>1.7598472328264829</v>
      </c>
      <c r="AO323" s="408">
        <v>7.9164573130654121</v>
      </c>
      <c r="AP323" s="408">
        <v>36.913272559912158</v>
      </c>
      <c r="AQ323" s="408">
        <v>0</v>
      </c>
      <c r="AR323" s="408">
        <v>0</v>
      </c>
      <c r="AS323" s="408">
        <v>0</v>
      </c>
      <c r="AT323" s="408">
        <v>0</v>
      </c>
      <c r="AU323" s="408">
        <v>0</v>
      </c>
      <c r="AV323" s="408">
        <v>0</v>
      </c>
      <c r="AW323" s="408">
        <v>0</v>
      </c>
      <c r="AX323" s="408">
        <v>0</v>
      </c>
      <c r="AY323" s="408">
        <v>0</v>
      </c>
      <c r="AZ323" s="408">
        <v>0</v>
      </c>
      <c r="BA323" s="408"/>
      <c r="BB323" s="408">
        <v>0</v>
      </c>
      <c r="BC323" s="408">
        <v>0</v>
      </c>
      <c r="BD323" s="408">
        <v>0</v>
      </c>
      <c r="BE323" s="408">
        <v>0</v>
      </c>
      <c r="BF323" s="408">
        <v>0</v>
      </c>
      <c r="BG323" s="408">
        <v>13.025276689077424</v>
      </c>
      <c r="BH323" s="408">
        <v>0</v>
      </c>
      <c r="BI323" s="408">
        <v>0.66</v>
      </c>
      <c r="BJ323" s="408">
        <v>5.72</v>
      </c>
      <c r="BK323" s="408">
        <v>526.63</v>
      </c>
      <c r="BL323" s="408">
        <v>2</v>
      </c>
      <c r="BM323" s="408"/>
      <c r="BN323" s="408"/>
      <c r="BO323" s="408"/>
      <c r="BP323" s="408"/>
      <c r="BQ323" s="408"/>
      <c r="BR323" s="408"/>
      <c r="BS323" s="408"/>
      <c r="BT323" s="408"/>
      <c r="BU323" s="408"/>
      <c r="BV323" s="408">
        <v>261.21134233187848</v>
      </c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>
        <v>742.97940000000006</v>
      </c>
      <c r="CJ323" s="408">
        <v>-46.001530000000002</v>
      </c>
      <c r="CK323" s="408"/>
      <c r="CL323" s="408"/>
      <c r="CM323" s="408"/>
      <c r="CN323" s="408"/>
      <c r="CO323" s="408">
        <v>-78.954830000000001</v>
      </c>
      <c r="CP323" s="408">
        <v>31.456630000000008</v>
      </c>
      <c r="CQ323" s="408">
        <v>30</v>
      </c>
      <c r="CR323" s="408">
        <v>37.74678002455812</v>
      </c>
      <c r="CS323" s="408">
        <v>0.7888580502736664</v>
      </c>
      <c r="CT323" s="408">
        <v>3.6783287105930853</v>
      </c>
      <c r="CU323" s="408">
        <v>0</v>
      </c>
      <c r="CV323" s="408">
        <v>0</v>
      </c>
      <c r="CW323" s="408">
        <v>0</v>
      </c>
      <c r="CX323" s="408">
        <v>0</v>
      </c>
      <c r="CY323" s="408">
        <v>0</v>
      </c>
      <c r="CZ323" s="408">
        <v>3.6892710130429514</v>
      </c>
      <c r="DA323" s="408">
        <v>0</v>
      </c>
      <c r="DB323" s="408">
        <v>0</v>
      </c>
      <c r="DC323" s="408">
        <v>31.453078364565101</v>
      </c>
      <c r="DD323" s="408">
        <v>0</v>
      </c>
      <c r="DE323" s="408">
        <v>0</v>
      </c>
      <c r="DF323" s="408">
        <v>0</v>
      </c>
      <c r="DG323" s="408">
        <v>1.6507173654597551</v>
      </c>
      <c r="DH323" s="408">
        <v>0</v>
      </c>
      <c r="DI323" s="408">
        <v>-3.0449546753811063</v>
      </c>
      <c r="DJ323" s="408"/>
      <c r="DK323" s="408">
        <v>0</v>
      </c>
      <c r="DL323" s="408">
        <v>0</v>
      </c>
      <c r="DM323" s="408">
        <v>0</v>
      </c>
      <c r="DN323" s="408">
        <v>0</v>
      </c>
      <c r="DO323" s="408">
        <v>-0.41873020942084338</v>
      </c>
      <c r="DP323" s="408">
        <v>-4.9788594574506684E-2</v>
      </c>
      <c r="DQ323" s="408">
        <v>0</v>
      </c>
      <c r="DR323" s="408">
        <v>0</v>
      </c>
      <c r="DS323" s="408"/>
      <c r="DT323" s="408"/>
      <c r="DU323" s="408"/>
      <c r="DV323" s="408">
        <v>343.17756314144714</v>
      </c>
      <c r="DW323" s="408">
        <v>0</v>
      </c>
      <c r="DX323" s="408">
        <v>0</v>
      </c>
      <c r="DY323" s="408">
        <v>-78.954830000000015</v>
      </c>
      <c r="DZ323" s="408">
        <v>31.456630000000018</v>
      </c>
      <c r="EA323" s="408">
        <v>0</v>
      </c>
      <c r="EB323" s="408">
        <v>0</v>
      </c>
      <c r="EC323" s="408">
        <v>-85.251127856443645</v>
      </c>
      <c r="ED323" s="408">
        <v>0</v>
      </c>
      <c r="EE323" s="408">
        <v>0</v>
      </c>
      <c r="EF323" s="408">
        <v>0</v>
      </c>
      <c r="EG323" s="408">
        <v>0</v>
      </c>
      <c r="EH323" s="408">
        <v>0</v>
      </c>
      <c r="EI323" s="408">
        <v>0</v>
      </c>
      <c r="EJ323" s="408">
        <v>0</v>
      </c>
      <c r="EK323" s="408">
        <v>0</v>
      </c>
      <c r="EL323" s="408">
        <v>0</v>
      </c>
      <c r="EM323" s="408">
        <v>0</v>
      </c>
      <c r="EN323" s="408">
        <v>0</v>
      </c>
      <c r="EO323" s="408">
        <v>0</v>
      </c>
      <c r="EP323" s="408">
        <v>22.900458878060917</v>
      </c>
      <c r="EQ323" s="408">
        <v>0</v>
      </c>
      <c r="ER323" s="408">
        <v>0</v>
      </c>
      <c r="ES323" s="408">
        <v>0</v>
      </c>
      <c r="ET323" s="408">
        <v>0</v>
      </c>
      <c r="EU323" s="408">
        <v>0</v>
      </c>
      <c r="EV323" s="408">
        <v>240</v>
      </c>
      <c r="EW323" s="408">
        <v>0</v>
      </c>
      <c r="EX323" s="408">
        <v>0</v>
      </c>
      <c r="EY323" s="408">
        <v>0</v>
      </c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322</v>
      </c>
      <c r="B324" s="408" t="s">
        <v>1036</v>
      </c>
      <c r="C324" s="408" t="s">
        <v>2243</v>
      </c>
      <c r="D324" s="408" t="s">
        <v>597</v>
      </c>
      <c r="E324" s="408" t="s">
        <v>2246</v>
      </c>
      <c r="F324" s="408" t="s">
        <v>1322</v>
      </c>
      <c r="G324" s="408" t="s">
        <v>1322</v>
      </c>
      <c r="H324" s="408" t="s">
        <v>1322</v>
      </c>
      <c r="I324" s="408" t="s">
        <v>973</v>
      </c>
      <c r="J324" s="408" t="s">
        <v>2236</v>
      </c>
      <c r="K324" s="826">
        <v>44501</v>
      </c>
      <c r="L324" s="408">
        <v>0</v>
      </c>
      <c r="M324" s="408">
        <v>0</v>
      </c>
      <c r="N324" s="408">
        <v>4.0940000000000003</v>
      </c>
      <c r="O324" s="408">
        <v>4.0940000000000003</v>
      </c>
      <c r="P324" s="408">
        <v>4.0940000000000003</v>
      </c>
      <c r="Q324" s="408">
        <v>4.0940000000000003</v>
      </c>
      <c r="R324" s="408"/>
      <c r="S324" s="408">
        <v>1358.36</v>
      </c>
      <c r="T324" s="408">
        <v>173.25</v>
      </c>
      <c r="U324" s="408"/>
      <c r="V324" s="408">
        <v>6270.4113399999997</v>
      </c>
      <c r="W324" s="408">
        <v>6270.4113399999997</v>
      </c>
      <c r="X324" s="408">
        <v>5497.9144800000004</v>
      </c>
      <c r="Y324" s="408">
        <v>0</v>
      </c>
      <c r="Z324" s="408">
        <v>219.21040261585333</v>
      </c>
      <c r="AA324" s="408">
        <v>0</v>
      </c>
      <c r="AB324" s="408">
        <v>0</v>
      </c>
      <c r="AC324" s="408">
        <v>77.548909645689704</v>
      </c>
      <c r="AD324" s="408">
        <v>74.507342594747882</v>
      </c>
      <c r="AE324" s="408">
        <v>4128.8305925806744</v>
      </c>
      <c r="AF324" s="408">
        <v>697.3738865762715</v>
      </c>
      <c r="AG324" s="408">
        <v>11.902214074035879</v>
      </c>
      <c r="AH324" s="408">
        <v>0</v>
      </c>
      <c r="AI324" s="408">
        <v>0</v>
      </c>
      <c r="AJ324" s="408">
        <v>0</v>
      </c>
      <c r="AK324" s="408">
        <v>0</v>
      </c>
      <c r="AL324" s="408">
        <v>38.929969955370233</v>
      </c>
      <c r="AM324" s="408"/>
      <c r="AN324" s="408">
        <v>3.278531809110059</v>
      </c>
      <c r="AO324" s="408">
        <v>164.62310605973869</v>
      </c>
      <c r="AP324" s="408">
        <v>767.60903822489774</v>
      </c>
      <c r="AQ324" s="408">
        <v>0</v>
      </c>
      <c r="AR324" s="408">
        <v>0</v>
      </c>
      <c r="AS324" s="408">
        <v>0</v>
      </c>
      <c r="AT324" s="408">
        <v>0</v>
      </c>
      <c r="AU324" s="408">
        <v>0</v>
      </c>
      <c r="AV324" s="408">
        <v>0</v>
      </c>
      <c r="AW324" s="408">
        <v>0</v>
      </c>
      <c r="AX324" s="408">
        <v>0</v>
      </c>
      <c r="AY324" s="408">
        <v>0</v>
      </c>
      <c r="AZ324" s="408">
        <v>0</v>
      </c>
      <c r="BA324" s="408"/>
      <c r="BB324" s="408">
        <v>0</v>
      </c>
      <c r="BC324" s="408">
        <v>0</v>
      </c>
      <c r="BD324" s="408">
        <v>0</v>
      </c>
      <c r="BE324" s="408">
        <v>0</v>
      </c>
      <c r="BF324" s="408">
        <v>0</v>
      </c>
      <c r="BG324" s="408">
        <v>30.617620050822964</v>
      </c>
      <c r="BH324" s="408">
        <v>0</v>
      </c>
      <c r="BI324" s="408">
        <v>0</v>
      </c>
      <c r="BJ324" s="408">
        <v>0</v>
      </c>
      <c r="BK324" s="408">
        <v>0</v>
      </c>
      <c r="BL324" s="408">
        <v>0</v>
      </c>
      <c r="BM324" s="408"/>
      <c r="BN324" s="408"/>
      <c r="BO324" s="408"/>
      <c r="BP324" s="408"/>
      <c r="BQ324" s="408"/>
      <c r="BR324" s="408"/>
      <c r="BS324" s="408"/>
      <c r="BT324" s="408"/>
      <c r="BU324" s="408"/>
      <c r="BV324" s="408">
        <v>727.99150662709451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5492.5427999999993</v>
      </c>
      <c r="CJ324" s="408">
        <v>-777.89854000000105</v>
      </c>
      <c r="CK324" s="408"/>
      <c r="CL324" s="408"/>
      <c r="CM324" s="408"/>
      <c r="CN324" s="408"/>
      <c r="CO324" s="408">
        <v>-860.88631999999996</v>
      </c>
      <c r="CP324" s="408">
        <v>88.389460000000014</v>
      </c>
      <c r="CQ324" s="408">
        <v>30</v>
      </c>
      <c r="CR324" s="408">
        <v>253.15949527085331</v>
      </c>
      <c r="CS324" s="408">
        <v>16.404340646408713</v>
      </c>
      <c r="CT324" s="408">
        <v>76.490599938834634</v>
      </c>
      <c r="CU324" s="408">
        <v>0</v>
      </c>
      <c r="CV324" s="408">
        <v>0</v>
      </c>
      <c r="CW324" s="408">
        <v>0</v>
      </c>
      <c r="CX324" s="408">
        <v>0</v>
      </c>
      <c r="CY324" s="408">
        <v>0</v>
      </c>
      <c r="CZ324" s="408">
        <v>76.717875829820883</v>
      </c>
      <c r="DA324" s="408">
        <v>0</v>
      </c>
      <c r="DB324" s="408">
        <v>0</v>
      </c>
      <c r="DC324" s="408">
        <v>88.379480318825927</v>
      </c>
      <c r="DD324" s="408">
        <v>0</v>
      </c>
      <c r="DE324" s="408">
        <v>0</v>
      </c>
      <c r="DF324" s="408">
        <v>0</v>
      </c>
      <c r="DG324" s="408">
        <v>3.8802275232527279</v>
      </c>
      <c r="DH324" s="408">
        <v>0</v>
      </c>
      <c r="DI324" s="408">
        <v>-7.4436916017012322</v>
      </c>
      <c r="DJ324" s="408"/>
      <c r="DK324" s="408">
        <v>0</v>
      </c>
      <c r="DL324" s="408">
        <v>0</v>
      </c>
      <c r="DM324" s="408">
        <v>0</v>
      </c>
      <c r="DN324" s="408">
        <v>0</v>
      </c>
      <c r="DO324" s="408">
        <v>-1.17658303182494</v>
      </c>
      <c r="DP324" s="408">
        <v>-9.2754352763473324E-2</v>
      </c>
      <c r="DQ324" s="408">
        <v>0</v>
      </c>
      <c r="DR324" s="408">
        <v>0</v>
      </c>
      <c r="DS324" s="408"/>
      <c r="DT324" s="408"/>
      <c r="DU324" s="408"/>
      <c r="DV324" s="408">
        <v>4128.8305925806744</v>
      </c>
      <c r="DW324" s="408">
        <v>0</v>
      </c>
      <c r="DX324" s="408">
        <v>0</v>
      </c>
      <c r="DY324" s="408">
        <v>-860.88631999999961</v>
      </c>
      <c r="DZ324" s="408">
        <v>88.389459999999985</v>
      </c>
      <c r="EA324" s="408">
        <v>0</v>
      </c>
      <c r="EB324" s="408">
        <v>0</v>
      </c>
      <c r="EC324" s="408">
        <v>-1025.6715547589924</v>
      </c>
      <c r="ED324" s="408">
        <v>0</v>
      </c>
      <c r="EE324" s="408">
        <v>0</v>
      </c>
      <c r="EF324" s="408">
        <v>0</v>
      </c>
      <c r="EG324" s="408">
        <v>0</v>
      </c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>
        <v>0</v>
      </c>
      <c r="EN324" s="408">
        <v>0</v>
      </c>
      <c r="EO324" s="408">
        <v>0</v>
      </c>
      <c r="EP324" s="408">
        <v>55.982427194715171</v>
      </c>
      <c r="EQ324" s="408">
        <v>0</v>
      </c>
      <c r="ER324" s="408">
        <v>0</v>
      </c>
      <c r="ES324" s="408">
        <v>0</v>
      </c>
      <c r="ET324" s="408">
        <v>0</v>
      </c>
      <c r="EU324" s="408">
        <v>0</v>
      </c>
      <c r="EV324" s="408">
        <v>240</v>
      </c>
      <c r="EW324" s="408">
        <v>0</v>
      </c>
      <c r="EX324" s="408">
        <v>0</v>
      </c>
      <c r="EY324" s="408">
        <v>0</v>
      </c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323</v>
      </c>
      <c r="B325" s="408" t="s">
        <v>2238</v>
      </c>
      <c r="C325" s="408" t="s">
        <v>2243</v>
      </c>
      <c r="D325" s="408" t="s">
        <v>597</v>
      </c>
      <c r="E325" s="408" t="s">
        <v>2246</v>
      </c>
      <c r="F325" s="408" t="s">
        <v>1322</v>
      </c>
      <c r="G325" s="408" t="s">
        <v>1322</v>
      </c>
      <c r="H325" s="408" t="s">
        <v>1322</v>
      </c>
      <c r="I325" s="408" t="s">
        <v>973</v>
      </c>
      <c r="J325" s="408" t="s">
        <v>2236</v>
      </c>
      <c r="K325" s="826">
        <v>44501</v>
      </c>
      <c r="L325" s="408">
        <v>0</v>
      </c>
      <c r="M325" s="408">
        <v>0</v>
      </c>
      <c r="N325" s="408">
        <v>0.46800000000000003</v>
      </c>
      <c r="O325" s="408">
        <v>0.46800000000000003</v>
      </c>
      <c r="P325" s="408">
        <v>0.46800000000000003</v>
      </c>
      <c r="Q325" s="408">
        <v>0.46800000000000003</v>
      </c>
      <c r="R325" s="408"/>
      <c r="S325" s="408">
        <v>1358.36</v>
      </c>
      <c r="T325" s="408">
        <v>173.25</v>
      </c>
      <c r="U325" s="408"/>
      <c r="V325" s="408">
        <v>716.79348000000005</v>
      </c>
      <c r="W325" s="408">
        <v>716.79348000000005</v>
      </c>
      <c r="X325" s="408">
        <v>628.48655999999994</v>
      </c>
      <c r="Y325" s="408">
        <v>0</v>
      </c>
      <c r="Z325" s="408">
        <v>25.058736791455633</v>
      </c>
      <c r="AA325" s="408">
        <v>0</v>
      </c>
      <c r="AB325" s="408">
        <v>0</v>
      </c>
      <c r="AC325" s="408">
        <v>8.8648973410314564</v>
      </c>
      <c r="AD325" s="408">
        <v>8.5172047714562797</v>
      </c>
      <c r="AE325" s="408">
        <v>471.98161146256848</v>
      </c>
      <c r="AF325" s="408">
        <v>79.719340233926488</v>
      </c>
      <c r="AG325" s="408">
        <v>1.3605852922933053</v>
      </c>
      <c r="AH325" s="408">
        <v>0</v>
      </c>
      <c r="AI325" s="408">
        <v>0</v>
      </c>
      <c r="AJ325" s="408">
        <v>0</v>
      </c>
      <c r="AK325" s="408">
        <v>0</v>
      </c>
      <c r="AL325" s="408">
        <v>4.4502261697882917</v>
      </c>
      <c r="AM325" s="408"/>
      <c r="AN325" s="408">
        <v>0.37478087119284503</v>
      </c>
      <c r="AO325" s="408">
        <v>18.81866478650652</v>
      </c>
      <c r="AP325" s="408">
        <v>87.748175351551566</v>
      </c>
      <c r="AQ325" s="408">
        <v>0</v>
      </c>
      <c r="AR325" s="408">
        <v>0</v>
      </c>
      <c r="AS325" s="408">
        <v>0</v>
      </c>
      <c r="AT325" s="408">
        <v>0</v>
      </c>
      <c r="AU325" s="408">
        <v>0</v>
      </c>
      <c r="AV325" s="408">
        <v>0</v>
      </c>
      <c r="AW325" s="408">
        <v>0</v>
      </c>
      <c r="AX325" s="408">
        <v>0</v>
      </c>
      <c r="AY325" s="408">
        <v>0</v>
      </c>
      <c r="AZ325" s="408">
        <v>0</v>
      </c>
      <c r="BA325" s="408"/>
      <c r="BB325" s="408">
        <v>0</v>
      </c>
      <c r="BC325" s="408">
        <v>0</v>
      </c>
      <c r="BD325" s="408">
        <v>0</v>
      </c>
      <c r="BE325" s="408">
        <v>0</v>
      </c>
      <c r="BF325" s="408">
        <v>0</v>
      </c>
      <c r="BG325" s="408">
        <v>3.5000112808463961</v>
      </c>
      <c r="BH325" s="408">
        <v>0</v>
      </c>
      <c r="BI325" s="408">
        <v>0</v>
      </c>
      <c r="BJ325" s="408">
        <v>0</v>
      </c>
      <c r="BK325" s="408">
        <v>0</v>
      </c>
      <c r="BL325" s="408">
        <v>0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>
        <v>83.219351514772882</v>
      </c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>
        <v>631.17239999999993</v>
      </c>
      <c r="CJ325" s="408">
        <v>-85.651080000000093</v>
      </c>
      <c r="CK325" s="408"/>
      <c r="CL325" s="408"/>
      <c r="CM325" s="408"/>
      <c r="CN325" s="408"/>
      <c r="CO325" s="408">
        <v>-98.41104</v>
      </c>
      <c r="CP325" s="408">
        <v>10.104120000000002</v>
      </c>
      <c r="CQ325" s="408">
        <v>30</v>
      </c>
      <c r="CR325" s="408">
        <v>28.939580797938277</v>
      </c>
      <c r="CS325" s="408">
        <v>1.8752397221590833</v>
      </c>
      <c r="CT325" s="408">
        <v>8.7439181170919937</v>
      </c>
      <c r="CU325" s="408">
        <v>0</v>
      </c>
      <c r="CV325" s="408">
        <v>0</v>
      </c>
      <c r="CW325" s="408">
        <v>0</v>
      </c>
      <c r="CX325" s="408">
        <v>0</v>
      </c>
      <c r="CY325" s="408">
        <v>0</v>
      </c>
      <c r="CZ325" s="408">
        <v>8.7698988491343837</v>
      </c>
      <c r="DA325" s="408">
        <v>0</v>
      </c>
      <c r="DB325" s="408">
        <v>0</v>
      </c>
      <c r="DC325" s="408">
        <v>10.102979186421734</v>
      </c>
      <c r="DD325" s="408">
        <v>0</v>
      </c>
      <c r="DE325" s="408">
        <v>0</v>
      </c>
      <c r="DF325" s="408">
        <v>0</v>
      </c>
      <c r="DG325" s="408">
        <v>0.44356289225263268</v>
      </c>
      <c r="DH325" s="408">
        <v>0</v>
      </c>
      <c r="DI325" s="408">
        <v>-0.85091540537278476</v>
      </c>
      <c r="DJ325" s="408"/>
      <c r="DK325" s="408">
        <v>0</v>
      </c>
      <c r="DL325" s="408">
        <v>0</v>
      </c>
      <c r="DM325" s="408">
        <v>0</v>
      </c>
      <c r="DN325" s="408">
        <v>0</v>
      </c>
      <c r="DO325" s="408">
        <v>-0.13449947701369513</v>
      </c>
      <c r="DP325" s="408">
        <v>-1.0603086735052614E-2</v>
      </c>
      <c r="DQ325" s="408">
        <v>0</v>
      </c>
      <c r="DR325" s="408">
        <v>0</v>
      </c>
      <c r="DS325" s="408"/>
      <c r="DT325" s="408"/>
      <c r="DU325" s="408"/>
      <c r="DV325" s="408">
        <v>471.98161146256848</v>
      </c>
      <c r="DW325" s="408">
        <v>0</v>
      </c>
      <c r="DX325" s="408">
        <v>0</v>
      </c>
      <c r="DY325" s="408">
        <v>-98.411040000000071</v>
      </c>
      <c r="DZ325" s="408">
        <v>10.104120000000009</v>
      </c>
      <c r="EA325" s="408">
        <v>0</v>
      </c>
      <c r="EB325" s="408">
        <v>0</v>
      </c>
      <c r="EC325" s="408">
        <v>-117.24823830659705</v>
      </c>
      <c r="ED325" s="408">
        <v>0</v>
      </c>
      <c r="EE325" s="408">
        <v>0</v>
      </c>
      <c r="EF325" s="408">
        <v>0</v>
      </c>
      <c r="EG325" s="408">
        <v>0</v>
      </c>
      <c r="EH325" s="408">
        <v>0</v>
      </c>
      <c r="EI325" s="408">
        <v>0</v>
      </c>
      <c r="EJ325" s="408">
        <v>0</v>
      </c>
      <c r="EK325" s="408">
        <v>0</v>
      </c>
      <c r="EL325" s="408">
        <v>0</v>
      </c>
      <c r="EM325" s="408">
        <v>0</v>
      </c>
      <c r="EN325" s="408">
        <v>0</v>
      </c>
      <c r="EO325" s="408">
        <v>0</v>
      </c>
      <c r="EP325" s="408">
        <v>6.3995544521560088</v>
      </c>
      <c r="EQ325" s="408">
        <v>0</v>
      </c>
      <c r="ER325" s="408">
        <v>0</v>
      </c>
      <c r="ES325" s="408">
        <v>0</v>
      </c>
      <c r="ET325" s="408">
        <v>0</v>
      </c>
      <c r="EU325" s="408">
        <v>0</v>
      </c>
      <c r="EV325" s="408">
        <v>240</v>
      </c>
      <c r="EW325" s="408">
        <v>0</v>
      </c>
      <c r="EX325" s="408">
        <v>0</v>
      </c>
      <c r="EY325" s="408">
        <v>0</v>
      </c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324</v>
      </c>
      <c r="B326" s="408" t="s">
        <v>1036</v>
      </c>
      <c r="C326" s="408" t="s">
        <v>2243</v>
      </c>
      <c r="D326" s="408" t="s">
        <v>597</v>
      </c>
      <c r="E326" s="408" t="s">
        <v>2246</v>
      </c>
      <c r="F326" s="408" t="s">
        <v>1322</v>
      </c>
      <c r="G326" s="408" t="s">
        <v>1322</v>
      </c>
      <c r="H326" s="408" t="s">
        <v>1322</v>
      </c>
      <c r="I326" s="408" t="s">
        <v>2244</v>
      </c>
      <c r="J326" s="408" t="s">
        <v>2236</v>
      </c>
      <c r="K326" s="826">
        <v>44501</v>
      </c>
      <c r="L326" s="408">
        <v>0</v>
      </c>
      <c r="M326" s="408">
        <v>0</v>
      </c>
      <c r="N326" s="408">
        <v>30.768999999999998</v>
      </c>
      <c r="O326" s="408">
        <v>30.768999999999998</v>
      </c>
      <c r="P326" s="408">
        <v>30.768999999999998</v>
      </c>
      <c r="Q326" s="408">
        <v>30.768999999999998</v>
      </c>
      <c r="R326" s="408"/>
      <c r="S326" s="408">
        <v>85.01</v>
      </c>
      <c r="T326" s="408">
        <v>173.25</v>
      </c>
      <c r="U326" s="408"/>
      <c r="V326" s="408">
        <v>7946.4019399999997</v>
      </c>
      <c r="W326" s="408">
        <v>7946.4019399999997</v>
      </c>
      <c r="X326" s="408">
        <v>8574.3972299999987</v>
      </c>
      <c r="Y326" s="408">
        <v>0</v>
      </c>
      <c r="Z326" s="408">
        <v>1647.5048554194407</v>
      </c>
      <c r="AA326" s="408">
        <v>0</v>
      </c>
      <c r="AB326" s="408">
        <v>0</v>
      </c>
      <c r="AC326" s="408">
        <v>0</v>
      </c>
      <c r="AD326" s="408">
        <v>0</v>
      </c>
      <c r="AE326" s="408">
        <v>0</v>
      </c>
      <c r="AF326" s="408">
        <v>5241.2059394394955</v>
      </c>
      <c r="AG326" s="408">
        <v>89.452668501223727</v>
      </c>
      <c r="AH326" s="408">
        <v>0</v>
      </c>
      <c r="AI326" s="408">
        <v>0</v>
      </c>
      <c r="AJ326" s="408">
        <v>0</v>
      </c>
      <c r="AK326" s="408">
        <v>0</v>
      </c>
      <c r="AL326" s="408">
        <v>292.5833526030255</v>
      </c>
      <c r="AM326" s="408"/>
      <c r="AN326" s="408">
        <v>24.640240653274891</v>
      </c>
      <c r="AO326" s="408">
        <v>0</v>
      </c>
      <c r="AP326" s="408">
        <v>0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0</v>
      </c>
      <c r="BE326" s="408">
        <v>0</v>
      </c>
      <c r="BF326" s="408">
        <v>0</v>
      </c>
      <c r="BG326" s="408">
        <v>230.11078440248451</v>
      </c>
      <c r="BH326" s="408">
        <v>0</v>
      </c>
      <c r="BI326" s="408">
        <v>0</v>
      </c>
      <c r="BJ326" s="408">
        <v>0</v>
      </c>
      <c r="BK326" s="408">
        <v>0</v>
      </c>
      <c r="BL326" s="408">
        <v>0</v>
      </c>
      <c r="BM326" s="408"/>
      <c r="BN326" s="408"/>
      <c r="BO326" s="408"/>
      <c r="BP326" s="408"/>
      <c r="BQ326" s="408"/>
      <c r="BR326" s="408"/>
      <c r="BS326" s="408"/>
      <c r="BT326" s="408"/>
      <c r="BU326" s="408"/>
      <c r="BV326" s="408">
        <v>5471.3167238419801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8574.6759000000002</v>
      </c>
      <c r="CJ326" s="408">
        <v>628.24395999999979</v>
      </c>
      <c r="CK326" s="408"/>
      <c r="CL326" s="408"/>
      <c r="CM326" s="408"/>
      <c r="CN326" s="408"/>
      <c r="CO326" s="408">
        <v>-36.307420000000207</v>
      </c>
      <c r="CP326" s="408">
        <v>664.30271000000005</v>
      </c>
      <c r="CQ326" s="408">
        <v>30</v>
      </c>
      <c r="CR326" s="408">
        <v>627.90614599750188</v>
      </c>
      <c r="CS326" s="408">
        <v>0</v>
      </c>
      <c r="CT326" s="408">
        <v>0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0</v>
      </c>
      <c r="DA326" s="408">
        <v>0</v>
      </c>
      <c r="DB326" s="408">
        <v>0</v>
      </c>
      <c r="DC326" s="408">
        <v>664.2277063825004</v>
      </c>
      <c r="DD326" s="408">
        <v>0</v>
      </c>
      <c r="DE326" s="408">
        <v>0</v>
      </c>
      <c r="DF326" s="408">
        <v>0</v>
      </c>
      <c r="DG326" s="408">
        <v>29.162364597694989</v>
      </c>
      <c r="DH326" s="408">
        <v>0</v>
      </c>
      <c r="DI326" s="408">
        <v>-55.944051512639135</v>
      </c>
      <c r="DJ326" s="408"/>
      <c r="DK326" s="408">
        <v>0</v>
      </c>
      <c r="DL326" s="408">
        <v>0</v>
      </c>
      <c r="DM326" s="408">
        <v>0</v>
      </c>
      <c r="DN326" s="408">
        <v>0</v>
      </c>
      <c r="DO326" s="408">
        <v>-8.8427658295606761</v>
      </c>
      <c r="DP326" s="408">
        <v>-0.6971076404932397</v>
      </c>
      <c r="DQ326" s="408">
        <v>0</v>
      </c>
      <c r="DR326" s="408">
        <v>0</v>
      </c>
      <c r="DS326" s="408"/>
      <c r="DT326" s="408"/>
      <c r="DU326" s="408"/>
      <c r="DV326" s="408">
        <v>0</v>
      </c>
      <c r="DW326" s="408">
        <v>0</v>
      </c>
      <c r="DX326" s="408">
        <v>0</v>
      </c>
      <c r="DY326" s="408">
        <v>-36.307420000000093</v>
      </c>
      <c r="DZ326" s="408">
        <v>664.30270999999993</v>
      </c>
      <c r="EA326" s="408">
        <v>0</v>
      </c>
      <c r="EB326" s="408">
        <v>0</v>
      </c>
      <c r="EC326" s="408">
        <v>0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420.74335670595769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240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325</v>
      </c>
      <c r="B327" s="408" t="s">
        <v>2238</v>
      </c>
      <c r="C327" s="408" t="s">
        <v>2243</v>
      </c>
      <c r="D327" s="408" t="s">
        <v>597</v>
      </c>
      <c r="E327" s="408" t="s">
        <v>2246</v>
      </c>
      <c r="F327" s="408" t="s">
        <v>1322</v>
      </c>
      <c r="G327" s="408" t="s">
        <v>1322</v>
      </c>
      <c r="H327" s="408" t="s">
        <v>1322</v>
      </c>
      <c r="I327" s="408" t="s">
        <v>2244</v>
      </c>
      <c r="J327" s="408" t="s">
        <v>2236</v>
      </c>
      <c r="K327" s="826">
        <v>44501</v>
      </c>
      <c r="L327" s="408">
        <v>0</v>
      </c>
      <c r="M327" s="408">
        <v>0</v>
      </c>
      <c r="N327" s="408">
        <v>0.53600000000000003</v>
      </c>
      <c r="O327" s="408">
        <v>0.53600000000000003</v>
      </c>
      <c r="P327" s="408">
        <v>0.53600000000000003</v>
      </c>
      <c r="Q327" s="408">
        <v>0.53600000000000003</v>
      </c>
      <c r="R327" s="408"/>
      <c r="S327" s="408">
        <v>85.01</v>
      </c>
      <c r="T327" s="408">
        <v>173.25</v>
      </c>
      <c r="U327" s="408"/>
      <c r="V327" s="408">
        <v>138.42736000000002</v>
      </c>
      <c r="W327" s="408">
        <v>138.42736000000002</v>
      </c>
      <c r="X327" s="408">
        <v>149.36712</v>
      </c>
      <c r="Y327" s="408">
        <v>0</v>
      </c>
      <c r="Z327" s="408">
        <v>28.699749829530383</v>
      </c>
      <c r="AA327" s="408">
        <v>0</v>
      </c>
      <c r="AB327" s="408">
        <v>0</v>
      </c>
      <c r="AC327" s="408">
        <v>0</v>
      </c>
      <c r="AD327" s="408">
        <v>0</v>
      </c>
      <c r="AE327" s="408">
        <v>0</v>
      </c>
      <c r="AF327" s="408">
        <v>91.302492233727776</v>
      </c>
      <c r="AG327" s="408">
        <v>1.5582771723701103</v>
      </c>
      <c r="AH327" s="408">
        <v>0</v>
      </c>
      <c r="AI327" s="408">
        <v>0</v>
      </c>
      <c r="AJ327" s="408">
        <v>0</v>
      </c>
      <c r="AK327" s="408">
        <v>0</v>
      </c>
      <c r="AL327" s="408">
        <v>5.0968402286464203</v>
      </c>
      <c r="AM327" s="408"/>
      <c r="AN327" s="408">
        <v>0.42923621145163449</v>
      </c>
      <c r="AO327" s="408">
        <v>0</v>
      </c>
      <c r="AP327" s="408">
        <v>0</v>
      </c>
      <c r="AQ327" s="408">
        <v>0</v>
      </c>
      <c r="AR327" s="408">
        <v>0</v>
      </c>
      <c r="AS327" s="408">
        <v>0</v>
      </c>
      <c r="AT327" s="408">
        <v>0</v>
      </c>
      <c r="AU327" s="408">
        <v>0</v>
      </c>
      <c r="AV327" s="408">
        <v>0</v>
      </c>
      <c r="AW327" s="408">
        <v>0</v>
      </c>
      <c r="AX327" s="408">
        <v>0</v>
      </c>
      <c r="AY327" s="408">
        <v>0</v>
      </c>
      <c r="AZ327" s="408">
        <v>0</v>
      </c>
      <c r="BA327" s="408"/>
      <c r="BB327" s="408">
        <v>0</v>
      </c>
      <c r="BC327" s="408">
        <v>0</v>
      </c>
      <c r="BD327" s="408">
        <v>0</v>
      </c>
      <c r="BE327" s="408">
        <v>0</v>
      </c>
      <c r="BF327" s="408">
        <v>0</v>
      </c>
      <c r="BG327" s="408">
        <v>4.0085599284907447</v>
      </c>
      <c r="BH327" s="408">
        <v>0</v>
      </c>
      <c r="BI327" s="408">
        <v>0</v>
      </c>
      <c r="BJ327" s="408">
        <v>0</v>
      </c>
      <c r="BK327" s="408">
        <v>0</v>
      </c>
      <c r="BL327" s="408">
        <v>0</v>
      </c>
      <c r="BM327" s="408"/>
      <c r="BN327" s="408"/>
      <c r="BO327" s="408"/>
      <c r="BP327" s="408"/>
      <c r="BQ327" s="408"/>
      <c r="BR327" s="408"/>
      <c r="BS327" s="408"/>
      <c r="BT327" s="408"/>
      <c r="BU327" s="408"/>
      <c r="BV327" s="408">
        <v>95.311052162218516</v>
      </c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>
        <v>150.48180000000002</v>
      </c>
      <c r="CJ327" s="408">
        <v>12.024440000000027</v>
      </c>
      <c r="CK327" s="408"/>
      <c r="CL327" s="408"/>
      <c r="CM327" s="408"/>
      <c r="CN327" s="408"/>
      <c r="CO327" s="408">
        <v>-0.63248000000000371</v>
      </c>
      <c r="CP327" s="408">
        <v>11.572240000000003</v>
      </c>
      <c r="CQ327" s="408">
        <v>30</v>
      </c>
      <c r="CR327" s="408">
        <v>10.938207099829754</v>
      </c>
      <c r="CS327" s="408">
        <v>0</v>
      </c>
      <c r="CT327" s="408">
        <v>0</v>
      </c>
      <c r="CU327" s="408">
        <v>0</v>
      </c>
      <c r="CV327" s="408">
        <v>0</v>
      </c>
      <c r="CW327" s="408">
        <v>0</v>
      </c>
      <c r="CX327" s="408">
        <v>0</v>
      </c>
      <c r="CY327" s="408">
        <v>0</v>
      </c>
      <c r="CZ327" s="408">
        <v>0</v>
      </c>
      <c r="DA327" s="408">
        <v>0</v>
      </c>
      <c r="DB327" s="408">
        <v>0</v>
      </c>
      <c r="DC327" s="408">
        <v>11.57093342718386</v>
      </c>
      <c r="DD327" s="408">
        <v>0</v>
      </c>
      <c r="DE327" s="408">
        <v>0</v>
      </c>
      <c r="DF327" s="408">
        <v>0</v>
      </c>
      <c r="DG327" s="408">
        <v>0.50801220138335701</v>
      </c>
      <c r="DH327" s="408">
        <v>0</v>
      </c>
      <c r="DI327" s="408">
        <v>-0.97455268649532556</v>
      </c>
      <c r="DJ327" s="408"/>
      <c r="DK327" s="408">
        <v>0</v>
      </c>
      <c r="DL327" s="408">
        <v>0</v>
      </c>
      <c r="DM327" s="408">
        <v>0</v>
      </c>
      <c r="DN327" s="408">
        <v>0</v>
      </c>
      <c r="DO327" s="408">
        <v>-0.15404213606696793</v>
      </c>
      <c r="DP327" s="408">
        <v>-1.2143706175188507E-2</v>
      </c>
      <c r="DQ327" s="408">
        <v>0</v>
      </c>
      <c r="DR327" s="408">
        <v>0</v>
      </c>
      <c r="DS327" s="408"/>
      <c r="DT327" s="408"/>
      <c r="DU327" s="408"/>
      <c r="DV327" s="408">
        <v>0</v>
      </c>
      <c r="DW327" s="408">
        <v>0</v>
      </c>
      <c r="DX327" s="408">
        <v>0</v>
      </c>
      <c r="DY327" s="408">
        <v>-0.63248000000000104</v>
      </c>
      <c r="DZ327" s="408">
        <v>11.572239999999994</v>
      </c>
      <c r="EA327" s="408">
        <v>0</v>
      </c>
      <c r="EB327" s="408">
        <v>0</v>
      </c>
      <c r="EC327" s="408">
        <v>0</v>
      </c>
      <c r="ED327" s="408">
        <v>0</v>
      </c>
      <c r="EE327" s="408">
        <v>0</v>
      </c>
      <c r="EF327" s="408">
        <v>0</v>
      </c>
      <c r="EG327" s="408">
        <v>0</v>
      </c>
      <c r="EH327" s="408">
        <v>0</v>
      </c>
      <c r="EI327" s="408">
        <v>0</v>
      </c>
      <c r="EJ327" s="408">
        <v>0</v>
      </c>
      <c r="EK327" s="408">
        <v>0</v>
      </c>
      <c r="EL327" s="408">
        <v>0</v>
      </c>
      <c r="EM327" s="408">
        <v>0</v>
      </c>
      <c r="EN327" s="408">
        <v>0</v>
      </c>
      <c r="EO327" s="408">
        <v>0</v>
      </c>
      <c r="EP327" s="408">
        <v>7.3294042443496163</v>
      </c>
      <c r="EQ327" s="408">
        <v>0</v>
      </c>
      <c r="ER327" s="408">
        <v>0</v>
      </c>
      <c r="ES327" s="408">
        <v>0</v>
      </c>
      <c r="ET327" s="408">
        <v>0</v>
      </c>
      <c r="EU327" s="408">
        <v>0</v>
      </c>
      <c r="EV327" s="408">
        <v>240</v>
      </c>
      <c r="EW327" s="408">
        <v>0</v>
      </c>
      <c r="EX327" s="408">
        <v>0</v>
      </c>
      <c r="EY327" s="408">
        <v>0</v>
      </c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326</v>
      </c>
      <c r="B328" s="408" t="s">
        <v>1036</v>
      </c>
      <c r="C328" s="408" t="s">
        <v>2243</v>
      </c>
      <c r="D328" s="408" t="s">
        <v>597</v>
      </c>
      <c r="E328" s="408" t="s">
        <v>2246</v>
      </c>
      <c r="F328" s="408" t="s">
        <v>1322</v>
      </c>
      <c r="G328" s="408" t="s">
        <v>1322</v>
      </c>
      <c r="H328" s="408" t="s">
        <v>1322</v>
      </c>
      <c r="I328" s="408" t="s">
        <v>1322</v>
      </c>
      <c r="J328" s="408" t="s">
        <v>2236</v>
      </c>
      <c r="K328" s="826">
        <v>44501</v>
      </c>
      <c r="L328" s="408">
        <v>226</v>
      </c>
      <c r="M328" s="408">
        <v>226</v>
      </c>
      <c r="N328" s="408">
        <v>0</v>
      </c>
      <c r="O328" s="408">
        <v>0</v>
      </c>
      <c r="P328" s="408">
        <v>0</v>
      </c>
      <c r="Q328" s="408">
        <v>0</v>
      </c>
      <c r="R328" s="408">
        <v>27.19</v>
      </c>
      <c r="S328" s="408"/>
      <c r="T328" s="408"/>
      <c r="U328" s="408">
        <v>6144.9400000000005</v>
      </c>
      <c r="V328" s="408"/>
      <c r="W328" s="408">
        <v>6144.9400000000005</v>
      </c>
      <c r="X328" s="408">
        <v>4917.76</v>
      </c>
      <c r="Y328" s="408">
        <v>0</v>
      </c>
      <c r="Z328" s="408">
        <v>0</v>
      </c>
      <c r="AA328" s="408">
        <v>0</v>
      </c>
      <c r="AB328" s="408">
        <v>0</v>
      </c>
      <c r="AC328" s="408">
        <v>52.703338634629468</v>
      </c>
      <c r="AD328" s="408">
        <v>50.631873697715825</v>
      </c>
      <c r="AE328" s="408">
        <v>5408.6388349540466</v>
      </c>
      <c r="AF328" s="408"/>
      <c r="AG328" s="408"/>
      <c r="AH328" s="408"/>
      <c r="AI328" s="408">
        <v>0</v>
      </c>
      <c r="AJ328" s="408">
        <v>0</v>
      </c>
      <c r="AK328" s="408">
        <v>0</v>
      </c>
      <c r="AL328" s="408">
        <v>0</v>
      </c>
      <c r="AM328" s="408"/>
      <c r="AN328" s="408">
        <v>0</v>
      </c>
      <c r="AO328" s="408">
        <v>111.84397182644486</v>
      </c>
      <c r="AP328" s="408">
        <v>521.62807852059677</v>
      </c>
      <c r="AQ328" s="408">
        <v>0</v>
      </c>
      <c r="AR328" s="408">
        <v>0</v>
      </c>
      <c r="AS328" s="408"/>
      <c r="AT328" s="408"/>
      <c r="AU328" s="408">
        <v>0</v>
      </c>
      <c r="AV328" s="408">
        <v>0</v>
      </c>
      <c r="AW328" s="408">
        <v>0</v>
      </c>
      <c r="AX328" s="408"/>
      <c r="AY328" s="408"/>
      <c r="AZ328" s="408">
        <v>0</v>
      </c>
      <c r="BA328" s="408"/>
      <c r="BB328" s="408">
        <v>0</v>
      </c>
      <c r="BC328" s="408">
        <v>0</v>
      </c>
      <c r="BD328" s="408">
        <v>0</v>
      </c>
      <c r="BE328" s="408">
        <v>0</v>
      </c>
      <c r="BF328" s="408"/>
      <c r="BG328" s="408">
        <v>0</v>
      </c>
      <c r="BH328" s="408">
        <v>0</v>
      </c>
      <c r="BI328" s="408">
        <v>19.489999999999998</v>
      </c>
      <c r="BJ328" s="408">
        <v>167.22</v>
      </c>
      <c r="BK328" s="408">
        <v>11944.24</v>
      </c>
      <c r="BL328" s="408">
        <v>4</v>
      </c>
      <c r="BM328" s="408"/>
      <c r="BN328" s="408"/>
      <c r="BO328" s="408"/>
      <c r="BP328" s="408"/>
      <c r="BQ328" s="408"/>
      <c r="BR328" s="408"/>
      <c r="BS328" s="408"/>
      <c r="BT328" s="408"/>
      <c r="BU328" s="408"/>
      <c r="BV328" s="408">
        <v>0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4917.76</v>
      </c>
      <c r="CJ328" s="408">
        <v>-1227.2100000000009</v>
      </c>
      <c r="CK328" s="408"/>
      <c r="CL328" s="408"/>
      <c r="CM328" s="408"/>
      <c r="CN328" s="408"/>
      <c r="CO328" s="408">
        <v>-1227.1799999999998</v>
      </c>
      <c r="CP328" s="408">
        <v>0</v>
      </c>
      <c r="CQ328" s="408">
        <v>30</v>
      </c>
      <c r="CR328" s="408">
        <v>115.25818950012467</v>
      </c>
      <c r="CS328" s="408">
        <v>11.145012732432434</v>
      </c>
      <c r="CT328" s="408">
        <v>51.979123074488029</v>
      </c>
      <c r="CU328" s="408">
        <v>0</v>
      </c>
      <c r="CV328" s="408">
        <v>0</v>
      </c>
      <c r="CW328" s="408"/>
      <c r="CX328" s="408"/>
      <c r="CY328" s="408"/>
      <c r="CZ328" s="408">
        <v>52.134053693204187</v>
      </c>
      <c r="DA328" s="408">
        <v>0</v>
      </c>
      <c r="DB328" s="408">
        <v>0</v>
      </c>
      <c r="DC328" s="408"/>
      <c r="DD328" s="408"/>
      <c r="DE328" s="408">
        <v>0</v>
      </c>
      <c r="DF328" s="408">
        <v>0</v>
      </c>
      <c r="DG328" s="408">
        <v>0</v>
      </c>
      <c r="DH328" s="408">
        <v>0</v>
      </c>
      <c r="DI328" s="408">
        <v>0</v>
      </c>
      <c r="DJ328" s="408"/>
      <c r="DK328" s="408">
        <v>0</v>
      </c>
      <c r="DL328" s="408">
        <v>0</v>
      </c>
      <c r="DM328" s="408"/>
      <c r="DN328" s="408">
        <v>0</v>
      </c>
      <c r="DO328" s="408">
        <v>0</v>
      </c>
      <c r="DP328" s="408">
        <v>0</v>
      </c>
      <c r="DQ328" s="408">
        <v>0</v>
      </c>
      <c r="DR328" s="408">
        <v>0</v>
      </c>
      <c r="DS328" s="408"/>
      <c r="DT328" s="408"/>
      <c r="DU328" s="408">
        <v>5408.6388349540466</v>
      </c>
      <c r="DV328" s="408"/>
      <c r="DW328" s="408">
        <v>0</v>
      </c>
      <c r="DX328" s="408">
        <v>0</v>
      </c>
      <c r="DY328" s="408">
        <v>-1227.1800000000003</v>
      </c>
      <c r="DZ328" s="408"/>
      <c r="EA328" s="408">
        <v>0</v>
      </c>
      <c r="EB328" s="408"/>
      <c r="EC328" s="408">
        <v>-1343.597630996464</v>
      </c>
      <c r="ED328" s="408"/>
      <c r="EE328" s="408">
        <v>0</v>
      </c>
      <c r="EF328" s="408">
        <v>0</v>
      </c>
      <c r="EG328" s="408"/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/>
      <c r="EN328" s="408"/>
      <c r="EO328" s="408">
        <v>0</v>
      </c>
      <c r="EP328" s="408">
        <v>0</v>
      </c>
      <c r="EQ328" s="408"/>
      <c r="ER328" s="408">
        <v>0</v>
      </c>
      <c r="ES328" s="408"/>
      <c r="ET328" s="408">
        <v>0</v>
      </c>
      <c r="EU328" s="408"/>
      <c r="EV328" s="408">
        <v>240</v>
      </c>
      <c r="EW328" s="408"/>
      <c r="EX328" s="408"/>
      <c r="EY328" s="408"/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327</v>
      </c>
      <c r="B329" s="408" t="s">
        <v>2238</v>
      </c>
      <c r="C329" s="408" t="s">
        <v>2243</v>
      </c>
      <c r="D329" s="408" t="s">
        <v>597</v>
      </c>
      <c r="E329" s="408" t="s">
        <v>2246</v>
      </c>
      <c r="F329" s="408" t="s">
        <v>1322</v>
      </c>
      <c r="G329" s="408" t="s">
        <v>1322</v>
      </c>
      <c r="H329" s="408" t="s">
        <v>1322</v>
      </c>
      <c r="I329" s="408" t="s">
        <v>1322</v>
      </c>
      <c r="J329" s="408" t="s">
        <v>2236</v>
      </c>
      <c r="K329" s="826">
        <v>44501</v>
      </c>
      <c r="L329" s="408">
        <v>40</v>
      </c>
      <c r="M329" s="408">
        <v>40</v>
      </c>
      <c r="N329" s="408">
        <v>0</v>
      </c>
      <c r="O329" s="408">
        <v>0</v>
      </c>
      <c r="P329" s="408">
        <v>0</v>
      </c>
      <c r="Q329" s="408">
        <v>0</v>
      </c>
      <c r="R329" s="408">
        <v>27.19</v>
      </c>
      <c r="S329" s="408"/>
      <c r="T329" s="408"/>
      <c r="U329" s="408">
        <v>1087.6000000000001</v>
      </c>
      <c r="V329" s="408"/>
      <c r="W329" s="408">
        <v>1087.6000000000001</v>
      </c>
      <c r="X329" s="408">
        <v>870.40000000000009</v>
      </c>
      <c r="Y329" s="408">
        <v>0</v>
      </c>
      <c r="Z329" s="408">
        <v>0</v>
      </c>
      <c r="AA329" s="408">
        <v>0</v>
      </c>
      <c r="AB329" s="408">
        <v>0</v>
      </c>
      <c r="AC329" s="408">
        <v>9.3280245371025607</v>
      </c>
      <c r="AD329" s="408">
        <v>8.9613935748169595</v>
      </c>
      <c r="AE329" s="408">
        <v>957.28120972637998</v>
      </c>
      <c r="AF329" s="408"/>
      <c r="AG329" s="408"/>
      <c r="AH329" s="408"/>
      <c r="AI329" s="408">
        <v>0</v>
      </c>
      <c r="AJ329" s="408">
        <v>0</v>
      </c>
      <c r="AK329" s="408">
        <v>0</v>
      </c>
      <c r="AL329" s="408">
        <v>0</v>
      </c>
      <c r="AM329" s="408"/>
      <c r="AN329" s="408">
        <v>0</v>
      </c>
      <c r="AO329" s="408">
        <v>19.795393243618559</v>
      </c>
      <c r="AP329" s="408">
        <v>92.3235537204596</v>
      </c>
      <c r="AQ329" s="408">
        <v>0</v>
      </c>
      <c r="AR329" s="408">
        <v>0</v>
      </c>
      <c r="AS329" s="408"/>
      <c r="AT329" s="408"/>
      <c r="AU329" s="408">
        <v>0</v>
      </c>
      <c r="AV329" s="408">
        <v>0</v>
      </c>
      <c r="AW329" s="408">
        <v>0</v>
      </c>
      <c r="AX329" s="408"/>
      <c r="AY329" s="408"/>
      <c r="AZ329" s="408">
        <v>0</v>
      </c>
      <c r="BA329" s="408"/>
      <c r="BB329" s="408">
        <v>0</v>
      </c>
      <c r="BC329" s="408">
        <v>0</v>
      </c>
      <c r="BD329" s="408">
        <v>0</v>
      </c>
      <c r="BE329" s="408">
        <v>0</v>
      </c>
      <c r="BF329" s="408"/>
      <c r="BG329" s="408">
        <v>0</v>
      </c>
      <c r="BH329" s="408">
        <v>0</v>
      </c>
      <c r="BI329" s="408">
        <v>1.28</v>
      </c>
      <c r="BJ329" s="408">
        <v>11</v>
      </c>
      <c r="BK329" s="408">
        <v>660.05</v>
      </c>
      <c r="BL329" s="408">
        <v>1</v>
      </c>
      <c r="BM329" s="408"/>
      <c r="BN329" s="408"/>
      <c r="BO329" s="408"/>
      <c r="BP329" s="408"/>
      <c r="BQ329" s="408"/>
      <c r="BR329" s="408"/>
      <c r="BS329" s="408"/>
      <c r="BT329" s="408"/>
      <c r="BU329" s="408"/>
      <c r="BV329" s="408">
        <v>0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870.40000000000009</v>
      </c>
      <c r="CJ329" s="408">
        <v>-217.23000000000002</v>
      </c>
      <c r="CK329" s="408"/>
      <c r="CL329" s="408"/>
      <c r="CM329" s="408"/>
      <c r="CN329" s="408"/>
      <c r="CO329" s="408">
        <v>-217.2</v>
      </c>
      <c r="CP329" s="408">
        <v>0</v>
      </c>
      <c r="CQ329" s="408">
        <v>30</v>
      </c>
      <c r="CR329" s="408">
        <v>20.399679557544232</v>
      </c>
      <c r="CS329" s="408">
        <v>1.9725686252092807</v>
      </c>
      <c r="CT329" s="408">
        <v>9.1998447919447983</v>
      </c>
      <c r="CU329" s="408">
        <v>0</v>
      </c>
      <c r="CV329" s="408">
        <v>0</v>
      </c>
      <c r="CW329" s="408"/>
      <c r="CX329" s="408"/>
      <c r="CY329" s="408"/>
      <c r="CZ329" s="408">
        <v>9.2272661403901211</v>
      </c>
      <c r="DA329" s="408">
        <v>0</v>
      </c>
      <c r="DB329" s="408">
        <v>0</v>
      </c>
      <c r="DC329" s="408"/>
      <c r="DD329" s="408"/>
      <c r="DE329" s="408">
        <v>0</v>
      </c>
      <c r="DF329" s="408">
        <v>0</v>
      </c>
      <c r="DG329" s="408">
        <v>0</v>
      </c>
      <c r="DH329" s="408">
        <v>0</v>
      </c>
      <c r="DI329" s="408">
        <v>0</v>
      </c>
      <c r="DJ329" s="408"/>
      <c r="DK329" s="408">
        <v>0</v>
      </c>
      <c r="DL329" s="408">
        <v>0</v>
      </c>
      <c r="DM329" s="408"/>
      <c r="DN329" s="408">
        <v>0</v>
      </c>
      <c r="DO329" s="408">
        <v>0</v>
      </c>
      <c r="DP329" s="408">
        <v>0</v>
      </c>
      <c r="DQ329" s="408">
        <v>0</v>
      </c>
      <c r="DR329" s="408">
        <v>0</v>
      </c>
      <c r="DS329" s="408"/>
      <c r="DT329" s="408"/>
      <c r="DU329" s="408">
        <v>957.28120972637998</v>
      </c>
      <c r="DV329" s="408"/>
      <c r="DW329" s="408">
        <v>0</v>
      </c>
      <c r="DX329" s="408">
        <v>0</v>
      </c>
      <c r="DY329" s="408">
        <v>-217.20000000000005</v>
      </c>
      <c r="DZ329" s="408"/>
      <c r="EA329" s="408">
        <v>0</v>
      </c>
      <c r="EB329" s="408"/>
      <c r="EC329" s="408">
        <v>-237.80489044185208</v>
      </c>
      <c r="ED329" s="408"/>
      <c r="EE329" s="408">
        <v>0</v>
      </c>
      <c r="EF329" s="408">
        <v>0</v>
      </c>
      <c r="EG329" s="408"/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/>
      <c r="EN329" s="408"/>
      <c r="EO329" s="408">
        <v>0</v>
      </c>
      <c r="EP329" s="408">
        <v>0</v>
      </c>
      <c r="EQ329" s="408"/>
      <c r="ER329" s="408">
        <v>0</v>
      </c>
      <c r="ES329" s="408"/>
      <c r="ET329" s="408">
        <v>0</v>
      </c>
      <c r="EU329" s="408"/>
      <c r="EV329" s="408">
        <v>240</v>
      </c>
      <c r="EW329" s="408"/>
      <c r="EX329" s="408"/>
      <c r="EY329" s="408"/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328</v>
      </c>
      <c r="B330" s="408" t="s">
        <v>1036</v>
      </c>
      <c r="C330" s="408" t="s">
        <v>2235</v>
      </c>
      <c r="D330" s="408" t="s">
        <v>2248</v>
      </c>
      <c r="E330" s="408" t="s">
        <v>2249</v>
      </c>
      <c r="F330" s="408" t="s">
        <v>2250</v>
      </c>
      <c r="G330" s="408" t="s">
        <v>1322</v>
      </c>
      <c r="H330" s="408" t="s">
        <v>1322</v>
      </c>
      <c r="I330" s="408" t="s">
        <v>1322</v>
      </c>
      <c r="J330" s="408" t="s">
        <v>2236</v>
      </c>
      <c r="K330" s="826">
        <v>44501</v>
      </c>
      <c r="L330" s="408">
        <v>0</v>
      </c>
      <c r="M330" s="408">
        <v>0</v>
      </c>
      <c r="N330" s="408">
        <v>1547.316</v>
      </c>
      <c r="O330" s="408">
        <v>1547.316</v>
      </c>
      <c r="P330" s="408">
        <v>1547.316</v>
      </c>
      <c r="Q330" s="408">
        <v>1547.316</v>
      </c>
      <c r="R330" s="408"/>
      <c r="S330" s="408">
        <v>199.07</v>
      </c>
      <c r="T330" s="408">
        <v>95.29</v>
      </c>
      <c r="U330" s="408"/>
      <c r="V330" s="408">
        <v>455467.93776</v>
      </c>
      <c r="W330" s="408">
        <v>455467.93776</v>
      </c>
      <c r="X330" s="408">
        <v>429952.69692000002</v>
      </c>
      <c r="Y330" s="408">
        <v>0</v>
      </c>
      <c r="Z330" s="408">
        <v>52376.415678024321</v>
      </c>
      <c r="AA330" s="408">
        <v>0</v>
      </c>
      <c r="AB330" s="408">
        <v>0</v>
      </c>
      <c r="AC330" s="408">
        <v>2178.2272145028605</v>
      </c>
      <c r="AD330" s="408">
        <v>2809.2803826612435</v>
      </c>
      <c r="AE330" s="408">
        <v>194366.66201022215</v>
      </c>
      <c r="AF330" s="408">
        <v>144963.79457130123</v>
      </c>
      <c r="AG330" s="408">
        <v>2474.1249266486348</v>
      </c>
      <c r="AH330" s="408">
        <v>0</v>
      </c>
      <c r="AI330" s="408">
        <v>0</v>
      </c>
      <c r="AJ330" s="408">
        <v>0</v>
      </c>
      <c r="AK330" s="408">
        <v>0</v>
      </c>
      <c r="AL330" s="408">
        <v>8092.4110809245321</v>
      </c>
      <c r="AM330" s="408"/>
      <c r="AN330" s="408">
        <v>1027.9148109124751</v>
      </c>
      <c r="AO330" s="408">
        <v>4623.9489259455877</v>
      </c>
      <c r="AP330" s="408">
        <v>21560.791684538257</v>
      </c>
      <c r="AQ330" s="408">
        <v>0</v>
      </c>
      <c r="AR330" s="408">
        <v>0</v>
      </c>
      <c r="AS330" s="408">
        <v>0</v>
      </c>
      <c r="AT330" s="408">
        <v>0</v>
      </c>
      <c r="AU330" s="408">
        <v>0</v>
      </c>
      <c r="AV330" s="408">
        <v>0</v>
      </c>
      <c r="AW330" s="408">
        <v>0</v>
      </c>
      <c r="AX330" s="408">
        <v>0</v>
      </c>
      <c r="AY330" s="408">
        <v>0</v>
      </c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>
        <v>0</v>
      </c>
      <c r="BG330" s="408">
        <v>7607.9756101510566</v>
      </c>
      <c r="BH330" s="408">
        <v>0</v>
      </c>
      <c r="BI330" s="408">
        <v>457.55</v>
      </c>
      <c r="BJ330" s="408">
        <v>3924.28</v>
      </c>
      <c r="BK330" s="408">
        <v>163512.84</v>
      </c>
      <c r="BL330" s="408">
        <v>61</v>
      </c>
      <c r="BM330" s="408"/>
      <c r="BN330" s="408"/>
      <c r="BO330" s="408"/>
      <c r="BP330" s="408"/>
      <c r="BQ330" s="408"/>
      <c r="BR330" s="408"/>
      <c r="BS330" s="408"/>
      <c r="BT330" s="408"/>
      <c r="BU330" s="408"/>
      <c r="BV330" s="408">
        <v>152571.77018145227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429953.80839999998</v>
      </c>
      <c r="CJ330" s="408">
        <v>-25514.159360000049</v>
      </c>
      <c r="CK330" s="408"/>
      <c r="CL330" s="408"/>
      <c r="CM330" s="408"/>
      <c r="CN330" s="408"/>
      <c r="CO330" s="408">
        <v>-43881.881759999975</v>
      </c>
      <c r="CP330" s="408">
        <v>18366.640919999987</v>
      </c>
      <c r="CQ330" s="408">
        <v>30</v>
      </c>
      <c r="CR330" s="408">
        <v>22785.387575694302</v>
      </c>
      <c r="CS330" s="408">
        <v>460.76662704495357</v>
      </c>
      <c r="CT330" s="408">
        <v>2148.4868064090588</v>
      </c>
      <c r="CU330" s="408">
        <v>0</v>
      </c>
      <c r="CV330" s="408">
        <v>0</v>
      </c>
      <c r="CW330" s="408">
        <v>0</v>
      </c>
      <c r="CX330" s="408">
        <v>0</v>
      </c>
      <c r="CY330" s="408">
        <v>0</v>
      </c>
      <c r="CZ330" s="408">
        <v>2892.6279754788784</v>
      </c>
      <c r="DA330" s="408">
        <v>0</v>
      </c>
      <c r="DB330" s="408">
        <v>0</v>
      </c>
      <c r="DC330" s="408">
        <v>18371.529355874984</v>
      </c>
      <c r="DD330" s="408">
        <v>0</v>
      </c>
      <c r="DE330" s="408">
        <v>0</v>
      </c>
      <c r="DF330" s="408">
        <v>0</v>
      </c>
      <c r="DG330" s="408">
        <v>964.1727968973928</v>
      </c>
      <c r="DH330" s="408">
        <v>0</v>
      </c>
      <c r="DI330" s="408">
        <v>-1778.5373360812519</v>
      </c>
      <c r="DJ330" s="408"/>
      <c r="DK330" s="408">
        <v>0</v>
      </c>
      <c r="DL330" s="408">
        <v>0</v>
      </c>
      <c r="DM330" s="408">
        <v>0</v>
      </c>
      <c r="DN330" s="408">
        <v>0</v>
      </c>
      <c r="DO330" s="408">
        <v>-244.57747014146662</v>
      </c>
      <c r="DP330" s="408">
        <v>-29.081179788232703</v>
      </c>
      <c r="DQ330" s="408">
        <v>0</v>
      </c>
      <c r="DR330" s="408">
        <v>0</v>
      </c>
      <c r="DS330" s="408"/>
      <c r="DT330" s="408"/>
      <c r="DU330" s="408"/>
      <c r="DV330" s="408">
        <v>194366.66201022215</v>
      </c>
      <c r="DW330" s="408">
        <v>0</v>
      </c>
      <c r="DX330" s="408">
        <v>0</v>
      </c>
      <c r="DY330" s="408">
        <v>-43881.88175999996</v>
      </c>
      <c r="DZ330" s="408">
        <v>18366.640919999976</v>
      </c>
      <c r="EA330" s="408">
        <v>0</v>
      </c>
      <c r="EB330" s="408">
        <v>0</v>
      </c>
      <c r="EC330" s="408">
        <v>-48283.975800696062</v>
      </c>
      <c r="ED330" s="408">
        <v>0</v>
      </c>
      <c r="EE330" s="408">
        <v>0</v>
      </c>
      <c r="EF330" s="408">
        <v>0</v>
      </c>
      <c r="EG330" s="408">
        <v>0</v>
      </c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>
        <v>0</v>
      </c>
      <c r="EN330" s="408">
        <v>0</v>
      </c>
      <c r="EO330" s="408">
        <v>0</v>
      </c>
      <c r="EP330" s="408">
        <v>13376.002427008352</v>
      </c>
      <c r="EQ330" s="408">
        <v>0</v>
      </c>
      <c r="ER330" s="408">
        <v>0</v>
      </c>
      <c r="ES330" s="408">
        <v>0</v>
      </c>
      <c r="ET330" s="408">
        <v>0</v>
      </c>
      <c r="EU330" s="408">
        <v>0</v>
      </c>
      <c r="EV330" s="408">
        <v>240</v>
      </c>
      <c r="EW330" s="408">
        <v>0</v>
      </c>
      <c r="EX330" s="408">
        <v>0</v>
      </c>
      <c r="EY330" s="408">
        <v>0</v>
      </c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329</v>
      </c>
      <c r="B331" s="408" t="s">
        <v>1036</v>
      </c>
      <c r="C331" s="408" t="s">
        <v>2235</v>
      </c>
      <c r="D331" s="408" t="s">
        <v>1958</v>
      </c>
      <c r="E331" s="408" t="s">
        <v>1001</v>
      </c>
      <c r="F331" s="408" t="s">
        <v>2251</v>
      </c>
      <c r="G331" s="408" t="s">
        <v>1322</v>
      </c>
      <c r="H331" s="408" t="s">
        <v>1322</v>
      </c>
      <c r="I331" s="408" t="s">
        <v>1322</v>
      </c>
      <c r="J331" s="408" t="s">
        <v>2236</v>
      </c>
      <c r="K331" s="826">
        <v>44501</v>
      </c>
      <c r="L331" s="408">
        <v>0</v>
      </c>
      <c r="M331" s="408">
        <v>0</v>
      </c>
      <c r="N331" s="408">
        <v>614.70299999999997</v>
      </c>
      <c r="O331" s="408">
        <v>577.82082000000003</v>
      </c>
      <c r="P331" s="408">
        <v>614.70299999999997</v>
      </c>
      <c r="Q331" s="408">
        <v>577.82082000000003</v>
      </c>
      <c r="R331" s="408"/>
      <c r="S331" s="408">
        <v>368.24</v>
      </c>
      <c r="T331" s="408">
        <v>173.25</v>
      </c>
      <c r="U331" s="408"/>
      <c r="V331" s="408">
        <v>332855.52746999997</v>
      </c>
      <c r="W331" s="408">
        <v>332855.52746999997</v>
      </c>
      <c r="X331" s="408">
        <v>312816.20967000001</v>
      </c>
      <c r="Y331" s="408">
        <v>0</v>
      </c>
      <c r="Z331" s="408">
        <v>37832.008748202577</v>
      </c>
      <c r="AA331" s="408">
        <v>0</v>
      </c>
      <c r="AB331" s="408">
        <v>0</v>
      </c>
      <c r="AC331" s="408">
        <v>1573.3552968043346</v>
      </c>
      <c r="AD331" s="408">
        <v>1511.6416341175441</v>
      </c>
      <c r="AE331" s="408">
        <v>144785.36554271585</v>
      </c>
      <c r="AF331" s="408">
        <v>104708.79829020365</v>
      </c>
      <c r="AG331" s="408">
        <v>1787.0851729242981</v>
      </c>
      <c r="AH331" s="408">
        <v>0</v>
      </c>
      <c r="AI331" s="408">
        <v>0</v>
      </c>
      <c r="AJ331" s="408">
        <v>0</v>
      </c>
      <c r="AK331" s="408">
        <v>0</v>
      </c>
      <c r="AL331" s="408">
        <v>5845.2294385627611</v>
      </c>
      <c r="AM331" s="408"/>
      <c r="AN331" s="408">
        <v>742.47314588890697</v>
      </c>
      <c r="AO331" s="408">
        <v>3339.9245433858941</v>
      </c>
      <c r="AP331" s="408">
        <v>15573.575416881044</v>
      </c>
      <c r="AQ331" s="408">
        <v>0</v>
      </c>
      <c r="AR331" s="408">
        <v>0</v>
      </c>
      <c r="AS331" s="408">
        <v>0</v>
      </c>
      <c r="AT331" s="408">
        <v>0</v>
      </c>
      <c r="AU331" s="408">
        <v>0</v>
      </c>
      <c r="AV331" s="408">
        <v>0</v>
      </c>
      <c r="AW331" s="408">
        <v>0</v>
      </c>
      <c r="AX331" s="408">
        <v>0</v>
      </c>
      <c r="AY331" s="408">
        <v>0</v>
      </c>
      <c r="AZ331" s="408">
        <v>0</v>
      </c>
      <c r="BA331" s="408"/>
      <c r="BB331" s="408">
        <v>0</v>
      </c>
      <c r="BC331" s="408">
        <v>0</v>
      </c>
      <c r="BD331" s="408">
        <v>0</v>
      </c>
      <c r="BE331" s="408">
        <v>0</v>
      </c>
      <c r="BF331" s="408">
        <v>0</v>
      </c>
      <c r="BG331" s="408">
        <v>5495.3168542250924</v>
      </c>
      <c r="BH331" s="408">
        <v>0</v>
      </c>
      <c r="BI331" s="408">
        <v>267.83</v>
      </c>
      <c r="BJ331" s="408">
        <v>2303.3000000000002</v>
      </c>
      <c r="BK331" s="408">
        <v>172626.9</v>
      </c>
      <c r="BL331" s="408">
        <v>198</v>
      </c>
      <c r="BM331" s="408"/>
      <c r="BN331" s="408"/>
      <c r="BO331" s="408"/>
      <c r="BP331" s="408"/>
      <c r="BQ331" s="408">
        <v>18768.972580199974</v>
      </c>
      <c r="BR331" s="408"/>
      <c r="BS331" s="408"/>
      <c r="BT331" s="408"/>
      <c r="BU331" s="408"/>
      <c r="BV331" s="408">
        <v>110204.11514442874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294046.81980000006</v>
      </c>
      <c r="CJ331" s="408">
        <v>-18837.406021800009</v>
      </c>
      <c r="CK331" s="408"/>
      <c r="CL331" s="408"/>
      <c r="CM331" s="408"/>
      <c r="CN331" s="408"/>
      <c r="CO331" s="408">
        <v>-33310.755569999994</v>
      </c>
      <c r="CP331" s="408">
        <v>13271.437770000002</v>
      </c>
      <c r="CQ331" s="408">
        <v>30</v>
      </c>
      <c r="CR331" s="408">
        <v>15925.229184238793</v>
      </c>
      <c r="CS331" s="408">
        <v>332.81634185131998</v>
      </c>
      <c r="CT331" s="408">
        <v>1551.8735026682934</v>
      </c>
      <c r="CU331" s="408">
        <v>0</v>
      </c>
      <c r="CV331" s="408">
        <v>0</v>
      </c>
      <c r="CW331" s="408">
        <v>0</v>
      </c>
      <c r="CX331" s="408">
        <v>0</v>
      </c>
      <c r="CY331" s="408">
        <v>0</v>
      </c>
      <c r="CZ331" s="408">
        <v>1556.4900202680446</v>
      </c>
      <c r="DA331" s="408">
        <v>0</v>
      </c>
      <c r="DB331" s="408">
        <v>0</v>
      </c>
      <c r="DC331" s="408">
        <v>13269.939347929481</v>
      </c>
      <c r="DD331" s="408">
        <v>0</v>
      </c>
      <c r="DE331" s="408">
        <v>0</v>
      </c>
      <c r="DF331" s="408">
        <v>0</v>
      </c>
      <c r="DG331" s="408">
        <v>696.43165181894801</v>
      </c>
      <c r="DH331" s="408">
        <v>0</v>
      </c>
      <c r="DI331" s="408">
        <v>-1284.6553011810538</v>
      </c>
      <c r="DJ331" s="408"/>
      <c r="DK331" s="408">
        <v>0</v>
      </c>
      <c r="DL331" s="408">
        <v>0</v>
      </c>
      <c r="DM331" s="408">
        <v>0</v>
      </c>
      <c r="DN331" s="408">
        <v>0</v>
      </c>
      <c r="DO331" s="408">
        <v>-176.66075217681555</v>
      </c>
      <c r="DP331" s="408">
        <v>-21.005626939418676</v>
      </c>
      <c r="DQ331" s="408">
        <v>0</v>
      </c>
      <c r="DR331" s="408">
        <v>0</v>
      </c>
      <c r="DS331" s="408"/>
      <c r="DT331" s="408"/>
      <c r="DU331" s="408"/>
      <c r="DV331" s="408">
        <v>144785.36554271585</v>
      </c>
      <c r="DW331" s="408">
        <v>0</v>
      </c>
      <c r="DX331" s="408">
        <v>0</v>
      </c>
      <c r="DY331" s="408">
        <v>-33310.755570000008</v>
      </c>
      <c r="DZ331" s="408">
        <v>13271.43776999999</v>
      </c>
      <c r="EA331" s="408">
        <v>0</v>
      </c>
      <c r="EB331" s="408">
        <v>0</v>
      </c>
      <c r="EC331" s="408">
        <v>-35967.14073214792</v>
      </c>
      <c r="ED331" s="408">
        <v>0</v>
      </c>
      <c r="EE331" s="408">
        <v>0</v>
      </c>
      <c r="EF331" s="408">
        <v>0</v>
      </c>
      <c r="EG331" s="408">
        <v>0</v>
      </c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>
        <v>0</v>
      </c>
      <c r="EN331" s="408">
        <v>0</v>
      </c>
      <c r="EO331" s="408">
        <v>0</v>
      </c>
      <c r="EP331" s="408">
        <v>9661.6202976806308</v>
      </c>
      <c r="EQ331" s="408">
        <v>0</v>
      </c>
      <c r="ER331" s="408">
        <v>0</v>
      </c>
      <c r="ES331" s="408">
        <v>0</v>
      </c>
      <c r="ET331" s="408">
        <v>0</v>
      </c>
      <c r="EU331" s="408">
        <v>0</v>
      </c>
      <c r="EV331" s="408">
        <v>240</v>
      </c>
      <c r="EW331" s="408">
        <v>0</v>
      </c>
      <c r="EX331" s="408">
        <v>0</v>
      </c>
      <c r="EY331" s="408">
        <v>0</v>
      </c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330</v>
      </c>
      <c r="B332" s="408" t="s">
        <v>1036</v>
      </c>
      <c r="C332" s="408" t="s">
        <v>2247</v>
      </c>
      <c r="D332" s="408" t="s">
        <v>597</v>
      </c>
      <c r="E332" s="408" t="s">
        <v>1001</v>
      </c>
      <c r="F332" s="408" t="s">
        <v>2251</v>
      </c>
      <c r="G332" s="408" t="s">
        <v>1322</v>
      </c>
      <c r="H332" s="408" t="s">
        <v>1322</v>
      </c>
      <c r="I332" s="408" t="s">
        <v>973</v>
      </c>
      <c r="J332" s="408" t="s">
        <v>2236</v>
      </c>
      <c r="K332" s="826">
        <v>44501</v>
      </c>
      <c r="L332" s="408">
        <v>65</v>
      </c>
      <c r="M332" s="408">
        <v>61.1</v>
      </c>
      <c r="N332" s="408">
        <v>3.0950000000000002</v>
      </c>
      <c r="O332" s="408">
        <v>2.9093</v>
      </c>
      <c r="P332" s="408">
        <v>3.0950000000000002</v>
      </c>
      <c r="Q332" s="408">
        <v>2.9093</v>
      </c>
      <c r="R332" s="408">
        <v>52.95</v>
      </c>
      <c r="S332" s="408">
        <v>85.01</v>
      </c>
      <c r="T332" s="408">
        <v>173.25</v>
      </c>
      <c r="U332" s="408">
        <v>3441.75</v>
      </c>
      <c r="V332" s="408">
        <v>799.31470000000002</v>
      </c>
      <c r="W332" s="408">
        <v>4241.0646999999999</v>
      </c>
      <c r="X332" s="408">
        <v>3738.7336500000001</v>
      </c>
      <c r="Y332" s="408">
        <v>0</v>
      </c>
      <c r="Z332" s="408">
        <v>165.71963754178458</v>
      </c>
      <c r="AA332" s="408">
        <v>0</v>
      </c>
      <c r="AB332" s="408">
        <v>0</v>
      </c>
      <c r="AC332" s="408">
        <v>51.198306474712865</v>
      </c>
      <c r="AD332" s="408">
        <v>49.188863943031343</v>
      </c>
      <c r="AE332" s="408">
        <v>2725.6914092779475</v>
      </c>
      <c r="AF332" s="408">
        <v>527.20375646154378</v>
      </c>
      <c r="AG332" s="408">
        <v>8.99788777702517</v>
      </c>
      <c r="AH332" s="408">
        <v>0</v>
      </c>
      <c r="AI332" s="408">
        <v>0</v>
      </c>
      <c r="AJ332" s="408">
        <v>0</v>
      </c>
      <c r="AK332" s="408">
        <v>0</v>
      </c>
      <c r="AL332" s="408">
        <v>29.430448708322146</v>
      </c>
      <c r="AM332" s="408"/>
      <c r="AN332" s="408">
        <v>2.4785187956022554</v>
      </c>
      <c r="AO332" s="408">
        <v>108.68330737188015</v>
      </c>
      <c r="AP332" s="408">
        <v>506.76761947441048</v>
      </c>
      <c r="AQ332" s="408">
        <v>0</v>
      </c>
      <c r="AR332" s="408">
        <v>0</v>
      </c>
      <c r="AS332" s="408">
        <v>0</v>
      </c>
      <c r="AT332" s="408">
        <v>0</v>
      </c>
      <c r="AU332" s="408">
        <v>0</v>
      </c>
      <c r="AV332" s="408">
        <v>0</v>
      </c>
      <c r="AW332" s="408">
        <v>0</v>
      </c>
      <c r="AX332" s="408">
        <v>0</v>
      </c>
      <c r="AY332" s="408">
        <v>0</v>
      </c>
      <c r="AZ332" s="408">
        <v>0</v>
      </c>
      <c r="BA332" s="408"/>
      <c r="BB332" s="408">
        <v>0</v>
      </c>
      <c r="BC332" s="408">
        <v>0</v>
      </c>
      <c r="BD332" s="408">
        <v>0</v>
      </c>
      <c r="BE332" s="408">
        <v>0</v>
      </c>
      <c r="BF332" s="408">
        <v>0</v>
      </c>
      <c r="BG332" s="408">
        <v>23.146442124400846</v>
      </c>
      <c r="BH332" s="408">
        <v>0</v>
      </c>
      <c r="BI332" s="408">
        <v>0</v>
      </c>
      <c r="BJ332" s="408">
        <v>0</v>
      </c>
      <c r="BK332" s="408">
        <v>0</v>
      </c>
      <c r="BL332" s="408">
        <v>0</v>
      </c>
      <c r="BM332" s="408"/>
      <c r="BN332" s="408"/>
      <c r="BO332" s="408"/>
      <c r="BP332" s="408"/>
      <c r="BQ332" s="408">
        <v>224.32401899999999</v>
      </c>
      <c r="BR332" s="408"/>
      <c r="BS332" s="408"/>
      <c r="BT332" s="408"/>
      <c r="BU332" s="408"/>
      <c r="BV332" s="408">
        <v>550.35019858594467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3514.6046999999999</v>
      </c>
      <c r="CJ332" s="408">
        <v>-472.02611800000113</v>
      </c>
      <c r="CK332" s="408"/>
      <c r="CL332" s="408"/>
      <c r="CM332" s="408"/>
      <c r="CN332" s="408"/>
      <c r="CO332" s="408">
        <v>-569.15210000000025</v>
      </c>
      <c r="CP332" s="408">
        <v>66.821050000000014</v>
      </c>
      <c r="CQ332" s="408">
        <v>30</v>
      </c>
      <c r="CR332" s="408">
        <v>175.13658429805378</v>
      </c>
      <c r="CS332" s="408">
        <v>10.830059275274195</v>
      </c>
      <c r="CT332" s="408">
        <v>50.498310093914142</v>
      </c>
      <c r="CU332" s="408">
        <v>0</v>
      </c>
      <c r="CV332" s="408">
        <v>0</v>
      </c>
      <c r="CW332" s="408">
        <v>0</v>
      </c>
      <c r="CX332" s="408">
        <v>0</v>
      </c>
      <c r="CY332" s="408">
        <v>0</v>
      </c>
      <c r="CZ332" s="408">
        <v>50.648231768467902</v>
      </c>
      <c r="DA332" s="408">
        <v>0</v>
      </c>
      <c r="DB332" s="408">
        <v>0</v>
      </c>
      <c r="DC332" s="408">
        <v>66.813505517041108</v>
      </c>
      <c r="DD332" s="408">
        <v>0</v>
      </c>
      <c r="DE332" s="408">
        <v>0</v>
      </c>
      <c r="DF332" s="408">
        <v>0</v>
      </c>
      <c r="DG332" s="408">
        <v>2.9333913494057668</v>
      </c>
      <c r="DH332" s="408">
        <v>0</v>
      </c>
      <c r="DI332" s="408">
        <v>-5.6273144863862399</v>
      </c>
      <c r="DJ332" s="408"/>
      <c r="DK332" s="408">
        <v>0</v>
      </c>
      <c r="DL332" s="408">
        <v>0</v>
      </c>
      <c r="DM332" s="408">
        <v>0</v>
      </c>
      <c r="DN332" s="408">
        <v>0</v>
      </c>
      <c r="DO332" s="408">
        <v>-0.88947837896877857</v>
      </c>
      <c r="DP332" s="408">
        <v>-7.0120840694419151E-2</v>
      </c>
      <c r="DQ332" s="408">
        <v>0</v>
      </c>
      <c r="DR332" s="408">
        <v>0</v>
      </c>
      <c r="DS332" s="408"/>
      <c r="DT332" s="408"/>
      <c r="DU332" s="408">
        <v>2725.6914092779475</v>
      </c>
      <c r="DV332" s="408">
        <v>0</v>
      </c>
      <c r="DW332" s="408">
        <v>0</v>
      </c>
      <c r="DX332" s="408">
        <v>0</v>
      </c>
      <c r="DY332" s="408">
        <v>-569.15210000000025</v>
      </c>
      <c r="DZ332" s="408">
        <v>66.821050000000014</v>
      </c>
      <c r="EA332" s="408">
        <v>0</v>
      </c>
      <c r="EB332" s="408">
        <v>0</v>
      </c>
      <c r="EC332" s="408">
        <v>-677.10798078540483</v>
      </c>
      <c r="ED332" s="408">
        <v>0</v>
      </c>
      <c r="EE332" s="408">
        <v>0</v>
      </c>
      <c r="EF332" s="408">
        <v>0</v>
      </c>
      <c r="EG332" s="408">
        <v>0</v>
      </c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>
        <v>0</v>
      </c>
      <c r="EN332" s="408">
        <v>0</v>
      </c>
      <c r="EO332" s="408">
        <v>0</v>
      </c>
      <c r="EP332" s="408">
        <v>42.321839806459074</v>
      </c>
      <c r="EQ332" s="408">
        <v>0</v>
      </c>
      <c r="ER332" s="408">
        <v>0</v>
      </c>
      <c r="ES332" s="408">
        <v>0</v>
      </c>
      <c r="ET332" s="408">
        <v>0</v>
      </c>
      <c r="EU332" s="408">
        <v>0</v>
      </c>
      <c r="EV332" s="408">
        <v>240</v>
      </c>
      <c r="EW332" s="408">
        <v>0</v>
      </c>
      <c r="EX332" s="408">
        <v>0</v>
      </c>
      <c r="EY332" s="408">
        <v>0</v>
      </c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331</v>
      </c>
      <c r="B333" s="408" t="s">
        <v>1036</v>
      </c>
      <c r="C333" s="408" t="s">
        <v>2247</v>
      </c>
      <c r="D333" s="408" t="s">
        <v>597</v>
      </c>
      <c r="E333" s="408" t="s">
        <v>1001</v>
      </c>
      <c r="F333" s="408" t="s">
        <v>2251</v>
      </c>
      <c r="G333" s="408" t="s">
        <v>1322</v>
      </c>
      <c r="H333" s="408" t="s">
        <v>1322</v>
      </c>
      <c r="I333" s="408" t="s">
        <v>2244</v>
      </c>
      <c r="J333" s="408" t="s">
        <v>2236</v>
      </c>
      <c r="K333" s="826">
        <v>44501</v>
      </c>
      <c r="L333" s="408">
        <v>65</v>
      </c>
      <c r="M333" s="408">
        <v>61.1</v>
      </c>
      <c r="N333" s="408">
        <v>22.305</v>
      </c>
      <c r="O333" s="408">
        <v>20.966699999999999</v>
      </c>
      <c r="P333" s="408">
        <v>22.305</v>
      </c>
      <c r="Q333" s="408">
        <v>20.966699999999999</v>
      </c>
      <c r="R333" s="408">
        <v>27.19</v>
      </c>
      <c r="S333" s="408">
        <v>85.01</v>
      </c>
      <c r="T333" s="408">
        <v>173.25</v>
      </c>
      <c r="U333" s="408">
        <v>1767.3500000000001</v>
      </c>
      <c r="V333" s="408">
        <v>5760.4893000000002</v>
      </c>
      <c r="W333" s="408">
        <v>7527.8392999999996</v>
      </c>
      <c r="X333" s="408">
        <v>7630.1343500000003</v>
      </c>
      <c r="Y333" s="408">
        <v>0</v>
      </c>
      <c r="Z333" s="408">
        <v>1194.3058207979013</v>
      </c>
      <c r="AA333" s="408">
        <v>0</v>
      </c>
      <c r="AB333" s="408">
        <v>0</v>
      </c>
      <c r="AC333" s="408">
        <v>15.158039872791662</v>
      </c>
      <c r="AD333" s="408">
        <v>14.56226455907756</v>
      </c>
      <c r="AE333" s="408">
        <v>1555.5819658053674</v>
      </c>
      <c r="AF333" s="408">
        <v>3799.4441964054063</v>
      </c>
      <c r="AG333" s="408">
        <v>64.845843898722592</v>
      </c>
      <c r="AH333" s="408">
        <v>0</v>
      </c>
      <c r="AI333" s="408">
        <v>0</v>
      </c>
      <c r="AJ333" s="408">
        <v>0</v>
      </c>
      <c r="AK333" s="408">
        <v>0</v>
      </c>
      <c r="AL333" s="408">
        <v>212.09892033574326</v>
      </c>
      <c r="AM333" s="408"/>
      <c r="AN333" s="408">
        <v>17.862152418710274</v>
      </c>
      <c r="AO333" s="408">
        <v>32.167514020880162</v>
      </c>
      <c r="AP333" s="408">
        <v>150.02577479574686</v>
      </c>
      <c r="AQ333" s="408">
        <v>0</v>
      </c>
      <c r="AR333" s="408">
        <v>0</v>
      </c>
      <c r="AS333" s="408">
        <v>0</v>
      </c>
      <c r="AT333" s="408">
        <v>0</v>
      </c>
      <c r="AU333" s="408">
        <v>0</v>
      </c>
      <c r="AV333" s="408">
        <v>0</v>
      </c>
      <c r="AW333" s="408">
        <v>0</v>
      </c>
      <c r="AX333" s="408">
        <v>0</v>
      </c>
      <c r="AY333" s="408">
        <v>0</v>
      </c>
      <c r="AZ333" s="408">
        <v>0</v>
      </c>
      <c r="BA333" s="408"/>
      <c r="BB333" s="408">
        <v>0</v>
      </c>
      <c r="BC333" s="408">
        <v>0</v>
      </c>
      <c r="BD333" s="408">
        <v>0</v>
      </c>
      <c r="BE333" s="408">
        <v>0</v>
      </c>
      <c r="BF333" s="408">
        <v>0</v>
      </c>
      <c r="BG333" s="408">
        <v>166.81143508392918</v>
      </c>
      <c r="BH333" s="408">
        <v>0</v>
      </c>
      <c r="BI333" s="408">
        <v>0</v>
      </c>
      <c r="BJ333" s="408">
        <v>0</v>
      </c>
      <c r="BK333" s="408">
        <v>0</v>
      </c>
      <c r="BL333" s="408">
        <v>0</v>
      </c>
      <c r="BM333" s="408"/>
      <c r="BN333" s="408"/>
      <c r="BO333" s="408"/>
      <c r="BP333" s="408"/>
      <c r="BQ333" s="408">
        <v>457.80806100000007</v>
      </c>
      <c r="BR333" s="408"/>
      <c r="BS333" s="408"/>
      <c r="BT333" s="408"/>
      <c r="BU333" s="408"/>
      <c r="BV333" s="408">
        <v>3966.2556314893354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7173.2458999999999</v>
      </c>
      <c r="CJ333" s="408">
        <v>97.046957999998995</v>
      </c>
      <c r="CK333" s="408"/>
      <c r="CL333" s="408"/>
      <c r="CM333" s="408"/>
      <c r="CN333" s="408"/>
      <c r="CO333" s="408">
        <v>-379.26990000000012</v>
      </c>
      <c r="CP333" s="408">
        <v>481.56495000000007</v>
      </c>
      <c r="CQ333" s="408">
        <v>30</v>
      </c>
      <c r="CR333" s="408">
        <v>488.32990719463305</v>
      </c>
      <c r="CS333" s="408">
        <v>3.2054240159650789</v>
      </c>
      <c r="CT333" s="408">
        <v>14.94974778691028</v>
      </c>
      <c r="CU333" s="408">
        <v>0</v>
      </c>
      <c r="CV333" s="408">
        <v>0</v>
      </c>
      <c r="CW333" s="408">
        <v>0</v>
      </c>
      <c r="CX333" s="408">
        <v>0</v>
      </c>
      <c r="CY333" s="408">
        <v>0</v>
      </c>
      <c r="CZ333" s="408">
        <v>14.994307478133946</v>
      </c>
      <c r="DA333" s="408">
        <v>0</v>
      </c>
      <c r="DB333" s="408">
        <v>0</v>
      </c>
      <c r="DC333" s="408">
        <v>481.51057853234352</v>
      </c>
      <c r="DD333" s="408">
        <v>0</v>
      </c>
      <c r="DE333" s="408">
        <v>0</v>
      </c>
      <c r="DF333" s="408">
        <v>0</v>
      </c>
      <c r="DG333" s="408">
        <v>21.140321178835421</v>
      </c>
      <c r="DH333" s="408">
        <v>0</v>
      </c>
      <c r="DI333" s="408">
        <v>-40.554846403504143</v>
      </c>
      <c r="DJ333" s="408"/>
      <c r="DK333" s="408">
        <v>0</v>
      </c>
      <c r="DL333" s="408">
        <v>0</v>
      </c>
      <c r="DM333" s="408">
        <v>0</v>
      </c>
      <c r="DN333" s="408">
        <v>0</v>
      </c>
      <c r="DO333" s="408">
        <v>-6.4102795615181378</v>
      </c>
      <c r="DP333" s="408">
        <v>-0.50534583253279663</v>
      </c>
      <c r="DQ333" s="408">
        <v>0</v>
      </c>
      <c r="DR333" s="408">
        <v>0</v>
      </c>
      <c r="DS333" s="408"/>
      <c r="DT333" s="408"/>
      <c r="DU333" s="408">
        <v>1555.5819658053674</v>
      </c>
      <c r="DV333" s="408">
        <v>0</v>
      </c>
      <c r="DW333" s="408">
        <v>0</v>
      </c>
      <c r="DX333" s="408">
        <v>0</v>
      </c>
      <c r="DY333" s="408">
        <v>-379.26990000000023</v>
      </c>
      <c r="DZ333" s="408">
        <v>481.56495000000041</v>
      </c>
      <c r="EA333" s="408">
        <v>0</v>
      </c>
      <c r="EB333" s="408">
        <v>0</v>
      </c>
      <c r="EC333" s="408">
        <v>-386.43294696800945</v>
      </c>
      <c r="ED333" s="408">
        <v>0</v>
      </c>
      <c r="EE333" s="408">
        <v>0</v>
      </c>
      <c r="EF333" s="408">
        <v>0</v>
      </c>
      <c r="EG333" s="408">
        <v>0</v>
      </c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>
        <v>0</v>
      </c>
      <c r="EN333" s="408">
        <v>0</v>
      </c>
      <c r="EO333" s="408">
        <v>0</v>
      </c>
      <c r="EP333" s="408">
        <v>305.00440610115334</v>
      </c>
      <c r="EQ333" s="408">
        <v>0</v>
      </c>
      <c r="ER333" s="408">
        <v>0</v>
      </c>
      <c r="ES333" s="408">
        <v>0</v>
      </c>
      <c r="ET333" s="408">
        <v>0</v>
      </c>
      <c r="EU333" s="408">
        <v>0</v>
      </c>
      <c r="EV333" s="408">
        <v>240</v>
      </c>
      <c r="EW333" s="408">
        <v>0</v>
      </c>
      <c r="EX333" s="408">
        <v>0</v>
      </c>
      <c r="EY333" s="408">
        <v>0</v>
      </c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332</v>
      </c>
      <c r="B334" s="408" t="s">
        <v>1036</v>
      </c>
      <c r="C334" s="408" t="s">
        <v>2247</v>
      </c>
      <c r="D334" s="408" t="s">
        <v>597</v>
      </c>
      <c r="E334" s="408" t="s">
        <v>1001</v>
      </c>
      <c r="F334" s="408" t="s">
        <v>2251</v>
      </c>
      <c r="G334" s="408" t="s">
        <v>1322</v>
      </c>
      <c r="H334" s="408" t="s">
        <v>1322</v>
      </c>
      <c r="I334" s="408" t="s">
        <v>1322</v>
      </c>
      <c r="J334" s="408" t="s">
        <v>2236</v>
      </c>
      <c r="K334" s="826">
        <v>44501</v>
      </c>
      <c r="L334" s="408">
        <v>0</v>
      </c>
      <c r="M334" s="408">
        <v>0</v>
      </c>
      <c r="N334" s="408">
        <v>0</v>
      </c>
      <c r="O334" s="408">
        <v>0</v>
      </c>
      <c r="P334" s="408">
        <v>0</v>
      </c>
      <c r="Q334" s="408">
        <v>0</v>
      </c>
      <c r="R334" s="408"/>
      <c r="S334" s="408"/>
      <c r="T334" s="408"/>
      <c r="U334" s="408"/>
      <c r="V334" s="408"/>
      <c r="W334" s="408"/>
      <c r="X334" s="408"/>
      <c r="Y334" s="408"/>
      <c r="Z334" s="408"/>
      <c r="AA334" s="408">
        <v>0</v>
      </c>
      <c r="AB334" s="408"/>
      <c r="AC334" s="408"/>
      <c r="AD334" s="408"/>
      <c r="AE334" s="408"/>
      <c r="AF334" s="408"/>
      <c r="AG334" s="408"/>
      <c r="AH334" s="408"/>
      <c r="AI334" s="408"/>
      <c r="AJ334" s="408"/>
      <c r="AK334" s="408"/>
      <c r="AL334" s="408"/>
      <c r="AM334" s="408"/>
      <c r="AN334" s="408"/>
      <c r="AO334" s="408"/>
      <c r="AP334" s="408"/>
      <c r="AQ334" s="408"/>
      <c r="AR334" s="408"/>
      <c r="AS334" s="408"/>
      <c r="AT334" s="408"/>
      <c r="AU334" s="408"/>
      <c r="AV334" s="408"/>
      <c r="AW334" s="408"/>
      <c r="AX334" s="408"/>
      <c r="AY334" s="408"/>
      <c r="AZ334" s="408">
        <v>0</v>
      </c>
      <c r="BA334" s="408"/>
      <c r="BB334" s="408"/>
      <c r="BC334" s="408"/>
      <c r="BD334" s="408"/>
      <c r="BE334" s="408"/>
      <c r="BF334" s="408"/>
      <c r="BG334" s="408"/>
      <c r="BH334" s="408"/>
      <c r="BI334" s="408">
        <v>10.06</v>
      </c>
      <c r="BJ334" s="408">
        <v>86.34</v>
      </c>
      <c r="BK334" s="408">
        <v>6157.51</v>
      </c>
      <c r="BL334" s="408">
        <v>1</v>
      </c>
      <c r="BM334" s="408"/>
      <c r="BN334" s="408"/>
      <c r="BO334" s="408"/>
      <c r="BP334" s="408"/>
      <c r="BQ334" s="408"/>
      <c r="BR334" s="408"/>
      <c r="BS334" s="408"/>
      <c r="BT334" s="408"/>
      <c r="BU334" s="408"/>
      <c r="BV334" s="408"/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/>
      <c r="CJ334" s="408">
        <v>-0.03</v>
      </c>
      <c r="CK334" s="408"/>
      <c r="CL334" s="408"/>
      <c r="CM334" s="408"/>
      <c r="CN334" s="408"/>
      <c r="CO334" s="408">
        <v>0</v>
      </c>
      <c r="CP334" s="408">
        <v>0</v>
      </c>
      <c r="CQ334" s="408">
        <v>30</v>
      </c>
      <c r="CR334" s="408"/>
      <c r="CS334" s="408"/>
      <c r="CT334" s="408"/>
      <c r="CU334" s="408"/>
      <c r="CV334" s="408"/>
      <c r="CW334" s="408"/>
      <c r="CX334" s="408"/>
      <c r="CY334" s="408"/>
      <c r="CZ334" s="408"/>
      <c r="DA334" s="408"/>
      <c r="DB334" s="408"/>
      <c r="DC334" s="408"/>
      <c r="DD334" s="408"/>
      <c r="DE334" s="408"/>
      <c r="DF334" s="408"/>
      <c r="DG334" s="408"/>
      <c r="DH334" s="408"/>
      <c r="DI334" s="408"/>
      <c r="DJ334" s="408"/>
      <c r="DK334" s="408">
        <v>0</v>
      </c>
      <c r="DL334" s="408"/>
      <c r="DM334" s="408"/>
      <c r="DN334" s="408"/>
      <c r="DO334" s="408"/>
      <c r="DP334" s="408"/>
      <c r="DQ334" s="408"/>
      <c r="DR334" s="408"/>
      <c r="DS334" s="408"/>
      <c r="DT334" s="408"/>
      <c r="DU334" s="408"/>
      <c r="DV334" s="408"/>
      <c r="DW334" s="408"/>
      <c r="DX334" s="408"/>
      <c r="DY334" s="408"/>
      <c r="DZ334" s="408"/>
      <c r="EA334" s="408"/>
      <c r="EB334" s="408"/>
      <c r="EC334" s="408"/>
      <c r="ED334" s="408"/>
      <c r="EE334" s="408"/>
      <c r="EF334" s="408"/>
      <c r="EG334" s="408"/>
      <c r="EH334" s="408"/>
      <c r="EI334" s="408"/>
      <c r="EJ334" s="408"/>
      <c r="EK334" s="408"/>
      <c r="EL334" s="408"/>
      <c r="EM334" s="408"/>
      <c r="EN334" s="408"/>
      <c r="EO334" s="408"/>
      <c r="EP334" s="408"/>
      <c r="EQ334" s="408"/>
      <c r="ER334" s="408"/>
      <c r="ES334" s="408"/>
      <c r="ET334" s="408"/>
      <c r="EU334" s="408"/>
      <c r="EV334" s="408">
        <v>240</v>
      </c>
      <c r="EW334" s="408"/>
      <c r="EX334" s="408"/>
      <c r="EY334" s="408"/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333</v>
      </c>
      <c r="B335" s="408" t="s">
        <v>1036</v>
      </c>
      <c r="C335" s="408" t="s">
        <v>2235</v>
      </c>
      <c r="D335" s="408" t="s">
        <v>1958</v>
      </c>
      <c r="E335" s="408" t="s">
        <v>2252</v>
      </c>
      <c r="F335" s="408" t="s">
        <v>1322</v>
      </c>
      <c r="G335" s="408" t="s">
        <v>1322</v>
      </c>
      <c r="H335" s="408" t="s">
        <v>1322</v>
      </c>
      <c r="I335" s="408" t="s">
        <v>1322</v>
      </c>
      <c r="J335" s="408" t="s">
        <v>2236</v>
      </c>
      <c r="K335" s="826">
        <v>44501</v>
      </c>
      <c r="L335" s="408">
        <v>0</v>
      </c>
      <c r="M335" s="408">
        <v>0</v>
      </c>
      <c r="N335" s="408">
        <v>9.6140000000000008</v>
      </c>
      <c r="O335" s="408">
        <v>9.6140000000000008</v>
      </c>
      <c r="P335" s="408">
        <v>9.6140000000000008</v>
      </c>
      <c r="Q335" s="408">
        <v>9.6140000000000008</v>
      </c>
      <c r="R335" s="408"/>
      <c r="S335" s="408">
        <v>368.24</v>
      </c>
      <c r="T335" s="408">
        <v>173.25</v>
      </c>
      <c r="U335" s="408"/>
      <c r="V335" s="408">
        <v>5205.8848600000001</v>
      </c>
      <c r="W335" s="408">
        <v>5205.8848600000001</v>
      </c>
      <c r="X335" s="408">
        <v>4892.4684600000001</v>
      </c>
      <c r="Y335" s="408">
        <v>0</v>
      </c>
      <c r="Z335" s="408">
        <v>591.69539127874702</v>
      </c>
      <c r="AA335" s="408">
        <v>0</v>
      </c>
      <c r="AB335" s="408">
        <v>0</v>
      </c>
      <c r="AC335" s="408">
        <v>24.607392225964205</v>
      </c>
      <c r="AD335" s="408">
        <v>23.642186015695501</v>
      </c>
      <c r="AE335" s="408">
        <v>2264.4537351008053</v>
      </c>
      <c r="AF335" s="408">
        <v>1637.6532842071992</v>
      </c>
      <c r="AG335" s="408">
        <v>27.950143162623583</v>
      </c>
      <c r="AH335" s="408">
        <v>0</v>
      </c>
      <c r="AI335" s="408">
        <v>0</v>
      </c>
      <c r="AJ335" s="408">
        <v>0</v>
      </c>
      <c r="AK335" s="408">
        <v>0</v>
      </c>
      <c r="AL335" s="408">
        <v>91.419817086206493</v>
      </c>
      <c r="AM335" s="408"/>
      <c r="AN335" s="408">
        <v>11.612334451883189</v>
      </c>
      <c r="AO335" s="408">
        <v>52.23666479602668</v>
      </c>
      <c r="AP335" s="408">
        <v>243.57186162731333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0</v>
      </c>
      <c r="BE335" s="408">
        <v>0</v>
      </c>
      <c r="BF335" s="408">
        <v>0</v>
      </c>
      <c r="BG335" s="408">
        <v>85.947158605895922</v>
      </c>
      <c r="BH335" s="408">
        <v>0</v>
      </c>
      <c r="BI335" s="408">
        <v>4.3899999999999997</v>
      </c>
      <c r="BJ335" s="408">
        <v>37.799999999999997</v>
      </c>
      <c r="BK335" s="408">
        <v>2699.86</v>
      </c>
      <c r="BL335" s="408">
        <v>5</v>
      </c>
      <c r="BM335" s="408"/>
      <c r="BN335" s="408"/>
      <c r="BO335" s="408"/>
      <c r="BP335" s="408"/>
      <c r="BQ335" s="408"/>
      <c r="BR335" s="408"/>
      <c r="BS335" s="408"/>
      <c r="BT335" s="408"/>
      <c r="BU335" s="408"/>
      <c r="BV335" s="408">
        <v>1723.6004428130952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4890.4328999999998</v>
      </c>
      <c r="CJ335" s="408">
        <v>-315.48196000000098</v>
      </c>
      <c r="CK335" s="408"/>
      <c r="CL335" s="408"/>
      <c r="CM335" s="408"/>
      <c r="CN335" s="408"/>
      <c r="CO335" s="408">
        <v>-520.98266000000001</v>
      </c>
      <c r="CP335" s="408">
        <v>207.56626000000006</v>
      </c>
      <c r="CQ335" s="408">
        <v>30</v>
      </c>
      <c r="CR335" s="408">
        <v>249.07175233775024</v>
      </c>
      <c r="CS335" s="408">
        <v>5.205271994050122</v>
      </c>
      <c r="CT335" s="408">
        <v>24.271415390282726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24.343618064100845</v>
      </c>
      <c r="DA335" s="408">
        <v>0</v>
      </c>
      <c r="DB335" s="408">
        <v>0</v>
      </c>
      <c r="DC335" s="408">
        <v>207.54282456892861</v>
      </c>
      <c r="DD335" s="408">
        <v>0</v>
      </c>
      <c r="DE335" s="408">
        <v>0</v>
      </c>
      <c r="DF335" s="408">
        <v>0</v>
      </c>
      <c r="DG335" s="408">
        <v>10.89224210811949</v>
      </c>
      <c r="DH335" s="408">
        <v>0</v>
      </c>
      <c r="DI335" s="408">
        <v>-20.092103122247067</v>
      </c>
      <c r="DJ335" s="408"/>
      <c r="DK335" s="408">
        <v>0</v>
      </c>
      <c r="DL335" s="408">
        <v>0</v>
      </c>
      <c r="DM335" s="408">
        <v>0</v>
      </c>
      <c r="DN335" s="408">
        <v>0</v>
      </c>
      <c r="DO335" s="408">
        <v>-2.7629871196787832</v>
      </c>
      <c r="DP335" s="408">
        <v>-0.32852954580597604</v>
      </c>
      <c r="DQ335" s="408">
        <v>0</v>
      </c>
      <c r="DR335" s="408">
        <v>0</v>
      </c>
      <c r="DS335" s="408"/>
      <c r="DT335" s="408"/>
      <c r="DU335" s="408"/>
      <c r="DV335" s="408">
        <v>2264.4537351008053</v>
      </c>
      <c r="DW335" s="408">
        <v>0</v>
      </c>
      <c r="DX335" s="408">
        <v>0</v>
      </c>
      <c r="DY335" s="408">
        <v>-520.98266000000012</v>
      </c>
      <c r="DZ335" s="408">
        <v>207.56626000000006</v>
      </c>
      <c r="EA335" s="408">
        <v>0</v>
      </c>
      <c r="EB335" s="408">
        <v>0</v>
      </c>
      <c r="EC335" s="408">
        <v>-562.52871874526409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151.10845000252414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240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334</v>
      </c>
      <c r="B336" s="408" t="s">
        <v>2238</v>
      </c>
      <c r="C336" s="408" t="s">
        <v>2235</v>
      </c>
      <c r="D336" s="408" t="s">
        <v>1958</v>
      </c>
      <c r="E336" s="408" t="s">
        <v>2252</v>
      </c>
      <c r="F336" s="408" t="s">
        <v>1322</v>
      </c>
      <c r="G336" s="408" t="s">
        <v>1322</v>
      </c>
      <c r="H336" s="408" t="s">
        <v>1322</v>
      </c>
      <c r="I336" s="408" t="s">
        <v>1322</v>
      </c>
      <c r="J336" s="408" t="s">
        <v>2236</v>
      </c>
      <c r="K336" s="826">
        <v>44501</v>
      </c>
      <c r="L336" s="408">
        <v>0</v>
      </c>
      <c r="M336" s="408">
        <v>0</v>
      </c>
      <c r="N336" s="408">
        <v>2.5449999999999999</v>
      </c>
      <c r="O336" s="408">
        <v>2.5449999999999999</v>
      </c>
      <c r="P336" s="408">
        <v>2.5449999999999999</v>
      </c>
      <c r="Q336" s="408">
        <v>2.5449999999999999</v>
      </c>
      <c r="R336" s="408"/>
      <c r="S336" s="408">
        <v>368.24</v>
      </c>
      <c r="T336" s="408">
        <v>173.25</v>
      </c>
      <c r="U336" s="408"/>
      <c r="V336" s="408">
        <v>1378.09205</v>
      </c>
      <c r="W336" s="408">
        <v>1378.09205</v>
      </c>
      <c r="X336" s="408">
        <v>1295.1250500000001</v>
      </c>
      <c r="Y336" s="408">
        <v>0</v>
      </c>
      <c r="Z336" s="408">
        <v>156.63249124239766</v>
      </c>
      <c r="AA336" s="408">
        <v>0</v>
      </c>
      <c r="AB336" s="408">
        <v>0</v>
      </c>
      <c r="AC336" s="408">
        <v>6.5140225936216867</v>
      </c>
      <c r="AD336" s="408">
        <v>6.2585150207972795</v>
      </c>
      <c r="AE336" s="408">
        <v>599.44193424501236</v>
      </c>
      <c r="AF336" s="408">
        <v>433.51649763962155</v>
      </c>
      <c r="AG336" s="408">
        <v>7.398909335227482</v>
      </c>
      <c r="AH336" s="408">
        <v>0</v>
      </c>
      <c r="AI336" s="408">
        <v>0</v>
      </c>
      <c r="AJ336" s="408">
        <v>0</v>
      </c>
      <c r="AK336" s="408">
        <v>0</v>
      </c>
      <c r="AL336" s="408">
        <v>24.200482055793167</v>
      </c>
      <c r="AM336" s="408"/>
      <c r="AN336" s="408">
        <v>3.073995338053122</v>
      </c>
      <c r="AO336" s="408">
        <v>13.827991669012679</v>
      </c>
      <c r="AP336" s="408">
        <v>64.47788515097902</v>
      </c>
      <c r="AQ336" s="408">
        <v>0</v>
      </c>
      <c r="AR336" s="408">
        <v>0</v>
      </c>
      <c r="AS336" s="408">
        <v>0</v>
      </c>
      <c r="AT336" s="408">
        <v>0</v>
      </c>
      <c r="AU336" s="408">
        <v>0</v>
      </c>
      <c r="AV336" s="408">
        <v>0</v>
      </c>
      <c r="AW336" s="408">
        <v>0</v>
      </c>
      <c r="AX336" s="408">
        <v>0</v>
      </c>
      <c r="AY336" s="408">
        <v>0</v>
      </c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0</v>
      </c>
      <c r="BF336" s="408">
        <v>0</v>
      </c>
      <c r="BG336" s="408">
        <v>22.75177019471657</v>
      </c>
      <c r="BH336" s="408">
        <v>0</v>
      </c>
      <c r="BI336" s="408">
        <v>1.1599999999999999</v>
      </c>
      <c r="BJ336" s="408">
        <v>10.01</v>
      </c>
      <c r="BK336" s="408">
        <v>832.74</v>
      </c>
      <c r="BL336" s="408">
        <v>1</v>
      </c>
      <c r="BM336" s="408"/>
      <c r="BN336" s="408"/>
      <c r="BO336" s="408"/>
      <c r="BP336" s="408"/>
      <c r="BQ336" s="408"/>
      <c r="BR336" s="408"/>
      <c r="BS336" s="408"/>
      <c r="BT336" s="408"/>
      <c r="BU336" s="408"/>
      <c r="BV336" s="408">
        <v>456.26826783433813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1297.6695</v>
      </c>
      <c r="CJ336" s="408">
        <v>-80.452549999999974</v>
      </c>
      <c r="CK336" s="408"/>
      <c r="CL336" s="408"/>
      <c r="CM336" s="408"/>
      <c r="CN336" s="408"/>
      <c r="CO336" s="408">
        <v>-137.91354999999999</v>
      </c>
      <c r="CP336" s="408">
        <v>54.946550000000009</v>
      </c>
      <c r="CQ336" s="408">
        <v>30</v>
      </c>
      <c r="CR336" s="408">
        <v>65.933805876802012</v>
      </c>
      <c r="CS336" s="408">
        <v>1.377929813278298</v>
      </c>
      <c r="CT336" s="408">
        <v>6.4250834375150276</v>
      </c>
      <c r="CU336" s="408">
        <v>0</v>
      </c>
      <c r="CV336" s="408">
        <v>0</v>
      </c>
      <c r="CW336" s="408">
        <v>0</v>
      </c>
      <c r="CX336" s="408">
        <v>0</v>
      </c>
      <c r="CY336" s="408">
        <v>0</v>
      </c>
      <c r="CZ336" s="408">
        <v>6.4441967935444815</v>
      </c>
      <c r="DA336" s="408">
        <v>0</v>
      </c>
      <c r="DB336" s="408">
        <v>0</v>
      </c>
      <c r="DC336" s="408">
        <v>54.940346216759224</v>
      </c>
      <c r="DD336" s="408">
        <v>0</v>
      </c>
      <c r="DE336" s="408">
        <v>0</v>
      </c>
      <c r="DF336" s="408">
        <v>0</v>
      </c>
      <c r="DG336" s="408">
        <v>2.8833738470110326</v>
      </c>
      <c r="DH336" s="408">
        <v>0</v>
      </c>
      <c r="DI336" s="408">
        <v>-5.3187437534968751</v>
      </c>
      <c r="DJ336" s="408"/>
      <c r="DK336" s="408">
        <v>0</v>
      </c>
      <c r="DL336" s="408">
        <v>0</v>
      </c>
      <c r="DM336" s="408">
        <v>0</v>
      </c>
      <c r="DN336" s="408">
        <v>0</v>
      </c>
      <c r="DO336" s="408">
        <v>-0.73141275427319385</v>
      </c>
      <c r="DP336" s="408">
        <v>-8.6967723536115038E-2</v>
      </c>
      <c r="DQ336" s="408">
        <v>0</v>
      </c>
      <c r="DR336" s="408">
        <v>0</v>
      </c>
      <c r="DS336" s="408"/>
      <c r="DT336" s="408"/>
      <c r="DU336" s="408"/>
      <c r="DV336" s="408">
        <v>599.44193424501236</v>
      </c>
      <c r="DW336" s="408">
        <v>0</v>
      </c>
      <c r="DX336" s="408">
        <v>0</v>
      </c>
      <c r="DY336" s="408">
        <v>-137.91354999999999</v>
      </c>
      <c r="DZ336" s="408">
        <v>54.946550000000002</v>
      </c>
      <c r="EA336" s="408">
        <v>0</v>
      </c>
      <c r="EB336" s="408">
        <v>0</v>
      </c>
      <c r="EC336" s="408">
        <v>-148.91154453991027</v>
      </c>
      <c r="ED336" s="408">
        <v>0</v>
      </c>
      <c r="EE336" s="408">
        <v>0</v>
      </c>
      <c r="EF336" s="408">
        <v>0</v>
      </c>
      <c r="EG336" s="408">
        <v>0</v>
      </c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>
        <v>0</v>
      </c>
      <c r="EN336" s="408">
        <v>0</v>
      </c>
      <c r="EO336" s="408">
        <v>0</v>
      </c>
      <c r="EP336" s="408">
        <v>40.001144711506541</v>
      </c>
      <c r="EQ336" s="408">
        <v>0</v>
      </c>
      <c r="ER336" s="408">
        <v>0</v>
      </c>
      <c r="ES336" s="408">
        <v>0</v>
      </c>
      <c r="ET336" s="408">
        <v>0</v>
      </c>
      <c r="EU336" s="408">
        <v>0</v>
      </c>
      <c r="EV336" s="408">
        <v>240</v>
      </c>
      <c r="EW336" s="408">
        <v>0</v>
      </c>
      <c r="EX336" s="408">
        <v>0</v>
      </c>
      <c r="EY336" s="408">
        <v>0</v>
      </c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335</v>
      </c>
      <c r="B337" s="408" t="s">
        <v>1036</v>
      </c>
      <c r="C337" s="408" t="s">
        <v>2235</v>
      </c>
      <c r="D337" s="408" t="s">
        <v>2245</v>
      </c>
      <c r="E337" s="408" t="s">
        <v>974</v>
      </c>
      <c r="F337" s="408" t="s">
        <v>2253</v>
      </c>
      <c r="G337" s="408" t="s">
        <v>2254</v>
      </c>
      <c r="H337" s="408" t="s">
        <v>1322</v>
      </c>
      <c r="I337" s="408" t="s">
        <v>1322</v>
      </c>
      <c r="J337" s="408" t="s">
        <v>2236</v>
      </c>
      <c r="K337" s="826">
        <v>44501</v>
      </c>
      <c r="L337" s="408">
        <v>0</v>
      </c>
      <c r="M337" s="408">
        <v>0</v>
      </c>
      <c r="N337" s="408">
        <v>0</v>
      </c>
      <c r="O337" s="408">
        <v>0</v>
      </c>
      <c r="P337" s="408">
        <v>0</v>
      </c>
      <c r="Q337" s="408">
        <v>0</v>
      </c>
      <c r="R337" s="408"/>
      <c r="S337" s="408"/>
      <c r="T337" s="408"/>
      <c r="U337" s="408"/>
      <c r="V337" s="408"/>
      <c r="W337" s="408"/>
      <c r="X337" s="408"/>
      <c r="Y337" s="408"/>
      <c r="Z337" s="408"/>
      <c r="AA337" s="408">
        <v>0</v>
      </c>
      <c r="AB337" s="408"/>
      <c r="AC337" s="408"/>
      <c r="AD337" s="408"/>
      <c r="AE337" s="408"/>
      <c r="AF337" s="408"/>
      <c r="AG337" s="408"/>
      <c r="AH337" s="408"/>
      <c r="AI337" s="408"/>
      <c r="AJ337" s="408"/>
      <c r="AK337" s="408"/>
      <c r="AL337" s="408"/>
      <c r="AM337" s="408"/>
      <c r="AN337" s="408"/>
      <c r="AO337" s="408"/>
      <c r="AP337" s="408"/>
      <c r="AQ337" s="408"/>
      <c r="AR337" s="408"/>
      <c r="AS337" s="408"/>
      <c r="AT337" s="408"/>
      <c r="AU337" s="408"/>
      <c r="AV337" s="408"/>
      <c r="AW337" s="408"/>
      <c r="AX337" s="408"/>
      <c r="AY337" s="408"/>
      <c r="AZ337" s="408">
        <v>0</v>
      </c>
      <c r="BA337" s="408"/>
      <c r="BB337" s="408"/>
      <c r="BC337" s="408"/>
      <c r="BD337" s="408"/>
      <c r="BE337" s="408"/>
      <c r="BF337" s="408"/>
      <c r="BG337" s="408"/>
      <c r="BH337" s="408"/>
      <c r="BI337" s="408">
        <v>0.39</v>
      </c>
      <c r="BJ337" s="408">
        <v>3.45</v>
      </c>
      <c r="BK337" s="408">
        <v>35.72</v>
      </c>
      <c r="BL337" s="408">
        <v>4</v>
      </c>
      <c r="BM337" s="408"/>
      <c r="BN337" s="408"/>
      <c r="BO337" s="408"/>
      <c r="BP337" s="408"/>
      <c r="BQ337" s="408"/>
      <c r="BR337" s="408"/>
      <c r="BS337" s="408"/>
      <c r="BT337" s="408"/>
      <c r="BU337" s="408"/>
      <c r="BV337" s="408"/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/>
      <c r="CJ337" s="408">
        <v>-0.03</v>
      </c>
      <c r="CK337" s="408"/>
      <c r="CL337" s="408"/>
      <c r="CM337" s="408"/>
      <c r="CN337" s="408"/>
      <c r="CO337" s="408">
        <v>0</v>
      </c>
      <c r="CP337" s="408">
        <v>0</v>
      </c>
      <c r="CQ337" s="408">
        <v>30</v>
      </c>
      <c r="CR337" s="408"/>
      <c r="CS337" s="408"/>
      <c r="CT337" s="408"/>
      <c r="CU337" s="408"/>
      <c r="CV337" s="408"/>
      <c r="CW337" s="408"/>
      <c r="CX337" s="408"/>
      <c r="CY337" s="408"/>
      <c r="CZ337" s="408"/>
      <c r="DA337" s="408"/>
      <c r="DB337" s="408"/>
      <c r="DC337" s="408"/>
      <c r="DD337" s="408"/>
      <c r="DE337" s="408"/>
      <c r="DF337" s="408"/>
      <c r="DG337" s="408"/>
      <c r="DH337" s="408"/>
      <c r="DI337" s="408"/>
      <c r="DJ337" s="408"/>
      <c r="DK337" s="408">
        <v>0</v>
      </c>
      <c r="DL337" s="408"/>
      <c r="DM337" s="408"/>
      <c r="DN337" s="408"/>
      <c r="DO337" s="408"/>
      <c r="DP337" s="408"/>
      <c r="DQ337" s="408"/>
      <c r="DR337" s="408"/>
      <c r="DS337" s="408"/>
      <c r="DT337" s="408"/>
      <c r="DU337" s="408"/>
      <c r="DV337" s="408"/>
      <c r="DW337" s="408"/>
      <c r="DX337" s="408"/>
      <c r="DY337" s="408"/>
      <c r="DZ337" s="408"/>
      <c r="EA337" s="408"/>
      <c r="EB337" s="408"/>
      <c r="EC337" s="408"/>
      <c r="ED337" s="408"/>
      <c r="EE337" s="408"/>
      <c r="EF337" s="408"/>
      <c r="EG337" s="408"/>
      <c r="EH337" s="408"/>
      <c r="EI337" s="408"/>
      <c r="EJ337" s="408"/>
      <c r="EK337" s="408"/>
      <c r="EL337" s="408"/>
      <c r="EM337" s="408"/>
      <c r="EN337" s="408"/>
      <c r="EO337" s="408"/>
      <c r="EP337" s="408"/>
      <c r="EQ337" s="408"/>
      <c r="ER337" s="408"/>
      <c r="ES337" s="408"/>
      <c r="ET337" s="408"/>
      <c r="EU337" s="408"/>
      <c r="EV337" s="408">
        <v>240</v>
      </c>
      <c r="EW337" s="408"/>
      <c r="EX337" s="408"/>
      <c r="EY337" s="408"/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336</v>
      </c>
      <c r="B338" s="408" t="s">
        <v>1036</v>
      </c>
      <c r="C338" s="408" t="s">
        <v>2235</v>
      </c>
      <c r="D338" s="408" t="s">
        <v>2245</v>
      </c>
      <c r="E338" s="408" t="s">
        <v>974</v>
      </c>
      <c r="F338" s="408" t="s">
        <v>2253</v>
      </c>
      <c r="G338" s="408" t="s">
        <v>2254</v>
      </c>
      <c r="H338" s="408" t="s">
        <v>1322</v>
      </c>
      <c r="I338" s="408" t="s">
        <v>1322</v>
      </c>
      <c r="J338" s="408" t="s">
        <v>2236</v>
      </c>
      <c r="K338" s="826">
        <v>44501</v>
      </c>
      <c r="L338" s="408">
        <v>0</v>
      </c>
      <c r="M338" s="408">
        <v>0</v>
      </c>
      <c r="N338" s="408">
        <v>0.68200000000000005</v>
      </c>
      <c r="O338" s="408">
        <v>0.68200000000000005</v>
      </c>
      <c r="P338" s="408">
        <v>0.68200000000000005</v>
      </c>
      <c r="Q338" s="408">
        <v>0.68200000000000005</v>
      </c>
      <c r="R338" s="408"/>
      <c r="S338" s="408">
        <v>368.24</v>
      </c>
      <c r="T338" s="408">
        <v>173.25</v>
      </c>
      <c r="U338" s="408"/>
      <c r="V338" s="408">
        <v>369.29618000000005</v>
      </c>
      <c r="W338" s="408">
        <v>369.29618000000005</v>
      </c>
      <c r="X338" s="408">
        <v>347.06298000000004</v>
      </c>
      <c r="Y338" s="408">
        <v>0</v>
      </c>
      <c r="Z338" s="408">
        <v>41.973814941970616</v>
      </c>
      <c r="AA338" s="408">
        <v>0</v>
      </c>
      <c r="AB338" s="408">
        <v>0</v>
      </c>
      <c r="AC338" s="408">
        <v>1.7456044828487194</v>
      </c>
      <c r="AD338" s="408">
        <v>1.6771344770859509</v>
      </c>
      <c r="AE338" s="408">
        <v>160.63630615131569</v>
      </c>
      <c r="AF338" s="408">
        <v>116.17220093918347</v>
      </c>
      <c r="AG338" s="408">
        <v>1.9827332678291327</v>
      </c>
      <c r="AH338" s="408">
        <v>0</v>
      </c>
      <c r="AI338" s="408">
        <v>0</v>
      </c>
      <c r="AJ338" s="408">
        <v>0</v>
      </c>
      <c r="AK338" s="408">
        <v>0</v>
      </c>
      <c r="AL338" s="408">
        <v>6.4851586491359301</v>
      </c>
      <c r="AM338" s="408"/>
      <c r="AN338" s="408">
        <v>0.82375827919537503</v>
      </c>
      <c r="AO338" s="408">
        <v>3.7055757635625333</v>
      </c>
      <c r="AP338" s="408">
        <v>17.278553113150373</v>
      </c>
      <c r="AQ338" s="408">
        <v>0</v>
      </c>
      <c r="AR338" s="408">
        <v>0</v>
      </c>
      <c r="AS338" s="408">
        <v>0</v>
      </c>
      <c r="AT338" s="408">
        <v>0</v>
      </c>
      <c r="AU338" s="408">
        <v>0</v>
      </c>
      <c r="AV338" s="408">
        <v>0</v>
      </c>
      <c r="AW338" s="408">
        <v>0</v>
      </c>
      <c r="AX338" s="408">
        <v>0</v>
      </c>
      <c r="AY338" s="408">
        <v>0</v>
      </c>
      <c r="AZ338" s="408">
        <v>0</v>
      </c>
      <c r="BA338" s="408"/>
      <c r="BB338" s="408">
        <v>0</v>
      </c>
      <c r="BC338" s="408">
        <v>0</v>
      </c>
      <c r="BD338" s="408">
        <v>0</v>
      </c>
      <c r="BE338" s="408">
        <v>0</v>
      </c>
      <c r="BF338" s="408">
        <v>0</v>
      </c>
      <c r="BG338" s="408">
        <v>6.0969380246745395</v>
      </c>
      <c r="BH338" s="408">
        <v>0</v>
      </c>
      <c r="BI338" s="408">
        <v>0</v>
      </c>
      <c r="BJ338" s="408">
        <v>0</v>
      </c>
      <c r="BK338" s="408">
        <v>0</v>
      </c>
      <c r="BL338" s="408">
        <v>0</v>
      </c>
      <c r="BM338" s="408"/>
      <c r="BN338" s="408"/>
      <c r="BO338" s="408"/>
      <c r="BP338" s="408"/>
      <c r="BQ338" s="408"/>
      <c r="BR338" s="408">
        <v>41.642920000000004</v>
      </c>
      <c r="BS338" s="408"/>
      <c r="BT338" s="408"/>
      <c r="BU338" s="408"/>
      <c r="BV338" s="408">
        <v>122.26913896385801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304.52440000000001</v>
      </c>
      <c r="CJ338" s="408">
        <v>-20.485419999999976</v>
      </c>
      <c r="CK338" s="408"/>
      <c r="CL338" s="408"/>
      <c r="CM338" s="408"/>
      <c r="CN338" s="408"/>
      <c r="CO338" s="408">
        <v>-36.95758</v>
      </c>
      <c r="CP338" s="408">
        <v>14.724380000000004</v>
      </c>
      <c r="CQ338" s="408">
        <v>30</v>
      </c>
      <c r="CR338" s="408">
        <v>17.668705543410198</v>
      </c>
      <c r="CS338" s="408">
        <v>0.36925270438341817</v>
      </c>
      <c r="CT338" s="408">
        <v>1.72177088580953</v>
      </c>
      <c r="CU338" s="408">
        <v>0</v>
      </c>
      <c r="CV338" s="408">
        <v>0</v>
      </c>
      <c r="CW338" s="408">
        <v>0</v>
      </c>
      <c r="CX338" s="408">
        <v>0</v>
      </c>
      <c r="CY338" s="408">
        <v>0</v>
      </c>
      <c r="CZ338" s="408">
        <v>1.7268928146158493</v>
      </c>
      <c r="DA338" s="408">
        <v>0</v>
      </c>
      <c r="DB338" s="408">
        <v>0</v>
      </c>
      <c r="DC338" s="408">
        <v>14.72271753234962</v>
      </c>
      <c r="DD338" s="408">
        <v>0</v>
      </c>
      <c r="DE338" s="408">
        <v>0</v>
      </c>
      <c r="DF338" s="408">
        <v>0</v>
      </c>
      <c r="DG338" s="408">
        <v>0.7726762136194596</v>
      </c>
      <c r="DH338" s="408">
        <v>0</v>
      </c>
      <c r="DI338" s="408">
        <v>-1.4252979331571183</v>
      </c>
      <c r="DJ338" s="408"/>
      <c r="DK338" s="408">
        <v>0</v>
      </c>
      <c r="DL338" s="408">
        <v>0</v>
      </c>
      <c r="DM338" s="408">
        <v>0</v>
      </c>
      <c r="DN338" s="408">
        <v>0</v>
      </c>
      <c r="DO338" s="408">
        <v>-0.19600137462252221</v>
      </c>
      <c r="DP338" s="408">
        <v>-2.330529958806693E-2</v>
      </c>
      <c r="DQ338" s="408">
        <v>0</v>
      </c>
      <c r="DR338" s="408">
        <v>0</v>
      </c>
      <c r="DS338" s="408"/>
      <c r="DT338" s="408"/>
      <c r="DU338" s="408"/>
      <c r="DV338" s="408">
        <v>160.63630615131569</v>
      </c>
      <c r="DW338" s="408">
        <v>0</v>
      </c>
      <c r="DX338" s="408">
        <v>0</v>
      </c>
      <c r="DY338" s="408">
        <v>-36.957580000000007</v>
      </c>
      <c r="DZ338" s="408">
        <v>14.724380000000011</v>
      </c>
      <c r="EA338" s="408">
        <v>0</v>
      </c>
      <c r="EB338" s="408">
        <v>0</v>
      </c>
      <c r="EC338" s="408">
        <v>-39.904783251952367</v>
      </c>
      <c r="ED338" s="408">
        <v>0</v>
      </c>
      <c r="EE338" s="408">
        <v>0</v>
      </c>
      <c r="EF338" s="408">
        <v>0</v>
      </c>
      <c r="EG338" s="408">
        <v>0</v>
      </c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>
        <v>0</v>
      </c>
      <c r="EN338" s="408">
        <v>0</v>
      </c>
      <c r="EO338" s="408">
        <v>0</v>
      </c>
      <c r="EP338" s="408">
        <v>10.719363730156175</v>
      </c>
      <c r="EQ338" s="408">
        <v>0</v>
      </c>
      <c r="ER338" s="408">
        <v>0</v>
      </c>
      <c r="ES338" s="408">
        <v>0</v>
      </c>
      <c r="ET338" s="408">
        <v>0</v>
      </c>
      <c r="EU338" s="408">
        <v>0</v>
      </c>
      <c r="EV338" s="408">
        <v>240</v>
      </c>
      <c r="EW338" s="408">
        <v>0</v>
      </c>
      <c r="EX338" s="408">
        <v>0</v>
      </c>
      <c r="EY338" s="408">
        <v>0</v>
      </c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337</v>
      </c>
      <c r="B339" s="408" t="s">
        <v>1036</v>
      </c>
      <c r="C339" s="408" t="s">
        <v>2235</v>
      </c>
      <c r="D339" s="408" t="s">
        <v>2245</v>
      </c>
      <c r="E339" s="408" t="s">
        <v>974</v>
      </c>
      <c r="F339" s="408" t="s">
        <v>2253</v>
      </c>
      <c r="G339" s="408" t="s">
        <v>2255</v>
      </c>
      <c r="H339" s="408" t="s">
        <v>1322</v>
      </c>
      <c r="I339" s="408" t="s">
        <v>1322</v>
      </c>
      <c r="J339" s="408" t="s">
        <v>2236</v>
      </c>
      <c r="K339" s="826">
        <v>44501</v>
      </c>
      <c r="L339" s="408">
        <v>0</v>
      </c>
      <c r="M339" s="408">
        <v>0</v>
      </c>
      <c r="N339" s="408">
        <v>0.72799999999999998</v>
      </c>
      <c r="O339" s="408">
        <v>0.29120000000000001</v>
      </c>
      <c r="P339" s="408">
        <v>0.72799999999999998</v>
      </c>
      <c r="Q339" s="408">
        <v>0.29120000000000001</v>
      </c>
      <c r="R339" s="408"/>
      <c r="S339" s="408">
        <v>368.24</v>
      </c>
      <c r="T339" s="408">
        <v>173.25</v>
      </c>
      <c r="U339" s="408"/>
      <c r="V339" s="408">
        <v>394.20471999999995</v>
      </c>
      <c r="W339" s="408">
        <v>394.20471999999995</v>
      </c>
      <c r="X339" s="408">
        <v>370.47192000000001</v>
      </c>
      <c r="Y339" s="408">
        <v>0</v>
      </c>
      <c r="Z339" s="408">
        <v>44.804893369141652</v>
      </c>
      <c r="AA339" s="408">
        <v>0</v>
      </c>
      <c r="AB339" s="408">
        <v>0</v>
      </c>
      <c r="AC339" s="408">
        <v>1.863343201633237</v>
      </c>
      <c r="AD339" s="408">
        <v>1.7902549843380822</v>
      </c>
      <c r="AE339" s="408">
        <v>171.47101301782672</v>
      </c>
      <c r="AF339" s="408">
        <v>124.00786258610786</v>
      </c>
      <c r="AG339" s="408">
        <v>2.11646601023403</v>
      </c>
      <c r="AH339" s="408">
        <v>0</v>
      </c>
      <c r="AI339" s="408">
        <v>0</v>
      </c>
      <c r="AJ339" s="408">
        <v>0</v>
      </c>
      <c r="AK339" s="408">
        <v>0</v>
      </c>
      <c r="AL339" s="408">
        <v>6.922574041892898</v>
      </c>
      <c r="AM339" s="408"/>
      <c r="AN339" s="408">
        <v>0.87931968805606009</v>
      </c>
      <c r="AO339" s="408">
        <v>3.9555119587588328</v>
      </c>
      <c r="AP339" s="408">
        <v>18.443968719022681</v>
      </c>
      <c r="AQ339" s="408">
        <v>0</v>
      </c>
      <c r="AR339" s="408">
        <v>0</v>
      </c>
      <c r="AS339" s="408">
        <v>0</v>
      </c>
      <c r="AT339" s="408">
        <v>0</v>
      </c>
      <c r="AU339" s="408">
        <v>0</v>
      </c>
      <c r="AV339" s="408">
        <v>0</v>
      </c>
      <c r="AW339" s="408">
        <v>0</v>
      </c>
      <c r="AX339" s="408">
        <v>0</v>
      </c>
      <c r="AY339" s="408">
        <v>0</v>
      </c>
      <c r="AZ339" s="408">
        <v>0</v>
      </c>
      <c r="BA339" s="408"/>
      <c r="BB339" s="408">
        <v>0</v>
      </c>
      <c r="BC339" s="408">
        <v>0</v>
      </c>
      <c r="BD339" s="408">
        <v>0</v>
      </c>
      <c r="BE339" s="408">
        <v>0</v>
      </c>
      <c r="BF339" s="408">
        <v>0</v>
      </c>
      <c r="BG339" s="408">
        <v>6.5081684486261935</v>
      </c>
      <c r="BH339" s="408">
        <v>0</v>
      </c>
      <c r="BI339" s="408">
        <v>0</v>
      </c>
      <c r="BJ339" s="408">
        <v>0</v>
      </c>
      <c r="BK339" s="408">
        <v>0</v>
      </c>
      <c r="BL339" s="408">
        <v>0</v>
      </c>
      <c r="BM339" s="408"/>
      <c r="BN339" s="408"/>
      <c r="BO339" s="408"/>
      <c r="BP339" s="408"/>
      <c r="BQ339" s="408"/>
      <c r="BR339" s="408"/>
      <c r="BS339" s="408">
        <v>240.06382399999998</v>
      </c>
      <c r="BT339" s="408"/>
      <c r="BU339" s="408"/>
      <c r="BV339" s="408">
        <v>130.51603103473406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129.8707</v>
      </c>
      <c r="CJ339" s="408">
        <v>-8.9190120000000093</v>
      </c>
      <c r="CK339" s="408"/>
      <c r="CL339" s="408"/>
      <c r="CM339" s="408"/>
      <c r="CN339" s="408"/>
      <c r="CO339" s="408">
        <v>-39.450319999999998</v>
      </c>
      <c r="CP339" s="408">
        <v>15.717520000000002</v>
      </c>
      <c r="CQ339" s="408">
        <v>30</v>
      </c>
      <c r="CR339" s="408">
        <v>18.860436415839615</v>
      </c>
      <c r="CS339" s="408">
        <v>0.39415831201045215</v>
      </c>
      <c r="CT339" s="408">
        <v>1.8379020599257174</v>
      </c>
      <c r="CU339" s="408">
        <v>0</v>
      </c>
      <c r="CV339" s="408">
        <v>0</v>
      </c>
      <c r="CW339" s="408">
        <v>0</v>
      </c>
      <c r="CX339" s="408">
        <v>0</v>
      </c>
      <c r="CY339" s="408">
        <v>0</v>
      </c>
      <c r="CZ339" s="408">
        <v>1.8433694560708771</v>
      </c>
      <c r="DA339" s="408">
        <v>0</v>
      </c>
      <c r="DB339" s="408">
        <v>0</v>
      </c>
      <c r="DC339" s="408">
        <v>15.715745401100477</v>
      </c>
      <c r="DD339" s="408">
        <v>0</v>
      </c>
      <c r="DE339" s="408">
        <v>0</v>
      </c>
      <c r="DF339" s="408">
        <v>0</v>
      </c>
      <c r="DG339" s="408">
        <v>0.82479220456740077</v>
      </c>
      <c r="DH339" s="408">
        <v>0</v>
      </c>
      <c r="DI339" s="408">
        <v>-1.5214323978568629</v>
      </c>
      <c r="DJ339" s="408"/>
      <c r="DK339" s="408">
        <v>0</v>
      </c>
      <c r="DL339" s="408">
        <v>0</v>
      </c>
      <c r="DM339" s="408">
        <v>0</v>
      </c>
      <c r="DN339" s="408">
        <v>0</v>
      </c>
      <c r="DO339" s="408">
        <v>-0.2092214086879709</v>
      </c>
      <c r="DP339" s="408">
        <v>-2.4877211290487922E-2</v>
      </c>
      <c r="DQ339" s="408">
        <v>0</v>
      </c>
      <c r="DR339" s="408">
        <v>0</v>
      </c>
      <c r="DS339" s="408"/>
      <c r="DT339" s="408"/>
      <c r="DU339" s="408"/>
      <c r="DV339" s="408">
        <v>171.47101301782672</v>
      </c>
      <c r="DW339" s="408">
        <v>0</v>
      </c>
      <c r="DX339" s="408">
        <v>0</v>
      </c>
      <c r="DY339" s="408">
        <v>-39.450319999999977</v>
      </c>
      <c r="DZ339" s="408">
        <v>15.717520000000022</v>
      </c>
      <c r="EA339" s="408">
        <v>0</v>
      </c>
      <c r="EB339" s="408">
        <v>0</v>
      </c>
      <c r="EC339" s="408">
        <v>-42.596308222025414</v>
      </c>
      <c r="ED339" s="408">
        <v>0</v>
      </c>
      <c r="EE339" s="408">
        <v>0</v>
      </c>
      <c r="EF339" s="408">
        <v>0</v>
      </c>
      <c r="EG339" s="408">
        <v>0</v>
      </c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>
        <v>0</v>
      </c>
      <c r="EN339" s="408">
        <v>0</v>
      </c>
      <c r="EO339" s="408">
        <v>0</v>
      </c>
      <c r="EP339" s="408">
        <v>11.442370667967294</v>
      </c>
      <c r="EQ339" s="408">
        <v>0</v>
      </c>
      <c r="ER339" s="408">
        <v>0</v>
      </c>
      <c r="ES339" s="408">
        <v>0</v>
      </c>
      <c r="ET339" s="408">
        <v>0</v>
      </c>
      <c r="EU339" s="408">
        <v>0</v>
      </c>
      <c r="EV339" s="408">
        <v>240</v>
      </c>
      <c r="EW339" s="408">
        <v>0</v>
      </c>
      <c r="EX339" s="408">
        <v>0</v>
      </c>
      <c r="EY339" s="408">
        <v>0</v>
      </c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338</v>
      </c>
      <c r="B340" s="408" t="s">
        <v>1036</v>
      </c>
      <c r="C340" s="408" t="s">
        <v>2235</v>
      </c>
      <c r="D340" s="408" t="s">
        <v>1955</v>
      </c>
      <c r="E340" s="408" t="s">
        <v>969</v>
      </c>
      <c r="F340" s="408" t="s">
        <v>969</v>
      </c>
      <c r="G340" s="408" t="s">
        <v>1322</v>
      </c>
      <c r="H340" s="408" t="s">
        <v>1322</v>
      </c>
      <c r="I340" s="408" t="s">
        <v>1322</v>
      </c>
      <c r="J340" s="408" t="s">
        <v>2236</v>
      </c>
      <c r="K340" s="826">
        <v>44531</v>
      </c>
      <c r="L340" s="408">
        <v>0</v>
      </c>
      <c r="M340" s="408">
        <v>0</v>
      </c>
      <c r="N340" s="408">
        <v>9228.0499999999993</v>
      </c>
      <c r="O340" s="408">
        <v>9228.0499999999993</v>
      </c>
      <c r="P340" s="408">
        <v>9228.0499999999993</v>
      </c>
      <c r="Q340" s="408">
        <v>9228.0499999999993</v>
      </c>
      <c r="R340" s="408"/>
      <c r="S340" s="408">
        <v>368.24</v>
      </c>
      <c r="T340" s="408">
        <v>173.25</v>
      </c>
      <c r="U340" s="408"/>
      <c r="V340" s="408">
        <v>4996896.7944999998</v>
      </c>
      <c r="W340" s="408">
        <v>4996896.7944999998</v>
      </c>
      <c r="X340" s="408">
        <v>4696062.3645000001</v>
      </c>
      <c r="Y340" s="408">
        <v>0</v>
      </c>
      <c r="Z340" s="408">
        <v>567942.02782294992</v>
      </c>
      <c r="AA340" s="408">
        <v>0</v>
      </c>
      <c r="AB340" s="408">
        <v>0</v>
      </c>
      <c r="AC340" s="408">
        <v>23619.538779988448</v>
      </c>
      <c r="AD340" s="408">
        <v>22693.080368435494</v>
      </c>
      <c r="AE340" s="408">
        <v>2173548.1891197194</v>
      </c>
      <c r="AF340" s="408">
        <v>1571910.3795847974</v>
      </c>
      <c r="AG340" s="408">
        <v>26828.096381511183</v>
      </c>
      <c r="AH340" s="408">
        <v>0</v>
      </c>
      <c r="AI340" s="408">
        <v>0</v>
      </c>
      <c r="AJ340" s="408">
        <v>0</v>
      </c>
      <c r="AK340" s="408">
        <v>0</v>
      </c>
      <c r="AL340" s="408">
        <v>87749.806850672743</v>
      </c>
      <c r="AM340" s="408"/>
      <c r="AN340" s="408">
        <v>11146.162152974897</v>
      </c>
      <c r="AO340" s="408">
        <v>50139.645784374239</v>
      </c>
      <c r="AP340" s="408">
        <v>233793.7713428259</v>
      </c>
      <c r="AQ340" s="408">
        <v>0</v>
      </c>
      <c r="AR340" s="408">
        <v>0</v>
      </c>
      <c r="AS340" s="408">
        <v>0</v>
      </c>
      <c r="AT340" s="408">
        <v>0</v>
      </c>
      <c r="AU340" s="408">
        <v>0</v>
      </c>
      <c r="AV340" s="408">
        <v>0</v>
      </c>
      <c r="AW340" s="408">
        <v>0</v>
      </c>
      <c r="AX340" s="408">
        <v>0</v>
      </c>
      <c r="AY340" s="408">
        <v>0</v>
      </c>
      <c r="AZ340" s="408">
        <v>0</v>
      </c>
      <c r="BA340" s="408"/>
      <c r="BB340" s="408">
        <v>0</v>
      </c>
      <c r="BC340" s="408">
        <v>0</v>
      </c>
      <c r="BD340" s="408">
        <v>0</v>
      </c>
      <c r="BE340" s="408">
        <v>0</v>
      </c>
      <c r="BF340" s="408">
        <v>0</v>
      </c>
      <c r="BG340" s="408">
        <v>82496.845951023279</v>
      </c>
      <c r="BH340" s="408">
        <v>0</v>
      </c>
      <c r="BI340" s="408">
        <v>4000.76</v>
      </c>
      <c r="BJ340" s="408">
        <v>36277.31</v>
      </c>
      <c r="BK340" s="408">
        <v>2559581.42</v>
      </c>
      <c r="BL340" s="408">
        <v>46682</v>
      </c>
      <c r="BM340" s="408"/>
      <c r="BN340" s="408"/>
      <c r="BO340" s="408"/>
      <c r="BP340" s="408"/>
      <c r="BQ340" s="408"/>
      <c r="BR340" s="408"/>
      <c r="BS340" s="408"/>
      <c r="BT340" s="408"/>
      <c r="BU340" s="408"/>
      <c r="BV340" s="408">
        <v>1654407.2255358207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4696062.3645000001</v>
      </c>
      <c r="CJ340" s="408">
        <v>-300834.45999999903</v>
      </c>
      <c r="CK340" s="408"/>
      <c r="CL340" s="408"/>
      <c r="CM340" s="408"/>
      <c r="CN340" s="408"/>
      <c r="CO340" s="408">
        <v>-500068.02949999995</v>
      </c>
      <c r="CP340" s="408">
        <v>199233.59950000001</v>
      </c>
      <c r="CQ340" s="408"/>
      <c r="CR340" s="408">
        <v>239072.87124613766</v>
      </c>
      <c r="CS340" s="408">
        <v>4996.308531796778</v>
      </c>
      <c r="CT340" s="408">
        <v>23297.04959354052</v>
      </c>
      <c r="CU340" s="408">
        <v>0</v>
      </c>
      <c r="CV340" s="408">
        <v>0</v>
      </c>
      <c r="CW340" s="408">
        <v>0</v>
      </c>
      <c r="CX340" s="408">
        <v>0</v>
      </c>
      <c r="CY340" s="408">
        <v>0</v>
      </c>
      <c r="CZ340" s="408">
        <v>23366.353721284144</v>
      </c>
      <c r="DA340" s="408">
        <v>0</v>
      </c>
      <c r="DB340" s="408">
        <v>0</v>
      </c>
      <c r="DC340" s="408">
        <v>199211.10487448517</v>
      </c>
      <c r="DD340" s="408">
        <v>0</v>
      </c>
      <c r="DE340" s="408">
        <v>0</v>
      </c>
      <c r="DF340" s="408">
        <v>0</v>
      </c>
      <c r="DG340" s="408">
        <v>10454.977614503019</v>
      </c>
      <c r="DH340" s="408">
        <v>0</v>
      </c>
      <c r="DI340" s="408">
        <v>-19285.51406461955</v>
      </c>
      <c r="DJ340" s="408"/>
      <c r="DK340" s="408">
        <v>0</v>
      </c>
      <c r="DL340" s="408">
        <v>0</v>
      </c>
      <c r="DM340" s="408">
        <v>0</v>
      </c>
      <c r="DN340" s="408">
        <v>0</v>
      </c>
      <c r="DO340" s="408">
        <v>-2652.0681599492236</v>
      </c>
      <c r="DP340" s="408">
        <v>-315.34086490272966</v>
      </c>
      <c r="DQ340" s="408">
        <v>0</v>
      </c>
      <c r="DR340" s="408">
        <v>0</v>
      </c>
      <c r="DS340" s="408"/>
      <c r="DT340" s="408"/>
      <c r="DU340" s="408"/>
      <c r="DV340" s="408">
        <v>2173548.1891197194</v>
      </c>
      <c r="DW340" s="408">
        <v>0</v>
      </c>
      <c r="DX340" s="408">
        <v>0</v>
      </c>
      <c r="DY340" s="408">
        <v>-500068.02949999971</v>
      </c>
      <c r="DZ340" s="408">
        <v>199233.59950000001</v>
      </c>
      <c r="EA340" s="408">
        <v>0</v>
      </c>
      <c r="EB340" s="408">
        <v>0</v>
      </c>
      <c r="EC340" s="408">
        <v>-539946.23913222738</v>
      </c>
      <c r="ED340" s="408">
        <v>0</v>
      </c>
      <c r="EE340" s="408">
        <v>0</v>
      </c>
      <c r="EF340" s="408">
        <v>0</v>
      </c>
      <c r="EG340" s="408">
        <v>0</v>
      </c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>
        <v>0</v>
      </c>
      <c r="EN340" s="408">
        <v>0</v>
      </c>
      <c r="EO340" s="408">
        <v>0</v>
      </c>
      <c r="EP340" s="408">
        <v>145042.26461886754</v>
      </c>
      <c r="EQ340" s="408">
        <v>0</v>
      </c>
      <c r="ER340" s="408">
        <v>0</v>
      </c>
      <c r="ES340" s="408">
        <v>0</v>
      </c>
      <c r="ET340" s="408">
        <v>0</v>
      </c>
      <c r="EU340" s="408">
        <v>0</v>
      </c>
      <c r="EV340" s="408">
        <v>240</v>
      </c>
      <c r="EW340" s="408">
        <v>0</v>
      </c>
      <c r="EX340" s="408">
        <v>0</v>
      </c>
      <c r="EY340" s="408">
        <v>0</v>
      </c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339</v>
      </c>
      <c r="B341" s="408" t="s">
        <v>2237</v>
      </c>
      <c r="C341" s="408" t="s">
        <v>2235</v>
      </c>
      <c r="D341" s="408" t="s">
        <v>1955</v>
      </c>
      <c r="E341" s="408" t="s">
        <v>969</v>
      </c>
      <c r="F341" s="408" t="s">
        <v>969</v>
      </c>
      <c r="G341" s="408" t="s">
        <v>1322</v>
      </c>
      <c r="H341" s="408" t="s">
        <v>1322</v>
      </c>
      <c r="I341" s="408" t="s">
        <v>1322</v>
      </c>
      <c r="J341" s="408" t="s">
        <v>2236</v>
      </c>
      <c r="K341" s="826">
        <v>44531</v>
      </c>
      <c r="L341" s="408">
        <v>0</v>
      </c>
      <c r="M341" s="408">
        <v>0</v>
      </c>
      <c r="N341" s="408">
        <v>-1.86</v>
      </c>
      <c r="O341" s="408">
        <v>-1.86</v>
      </c>
      <c r="P341" s="408">
        <v>-1.86</v>
      </c>
      <c r="Q341" s="408">
        <v>-1.86</v>
      </c>
      <c r="R341" s="408"/>
      <c r="S341" s="408">
        <v>368.24</v>
      </c>
      <c r="T341" s="408">
        <v>173.25</v>
      </c>
      <c r="U341" s="408"/>
      <c r="V341" s="408">
        <v>-1007.1714000000001</v>
      </c>
      <c r="W341" s="408">
        <v>-1007.1714000000001</v>
      </c>
      <c r="X341" s="408">
        <v>-946.53539999999998</v>
      </c>
      <c r="Y341" s="408">
        <v>0</v>
      </c>
      <c r="Z341" s="408">
        <v>-114.47404075082895</v>
      </c>
      <c r="AA341" s="408">
        <v>0</v>
      </c>
      <c r="AB341" s="408">
        <v>0</v>
      </c>
      <c r="AC341" s="408">
        <v>-4.7607394986783254</v>
      </c>
      <c r="AD341" s="408">
        <v>-4.5740031193253206</v>
      </c>
      <c r="AE341" s="408">
        <v>-438.09901677631552</v>
      </c>
      <c r="AF341" s="408">
        <v>-316.83327528868222</v>
      </c>
      <c r="AG341" s="408">
        <v>-5.4074543668067259</v>
      </c>
      <c r="AH341" s="408">
        <v>0</v>
      </c>
      <c r="AI341" s="408">
        <v>0</v>
      </c>
      <c r="AJ341" s="408">
        <v>0</v>
      </c>
      <c r="AK341" s="408">
        <v>0</v>
      </c>
      <c r="AL341" s="408">
        <v>-17.686796315825262</v>
      </c>
      <c r="AM341" s="408"/>
      <c r="AN341" s="408">
        <v>-2.2466134887146589</v>
      </c>
      <c r="AO341" s="408">
        <v>-10.106115718806908</v>
      </c>
      <c r="AP341" s="408">
        <v>-47.123326672228288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0</v>
      </c>
      <c r="BE341" s="408">
        <v>0</v>
      </c>
      <c r="BF341" s="408">
        <v>0</v>
      </c>
      <c r="BG341" s="408">
        <v>-16.628012794566924</v>
      </c>
      <c r="BH341" s="408">
        <v>0</v>
      </c>
      <c r="BI341" s="408">
        <v>-0.65</v>
      </c>
      <c r="BJ341" s="408">
        <v>-7.28</v>
      </c>
      <c r="BK341" s="408">
        <v>-539.66999999999996</v>
      </c>
      <c r="BL341" s="408">
        <v>0</v>
      </c>
      <c r="BM341" s="408"/>
      <c r="BN341" s="408"/>
      <c r="BO341" s="408"/>
      <c r="BP341" s="408"/>
      <c r="BQ341" s="408"/>
      <c r="BR341" s="408"/>
      <c r="BS341" s="408"/>
      <c r="BT341" s="408"/>
      <c r="BU341" s="408"/>
      <c r="BV341" s="408">
        <v>-333.46128808324914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-946.53539999999998</v>
      </c>
      <c r="CJ341" s="408">
        <v>60.606000000000108</v>
      </c>
      <c r="CK341" s="408"/>
      <c r="CL341" s="408"/>
      <c r="CM341" s="408"/>
      <c r="CN341" s="408"/>
      <c r="CO341" s="408">
        <v>100.79340000000001</v>
      </c>
      <c r="CP341" s="408">
        <v>-40.15740000000001</v>
      </c>
      <c r="CQ341" s="408"/>
      <c r="CR341" s="408">
        <v>-48.187378754754945</v>
      </c>
      <c r="CS341" s="408">
        <v>-1.0070528301365957</v>
      </c>
      <c r="CT341" s="408">
        <v>-4.6957387794805356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-4.7097076762250438</v>
      </c>
      <c r="DA341" s="408">
        <v>0</v>
      </c>
      <c r="DB341" s="408">
        <v>0</v>
      </c>
      <c r="DC341" s="408">
        <v>-40.152865997317122</v>
      </c>
      <c r="DD341" s="408">
        <v>0</v>
      </c>
      <c r="DE341" s="408">
        <v>0</v>
      </c>
      <c r="DF341" s="408">
        <v>0</v>
      </c>
      <c r="DG341" s="408">
        <v>-2.1072987644167114</v>
      </c>
      <c r="DH341" s="408">
        <v>0</v>
      </c>
      <c r="DI341" s="408">
        <v>3.887176181337594</v>
      </c>
      <c r="DJ341" s="408"/>
      <c r="DK341" s="408">
        <v>0</v>
      </c>
      <c r="DL341" s="408">
        <v>0</v>
      </c>
      <c r="DM341" s="408">
        <v>0</v>
      </c>
      <c r="DN341" s="408">
        <v>0</v>
      </c>
      <c r="DO341" s="408">
        <v>0.53454920351596868</v>
      </c>
      <c r="DP341" s="408">
        <v>6.3559907967455143E-2</v>
      </c>
      <c r="DQ341" s="408">
        <v>0</v>
      </c>
      <c r="DR341" s="408">
        <v>0</v>
      </c>
      <c r="DS341" s="408"/>
      <c r="DT341" s="408"/>
      <c r="DU341" s="408"/>
      <c r="DV341" s="408">
        <v>-438.09901677631552</v>
      </c>
      <c r="DW341" s="408">
        <v>0</v>
      </c>
      <c r="DX341" s="408">
        <v>0</v>
      </c>
      <c r="DY341" s="408">
        <v>100.79340000000002</v>
      </c>
      <c r="DZ341" s="408">
        <v>-40.157399999999996</v>
      </c>
      <c r="EA341" s="408">
        <v>0</v>
      </c>
      <c r="EB341" s="408">
        <v>0</v>
      </c>
      <c r="EC341" s="408">
        <v>108.83122705077915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-29.234628354971385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240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340</v>
      </c>
      <c r="B342" s="408" t="s">
        <v>2238</v>
      </c>
      <c r="C342" s="408" t="s">
        <v>2235</v>
      </c>
      <c r="D342" s="408" t="s">
        <v>1955</v>
      </c>
      <c r="E342" s="408" t="s">
        <v>969</v>
      </c>
      <c r="F342" s="408" t="s">
        <v>969</v>
      </c>
      <c r="G342" s="408" t="s">
        <v>1322</v>
      </c>
      <c r="H342" s="408" t="s">
        <v>1322</v>
      </c>
      <c r="I342" s="408" t="s">
        <v>1322</v>
      </c>
      <c r="J342" s="408" t="s">
        <v>2236</v>
      </c>
      <c r="K342" s="826">
        <v>44531</v>
      </c>
      <c r="L342" s="408">
        <v>0</v>
      </c>
      <c r="M342" s="408">
        <v>0</v>
      </c>
      <c r="N342" s="408">
        <v>104.74299999999999</v>
      </c>
      <c r="O342" s="408">
        <v>104.74299999999999</v>
      </c>
      <c r="P342" s="408">
        <v>104.74299999999999</v>
      </c>
      <c r="Q342" s="408">
        <v>104.74299999999999</v>
      </c>
      <c r="R342" s="408"/>
      <c r="S342" s="408">
        <v>368.24</v>
      </c>
      <c r="T342" s="408">
        <v>173.25</v>
      </c>
      <c r="U342" s="408"/>
      <c r="V342" s="408">
        <v>56717.287069999991</v>
      </c>
      <c r="W342" s="408">
        <v>56717.287069999991</v>
      </c>
      <c r="X342" s="408">
        <v>53302.665269999998</v>
      </c>
      <c r="Y342" s="408">
        <v>0</v>
      </c>
      <c r="Z342" s="408">
        <v>6446.4271238516531</v>
      </c>
      <c r="AA342" s="408">
        <v>0</v>
      </c>
      <c r="AB342" s="408">
        <v>0</v>
      </c>
      <c r="AC342" s="408">
        <v>268.09362220971173</v>
      </c>
      <c r="AD342" s="408">
        <v>257.57785415456556</v>
      </c>
      <c r="AE342" s="408">
        <v>24670.863072151406</v>
      </c>
      <c r="AF342" s="408">
        <v>17841.971910517437</v>
      </c>
      <c r="AG342" s="408">
        <v>304.51236168948213</v>
      </c>
      <c r="AH342" s="408">
        <v>0</v>
      </c>
      <c r="AI342" s="408">
        <v>0</v>
      </c>
      <c r="AJ342" s="408">
        <v>0</v>
      </c>
      <c r="AK342" s="408">
        <v>0</v>
      </c>
      <c r="AL342" s="408">
        <v>996.00435833789538</v>
      </c>
      <c r="AM342" s="408"/>
      <c r="AN342" s="408">
        <v>126.51453583249436</v>
      </c>
      <c r="AO342" s="408">
        <v>569.11014985752252</v>
      </c>
      <c r="AP342" s="408">
        <v>2653.6766696931222</v>
      </c>
      <c r="AQ342" s="408">
        <v>0</v>
      </c>
      <c r="AR342" s="408">
        <v>0</v>
      </c>
      <c r="AS342" s="408">
        <v>0</v>
      </c>
      <c r="AT342" s="408">
        <v>0</v>
      </c>
      <c r="AU342" s="408">
        <v>0</v>
      </c>
      <c r="AV342" s="408">
        <v>0</v>
      </c>
      <c r="AW342" s="408">
        <v>0</v>
      </c>
      <c r="AX342" s="408">
        <v>0</v>
      </c>
      <c r="AY342" s="408">
        <v>0</v>
      </c>
      <c r="AZ342" s="408">
        <v>0</v>
      </c>
      <c r="BA342" s="408"/>
      <c r="BB342" s="408">
        <v>0</v>
      </c>
      <c r="BC342" s="408">
        <v>0</v>
      </c>
      <c r="BD342" s="408">
        <v>0</v>
      </c>
      <c r="BE342" s="408">
        <v>0</v>
      </c>
      <c r="BF342" s="408">
        <v>0</v>
      </c>
      <c r="BG342" s="408">
        <v>936.38061512974366</v>
      </c>
      <c r="BH342" s="408">
        <v>0</v>
      </c>
      <c r="BI342" s="408">
        <v>42.7</v>
      </c>
      <c r="BJ342" s="408">
        <v>411.3</v>
      </c>
      <c r="BK342" s="408">
        <v>77048.39</v>
      </c>
      <c r="BL342" s="408">
        <v>1195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>
        <v>18778.35252564718</v>
      </c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>
        <v>53301.138600000006</v>
      </c>
      <c r="CJ342" s="408">
        <v>-3416.1784699999916</v>
      </c>
      <c r="CK342" s="408"/>
      <c r="CL342" s="408"/>
      <c r="CM342" s="408"/>
      <c r="CN342" s="408"/>
      <c r="CO342" s="408">
        <v>-5676.0231699999995</v>
      </c>
      <c r="CP342" s="408">
        <v>2261.40137</v>
      </c>
      <c r="CQ342" s="408"/>
      <c r="CR342" s="408">
        <v>2713.5971037146846</v>
      </c>
      <c r="CS342" s="408">
        <v>56.710609993009371</v>
      </c>
      <c r="CT342" s="408">
        <v>264.4332080532954</v>
      </c>
      <c r="CU342" s="408">
        <v>0</v>
      </c>
      <c r="CV342" s="408">
        <v>0</v>
      </c>
      <c r="CW342" s="408">
        <v>0</v>
      </c>
      <c r="CX342" s="408">
        <v>0</v>
      </c>
      <c r="CY342" s="408">
        <v>0</v>
      </c>
      <c r="CZ342" s="408">
        <v>265.2198446939999</v>
      </c>
      <c r="DA342" s="408">
        <v>0</v>
      </c>
      <c r="DB342" s="408">
        <v>0</v>
      </c>
      <c r="DC342" s="408">
        <v>2261.1460447080608</v>
      </c>
      <c r="DD342" s="408">
        <v>0</v>
      </c>
      <c r="DE342" s="408">
        <v>0</v>
      </c>
      <c r="DF342" s="408">
        <v>0</v>
      </c>
      <c r="DG342" s="408">
        <v>118.66924434478472</v>
      </c>
      <c r="DH342" s="408">
        <v>0</v>
      </c>
      <c r="DI342" s="408">
        <v>-218.900266000991</v>
      </c>
      <c r="DJ342" s="408"/>
      <c r="DK342" s="408">
        <v>0</v>
      </c>
      <c r="DL342" s="408">
        <v>0</v>
      </c>
      <c r="DM342" s="408">
        <v>0</v>
      </c>
      <c r="DN342" s="408">
        <v>0</v>
      </c>
      <c r="DO342" s="408">
        <v>-30.102304959071716</v>
      </c>
      <c r="DP342" s="408">
        <v>-3.5792771184059973</v>
      </c>
      <c r="DQ342" s="408">
        <v>0</v>
      </c>
      <c r="DR342" s="408">
        <v>0</v>
      </c>
      <c r="DS342" s="408"/>
      <c r="DT342" s="408"/>
      <c r="DU342" s="408"/>
      <c r="DV342" s="408">
        <v>24670.863072151406</v>
      </c>
      <c r="DW342" s="408">
        <v>0</v>
      </c>
      <c r="DX342" s="408">
        <v>0</v>
      </c>
      <c r="DY342" s="408">
        <v>-5676.0231700000004</v>
      </c>
      <c r="DZ342" s="408">
        <v>2261.4013700000032</v>
      </c>
      <c r="EA342" s="408">
        <v>0</v>
      </c>
      <c r="EB342" s="408">
        <v>0</v>
      </c>
      <c r="EC342" s="408">
        <v>-6128.6608682686892</v>
      </c>
      <c r="ED342" s="408">
        <v>0</v>
      </c>
      <c r="EE342" s="408">
        <v>0</v>
      </c>
      <c r="EF342" s="408">
        <v>0</v>
      </c>
      <c r="EG342" s="408">
        <v>0</v>
      </c>
      <c r="EH342" s="408">
        <v>0</v>
      </c>
      <c r="EI342" s="408">
        <v>0</v>
      </c>
      <c r="EJ342" s="408">
        <v>0</v>
      </c>
      <c r="EK342" s="408">
        <v>0</v>
      </c>
      <c r="EL342" s="408">
        <v>0</v>
      </c>
      <c r="EM342" s="408">
        <v>0</v>
      </c>
      <c r="EN342" s="408">
        <v>0</v>
      </c>
      <c r="EO342" s="408">
        <v>0</v>
      </c>
      <c r="EP342" s="408">
        <v>1646.3025149380469</v>
      </c>
      <c r="EQ342" s="408">
        <v>0</v>
      </c>
      <c r="ER342" s="408">
        <v>0</v>
      </c>
      <c r="ES342" s="408">
        <v>0</v>
      </c>
      <c r="ET342" s="408">
        <v>0</v>
      </c>
      <c r="EU342" s="408">
        <v>0</v>
      </c>
      <c r="EV342" s="408">
        <v>240</v>
      </c>
      <c r="EW342" s="408">
        <v>0</v>
      </c>
      <c r="EX342" s="408">
        <v>0</v>
      </c>
      <c r="EY342" s="408">
        <v>0</v>
      </c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341</v>
      </c>
      <c r="B343" s="408" t="s">
        <v>1036</v>
      </c>
      <c r="C343" s="408" t="s">
        <v>2235</v>
      </c>
      <c r="D343" s="408" t="s">
        <v>1955</v>
      </c>
      <c r="E343" s="408" t="s">
        <v>969</v>
      </c>
      <c r="F343" s="408" t="s">
        <v>2239</v>
      </c>
      <c r="G343" s="408" t="s">
        <v>1322</v>
      </c>
      <c r="H343" s="408" t="s">
        <v>1322</v>
      </c>
      <c r="I343" s="408" t="s">
        <v>1322</v>
      </c>
      <c r="J343" s="408" t="s">
        <v>2236</v>
      </c>
      <c r="K343" s="826">
        <v>44531</v>
      </c>
      <c r="L343" s="408">
        <v>0</v>
      </c>
      <c r="M343" s="408">
        <v>0</v>
      </c>
      <c r="N343" s="408">
        <v>23.928000000000001</v>
      </c>
      <c r="O343" s="408">
        <v>23.928000000000001</v>
      </c>
      <c r="P343" s="408">
        <v>23.928000000000001</v>
      </c>
      <c r="Q343" s="408">
        <v>23.928000000000001</v>
      </c>
      <c r="R343" s="408"/>
      <c r="S343" s="408">
        <v>281.47000000000003</v>
      </c>
      <c r="T343" s="408">
        <v>173.25</v>
      </c>
      <c r="U343" s="408"/>
      <c r="V343" s="408">
        <v>10880.54016</v>
      </c>
      <c r="W343" s="408">
        <v>10880.54016</v>
      </c>
      <c r="X343" s="408">
        <v>10157.436</v>
      </c>
      <c r="Y343" s="408">
        <v>0</v>
      </c>
      <c r="Z343" s="408">
        <v>0</v>
      </c>
      <c r="AA343" s="408">
        <v>0</v>
      </c>
      <c r="AB343" s="408">
        <v>0</v>
      </c>
      <c r="AC343" s="408">
        <v>61.244610066868262</v>
      </c>
      <c r="AD343" s="408">
        <v>58.842336902804441</v>
      </c>
      <c r="AE343" s="408">
        <v>5635.9318674320848</v>
      </c>
      <c r="AF343" s="408">
        <v>4075.9067801653696</v>
      </c>
      <c r="AG343" s="408">
        <v>69.564283918791034</v>
      </c>
      <c r="AH343" s="408">
        <v>0</v>
      </c>
      <c r="AI343" s="408">
        <v>0</v>
      </c>
      <c r="AJ343" s="408">
        <v>0</v>
      </c>
      <c r="AK343" s="408">
        <v>0</v>
      </c>
      <c r="AL343" s="408">
        <v>0</v>
      </c>
      <c r="AM343" s="408"/>
      <c r="AN343" s="408">
        <v>28.901595461271164</v>
      </c>
      <c r="AO343" s="408">
        <v>130.01028866645791</v>
      </c>
      <c r="AP343" s="408">
        <v>606.21879602853676</v>
      </c>
      <c r="AQ343" s="408">
        <v>0</v>
      </c>
      <c r="AR343" s="408">
        <v>0</v>
      </c>
      <c r="AS343" s="408">
        <v>0</v>
      </c>
      <c r="AT343" s="408">
        <v>0</v>
      </c>
      <c r="AU343" s="408">
        <v>0</v>
      </c>
      <c r="AV343" s="408">
        <v>0</v>
      </c>
      <c r="AW343" s="408">
        <v>0</v>
      </c>
      <c r="AX343" s="408">
        <v>0</v>
      </c>
      <c r="AY343" s="408">
        <v>0</v>
      </c>
      <c r="AZ343" s="408">
        <v>0</v>
      </c>
      <c r="BA343" s="408"/>
      <c r="BB343" s="408">
        <v>0</v>
      </c>
      <c r="BC343" s="408">
        <v>0</v>
      </c>
      <c r="BD343" s="408">
        <v>0</v>
      </c>
      <c r="BE343" s="408">
        <v>0</v>
      </c>
      <c r="BF343" s="408">
        <v>0</v>
      </c>
      <c r="BG343" s="408">
        <v>213.91133878946096</v>
      </c>
      <c r="BH343" s="408">
        <v>0</v>
      </c>
      <c r="BI343" s="408">
        <v>0</v>
      </c>
      <c r="BJ343" s="408">
        <v>23.86</v>
      </c>
      <c r="BK343" s="408">
        <v>1482.42</v>
      </c>
      <c r="BL343" s="408">
        <v>23</v>
      </c>
      <c r="BM343" s="408"/>
      <c r="BN343" s="408"/>
      <c r="BO343" s="408"/>
      <c r="BP343" s="408"/>
      <c r="BQ343" s="408"/>
      <c r="BR343" s="408"/>
      <c r="BS343" s="408"/>
      <c r="BT343" s="408">
        <v>6602.4530400000003</v>
      </c>
      <c r="BU343" s="408"/>
      <c r="BV343" s="408">
        <v>4289.8181189548304</v>
      </c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>
        <v>3555.2800999999999</v>
      </c>
      <c r="CJ343" s="408">
        <v>-253.13038000000051</v>
      </c>
      <c r="CK343" s="408"/>
      <c r="CL343" s="408"/>
      <c r="CM343" s="408"/>
      <c r="CN343" s="408"/>
      <c r="CO343" s="408">
        <v>-1239.7096800000008</v>
      </c>
      <c r="CP343" s="408">
        <v>516.60552000000007</v>
      </c>
      <c r="CQ343" s="408"/>
      <c r="CR343" s="408">
        <v>676.79066873793181</v>
      </c>
      <c r="CS343" s="408">
        <v>12.955247376079825</v>
      </c>
      <c r="CT343" s="408">
        <v>60.408407266349627</v>
      </c>
      <c r="CU343" s="408">
        <v>0</v>
      </c>
      <c r="CV343" s="408">
        <v>0</v>
      </c>
      <c r="CW343" s="408">
        <v>0</v>
      </c>
      <c r="CX343" s="408">
        <v>0</v>
      </c>
      <c r="CY343" s="408">
        <v>0</v>
      </c>
      <c r="CZ343" s="408">
        <v>60.588110363824107</v>
      </c>
      <c r="DA343" s="408">
        <v>0</v>
      </c>
      <c r="DB343" s="408">
        <v>0</v>
      </c>
      <c r="DC343" s="408">
        <v>516.54719224935752</v>
      </c>
      <c r="DD343" s="408">
        <v>0</v>
      </c>
      <c r="DE343" s="408">
        <v>0</v>
      </c>
      <c r="DF343" s="408">
        <v>0</v>
      </c>
      <c r="DG343" s="408">
        <v>27.109378943528498</v>
      </c>
      <c r="DH343" s="408">
        <v>0</v>
      </c>
      <c r="DI343" s="408">
        <v>0</v>
      </c>
      <c r="DJ343" s="408"/>
      <c r="DK343" s="408">
        <v>0</v>
      </c>
      <c r="DL343" s="408">
        <v>0</v>
      </c>
      <c r="DM343" s="408">
        <v>0</v>
      </c>
      <c r="DN343" s="408">
        <v>0</v>
      </c>
      <c r="DO343" s="408">
        <v>0</v>
      </c>
      <c r="DP343" s="408">
        <v>-0.81766746120713663</v>
      </c>
      <c r="DQ343" s="408">
        <v>0</v>
      </c>
      <c r="DR343" s="408">
        <v>0</v>
      </c>
      <c r="DS343" s="408"/>
      <c r="DT343" s="408"/>
      <c r="DU343" s="408"/>
      <c r="DV343" s="408">
        <v>5635.9318674320848</v>
      </c>
      <c r="DW343" s="408">
        <v>0</v>
      </c>
      <c r="DX343" s="408">
        <v>0</v>
      </c>
      <c r="DY343" s="408">
        <v>-1239.7096800000008</v>
      </c>
      <c r="DZ343" s="408">
        <v>516.60552000000007</v>
      </c>
      <c r="EA343" s="408">
        <v>0</v>
      </c>
      <c r="EB343" s="408">
        <v>0</v>
      </c>
      <c r="EC343" s="408">
        <v>-1400.0610757371205</v>
      </c>
      <c r="ED343" s="408">
        <v>0</v>
      </c>
      <c r="EE343" s="408">
        <v>0</v>
      </c>
      <c r="EF343" s="408">
        <v>0</v>
      </c>
      <c r="EG343" s="408">
        <v>0</v>
      </c>
      <c r="EH343" s="408">
        <v>0</v>
      </c>
      <c r="EI343" s="408">
        <v>0</v>
      </c>
      <c r="EJ343" s="408">
        <v>0</v>
      </c>
      <c r="EK343" s="408">
        <v>0</v>
      </c>
      <c r="EL343" s="408">
        <v>0</v>
      </c>
      <c r="EM343" s="408">
        <v>0</v>
      </c>
      <c r="EN343" s="408">
        <v>0</v>
      </c>
      <c r="EO343" s="408">
        <v>0</v>
      </c>
      <c r="EP343" s="408">
        <v>0</v>
      </c>
      <c r="EQ343" s="408">
        <v>0</v>
      </c>
      <c r="ER343" s="408">
        <v>0</v>
      </c>
      <c r="ES343" s="408">
        <v>0</v>
      </c>
      <c r="ET343" s="408">
        <v>0</v>
      </c>
      <c r="EU343" s="408">
        <v>0</v>
      </c>
      <c r="EV343" s="408">
        <v>240</v>
      </c>
      <c r="EW343" s="408">
        <v>0</v>
      </c>
      <c r="EX343" s="408">
        <v>0</v>
      </c>
      <c r="EY343" s="408">
        <v>0</v>
      </c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342</v>
      </c>
      <c r="B344" s="408" t="s">
        <v>2238</v>
      </c>
      <c r="C344" s="408" t="s">
        <v>2235</v>
      </c>
      <c r="D344" s="408" t="s">
        <v>1955</v>
      </c>
      <c r="E344" s="408" t="s">
        <v>969</v>
      </c>
      <c r="F344" s="408" t="s">
        <v>2239</v>
      </c>
      <c r="G344" s="408" t="s">
        <v>1322</v>
      </c>
      <c r="H344" s="408" t="s">
        <v>1322</v>
      </c>
      <c r="I344" s="408" t="s">
        <v>1322</v>
      </c>
      <c r="J344" s="408" t="s">
        <v>2236</v>
      </c>
      <c r="K344" s="826">
        <v>44531</v>
      </c>
      <c r="L344" s="408">
        <v>0</v>
      </c>
      <c r="M344" s="408">
        <v>0</v>
      </c>
      <c r="N344" s="408">
        <v>0.03</v>
      </c>
      <c r="O344" s="408">
        <v>-8.9999999999999993E-3</v>
      </c>
      <c r="P344" s="408">
        <v>0.03</v>
      </c>
      <c r="Q344" s="408">
        <v>-8.9999999999999993E-3</v>
      </c>
      <c r="R344" s="408"/>
      <c r="S344" s="408">
        <v>281.47000000000003</v>
      </c>
      <c r="T344" s="408">
        <v>173.25</v>
      </c>
      <c r="U344" s="408"/>
      <c r="V344" s="408">
        <v>13.6416</v>
      </c>
      <c r="W344" s="408">
        <v>13.6416</v>
      </c>
      <c r="X344" s="408">
        <v>12.734999999999999</v>
      </c>
      <c r="Y344" s="408">
        <v>0</v>
      </c>
      <c r="Z344" s="408">
        <v>0</v>
      </c>
      <c r="AA344" s="408">
        <v>0</v>
      </c>
      <c r="AB344" s="408">
        <v>0</v>
      </c>
      <c r="AC344" s="408">
        <v>7.6786120946424591E-2</v>
      </c>
      <c r="AD344" s="408">
        <v>7.3774243860085797E-2</v>
      </c>
      <c r="AE344" s="408">
        <v>7.0661131738115399</v>
      </c>
      <c r="AF344" s="408">
        <v>5.1102141175593898</v>
      </c>
      <c r="AG344" s="408">
        <v>8.7217005916237503E-2</v>
      </c>
      <c r="AH344" s="408">
        <v>0</v>
      </c>
      <c r="AI344" s="408">
        <v>0</v>
      </c>
      <c r="AJ344" s="408">
        <v>0</v>
      </c>
      <c r="AK344" s="408">
        <v>0</v>
      </c>
      <c r="AL344" s="408">
        <v>0</v>
      </c>
      <c r="AM344" s="408"/>
      <c r="AN344" s="408">
        <v>3.6235701430881596E-2</v>
      </c>
      <c r="AO344" s="408">
        <v>0.1630018664323695</v>
      </c>
      <c r="AP344" s="408">
        <v>0.76005365600368202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0</v>
      </c>
      <c r="BE344" s="408">
        <v>0</v>
      </c>
      <c r="BF344" s="408">
        <v>0</v>
      </c>
      <c r="BG344" s="408">
        <v>0.26819375475107943</v>
      </c>
      <c r="BH344" s="408">
        <v>0</v>
      </c>
      <c r="BI344" s="408">
        <v>0</v>
      </c>
      <c r="BJ344" s="408">
        <v>0.03</v>
      </c>
      <c r="BK344" s="408">
        <v>2.95</v>
      </c>
      <c r="BL344" s="408">
        <v>0</v>
      </c>
      <c r="BM344" s="408"/>
      <c r="BN344" s="408"/>
      <c r="BO344" s="408"/>
      <c r="BP344" s="408"/>
      <c r="BQ344" s="408"/>
      <c r="BR344" s="408"/>
      <c r="BS344" s="408"/>
      <c r="BT344" s="408">
        <v>14.07213</v>
      </c>
      <c r="BU344" s="408"/>
      <c r="BV344" s="408">
        <v>5.3784078723104694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-1.4857</v>
      </c>
      <c r="CJ344" s="408">
        <v>-8.3260000000000334E-2</v>
      </c>
      <c r="CK344" s="408"/>
      <c r="CL344" s="408"/>
      <c r="CM344" s="408"/>
      <c r="CN344" s="408"/>
      <c r="CO344" s="408">
        <v>-1.5543000000000009</v>
      </c>
      <c r="CP344" s="408">
        <v>0.64770000000000005</v>
      </c>
      <c r="CQ344" s="408"/>
      <c r="CR344" s="408">
        <v>0.84853393773562047</v>
      </c>
      <c r="CS344" s="408">
        <v>1.6242787582848306E-2</v>
      </c>
      <c r="CT344" s="408">
        <v>7.5737722249686001E-2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7.5963027035887809E-2</v>
      </c>
      <c r="DA344" s="408">
        <v>0</v>
      </c>
      <c r="DB344" s="408">
        <v>0</v>
      </c>
      <c r="DC344" s="408">
        <v>0.64762687092447013</v>
      </c>
      <c r="DD344" s="408">
        <v>0</v>
      </c>
      <c r="DE344" s="408">
        <v>0</v>
      </c>
      <c r="DF344" s="408">
        <v>0</v>
      </c>
      <c r="DG344" s="408">
        <v>3.3988689748656598E-2</v>
      </c>
      <c r="DH344" s="408">
        <v>0</v>
      </c>
      <c r="DI344" s="408">
        <v>0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0</v>
      </c>
      <c r="DP344" s="408">
        <v>-1.0251598059266981E-3</v>
      </c>
      <c r="DQ344" s="408">
        <v>0</v>
      </c>
      <c r="DR344" s="408">
        <v>0</v>
      </c>
      <c r="DS344" s="408"/>
      <c r="DT344" s="408"/>
      <c r="DU344" s="408"/>
      <c r="DV344" s="408">
        <v>7.0661131738115399</v>
      </c>
      <c r="DW344" s="408">
        <v>0</v>
      </c>
      <c r="DX344" s="408">
        <v>0</v>
      </c>
      <c r="DY344" s="408">
        <v>-1.5543000000000013</v>
      </c>
      <c r="DZ344" s="408">
        <v>0.64770000000000039</v>
      </c>
      <c r="EA344" s="408">
        <v>0</v>
      </c>
      <c r="EB344" s="408">
        <v>0</v>
      </c>
      <c r="EC344" s="408">
        <v>-1.7553423717867602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240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343</v>
      </c>
      <c r="B345" s="408" t="s">
        <v>1036</v>
      </c>
      <c r="C345" s="408" t="s">
        <v>2235</v>
      </c>
      <c r="D345" s="408" t="s">
        <v>1955</v>
      </c>
      <c r="E345" s="408" t="s">
        <v>969</v>
      </c>
      <c r="F345" s="408" t="s">
        <v>2240</v>
      </c>
      <c r="G345" s="408" t="s">
        <v>1322</v>
      </c>
      <c r="H345" s="408" t="s">
        <v>1322</v>
      </c>
      <c r="I345" s="408" t="s">
        <v>1322</v>
      </c>
      <c r="J345" s="408" t="s">
        <v>2236</v>
      </c>
      <c r="K345" s="826">
        <v>44531</v>
      </c>
      <c r="L345" s="408">
        <v>0</v>
      </c>
      <c r="M345" s="408">
        <v>0</v>
      </c>
      <c r="N345" s="408">
        <v>51.78</v>
      </c>
      <c r="O345" s="408">
        <v>51.78</v>
      </c>
      <c r="P345" s="408">
        <v>51.78</v>
      </c>
      <c r="Q345" s="408">
        <v>51.78</v>
      </c>
      <c r="R345" s="408"/>
      <c r="S345" s="408">
        <v>281.47000000000003</v>
      </c>
      <c r="T345" s="408">
        <v>173.25</v>
      </c>
      <c r="U345" s="408"/>
      <c r="V345" s="408">
        <v>23545.401600000001</v>
      </c>
      <c r="W345" s="408">
        <v>23545.401600000001</v>
      </c>
      <c r="X345" s="408">
        <v>21980.61</v>
      </c>
      <c r="Y345" s="408">
        <v>0</v>
      </c>
      <c r="Z345" s="408">
        <v>0</v>
      </c>
      <c r="AA345" s="408">
        <v>0</v>
      </c>
      <c r="AB345" s="408">
        <v>0</v>
      </c>
      <c r="AC345" s="408">
        <v>132.53284475352885</v>
      </c>
      <c r="AD345" s="408">
        <v>127.33434490250811</v>
      </c>
      <c r="AE345" s="408">
        <v>12196.111337998718</v>
      </c>
      <c r="AF345" s="408">
        <v>8820.2295669075065</v>
      </c>
      <c r="AG345" s="408">
        <v>150.53655221142594</v>
      </c>
      <c r="AH345" s="408">
        <v>0</v>
      </c>
      <c r="AI345" s="408">
        <v>0</v>
      </c>
      <c r="AJ345" s="408">
        <v>0</v>
      </c>
      <c r="AK345" s="408">
        <v>0</v>
      </c>
      <c r="AL345" s="408">
        <v>0</v>
      </c>
      <c r="AM345" s="408"/>
      <c r="AN345" s="408">
        <v>62.542820669701641</v>
      </c>
      <c r="AO345" s="408">
        <v>281.34122146226974</v>
      </c>
      <c r="AP345" s="408">
        <v>1311.8526102623553</v>
      </c>
      <c r="AQ345" s="408">
        <v>0</v>
      </c>
      <c r="AR345" s="408">
        <v>0</v>
      </c>
      <c r="AS345" s="408">
        <v>0</v>
      </c>
      <c r="AT345" s="408">
        <v>0</v>
      </c>
      <c r="AU345" s="408">
        <v>0</v>
      </c>
      <c r="AV345" s="408">
        <v>0</v>
      </c>
      <c r="AW345" s="408">
        <v>0</v>
      </c>
      <c r="AX345" s="408">
        <v>0</v>
      </c>
      <c r="AY345" s="408">
        <v>0</v>
      </c>
      <c r="AZ345" s="408">
        <v>0</v>
      </c>
      <c r="BA345" s="408"/>
      <c r="BB345" s="408">
        <v>0</v>
      </c>
      <c r="BC345" s="408">
        <v>0</v>
      </c>
      <c r="BD345" s="408">
        <v>0</v>
      </c>
      <c r="BE345" s="408">
        <v>0</v>
      </c>
      <c r="BF345" s="408">
        <v>0</v>
      </c>
      <c r="BG345" s="408">
        <v>462.90242070036305</v>
      </c>
      <c r="BH345" s="408">
        <v>0</v>
      </c>
      <c r="BI345" s="408">
        <v>7.44</v>
      </c>
      <c r="BJ345" s="408">
        <v>81.040000000000006</v>
      </c>
      <c r="BK345" s="408">
        <v>5679.59</v>
      </c>
      <c r="BL345" s="408">
        <v>98</v>
      </c>
      <c r="BM345" s="408"/>
      <c r="BN345" s="408"/>
      <c r="BO345" s="408"/>
      <c r="BP345" s="408"/>
      <c r="BQ345" s="408"/>
      <c r="BR345" s="408"/>
      <c r="BS345" s="408"/>
      <c r="BT345" s="408">
        <v>8792.7618000000002</v>
      </c>
      <c r="BU345" s="408"/>
      <c r="BV345" s="408">
        <v>9283.1319876078687</v>
      </c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>
        <v>13187.8482</v>
      </c>
      <c r="CJ345" s="408">
        <v>-939.31919999999991</v>
      </c>
      <c r="CK345" s="408"/>
      <c r="CL345" s="408"/>
      <c r="CM345" s="408"/>
      <c r="CN345" s="408"/>
      <c r="CO345" s="408">
        <v>-2682.7218000000016</v>
      </c>
      <c r="CP345" s="408">
        <v>1117.9302000000002</v>
      </c>
      <c r="CQ345" s="408"/>
      <c r="CR345" s="408">
        <v>1464.5695765316868</v>
      </c>
      <c r="CS345" s="408">
        <v>28.035051367996175</v>
      </c>
      <c r="CT345" s="408">
        <v>130.72330860295801</v>
      </c>
      <c r="CU345" s="408">
        <v>0</v>
      </c>
      <c r="CV345" s="408">
        <v>0</v>
      </c>
      <c r="CW345" s="408">
        <v>0</v>
      </c>
      <c r="CX345" s="408">
        <v>0</v>
      </c>
      <c r="CY345" s="408">
        <v>0</v>
      </c>
      <c r="CZ345" s="408">
        <v>131.11218466394234</v>
      </c>
      <c r="DA345" s="408">
        <v>0</v>
      </c>
      <c r="DB345" s="408">
        <v>0</v>
      </c>
      <c r="DC345" s="408">
        <v>1117.803979215636</v>
      </c>
      <c r="DD345" s="408">
        <v>0</v>
      </c>
      <c r="DE345" s="408">
        <v>0</v>
      </c>
      <c r="DF345" s="408">
        <v>0</v>
      </c>
      <c r="DG345" s="408">
        <v>58.664478506181297</v>
      </c>
      <c r="DH345" s="408">
        <v>0</v>
      </c>
      <c r="DI345" s="408">
        <v>0</v>
      </c>
      <c r="DJ345" s="408"/>
      <c r="DK345" s="408">
        <v>0</v>
      </c>
      <c r="DL345" s="408">
        <v>0</v>
      </c>
      <c r="DM345" s="408">
        <v>0</v>
      </c>
      <c r="DN345" s="408">
        <v>0</v>
      </c>
      <c r="DO345" s="408">
        <v>0</v>
      </c>
      <c r="DP345" s="408">
        <v>-1.7694258250294865</v>
      </c>
      <c r="DQ345" s="408">
        <v>0</v>
      </c>
      <c r="DR345" s="408">
        <v>0</v>
      </c>
      <c r="DS345" s="408"/>
      <c r="DT345" s="408"/>
      <c r="DU345" s="408"/>
      <c r="DV345" s="408">
        <v>12196.111337998718</v>
      </c>
      <c r="DW345" s="408">
        <v>0</v>
      </c>
      <c r="DX345" s="408">
        <v>0</v>
      </c>
      <c r="DY345" s="408">
        <v>-2682.7218000000012</v>
      </c>
      <c r="DZ345" s="408">
        <v>1117.9302000000007</v>
      </c>
      <c r="EA345" s="408">
        <v>0</v>
      </c>
      <c r="EB345" s="408">
        <v>0</v>
      </c>
      <c r="EC345" s="408">
        <v>-3029.7209337039476</v>
      </c>
      <c r="ED345" s="408">
        <v>0</v>
      </c>
      <c r="EE345" s="408">
        <v>0</v>
      </c>
      <c r="EF345" s="408">
        <v>0</v>
      </c>
      <c r="EG345" s="408">
        <v>0</v>
      </c>
      <c r="EH345" s="408">
        <v>0</v>
      </c>
      <c r="EI345" s="408">
        <v>0</v>
      </c>
      <c r="EJ345" s="408">
        <v>0</v>
      </c>
      <c r="EK345" s="408">
        <v>0</v>
      </c>
      <c r="EL345" s="408">
        <v>0</v>
      </c>
      <c r="EM345" s="408">
        <v>0</v>
      </c>
      <c r="EN345" s="408">
        <v>0</v>
      </c>
      <c r="EO345" s="408">
        <v>0</v>
      </c>
      <c r="EP345" s="408">
        <v>0</v>
      </c>
      <c r="EQ345" s="408">
        <v>0</v>
      </c>
      <c r="ER345" s="408">
        <v>0</v>
      </c>
      <c r="ES345" s="408">
        <v>0</v>
      </c>
      <c r="ET345" s="408">
        <v>0</v>
      </c>
      <c r="EU345" s="408">
        <v>0</v>
      </c>
      <c r="EV345" s="408">
        <v>240</v>
      </c>
      <c r="EW345" s="408">
        <v>0</v>
      </c>
      <c r="EX345" s="408">
        <v>0</v>
      </c>
      <c r="EY345" s="408">
        <v>0</v>
      </c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344</v>
      </c>
      <c r="B346" s="408" t="s">
        <v>2238</v>
      </c>
      <c r="C346" s="408" t="s">
        <v>2235</v>
      </c>
      <c r="D346" s="408" t="s">
        <v>1955</v>
      </c>
      <c r="E346" s="408" t="s">
        <v>969</v>
      </c>
      <c r="F346" s="408" t="s">
        <v>2240</v>
      </c>
      <c r="G346" s="408" t="s">
        <v>1322</v>
      </c>
      <c r="H346" s="408" t="s">
        <v>1322</v>
      </c>
      <c r="I346" s="408" t="s">
        <v>1322</v>
      </c>
      <c r="J346" s="408" t="s">
        <v>2236</v>
      </c>
      <c r="K346" s="826">
        <v>44531</v>
      </c>
      <c r="L346" s="408">
        <v>0</v>
      </c>
      <c r="M346" s="408">
        <v>0</v>
      </c>
      <c r="N346" s="408">
        <v>1.4999999999999999E-2</v>
      </c>
      <c r="O346" s="408">
        <v>3.0000000000000001E-3</v>
      </c>
      <c r="P346" s="408">
        <v>1.4999999999999999E-2</v>
      </c>
      <c r="Q346" s="408">
        <v>3.0000000000000001E-3</v>
      </c>
      <c r="R346" s="408"/>
      <c r="S346" s="408">
        <v>281.47000000000003</v>
      </c>
      <c r="T346" s="408">
        <v>173.25</v>
      </c>
      <c r="U346" s="408"/>
      <c r="V346" s="408">
        <v>6.8208000000000002</v>
      </c>
      <c r="W346" s="408">
        <v>6.8208000000000002</v>
      </c>
      <c r="X346" s="408">
        <v>6.3674999999999997</v>
      </c>
      <c r="Y346" s="408">
        <v>0</v>
      </c>
      <c r="Z346" s="408">
        <v>0</v>
      </c>
      <c r="AA346" s="408">
        <v>0</v>
      </c>
      <c r="AB346" s="408">
        <v>0</v>
      </c>
      <c r="AC346" s="408">
        <v>3.8393060473212295E-2</v>
      </c>
      <c r="AD346" s="408">
        <v>3.6887121930042899E-2</v>
      </c>
      <c r="AE346" s="408">
        <v>3.53305658690577</v>
      </c>
      <c r="AF346" s="408">
        <v>2.5551070587796949</v>
      </c>
      <c r="AG346" s="408">
        <v>4.3608502958118751E-2</v>
      </c>
      <c r="AH346" s="408">
        <v>0</v>
      </c>
      <c r="AI346" s="408">
        <v>0</v>
      </c>
      <c r="AJ346" s="408">
        <v>0</v>
      </c>
      <c r="AK346" s="408">
        <v>0</v>
      </c>
      <c r="AL346" s="408">
        <v>0</v>
      </c>
      <c r="AM346" s="408"/>
      <c r="AN346" s="408">
        <v>1.8117850715440798E-2</v>
      </c>
      <c r="AO346" s="408">
        <v>8.1500933216184748E-2</v>
      </c>
      <c r="AP346" s="408">
        <v>0.38002682800184101</v>
      </c>
      <c r="AQ346" s="408">
        <v>0</v>
      </c>
      <c r="AR346" s="408">
        <v>0</v>
      </c>
      <c r="AS346" s="408">
        <v>0</v>
      </c>
      <c r="AT346" s="408">
        <v>0</v>
      </c>
      <c r="AU346" s="408">
        <v>0</v>
      </c>
      <c r="AV346" s="408">
        <v>0</v>
      </c>
      <c r="AW346" s="408">
        <v>0</v>
      </c>
      <c r="AX346" s="408">
        <v>0</v>
      </c>
      <c r="AY346" s="408">
        <v>0</v>
      </c>
      <c r="AZ346" s="408">
        <v>0</v>
      </c>
      <c r="BA346" s="408"/>
      <c r="BB346" s="408">
        <v>0</v>
      </c>
      <c r="BC346" s="408">
        <v>0</v>
      </c>
      <c r="BD346" s="408">
        <v>0</v>
      </c>
      <c r="BE346" s="408">
        <v>0</v>
      </c>
      <c r="BF346" s="408">
        <v>0</v>
      </c>
      <c r="BG346" s="408">
        <v>0.13409687737553971</v>
      </c>
      <c r="BH346" s="408">
        <v>0</v>
      </c>
      <c r="BI346" s="408">
        <v>0</v>
      </c>
      <c r="BJ346" s="408">
        <v>0.02</v>
      </c>
      <c r="BK346" s="408">
        <v>9.01</v>
      </c>
      <c r="BL346" s="408">
        <v>0</v>
      </c>
      <c r="BM346" s="408"/>
      <c r="BN346" s="408"/>
      <c r="BO346" s="408"/>
      <c r="BP346" s="408"/>
      <c r="BQ346" s="408"/>
      <c r="BR346" s="408"/>
      <c r="BS346" s="408"/>
      <c r="BT346" s="408">
        <v>5.6034300000000004</v>
      </c>
      <c r="BU346" s="408"/>
      <c r="BV346" s="408">
        <v>2.6892039361552347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0</v>
      </c>
      <c r="CJ346" s="408">
        <v>-0.84848999999999997</v>
      </c>
      <c r="CK346" s="408"/>
      <c r="CL346" s="408"/>
      <c r="CM346" s="408"/>
      <c r="CN346" s="408"/>
      <c r="CO346" s="408">
        <v>-0.77715000000000045</v>
      </c>
      <c r="CP346" s="408">
        <v>0.32385000000000003</v>
      </c>
      <c r="CQ346" s="408"/>
      <c r="CR346" s="408">
        <v>0.42426696886781023</v>
      </c>
      <c r="CS346" s="408">
        <v>8.121393791424153E-3</v>
      </c>
      <c r="CT346" s="408">
        <v>3.7868861124843001E-2</v>
      </c>
      <c r="CU346" s="408">
        <v>0</v>
      </c>
      <c r="CV346" s="408">
        <v>0</v>
      </c>
      <c r="CW346" s="408">
        <v>0</v>
      </c>
      <c r="CX346" s="408">
        <v>0</v>
      </c>
      <c r="CY346" s="408">
        <v>0</v>
      </c>
      <c r="CZ346" s="408">
        <v>3.7981513517943905E-2</v>
      </c>
      <c r="DA346" s="408">
        <v>0</v>
      </c>
      <c r="DB346" s="408">
        <v>0</v>
      </c>
      <c r="DC346" s="408">
        <v>0.32381343546223507</v>
      </c>
      <c r="DD346" s="408">
        <v>0</v>
      </c>
      <c r="DE346" s="408">
        <v>0</v>
      </c>
      <c r="DF346" s="408">
        <v>0</v>
      </c>
      <c r="DG346" s="408">
        <v>1.6994344874328299E-2</v>
      </c>
      <c r="DH346" s="408">
        <v>0</v>
      </c>
      <c r="DI346" s="408">
        <v>0</v>
      </c>
      <c r="DJ346" s="408"/>
      <c r="DK346" s="408">
        <v>0</v>
      </c>
      <c r="DL346" s="408">
        <v>0</v>
      </c>
      <c r="DM346" s="408">
        <v>0</v>
      </c>
      <c r="DN346" s="408">
        <v>0</v>
      </c>
      <c r="DO346" s="408">
        <v>0</v>
      </c>
      <c r="DP346" s="408">
        <v>-5.1257990296334904E-4</v>
      </c>
      <c r="DQ346" s="408">
        <v>0</v>
      </c>
      <c r="DR346" s="408">
        <v>0</v>
      </c>
      <c r="DS346" s="408"/>
      <c r="DT346" s="408"/>
      <c r="DU346" s="408"/>
      <c r="DV346" s="408">
        <v>3.53305658690577</v>
      </c>
      <c r="DW346" s="408">
        <v>0</v>
      </c>
      <c r="DX346" s="408">
        <v>0</v>
      </c>
      <c r="DY346" s="408">
        <v>-0.77715000000000067</v>
      </c>
      <c r="DZ346" s="408">
        <v>0.32385000000000019</v>
      </c>
      <c r="EA346" s="408">
        <v>0</v>
      </c>
      <c r="EB346" s="408">
        <v>0</v>
      </c>
      <c r="EC346" s="408">
        <v>-0.87767118589338011</v>
      </c>
      <c r="ED346" s="408">
        <v>0</v>
      </c>
      <c r="EE346" s="408">
        <v>0</v>
      </c>
      <c r="EF346" s="408">
        <v>0</v>
      </c>
      <c r="EG346" s="408">
        <v>0</v>
      </c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>
        <v>0</v>
      </c>
      <c r="EN346" s="408">
        <v>0</v>
      </c>
      <c r="EO346" s="408">
        <v>0</v>
      </c>
      <c r="EP346" s="408">
        <v>0</v>
      </c>
      <c r="EQ346" s="408">
        <v>0</v>
      </c>
      <c r="ER346" s="408">
        <v>0</v>
      </c>
      <c r="ES346" s="408">
        <v>0</v>
      </c>
      <c r="ET346" s="408">
        <v>0</v>
      </c>
      <c r="EU346" s="408">
        <v>0</v>
      </c>
      <c r="EV346" s="408">
        <v>240</v>
      </c>
      <c r="EW346" s="408">
        <v>0</v>
      </c>
      <c r="EX346" s="408">
        <v>0</v>
      </c>
      <c r="EY346" s="408">
        <v>0</v>
      </c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345</v>
      </c>
      <c r="B347" s="408" t="s">
        <v>1036</v>
      </c>
      <c r="C347" s="408" t="s">
        <v>2235</v>
      </c>
      <c r="D347" s="408" t="s">
        <v>1955</v>
      </c>
      <c r="E347" s="408" t="s">
        <v>969</v>
      </c>
      <c r="F347" s="408" t="s">
        <v>2241</v>
      </c>
      <c r="G347" s="408" t="s">
        <v>1322</v>
      </c>
      <c r="H347" s="408" t="s">
        <v>1322</v>
      </c>
      <c r="I347" s="408" t="s">
        <v>1322</v>
      </c>
      <c r="J347" s="408" t="s">
        <v>2236</v>
      </c>
      <c r="K347" s="826">
        <v>44531</v>
      </c>
      <c r="L347" s="408">
        <v>0</v>
      </c>
      <c r="M347" s="408">
        <v>0</v>
      </c>
      <c r="N347" s="408">
        <v>54.945</v>
      </c>
      <c r="O347" s="408">
        <v>54.945</v>
      </c>
      <c r="P347" s="408">
        <v>54.945</v>
      </c>
      <c r="Q347" s="408">
        <v>54.945</v>
      </c>
      <c r="R347" s="408"/>
      <c r="S347" s="408">
        <v>281.47000000000003</v>
      </c>
      <c r="T347" s="408">
        <v>173.25</v>
      </c>
      <c r="U347" s="408"/>
      <c r="V347" s="408">
        <v>24984.590400000001</v>
      </c>
      <c r="W347" s="408">
        <v>24984.590400000001</v>
      </c>
      <c r="X347" s="408">
        <v>23324.1525</v>
      </c>
      <c r="Y347" s="408">
        <v>0</v>
      </c>
      <c r="Z347" s="408">
        <v>0</v>
      </c>
      <c r="AA347" s="408">
        <v>0</v>
      </c>
      <c r="AB347" s="408">
        <v>0</v>
      </c>
      <c r="AC347" s="408">
        <v>140.63378051337665</v>
      </c>
      <c r="AD347" s="408">
        <v>135.11752762974714</v>
      </c>
      <c r="AE347" s="408">
        <v>12941.586277835837</v>
      </c>
      <c r="AF347" s="408">
        <v>9359.3571563100231</v>
      </c>
      <c r="AG347" s="408">
        <v>159.73794633558899</v>
      </c>
      <c r="AH347" s="408">
        <v>0</v>
      </c>
      <c r="AI347" s="408">
        <v>0</v>
      </c>
      <c r="AJ347" s="408">
        <v>0</v>
      </c>
      <c r="AK347" s="408">
        <v>0</v>
      </c>
      <c r="AL347" s="408">
        <v>0</v>
      </c>
      <c r="AM347" s="408"/>
      <c r="AN347" s="408">
        <v>66.365687170659641</v>
      </c>
      <c r="AO347" s="408">
        <v>298.53791837088471</v>
      </c>
      <c r="AP347" s="408">
        <v>1392.0382709707435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0</v>
      </c>
      <c r="BE347" s="408">
        <v>0</v>
      </c>
      <c r="BF347" s="408">
        <v>0</v>
      </c>
      <c r="BG347" s="408">
        <v>491.19686182660195</v>
      </c>
      <c r="BH347" s="408">
        <v>0</v>
      </c>
      <c r="BI347" s="408">
        <v>14.56</v>
      </c>
      <c r="BJ347" s="408">
        <v>125.37</v>
      </c>
      <c r="BK347" s="408">
        <v>9219.5</v>
      </c>
      <c r="BL347" s="408">
        <v>413</v>
      </c>
      <c r="BM347" s="408"/>
      <c r="BN347" s="408"/>
      <c r="BO347" s="408"/>
      <c r="BP347" s="408"/>
      <c r="BQ347" s="408"/>
      <c r="BR347" s="408"/>
      <c r="BS347" s="408"/>
      <c r="BT347" s="408">
        <v>2332.9647000000004</v>
      </c>
      <c r="BU347" s="408"/>
      <c r="BV347" s="408">
        <v>9850.554018136625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20993.097999999998</v>
      </c>
      <c r="CJ347" s="408">
        <v>-1492.6238000000012</v>
      </c>
      <c r="CK347" s="408"/>
      <c r="CL347" s="408"/>
      <c r="CM347" s="408"/>
      <c r="CN347" s="408"/>
      <c r="CO347" s="408">
        <v>-2846.7004500000016</v>
      </c>
      <c r="CP347" s="408">
        <v>1186.2625500000001</v>
      </c>
      <c r="CQ347" s="408"/>
      <c r="CR347" s="408">
        <v>1554.0899069627922</v>
      </c>
      <c r="CS347" s="408">
        <v>29.748665457986704</v>
      </c>
      <c r="CT347" s="408">
        <v>138.71363830030009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139.12628401622851</v>
      </c>
      <c r="DA347" s="408">
        <v>0</v>
      </c>
      <c r="DB347" s="408">
        <v>0</v>
      </c>
      <c r="DC347" s="408">
        <v>1186.1286140981665</v>
      </c>
      <c r="DD347" s="408">
        <v>0</v>
      </c>
      <c r="DE347" s="408">
        <v>0</v>
      </c>
      <c r="DF347" s="408">
        <v>0</v>
      </c>
      <c r="DG347" s="408">
        <v>62.250285274664577</v>
      </c>
      <c r="DH347" s="408">
        <v>0</v>
      </c>
      <c r="DI347" s="408">
        <v>0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0</v>
      </c>
      <c r="DP347" s="408">
        <v>-1.8775801845547448</v>
      </c>
      <c r="DQ347" s="408">
        <v>0</v>
      </c>
      <c r="DR347" s="408">
        <v>0</v>
      </c>
      <c r="DS347" s="408"/>
      <c r="DT347" s="408"/>
      <c r="DU347" s="408"/>
      <c r="DV347" s="408">
        <v>12941.586277835837</v>
      </c>
      <c r="DW347" s="408">
        <v>0</v>
      </c>
      <c r="DX347" s="408">
        <v>0</v>
      </c>
      <c r="DY347" s="408">
        <v>-2846.7004500000021</v>
      </c>
      <c r="DZ347" s="408">
        <v>1186.2625499999995</v>
      </c>
      <c r="EA347" s="408">
        <v>0</v>
      </c>
      <c r="EB347" s="408">
        <v>0</v>
      </c>
      <c r="EC347" s="408">
        <v>-3214.9095539274531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240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346</v>
      </c>
      <c r="B348" s="408" t="s">
        <v>2238</v>
      </c>
      <c r="C348" s="408" t="s">
        <v>2235</v>
      </c>
      <c r="D348" s="408" t="s">
        <v>1955</v>
      </c>
      <c r="E348" s="408" t="s">
        <v>969</v>
      </c>
      <c r="F348" s="408" t="s">
        <v>2241</v>
      </c>
      <c r="G348" s="408" t="s">
        <v>1322</v>
      </c>
      <c r="H348" s="408" t="s">
        <v>1322</v>
      </c>
      <c r="I348" s="408" t="s">
        <v>1322</v>
      </c>
      <c r="J348" s="408" t="s">
        <v>2236</v>
      </c>
      <c r="K348" s="826">
        <v>44531</v>
      </c>
      <c r="L348" s="408">
        <v>0</v>
      </c>
      <c r="M348" s="408">
        <v>0</v>
      </c>
      <c r="N348" s="408">
        <v>0</v>
      </c>
      <c r="O348" s="408">
        <v>0</v>
      </c>
      <c r="P348" s="408">
        <v>0</v>
      </c>
      <c r="Q348" s="408">
        <v>0</v>
      </c>
      <c r="R348" s="408"/>
      <c r="S348" s="408"/>
      <c r="T348" s="408"/>
      <c r="U348" s="408"/>
      <c r="V348" s="408"/>
      <c r="W348" s="408"/>
      <c r="X348" s="408"/>
      <c r="Y348" s="408"/>
      <c r="Z348" s="408"/>
      <c r="AA348" s="408">
        <v>0</v>
      </c>
      <c r="AB348" s="408"/>
      <c r="AC348" s="408"/>
      <c r="AD348" s="408"/>
      <c r="AE348" s="408"/>
      <c r="AF348" s="408"/>
      <c r="AG348" s="408"/>
      <c r="AH348" s="408"/>
      <c r="AI348" s="408"/>
      <c r="AJ348" s="408"/>
      <c r="AK348" s="408"/>
      <c r="AL348" s="408"/>
      <c r="AM348" s="408"/>
      <c r="AN348" s="408"/>
      <c r="AO348" s="408"/>
      <c r="AP348" s="408"/>
      <c r="AQ348" s="408"/>
      <c r="AR348" s="408"/>
      <c r="AS348" s="408"/>
      <c r="AT348" s="408"/>
      <c r="AU348" s="408"/>
      <c r="AV348" s="408"/>
      <c r="AW348" s="408"/>
      <c r="AX348" s="408"/>
      <c r="AY348" s="408"/>
      <c r="AZ348" s="408">
        <v>0</v>
      </c>
      <c r="BA348" s="408"/>
      <c r="BB348" s="408"/>
      <c r="BC348" s="408"/>
      <c r="BD348" s="408"/>
      <c r="BE348" s="408"/>
      <c r="BF348" s="408"/>
      <c r="BG348" s="408"/>
      <c r="BH348" s="408"/>
      <c r="BI348" s="408">
        <v>0</v>
      </c>
      <c r="BJ348" s="408">
        <v>0</v>
      </c>
      <c r="BK348" s="408">
        <v>21.25</v>
      </c>
      <c r="BL348" s="408">
        <v>0</v>
      </c>
      <c r="BM348" s="408"/>
      <c r="BN348" s="408"/>
      <c r="BO348" s="408"/>
      <c r="BP348" s="408"/>
      <c r="BQ348" s="408"/>
      <c r="BR348" s="408"/>
      <c r="BS348" s="408"/>
      <c r="BT348" s="408"/>
      <c r="BU348" s="408"/>
      <c r="BV348" s="408"/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/>
      <c r="CJ348" s="408">
        <v>-0.03</v>
      </c>
      <c r="CK348" s="408"/>
      <c r="CL348" s="408"/>
      <c r="CM348" s="408"/>
      <c r="CN348" s="408"/>
      <c r="CO348" s="408">
        <v>0</v>
      </c>
      <c r="CP348" s="408">
        <v>0</v>
      </c>
      <c r="CQ348" s="408"/>
      <c r="CR348" s="408"/>
      <c r="CS348" s="408"/>
      <c r="CT348" s="408"/>
      <c r="CU348" s="408"/>
      <c r="CV348" s="408"/>
      <c r="CW348" s="408"/>
      <c r="CX348" s="408"/>
      <c r="CY348" s="408"/>
      <c r="CZ348" s="408"/>
      <c r="DA348" s="408"/>
      <c r="DB348" s="408"/>
      <c r="DC348" s="408"/>
      <c r="DD348" s="408"/>
      <c r="DE348" s="408"/>
      <c r="DF348" s="408"/>
      <c r="DG348" s="408"/>
      <c r="DH348" s="408"/>
      <c r="DI348" s="408"/>
      <c r="DJ348" s="408"/>
      <c r="DK348" s="408">
        <v>0</v>
      </c>
      <c r="DL348" s="408"/>
      <c r="DM348" s="408"/>
      <c r="DN348" s="408"/>
      <c r="DO348" s="408"/>
      <c r="DP348" s="408"/>
      <c r="DQ348" s="408"/>
      <c r="DR348" s="408"/>
      <c r="DS348" s="408"/>
      <c r="DT348" s="408"/>
      <c r="DU348" s="408"/>
      <c r="DV348" s="408"/>
      <c r="DW348" s="408"/>
      <c r="DX348" s="408"/>
      <c r="DY348" s="408"/>
      <c r="DZ348" s="408"/>
      <c r="EA348" s="408"/>
      <c r="EB348" s="408"/>
      <c r="EC348" s="408"/>
      <c r="ED348" s="408"/>
      <c r="EE348" s="408"/>
      <c r="EF348" s="408"/>
      <c r="EG348" s="408"/>
      <c r="EH348" s="408"/>
      <c r="EI348" s="408"/>
      <c r="EJ348" s="408"/>
      <c r="EK348" s="408"/>
      <c r="EL348" s="408"/>
      <c r="EM348" s="408"/>
      <c r="EN348" s="408"/>
      <c r="EO348" s="408"/>
      <c r="EP348" s="408"/>
      <c r="EQ348" s="408"/>
      <c r="ER348" s="408"/>
      <c r="ES348" s="408"/>
      <c r="ET348" s="408"/>
      <c r="EU348" s="408"/>
      <c r="EV348" s="408">
        <v>240</v>
      </c>
      <c r="EW348" s="408"/>
      <c r="EX348" s="408"/>
      <c r="EY348" s="408"/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347</v>
      </c>
      <c r="B349" s="408" t="s">
        <v>1036</v>
      </c>
      <c r="C349" s="408" t="s">
        <v>2235</v>
      </c>
      <c r="D349" s="408" t="s">
        <v>1955</v>
      </c>
      <c r="E349" s="408" t="s">
        <v>969</v>
      </c>
      <c r="F349" s="408" t="s">
        <v>2242</v>
      </c>
      <c r="G349" s="408" t="s">
        <v>1322</v>
      </c>
      <c r="H349" s="408" t="s">
        <v>1322</v>
      </c>
      <c r="I349" s="408" t="s">
        <v>1322</v>
      </c>
      <c r="J349" s="408" t="s">
        <v>2236</v>
      </c>
      <c r="K349" s="826">
        <v>44531</v>
      </c>
      <c r="L349" s="408">
        <v>0</v>
      </c>
      <c r="M349" s="408">
        <v>0</v>
      </c>
      <c r="N349" s="408">
        <v>24.434000000000001</v>
      </c>
      <c r="O349" s="408">
        <v>24.434000000000001</v>
      </c>
      <c r="P349" s="408">
        <v>24.434000000000001</v>
      </c>
      <c r="Q349" s="408">
        <v>24.434000000000001</v>
      </c>
      <c r="R349" s="408"/>
      <c r="S349" s="408">
        <v>281.47000000000003</v>
      </c>
      <c r="T349" s="408">
        <v>173.25</v>
      </c>
      <c r="U349" s="408"/>
      <c r="V349" s="408">
        <v>11110.628480000001</v>
      </c>
      <c r="W349" s="408">
        <v>11110.628480000001</v>
      </c>
      <c r="X349" s="408">
        <v>10372.233</v>
      </c>
      <c r="Y349" s="408">
        <v>0</v>
      </c>
      <c r="Z349" s="408">
        <v>0</v>
      </c>
      <c r="AA349" s="408">
        <v>0</v>
      </c>
      <c r="AB349" s="408">
        <v>0</v>
      </c>
      <c r="AC349" s="408">
        <v>62.539735973497955</v>
      </c>
      <c r="AD349" s="408">
        <v>60.086662482577886</v>
      </c>
      <c r="AE349" s="408">
        <v>5755.1136429637063</v>
      </c>
      <c r="AF349" s="408">
        <v>4162.0990582815384</v>
      </c>
      <c r="AG349" s="408">
        <v>71.035344085244915</v>
      </c>
      <c r="AH349" s="408">
        <v>0</v>
      </c>
      <c r="AI349" s="408">
        <v>0</v>
      </c>
      <c r="AJ349" s="408">
        <v>0</v>
      </c>
      <c r="AK349" s="408">
        <v>0</v>
      </c>
      <c r="AL349" s="408">
        <v>0</v>
      </c>
      <c r="AM349" s="408"/>
      <c r="AN349" s="408">
        <v>29.512770958738699</v>
      </c>
      <c r="AO349" s="408">
        <v>132.7595868136172</v>
      </c>
      <c r="AP349" s="408">
        <v>619.03836769313227</v>
      </c>
      <c r="AQ349" s="408">
        <v>0</v>
      </c>
      <c r="AR349" s="408">
        <v>0</v>
      </c>
      <c r="AS349" s="408">
        <v>0</v>
      </c>
      <c r="AT349" s="408">
        <v>0</v>
      </c>
      <c r="AU349" s="408">
        <v>0</v>
      </c>
      <c r="AV349" s="408">
        <v>0</v>
      </c>
      <c r="AW349" s="408">
        <v>0</v>
      </c>
      <c r="AX349" s="408">
        <v>0</v>
      </c>
      <c r="AY349" s="408">
        <v>0</v>
      </c>
      <c r="AZ349" s="408">
        <v>0</v>
      </c>
      <c r="BA349" s="408"/>
      <c r="BB349" s="408">
        <v>0</v>
      </c>
      <c r="BC349" s="408">
        <v>0</v>
      </c>
      <c r="BD349" s="408">
        <v>0</v>
      </c>
      <c r="BE349" s="408">
        <v>0</v>
      </c>
      <c r="BF349" s="408">
        <v>0</v>
      </c>
      <c r="BG349" s="408">
        <v>218.43487345292917</v>
      </c>
      <c r="BH349" s="408">
        <v>0</v>
      </c>
      <c r="BI349" s="408">
        <v>8.4600000000000009</v>
      </c>
      <c r="BJ349" s="408">
        <v>66.290000000000006</v>
      </c>
      <c r="BK349" s="408">
        <v>4707.3900000000003</v>
      </c>
      <c r="BL349" s="408">
        <v>262</v>
      </c>
      <c r="BM349" s="408"/>
      <c r="BN349" s="408"/>
      <c r="BO349" s="408"/>
      <c r="BP349" s="408"/>
      <c r="BQ349" s="408"/>
      <c r="BR349" s="408"/>
      <c r="BS349" s="408"/>
      <c r="BT349" s="408"/>
      <c r="BU349" s="408"/>
      <c r="BV349" s="408">
        <v>4380.5339317344678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10370.535</v>
      </c>
      <c r="CJ349" s="408">
        <v>-740.12348000000202</v>
      </c>
      <c r="CK349" s="408"/>
      <c r="CL349" s="408"/>
      <c r="CM349" s="408"/>
      <c r="CN349" s="408"/>
      <c r="CO349" s="408">
        <v>-1265.9255400000009</v>
      </c>
      <c r="CP349" s="408">
        <v>527.53006000000016</v>
      </c>
      <c r="CQ349" s="408"/>
      <c r="CR349" s="408">
        <v>691.10260782107434</v>
      </c>
      <c r="CS349" s="408">
        <v>13.229209059977194</v>
      </c>
      <c r="CT349" s="408">
        <v>61.685850181627529</v>
      </c>
      <c r="CU349" s="408">
        <v>0</v>
      </c>
      <c r="CV349" s="408">
        <v>0</v>
      </c>
      <c r="CW349" s="408">
        <v>0</v>
      </c>
      <c r="CX349" s="408">
        <v>0</v>
      </c>
      <c r="CY349" s="408">
        <v>0</v>
      </c>
      <c r="CZ349" s="408">
        <v>61.86935341982943</v>
      </c>
      <c r="DA349" s="408">
        <v>0</v>
      </c>
      <c r="DB349" s="408">
        <v>0</v>
      </c>
      <c r="DC349" s="408">
        <v>527.47049880561644</v>
      </c>
      <c r="DD349" s="408">
        <v>0</v>
      </c>
      <c r="DE349" s="408">
        <v>0</v>
      </c>
      <c r="DF349" s="408">
        <v>0</v>
      </c>
      <c r="DG349" s="408">
        <v>27.682654843955845</v>
      </c>
      <c r="DH349" s="408">
        <v>0</v>
      </c>
      <c r="DI349" s="408">
        <v>0</v>
      </c>
      <c r="DJ349" s="408"/>
      <c r="DK349" s="408">
        <v>0</v>
      </c>
      <c r="DL349" s="408">
        <v>0</v>
      </c>
      <c r="DM349" s="408">
        <v>0</v>
      </c>
      <c r="DN349" s="408">
        <v>0</v>
      </c>
      <c r="DO349" s="408">
        <v>0</v>
      </c>
      <c r="DP349" s="408">
        <v>-0.83495848993376498</v>
      </c>
      <c r="DQ349" s="408">
        <v>0</v>
      </c>
      <c r="DR349" s="408">
        <v>0</v>
      </c>
      <c r="DS349" s="408"/>
      <c r="DT349" s="408"/>
      <c r="DU349" s="408"/>
      <c r="DV349" s="408">
        <v>5755.1136429637063</v>
      </c>
      <c r="DW349" s="408">
        <v>0</v>
      </c>
      <c r="DX349" s="408">
        <v>0</v>
      </c>
      <c r="DY349" s="408">
        <v>-1265.9255400000002</v>
      </c>
      <c r="DZ349" s="408">
        <v>527.53006000000005</v>
      </c>
      <c r="EA349" s="408">
        <v>0</v>
      </c>
      <c r="EB349" s="408">
        <v>0</v>
      </c>
      <c r="EC349" s="408">
        <v>-1429.6678504079237</v>
      </c>
      <c r="ED349" s="408">
        <v>0</v>
      </c>
      <c r="EE349" s="408">
        <v>0</v>
      </c>
      <c r="EF349" s="408">
        <v>0</v>
      </c>
      <c r="EG349" s="408">
        <v>0</v>
      </c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>
        <v>0</v>
      </c>
      <c r="EN349" s="408">
        <v>0</v>
      </c>
      <c r="EO349" s="408">
        <v>0</v>
      </c>
      <c r="EP349" s="408">
        <v>0</v>
      </c>
      <c r="EQ349" s="408">
        <v>0</v>
      </c>
      <c r="ER349" s="408">
        <v>0</v>
      </c>
      <c r="ES349" s="408">
        <v>0</v>
      </c>
      <c r="ET349" s="408">
        <v>0</v>
      </c>
      <c r="EU349" s="408">
        <v>0</v>
      </c>
      <c r="EV349" s="408">
        <v>240</v>
      </c>
      <c r="EW349" s="408">
        <v>0</v>
      </c>
      <c r="EX349" s="408">
        <v>0</v>
      </c>
      <c r="EY349" s="408">
        <v>0</v>
      </c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348</v>
      </c>
      <c r="B350" s="408" t="s">
        <v>2238</v>
      </c>
      <c r="C350" s="408" t="s">
        <v>2235</v>
      </c>
      <c r="D350" s="408" t="s">
        <v>1955</v>
      </c>
      <c r="E350" s="408" t="s">
        <v>969</v>
      </c>
      <c r="F350" s="408" t="s">
        <v>2242</v>
      </c>
      <c r="G350" s="408" t="s">
        <v>1322</v>
      </c>
      <c r="H350" s="408" t="s">
        <v>1322</v>
      </c>
      <c r="I350" s="408" t="s">
        <v>1322</v>
      </c>
      <c r="J350" s="408" t="s">
        <v>2236</v>
      </c>
      <c r="K350" s="826">
        <v>44531</v>
      </c>
      <c r="L350" s="408">
        <v>0</v>
      </c>
      <c r="M350" s="408">
        <v>0</v>
      </c>
      <c r="N350" s="408">
        <v>0</v>
      </c>
      <c r="O350" s="408">
        <v>0</v>
      </c>
      <c r="P350" s="408">
        <v>0</v>
      </c>
      <c r="Q350" s="408">
        <v>0</v>
      </c>
      <c r="R350" s="408"/>
      <c r="S350" s="408"/>
      <c r="T350" s="408"/>
      <c r="U350" s="408"/>
      <c r="V350" s="408"/>
      <c r="W350" s="408"/>
      <c r="X350" s="408"/>
      <c r="Y350" s="408"/>
      <c r="Z350" s="408"/>
      <c r="AA350" s="408">
        <v>0</v>
      </c>
      <c r="AB350" s="408"/>
      <c r="AC350" s="408"/>
      <c r="AD350" s="408"/>
      <c r="AE350" s="408"/>
      <c r="AF350" s="408"/>
      <c r="AG350" s="408"/>
      <c r="AH350" s="408"/>
      <c r="AI350" s="408"/>
      <c r="AJ350" s="408"/>
      <c r="AK350" s="408"/>
      <c r="AL350" s="408"/>
      <c r="AM350" s="408"/>
      <c r="AN350" s="408"/>
      <c r="AO350" s="408"/>
      <c r="AP350" s="408"/>
      <c r="AQ350" s="408"/>
      <c r="AR350" s="408"/>
      <c r="AS350" s="408"/>
      <c r="AT350" s="408"/>
      <c r="AU350" s="408"/>
      <c r="AV350" s="408"/>
      <c r="AW350" s="408"/>
      <c r="AX350" s="408"/>
      <c r="AY350" s="408"/>
      <c r="AZ350" s="408">
        <v>0</v>
      </c>
      <c r="BA350" s="408"/>
      <c r="BB350" s="408"/>
      <c r="BC350" s="408"/>
      <c r="BD350" s="408"/>
      <c r="BE350" s="408"/>
      <c r="BF350" s="408"/>
      <c r="BG350" s="408"/>
      <c r="BH350" s="408"/>
      <c r="BI350" s="408">
        <v>0</v>
      </c>
      <c r="BJ350" s="408">
        <v>0</v>
      </c>
      <c r="BK350" s="408">
        <v>14.96</v>
      </c>
      <c r="BL350" s="408">
        <v>2</v>
      </c>
      <c r="BM350" s="408"/>
      <c r="BN350" s="408"/>
      <c r="BO350" s="408"/>
      <c r="BP350" s="408"/>
      <c r="BQ350" s="408"/>
      <c r="BR350" s="408"/>
      <c r="BS350" s="408"/>
      <c r="BT350" s="408"/>
      <c r="BU350" s="408"/>
      <c r="BV350" s="408"/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/>
      <c r="CJ350" s="408">
        <v>-0.03</v>
      </c>
      <c r="CK350" s="408"/>
      <c r="CL350" s="408"/>
      <c r="CM350" s="408"/>
      <c r="CN350" s="408"/>
      <c r="CO350" s="408">
        <v>0</v>
      </c>
      <c r="CP350" s="408">
        <v>0</v>
      </c>
      <c r="CQ350" s="408"/>
      <c r="CR350" s="408"/>
      <c r="CS350" s="408"/>
      <c r="CT350" s="408"/>
      <c r="CU350" s="408"/>
      <c r="CV350" s="408"/>
      <c r="CW350" s="408"/>
      <c r="CX350" s="408"/>
      <c r="CY350" s="408"/>
      <c r="CZ350" s="408"/>
      <c r="DA350" s="408"/>
      <c r="DB350" s="408"/>
      <c r="DC350" s="408"/>
      <c r="DD350" s="408"/>
      <c r="DE350" s="408"/>
      <c r="DF350" s="408"/>
      <c r="DG350" s="408"/>
      <c r="DH350" s="408"/>
      <c r="DI350" s="408"/>
      <c r="DJ350" s="408"/>
      <c r="DK350" s="408">
        <v>0</v>
      </c>
      <c r="DL350" s="408"/>
      <c r="DM350" s="408"/>
      <c r="DN350" s="408"/>
      <c r="DO350" s="408"/>
      <c r="DP350" s="408"/>
      <c r="DQ350" s="408"/>
      <c r="DR350" s="408"/>
      <c r="DS350" s="408"/>
      <c r="DT350" s="408"/>
      <c r="DU350" s="408"/>
      <c r="DV350" s="408"/>
      <c r="DW350" s="408"/>
      <c r="DX350" s="408"/>
      <c r="DY350" s="408"/>
      <c r="DZ350" s="408"/>
      <c r="EA350" s="408"/>
      <c r="EB350" s="408"/>
      <c r="EC350" s="408"/>
      <c r="ED350" s="408"/>
      <c r="EE350" s="408"/>
      <c r="EF350" s="408"/>
      <c r="EG350" s="408"/>
      <c r="EH350" s="408"/>
      <c r="EI350" s="408"/>
      <c r="EJ350" s="408"/>
      <c r="EK350" s="408"/>
      <c r="EL350" s="408"/>
      <c r="EM350" s="408"/>
      <c r="EN350" s="408"/>
      <c r="EO350" s="408"/>
      <c r="EP350" s="408"/>
      <c r="EQ350" s="408"/>
      <c r="ER350" s="408"/>
      <c r="ES350" s="408"/>
      <c r="ET350" s="408"/>
      <c r="EU350" s="408"/>
      <c r="EV350" s="408">
        <v>240</v>
      </c>
      <c r="EW350" s="408"/>
      <c r="EX350" s="408"/>
      <c r="EY350" s="408"/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349</v>
      </c>
      <c r="B351" s="408" t="s">
        <v>1036</v>
      </c>
      <c r="C351" s="408" t="s">
        <v>2316</v>
      </c>
      <c r="D351" s="408" t="s">
        <v>1955</v>
      </c>
      <c r="E351" s="408" t="s">
        <v>969</v>
      </c>
      <c r="F351" s="408" t="s">
        <v>969</v>
      </c>
      <c r="G351" s="408" t="s">
        <v>1322</v>
      </c>
      <c r="H351" s="408" t="s">
        <v>1322</v>
      </c>
      <c r="I351" s="408" t="s">
        <v>973</v>
      </c>
      <c r="J351" s="408" t="s">
        <v>2236</v>
      </c>
      <c r="K351" s="826">
        <v>44531</v>
      </c>
      <c r="L351" s="408">
        <v>0</v>
      </c>
      <c r="M351" s="408">
        <v>0</v>
      </c>
      <c r="N351" s="408">
        <v>0.39100000000000001</v>
      </c>
      <c r="O351" s="408">
        <v>0.39100000000000001</v>
      </c>
      <c r="P351" s="408">
        <v>0.39100000000000001</v>
      </c>
      <c r="Q351" s="408">
        <v>0.39100000000000001</v>
      </c>
      <c r="R351" s="408"/>
      <c r="S351" s="408">
        <v>775.22</v>
      </c>
      <c r="T351" s="408">
        <v>173.25</v>
      </c>
      <c r="U351" s="408"/>
      <c r="V351" s="408">
        <v>370.85176999999999</v>
      </c>
      <c r="W351" s="408">
        <v>370.85176999999999</v>
      </c>
      <c r="X351" s="408">
        <v>327.07150000000001</v>
      </c>
      <c r="Y351" s="408">
        <v>0</v>
      </c>
      <c r="Z351" s="408">
        <v>24.064166630953828</v>
      </c>
      <c r="AA351" s="408">
        <v>0</v>
      </c>
      <c r="AB351" s="408">
        <v>0</v>
      </c>
      <c r="AC351" s="408">
        <v>2.5017704358763138</v>
      </c>
      <c r="AD351" s="408">
        <v>2.4036516453937793</v>
      </c>
      <c r="AE351" s="408">
        <v>230.2374788060466</v>
      </c>
      <c r="AF351" s="408">
        <v>66.603123998857384</v>
      </c>
      <c r="AG351" s="408">
        <v>1.1367283104416288</v>
      </c>
      <c r="AH351" s="408">
        <v>0</v>
      </c>
      <c r="AI351" s="408">
        <v>0</v>
      </c>
      <c r="AJ351" s="408">
        <v>0</v>
      </c>
      <c r="AK351" s="408">
        <v>0</v>
      </c>
      <c r="AL351" s="408">
        <v>3.7180308384342355</v>
      </c>
      <c r="AM351" s="408"/>
      <c r="AN351" s="408">
        <v>0.47227197531582349</v>
      </c>
      <c r="AO351" s="408">
        <v>5.3108431479696785</v>
      </c>
      <c r="AP351" s="408">
        <v>24.763493958859375</v>
      </c>
      <c r="AQ351" s="408">
        <v>0</v>
      </c>
      <c r="AR351" s="408">
        <v>0</v>
      </c>
      <c r="AS351" s="408">
        <v>0</v>
      </c>
      <c r="AT351" s="408">
        <v>0</v>
      </c>
      <c r="AU351" s="408">
        <v>0</v>
      </c>
      <c r="AV351" s="408">
        <v>0</v>
      </c>
      <c r="AW351" s="408">
        <v>0</v>
      </c>
      <c r="AX351" s="408">
        <v>0</v>
      </c>
      <c r="AY351" s="408">
        <v>0</v>
      </c>
      <c r="AZ351" s="408">
        <v>0</v>
      </c>
      <c r="BA351" s="408"/>
      <c r="BB351" s="408">
        <v>0</v>
      </c>
      <c r="BC351" s="408">
        <v>0</v>
      </c>
      <c r="BD351" s="408">
        <v>0</v>
      </c>
      <c r="BE351" s="408">
        <v>0</v>
      </c>
      <c r="BF351" s="408">
        <v>0</v>
      </c>
      <c r="BG351" s="408">
        <v>3.4954586035890687</v>
      </c>
      <c r="BH351" s="408">
        <v>0</v>
      </c>
      <c r="BI351" s="408">
        <v>0</v>
      </c>
      <c r="BJ351" s="408">
        <v>0</v>
      </c>
      <c r="BK351" s="408">
        <v>0</v>
      </c>
      <c r="BL351" s="408">
        <v>0</v>
      </c>
      <c r="BM351" s="408"/>
      <c r="BN351" s="408"/>
      <c r="BO351" s="408"/>
      <c r="BP351" s="408"/>
      <c r="BQ351" s="408"/>
      <c r="BR351" s="408"/>
      <c r="BS351" s="408"/>
      <c r="BT351" s="408"/>
      <c r="BU351" s="408"/>
      <c r="BV351" s="408">
        <v>70.098582602446456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326.23500000000001</v>
      </c>
      <c r="CJ351" s="408">
        <v>-44.646769999999947</v>
      </c>
      <c r="CK351" s="408"/>
      <c r="CL351" s="408"/>
      <c r="CM351" s="408"/>
      <c r="CN351" s="408"/>
      <c r="CO351" s="408">
        <v>-52.221960000000024</v>
      </c>
      <c r="CP351" s="408">
        <v>8.4416900000000012</v>
      </c>
      <c r="CQ351" s="408"/>
      <c r="CR351" s="408">
        <v>13.412656504911268</v>
      </c>
      <c r="CS351" s="408">
        <v>0.52921416807264254</v>
      </c>
      <c r="CT351" s="408">
        <v>2.4676292424528086</v>
      </c>
      <c r="CU351" s="408">
        <v>0</v>
      </c>
      <c r="CV351" s="408">
        <v>0</v>
      </c>
      <c r="CW351" s="408">
        <v>0</v>
      </c>
      <c r="CX351" s="408">
        <v>0</v>
      </c>
      <c r="CY351" s="408">
        <v>0</v>
      </c>
      <c r="CZ351" s="408">
        <v>2.4749647759207969</v>
      </c>
      <c r="DA351" s="408">
        <v>0</v>
      </c>
      <c r="DB351" s="408">
        <v>0</v>
      </c>
      <c r="DC351" s="408">
        <v>8.440736884382261</v>
      </c>
      <c r="DD351" s="408">
        <v>0</v>
      </c>
      <c r="DE351" s="408">
        <v>0</v>
      </c>
      <c r="DF351" s="408">
        <v>0</v>
      </c>
      <c r="DG351" s="408">
        <v>0.44298592305749107</v>
      </c>
      <c r="DH351" s="408">
        <v>0</v>
      </c>
      <c r="DI351" s="408">
        <v>-0.81714294994785064</v>
      </c>
      <c r="DJ351" s="408"/>
      <c r="DK351" s="408">
        <v>0</v>
      </c>
      <c r="DL351" s="408">
        <v>0</v>
      </c>
      <c r="DM351" s="408">
        <v>0</v>
      </c>
      <c r="DN351" s="408">
        <v>0</v>
      </c>
      <c r="DO351" s="408">
        <v>-0.11237028955631434</v>
      </c>
      <c r="DP351" s="408">
        <v>-1.3361249470577985E-2</v>
      </c>
      <c r="DQ351" s="408">
        <v>0</v>
      </c>
      <c r="DR351" s="408">
        <v>0</v>
      </c>
      <c r="DS351" s="408"/>
      <c r="DT351" s="408"/>
      <c r="DU351" s="408"/>
      <c r="DV351" s="408">
        <v>230.2374788060466</v>
      </c>
      <c r="DW351" s="408">
        <v>0</v>
      </c>
      <c r="DX351" s="408">
        <v>0</v>
      </c>
      <c r="DY351" s="408">
        <v>-52.221959999999996</v>
      </c>
      <c r="DZ351" s="408">
        <v>8.4416899999999941</v>
      </c>
      <c r="EA351" s="408">
        <v>0</v>
      </c>
      <c r="EB351" s="408">
        <v>0</v>
      </c>
      <c r="EC351" s="408">
        <v>-57.194895153880736</v>
      </c>
      <c r="ED351" s="408">
        <v>0</v>
      </c>
      <c r="EE351" s="408">
        <v>0</v>
      </c>
      <c r="EF351" s="408">
        <v>0</v>
      </c>
      <c r="EG351" s="408">
        <v>0</v>
      </c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>
        <v>0</v>
      </c>
      <c r="EN351" s="408">
        <v>0</v>
      </c>
      <c r="EO351" s="408">
        <v>0</v>
      </c>
      <c r="EP351" s="408">
        <v>6.1455589713945225</v>
      </c>
      <c r="EQ351" s="408">
        <v>0</v>
      </c>
      <c r="ER351" s="408">
        <v>0</v>
      </c>
      <c r="ES351" s="408">
        <v>0</v>
      </c>
      <c r="ET351" s="408">
        <v>0</v>
      </c>
      <c r="EU351" s="408">
        <v>0</v>
      </c>
      <c r="EV351" s="408">
        <v>240</v>
      </c>
      <c r="EW351" s="408">
        <v>0</v>
      </c>
      <c r="EX351" s="408">
        <v>0</v>
      </c>
      <c r="EY351" s="408">
        <v>0</v>
      </c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350</v>
      </c>
      <c r="B352" s="408" t="s">
        <v>1036</v>
      </c>
      <c r="C352" s="408" t="s">
        <v>2316</v>
      </c>
      <c r="D352" s="408" t="s">
        <v>1955</v>
      </c>
      <c r="E352" s="408" t="s">
        <v>969</v>
      </c>
      <c r="F352" s="408" t="s">
        <v>969</v>
      </c>
      <c r="G352" s="408" t="s">
        <v>1322</v>
      </c>
      <c r="H352" s="408" t="s">
        <v>1322</v>
      </c>
      <c r="I352" s="408" t="s">
        <v>2244</v>
      </c>
      <c r="J352" s="408" t="s">
        <v>2236</v>
      </c>
      <c r="K352" s="826">
        <v>44531</v>
      </c>
      <c r="L352" s="408">
        <v>0</v>
      </c>
      <c r="M352" s="408">
        <v>0</v>
      </c>
      <c r="N352" s="408">
        <v>4.0460000000000003</v>
      </c>
      <c r="O352" s="408">
        <v>4.0460000000000003</v>
      </c>
      <c r="P352" s="408">
        <v>4.0460000000000003</v>
      </c>
      <c r="Q352" s="408">
        <v>4.0460000000000003</v>
      </c>
      <c r="R352" s="408"/>
      <c r="S352" s="408">
        <v>232.58</v>
      </c>
      <c r="T352" s="408">
        <v>173.25</v>
      </c>
      <c r="U352" s="408"/>
      <c r="V352" s="408">
        <v>1641.9881800000003</v>
      </c>
      <c r="W352" s="408">
        <v>1641.9881800000003</v>
      </c>
      <c r="X352" s="408">
        <v>1617.1457400000002</v>
      </c>
      <c r="Y352" s="408">
        <v>0</v>
      </c>
      <c r="Z352" s="408">
        <v>249.01181122465266</v>
      </c>
      <c r="AA352" s="408">
        <v>0</v>
      </c>
      <c r="AB352" s="408">
        <v>0</v>
      </c>
      <c r="AC352" s="408">
        <v>5.1779440891538995</v>
      </c>
      <c r="AD352" s="408">
        <v>4.9748431776317865</v>
      </c>
      <c r="AE352" s="408">
        <v>476.49156502069155</v>
      </c>
      <c r="AF352" s="408">
        <v>689.19754398817645</v>
      </c>
      <c r="AG352" s="408">
        <v>11.7626668645699</v>
      </c>
      <c r="AH352" s="408">
        <v>0</v>
      </c>
      <c r="AI352" s="408">
        <v>0</v>
      </c>
      <c r="AJ352" s="408">
        <v>0</v>
      </c>
      <c r="AK352" s="408">
        <v>0</v>
      </c>
      <c r="AL352" s="408">
        <v>38.473536502058607</v>
      </c>
      <c r="AM352" s="408"/>
      <c r="AN352" s="408">
        <v>4.8869882663115654</v>
      </c>
      <c r="AO352" s="408">
        <v>10.992204149539829</v>
      </c>
      <c r="AP352" s="408">
        <v>51.252951536514963</v>
      </c>
      <c r="AQ352" s="408">
        <v>0</v>
      </c>
      <c r="AR352" s="408">
        <v>0</v>
      </c>
      <c r="AS352" s="408">
        <v>0</v>
      </c>
      <c r="AT352" s="408">
        <v>0</v>
      </c>
      <c r="AU352" s="408">
        <v>0</v>
      </c>
      <c r="AV352" s="408">
        <v>0</v>
      </c>
      <c r="AW352" s="408">
        <v>0</v>
      </c>
      <c r="AX352" s="408">
        <v>0</v>
      </c>
      <c r="AY352" s="408">
        <v>0</v>
      </c>
      <c r="AZ352" s="408">
        <v>0</v>
      </c>
      <c r="BA352" s="408"/>
      <c r="BB352" s="408">
        <v>0</v>
      </c>
      <c r="BC352" s="408">
        <v>0</v>
      </c>
      <c r="BD352" s="408">
        <v>0</v>
      </c>
      <c r="BE352" s="408">
        <v>0</v>
      </c>
      <c r="BF352" s="408">
        <v>0</v>
      </c>
      <c r="BG352" s="408">
        <v>36.170397724095579</v>
      </c>
      <c r="BH352" s="408">
        <v>0</v>
      </c>
      <c r="BI352" s="408">
        <v>0</v>
      </c>
      <c r="BJ352" s="408">
        <v>0</v>
      </c>
      <c r="BK352" s="408">
        <v>0</v>
      </c>
      <c r="BL352" s="408">
        <v>0</v>
      </c>
      <c r="BM352" s="408"/>
      <c r="BN352" s="408"/>
      <c r="BO352" s="408"/>
      <c r="BP352" s="408"/>
      <c r="BQ352" s="408"/>
      <c r="BR352" s="408"/>
      <c r="BS352" s="408"/>
      <c r="BT352" s="408"/>
      <c r="BU352" s="408"/>
      <c r="BV352" s="408">
        <v>725.367941712272</v>
      </c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>
        <v>1618.7444999999998</v>
      </c>
      <c r="CJ352" s="408">
        <v>-23.273680000000468</v>
      </c>
      <c r="CK352" s="408"/>
      <c r="CL352" s="408"/>
      <c r="CM352" s="408"/>
      <c r="CN352" s="408"/>
      <c r="CO352" s="408">
        <v>-112.19558000000008</v>
      </c>
      <c r="CP352" s="408">
        <v>87.353140000000025</v>
      </c>
      <c r="CQ352" s="408"/>
      <c r="CR352" s="408">
        <v>93.495554224163016</v>
      </c>
      <c r="CS352" s="408">
        <v>1.0953496482959473</v>
      </c>
      <c r="CT352" s="408">
        <v>5.1072470703704909</v>
      </c>
      <c r="CU352" s="408">
        <v>0</v>
      </c>
      <c r="CV352" s="408">
        <v>0</v>
      </c>
      <c r="CW352" s="408">
        <v>0</v>
      </c>
      <c r="CX352" s="408">
        <v>0</v>
      </c>
      <c r="CY352" s="408">
        <v>0</v>
      </c>
      <c r="CZ352" s="408">
        <v>5.1224401231200343</v>
      </c>
      <c r="DA352" s="408">
        <v>0</v>
      </c>
      <c r="DB352" s="408">
        <v>0</v>
      </c>
      <c r="DC352" s="408">
        <v>87.343277325346776</v>
      </c>
      <c r="DD352" s="408">
        <v>0</v>
      </c>
      <c r="DE352" s="408">
        <v>0</v>
      </c>
      <c r="DF352" s="408">
        <v>0</v>
      </c>
      <c r="DG352" s="408">
        <v>4.58394129076882</v>
      </c>
      <c r="DH352" s="408">
        <v>0</v>
      </c>
      <c r="DI352" s="408">
        <v>-8.4556531342429651</v>
      </c>
      <c r="DJ352" s="408"/>
      <c r="DK352" s="408">
        <v>0</v>
      </c>
      <c r="DL352" s="408">
        <v>0</v>
      </c>
      <c r="DM352" s="408">
        <v>0</v>
      </c>
      <c r="DN352" s="408">
        <v>0</v>
      </c>
      <c r="DO352" s="408">
        <v>-1.1627882136696854</v>
      </c>
      <c r="DP352" s="408">
        <v>-0.13825988582598114</v>
      </c>
      <c r="DQ352" s="408">
        <v>0</v>
      </c>
      <c r="DR352" s="408">
        <v>0</v>
      </c>
      <c r="DS352" s="408"/>
      <c r="DT352" s="408"/>
      <c r="DU352" s="408"/>
      <c r="DV352" s="408">
        <v>476.49156502069155</v>
      </c>
      <c r="DW352" s="408">
        <v>0</v>
      </c>
      <c r="DX352" s="408">
        <v>0</v>
      </c>
      <c r="DY352" s="408">
        <v>-112.19558000000006</v>
      </c>
      <c r="DZ352" s="408">
        <v>87.353140000000053</v>
      </c>
      <c r="EA352" s="408">
        <v>0</v>
      </c>
      <c r="EB352" s="408">
        <v>0</v>
      </c>
      <c r="EC352" s="408">
        <v>-118.36858727082011</v>
      </c>
      <c r="ED352" s="408">
        <v>0</v>
      </c>
      <c r="EE352" s="408">
        <v>0</v>
      </c>
      <c r="EF352" s="408">
        <v>0</v>
      </c>
      <c r="EG352" s="408">
        <v>0</v>
      </c>
      <c r="EH352" s="408">
        <v>0</v>
      </c>
      <c r="EI352" s="408">
        <v>0</v>
      </c>
      <c r="EJ352" s="408">
        <v>0</v>
      </c>
      <c r="EK352" s="408">
        <v>0</v>
      </c>
      <c r="EL352" s="408">
        <v>0</v>
      </c>
      <c r="EM352" s="408">
        <v>0</v>
      </c>
      <c r="EN352" s="408">
        <v>0</v>
      </c>
      <c r="EO352" s="408">
        <v>0</v>
      </c>
      <c r="EP352" s="408">
        <v>63.593175443125922</v>
      </c>
      <c r="EQ352" s="408">
        <v>0</v>
      </c>
      <c r="ER352" s="408">
        <v>0</v>
      </c>
      <c r="ES352" s="408">
        <v>0</v>
      </c>
      <c r="ET352" s="408">
        <v>0</v>
      </c>
      <c r="EU352" s="408">
        <v>0</v>
      </c>
      <c r="EV352" s="408">
        <v>240</v>
      </c>
      <c r="EW352" s="408">
        <v>0</v>
      </c>
      <c r="EX352" s="408">
        <v>0</v>
      </c>
      <c r="EY352" s="408">
        <v>0</v>
      </c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351</v>
      </c>
      <c r="B353" s="408" t="s">
        <v>1036</v>
      </c>
      <c r="C353" s="408" t="s">
        <v>2316</v>
      </c>
      <c r="D353" s="408" t="s">
        <v>1955</v>
      </c>
      <c r="E353" s="408" t="s">
        <v>969</v>
      </c>
      <c r="F353" s="408" t="s">
        <v>969</v>
      </c>
      <c r="G353" s="408" t="s">
        <v>1322</v>
      </c>
      <c r="H353" s="408" t="s">
        <v>1322</v>
      </c>
      <c r="I353" s="408" t="s">
        <v>1322</v>
      </c>
      <c r="J353" s="408" t="s">
        <v>2236</v>
      </c>
      <c r="K353" s="826">
        <v>44531</v>
      </c>
      <c r="L353" s="408">
        <v>0</v>
      </c>
      <c r="M353" s="408">
        <v>0</v>
      </c>
      <c r="N353" s="408">
        <v>0</v>
      </c>
      <c r="O353" s="408">
        <v>0</v>
      </c>
      <c r="P353" s="408">
        <v>0</v>
      </c>
      <c r="Q353" s="408">
        <v>0</v>
      </c>
      <c r="R353" s="408"/>
      <c r="S353" s="408"/>
      <c r="T353" s="408"/>
      <c r="U353" s="408"/>
      <c r="V353" s="408"/>
      <c r="W353" s="408"/>
      <c r="X353" s="408"/>
      <c r="Y353" s="408"/>
      <c r="Z353" s="408"/>
      <c r="AA353" s="408">
        <v>0</v>
      </c>
      <c r="AB353" s="408"/>
      <c r="AC353" s="408"/>
      <c r="AD353" s="408"/>
      <c r="AE353" s="408"/>
      <c r="AF353" s="408"/>
      <c r="AG353" s="408"/>
      <c r="AH353" s="408"/>
      <c r="AI353" s="408"/>
      <c r="AJ353" s="408"/>
      <c r="AK353" s="408"/>
      <c r="AL353" s="408"/>
      <c r="AM353" s="408"/>
      <c r="AN353" s="408"/>
      <c r="AO353" s="408"/>
      <c r="AP353" s="408"/>
      <c r="AQ353" s="408"/>
      <c r="AR353" s="408"/>
      <c r="AS353" s="408"/>
      <c r="AT353" s="408"/>
      <c r="AU353" s="408"/>
      <c r="AV353" s="408"/>
      <c r="AW353" s="408"/>
      <c r="AX353" s="408"/>
      <c r="AY353" s="408"/>
      <c r="AZ353" s="408">
        <v>0</v>
      </c>
      <c r="BA353" s="408"/>
      <c r="BB353" s="408"/>
      <c r="BC353" s="408"/>
      <c r="BD353" s="408"/>
      <c r="BE353" s="408"/>
      <c r="BF353" s="408"/>
      <c r="BG353" s="408"/>
      <c r="BH353" s="408"/>
      <c r="BI353" s="408">
        <v>1.89</v>
      </c>
      <c r="BJ353" s="408">
        <v>16.899999999999999</v>
      </c>
      <c r="BK353" s="408">
        <v>1196.46</v>
      </c>
      <c r="BL353" s="408">
        <v>16</v>
      </c>
      <c r="BM353" s="408"/>
      <c r="BN353" s="408"/>
      <c r="BO353" s="408"/>
      <c r="BP353" s="408"/>
      <c r="BQ353" s="408"/>
      <c r="BR353" s="408"/>
      <c r="BS353" s="408"/>
      <c r="BT353" s="408"/>
      <c r="BU353" s="408"/>
      <c r="BV353" s="408"/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/>
      <c r="CJ353" s="408">
        <v>-0.03</v>
      </c>
      <c r="CK353" s="408"/>
      <c r="CL353" s="408"/>
      <c r="CM353" s="408"/>
      <c r="CN353" s="408"/>
      <c r="CO353" s="408">
        <v>0</v>
      </c>
      <c r="CP353" s="408">
        <v>0</v>
      </c>
      <c r="CQ353" s="408"/>
      <c r="CR353" s="408"/>
      <c r="CS353" s="408"/>
      <c r="CT353" s="408"/>
      <c r="CU353" s="408"/>
      <c r="CV353" s="408"/>
      <c r="CW353" s="408"/>
      <c r="CX353" s="408"/>
      <c r="CY353" s="408"/>
      <c r="CZ353" s="408"/>
      <c r="DA353" s="408"/>
      <c r="DB353" s="408"/>
      <c r="DC353" s="408"/>
      <c r="DD353" s="408"/>
      <c r="DE353" s="408"/>
      <c r="DF353" s="408"/>
      <c r="DG353" s="408"/>
      <c r="DH353" s="408"/>
      <c r="DI353" s="408"/>
      <c r="DJ353" s="408"/>
      <c r="DK353" s="408">
        <v>0</v>
      </c>
      <c r="DL353" s="408"/>
      <c r="DM353" s="408"/>
      <c r="DN353" s="408"/>
      <c r="DO353" s="408"/>
      <c r="DP353" s="408"/>
      <c r="DQ353" s="408"/>
      <c r="DR353" s="408"/>
      <c r="DS353" s="408"/>
      <c r="DT353" s="408"/>
      <c r="DU353" s="408"/>
      <c r="DV353" s="408"/>
      <c r="DW353" s="408"/>
      <c r="DX353" s="408"/>
      <c r="DY353" s="408"/>
      <c r="DZ353" s="408"/>
      <c r="EA353" s="408"/>
      <c r="EB353" s="408"/>
      <c r="EC353" s="408"/>
      <c r="ED353" s="408"/>
      <c r="EE353" s="408"/>
      <c r="EF353" s="408"/>
      <c r="EG353" s="408"/>
      <c r="EH353" s="408"/>
      <c r="EI353" s="408"/>
      <c r="EJ353" s="408"/>
      <c r="EK353" s="408"/>
      <c r="EL353" s="408"/>
      <c r="EM353" s="408"/>
      <c r="EN353" s="408"/>
      <c r="EO353" s="408"/>
      <c r="EP353" s="408"/>
      <c r="EQ353" s="408"/>
      <c r="ER353" s="408"/>
      <c r="ES353" s="408"/>
      <c r="ET353" s="408"/>
      <c r="EU353" s="408"/>
      <c r="EV353" s="408">
        <v>240</v>
      </c>
      <c r="EW353" s="408"/>
      <c r="EX353" s="408"/>
      <c r="EY353" s="408"/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352</v>
      </c>
      <c r="B354" s="408" t="s">
        <v>1036</v>
      </c>
      <c r="C354" s="408" t="s">
        <v>2316</v>
      </c>
      <c r="D354" s="408" t="s">
        <v>1955</v>
      </c>
      <c r="E354" s="408" t="s">
        <v>969</v>
      </c>
      <c r="F354" s="408" t="s">
        <v>969</v>
      </c>
      <c r="G354" s="408" t="s">
        <v>1322</v>
      </c>
      <c r="H354" s="408" t="s">
        <v>1322</v>
      </c>
      <c r="I354" s="408" t="s">
        <v>2317</v>
      </c>
      <c r="J354" s="408" t="s">
        <v>2236</v>
      </c>
      <c r="K354" s="826">
        <v>44531</v>
      </c>
      <c r="L354" s="408">
        <v>0</v>
      </c>
      <c r="M354" s="408">
        <v>0</v>
      </c>
      <c r="N354" s="408">
        <v>0.29399999999999998</v>
      </c>
      <c r="O354" s="408">
        <v>0.29399999999999998</v>
      </c>
      <c r="P354" s="408">
        <v>0.29399999999999998</v>
      </c>
      <c r="Q354" s="408">
        <v>0.29399999999999998</v>
      </c>
      <c r="R354" s="408"/>
      <c r="S354" s="408">
        <v>503.9</v>
      </c>
      <c r="T354" s="408">
        <v>173.25</v>
      </c>
      <c r="U354" s="408"/>
      <c r="V354" s="408">
        <v>199.08209999999997</v>
      </c>
      <c r="W354" s="408">
        <v>199.08209999999997</v>
      </c>
      <c r="X354" s="408">
        <v>181.71845999999999</v>
      </c>
      <c r="Y354" s="408">
        <v>0</v>
      </c>
      <c r="Z354" s="408">
        <v>18.094283860614897</v>
      </c>
      <c r="AA354" s="408">
        <v>0</v>
      </c>
      <c r="AB354" s="408">
        <v>0</v>
      </c>
      <c r="AC354" s="408">
        <v>1.1286226340284562</v>
      </c>
      <c r="AD354" s="408">
        <v>1.0843637922404199</v>
      </c>
      <c r="AE354" s="408">
        <v>103.87180033252378</v>
      </c>
      <c r="AF354" s="408">
        <v>50.080098352082018</v>
      </c>
      <c r="AG354" s="408">
        <v>0.8547266579791275</v>
      </c>
      <c r="AH354" s="408">
        <v>0</v>
      </c>
      <c r="AI354" s="408">
        <v>0</v>
      </c>
      <c r="AJ354" s="408">
        <v>0</v>
      </c>
      <c r="AK354" s="408">
        <v>0</v>
      </c>
      <c r="AL354" s="408">
        <v>2.7956549015336702</v>
      </c>
      <c r="AM354" s="408"/>
      <c r="AN354" s="408">
        <v>0.35510987402263966</v>
      </c>
      <c r="AO354" s="408">
        <v>2.3959011092264149</v>
      </c>
      <c r="AP354" s="408">
        <v>11.171594948413674</v>
      </c>
      <c r="AQ354" s="408">
        <v>0</v>
      </c>
      <c r="AR354" s="408">
        <v>0</v>
      </c>
      <c r="AS354" s="408">
        <v>0</v>
      </c>
      <c r="AT354" s="408">
        <v>0</v>
      </c>
      <c r="AU354" s="408">
        <v>0</v>
      </c>
      <c r="AV354" s="408">
        <v>0</v>
      </c>
      <c r="AW354" s="408">
        <v>0</v>
      </c>
      <c r="AX354" s="408">
        <v>0</v>
      </c>
      <c r="AY354" s="408">
        <v>0</v>
      </c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</v>
      </c>
      <c r="BF354" s="408">
        <v>0</v>
      </c>
      <c r="BG354" s="408">
        <v>2.628298796560578</v>
      </c>
      <c r="BH354" s="408">
        <v>0</v>
      </c>
      <c r="BI354" s="408">
        <v>0</v>
      </c>
      <c r="BJ354" s="408">
        <v>0</v>
      </c>
      <c r="BK354" s="408">
        <v>0</v>
      </c>
      <c r="BL354" s="408">
        <v>0</v>
      </c>
      <c r="BM354" s="408"/>
      <c r="BN354" s="408"/>
      <c r="BO354" s="408"/>
      <c r="BP354" s="408"/>
      <c r="BQ354" s="408"/>
      <c r="BR354" s="408"/>
      <c r="BS354" s="408"/>
      <c r="BT354" s="408"/>
      <c r="BU354" s="408"/>
      <c r="BV354" s="408">
        <v>52.708397148642597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179.24609999999998</v>
      </c>
      <c r="CJ354" s="408">
        <v>-19.865999999999957</v>
      </c>
      <c r="CK354" s="408"/>
      <c r="CL354" s="408"/>
      <c r="CM354" s="408"/>
      <c r="CN354" s="408"/>
      <c r="CO354" s="408">
        <v>-23.711099999999991</v>
      </c>
      <c r="CP354" s="408">
        <v>6.3474600000000008</v>
      </c>
      <c r="CQ354" s="408"/>
      <c r="CR354" s="408">
        <v>8.4393754435980526</v>
      </c>
      <c r="CS354" s="408">
        <v>0.23874642443325467</v>
      </c>
      <c r="CT354" s="408">
        <v>1.1132255579661852</v>
      </c>
      <c r="CU354" s="408">
        <v>0</v>
      </c>
      <c r="CV354" s="408">
        <v>0</v>
      </c>
      <c r="CW354" s="408">
        <v>0</v>
      </c>
      <c r="CX354" s="408">
        <v>0</v>
      </c>
      <c r="CY354" s="408">
        <v>0</v>
      </c>
      <c r="CZ354" s="408">
        <v>1.1165354161123779</v>
      </c>
      <c r="DA354" s="408">
        <v>0</v>
      </c>
      <c r="DB354" s="408">
        <v>0</v>
      </c>
      <c r="DC354" s="408">
        <v>6.3467433350598057</v>
      </c>
      <c r="DD354" s="408">
        <v>0</v>
      </c>
      <c r="DE354" s="408">
        <v>0</v>
      </c>
      <c r="DF354" s="408">
        <v>0</v>
      </c>
      <c r="DG354" s="408">
        <v>0.33308915953683504</v>
      </c>
      <c r="DH354" s="408">
        <v>0</v>
      </c>
      <c r="DI354" s="408">
        <v>-0.61442462221142691</v>
      </c>
      <c r="DJ354" s="408"/>
      <c r="DK354" s="408">
        <v>0</v>
      </c>
      <c r="DL354" s="408">
        <v>0</v>
      </c>
      <c r="DM354" s="408">
        <v>0</v>
      </c>
      <c r="DN354" s="408">
        <v>0</v>
      </c>
      <c r="DO354" s="408">
        <v>-8.4493261200911274E-2</v>
      </c>
      <c r="DP354" s="408">
        <v>-1.0046566098081688E-2</v>
      </c>
      <c r="DQ354" s="408">
        <v>0</v>
      </c>
      <c r="DR354" s="408">
        <v>0</v>
      </c>
      <c r="DS354" s="408"/>
      <c r="DT354" s="408"/>
      <c r="DU354" s="408"/>
      <c r="DV354" s="408">
        <v>103.87180033252378</v>
      </c>
      <c r="DW354" s="408">
        <v>0</v>
      </c>
      <c r="DX354" s="408">
        <v>0</v>
      </c>
      <c r="DY354" s="408">
        <v>-23.711099999999988</v>
      </c>
      <c r="DZ354" s="408">
        <v>6.3474599999999981</v>
      </c>
      <c r="EA354" s="408">
        <v>0</v>
      </c>
      <c r="EB354" s="408">
        <v>0</v>
      </c>
      <c r="EC354" s="408">
        <v>-25.803517134880622</v>
      </c>
      <c r="ED354" s="408">
        <v>0</v>
      </c>
      <c r="EE354" s="408">
        <v>0</v>
      </c>
      <c r="EF354" s="408">
        <v>0</v>
      </c>
      <c r="EG354" s="408">
        <v>0</v>
      </c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>
        <v>0</v>
      </c>
      <c r="EN354" s="408">
        <v>0</v>
      </c>
      <c r="EO354" s="408">
        <v>0</v>
      </c>
      <c r="EP354" s="408">
        <v>4.6209573851406374</v>
      </c>
      <c r="EQ354" s="408">
        <v>0</v>
      </c>
      <c r="ER354" s="408">
        <v>0</v>
      </c>
      <c r="ES354" s="408">
        <v>0</v>
      </c>
      <c r="ET354" s="408">
        <v>0</v>
      </c>
      <c r="EU354" s="408">
        <v>0</v>
      </c>
      <c r="EV354" s="408">
        <v>240</v>
      </c>
      <c r="EW354" s="408">
        <v>0</v>
      </c>
      <c r="EX354" s="408">
        <v>0</v>
      </c>
      <c r="EY354" s="408">
        <v>0</v>
      </c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353</v>
      </c>
      <c r="B355" s="408" t="s">
        <v>1036</v>
      </c>
      <c r="C355" s="408" t="s">
        <v>2235</v>
      </c>
      <c r="D355" s="408" t="s">
        <v>1958</v>
      </c>
      <c r="E355" s="408" t="s">
        <v>970</v>
      </c>
      <c r="F355" s="408" t="s">
        <v>1322</v>
      </c>
      <c r="G355" s="408" t="s">
        <v>1322</v>
      </c>
      <c r="H355" s="408" t="s">
        <v>1322</v>
      </c>
      <c r="I355" s="408" t="s">
        <v>1322</v>
      </c>
      <c r="J355" s="408" t="s">
        <v>2236</v>
      </c>
      <c r="K355" s="826">
        <v>44531</v>
      </c>
      <c r="L355" s="408">
        <v>0</v>
      </c>
      <c r="M355" s="408">
        <v>0</v>
      </c>
      <c r="N355" s="408">
        <v>479.33699999999999</v>
      </c>
      <c r="O355" s="408">
        <v>479.33699999999999</v>
      </c>
      <c r="P355" s="408">
        <v>479.33699999999999</v>
      </c>
      <c r="Q355" s="408">
        <v>479.33699999999999</v>
      </c>
      <c r="R355" s="408"/>
      <c r="S355" s="408">
        <v>368.24</v>
      </c>
      <c r="T355" s="408">
        <v>173.25</v>
      </c>
      <c r="U355" s="408"/>
      <c r="V355" s="408">
        <v>259556.19212999998</v>
      </c>
      <c r="W355" s="408">
        <v>259556.19212999998</v>
      </c>
      <c r="X355" s="408">
        <v>243929.80593</v>
      </c>
      <c r="Y355" s="408">
        <v>0</v>
      </c>
      <c r="Z355" s="408">
        <v>29500.883479236607</v>
      </c>
      <c r="AA355" s="408">
        <v>0</v>
      </c>
      <c r="AB355" s="408">
        <v>0</v>
      </c>
      <c r="AC355" s="408">
        <v>1226.8809618698776</v>
      </c>
      <c r="AD355" s="408">
        <v>1178.7574909720649</v>
      </c>
      <c r="AE355" s="408">
        <v>112901.64967984341</v>
      </c>
      <c r="AF355" s="408">
        <v>81650.490148952173</v>
      </c>
      <c r="AG355" s="408">
        <v>1393.5445988290512</v>
      </c>
      <c r="AH355" s="408">
        <v>0</v>
      </c>
      <c r="AI355" s="408">
        <v>0</v>
      </c>
      <c r="AJ355" s="408">
        <v>0</v>
      </c>
      <c r="AK355" s="408">
        <v>0</v>
      </c>
      <c r="AL355" s="408">
        <v>4558.0300460423296</v>
      </c>
      <c r="AM355" s="408"/>
      <c r="AN355" s="408">
        <v>578.97041389248307</v>
      </c>
      <c r="AO355" s="408">
        <v>2604.4275216697565</v>
      </c>
      <c r="AP355" s="408">
        <v>12144.06131026123</v>
      </c>
      <c r="AQ355" s="408">
        <v>0</v>
      </c>
      <c r="AR355" s="408">
        <v>0</v>
      </c>
      <c r="AS355" s="408">
        <v>0</v>
      </c>
      <c r="AT355" s="408">
        <v>0</v>
      </c>
      <c r="AU355" s="408">
        <v>0</v>
      </c>
      <c r="AV355" s="408">
        <v>0</v>
      </c>
      <c r="AW355" s="408">
        <v>0</v>
      </c>
      <c r="AX355" s="408">
        <v>0</v>
      </c>
      <c r="AY355" s="408">
        <v>0</v>
      </c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>
        <v>0</v>
      </c>
      <c r="BG355" s="408">
        <v>4285.1729940372716</v>
      </c>
      <c r="BH355" s="408">
        <v>0</v>
      </c>
      <c r="BI355" s="408">
        <v>218.48</v>
      </c>
      <c r="BJ355" s="408">
        <v>1884.57</v>
      </c>
      <c r="BK355" s="408">
        <v>67469.03</v>
      </c>
      <c r="BL355" s="408">
        <v>284</v>
      </c>
      <c r="BM355" s="408"/>
      <c r="BN355" s="408"/>
      <c r="BO355" s="408"/>
      <c r="BP355" s="408"/>
      <c r="BQ355" s="408"/>
      <c r="BR355" s="408"/>
      <c r="BS355" s="408"/>
      <c r="BT355" s="408"/>
      <c r="BU355" s="408"/>
      <c r="BV355" s="408">
        <v>85935.663142989448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243931.33259999997</v>
      </c>
      <c r="CJ355" s="408">
        <v>-15624.889530000044</v>
      </c>
      <c r="CK355" s="408"/>
      <c r="CL355" s="408"/>
      <c r="CM355" s="408"/>
      <c r="CN355" s="408"/>
      <c r="CO355" s="408">
        <v>-25975.27203</v>
      </c>
      <c r="CP355" s="408">
        <v>10348.885830000001</v>
      </c>
      <c r="CQ355" s="408"/>
      <c r="CR355" s="408">
        <v>12418.276112993539</v>
      </c>
      <c r="CS355" s="408">
        <v>259.5256357199919</v>
      </c>
      <c r="CT355" s="408">
        <v>1210.1297523332596</v>
      </c>
      <c r="CU355" s="408">
        <v>0</v>
      </c>
      <c r="CV355" s="408">
        <v>0</v>
      </c>
      <c r="CW355" s="408">
        <v>0</v>
      </c>
      <c r="CX355" s="408">
        <v>0</v>
      </c>
      <c r="CY355" s="408">
        <v>0</v>
      </c>
      <c r="CZ355" s="408">
        <v>1213.7296496767119</v>
      </c>
      <c r="DA355" s="408">
        <v>0</v>
      </c>
      <c r="DB355" s="408">
        <v>0</v>
      </c>
      <c r="DC355" s="408">
        <v>10347.717380944086</v>
      </c>
      <c r="DD355" s="408">
        <v>0</v>
      </c>
      <c r="DE355" s="408">
        <v>0</v>
      </c>
      <c r="DF355" s="408">
        <v>0</v>
      </c>
      <c r="DG355" s="408">
        <v>543.06788593506008</v>
      </c>
      <c r="DH355" s="408">
        <v>0</v>
      </c>
      <c r="DI355" s="408">
        <v>-1001.7566501257061</v>
      </c>
      <c r="DJ355" s="408"/>
      <c r="DK355" s="408">
        <v>0</v>
      </c>
      <c r="DL355" s="408">
        <v>0</v>
      </c>
      <c r="DM355" s="408">
        <v>0</v>
      </c>
      <c r="DN355" s="408">
        <v>0</v>
      </c>
      <c r="DO355" s="408">
        <v>-137.75764062673898</v>
      </c>
      <c r="DP355" s="408">
        <v>-16.379900863116177</v>
      </c>
      <c r="DQ355" s="408">
        <v>0</v>
      </c>
      <c r="DR355" s="408">
        <v>0</v>
      </c>
      <c r="DS355" s="408"/>
      <c r="DT355" s="408"/>
      <c r="DU355" s="408"/>
      <c r="DV355" s="408">
        <v>112901.64967984341</v>
      </c>
      <c r="DW355" s="408">
        <v>0</v>
      </c>
      <c r="DX355" s="408">
        <v>0</v>
      </c>
      <c r="DY355" s="408">
        <v>-25975.272029999993</v>
      </c>
      <c r="DZ355" s="408">
        <v>10348.885830000014</v>
      </c>
      <c r="EA355" s="408">
        <v>0</v>
      </c>
      <c r="EB355" s="408">
        <v>0</v>
      </c>
      <c r="EC355" s="408">
        <v>-28046.684882171685</v>
      </c>
      <c r="ED355" s="408">
        <v>0</v>
      </c>
      <c r="EE355" s="408">
        <v>0</v>
      </c>
      <c r="EF355" s="408">
        <v>0</v>
      </c>
      <c r="EG355" s="408">
        <v>0</v>
      </c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>
        <v>0</v>
      </c>
      <c r="EN355" s="408">
        <v>0</v>
      </c>
      <c r="EO355" s="408">
        <v>0</v>
      </c>
      <c r="EP355" s="408">
        <v>7533.9994902080198</v>
      </c>
      <c r="EQ355" s="408">
        <v>0</v>
      </c>
      <c r="ER355" s="408">
        <v>0</v>
      </c>
      <c r="ES355" s="408">
        <v>0</v>
      </c>
      <c r="ET355" s="408">
        <v>0</v>
      </c>
      <c r="EU355" s="408">
        <v>0</v>
      </c>
      <c r="EV355" s="408">
        <v>240</v>
      </c>
      <c r="EW355" s="408">
        <v>0</v>
      </c>
      <c r="EX355" s="408">
        <v>0</v>
      </c>
      <c r="EY355" s="408">
        <v>0</v>
      </c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354</v>
      </c>
      <c r="B356" s="408" t="s">
        <v>2238</v>
      </c>
      <c r="C356" s="408" t="s">
        <v>2235</v>
      </c>
      <c r="D356" s="408" t="s">
        <v>1958</v>
      </c>
      <c r="E356" s="408" t="s">
        <v>970</v>
      </c>
      <c r="F356" s="408" t="s">
        <v>1322</v>
      </c>
      <c r="G356" s="408" t="s">
        <v>1322</v>
      </c>
      <c r="H356" s="408" t="s">
        <v>1322</v>
      </c>
      <c r="I356" s="408" t="s">
        <v>1322</v>
      </c>
      <c r="J356" s="408" t="s">
        <v>2236</v>
      </c>
      <c r="K356" s="826">
        <v>44531</v>
      </c>
      <c r="L356" s="408">
        <v>0</v>
      </c>
      <c r="M356" s="408">
        <v>0</v>
      </c>
      <c r="N356" s="408">
        <v>36.176000000000002</v>
      </c>
      <c r="O356" s="408">
        <v>36.176000000000002</v>
      </c>
      <c r="P356" s="408">
        <v>36.176000000000002</v>
      </c>
      <c r="Q356" s="408">
        <v>36.176000000000002</v>
      </c>
      <c r="R356" s="408"/>
      <c r="S356" s="408">
        <v>368.24</v>
      </c>
      <c r="T356" s="408">
        <v>173.25</v>
      </c>
      <c r="U356" s="408"/>
      <c r="V356" s="408">
        <v>19588.942240000004</v>
      </c>
      <c r="W356" s="408">
        <v>19588.942240000004</v>
      </c>
      <c r="X356" s="408">
        <v>18409.604640000001</v>
      </c>
      <c r="Y356" s="408">
        <v>0</v>
      </c>
      <c r="Z356" s="408">
        <v>2226.4585474204237</v>
      </c>
      <c r="AA356" s="408">
        <v>0</v>
      </c>
      <c r="AB356" s="408">
        <v>0</v>
      </c>
      <c r="AC356" s="408">
        <v>92.59382371192855</v>
      </c>
      <c r="AD356" s="408">
        <v>88.961901529415471</v>
      </c>
      <c r="AE356" s="408">
        <v>8520.7903391935433</v>
      </c>
      <c r="AF356" s="408">
        <v>6162.2368638942835</v>
      </c>
      <c r="AG356" s="408">
        <v>105.17208020086028</v>
      </c>
      <c r="AH356" s="408">
        <v>0</v>
      </c>
      <c r="AI356" s="408">
        <v>0</v>
      </c>
      <c r="AJ356" s="408">
        <v>0</v>
      </c>
      <c r="AK356" s="408">
        <v>0</v>
      </c>
      <c r="AL356" s="408">
        <v>343.99867931252402</v>
      </c>
      <c r="AM356" s="408"/>
      <c r="AN356" s="408">
        <v>43.695424498785755</v>
      </c>
      <c r="AO356" s="408">
        <v>196.55851733524662</v>
      </c>
      <c r="AP356" s="408">
        <v>916.52336865297343</v>
      </c>
      <c r="AQ356" s="408">
        <v>0</v>
      </c>
      <c r="AR356" s="408">
        <v>0</v>
      </c>
      <c r="AS356" s="408">
        <v>0</v>
      </c>
      <c r="AT356" s="408">
        <v>0</v>
      </c>
      <c r="AU356" s="408">
        <v>0</v>
      </c>
      <c r="AV356" s="408">
        <v>0</v>
      </c>
      <c r="AW356" s="408">
        <v>0</v>
      </c>
      <c r="AX356" s="408">
        <v>0</v>
      </c>
      <c r="AY356" s="408">
        <v>0</v>
      </c>
      <c r="AZ356" s="408">
        <v>0</v>
      </c>
      <c r="BA356" s="408"/>
      <c r="BB356" s="408">
        <v>0</v>
      </c>
      <c r="BC356" s="408">
        <v>0</v>
      </c>
      <c r="BD356" s="408">
        <v>0</v>
      </c>
      <c r="BE356" s="408">
        <v>0</v>
      </c>
      <c r="BF356" s="408">
        <v>0</v>
      </c>
      <c r="BG356" s="408">
        <v>323.40590906250162</v>
      </c>
      <c r="BH356" s="408">
        <v>0</v>
      </c>
      <c r="BI356" s="408">
        <v>17.13</v>
      </c>
      <c r="BJ356" s="408">
        <v>149.06</v>
      </c>
      <c r="BK356" s="408">
        <v>10508.52</v>
      </c>
      <c r="BL356" s="408">
        <v>48</v>
      </c>
      <c r="BM356" s="408"/>
      <c r="BN356" s="408"/>
      <c r="BO356" s="408"/>
      <c r="BP356" s="408"/>
      <c r="BQ356" s="408"/>
      <c r="BR356" s="408"/>
      <c r="BS356" s="408"/>
      <c r="BT356" s="408"/>
      <c r="BU356" s="408"/>
      <c r="BV356" s="408">
        <v>6485.6427729567849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18411.640200000002</v>
      </c>
      <c r="CJ356" s="408">
        <v>-1177.3320399999975</v>
      </c>
      <c r="CK356" s="408"/>
      <c r="CL356" s="408"/>
      <c r="CM356" s="408"/>
      <c r="CN356" s="408"/>
      <c r="CO356" s="408">
        <v>-1960.37744</v>
      </c>
      <c r="CP356" s="408">
        <v>781.03984000000014</v>
      </c>
      <c r="CQ356" s="408"/>
      <c r="CR356" s="408">
        <v>937.21860958710386</v>
      </c>
      <c r="CS356" s="408">
        <v>19.586636119904028</v>
      </c>
      <c r="CT356" s="408">
        <v>91.329594670154734</v>
      </c>
      <c r="CU356" s="408">
        <v>0</v>
      </c>
      <c r="CV356" s="408">
        <v>0</v>
      </c>
      <c r="CW356" s="408">
        <v>0</v>
      </c>
      <c r="CX356" s="408">
        <v>0</v>
      </c>
      <c r="CY356" s="408">
        <v>0</v>
      </c>
      <c r="CZ356" s="408">
        <v>91.601282201675915</v>
      </c>
      <c r="DA356" s="408">
        <v>0</v>
      </c>
      <c r="DB356" s="408">
        <v>0</v>
      </c>
      <c r="DC356" s="408">
        <v>780.95165608545358</v>
      </c>
      <c r="DD356" s="408">
        <v>0</v>
      </c>
      <c r="DE356" s="408">
        <v>0</v>
      </c>
      <c r="DF356" s="408">
        <v>0</v>
      </c>
      <c r="DG356" s="408">
        <v>40.985828011580054</v>
      </c>
      <c r="DH356" s="408">
        <v>0</v>
      </c>
      <c r="DI356" s="408">
        <v>-75.603486847348904</v>
      </c>
      <c r="DJ356" s="408"/>
      <c r="DK356" s="408">
        <v>0</v>
      </c>
      <c r="DL356" s="408">
        <v>0</v>
      </c>
      <c r="DM356" s="408">
        <v>0</v>
      </c>
      <c r="DN356" s="408">
        <v>0</v>
      </c>
      <c r="DO356" s="408">
        <v>-10.39669461634071</v>
      </c>
      <c r="DP356" s="408">
        <v>-1.2362060379734743</v>
      </c>
      <c r="DQ356" s="408">
        <v>0</v>
      </c>
      <c r="DR356" s="408">
        <v>0</v>
      </c>
      <c r="DS356" s="408"/>
      <c r="DT356" s="408"/>
      <c r="DU356" s="408"/>
      <c r="DV356" s="408">
        <v>8520.7903391935433</v>
      </c>
      <c r="DW356" s="408">
        <v>0</v>
      </c>
      <c r="DX356" s="408">
        <v>0</v>
      </c>
      <c r="DY356" s="408">
        <v>-1960.3774400000002</v>
      </c>
      <c r="DZ356" s="408">
        <v>781.03984000000037</v>
      </c>
      <c r="EA356" s="408">
        <v>0</v>
      </c>
      <c r="EB356" s="408">
        <v>0</v>
      </c>
      <c r="EC356" s="408">
        <v>-2116.7088547252624</v>
      </c>
      <c r="ED356" s="408">
        <v>0</v>
      </c>
      <c r="EE356" s="408">
        <v>0</v>
      </c>
      <c r="EF356" s="408">
        <v>0</v>
      </c>
      <c r="EG356" s="408">
        <v>0</v>
      </c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>
        <v>0</v>
      </c>
      <c r="EN356" s="408">
        <v>0</v>
      </c>
      <c r="EO356" s="408">
        <v>0</v>
      </c>
      <c r="EP356" s="408">
        <v>568.59780396206713</v>
      </c>
      <c r="EQ356" s="408">
        <v>0</v>
      </c>
      <c r="ER356" s="408">
        <v>0</v>
      </c>
      <c r="ES356" s="408">
        <v>0</v>
      </c>
      <c r="ET356" s="408">
        <v>0</v>
      </c>
      <c r="EU356" s="408">
        <v>0</v>
      </c>
      <c r="EV356" s="408">
        <v>240</v>
      </c>
      <c r="EW356" s="408">
        <v>0</v>
      </c>
      <c r="EX356" s="408">
        <v>0</v>
      </c>
      <c r="EY356" s="408">
        <v>0</v>
      </c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355</v>
      </c>
      <c r="B357" s="408" t="s">
        <v>1036</v>
      </c>
      <c r="C357" s="408" t="s">
        <v>2247</v>
      </c>
      <c r="D357" s="408" t="s">
        <v>597</v>
      </c>
      <c r="E357" s="408" t="s">
        <v>970</v>
      </c>
      <c r="F357" s="408" t="s">
        <v>1322</v>
      </c>
      <c r="G357" s="408" t="s">
        <v>1322</v>
      </c>
      <c r="H357" s="408" t="s">
        <v>1322</v>
      </c>
      <c r="I357" s="408" t="s">
        <v>973</v>
      </c>
      <c r="J357" s="408" t="s">
        <v>2236</v>
      </c>
      <c r="K357" s="826">
        <v>44531</v>
      </c>
      <c r="L357" s="408">
        <v>10052</v>
      </c>
      <c r="M357" s="408">
        <v>10052</v>
      </c>
      <c r="N357" s="408">
        <v>514.83100000000002</v>
      </c>
      <c r="O357" s="408">
        <v>514.83100000000002</v>
      </c>
      <c r="P357" s="408">
        <v>514.83100000000002</v>
      </c>
      <c r="Q357" s="408">
        <v>514.83100000000002</v>
      </c>
      <c r="R357" s="408">
        <v>52.95</v>
      </c>
      <c r="S357" s="408">
        <v>85.01</v>
      </c>
      <c r="T357" s="408">
        <v>173.25</v>
      </c>
      <c r="U357" s="408">
        <v>532253.4</v>
      </c>
      <c r="V357" s="408">
        <v>132960.25406000001</v>
      </c>
      <c r="W357" s="408">
        <v>665213.65405999997</v>
      </c>
      <c r="X357" s="408">
        <v>588268.95476999995</v>
      </c>
      <c r="Y357" s="408">
        <v>0</v>
      </c>
      <c r="Z357" s="408">
        <v>27566.270344192082</v>
      </c>
      <c r="AA357" s="408">
        <v>0</v>
      </c>
      <c r="AB357" s="408">
        <v>0</v>
      </c>
      <c r="AC357" s="408">
        <v>7917.6211797509804</v>
      </c>
      <c r="AD357" s="408">
        <v>7606.8686208515546</v>
      </c>
      <c r="AE357" s="408">
        <v>421517.69301633735</v>
      </c>
      <c r="AF357" s="408">
        <v>87696.554811907277</v>
      </c>
      <c r="AG357" s="408">
        <v>1496.7339457620824</v>
      </c>
      <c r="AH357" s="408">
        <v>0</v>
      </c>
      <c r="AI357" s="408">
        <v>0</v>
      </c>
      <c r="AJ357" s="408">
        <v>0</v>
      </c>
      <c r="AK357" s="408">
        <v>0</v>
      </c>
      <c r="AL357" s="408">
        <v>4895.5435667057181</v>
      </c>
      <c r="AM357" s="408"/>
      <c r="AN357" s="408">
        <v>412.28378354077694</v>
      </c>
      <c r="AO357" s="408">
        <v>16807.455472340604</v>
      </c>
      <c r="AP357" s="408">
        <v>78369.663245488831</v>
      </c>
      <c r="AQ357" s="408">
        <v>0</v>
      </c>
      <c r="AR357" s="408">
        <v>0</v>
      </c>
      <c r="AS357" s="408">
        <v>0</v>
      </c>
      <c r="AT357" s="408">
        <v>0</v>
      </c>
      <c r="AU357" s="408">
        <v>0</v>
      </c>
      <c r="AV357" s="408">
        <v>0</v>
      </c>
      <c r="AW357" s="408">
        <v>0</v>
      </c>
      <c r="AX357" s="408">
        <v>0</v>
      </c>
      <c r="AY357" s="408">
        <v>0</v>
      </c>
      <c r="AZ357" s="408">
        <v>0</v>
      </c>
      <c r="BA357" s="408"/>
      <c r="BB357" s="408">
        <v>0</v>
      </c>
      <c r="BC357" s="408">
        <v>0</v>
      </c>
      <c r="BD357" s="408">
        <v>0</v>
      </c>
      <c r="BE357" s="408">
        <v>0</v>
      </c>
      <c r="BF357" s="408">
        <v>0</v>
      </c>
      <c r="BG357" s="408">
        <v>3850.2442472851089</v>
      </c>
      <c r="BH357" s="408">
        <v>0</v>
      </c>
      <c r="BI357" s="408">
        <v>0</v>
      </c>
      <c r="BJ357" s="408">
        <v>0</v>
      </c>
      <c r="BK357" s="408">
        <v>0</v>
      </c>
      <c r="BL357" s="408">
        <v>0</v>
      </c>
      <c r="BM357" s="408"/>
      <c r="BN357" s="408"/>
      <c r="BO357" s="408"/>
      <c r="BP357" s="408"/>
      <c r="BQ357" s="408"/>
      <c r="BR357" s="408"/>
      <c r="BS357" s="408"/>
      <c r="BT357" s="408"/>
      <c r="BU357" s="408"/>
      <c r="BV357" s="408">
        <v>91546.799059192388</v>
      </c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>
        <v>588268.67610000004</v>
      </c>
      <c r="CJ357" s="408">
        <v>-76945.007959999959</v>
      </c>
      <c r="CK357" s="408"/>
      <c r="CL357" s="408"/>
      <c r="CM357" s="408"/>
      <c r="CN357" s="408"/>
      <c r="CO357" s="408">
        <v>-88059.90058000003</v>
      </c>
      <c r="CP357" s="408">
        <v>11115.201290000003</v>
      </c>
      <c r="CQ357" s="408"/>
      <c r="CR357" s="408">
        <v>27822.959827398299</v>
      </c>
      <c r="CS357" s="408">
        <v>1674.8270128470213</v>
      </c>
      <c r="CT357" s="408">
        <v>7809.3694317542395</v>
      </c>
      <c r="CU357" s="408">
        <v>0</v>
      </c>
      <c r="CV357" s="408">
        <v>0</v>
      </c>
      <c r="CW357" s="408">
        <v>0</v>
      </c>
      <c r="CX357" s="408">
        <v>0</v>
      </c>
      <c r="CY357" s="408">
        <v>0</v>
      </c>
      <c r="CZ357" s="408">
        <v>7832.5542421021446</v>
      </c>
      <c r="DA357" s="408">
        <v>0</v>
      </c>
      <c r="DB357" s="408">
        <v>0</v>
      </c>
      <c r="DC357" s="408">
        <v>11113.94631949719</v>
      </c>
      <c r="DD357" s="408">
        <v>0</v>
      </c>
      <c r="DE357" s="408">
        <v>0</v>
      </c>
      <c r="DF357" s="408">
        <v>0</v>
      </c>
      <c r="DG357" s="408">
        <v>487.94856278058796</v>
      </c>
      <c r="DH357" s="408">
        <v>0</v>
      </c>
      <c r="DI357" s="408">
        <v>-936.06330996469114</v>
      </c>
      <c r="DJ357" s="408"/>
      <c r="DK357" s="408">
        <v>0</v>
      </c>
      <c r="DL357" s="408">
        <v>0</v>
      </c>
      <c r="DM357" s="408">
        <v>0</v>
      </c>
      <c r="DN357" s="408">
        <v>0</v>
      </c>
      <c r="DO357" s="408">
        <v>-147.95833386845698</v>
      </c>
      <c r="DP357" s="408">
        <v>-11.664097749773305</v>
      </c>
      <c r="DQ357" s="408">
        <v>0</v>
      </c>
      <c r="DR357" s="408">
        <v>0</v>
      </c>
      <c r="DS357" s="408"/>
      <c r="DT357" s="408"/>
      <c r="DU357" s="408">
        <v>421517.69301633735</v>
      </c>
      <c r="DV357" s="408">
        <v>0</v>
      </c>
      <c r="DW357" s="408">
        <v>0</v>
      </c>
      <c r="DX357" s="408">
        <v>0</v>
      </c>
      <c r="DY357" s="408">
        <v>-88059.900580000016</v>
      </c>
      <c r="DZ357" s="408">
        <v>11115.201289999997</v>
      </c>
      <c r="EA357" s="408">
        <v>0</v>
      </c>
      <c r="EB357" s="408">
        <v>0</v>
      </c>
      <c r="EC357" s="408">
        <v>-104712.14496699831</v>
      </c>
      <c r="ED357" s="408">
        <v>0</v>
      </c>
      <c r="EE357" s="408">
        <v>0</v>
      </c>
      <c r="EF357" s="408">
        <v>0</v>
      </c>
      <c r="EG357" s="408">
        <v>0</v>
      </c>
      <c r="EH357" s="408">
        <v>0</v>
      </c>
      <c r="EI357" s="408">
        <v>0</v>
      </c>
      <c r="EJ357" s="408">
        <v>0</v>
      </c>
      <c r="EK357" s="408">
        <v>0</v>
      </c>
      <c r="EL357" s="408">
        <v>0</v>
      </c>
      <c r="EM357" s="408">
        <v>0</v>
      </c>
      <c r="EN357" s="408">
        <v>0</v>
      </c>
      <c r="EO357" s="408">
        <v>0</v>
      </c>
      <c r="EP357" s="408">
        <v>7039.9337994827565</v>
      </c>
      <c r="EQ357" s="408">
        <v>0</v>
      </c>
      <c r="ER357" s="408">
        <v>0</v>
      </c>
      <c r="ES357" s="408">
        <v>0</v>
      </c>
      <c r="ET357" s="408">
        <v>0</v>
      </c>
      <c r="EU357" s="408">
        <v>0</v>
      </c>
      <c r="EV357" s="408">
        <v>240</v>
      </c>
      <c r="EW357" s="408">
        <v>0</v>
      </c>
      <c r="EX357" s="408">
        <v>0</v>
      </c>
      <c r="EY357" s="408">
        <v>0</v>
      </c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356</v>
      </c>
      <c r="B358" s="408" t="s">
        <v>1036</v>
      </c>
      <c r="C358" s="408" t="s">
        <v>2247</v>
      </c>
      <c r="D358" s="408" t="s">
        <v>597</v>
      </c>
      <c r="E358" s="408" t="s">
        <v>970</v>
      </c>
      <c r="F358" s="408" t="s">
        <v>1322</v>
      </c>
      <c r="G358" s="408" t="s">
        <v>1322</v>
      </c>
      <c r="H358" s="408" t="s">
        <v>1322</v>
      </c>
      <c r="I358" s="408" t="s">
        <v>2244</v>
      </c>
      <c r="J358" s="408" t="s">
        <v>2236</v>
      </c>
      <c r="K358" s="826">
        <v>44531</v>
      </c>
      <c r="L358" s="408">
        <v>10988</v>
      </c>
      <c r="M358" s="408">
        <v>10988</v>
      </c>
      <c r="N358" s="408">
        <v>4458.8580000000002</v>
      </c>
      <c r="O358" s="408">
        <v>4458.8580000000002</v>
      </c>
      <c r="P358" s="408">
        <v>4458.8580000000002</v>
      </c>
      <c r="Q358" s="408">
        <v>4458.8580000000002</v>
      </c>
      <c r="R358" s="408">
        <v>27.19</v>
      </c>
      <c r="S358" s="408">
        <v>85.01</v>
      </c>
      <c r="T358" s="408">
        <v>173.25</v>
      </c>
      <c r="U358" s="408">
        <v>298763.72000000003</v>
      </c>
      <c r="V358" s="408">
        <v>1151544.66708</v>
      </c>
      <c r="W358" s="408">
        <v>1450308.3870800002</v>
      </c>
      <c r="X358" s="408">
        <v>1481648.83886</v>
      </c>
      <c r="Y358" s="408">
        <v>0</v>
      </c>
      <c r="Z358" s="408">
        <v>238746.47224888092</v>
      </c>
      <c r="AA358" s="408">
        <v>0</v>
      </c>
      <c r="AB358" s="408">
        <v>0</v>
      </c>
      <c r="AC358" s="408">
        <v>2562.4083403420732</v>
      </c>
      <c r="AD358" s="408">
        <v>2461.694815002219</v>
      </c>
      <c r="AE358" s="408">
        <v>262965.14831183659</v>
      </c>
      <c r="AF358" s="408">
        <v>759523.96999308758</v>
      </c>
      <c r="AG358" s="408">
        <v>12962.941485522098</v>
      </c>
      <c r="AH358" s="408">
        <v>0</v>
      </c>
      <c r="AI358" s="408">
        <v>0</v>
      </c>
      <c r="AJ358" s="408">
        <v>0</v>
      </c>
      <c r="AK358" s="408">
        <v>0</v>
      </c>
      <c r="AL358" s="408">
        <v>42399.415724294624</v>
      </c>
      <c r="AM358" s="408"/>
      <c r="AN358" s="408">
        <v>3570.7151405239033</v>
      </c>
      <c r="AO358" s="408">
        <v>5437.7945240220188</v>
      </c>
      <c r="AP358" s="408">
        <v>25361.280207010252</v>
      </c>
      <c r="AQ358" s="408">
        <v>0</v>
      </c>
      <c r="AR358" s="408">
        <v>0</v>
      </c>
      <c r="AS358" s="408">
        <v>0</v>
      </c>
      <c r="AT358" s="408">
        <v>0</v>
      </c>
      <c r="AU358" s="408">
        <v>0</v>
      </c>
      <c r="AV358" s="408">
        <v>0</v>
      </c>
      <c r="AW358" s="408">
        <v>0</v>
      </c>
      <c r="AX358" s="408">
        <v>0</v>
      </c>
      <c r="AY358" s="408">
        <v>0</v>
      </c>
      <c r="AZ358" s="408">
        <v>0</v>
      </c>
      <c r="BA358" s="408"/>
      <c r="BB358" s="408">
        <v>0</v>
      </c>
      <c r="BC358" s="408">
        <v>0</v>
      </c>
      <c r="BD358" s="408">
        <v>0</v>
      </c>
      <c r="BE358" s="408">
        <v>0</v>
      </c>
      <c r="BF358" s="408">
        <v>0</v>
      </c>
      <c r="BG358" s="408">
        <v>33346.267734385045</v>
      </c>
      <c r="BH358" s="408">
        <v>0</v>
      </c>
      <c r="BI358" s="408">
        <v>0</v>
      </c>
      <c r="BJ358" s="408">
        <v>0</v>
      </c>
      <c r="BK358" s="408">
        <v>0</v>
      </c>
      <c r="BL358" s="408">
        <v>0</v>
      </c>
      <c r="BM358" s="408"/>
      <c r="BN358" s="408"/>
      <c r="BO358" s="408"/>
      <c r="BP358" s="408"/>
      <c r="BQ358" s="408"/>
      <c r="BR358" s="408"/>
      <c r="BS358" s="408"/>
      <c r="BT358" s="408"/>
      <c r="BU358" s="408"/>
      <c r="BV358" s="408">
        <v>792870.23772747268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1481649.3961999998</v>
      </c>
      <c r="CJ358" s="408">
        <v>31340.979119999567</v>
      </c>
      <c r="CK358" s="408"/>
      <c r="CL358" s="408"/>
      <c r="CM358" s="408"/>
      <c r="CN358" s="408"/>
      <c r="CO358" s="408">
        <v>-64926.292440000027</v>
      </c>
      <c r="CP358" s="408">
        <v>96266.744220000022</v>
      </c>
      <c r="CQ358" s="408"/>
      <c r="CR358" s="408">
        <v>96596.165542988339</v>
      </c>
      <c r="CS358" s="408">
        <v>541.86460134498884</v>
      </c>
      <c r="CT358" s="408">
        <v>2527.1973643472338</v>
      </c>
      <c r="CU358" s="408">
        <v>0</v>
      </c>
      <c r="CV358" s="408">
        <v>0</v>
      </c>
      <c r="CW358" s="408">
        <v>0</v>
      </c>
      <c r="CX358" s="408">
        <v>0</v>
      </c>
      <c r="CY358" s="408">
        <v>0</v>
      </c>
      <c r="CZ358" s="408">
        <v>2534.7300087651656</v>
      </c>
      <c r="DA358" s="408">
        <v>0</v>
      </c>
      <c r="DB358" s="408">
        <v>0</v>
      </c>
      <c r="DC358" s="408">
        <v>96255.875147884712</v>
      </c>
      <c r="DD358" s="408">
        <v>0</v>
      </c>
      <c r="DE358" s="408">
        <v>0</v>
      </c>
      <c r="DF358" s="408">
        <v>0</v>
      </c>
      <c r="DG358" s="408">
        <v>4226.0340825294625</v>
      </c>
      <c r="DH358" s="408">
        <v>0</v>
      </c>
      <c r="DI358" s="408">
        <v>-8107.0747063454473</v>
      </c>
      <c r="DJ358" s="408"/>
      <c r="DK358" s="408">
        <v>0</v>
      </c>
      <c r="DL358" s="408">
        <v>0</v>
      </c>
      <c r="DM358" s="408">
        <v>0</v>
      </c>
      <c r="DN358" s="408">
        <v>0</v>
      </c>
      <c r="DO358" s="408">
        <v>-1281.4403185434494</v>
      </c>
      <c r="DP358" s="408">
        <v>-101.02063699419568</v>
      </c>
      <c r="DQ358" s="408">
        <v>0</v>
      </c>
      <c r="DR358" s="408">
        <v>0</v>
      </c>
      <c r="DS358" s="408"/>
      <c r="DT358" s="408"/>
      <c r="DU358" s="408">
        <v>262965.14831183659</v>
      </c>
      <c r="DV358" s="408">
        <v>0</v>
      </c>
      <c r="DW358" s="408">
        <v>0</v>
      </c>
      <c r="DX358" s="408">
        <v>0</v>
      </c>
      <c r="DY358" s="408">
        <v>-64926.292440000107</v>
      </c>
      <c r="DZ358" s="408">
        <v>96266.744219999993</v>
      </c>
      <c r="EA358" s="408">
        <v>0</v>
      </c>
      <c r="EB358" s="408">
        <v>0</v>
      </c>
      <c r="EC358" s="408">
        <v>-65325.003404376766</v>
      </c>
      <c r="ED358" s="408">
        <v>0</v>
      </c>
      <c r="EE358" s="408">
        <v>0</v>
      </c>
      <c r="EF358" s="408">
        <v>0</v>
      </c>
      <c r="EG358" s="408">
        <v>0</v>
      </c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>
        <v>0</v>
      </c>
      <c r="EN358" s="408">
        <v>0</v>
      </c>
      <c r="EO358" s="408">
        <v>0</v>
      </c>
      <c r="EP358" s="408">
        <v>60971.590951776576</v>
      </c>
      <c r="EQ358" s="408">
        <v>0</v>
      </c>
      <c r="ER358" s="408">
        <v>0</v>
      </c>
      <c r="ES358" s="408">
        <v>0</v>
      </c>
      <c r="ET358" s="408">
        <v>0</v>
      </c>
      <c r="EU358" s="408">
        <v>0</v>
      </c>
      <c r="EV358" s="408">
        <v>240</v>
      </c>
      <c r="EW358" s="408">
        <v>0</v>
      </c>
      <c r="EX358" s="408">
        <v>0</v>
      </c>
      <c r="EY358" s="408">
        <v>0</v>
      </c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357</v>
      </c>
      <c r="B359" s="408" t="s">
        <v>1036</v>
      </c>
      <c r="C359" s="408" t="s">
        <v>2247</v>
      </c>
      <c r="D359" s="408" t="s">
        <v>597</v>
      </c>
      <c r="E359" s="408" t="s">
        <v>970</v>
      </c>
      <c r="F359" s="408" t="s">
        <v>1322</v>
      </c>
      <c r="G359" s="408" t="s">
        <v>1322</v>
      </c>
      <c r="H359" s="408" t="s">
        <v>1322</v>
      </c>
      <c r="I359" s="408" t="s">
        <v>1322</v>
      </c>
      <c r="J359" s="408" t="s">
        <v>2236</v>
      </c>
      <c r="K359" s="826">
        <v>44531</v>
      </c>
      <c r="L359" s="408">
        <v>0</v>
      </c>
      <c r="M359" s="408">
        <v>0</v>
      </c>
      <c r="N359" s="408">
        <v>0</v>
      </c>
      <c r="O359" s="408">
        <v>0</v>
      </c>
      <c r="P359" s="408">
        <v>0</v>
      </c>
      <c r="Q359" s="408">
        <v>0</v>
      </c>
      <c r="R359" s="408"/>
      <c r="S359" s="408"/>
      <c r="T359" s="408"/>
      <c r="U359" s="408"/>
      <c r="V359" s="408"/>
      <c r="W359" s="408"/>
      <c r="X359" s="408"/>
      <c r="Y359" s="408"/>
      <c r="Z359" s="408"/>
      <c r="AA359" s="408">
        <v>0</v>
      </c>
      <c r="AB359" s="408"/>
      <c r="AC359" s="408"/>
      <c r="AD359" s="408"/>
      <c r="AE359" s="408"/>
      <c r="AF359" s="408"/>
      <c r="AG359" s="408"/>
      <c r="AH359" s="408"/>
      <c r="AI359" s="408"/>
      <c r="AJ359" s="408"/>
      <c r="AK359" s="408"/>
      <c r="AL359" s="408"/>
      <c r="AM359" s="408"/>
      <c r="AN359" s="408"/>
      <c r="AO359" s="408"/>
      <c r="AP359" s="408"/>
      <c r="AQ359" s="408"/>
      <c r="AR359" s="408"/>
      <c r="AS359" s="408"/>
      <c r="AT359" s="408"/>
      <c r="AU359" s="408"/>
      <c r="AV359" s="408"/>
      <c r="AW359" s="408"/>
      <c r="AX359" s="408"/>
      <c r="AY359" s="408"/>
      <c r="AZ359" s="408">
        <v>0</v>
      </c>
      <c r="BA359" s="408"/>
      <c r="BB359" s="408"/>
      <c r="BC359" s="408"/>
      <c r="BD359" s="408"/>
      <c r="BE359" s="408"/>
      <c r="BF359" s="408"/>
      <c r="BG359" s="408"/>
      <c r="BH359" s="408"/>
      <c r="BI359" s="408">
        <v>1973.97</v>
      </c>
      <c r="BJ359" s="408">
        <v>16919.88</v>
      </c>
      <c r="BK359" s="408">
        <v>594650.93999999994</v>
      </c>
      <c r="BL359" s="408">
        <v>5</v>
      </c>
      <c r="BM359" s="408"/>
      <c r="BN359" s="408"/>
      <c r="BO359" s="408"/>
      <c r="BP359" s="408"/>
      <c r="BQ359" s="408"/>
      <c r="BR359" s="408"/>
      <c r="BS359" s="408"/>
      <c r="BT359" s="408"/>
      <c r="BU359" s="408"/>
      <c r="BV359" s="408"/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/>
      <c r="CJ359" s="408">
        <v>-0.03</v>
      </c>
      <c r="CK359" s="408"/>
      <c r="CL359" s="408"/>
      <c r="CM359" s="408"/>
      <c r="CN359" s="408"/>
      <c r="CO359" s="408">
        <v>0</v>
      </c>
      <c r="CP359" s="408">
        <v>0</v>
      </c>
      <c r="CQ359" s="408"/>
      <c r="CR359" s="408"/>
      <c r="CS359" s="408"/>
      <c r="CT359" s="408"/>
      <c r="CU359" s="408"/>
      <c r="CV359" s="408"/>
      <c r="CW359" s="408"/>
      <c r="CX359" s="408"/>
      <c r="CY359" s="408"/>
      <c r="CZ359" s="408"/>
      <c r="DA359" s="408"/>
      <c r="DB359" s="408"/>
      <c r="DC359" s="408"/>
      <c r="DD359" s="408"/>
      <c r="DE359" s="408"/>
      <c r="DF359" s="408"/>
      <c r="DG359" s="408"/>
      <c r="DH359" s="408"/>
      <c r="DI359" s="408"/>
      <c r="DJ359" s="408"/>
      <c r="DK359" s="408">
        <v>0</v>
      </c>
      <c r="DL359" s="408"/>
      <c r="DM359" s="408"/>
      <c r="DN359" s="408"/>
      <c r="DO359" s="408"/>
      <c r="DP359" s="408"/>
      <c r="DQ359" s="408"/>
      <c r="DR359" s="408"/>
      <c r="DS359" s="408"/>
      <c r="DT359" s="408"/>
      <c r="DU359" s="408"/>
      <c r="DV359" s="408"/>
      <c r="DW359" s="408"/>
      <c r="DX359" s="408"/>
      <c r="DY359" s="408"/>
      <c r="DZ359" s="408"/>
      <c r="EA359" s="408"/>
      <c r="EB359" s="408"/>
      <c r="EC359" s="408"/>
      <c r="ED359" s="408"/>
      <c r="EE359" s="408"/>
      <c r="EF359" s="408"/>
      <c r="EG359" s="408"/>
      <c r="EH359" s="408"/>
      <c r="EI359" s="408"/>
      <c r="EJ359" s="408"/>
      <c r="EK359" s="408"/>
      <c r="EL359" s="408"/>
      <c r="EM359" s="408"/>
      <c r="EN359" s="408"/>
      <c r="EO359" s="408"/>
      <c r="EP359" s="408"/>
      <c r="EQ359" s="408"/>
      <c r="ER359" s="408"/>
      <c r="ES359" s="408"/>
      <c r="ET359" s="408"/>
      <c r="EU359" s="408"/>
      <c r="EV359" s="408">
        <v>240</v>
      </c>
      <c r="EW359" s="408"/>
      <c r="EX359" s="408"/>
      <c r="EY359" s="408"/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358</v>
      </c>
      <c r="B360" s="408" t="s">
        <v>1036</v>
      </c>
      <c r="C360" s="408" t="s">
        <v>2243</v>
      </c>
      <c r="D360" s="408" t="s">
        <v>597</v>
      </c>
      <c r="E360" s="408" t="s">
        <v>970</v>
      </c>
      <c r="F360" s="408" t="s">
        <v>1322</v>
      </c>
      <c r="G360" s="408" t="s">
        <v>1322</v>
      </c>
      <c r="H360" s="408" t="s">
        <v>1322</v>
      </c>
      <c r="I360" s="408" t="s">
        <v>973</v>
      </c>
      <c r="J360" s="408" t="s">
        <v>2236</v>
      </c>
      <c r="K360" s="826">
        <v>44531</v>
      </c>
      <c r="L360" s="408">
        <v>0</v>
      </c>
      <c r="M360" s="408">
        <v>0</v>
      </c>
      <c r="N360" s="408">
        <v>182.18299999999999</v>
      </c>
      <c r="O360" s="408">
        <v>182.18299999999999</v>
      </c>
      <c r="P360" s="408">
        <v>182.18299999999999</v>
      </c>
      <c r="Q360" s="408">
        <v>182.18299999999999</v>
      </c>
      <c r="R360" s="408"/>
      <c r="S360" s="408">
        <v>1358.36</v>
      </c>
      <c r="T360" s="408">
        <v>173.25</v>
      </c>
      <c r="U360" s="408"/>
      <c r="V360" s="408">
        <v>279033.30462999997</v>
      </c>
      <c r="W360" s="408">
        <v>279033.30462999997</v>
      </c>
      <c r="X360" s="408">
        <v>244657.19435999996</v>
      </c>
      <c r="Y360" s="408">
        <v>0</v>
      </c>
      <c r="Z360" s="408">
        <v>9754.8629164054728</v>
      </c>
      <c r="AA360" s="408">
        <v>0</v>
      </c>
      <c r="AB360" s="408">
        <v>0</v>
      </c>
      <c r="AC360" s="408">
        <v>3450.9264792331915</v>
      </c>
      <c r="AD360" s="408">
        <v>3315.5767454662805</v>
      </c>
      <c r="AE360" s="408">
        <v>183732.96136983996</v>
      </c>
      <c r="AF360" s="408">
        <v>31033.137952644076</v>
      </c>
      <c r="AG360" s="408">
        <v>529.64852629459654</v>
      </c>
      <c r="AH360" s="408">
        <v>0</v>
      </c>
      <c r="AI360" s="408">
        <v>0</v>
      </c>
      <c r="AJ360" s="408">
        <v>0</v>
      </c>
      <c r="AK360" s="408">
        <v>0</v>
      </c>
      <c r="AL360" s="408">
        <v>1732.3836630139751</v>
      </c>
      <c r="AM360" s="408"/>
      <c r="AN360" s="408">
        <v>145.89466550539763</v>
      </c>
      <c r="AO360" s="408">
        <v>7325.7282196583701</v>
      </c>
      <c r="AP360" s="408">
        <v>34158.602201007947</v>
      </c>
      <c r="AQ360" s="408">
        <v>0</v>
      </c>
      <c r="AR360" s="408">
        <v>0</v>
      </c>
      <c r="AS360" s="408">
        <v>0</v>
      </c>
      <c r="AT360" s="408">
        <v>0</v>
      </c>
      <c r="AU360" s="408">
        <v>0</v>
      </c>
      <c r="AV360" s="408">
        <v>0</v>
      </c>
      <c r="AW360" s="408">
        <v>0</v>
      </c>
      <c r="AX360" s="408">
        <v>0</v>
      </c>
      <c r="AY360" s="408">
        <v>0</v>
      </c>
      <c r="AZ360" s="408">
        <v>0</v>
      </c>
      <c r="BA360" s="408"/>
      <c r="BB360" s="408">
        <v>0</v>
      </c>
      <c r="BC360" s="408">
        <v>0</v>
      </c>
      <c r="BD360" s="408">
        <v>0</v>
      </c>
      <c r="BE360" s="408">
        <v>0</v>
      </c>
      <c r="BF360" s="408">
        <v>0</v>
      </c>
      <c r="BG360" s="408">
        <v>1362.4840922616218</v>
      </c>
      <c r="BH360" s="408">
        <v>0</v>
      </c>
      <c r="BI360" s="408">
        <v>0</v>
      </c>
      <c r="BJ360" s="408">
        <v>0</v>
      </c>
      <c r="BK360" s="408">
        <v>0</v>
      </c>
      <c r="BL360" s="408">
        <v>0</v>
      </c>
      <c r="BM360" s="408"/>
      <c r="BN360" s="408"/>
      <c r="BO360" s="408"/>
      <c r="BP360" s="408"/>
      <c r="BQ360" s="408"/>
      <c r="BR360" s="408"/>
      <c r="BS360" s="408"/>
      <c r="BT360" s="408"/>
      <c r="BU360" s="408"/>
      <c r="BV360" s="408">
        <v>32395.622044905696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244653.16560000001</v>
      </c>
      <c r="CJ360" s="408">
        <v>-34380.16902999999</v>
      </c>
      <c r="CK360" s="408"/>
      <c r="CL360" s="408"/>
      <c r="CM360" s="408"/>
      <c r="CN360" s="408"/>
      <c r="CO360" s="408">
        <v>-38309.441239999993</v>
      </c>
      <c r="CP360" s="408">
        <v>3933.3309700000004</v>
      </c>
      <c r="CQ360" s="408"/>
      <c r="CR360" s="408">
        <v>11265.597539552982</v>
      </c>
      <c r="CS360" s="408">
        <v>729.99315876518813</v>
      </c>
      <c r="CT360" s="408">
        <v>3403.8316972781395</v>
      </c>
      <c r="CU360" s="408">
        <v>0</v>
      </c>
      <c r="CV360" s="408">
        <v>0</v>
      </c>
      <c r="CW360" s="408">
        <v>0</v>
      </c>
      <c r="CX360" s="408">
        <v>0</v>
      </c>
      <c r="CY360" s="408">
        <v>0</v>
      </c>
      <c r="CZ360" s="408">
        <v>3413.9454744270283</v>
      </c>
      <c r="DA360" s="408">
        <v>0</v>
      </c>
      <c r="DB360" s="408">
        <v>0</v>
      </c>
      <c r="DC360" s="408">
        <v>3932.8868741877559</v>
      </c>
      <c r="DD360" s="408">
        <v>0</v>
      </c>
      <c r="DE360" s="408">
        <v>0</v>
      </c>
      <c r="DF360" s="408">
        <v>0</v>
      </c>
      <c r="DG360" s="408">
        <v>172.67012478474658</v>
      </c>
      <c r="DH360" s="408">
        <v>0</v>
      </c>
      <c r="DI360" s="408">
        <v>-331.24427627570549</v>
      </c>
      <c r="DJ360" s="408"/>
      <c r="DK360" s="408">
        <v>0</v>
      </c>
      <c r="DL360" s="408">
        <v>0</v>
      </c>
      <c r="DM360" s="408">
        <v>0</v>
      </c>
      <c r="DN360" s="408">
        <v>0</v>
      </c>
      <c r="DO360" s="408">
        <v>-52.357944916209817</v>
      </c>
      <c r="DP360" s="408">
        <v>-4.1275686979745672</v>
      </c>
      <c r="DQ360" s="408">
        <v>0</v>
      </c>
      <c r="DR360" s="408">
        <v>0</v>
      </c>
      <c r="DS360" s="408"/>
      <c r="DT360" s="408"/>
      <c r="DU360" s="408"/>
      <c r="DV360" s="408">
        <v>183732.96136983996</v>
      </c>
      <c r="DW360" s="408">
        <v>0</v>
      </c>
      <c r="DX360" s="408">
        <v>0</v>
      </c>
      <c r="DY360" s="408">
        <v>-38309.441239999986</v>
      </c>
      <c r="DZ360" s="408">
        <v>3933.3309700000027</v>
      </c>
      <c r="EA360" s="408">
        <v>0</v>
      </c>
      <c r="EB360" s="408">
        <v>0</v>
      </c>
      <c r="EC360" s="408">
        <v>-45642.384186775133</v>
      </c>
      <c r="ED360" s="408">
        <v>0</v>
      </c>
      <c r="EE360" s="408">
        <v>0</v>
      </c>
      <c r="EF360" s="408">
        <v>0</v>
      </c>
      <c r="EG360" s="408">
        <v>0</v>
      </c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>
        <v>0</v>
      </c>
      <c r="EN360" s="408">
        <v>0</v>
      </c>
      <c r="EO360" s="408">
        <v>0</v>
      </c>
      <c r="EP360" s="408">
        <v>2491.2180101648246</v>
      </c>
      <c r="EQ360" s="408">
        <v>0</v>
      </c>
      <c r="ER360" s="408">
        <v>0</v>
      </c>
      <c r="ES360" s="408">
        <v>0</v>
      </c>
      <c r="ET360" s="408">
        <v>0</v>
      </c>
      <c r="EU360" s="408">
        <v>0</v>
      </c>
      <c r="EV360" s="408">
        <v>240</v>
      </c>
      <c r="EW360" s="408">
        <v>0</v>
      </c>
      <c r="EX360" s="408">
        <v>0</v>
      </c>
      <c r="EY360" s="408">
        <v>0</v>
      </c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359</v>
      </c>
      <c r="B361" s="408" t="s">
        <v>2238</v>
      </c>
      <c r="C361" s="408" t="s">
        <v>2243</v>
      </c>
      <c r="D361" s="408" t="s">
        <v>597</v>
      </c>
      <c r="E361" s="408" t="s">
        <v>970</v>
      </c>
      <c r="F361" s="408" t="s">
        <v>1322</v>
      </c>
      <c r="G361" s="408" t="s">
        <v>1322</v>
      </c>
      <c r="H361" s="408" t="s">
        <v>1322</v>
      </c>
      <c r="I361" s="408" t="s">
        <v>973</v>
      </c>
      <c r="J361" s="408" t="s">
        <v>2236</v>
      </c>
      <c r="K361" s="826">
        <v>44531</v>
      </c>
      <c r="L361" s="408">
        <v>0</v>
      </c>
      <c r="M361" s="408">
        <v>0</v>
      </c>
      <c r="N361" s="408">
        <v>0.32500000000000001</v>
      </c>
      <c r="O361" s="408">
        <v>0.32500000000000001</v>
      </c>
      <c r="P361" s="408">
        <v>0.32500000000000001</v>
      </c>
      <c r="Q361" s="408">
        <v>0.32500000000000001</v>
      </c>
      <c r="R361" s="408"/>
      <c r="S361" s="408">
        <v>1358.36</v>
      </c>
      <c r="T361" s="408">
        <v>173.25</v>
      </c>
      <c r="U361" s="408"/>
      <c r="V361" s="408">
        <v>497.77324999999996</v>
      </c>
      <c r="W361" s="408">
        <v>497.77324999999996</v>
      </c>
      <c r="X361" s="408">
        <v>436.44899999999996</v>
      </c>
      <c r="Y361" s="408">
        <v>0</v>
      </c>
      <c r="Z361" s="408">
        <v>17.401900549621967</v>
      </c>
      <c r="AA361" s="408">
        <v>0</v>
      </c>
      <c r="AB361" s="408">
        <v>0</v>
      </c>
      <c r="AC361" s="408">
        <v>6.1561787090496223</v>
      </c>
      <c r="AD361" s="408">
        <v>5.9147255357335276</v>
      </c>
      <c r="AE361" s="408">
        <v>327.76500796011698</v>
      </c>
      <c r="AF361" s="408">
        <v>55.360652940226728</v>
      </c>
      <c r="AG361" s="408">
        <v>0.94485089742590633</v>
      </c>
      <c r="AH361" s="408">
        <v>0</v>
      </c>
      <c r="AI361" s="408">
        <v>0</v>
      </c>
      <c r="AJ361" s="408">
        <v>0</v>
      </c>
      <c r="AK361" s="408">
        <v>0</v>
      </c>
      <c r="AL361" s="408">
        <v>3.0904348401307584</v>
      </c>
      <c r="AM361" s="408"/>
      <c r="AN361" s="408">
        <v>0.26026449388392014</v>
      </c>
      <c r="AO361" s="408">
        <v>13.06851721285175</v>
      </c>
      <c r="AP361" s="408">
        <v>60.936232883021923</v>
      </c>
      <c r="AQ361" s="408">
        <v>0</v>
      </c>
      <c r="AR361" s="408">
        <v>0</v>
      </c>
      <c r="AS361" s="408">
        <v>0</v>
      </c>
      <c r="AT361" s="408">
        <v>0</v>
      </c>
      <c r="AU361" s="408">
        <v>0</v>
      </c>
      <c r="AV361" s="408">
        <v>0</v>
      </c>
      <c r="AW361" s="408">
        <v>0</v>
      </c>
      <c r="AX361" s="408">
        <v>0</v>
      </c>
      <c r="AY361" s="408">
        <v>0</v>
      </c>
      <c r="AZ361" s="408">
        <v>0</v>
      </c>
      <c r="BA361" s="408"/>
      <c r="BB361" s="408">
        <v>0</v>
      </c>
      <c r="BC361" s="408">
        <v>0</v>
      </c>
      <c r="BD361" s="408">
        <v>0</v>
      </c>
      <c r="BE361" s="408">
        <v>0</v>
      </c>
      <c r="BF361" s="408">
        <v>0</v>
      </c>
      <c r="BG361" s="408">
        <v>2.4305633894766641</v>
      </c>
      <c r="BH361" s="408">
        <v>0</v>
      </c>
      <c r="BI361" s="408">
        <v>0</v>
      </c>
      <c r="BJ361" s="408">
        <v>0</v>
      </c>
      <c r="BK361" s="408">
        <v>0</v>
      </c>
      <c r="BL361" s="408">
        <v>0</v>
      </c>
      <c r="BM361" s="408"/>
      <c r="BN361" s="408"/>
      <c r="BO361" s="408"/>
      <c r="BP361" s="408"/>
      <c r="BQ361" s="408"/>
      <c r="BR361" s="408"/>
      <c r="BS361" s="408"/>
      <c r="BT361" s="408"/>
      <c r="BU361" s="408"/>
      <c r="BV361" s="408">
        <v>57.791216329703396</v>
      </c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>
        <v>443.16359999999997</v>
      </c>
      <c r="CJ361" s="408">
        <v>-54.639649999999961</v>
      </c>
      <c r="CK361" s="408"/>
      <c r="CL361" s="408"/>
      <c r="CM361" s="408"/>
      <c r="CN361" s="408"/>
      <c r="CO361" s="408">
        <v>-68.340999999999994</v>
      </c>
      <c r="CP361" s="408">
        <v>7.0167500000000009</v>
      </c>
      <c r="CQ361" s="408"/>
      <c r="CR361" s="408">
        <v>20.096931109679389</v>
      </c>
      <c r="CS361" s="408">
        <v>1.3022498070549187</v>
      </c>
      <c r="CT361" s="408">
        <v>6.0721653590916631</v>
      </c>
      <c r="CU361" s="408">
        <v>0</v>
      </c>
      <c r="CV361" s="408">
        <v>0</v>
      </c>
      <c r="CW361" s="408">
        <v>0</v>
      </c>
      <c r="CX361" s="408">
        <v>0</v>
      </c>
      <c r="CY361" s="408">
        <v>0</v>
      </c>
      <c r="CZ361" s="408">
        <v>6.0902075341210988</v>
      </c>
      <c r="DA361" s="408">
        <v>0</v>
      </c>
      <c r="DB361" s="408">
        <v>0</v>
      </c>
      <c r="DC361" s="408">
        <v>7.0159577683484216</v>
      </c>
      <c r="DD361" s="408">
        <v>0</v>
      </c>
      <c r="DE361" s="408">
        <v>0</v>
      </c>
      <c r="DF361" s="408">
        <v>0</v>
      </c>
      <c r="DG361" s="408">
        <v>0.30802978628655042</v>
      </c>
      <c r="DH361" s="408">
        <v>0</v>
      </c>
      <c r="DI361" s="408">
        <v>-0.59091347595332167</v>
      </c>
      <c r="DJ361" s="408"/>
      <c r="DK361" s="408">
        <v>0</v>
      </c>
      <c r="DL361" s="408">
        <v>0</v>
      </c>
      <c r="DM361" s="408">
        <v>0</v>
      </c>
      <c r="DN361" s="408">
        <v>0</v>
      </c>
      <c r="DO361" s="408">
        <v>-9.3402414592844263E-2</v>
      </c>
      <c r="DP361" s="408">
        <v>-7.3632546771199014E-3</v>
      </c>
      <c r="DQ361" s="408">
        <v>0</v>
      </c>
      <c r="DR361" s="408">
        <v>0</v>
      </c>
      <c r="DS361" s="408"/>
      <c r="DT361" s="408"/>
      <c r="DU361" s="408"/>
      <c r="DV361" s="408">
        <v>327.76500796011698</v>
      </c>
      <c r="DW361" s="408">
        <v>0</v>
      </c>
      <c r="DX361" s="408">
        <v>0</v>
      </c>
      <c r="DY361" s="408">
        <v>-68.341000000000008</v>
      </c>
      <c r="DZ361" s="408">
        <v>7.0167500000000018</v>
      </c>
      <c r="EA361" s="408">
        <v>0</v>
      </c>
      <c r="EB361" s="408">
        <v>0</v>
      </c>
      <c r="EC361" s="408">
        <v>-81.422387712914599</v>
      </c>
      <c r="ED361" s="408">
        <v>0</v>
      </c>
      <c r="EE361" s="408">
        <v>0</v>
      </c>
      <c r="EF361" s="408">
        <v>0</v>
      </c>
      <c r="EG361" s="408">
        <v>0</v>
      </c>
      <c r="EH361" s="408">
        <v>0</v>
      </c>
      <c r="EI361" s="408">
        <v>0</v>
      </c>
      <c r="EJ361" s="408">
        <v>0</v>
      </c>
      <c r="EK361" s="408">
        <v>0</v>
      </c>
      <c r="EL361" s="408">
        <v>0</v>
      </c>
      <c r="EM361" s="408">
        <v>0</v>
      </c>
      <c r="EN361" s="408">
        <v>0</v>
      </c>
      <c r="EO361" s="408">
        <v>0</v>
      </c>
      <c r="EP361" s="408">
        <v>4.4441350362194507</v>
      </c>
      <c r="EQ361" s="408">
        <v>0</v>
      </c>
      <c r="ER361" s="408">
        <v>0</v>
      </c>
      <c r="ES361" s="408">
        <v>0</v>
      </c>
      <c r="ET361" s="408">
        <v>0</v>
      </c>
      <c r="EU361" s="408">
        <v>0</v>
      </c>
      <c r="EV361" s="408">
        <v>240</v>
      </c>
      <c r="EW361" s="408">
        <v>0</v>
      </c>
      <c r="EX361" s="408">
        <v>0</v>
      </c>
      <c r="EY361" s="408">
        <v>0</v>
      </c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360</v>
      </c>
      <c r="B362" s="408" t="s">
        <v>1036</v>
      </c>
      <c r="C362" s="408" t="s">
        <v>2243</v>
      </c>
      <c r="D362" s="408" t="s">
        <v>597</v>
      </c>
      <c r="E362" s="408" t="s">
        <v>970</v>
      </c>
      <c r="F362" s="408" t="s">
        <v>1322</v>
      </c>
      <c r="G362" s="408" t="s">
        <v>1322</v>
      </c>
      <c r="H362" s="408" t="s">
        <v>1322</v>
      </c>
      <c r="I362" s="408" t="s">
        <v>2244</v>
      </c>
      <c r="J362" s="408" t="s">
        <v>2236</v>
      </c>
      <c r="K362" s="826">
        <v>44531</v>
      </c>
      <c r="L362" s="408">
        <v>0</v>
      </c>
      <c r="M362" s="408">
        <v>0</v>
      </c>
      <c r="N362" s="408">
        <v>2972.2910000000002</v>
      </c>
      <c r="O362" s="408">
        <v>2972.2910000000002</v>
      </c>
      <c r="P362" s="408">
        <v>2972.2910000000002</v>
      </c>
      <c r="Q362" s="408">
        <v>2972.2910000000002</v>
      </c>
      <c r="R362" s="408"/>
      <c r="S362" s="408">
        <v>85.01</v>
      </c>
      <c r="T362" s="408">
        <v>173.25</v>
      </c>
      <c r="U362" s="408"/>
      <c r="V362" s="408">
        <v>767623.87366000004</v>
      </c>
      <c r="W362" s="408">
        <v>767623.87366000004</v>
      </c>
      <c r="X362" s="408">
        <v>828288.3329700001</v>
      </c>
      <c r="Y362" s="408">
        <v>0</v>
      </c>
      <c r="Z362" s="408">
        <v>159149.26888165053</v>
      </c>
      <c r="AA362" s="408">
        <v>0</v>
      </c>
      <c r="AB362" s="408">
        <v>0</v>
      </c>
      <c r="AC362" s="408">
        <v>0</v>
      </c>
      <c r="AD362" s="408">
        <v>0</v>
      </c>
      <c r="AE362" s="408">
        <v>0</v>
      </c>
      <c r="AF362" s="408">
        <v>506301.44765649061</v>
      </c>
      <c r="AG362" s="408">
        <v>8641.1440577259837</v>
      </c>
      <c r="AH362" s="408">
        <v>0</v>
      </c>
      <c r="AI362" s="408">
        <v>0</v>
      </c>
      <c r="AJ362" s="408">
        <v>0</v>
      </c>
      <c r="AK362" s="408">
        <v>0</v>
      </c>
      <c r="AL362" s="408">
        <v>28263.605112021822</v>
      </c>
      <c r="AM362" s="408"/>
      <c r="AN362" s="408">
        <v>2380.2517316637877</v>
      </c>
      <c r="AO362" s="408">
        <v>0</v>
      </c>
      <c r="AP362" s="408">
        <v>0</v>
      </c>
      <c r="AQ362" s="408">
        <v>0</v>
      </c>
      <c r="AR362" s="408">
        <v>0</v>
      </c>
      <c r="AS362" s="408">
        <v>0</v>
      </c>
      <c r="AT362" s="408">
        <v>0</v>
      </c>
      <c r="AU362" s="408">
        <v>0</v>
      </c>
      <c r="AV362" s="408">
        <v>0</v>
      </c>
      <c r="AW362" s="408">
        <v>0</v>
      </c>
      <c r="AX362" s="408">
        <v>0</v>
      </c>
      <c r="AY362" s="408">
        <v>0</v>
      </c>
      <c r="AZ362" s="408">
        <v>0</v>
      </c>
      <c r="BA362" s="408"/>
      <c r="BB362" s="408">
        <v>0</v>
      </c>
      <c r="BC362" s="408">
        <v>0</v>
      </c>
      <c r="BD362" s="408">
        <v>0</v>
      </c>
      <c r="BE362" s="408">
        <v>0</v>
      </c>
      <c r="BF362" s="408">
        <v>0</v>
      </c>
      <c r="BG362" s="408">
        <v>22228.743653756872</v>
      </c>
      <c r="BH362" s="408">
        <v>0</v>
      </c>
      <c r="BI362" s="408">
        <v>0</v>
      </c>
      <c r="BJ362" s="408">
        <v>0</v>
      </c>
      <c r="BK362" s="408">
        <v>0</v>
      </c>
      <c r="BL362" s="408">
        <v>0</v>
      </c>
      <c r="BM362" s="408"/>
      <c r="BN362" s="408"/>
      <c r="BO362" s="408"/>
      <c r="BP362" s="408"/>
      <c r="BQ362" s="408"/>
      <c r="BR362" s="408"/>
      <c r="BS362" s="408"/>
      <c r="BT362" s="408"/>
      <c r="BU362" s="408"/>
      <c r="BV362" s="408">
        <v>528530.19131024752</v>
      </c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>
        <v>828288.05429999996</v>
      </c>
      <c r="CJ362" s="408">
        <v>60664.150639999891</v>
      </c>
      <c r="CK362" s="408"/>
      <c r="CL362" s="408"/>
      <c r="CM362" s="408"/>
      <c r="CN362" s="408"/>
      <c r="CO362" s="408">
        <v>-3507.3033800000203</v>
      </c>
      <c r="CP362" s="408">
        <v>64171.76269000001</v>
      </c>
      <c r="CQ362" s="408"/>
      <c r="CR362" s="408">
        <v>60655.847983134328</v>
      </c>
      <c r="CS362" s="408">
        <v>0</v>
      </c>
      <c r="CT362" s="408">
        <v>0</v>
      </c>
      <c r="CU362" s="408">
        <v>0</v>
      </c>
      <c r="CV362" s="408">
        <v>0</v>
      </c>
      <c r="CW362" s="408">
        <v>0</v>
      </c>
      <c r="CX362" s="408">
        <v>0</v>
      </c>
      <c r="CY362" s="408">
        <v>0</v>
      </c>
      <c r="CZ362" s="408">
        <v>0</v>
      </c>
      <c r="DA362" s="408">
        <v>0</v>
      </c>
      <c r="DB362" s="408">
        <v>0</v>
      </c>
      <c r="DC362" s="408">
        <v>64164.517326898756</v>
      </c>
      <c r="DD362" s="408">
        <v>0</v>
      </c>
      <c r="DE362" s="408">
        <v>0</v>
      </c>
      <c r="DF362" s="408">
        <v>0</v>
      </c>
      <c r="DG362" s="408">
        <v>2817.0897277274998</v>
      </c>
      <c r="DH362" s="408">
        <v>0</v>
      </c>
      <c r="DI362" s="408">
        <v>-5404.2055580146844</v>
      </c>
      <c r="DJ362" s="408"/>
      <c r="DK362" s="408">
        <v>0</v>
      </c>
      <c r="DL362" s="408">
        <v>0</v>
      </c>
      <c r="DM362" s="408">
        <v>0</v>
      </c>
      <c r="DN362" s="408">
        <v>0</v>
      </c>
      <c r="DO362" s="408">
        <v>-854.21278853101467</v>
      </c>
      <c r="DP362" s="408">
        <v>-67.340724946188857</v>
      </c>
      <c r="DQ362" s="408">
        <v>0</v>
      </c>
      <c r="DR362" s="408">
        <v>0</v>
      </c>
      <c r="DS362" s="408"/>
      <c r="DT362" s="408"/>
      <c r="DU362" s="408"/>
      <c r="DV362" s="408">
        <v>0</v>
      </c>
      <c r="DW362" s="408">
        <v>0</v>
      </c>
      <c r="DX362" s="408">
        <v>0</v>
      </c>
      <c r="DY362" s="408">
        <v>-3507.3033800000267</v>
      </c>
      <c r="DZ362" s="408">
        <v>64171.762690000003</v>
      </c>
      <c r="EA362" s="408">
        <v>0</v>
      </c>
      <c r="EB362" s="408">
        <v>0</v>
      </c>
      <c r="EC362" s="408">
        <v>0</v>
      </c>
      <c r="ED362" s="408">
        <v>0</v>
      </c>
      <c r="EE362" s="408">
        <v>0</v>
      </c>
      <c r="EF362" s="408">
        <v>0</v>
      </c>
      <c r="EG362" s="408">
        <v>0</v>
      </c>
      <c r="EH362" s="408">
        <v>0</v>
      </c>
      <c r="EI362" s="408">
        <v>0</v>
      </c>
      <c r="EJ362" s="408">
        <v>0</v>
      </c>
      <c r="EK362" s="408">
        <v>0</v>
      </c>
      <c r="EL362" s="408">
        <v>0</v>
      </c>
      <c r="EM362" s="408">
        <v>0</v>
      </c>
      <c r="EN362" s="408">
        <v>0</v>
      </c>
      <c r="EO362" s="408">
        <v>0</v>
      </c>
      <c r="EP362" s="408">
        <v>40643.884833660755</v>
      </c>
      <c r="EQ362" s="408">
        <v>0</v>
      </c>
      <c r="ER362" s="408">
        <v>0</v>
      </c>
      <c r="ES362" s="408">
        <v>0</v>
      </c>
      <c r="ET362" s="408">
        <v>0</v>
      </c>
      <c r="EU362" s="408">
        <v>0</v>
      </c>
      <c r="EV362" s="408">
        <v>240</v>
      </c>
      <c r="EW362" s="408">
        <v>0</v>
      </c>
      <c r="EX362" s="408">
        <v>0</v>
      </c>
      <c r="EY362" s="408">
        <v>0</v>
      </c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361</v>
      </c>
      <c r="B363" s="408" t="s">
        <v>2238</v>
      </c>
      <c r="C363" s="408" t="s">
        <v>2243</v>
      </c>
      <c r="D363" s="408" t="s">
        <v>597</v>
      </c>
      <c r="E363" s="408" t="s">
        <v>970</v>
      </c>
      <c r="F363" s="408" t="s">
        <v>1322</v>
      </c>
      <c r="G363" s="408" t="s">
        <v>1322</v>
      </c>
      <c r="H363" s="408" t="s">
        <v>1322</v>
      </c>
      <c r="I363" s="408" t="s">
        <v>2244</v>
      </c>
      <c r="J363" s="408" t="s">
        <v>2236</v>
      </c>
      <c r="K363" s="826">
        <v>44531</v>
      </c>
      <c r="L363" s="408">
        <v>0</v>
      </c>
      <c r="M363" s="408">
        <v>0</v>
      </c>
      <c r="N363" s="408">
        <v>3.5640000000000001</v>
      </c>
      <c r="O363" s="408">
        <v>3.5640000000000001</v>
      </c>
      <c r="P363" s="408">
        <v>3.5640000000000001</v>
      </c>
      <c r="Q363" s="408">
        <v>3.5640000000000001</v>
      </c>
      <c r="R363" s="408"/>
      <c r="S363" s="408">
        <v>85.01</v>
      </c>
      <c r="T363" s="408">
        <v>173.25</v>
      </c>
      <c r="U363" s="408"/>
      <c r="V363" s="408">
        <v>920.43863999999996</v>
      </c>
      <c r="W363" s="408">
        <v>920.43863999999996</v>
      </c>
      <c r="X363" s="408">
        <v>993.17988000000003</v>
      </c>
      <c r="Y363" s="408">
        <v>0</v>
      </c>
      <c r="Z363" s="408">
        <v>190.83191864262366</v>
      </c>
      <c r="AA363" s="408">
        <v>0</v>
      </c>
      <c r="AB363" s="408">
        <v>0</v>
      </c>
      <c r="AC363" s="408">
        <v>0</v>
      </c>
      <c r="AD363" s="408">
        <v>0</v>
      </c>
      <c r="AE363" s="408">
        <v>0</v>
      </c>
      <c r="AF363" s="408">
        <v>607.09343716605554</v>
      </c>
      <c r="AG363" s="408">
        <v>10.361380302849016</v>
      </c>
      <c r="AH363" s="408">
        <v>0</v>
      </c>
      <c r="AI363" s="408">
        <v>0</v>
      </c>
      <c r="AJ363" s="408">
        <v>0</v>
      </c>
      <c r="AK363" s="408">
        <v>0</v>
      </c>
      <c r="AL363" s="408">
        <v>33.890183908387762</v>
      </c>
      <c r="AM363" s="408"/>
      <c r="AN363" s="408">
        <v>2.854100480622435</v>
      </c>
      <c r="AO363" s="408">
        <v>0</v>
      </c>
      <c r="AP363" s="408">
        <v>0</v>
      </c>
      <c r="AQ363" s="408">
        <v>0</v>
      </c>
      <c r="AR363" s="408">
        <v>0</v>
      </c>
      <c r="AS363" s="408">
        <v>0</v>
      </c>
      <c r="AT363" s="408">
        <v>0</v>
      </c>
      <c r="AU363" s="408">
        <v>0</v>
      </c>
      <c r="AV363" s="408">
        <v>0</v>
      </c>
      <c r="AW363" s="408">
        <v>0</v>
      </c>
      <c r="AX363" s="408">
        <v>0</v>
      </c>
      <c r="AY363" s="408">
        <v>0</v>
      </c>
      <c r="AZ363" s="408">
        <v>0</v>
      </c>
      <c r="BA363" s="408"/>
      <c r="BB363" s="408">
        <v>0</v>
      </c>
      <c r="BC363" s="408">
        <v>0</v>
      </c>
      <c r="BD363" s="408">
        <v>0</v>
      </c>
      <c r="BE363" s="408">
        <v>0</v>
      </c>
      <c r="BF363" s="408">
        <v>0</v>
      </c>
      <c r="BG363" s="408">
        <v>26.653932061830247</v>
      </c>
      <c r="BH363" s="408">
        <v>0</v>
      </c>
      <c r="BI363" s="408">
        <v>0</v>
      </c>
      <c r="BJ363" s="408">
        <v>0</v>
      </c>
      <c r="BK363" s="408">
        <v>0</v>
      </c>
      <c r="BL363" s="408">
        <v>0</v>
      </c>
      <c r="BM363" s="408"/>
      <c r="BN363" s="408"/>
      <c r="BO363" s="408"/>
      <c r="BP363" s="408"/>
      <c r="BQ363" s="408"/>
      <c r="BR363" s="408"/>
      <c r="BS363" s="408"/>
      <c r="BT363" s="408"/>
      <c r="BU363" s="408"/>
      <c r="BV363" s="408">
        <v>633.74736922788577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992.0652</v>
      </c>
      <c r="CJ363" s="408">
        <v>71.596560000000068</v>
      </c>
      <c r="CK363" s="408"/>
      <c r="CL363" s="408"/>
      <c r="CM363" s="408"/>
      <c r="CN363" s="408"/>
      <c r="CO363" s="408">
        <v>-4.2055200000000248</v>
      </c>
      <c r="CP363" s="408">
        <v>76.946760000000012</v>
      </c>
      <c r="CQ363" s="408"/>
      <c r="CR363" s="408">
        <v>72.730914372748657</v>
      </c>
      <c r="CS363" s="408">
        <v>0</v>
      </c>
      <c r="CT363" s="408">
        <v>0</v>
      </c>
      <c r="CU363" s="408">
        <v>0</v>
      </c>
      <c r="CV363" s="408">
        <v>0</v>
      </c>
      <c r="CW363" s="408">
        <v>0</v>
      </c>
      <c r="CX363" s="408">
        <v>0</v>
      </c>
      <c r="CY363" s="408">
        <v>0</v>
      </c>
      <c r="CZ363" s="408">
        <v>0</v>
      </c>
      <c r="DA363" s="408">
        <v>0</v>
      </c>
      <c r="DB363" s="408">
        <v>0</v>
      </c>
      <c r="DC363" s="408">
        <v>76.938072265827032</v>
      </c>
      <c r="DD363" s="408">
        <v>0</v>
      </c>
      <c r="DE363" s="408">
        <v>0</v>
      </c>
      <c r="DF363" s="408">
        <v>0</v>
      </c>
      <c r="DG363" s="408">
        <v>3.3779020256162049</v>
      </c>
      <c r="DH363" s="408">
        <v>0</v>
      </c>
      <c r="DI363" s="408">
        <v>-6.4800480870696617</v>
      </c>
      <c r="DJ363" s="408"/>
      <c r="DK363" s="408">
        <v>0</v>
      </c>
      <c r="DL363" s="408">
        <v>0</v>
      </c>
      <c r="DM363" s="408">
        <v>0</v>
      </c>
      <c r="DN363" s="408">
        <v>0</v>
      </c>
      <c r="DO363" s="408">
        <v>-1.0242652480273762</v>
      </c>
      <c r="DP363" s="408">
        <v>-8.0746583597708366E-2</v>
      </c>
      <c r="DQ363" s="408">
        <v>0</v>
      </c>
      <c r="DR363" s="408">
        <v>0</v>
      </c>
      <c r="DS363" s="408"/>
      <c r="DT363" s="408"/>
      <c r="DU363" s="408"/>
      <c r="DV363" s="408">
        <v>0</v>
      </c>
      <c r="DW363" s="408">
        <v>0</v>
      </c>
      <c r="DX363" s="408">
        <v>0</v>
      </c>
      <c r="DY363" s="408">
        <v>-4.2055199999999786</v>
      </c>
      <c r="DZ363" s="408">
        <v>76.94676000000004</v>
      </c>
      <c r="EA363" s="408">
        <v>0</v>
      </c>
      <c r="EB363" s="408">
        <v>0</v>
      </c>
      <c r="EC363" s="408">
        <v>0</v>
      </c>
      <c r="ED363" s="408">
        <v>0</v>
      </c>
      <c r="EE363" s="408">
        <v>0</v>
      </c>
      <c r="EF363" s="408">
        <v>0</v>
      </c>
      <c r="EG363" s="408">
        <v>0</v>
      </c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>
        <v>0</v>
      </c>
      <c r="EN363" s="408">
        <v>0</v>
      </c>
      <c r="EO363" s="408">
        <v>0</v>
      </c>
      <c r="EP363" s="408">
        <v>48.735068520264988</v>
      </c>
      <c r="EQ363" s="408">
        <v>0</v>
      </c>
      <c r="ER363" s="408">
        <v>0</v>
      </c>
      <c r="ES363" s="408">
        <v>0</v>
      </c>
      <c r="ET363" s="408">
        <v>0</v>
      </c>
      <c r="EU363" s="408">
        <v>0</v>
      </c>
      <c r="EV363" s="408">
        <v>240</v>
      </c>
      <c r="EW363" s="408">
        <v>0</v>
      </c>
      <c r="EX363" s="408">
        <v>0</v>
      </c>
      <c r="EY363" s="408">
        <v>0</v>
      </c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362</v>
      </c>
      <c r="B364" s="408" t="s">
        <v>1036</v>
      </c>
      <c r="C364" s="408" t="s">
        <v>2243</v>
      </c>
      <c r="D364" s="408" t="s">
        <v>597</v>
      </c>
      <c r="E364" s="408" t="s">
        <v>970</v>
      </c>
      <c r="F364" s="408" t="s">
        <v>1322</v>
      </c>
      <c r="G364" s="408" t="s">
        <v>1322</v>
      </c>
      <c r="H364" s="408" t="s">
        <v>1322</v>
      </c>
      <c r="I364" s="408" t="s">
        <v>1322</v>
      </c>
      <c r="J364" s="408" t="s">
        <v>2236</v>
      </c>
      <c r="K364" s="826">
        <v>44531</v>
      </c>
      <c r="L364" s="408">
        <v>18203</v>
      </c>
      <c r="M364" s="408">
        <v>18203</v>
      </c>
      <c r="N364" s="408">
        <v>0</v>
      </c>
      <c r="O364" s="408">
        <v>0</v>
      </c>
      <c r="P364" s="408">
        <v>0</v>
      </c>
      <c r="Q364" s="408">
        <v>0</v>
      </c>
      <c r="R364" s="408">
        <v>27.19</v>
      </c>
      <c r="S364" s="408"/>
      <c r="T364" s="408"/>
      <c r="U364" s="408">
        <v>494939.57</v>
      </c>
      <c r="V364" s="408"/>
      <c r="W364" s="408">
        <v>494939.57</v>
      </c>
      <c r="X364" s="408">
        <v>396097.28000000003</v>
      </c>
      <c r="Y364" s="408">
        <v>0</v>
      </c>
      <c r="Z364" s="408">
        <v>0</v>
      </c>
      <c r="AA364" s="408">
        <v>0</v>
      </c>
      <c r="AB364" s="408">
        <v>0</v>
      </c>
      <c r="AC364" s="408">
        <v>4244.9507662219476</v>
      </c>
      <c r="AD364" s="408">
        <v>4078.1061810598285</v>
      </c>
      <c r="AE364" s="408">
        <v>435634.74651623238</v>
      </c>
      <c r="AF364" s="408"/>
      <c r="AG364" s="408"/>
      <c r="AH364" s="408"/>
      <c r="AI364" s="408">
        <v>0</v>
      </c>
      <c r="AJ364" s="408">
        <v>0</v>
      </c>
      <c r="AK364" s="408">
        <v>0</v>
      </c>
      <c r="AL364" s="408">
        <v>0</v>
      </c>
      <c r="AM364" s="408"/>
      <c r="AN364" s="408">
        <v>0</v>
      </c>
      <c r="AO364" s="408">
        <v>9008.3885803397152</v>
      </c>
      <c r="AP364" s="408">
        <v>42014.141209338151</v>
      </c>
      <c r="AQ364" s="408">
        <v>0</v>
      </c>
      <c r="AR364" s="408">
        <v>0</v>
      </c>
      <c r="AS364" s="408"/>
      <c r="AT364" s="408"/>
      <c r="AU364" s="408">
        <v>0</v>
      </c>
      <c r="AV364" s="408">
        <v>0</v>
      </c>
      <c r="AW364" s="408">
        <v>0</v>
      </c>
      <c r="AX364" s="408"/>
      <c r="AY364" s="408"/>
      <c r="AZ364" s="408">
        <v>0</v>
      </c>
      <c r="BA364" s="408"/>
      <c r="BB364" s="408">
        <v>0</v>
      </c>
      <c r="BC364" s="408">
        <v>0</v>
      </c>
      <c r="BD364" s="408">
        <v>0</v>
      </c>
      <c r="BE364" s="408">
        <v>0</v>
      </c>
      <c r="BF364" s="408"/>
      <c r="BG364" s="408">
        <v>0</v>
      </c>
      <c r="BH364" s="408">
        <v>0</v>
      </c>
      <c r="BI364" s="408">
        <v>1369.77</v>
      </c>
      <c r="BJ364" s="408">
        <v>11745</v>
      </c>
      <c r="BK364" s="408">
        <v>418618.52</v>
      </c>
      <c r="BL364" s="408">
        <v>106</v>
      </c>
      <c r="BM364" s="408"/>
      <c r="BN364" s="408"/>
      <c r="BO364" s="408"/>
      <c r="BP364" s="408"/>
      <c r="BQ364" s="408"/>
      <c r="BR364" s="408"/>
      <c r="BS364" s="408"/>
      <c r="BT364" s="408"/>
      <c r="BU364" s="408"/>
      <c r="BV364" s="408">
        <v>0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396097.28000000003</v>
      </c>
      <c r="CJ364" s="408">
        <v>-98842.32</v>
      </c>
      <c r="CK364" s="408"/>
      <c r="CL364" s="408"/>
      <c r="CM364" s="408"/>
      <c r="CN364" s="408"/>
      <c r="CO364" s="408">
        <v>-98842.29</v>
      </c>
      <c r="CP364" s="408">
        <v>0</v>
      </c>
      <c r="CQ364" s="408"/>
      <c r="CR364" s="408">
        <v>9283.3841746494218</v>
      </c>
      <c r="CS364" s="408">
        <v>897.66666711711332</v>
      </c>
      <c r="CT364" s="408">
        <v>4186.6193686942788</v>
      </c>
      <c r="CU364" s="408">
        <v>0</v>
      </c>
      <c r="CV364" s="408">
        <v>0</v>
      </c>
      <c r="CW364" s="408"/>
      <c r="CX364" s="408"/>
      <c r="CY364" s="408"/>
      <c r="CZ364" s="408">
        <v>4199.0981388380342</v>
      </c>
      <c r="DA364" s="408">
        <v>0</v>
      </c>
      <c r="DB364" s="408">
        <v>0</v>
      </c>
      <c r="DC364" s="408"/>
      <c r="DD364" s="408"/>
      <c r="DE364" s="408">
        <v>0</v>
      </c>
      <c r="DF364" s="408">
        <v>0</v>
      </c>
      <c r="DG364" s="408">
        <v>0</v>
      </c>
      <c r="DH364" s="408">
        <v>0</v>
      </c>
      <c r="DI364" s="408">
        <v>0</v>
      </c>
      <c r="DJ364" s="408"/>
      <c r="DK364" s="408">
        <v>0</v>
      </c>
      <c r="DL364" s="408">
        <v>0</v>
      </c>
      <c r="DM364" s="408"/>
      <c r="DN364" s="408">
        <v>0</v>
      </c>
      <c r="DO364" s="408">
        <v>0</v>
      </c>
      <c r="DP364" s="408">
        <v>0</v>
      </c>
      <c r="DQ364" s="408">
        <v>0</v>
      </c>
      <c r="DR364" s="408">
        <v>0</v>
      </c>
      <c r="DS364" s="408"/>
      <c r="DT364" s="408"/>
      <c r="DU364" s="408">
        <v>435634.74651623238</v>
      </c>
      <c r="DV364" s="408"/>
      <c r="DW364" s="408">
        <v>0</v>
      </c>
      <c r="DX364" s="408">
        <v>0</v>
      </c>
      <c r="DY364" s="408">
        <v>-98842.289999999979</v>
      </c>
      <c r="DZ364" s="408"/>
      <c r="EA364" s="408">
        <v>0</v>
      </c>
      <c r="EB364" s="408"/>
      <c r="EC364" s="408">
        <v>-108219.06051782583</v>
      </c>
      <c r="ED364" s="408"/>
      <c r="EE364" s="408">
        <v>0</v>
      </c>
      <c r="EF364" s="408">
        <v>0</v>
      </c>
      <c r="EG364" s="408"/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/>
      <c r="EN364" s="408"/>
      <c r="EO364" s="408">
        <v>0</v>
      </c>
      <c r="EP364" s="408">
        <v>0</v>
      </c>
      <c r="EQ364" s="408"/>
      <c r="ER364" s="408">
        <v>0</v>
      </c>
      <c r="ES364" s="408"/>
      <c r="ET364" s="408">
        <v>0</v>
      </c>
      <c r="EU364" s="408"/>
      <c r="EV364" s="408">
        <v>240</v>
      </c>
      <c r="EW364" s="408"/>
      <c r="EX364" s="408"/>
      <c r="EY364" s="408"/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363</v>
      </c>
      <c r="B365" s="408" t="s">
        <v>2237</v>
      </c>
      <c r="C365" s="408" t="s">
        <v>2243</v>
      </c>
      <c r="D365" s="408" t="s">
        <v>597</v>
      </c>
      <c r="E365" s="408" t="s">
        <v>970</v>
      </c>
      <c r="F365" s="408" t="s">
        <v>1322</v>
      </c>
      <c r="G365" s="408" t="s">
        <v>1322</v>
      </c>
      <c r="H365" s="408" t="s">
        <v>1322</v>
      </c>
      <c r="I365" s="408" t="s">
        <v>1322</v>
      </c>
      <c r="J365" s="408" t="s">
        <v>2236</v>
      </c>
      <c r="K365" s="826">
        <v>44531</v>
      </c>
      <c r="L365" s="408">
        <v>0</v>
      </c>
      <c r="M365" s="408">
        <v>0</v>
      </c>
      <c r="N365" s="408">
        <v>0</v>
      </c>
      <c r="O365" s="408">
        <v>0</v>
      </c>
      <c r="P365" s="408">
        <v>0</v>
      </c>
      <c r="Q365" s="408">
        <v>0</v>
      </c>
      <c r="R365" s="408"/>
      <c r="S365" s="408"/>
      <c r="T365" s="408"/>
      <c r="U365" s="408"/>
      <c r="V365" s="408"/>
      <c r="W365" s="408"/>
      <c r="X365" s="408"/>
      <c r="Y365" s="408"/>
      <c r="Z365" s="408"/>
      <c r="AA365" s="408">
        <v>0</v>
      </c>
      <c r="AB365" s="408"/>
      <c r="AC365" s="408"/>
      <c r="AD365" s="408"/>
      <c r="AE365" s="408"/>
      <c r="AF365" s="408"/>
      <c r="AG365" s="408"/>
      <c r="AH365" s="408"/>
      <c r="AI365" s="408"/>
      <c r="AJ365" s="408"/>
      <c r="AK365" s="408"/>
      <c r="AL365" s="408"/>
      <c r="AM365" s="408"/>
      <c r="AN365" s="408"/>
      <c r="AO365" s="408"/>
      <c r="AP365" s="408"/>
      <c r="AQ365" s="408"/>
      <c r="AR365" s="408"/>
      <c r="AS365" s="408"/>
      <c r="AT365" s="408"/>
      <c r="AU365" s="408"/>
      <c r="AV365" s="408"/>
      <c r="AW365" s="408"/>
      <c r="AX365" s="408"/>
      <c r="AY365" s="408"/>
      <c r="AZ365" s="408">
        <v>0</v>
      </c>
      <c r="BA365" s="408"/>
      <c r="BB365" s="408"/>
      <c r="BC365" s="408"/>
      <c r="BD365" s="408"/>
      <c r="BE365" s="408"/>
      <c r="BF365" s="408"/>
      <c r="BG365" s="408"/>
      <c r="BH365" s="408"/>
      <c r="BI365" s="408">
        <v>0.01</v>
      </c>
      <c r="BJ365" s="408">
        <v>-0.02</v>
      </c>
      <c r="BK365" s="408">
        <v>-4788.8100000000004</v>
      </c>
      <c r="BL365" s="408">
        <v>0</v>
      </c>
      <c r="BM365" s="408"/>
      <c r="BN365" s="408"/>
      <c r="BO365" s="408"/>
      <c r="BP365" s="408"/>
      <c r="BQ365" s="408"/>
      <c r="BR365" s="408"/>
      <c r="BS365" s="408"/>
      <c r="BT365" s="408"/>
      <c r="BU365" s="408"/>
      <c r="BV365" s="408"/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/>
      <c r="CJ365" s="408">
        <v>-0.03</v>
      </c>
      <c r="CK365" s="408"/>
      <c r="CL365" s="408"/>
      <c r="CM365" s="408"/>
      <c r="CN365" s="408"/>
      <c r="CO365" s="408">
        <v>0</v>
      </c>
      <c r="CP365" s="408">
        <v>0</v>
      </c>
      <c r="CQ365" s="408"/>
      <c r="CR365" s="408"/>
      <c r="CS365" s="408"/>
      <c r="CT365" s="408"/>
      <c r="CU365" s="408"/>
      <c r="CV365" s="408"/>
      <c r="CW365" s="408"/>
      <c r="CX365" s="408"/>
      <c r="CY365" s="408"/>
      <c r="CZ365" s="408"/>
      <c r="DA365" s="408"/>
      <c r="DB365" s="408"/>
      <c r="DC365" s="408"/>
      <c r="DD365" s="408"/>
      <c r="DE365" s="408"/>
      <c r="DF365" s="408"/>
      <c r="DG365" s="408"/>
      <c r="DH365" s="408"/>
      <c r="DI365" s="408"/>
      <c r="DJ365" s="408"/>
      <c r="DK365" s="408">
        <v>0</v>
      </c>
      <c r="DL365" s="408"/>
      <c r="DM365" s="408"/>
      <c r="DN365" s="408"/>
      <c r="DO365" s="408"/>
      <c r="DP365" s="408"/>
      <c r="DQ365" s="408"/>
      <c r="DR365" s="408"/>
      <c r="DS365" s="408"/>
      <c r="DT365" s="408"/>
      <c r="DU365" s="408"/>
      <c r="DV365" s="408"/>
      <c r="DW365" s="408"/>
      <c r="DX365" s="408"/>
      <c r="DY365" s="408"/>
      <c r="DZ365" s="408"/>
      <c r="EA365" s="408"/>
      <c r="EB365" s="408"/>
      <c r="EC365" s="408"/>
      <c r="ED365" s="408"/>
      <c r="EE365" s="408"/>
      <c r="EF365" s="408"/>
      <c r="EG365" s="408"/>
      <c r="EH365" s="408"/>
      <c r="EI365" s="408"/>
      <c r="EJ365" s="408"/>
      <c r="EK365" s="408"/>
      <c r="EL365" s="408"/>
      <c r="EM365" s="408"/>
      <c r="EN365" s="408"/>
      <c r="EO365" s="408"/>
      <c r="EP365" s="408"/>
      <c r="EQ365" s="408"/>
      <c r="ER365" s="408"/>
      <c r="ES365" s="408"/>
      <c r="ET365" s="408"/>
      <c r="EU365" s="408"/>
      <c r="EV365" s="408">
        <v>240</v>
      </c>
      <c r="EW365" s="408"/>
      <c r="EX365" s="408"/>
      <c r="EY365" s="408"/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364</v>
      </c>
      <c r="B366" s="408" t="s">
        <v>2238</v>
      </c>
      <c r="C366" s="408" t="s">
        <v>2243</v>
      </c>
      <c r="D366" s="408" t="s">
        <v>597</v>
      </c>
      <c r="E366" s="408" t="s">
        <v>970</v>
      </c>
      <c r="F366" s="408" t="s">
        <v>1322</v>
      </c>
      <c r="G366" s="408" t="s">
        <v>1322</v>
      </c>
      <c r="H366" s="408" t="s">
        <v>1322</v>
      </c>
      <c r="I366" s="408" t="s">
        <v>1322</v>
      </c>
      <c r="J366" s="408" t="s">
        <v>2236</v>
      </c>
      <c r="K366" s="826">
        <v>44531</v>
      </c>
      <c r="L366" s="408">
        <v>445</v>
      </c>
      <c r="M366" s="408">
        <v>445</v>
      </c>
      <c r="N366" s="408">
        <v>0</v>
      </c>
      <c r="O366" s="408">
        <v>0</v>
      </c>
      <c r="P366" s="408">
        <v>0</v>
      </c>
      <c r="Q366" s="408">
        <v>0</v>
      </c>
      <c r="R366" s="408">
        <v>27.19</v>
      </c>
      <c r="S366" s="408"/>
      <c r="T366" s="408"/>
      <c r="U366" s="408">
        <v>12099.550000000001</v>
      </c>
      <c r="V366" s="408"/>
      <c r="W366" s="408">
        <v>12099.550000000001</v>
      </c>
      <c r="X366" s="408">
        <v>9683.2000000000007</v>
      </c>
      <c r="Y366" s="408">
        <v>0</v>
      </c>
      <c r="Z366" s="408">
        <v>0</v>
      </c>
      <c r="AA366" s="408">
        <v>0</v>
      </c>
      <c r="AB366" s="408">
        <v>0</v>
      </c>
      <c r="AC366" s="408">
        <v>103.77427297526599</v>
      </c>
      <c r="AD366" s="408">
        <v>99.695503519838681</v>
      </c>
      <c r="AE366" s="408">
        <v>10649.753458205976</v>
      </c>
      <c r="AF366" s="408"/>
      <c r="AG366" s="408"/>
      <c r="AH366" s="408"/>
      <c r="AI366" s="408">
        <v>0</v>
      </c>
      <c r="AJ366" s="408">
        <v>0</v>
      </c>
      <c r="AK366" s="408">
        <v>0</v>
      </c>
      <c r="AL366" s="408">
        <v>0</v>
      </c>
      <c r="AM366" s="408"/>
      <c r="AN366" s="408">
        <v>0</v>
      </c>
      <c r="AO366" s="408">
        <v>220.22374983525648</v>
      </c>
      <c r="AP366" s="408">
        <v>1027.0995351401132</v>
      </c>
      <c r="AQ366" s="408">
        <v>0</v>
      </c>
      <c r="AR366" s="408">
        <v>0</v>
      </c>
      <c r="AS366" s="408"/>
      <c r="AT366" s="408"/>
      <c r="AU366" s="408">
        <v>0</v>
      </c>
      <c r="AV366" s="408">
        <v>0</v>
      </c>
      <c r="AW366" s="408">
        <v>0</v>
      </c>
      <c r="AX366" s="408"/>
      <c r="AY366" s="408"/>
      <c r="AZ366" s="408">
        <v>0</v>
      </c>
      <c r="BA366" s="408"/>
      <c r="BB366" s="408">
        <v>0</v>
      </c>
      <c r="BC366" s="408">
        <v>0</v>
      </c>
      <c r="BD366" s="408">
        <v>0</v>
      </c>
      <c r="BE366" s="408">
        <v>0</v>
      </c>
      <c r="BF366" s="408"/>
      <c r="BG366" s="408">
        <v>0</v>
      </c>
      <c r="BH366" s="408">
        <v>0</v>
      </c>
      <c r="BI366" s="408">
        <v>8.4499999999999993</v>
      </c>
      <c r="BJ366" s="408">
        <v>72.59</v>
      </c>
      <c r="BK366" s="408">
        <v>2507.87</v>
      </c>
      <c r="BL366" s="408">
        <v>4</v>
      </c>
      <c r="BM366" s="408"/>
      <c r="BN366" s="408"/>
      <c r="BO366" s="408"/>
      <c r="BP366" s="408"/>
      <c r="BQ366" s="408"/>
      <c r="BR366" s="408"/>
      <c r="BS366" s="408"/>
      <c r="BT366" s="408"/>
      <c r="BU366" s="408"/>
      <c r="BV366" s="408">
        <v>0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9683.2000000000007</v>
      </c>
      <c r="CJ366" s="408">
        <v>-2416.380000000001</v>
      </c>
      <c r="CK366" s="408"/>
      <c r="CL366" s="408"/>
      <c r="CM366" s="408"/>
      <c r="CN366" s="408"/>
      <c r="CO366" s="408">
        <v>-2416.35</v>
      </c>
      <c r="CP366" s="408">
        <v>0</v>
      </c>
      <c r="CQ366" s="408"/>
      <c r="CR366" s="408">
        <v>226.94643507767933</v>
      </c>
      <c r="CS366" s="408">
        <v>21.944825955453211</v>
      </c>
      <c r="CT366" s="408">
        <v>102.34827331038582</v>
      </c>
      <c r="CU366" s="408">
        <v>0</v>
      </c>
      <c r="CV366" s="408">
        <v>0</v>
      </c>
      <c r="CW366" s="408"/>
      <c r="CX366" s="408"/>
      <c r="CY366" s="408"/>
      <c r="CZ366" s="408">
        <v>102.65333581184008</v>
      </c>
      <c r="DA366" s="408">
        <v>0</v>
      </c>
      <c r="DB366" s="408">
        <v>0</v>
      </c>
      <c r="DC366" s="408"/>
      <c r="DD366" s="408"/>
      <c r="DE366" s="408">
        <v>0</v>
      </c>
      <c r="DF366" s="408">
        <v>0</v>
      </c>
      <c r="DG366" s="408">
        <v>0</v>
      </c>
      <c r="DH366" s="408">
        <v>0</v>
      </c>
      <c r="DI366" s="408">
        <v>0</v>
      </c>
      <c r="DJ366" s="408"/>
      <c r="DK366" s="408">
        <v>0</v>
      </c>
      <c r="DL366" s="408">
        <v>0</v>
      </c>
      <c r="DM366" s="408"/>
      <c r="DN366" s="408">
        <v>0</v>
      </c>
      <c r="DO366" s="408">
        <v>0</v>
      </c>
      <c r="DP366" s="408">
        <v>0</v>
      </c>
      <c r="DQ366" s="408">
        <v>0</v>
      </c>
      <c r="DR366" s="408">
        <v>0</v>
      </c>
      <c r="DS366" s="408"/>
      <c r="DT366" s="408"/>
      <c r="DU366" s="408">
        <v>10649.753458205976</v>
      </c>
      <c r="DV366" s="408"/>
      <c r="DW366" s="408">
        <v>0</v>
      </c>
      <c r="DX366" s="408">
        <v>0</v>
      </c>
      <c r="DY366" s="408">
        <v>-2416.3500000000004</v>
      </c>
      <c r="DZ366" s="408"/>
      <c r="EA366" s="408">
        <v>0</v>
      </c>
      <c r="EB366" s="408"/>
      <c r="EC366" s="408">
        <v>-2645.5794061656024</v>
      </c>
      <c r="ED366" s="408"/>
      <c r="EE366" s="408">
        <v>0</v>
      </c>
      <c r="EF366" s="408">
        <v>0</v>
      </c>
      <c r="EG366" s="408"/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/>
      <c r="EN366" s="408"/>
      <c r="EO366" s="408">
        <v>0</v>
      </c>
      <c r="EP366" s="408">
        <v>0</v>
      </c>
      <c r="EQ366" s="408"/>
      <c r="ER366" s="408">
        <v>0</v>
      </c>
      <c r="ES366" s="408"/>
      <c r="ET366" s="408">
        <v>0</v>
      </c>
      <c r="EU366" s="408"/>
      <c r="EV366" s="408">
        <v>240</v>
      </c>
      <c r="EW366" s="408"/>
      <c r="EX366" s="408"/>
      <c r="EY366" s="408"/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365</v>
      </c>
      <c r="B367" s="408" t="s">
        <v>1036</v>
      </c>
      <c r="C367" s="408" t="s">
        <v>2316</v>
      </c>
      <c r="D367" s="408" t="s">
        <v>1958</v>
      </c>
      <c r="E367" s="408" t="s">
        <v>970</v>
      </c>
      <c r="F367" s="408" t="s">
        <v>1322</v>
      </c>
      <c r="G367" s="408" t="s">
        <v>1322</v>
      </c>
      <c r="H367" s="408" t="s">
        <v>1322</v>
      </c>
      <c r="I367" s="408" t="s">
        <v>973</v>
      </c>
      <c r="J367" s="408" t="s">
        <v>2236</v>
      </c>
      <c r="K367" s="826">
        <v>44531</v>
      </c>
      <c r="L367" s="408">
        <v>0</v>
      </c>
      <c r="M367" s="408">
        <v>0</v>
      </c>
      <c r="N367" s="408">
        <v>3.2000000000000001E-2</v>
      </c>
      <c r="O367" s="408">
        <v>3.2000000000000001E-2</v>
      </c>
      <c r="P367" s="408">
        <v>3.2000000000000001E-2</v>
      </c>
      <c r="Q367" s="408">
        <v>3.2000000000000001E-2</v>
      </c>
      <c r="R367" s="408"/>
      <c r="S367" s="408">
        <v>1553.42</v>
      </c>
      <c r="T367" s="408">
        <v>173.25</v>
      </c>
      <c r="U367" s="408"/>
      <c r="V367" s="408">
        <v>55.253439999999998</v>
      </c>
      <c r="W367" s="408">
        <v>55.253439999999998</v>
      </c>
      <c r="X367" s="408">
        <v>52.423680000000004</v>
      </c>
      <c r="Y367" s="408">
        <v>0</v>
      </c>
      <c r="Z367" s="408">
        <v>1.9694458623798528</v>
      </c>
      <c r="AA367" s="408">
        <v>0</v>
      </c>
      <c r="AB367" s="408">
        <v>0</v>
      </c>
      <c r="AC367" s="408">
        <v>3.4703758736194241</v>
      </c>
      <c r="AD367" s="408">
        <v>0.2399878433324944</v>
      </c>
      <c r="AE367" s="408">
        <v>22.988412910159969</v>
      </c>
      <c r="AF367" s="408">
        <v>5.4508950587300165</v>
      </c>
      <c r="AG367" s="408">
        <v>9.3031472977320007E-2</v>
      </c>
      <c r="AH367" s="408">
        <v>0</v>
      </c>
      <c r="AI367" s="408">
        <v>0</v>
      </c>
      <c r="AJ367" s="408">
        <v>0</v>
      </c>
      <c r="AK367" s="408">
        <v>0</v>
      </c>
      <c r="AL367" s="408">
        <v>0.30428896887441315</v>
      </c>
      <c r="AM367" s="408"/>
      <c r="AN367" s="408">
        <v>3.865141485960704E-2</v>
      </c>
      <c r="AO367" s="408">
        <v>10.097726871047904</v>
      </c>
      <c r="AP367" s="408">
        <v>9.8113950234171519</v>
      </c>
      <c r="AQ367" s="408">
        <v>0</v>
      </c>
      <c r="AR367" s="408">
        <v>0</v>
      </c>
      <c r="AS367" s="408">
        <v>0</v>
      </c>
      <c r="AT367" s="408">
        <v>0</v>
      </c>
      <c r="AU367" s="408">
        <v>0</v>
      </c>
      <c r="AV367" s="408">
        <v>0</v>
      </c>
      <c r="AW367" s="408">
        <v>0</v>
      </c>
      <c r="AX367" s="408">
        <v>0</v>
      </c>
      <c r="AY367" s="408">
        <v>0</v>
      </c>
      <c r="AZ367" s="408">
        <v>0</v>
      </c>
      <c r="BA367" s="408"/>
      <c r="BB367" s="408">
        <v>0</v>
      </c>
      <c r="BC367" s="408">
        <v>0</v>
      </c>
      <c r="BD367" s="408">
        <v>0</v>
      </c>
      <c r="BE367" s="408">
        <v>0</v>
      </c>
      <c r="BF367" s="408">
        <v>0</v>
      </c>
      <c r="BG367" s="408">
        <v>0.2860733384011514</v>
      </c>
      <c r="BH367" s="408">
        <v>0</v>
      </c>
      <c r="BI367" s="408">
        <v>0</v>
      </c>
      <c r="BJ367" s="408">
        <v>0</v>
      </c>
      <c r="BK367" s="408">
        <v>0</v>
      </c>
      <c r="BL367" s="408">
        <v>0</v>
      </c>
      <c r="BM367" s="408"/>
      <c r="BN367" s="408"/>
      <c r="BO367" s="408"/>
      <c r="BP367" s="408"/>
      <c r="BQ367" s="408"/>
      <c r="BR367" s="408"/>
      <c r="BS367" s="408"/>
      <c r="BT367" s="408"/>
      <c r="BU367" s="408"/>
      <c r="BV367" s="408">
        <v>5.736968397131168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49.147199999999998</v>
      </c>
      <c r="CJ367" s="408">
        <v>-6.1362399999999937</v>
      </c>
      <c r="CK367" s="408"/>
      <c r="CL367" s="408"/>
      <c r="CM367" s="408"/>
      <c r="CN367" s="408"/>
      <c r="CO367" s="408">
        <v>-3.5206399999999993</v>
      </c>
      <c r="CP367" s="408">
        <v>0.69088000000000016</v>
      </c>
      <c r="CQ367" s="408"/>
      <c r="CR367" s="408">
        <v>2.8808998034123405</v>
      </c>
      <c r="CS367" s="408">
        <v>1.0062168993880967</v>
      </c>
      <c r="CT367" s="408">
        <v>0.97768454278959993</v>
      </c>
      <c r="CU367" s="408">
        <v>0</v>
      </c>
      <c r="CV367" s="408">
        <v>0</v>
      </c>
      <c r="CW367" s="408">
        <v>0</v>
      </c>
      <c r="CX367" s="408">
        <v>0</v>
      </c>
      <c r="CY367" s="408">
        <v>0</v>
      </c>
      <c r="CZ367" s="408">
        <v>0.24710796176948319</v>
      </c>
      <c r="DA367" s="408">
        <v>0</v>
      </c>
      <c r="DB367" s="408">
        <v>0</v>
      </c>
      <c r="DC367" s="408">
        <v>0.69080199565276779</v>
      </c>
      <c r="DD367" s="408">
        <v>0</v>
      </c>
      <c r="DE367" s="408">
        <v>0</v>
      </c>
      <c r="DF367" s="408">
        <v>0</v>
      </c>
      <c r="DG367" s="408">
        <v>3.6254602398567037E-2</v>
      </c>
      <c r="DH367" s="408">
        <v>0</v>
      </c>
      <c r="DI367" s="408">
        <v>-6.6876149356345671E-2</v>
      </c>
      <c r="DJ367" s="408"/>
      <c r="DK367" s="408">
        <v>0</v>
      </c>
      <c r="DL367" s="408">
        <v>0</v>
      </c>
      <c r="DM367" s="408">
        <v>0</v>
      </c>
      <c r="DN367" s="408">
        <v>0</v>
      </c>
      <c r="DO367" s="408">
        <v>-9.1965454368339028E-3</v>
      </c>
      <c r="DP367" s="408">
        <v>-1.093503792988483E-3</v>
      </c>
      <c r="DQ367" s="408">
        <v>0</v>
      </c>
      <c r="DR367" s="408">
        <v>0</v>
      </c>
      <c r="DS367" s="408"/>
      <c r="DT367" s="408"/>
      <c r="DU367" s="408"/>
      <c r="DV367" s="408">
        <v>22.988412910159969</v>
      </c>
      <c r="DW367" s="408">
        <v>0</v>
      </c>
      <c r="DX367" s="408">
        <v>0</v>
      </c>
      <c r="DY367" s="408">
        <v>-3.5206400000000002</v>
      </c>
      <c r="DZ367" s="408">
        <v>0.69087999999999994</v>
      </c>
      <c r="EA367" s="408">
        <v>0</v>
      </c>
      <c r="EB367" s="408">
        <v>0</v>
      </c>
      <c r="EC367" s="408">
        <v>-5.7107117093578559</v>
      </c>
      <c r="ED367" s="408">
        <v>0</v>
      </c>
      <c r="EE367" s="408">
        <v>0</v>
      </c>
      <c r="EF367" s="408">
        <v>0</v>
      </c>
      <c r="EG367" s="408">
        <v>0</v>
      </c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>
        <v>0</v>
      </c>
      <c r="EN367" s="408">
        <v>0</v>
      </c>
      <c r="EO367" s="408">
        <v>0</v>
      </c>
      <c r="EP367" s="408">
        <v>0.50296134804251846</v>
      </c>
      <c r="EQ367" s="408">
        <v>0</v>
      </c>
      <c r="ER367" s="408">
        <v>0</v>
      </c>
      <c r="ES367" s="408">
        <v>0</v>
      </c>
      <c r="ET367" s="408">
        <v>0</v>
      </c>
      <c r="EU367" s="408">
        <v>0</v>
      </c>
      <c r="EV367" s="408">
        <v>240</v>
      </c>
      <c r="EW367" s="408">
        <v>0</v>
      </c>
      <c r="EX367" s="408">
        <v>0</v>
      </c>
      <c r="EY367" s="408">
        <v>0</v>
      </c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366</v>
      </c>
      <c r="B368" s="408" t="s">
        <v>1036</v>
      </c>
      <c r="C368" s="408" t="s">
        <v>2316</v>
      </c>
      <c r="D368" s="408" t="s">
        <v>1958</v>
      </c>
      <c r="E368" s="408" t="s">
        <v>970</v>
      </c>
      <c r="F368" s="408" t="s">
        <v>1322</v>
      </c>
      <c r="G368" s="408" t="s">
        <v>1322</v>
      </c>
      <c r="H368" s="408" t="s">
        <v>1322</v>
      </c>
      <c r="I368" s="408" t="s">
        <v>2244</v>
      </c>
      <c r="J368" s="408" t="s">
        <v>2236</v>
      </c>
      <c r="K368" s="826">
        <v>44531</v>
      </c>
      <c r="L368" s="408">
        <v>0</v>
      </c>
      <c r="M368" s="408">
        <v>0</v>
      </c>
      <c r="N368" s="408">
        <v>1.879</v>
      </c>
      <c r="O368" s="408">
        <v>1.879</v>
      </c>
      <c r="P368" s="408">
        <v>1.879</v>
      </c>
      <c r="Q368" s="408">
        <v>1.879</v>
      </c>
      <c r="R368" s="408"/>
      <c r="S368" s="408">
        <v>388.22</v>
      </c>
      <c r="T368" s="408">
        <v>173.25</v>
      </c>
      <c r="U368" s="408"/>
      <c r="V368" s="408">
        <v>1055.0021300000001</v>
      </c>
      <c r="W368" s="408">
        <v>1055.0021300000001</v>
      </c>
      <c r="X368" s="408">
        <v>1052.29637</v>
      </c>
      <c r="Y368" s="408">
        <v>0</v>
      </c>
      <c r="Z368" s="408">
        <v>115.64339923161698</v>
      </c>
      <c r="AA368" s="408">
        <v>0</v>
      </c>
      <c r="AB368" s="408">
        <v>0</v>
      </c>
      <c r="AC368" s="408">
        <v>40.755226665818114</v>
      </c>
      <c r="AD368" s="408">
        <v>2.8183598721608458</v>
      </c>
      <c r="AE368" s="408">
        <v>269.97037646571187</v>
      </c>
      <c r="AF368" s="408">
        <v>320.06974422980312</v>
      </c>
      <c r="AG368" s="408">
        <v>5.4626918038870089</v>
      </c>
      <c r="AH368" s="408">
        <v>0</v>
      </c>
      <c r="AI368" s="408">
        <v>0</v>
      </c>
      <c r="AJ368" s="408">
        <v>0</v>
      </c>
      <c r="AK368" s="408">
        <v>0</v>
      </c>
      <c r="AL368" s="408">
        <v>17.867467891094446</v>
      </c>
      <c r="AM368" s="408"/>
      <c r="AN368" s="408">
        <v>2.2695627662875508</v>
      </c>
      <c r="AO368" s="408">
        <v>118.58517994186883</v>
      </c>
      <c r="AP368" s="408">
        <v>115.22257030625518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0</v>
      </c>
      <c r="BE368" s="408">
        <v>0</v>
      </c>
      <c r="BF368" s="408">
        <v>0</v>
      </c>
      <c r="BG368" s="408">
        <v>16.797868839242607</v>
      </c>
      <c r="BH368" s="408">
        <v>0</v>
      </c>
      <c r="BI368" s="408">
        <v>0</v>
      </c>
      <c r="BJ368" s="408">
        <v>0</v>
      </c>
      <c r="BK368" s="408">
        <v>0</v>
      </c>
      <c r="BL368" s="408">
        <v>0</v>
      </c>
      <c r="BM368" s="408"/>
      <c r="BN368" s="408"/>
      <c r="BO368" s="408"/>
      <c r="BP368" s="408"/>
      <c r="BQ368" s="408"/>
      <c r="BR368" s="408"/>
      <c r="BS368" s="408"/>
      <c r="BT368" s="408"/>
      <c r="BU368" s="408"/>
      <c r="BV368" s="408">
        <v>336.86761306904572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1052.8563999999999</v>
      </c>
      <c r="CJ368" s="408">
        <v>-2.1757300000001578</v>
      </c>
      <c r="CK368" s="408"/>
      <c r="CL368" s="408"/>
      <c r="CM368" s="408"/>
      <c r="CN368" s="408"/>
      <c r="CO368" s="408">
        <v>-43.273370000000057</v>
      </c>
      <c r="CP368" s="408">
        <v>40.567610000000009</v>
      </c>
      <c r="CQ368" s="408"/>
      <c r="CR368" s="408">
        <v>64.361171296461634</v>
      </c>
      <c r="CS368" s="408">
        <v>11.816759712188741</v>
      </c>
      <c r="CT368" s="408">
        <v>11.481682849385166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2.9019768412922273</v>
      </c>
      <c r="DA368" s="408">
        <v>0</v>
      </c>
      <c r="DB368" s="408">
        <v>0</v>
      </c>
      <c r="DC368" s="408">
        <v>40.563029682235992</v>
      </c>
      <c r="DD368" s="408">
        <v>0</v>
      </c>
      <c r="DE368" s="408">
        <v>0</v>
      </c>
      <c r="DF368" s="408">
        <v>0</v>
      </c>
      <c r="DG368" s="408">
        <v>2.1288249345908596</v>
      </c>
      <c r="DH368" s="408">
        <v>0</v>
      </c>
      <c r="DI368" s="408">
        <v>-3.926883895017923</v>
      </c>
      <c r="DJ368" s="408"/>
      <c r="DK368" s="408">
        <v>0</v>
      </c>
      <c r="DL368" s="408">
        <v>0</v>
      </c>
      <c r="DM368" s="408">
        <v>0</v>
      </c>
      <c r="DN368" s="408">
        <v>0</v>
      </c>
      <c r="DO368" s="408">
        <v>-0.54000965236908982</v>
      </c>
      <c r="DP368" s="408">
        <v>-6.4209175844542443E-2</v>
      </c>
      <c r="DQ368" s="408">
        <v>0</v>
      </c>
      <c r="DR368" s="408">
        <v>0</v>
      </c>
      <c r="DS368" s="408"/>
      <c r="DT368" s="408"/>
      <c r="DU368" s="408"/>
      <c r="DV368" s="408">
        <v>269.97037646571187</v>
      </c>
      <c r="DW368" s="408">
        <v>0</v>
      </c>
      <c r="DX368" s="408">
        <v>0</v>
      </c>
      <c r="DY368" s="408">
        <v>-43.273370000000114</v>
      </c>
      <c r="DZ368" s="408">
        <v>40.567610000000002</v>
      </c>
      <c r="EA368" s="408">
        <v>0</v>
      </c>
      <c r="EB368" s="408">
        <v>0</v>
      </c>
      <c r="EC368" s="408">
        <v>-67.065220904445255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29.533261655371629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240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367</v>
      </c>
      <c r="B369" s="408" t="s">
        <v>1036</v>
      </c>
      <c r="C369" s="408" t="s">
        <v>2316</v>
      </c>
      <c r="D369" s="408" t="s">
        <v>1958</v>
      </c>
      <c r="E369" s="408" t="s">
        <v>970</v>
      </c>
      <c r="F369" s="408" t="s">
        <v>1322</v>
      </c>
      <c r="G369" s="408" t="s">
        <v>1322</v>
      </c>
      <c r="H369" s="408" t="s">
        <v>1322</v>
      </c>
      <c r="I369" s="408" t="s">
        <v>1322</v>
      </c>
      <c r="J369" s="408" t="s">
        <v>2236</v>
      </c>
      <c r="K369" s="826">
        <v>44531</v>
      </c>
      <c r="L369" s="408">
        <v>0</v>
      </c>
      <c r="M369" s="408">
        <v>0</v>
      </c>
      <c r="N369" s="408">
        <v>0</v>
      </c>
      <c r="O369" s="408">
        <v>0</v>
      </c>
      <c r="P369" s="408">
        <v>0</v>
      </c>
      <c r="Q369" s="408">
        <v>0</v>
      </c>
      <c r="R369" s="408"/>
      <c r="S369" s="408"/>
      <c r="T369" s="408"/>
      <c r="U369" s="408"/>
      <c r="V369" s="408"/>
      <c r="W369" s="408"/>
      <c r="X369" s="408"/>
      <c r="Y369" s="408"/>
      <c r="Z369" s="408"/>
      <c r="AA369" s="408">
        <v>0</v>
      </c>
      <c r="AB369" s="408"/>
      <c r="AC369" s="408"/>
      <c r="AD369" s="408"/>
      <c r="AE369" s="408"/>
      <c r="AF369" s="408"/>
      <c r="AG369" s="408"/>
      <c r="AH369" s="408"/>
      <c r="AI369" s="408"/>
      <c r="AJ369" s="408"/>
      <c r="AK369" s="408"/>
      <c r="AL369" s="408"/>
      <c r="AM369" s="408"/>
      <c r="AN369" s="408"/>
      <c r="AO369" s="408"/>
      <c r="AP369" s="408"/>
      <c r="AQ369" s="408"/>
      <c r="AR369" s="408"/>
      <c r="AS369" s="408"/>
      <c r="AT369" s="408"/>
      <c r="AU369" s="408"/>
      <c r="AV369" s="408"/>
      <c r="AW369" s="408"/>
      <c r="AX369" s="408"/>
      <c r="AY369" s="408"/>
      <c r="AZ369" s="408">
        <v>0</v>
      </c>
      <c r="BA369" s="408"/>
      <c r="BB369" s="408"/>
      <c r="BC369" s="408"/>
      <c r="BD369" s="408"/>
      <c r="BE369" s="408"/>
      <c r="BF369" s="408"/>
      <c r="BG369" s="408"/>
      <c r="BH369" s="408"/>
      <c r="BI369" s="408">
        <v>1.06</v>
      </c>
      <c r="BJ369" s="408">
        <v>9.1300000000000008</v>
      </c>
      <c r="BK369" s="408">
        <v>322.74</v>
      </c>
      <c r="BL369" s="408">
        <v>1</v>
      </c>
      <c r="BM369" s="408"/>
      <c r="BN369" s="408"/>
      <c r="BO369" s="408"/>
      <c r="BP369" s="408"/>
      <c r="BQ369" s="408"/>
      <c r="BR369" s="408"/>
      <c r="BS369" s="408"/>
      <c r="BT369" s="408"/>
      <c r="BU369" s="408"/>
      <c r="BV369" s="408"/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/>
      <c r="CJ369" s="408">
        <v>-0.03</v>
      </c>
      <c r="CK369" s="408"/>
      <c r="CL369" s="408"/>
      <c r="CM369" s="408"/>
      <c r="CN369" s="408"/>
      <c r="CO369" s="408">
        <v>0</v>
      </c>
      <c r="CP369" s="408">
        <v>0</v>
      </c>
      <c r="CQ369" s="408"/>
      <c r="CR369" s="408"/>
      <c r="CS369" s="408"/>
      <c r="CT369" s="408"/>
      <c r="CU369" s="408"/>
      <c r="CV369" s="408"/>
      <c r="CW369" s="408"/>
      <c r="CX369" s="408"/>
      <c r="CY369" s="408"/>
      <c r="CZ369" s="408"/>
      <c r="DA369" s="408"/>
      <c r="DB369" s="408"/>
      <c r="DC369" s="408"/>
      <c r="DD369" s="408"/>
      <c r="DE369" s="408"/>
      <c r="DF369" s="408"/>
      <c r="DG369" s="408"/>
      <c r="DH369" s="408"/>
      <c r="DI369" s="408"/>
      <c r="DJ369" s="408"/>
      <c r="DK369" s="408">
        <v>0</v>
      </c>
      <c r="DL369" s="408"/>
      <c r="DM369" s="408"/>
      <c r="DN369" s="408"/>
      <c r="DO369" s="408"/>
      <c r="DP369" s="408"/>
      <c r="DQ369" s="408"/>
      <c r="DR369" s="408"/>
      <c r="DS369" s="408"/>
      <c r="DT369" s="408"/>
      <c r="DU369" s="408"/>
      <c r="DV369" s="408"/>
      <c r="DW369" s="408"/>
      <c r="DX369" s="408"/>
      <c r="DY369" s="408"/>
      <c r="DZ369" s="408"/>
      <c r="EA369" s="408"/>
      <c r="EB369" s="408"/>
      <c r="EC369" s="408"/>
      <c r="ED369" s="408"/>
      <c r="EE369" s="408"/>
      <c r="EF369" s="408"/>
      <c r="EG369" s="408"/>
      <c r="EH369" s="408"/>
      <c r="EI369" s="408"/>
      <c r="EJ369" s="408"/>
      <c r="EK369" s="408"/>
      <c r="EL369" s="408"/>
      <c r="EM369" s="408"/>
      <c r="EN369" s="408"/>
      <c r="EO369" s="408"/>
      <c r="EP369" s="408"/>
      <c r="EQ369" s="408"/>
      <c r="ER369" s="408"/>
      <c r="ES369" s="408"/>
      <c r="ET369" s="408"/>
      <c r="EU369" s="408"/>
      <c r="EV369" s="408">
        <v>240</v>
      </c>
      <c r="EW369" s="408"/>
      <c r="EX369" s="408"/>
      <c r="EY369" s="408"/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368</v>
      </c>
      <c r="B370" s="408" t="s">
        <v>1036</v>
      </c>
      <c r="C370" s="408" t="s">
        <v>2316</v>
      </c>
      <c r="D370" s="408" t="s">
        <v>1958</v>
      </c>
      <c r="E370" s="408" t="s">
        <v>970</v>
      </c>
      <c r="F370" s="408" t="s">
        <v>1322</v>
      </c>
      <c r="G370" s="408" t="s">
        <v>1322</v>
      </c>
      <c r="H370" s="408" t="s">
        <v>1322</v>
      </c>
      <c r="I370" s="408" t="s">
        <v>2317</v>
      </c>
      <c r="J370" s="408" t="s">
        <v>2236</v>
      </c>
      <c r="K370" s="826">
        <v>44531</v>
      </c>
      <c r="L370" s="408">
        <v>0</v>
      </c>
      <c r="M370" s="408">
        <v>0</v>
      </c>
      <c r="N370" s="408">
        <v>0.109</v>
      </c>
      <c r="O370" s="408">
        <v>0.109</v>
      </c>
      <c r="P370" s="408">
        <v>0.109</v>
      </c>
      <c r="Q370" s="408">
        <v>0.109</v>
      </c>
      <c r="R370" s="408"/>
      <c r="S370" s="408">
        <v>970.82</v>
      </c>
      <c r="T370" s="408">
        <v>173.25</v>
      </c>
      <c r="U370" s="408"/>
      <c r="V370" s="408">
        <v>124.70363</v>
      </c>
      <c r="W370" s="408">
        <v>124.70363</v>
      </c>
      <c r="X370" s="408">
        <v>119.80517</v>
      </c>
      <c r="Y370" s="408">
        <v>0</v>
      </c>
      <c r="Z370" s="408">
        <v>6.7084249687313733</v>
      </c>
      <c r="AA370" s="408">
        <v>0</v>
      </c>
      <c r="AB370" s="408">
        <v>0</v>
      </c>
      <c r="AC370" s="408">
        <v>7.0925806917097081</v>
      </c>
      <c r="AD370" s="408">
        <v>0.49047561372889548</v>
      </c>
      <c r="AE370" s="408">
        <v>46.982580623495011</v>
      </c>
      <c r="AF370" s="408">
        <v>18.567111293799115</v>
      </c>
      <c r="AG370" s="408">
        <v>0.31688845482899625</v>
      </c>
      <c r="AH370" s="408">
        <v>0</v>
      </c>
      <c r="AI370" s="408">
        <v>0</v>
      </c>
      <c r="AJ370" s="408">
        <v>0</v>
      </c>
      <c r="AK370" s="408">
        <v>0</v>
      </c>
      <c r="AL370" s="408">
        <v>1.0364843002284696</v>
      </c>
      <c r="AM370" s="408"/>
      <c r="AN370" s="408">
        <v>0.13165638186553646</v>
      </c>
      <c r="AO370" s="408">
        <v>20.637229292704134</v>
      </c>
      <c r="AP370" s="408">
        <v>20.052038579108846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0</v>
      </c>
      <c r="BE370" s="408">
        <v>0</v>
      </c>
      <c r="BF370" s="408">
        <v>0</v>
      </c>
      <c r="BG370" s="408">
        <v>0.97443730892892189</v>
      </c>
      <c r="BH370" s="408">
        <v>0</v>
      </c>
      <c r="BI370" s="408">
        <v>0</v>
      </c>
      <c r="BJ370" s="408">
        <v>0</v>
      </c>
      <c r="BK370" s="408">
        <v>0</v>
      </c>
      <c r="BL370" s="408">
        <v>0</v>
      </c>
      <c r="BM370" s="408"/>
      <c r="BN370" s="408"/>
      <c r="BO370" s="408"/>
      <c r="BP370" s="408"/>
      <c r="BQ370" s="408"/>
      <c r="BR370" s="408"/>
      <c r="BS370" s="408"/>
      <c r="BT370" s="408"/>
      <c r="BU370" s="408"/>
      <c r="BV370" s="408">
        <v>19.541548602728039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120.90429999999999</v>
      </c>
      <c r="CJ370" s="408">
        <v>-3.8293300000000272</v>
      </c>
      <c r="CK370" s="408"/>
      <c r="CL370" s="408"/>
      <c r="CM370" s="408"/>
      <c r="CN370" s="408"/>
      <c r="CO370" s="408">
        <v>-7.2517700000000094</v>
      </c>
      <c r="CP370" s="408">
        <v>2.3533100000000005</v>
      </c>
      <c r="CQ370" s="408"/>
      <c r="CR370" s="408">
        <v>6.7733151150287938</v>
      </c>
      <c r="CS370" s="408">
        <v>2.0564557881244419</v>
      </c>
      <c r="CT370" s="408">
        <v>1.9981427843261379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0.50502736939997994</v>
      </c>
      <c r="DA370" s="408">
        <v>0</v>
      </c>
      <c r="DB370" s="408">
        <v>0</v>
      </c>
      <c r="DC370" s="408">
        <v>2.353044297692243</v>
      </c>
      <c r="DD370" s="408">
        <v>0</v>
      </c>
      <c r="DE370" s="408">
        <v>0</v>
      </c>
      <c r="DF370" s="408">
        <v>0</v>
      </c>
      <c r="DG370" s="408">
        <v>0.12349223942011889</v>
      </c>
      <c r="DH370" s="408">
        <v>0</v>
      </c>
      <c r="DI370" s="408">
        <v>-0.22779688374505191</v>
      </c>
      <c r="DJ370" s="408"/>
      <c r="DK370" s="408">
        <v>0</v>
      </c>
      <c r="DL370" s="408">
        <v>0</v>
      </c>
      <c r="DM370" s="408">
        <v>0</v>
      </c>
      <c r="DN370" s="408">
        <v>0</v>
      </c>
      <c r="DO370" s="408">
        <v>-3.1325732894215363E-2</v>
      </c>
      <c r="DP370" s="408">
        <v>-3.7247472948669924E-3</v>
      </c>
      <c r="DQ370" s="408">
        <v>0</v>
      </c>
      <c r="DR370" s="408">
        <v>0</v>
      </c>
      <c r="DS370" s="408"/>
      <c r="DT370" s="408"/>
      <c r="DU370" s="408"/>
      <c r="DV370" s="408">
        <v>46.982580623495011</v>
      </c>
      <c r="DW370" s="408">
        <v>0</v>
      </c>
      <c r="DX370" s="408">
        <v>0</v>
      </c>
      <c r="DY370" s="408">
        <v>-7.2517700000000076</v>
      </c>
      <c r="DZ370" s="408">
        <v>2.3533100000000005</v>
      </c>
      <c r="EA370" s="408">
        <v>0</v>
      </c>
      <c r="EB370" s="408">
        <v>0</v>
      </c>
      <c r="EC370" s="408">
        <v>-11.671269972006719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1.7132120917698284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240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369</v>
      </c>
      <c r="B371" s="408" t="s">
        <v>1036</v>
      </c>
      <c r="C371" s="408" t="s">
        <v>2235</v>
      </c>
      <c r="D371" s="408" t="s">
        <v>1958</v>
      </c>
      <c r="E371" s="408" t="s">
        <v>998</v>
      </c>
      <c r="F371" s="408" t="s">
        <v>1322</v>
      </c>
      <c r="G371" s="408" t="s">
        <v>1322</v>
      </c>
      <c r="H371" s="408" t="s">
        <v>1322</v>
      </c>
      <c r="I371" s="408" t="s">
        <v>1322</v>
      </c>
      <c r="J371" s="408" t="s">
        <v>2236</v>
      </c>
      <c r="K371" s="826">
        <v>44531</v>
      </c>
      <c r="L371" s="408">
        <v>0</v>
      </c>
      <c r="M371" s="408">
        <v>0</v>
      </c>
      <c r="N371" s="408">
        <v>2935.8649999999998</v>
      </c>
      <c r="O371" s="408">
        <v>2935.8649999999998</v>
      </c>
      <c r="P371" s="408">
        <v>2935.8649999999998</v>
      </c>
      <c r="Q371" s="408">
        <v>2935.8649999999998</v>
      </c>
      <c r="R371" s="408"/>
      <c r="S371" s="408">
        <v>368.24</v>
      </c>
      <c r="T371" s="408">
        <v>173.25</v>
      </c>
      <c r="U371" s="408"/>
      <c r="V371" s="408">
        <v>1589741.5388500001</v>
      </c>
      <c r="W371" s="408">
        <v>1589741.5388500001</v>
      </c>
      <c r="X371" s="408">
        <v>1494032.3398500001</v>
      </c>
      <c r="Y371" s="408">
        <v>0</v>
      </c>
      <c r="Z371" s="408">
        <v>180688.34927361956</v>
      </c>
      <c r="AA371" s="408">
        <v>0</v>
      </c>
      <c r="AB371" s="408">
        <v>0</v>
      </c>
      <c r="AC371" s="408">
        <v>7514.456165745828</v>
      </c>
      <c r="AD371" s="408">
        <v>7219.7073483430268</v>
      </c>
      <c r="AE371" s="408">
        <v>691505.1451010739</v>
      </c>
      <c r="AF371" s="408">
        <v>500096.6256749499</v>
      </c>
      <c r="AG371" s="408">
        <v>8535.2451691424867</v>
      </c>
      <c r="AH371" s="408">
        <v>0</v>
      </c>
      <c r="AI371" s="408">
        <v>0</v>
      </c>
      <c r="AJ371" s="408">
        <v>0</v>
      </c>
      <c r="AK371" s="408">
        <v>0</v>
      </c>
      <c r="AL371" s="408">
        <v>27917.229175139961</v>
      </c>
      <c r="AM371" s="408"/>
      <c r="AN371" s="408">
        <v>3546.1042527125064</v>
      </c>
      <c r="AO371" s="408">
        <v>15951.715819782281</v>
      </c>
      <c r="AP371" s="408">
        <v>74380.497559441661</v>
      </c>
      <c r="AQ371" s="408">
        <v>0</v>
      </c>
      <c r="AR371" s="408">
        <v>0</v>
      </c>
      <c r="AS371" s="408">
        <v>0</v>
      </c>
      <c r="AT371" s="408">
        <v>0</v>
      </c>
      <c r="AU371" s="408">
        <v>0</v>
      </c>
      <c r="AV371" s="408">
        <v>0</v>
      </c>
      <c r="AW371" s="408">
        <v>0</v>
      </c>
      <c r="AX371" s="408">
        <v>0</v>
      </c>
      <c r="AY371" s="408">
        <v>0</v>
      </c>
      <c r="AZ371" s="408">
        <v>0</v>
      </c>
      <c r="BA371" s="408"/>
      <c r="BB371" s="408">
        <v>0</v>
      </c>
      <c r="BC371" s="408">
        <v>0</v>
      </c>
      <c r="BD371" s="408">
        <v>0</v>
      </c>
      <c r="BE371" s="408">
        <v>0</v>
      </c>
      <c r="BF371" s="408">
        <v>0</v>
      </c>
      <c r="BG371" s="408">
        <v>26246.021926409256</v>
      </c>
      <c r="BH371" s="408">
        <v>0</v>
      </c>
      <c r="BI371" s="408">
        <v>1324.91</v>
      </c>
      <c r="BJ371" s="408">
        <v>11541.75</v>
      </c>
      <c r="BK371" s="408">
        <v>824427.54</v>
      </c>
      <c r="BL371" s="408">
        <v>4313</v>
      </c>
      <c r="BM371" s="408"/>
      <c r="BN371" s="408"/>
      <c r="BO371" s="408"/>
      <c r="BP371" s="408"/>
      <c r="BQ371" s="408"/>
      <c r="BR371" s="408"/>
      <c r="BS371" s="408"/>
      <c r="BT371" s="408"/>
      <c r="BU371" s="408"/>
      <c r="BV371" s="408">
        <v>526342.64760135917</v>
      </c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>
        <v>1494034.8843</v>
      </c>
      <c r="CJ371" s="408">
        <v>-95706.684550000122</v>
      </c>
      <c r="CK371" s="408"/>
      <c r="CL371" s="408"/>
      <c r="CM371" s="408"/>
      <c r="CN371" s="408"/>
      <c r="CO371" s="408">
        <v>-159094.52434999999</v>
      </c>
      <c r="CP371" s="408">
        <v>63385.325350000006</v>
      </c>
      <c r="CQ371" s="408"/>
      <c r="CR371" s="408">
        <v>76060.020821413724</v>
      </c>
      <c r="CS371" s="408">
        <v>1589.5543855639644</v>
      </c>
      <c r="CT371" s="408">
        <v>7411.8575977524742</v>
      </c>
      <c r="CU371" s="408">
        <v>0</v>
      </c>
      <c r="CV371" s="408">
        <v>0</v>
      </c>
      <c r="CW371" s="408">
        <v>0</v>
      </c>
      <c r="CX371" s="408">
        <v>0</v>
      </c>
      <c r="CY371" s="408">
        <v>0</v>
      </c>
      <c r="CZ371" s="408">
        <v>7433.9064122905565</v>
      </c>
      <c r="DA371" s="408">
        <v>0</v>
      </c>
      <c r="DB371" s="408">
        <v>0</v>
      </c>
      <c r="DC371" s="408">
        <v>63378.168780222244</v>
      </c>
      <c r="DD371" s="408">
        <v>0</v>
      </c>
      <c r="DE371" s="408">
        <v>0</v>
      </c>
      <c r="DF371" s="408">
        <v>0</v>
      </c>
      <c r="DG371" s="408">
        <v>3326.2068209646568</v>
      </c>
      <c r="DH371" s="408">
        <v>0</v>
      </c>
      <c r="DI371" s="408">
        <v>-6135.6045696896035</v>
      </c>
      <c r="DJ371" s="408"/>
      <c r="DK371" s="408">
        <v>0</v>
      </c>
      <c r="DL371" s="408">
        <v>0</v>
      </c>
      <c r="DM371" s="408">
        <v>0</v>
      </c>
      <c r="DN371" s="408">
        <v>0</v>
      </c>
      <c r="DO371" s="408">
        <v>-843.74424590344643</v>
      </c>
      <c r="DP371" s="408">
        <v>-100.32435978756621</v>
      </c>
      <c r="DQ371" s="408">
        <v>0</v>
      </c>
      <c r="DR371" s="408">
        <v>0</v>
      </c>
      <c r="DS371" s="408"/>
      <c r="DT371" s="408"/>
      <c r="DU371" s="408"/>
      <c r="DV371" s="408">
        <v>691505.1451010739</v>
      </c>
      <c r="DW371" s="408">
        <v>0</v>
      </c>
      <c r="DX371" s="408">
        <v>0</v>
      </c>
      <c r="DY371" s="408">
        <v>-159094.52435000008</v>
      </c>
      <c r="DZ371" s="408">
        <v>63385.325350000057</v>
      </c>
      <c r="EA371" s="408">
        <v>0</v>
      </c>
      <c r="EB371" s="408">
        <v>0</v>
      </c>
      <c r="EC371" s="408">
        <v>-171781.60774485796</v>
      </c>
      <c r="ED371" s="408">
        <v>0</v>
      </c>
      <c r="EE371" s="408">
        <v>0</v>
      </c>
      <c r="EF371" s="408">
        <v>0</v>
      </c>
      <c r="EG371" s="408">
        <v>0</v>
      </c>
      <c r="EH371" s="408">
        <v>0</v>
      </c>
      <c r="EI371" s="408">
        <v>0</v>
      </c>
      <c r="EJ371" s="408">
        <v>0</v>
      </c>
      <c r="EK371" s="408">
        <v>0</v>
      </c>
      <c r="EL371" s="408">
        <v>0</v>
      </c>
      <c r="EM371" s="408">
        <v>0</v>
      </c>
      <c r="EN371" s="408">
        <v>0</v>
      </c>
      <c r="EO371" s="408">
        <v>0</v>
      </c>
      <c r="EP371" s="408">
        <v>46144.581814714009</v>
      </c>
      <c r="EQ371" s="408">
        <v>0</v>
      </c>
      <c r="ER371" s="408">
        <v>0</v>
      </c>
      <c r="ES371" s="408">
        <v>0</v>
      </c>
      <c r="ET371" s="408">
        <v>0</v>
      </c>
      <c r="EU371" s="408">
        <v>0</v>
      </c>
      <c r="EV371" s="408">
        <v>240</v>
      </c>
      <c r="EW371" s="408">
        <v>0</v>
      </c>
      <c r="EX371" s="408">
        <v>0</v>
      </c>
      <c r="EY371" s="408">
        <v>0</v>
      </c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370</v>
      </c>
      <c r="B372" s="408" t="s">
        <v>2237</v>
      </c>
      <c r="C372" s="408" t="s">
        <v>2235</v>
      </c>
      <c r="D372" s="408" t="s">
        <v>1958</v>
      </c>
      <c r="E372" s="408" t="s">
        <v>998</v>
      </c>
      <c r="F372" s="408" t="s">
        <v>1322</v>
      </c>
      <c r="G372" s="408" t="s">
        <v>1322</v>
      </c>
      <c r="H372" s="408" t="s">
        <v>1322</v>
      </c>
      <c r="I372" s="408" t="s">
        <v>1322</v>
      </c>
      <c r="J372" s="408" t="s">
        <v>2236</v>
      </c>
      <c r="K372" s="826">
        <v>44531</v>
      </c>
      <c r="L372" s="408">
        <v>0</v>
      </c>
      <c r="M372" s="408">
        <v>0</v>
      </c>
      <c r="N372" s="408">
        <v>-3.55</v>
      </c>
      <c r="O372" s="408">
        <v>-3.55</v>
      </c>
      <c r="P372" s="408">
        <v>-3.55</v>
      </c>
      <c r="Q372" s="408">
        <v>-3.55</v>
      </c>
      <c r="R372" s="408"/>
      <c r="S372" s="408">
        <v>368.24</v>
      </c>
      <c r="T372" s="408">
        <v>173.25</v>
      </c>
      <c r="U372" s="408"/>
      <c r="V372" s="408">
        <v>-1922.2894999999999</v>
      </c>
      <c r="W372" s="408">
        <v>-1922.2894999999999</v>
      </c>
      <c r="X372" s="408">
        <v>-1806.5595000000001</v>
      </c>
      <c r="Y372" s="408">
        <v>0</v>
      </c>
      <c r="Z372" s="408">
        <v>-218.48540035776492</v>
      </c>
      <c r="AA372" s="408">
        <v>0</v>
      </c>
      <c r="AB372" s="408">
        <v>0</v>
      </c>
      <c r="AC372" s="408">
        <v>-9.0863576453269097</v>
      </c>
      <c r="AD372" s="408">
        <v>-8.7299521901101524</v>
      </c>
      <c r="AE372" s="408">
        <v>-836.15672556769891</v>
      </c>
      <c r="AF372" s="408">
        <v>-604.70867057786108</v>
      </c>
      <c r="AG372" s="408">
        <v>-10.320679033421438</v>
      </c>
      <c r="AH372" s="408">
        <v>0</v>
      </c>
      <c r="AI372" s="408">
        <v>0</v>
      </c>
      <c r="AJ372" s="408">
        <v>0</v>
      </c>
      <c r="AK372" s="408">
        <v>0</v>
      </c>
      <c r="AL372" s="408">
        <v>-33.757057484505204</v>
      </c>
      <c r="AM372" s="408"/>
      <c r="AN372" s="408">
        <v>-4.2878913359876556</v>
      </c>
      <c r="AO372" s="408">
        <v>-19.288554194497056</v>
      </c>
      <c r="AP372" s="408">
        <v>-89.939682627102371</v>
      </c>
      <c r="AQ372" s="408">
        <v>0</v>
      </c>
      <c r="AR372" s="408">
        <v>0</v>
      </c>
      <c r="AS372" s="408">
        <v>0</v>
      </c>
      <c r="AT372" s="408">
        <v>0</v>
      </c>
      <c r="AU372" s="408">
        <v>0</v>
      </c>
      <c r="AV372" s="408">
        <v>0</v>
      </c>
      <c r="AW372" s="408">
        <v>0</v>
      </c>
      <c r="AX372" s="408">
        <v>0</v>
      </c>
      <c r="AY372" s="408">
        <v>0</v>
      </c>
      <c r="AZ372" s="408">
        <v>0</v>
      </c>
      <c r="BA372" s="408"/>
      <c r="BB372" s="408">
        <v>0</v>
      </c>
      <c r="BC372" s="408">
        <v>0</v>
      </c>
      <c r="BD372" s="408">
        <v>0</v>
      </c>
      <c r="BE372" s="408">
        <v>0</v>
      </c>
      <c r="BF372" s="408">
        <v>0</v>
      </c>
      <c r="BG372" s="408">
        <v>-31.736260978877731</v>
      </c>
      <c r="BH372" s="408">
        <v>0</v>
      </c>
      <c r="BI372" s="408">
        <v>-1.62</v>
      </c>
      <c r="BJ372" s="408">
        <v>-13.96</v>
      </c>
      <c r="BK372" s="408">
        <v>-996.95</v>
      </c>
      <c r="BL372" s="408">
        <v>0</v>
      </c>
      <c r="BM372" s="408"/>
      <c r="BN372" s="408"/>
      <c r="BO372" s="408"/>
      <c r="BP372" s="408"/>
      <c r="BQ372" s="408"/>
      <c r="BR372" s="408"/>
      <c r="BS372" s="408"/>
      <c r="BT372" s="408"/>
      <c r="BU372" s="408"/>
      <c r="BV372" s="408">
        <v>-636.44493155673877</v>
      </c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>
        <v>-1806.5595000000001</v>
      </c>
      <c r="CJ372" s="408">
        <v>115.69999999999982</v>
      </c>
      <c r="CK372" s="408"/>
      <c r="CL372" s="408"/>
      <c r="CM372" s="408"/>
      <c r="CN372" s="408"/>
      <c r="CO372" s="408">
        <v>192.37449999999998</v>
      </c>
      <c r="CP372" s="408">
        <v>-76.644500000000008</v>
      </c>
      <c r="CQ372" s="408"/>
      <c r="CR372" s="408">
        <v>-91.970534720097021</v>
      </c>
      <c r="CS372" s="408">
        <v>-1.9220631973037143</v>
      </c>
      <c r="CT372" s="408">
        <v>-8.9622971328795131</v>
      </c>
      <c r="CU372" s="408">
        <v>0</v>
      </c>
      <c r="CV372" s="408">
        <v>0</v>
      </c>
      <c r="CW372" s="408">
        <v>0</v>
      </c>
      <c r="CX372" s="408">
        <v>0</v>
      </c>
      <c r="CY372" s="408">
        <v>0</v>
      </c>
      <c r="CZ372" s="408">
        <v>-8.9889581992467225</v>
      </c>
      <c r="DA372" s="408">
        <v>0</v>
      </c>
      <c r="DB372" s="408">
        <v>0</v>
      </c>
      <c r="DC372" s="408">
        <v>-76.635846392728922</v>
      </c>
      <c r="DD372" s="408">
        <v>0</v>
      </c>
      <c r="DE372" s="408">
        <v>0</v>
      </c>
      <c r="DF372" s="408">
        <v>0</v>
      </c>
      <c r="DG372" s="408">
        <v>-4.0219949535910331</v>
      </c>
      <c r="DH372" s="408">
        <v>0</v>
      </c>
      <c r="DI372" s="408">
        <v>7.4190728192195934</v>
      </c>
      <c r="DJ372" s="408"/>
      <c r="DK372" s="408">
        <v>0</v>
      </c>
      <c r="DL372" s="408">
        <v>0</v>
      </c>
      <c r="DM372" s="408">
        <v>0</v>
      </c>
      <c r="DN372" s="408">
        <v>0</v>
      </c>
      <c r="DO372" s="408">
        <v>1.0202417593987647</v>
      </c>
      <c r="DP372" s="408">
        <v>0.12131057703465942</v>
      </c>
      <c r="DQ372" s="408">
        <v>0</v>
      </c>
      <c r="DR372" s="408">
        <v>0</v>
      </c>
      <c r="DS372" s="408"/>
      <c r="DT372" s="408"/>
      <c r="DU372" s="408"/>
      <c r="DV372" s="408">
        <v>-836.15672556769891</v>
      </c>
      <c r="DW372" s="408">
        <v>0</v>
      </c>
      <c r="DX372" s="408">
        <v>0</v>
      </c>
      <c r="DY372" s="408">
        <v>192.3744999999999</v>
      </c>
      <c r="DZ372" s="408">
        <v>-76.644499999999994</v>
      </c>
      <c r="EA372" s="408">
        <v>0</v>
      </c>
      <c r="EB372" s="408">
        <v>0</v>
      </c>
      <c r="EC372" s="408">
        <v>207.71551399476664</v>
      </c>
      <c r="ED372" s="408">
        <v>0</v>
      </c>
      <c r="EE372" s="408">
        <v>0</v>
      </c>
      <c r="EF372" s="408">
        <v>0</v>
      </c>
      <c r="EG372" s="408">
        <v>0</v>
      </c>
      <c r="EH372" s="408">
        <v>0</v>
      </c>
      <c r="EI372" s="408">
        <v>0</v>
      </c>
      <c r="EJ372" s="408">
        <v>0</v>
      </c>
      <c r="EK372" s="408">
        <v>0</v>
      </c>
      <c r="EL372" s="408">
        <v>0</v>
      </c>
      <c r="EM372" s="408">
        <v>0</v>
      </c>
      <c r="EN372" s="408">
        <v>0</v>
      </c>
      <c r="EO372" s="408">
        <v>0</v>
      </c>
      <c r="EP372" s="408">
        <v>-55.797274548466881</v>
      </c>
      <c r="EQ372" s="408">
        <v>0</v>
      </c>
      <c r="ER372" s="408">
        <v>0</v>
      </c>
      <c r="ES372" s="408">
        <v>0</v>
      </c>
      <c r="ET372" s="408">
        <v>0</v>
      </c>
      <c r="EU372" s="408">
        <v>0</v>
      </c>
      <c r="EV372" s="408">
        <v>240</v>
      </c>
      <c r="EW372" s="408">
        <v>0</v>
      </c>
      <c r="EX372" s="408">
        <v>0</v>
      </c>
      <c r="EY372" s="408">
        <v>0</v>
      </c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371</v>
      </c>
      <c r="B373" s="408" t="s">
        <v>2238</v>
      </c>
      <c r="C373" s="408" t="s">
        <v>2235</v>
      </c>
      <c r="D373" s="408" t="s">
        <v>1958</v>
      </c>
      <c r="E373" s="408" t="s">
        <v>998</v>
      </c>
      <c r="F373" s="408" t="s">
        <v>1322</v>
      </c>
      <c r="G373" s="408" t="s">
        <v>1322</v>
      </c>
      <c r="H373" s="408" t="s">
        <v>1322</v>
      </c>
      <c r="I373" s="408" t="s">
        <v>1322</v>
      </c>
      <c r="J373" s="408" t="s">
        <v>2236</v>
      </c>
      <c r="K373" s="826">
        <v>44531</v>
      </c>
      <c r="L373" s="408">
        <v>0</v>
      </c>
      <c r="M373" s="408">
        <v>0</v>
      </c>
      <c r="N373" s="408">
        <v>86.638999999999996</v>
      </c>
      <c r="O373" s="408">
        <v>86.638999999999996</v>
      </c>
      <c r="P373" s="408">
        <v>86.638999999999996</v>
      </c>
      <c r="Q373" s="408">
        <v>86.638999999999996</v>
      </c>
      <c r="R373" s="408"/>
      <c r="S373" s="408">
        <v>368.24</v>
      </c>
      <c r="T373" s="408">
        <v>173.25</v>
      </c>
      <c r="U373" s="408"/>
      <c r="V373" s="408">
        <v>46914.152109999995</v>
      </c>
      <c r="W373" s="408">
        <v>46914.152109999995</v>
      </c>
      <c r="X373" s="408">
        <v>44089.720710000001</v>
      </c>
      <c r="Y373" s="408">
        <v>0</v>
      </c>
      <c r="Z373" s="408">
        <v>5332.2131272102515</v>
      </c>
      <c r="AA373" s="408">
        <v>0</v>
      </c>
      <c r="AB373" s="408">
        <v>0</v>
      </c>
      <c r="AC373" s="408">
        <v>221.75575775590934</v>
      </c>
      <c r="AD373" s="408">
        <v>213.05755712646581</v>
      </c>
      <c r="AE373" s="408">
        <v>20406.699308861935</v>
      </c>
      <c r="AF373" s="408">
        <v>14758.128031040933</v>
      </c>
      <c r="AG373" s="408">
        <v>251.87980585256338</v>
      </c>
      <c r="AH373" s="408">
        <v>0</v>
      </c>
      <c r="AI373" s="408">
        <v>0</v>
      </c>
      <c r="AJ373" s="408">
        <v>0</v>
      </c>
      <c r="AK373" s="408">
        <v>0</v>
      </c>
      <c r="AL373" s="408">
        <v>823.85287419719612</v>
      </c>
      <c r="AM373" s="408"/>
      <c r="AN373" s="408">
        <v>104.64749787567169</v>
      </c>
      <c r="AO373" s="408">
        <v>470.7439568611353</v>
      </c>
      <c r="AP373" s="408">
        <v>2195.0096234167668</v>
      </c>
      <c r="AQ373" s="408">
        <v>0</v>
      </c>
      <c r="AR373" s="408">
        <v>0</v>
      </c>
      <c r="AS373" s="408">
        <v>0</v>
      </c>
      <c r="AT373" s="408">
        <v>0</v>
      </c>
      <c r="AU373" s="408">
        <v>0</v>
      </c>
      <c r="AV373" s="408">
        <v>0</v>
      </c>
      <c r="AW373" s="408">
        <v>0</v>
      </c>
      <c r="AX373" s="408">
        <v>0</v>
      </c>
      <c r="AY373" s="408">
        <v>0</v>
      </c>
      <c r="AZ373" s="408">
        <v>0</v>
      </c>
      <c r="BA373" s="408"/>
      <c r="BB373" s="408">
        <v>0</v>
      </c>
      <c r="BC373" s="408">
        <v>0</v>
      </c>
      <c r="BD373" s="408">
        <v>0</v>
      </c>
      <c r="BE373" s="408">
        <v>0</v>
      </c>
      <c r="BF373" s="408">
        <v>0</v>
      </c>
      <c r="BG373" s="408">
        <v>774.53462392929225</v>
      </c>
      <c r="BH373" s="408">
        <v>0</v>
      </c>
      <c r="BI373" s="408">
        <v>38.51</v>
      </c>
      <c r="BJ373" s="408">
        <v>342.24</v>
      </c>
      <c r="BK373" s="408">
        <v>67787.62</v>
      </c>
      <c r="BL373" s="408">
        <v>264</v>
      </c>
      <c r="BM373" s="408"/>
      <c r="BN373" s="408"/>
      <c r="BO373" s="408"/>
      <c r="BP373" s="408"/>
      <c r="BQ373" s="408"/>
      <c r="BR373" s="408"/>
      <c r="BS373" s="408"/>
      <c r="BT373" s="408"/>
      <c r="BU373" s="408"/>
      <c r="BV373" s="408">
        <v>15532.662654970225</v>
      </c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>
        <v>44090.229600000006</v>
      </c>
      <c r="CJ373" s="408">
        <v>-2823.9525099999883</v>
      </c>
      <c r="CK373" s="408"/>
      <c r="CL373" s="408"/>
      <c r="CM373" s="408"/>
      <c r="CN373" s="408"/>
      <c r="CO373" s="408">
        <v>-4694.9674099999993</v>
      </c>
      <c r="CP373" s="408">
        <v>1870.5360100000003</v>
      </c>
      <c r="CQ373" s="408"/>
      <c r="CR373" s="408">
        <v>2244.5732838350632</v>
      </c>
      <c r="CS373" s="408">
        <v>46.908629113013149</v>
      </c>
      <c r="CT373" s="408">
        <v>218.7280172663518</v>
      </c>
      <c r="CU373" s="408">
        <v>0</v>
      </c>
      <c r="CV373" s="408">
        <v>0</v>
      </c>
      <c r="CW373" s="408">
        <v>0</v>
      </c>
      <c r="CX373" s="408">
        <v>0</v>
      </c>
      <c r="CY373" s="408">
        <v>0</v>
      </c>
      <c r="CZ373" s="408">
        <v>219.37868997874276</v>
      </c>
      <c r="DA373" s="408">
        <v>0</v>
      </c>
      <c r="DB373" s="408">
        <v>0</v>
      </c>
      <c r="DC373" s="408">
        <v>1870.3248156675054</v>
      </c>
      <c r="DD373" s="408">
        <v>0</v>
      </c>
      <c r="DE373" s="408">
        <v>0</v>
      </c>
      <c r="DF373" s="408">
        <v>0</v>
      </c>
      <c r="DG373" s="408">
        <v>98.158203037795374</v>
      </c>
      <c r="DH373" s="408">
        <v>0</v>
      </c>
      <c r="DI373" s="408">
        <v>-181.06508450263846</v>
      </c>
      <c r="DJ373" s="408"/>
      <c r="DK373" s="408">
        <v>0</v>
      </c>
      <c r="DL373" s="408">
        <v>0</v>
      </c>
      <c r="DM373" s="408">
        <v>0</v>
      </c>
      <c r="DN373" s="408">
        <v>0</v>
      </c>
      <c r="DO373" s="408">
        <v>-24.899359378182908</v>
      </c>
      <c r="DP373" s="408">
        <v>-2.9606273475227738</v>
      </c>
      <c r="DQ373" s="408">
        <v>0</v>
      </c>
      <c r="DR373" s="408">
        <v>0</v>
      </c>
      <c r="DS373" s="408"/>
      <c r="DT373" s="408"/>
      <c r="DU373" s="408"/>
      <c r="DV373" s="408">
        <v>20406.699308861935</v>
      </c>
      <c r="DW373" s="408">
        <v>0</v>
      </c>
      <c r="DX373" s="408">
        <v>0</v>
      </c>
      <c r="DY373" s="408">
        <v>-4694.9674099999975</v>
      </c>
      <c r="DZ373" s="408">
        <v>1870.5360100000016</v>
      </c>
      <c r="EA373" s="408">
        <v>0</v>
      </c>
      <c r="EB373" s="408">
        <v>0</v>
      </c>
      <c r="EC373" s="408">
        <v>-5069.370258307772</v>
      </c>
      <c r="ED373" s="408">
        <v>0</v>
      </c>
      <c r="EE373" s="408">
        <v>0</v>
      </c>
      <c r="EF373" s="408">
        <v>0</v>
      </c>
      <c r="EG373" s="408">
        <v>0</v>
      </c>
      <c r="EH373" s="408">
        <v>0</v>
      </c>
      <c r="EI373" s="408">
        <v>0</v>
      </c>
      <c r="EJ373" s="408">
        <v>0</v>
      </c>
      <c r="EK373" s="408">
        <v>0</v>
      </c>
      <c r="EL373" s="408">
        <v>0</v>
      </c>
      <c r="EM373" s="408">
        <v>0</v>
      </c>
      <c r="EN373" s="408">
        <v>0</v>
      </c>
      <c r="EO373" s="408">
        <v>0</v>
      </c>
      <c r="EP373" s="408">
        <v>1361.7521322829923</v>
      </c>
      <c r="EQ373" s="408">
        <v>0</v>
      </c>
      <c r="ER373" s="408">
        <v>0</v>
      </c>
      <c r="ES373" s="408">
        <v>0</v>
      </c>
      <c r="ET373" s="408">
        <v>0</v>
      </c>
      <c r="EU373" s="408">
        <v>0</v>
      </c>
      <c r="EV373" s="408">
        <v>240</v>
      </c>
      <c r="EW373" s="408">
        <v>0</v>
      </c>
      <c r="EX373" s="408">
        <v>0</v>
      </c>
      <c r="EY373" s="408">
        <v>0</v>
      </c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372</v>
      </c>
      <c r="B374" s="408" t="s">
        <v>1036</v>
      </c>
      <c r="C374" s="408" t="s">
        <v>2243</v>
      </c>
      <c r="D374" s="408" t="s">
        <v>597</v>
      </c>
      <c r="E374" s="408" t="s">
        <v>998</v>
      </c>
      <c r="F374" s="408" t="s">
        <v>1322</v>
      </c>
      <c r="G374" s="408" t="s">
        <v>1322</v>
      </c>
      <c r="H374" s="408" t="s">
        <v>1322</v>
      </c>
      <c r="I374" s="408" t="s">
        <v>973</v>
      </c>
      <c r="J374" s="408" t="s">
        <v>2236</v>
      </c>
      <c r="K374" s="826">
        <v>44531</v>
      </c>
      <c r="L374" s="408">
        <v>0</v>
      </c>
      <c r="M374" s="408">
        <v>0</v>
      </c>
      <c r="N374" s="408">
        <v>102.758</v>
      </c>
      <c r="O374" s="408">
        <v>102.758</v>
      </c>
      <c r="P374" s="408">
        <v>102.758</v>
      </c>
      <c r="Q374" s="408">
        <v>102.758</v>
      </c>
      <c r="R374" s="408"/>
      <c r="S374" s="408">
        <v>1358.36</v>
      </c>
      <c r="T374" s="408">
        <v>173.25</v>
      </c>
      <c r="U374" s="408"/>
      <c r="V374" s="408">
        <v>157385.18037999998</v>
      </c>
      <c r="W374" s="408">
        <v>157385.18037999998</v>
      </c>
      <c r="X374" s="408">
        <v>137995.77335999999</v>
      </c>
      <c r="Y374" s="408">
        <v>0</v>
      </c>
      <c r="Z374" s="408">
        <v>5502.106143624781</v>
      </c>
      <c r="AA374" s="408">
        <v>0</v>
      </c>
      <c r="AB374" s="408">
        <v>0</v>
      </c>
      <c r="AC374" s="408">
        <v>1946.4511131831416</v>
      </c>
      <c r="AD374" s="408">
        <v>1870.1088203104794</v>
      </c>
      <c r="AE374" s="408">
        <v>103632.23596297139</v>
      </c>
      <c r="AF374" s="408">
        <v>17503.846076405593</v>
      </c>
      <c r="AG374" s="408">
        <v>298.74150313135777</v>
      </c>
      <c r="AH374" s="408">
        <v>0</v>
      </c>
      <c r="AI374" s="408">
        <v>0</v>
      </c>
      <c r="AJ374" s="408">
        <v>0</v>
      </c>
      <c r="AK374" s="408">
        <v>0</v>
      </c>
      <c r="AL374" s="408">
        <v>977.12893323740445</v>
      </c>
      <c r="AM374" s="408"/>
      <c r="AN374" s="408">
        <v>82.290027269304204</v>
      </c>
      <c r="AO374" s="408">
        <v>4131.9836669483693</v>
      </c>
      <c r="AP374" s="408">
        <v>19266.724364903283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0</v>
      </c>
      <c r="BE374" s="408">
        <v>0</v>
      </c>
      <c r="BF374" s="408">
        <v>0</v>
      </c>
      <c r="BG374" s="408">
        <v>768.49179315644005</v>
      </c>
      <c r="BH374" s="408">
        <v>0</v>
      </c>
      <c r="BI374" s="408">
        <v>0</v>
      </c>
      <c r="BJ374" s="408">
        <v>0</v>
      </c>
      <c r="BK374" s="408">
        <v>0</v>
      </c>
      <c r="BL374" s="408">
        <v>0</v>
      </c>
      <c r="BM374" s="408"/>
      <c r="BN374" s="408"/>
      <c r="BO374" s="408"/>
      <c r="BP374" s="408"/>
      <c r="BQ374" s="408"/>
      <c r="BR374" s="408"/>
      <c r="BS374" s="408"/>
      <c r="BT374" s="408"/>
      <c r="BU374" s="408"/>
      <c r="BV374" s="408">
        <v>18272.337869562034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137998.45919999998</v>
      </c>
      <c r="CJ374" s="408">
        <v>-19386.751180000021</v>
      </c>
      <c r="CK374" s="408"/>
      <c r="CL374" s="408"/>
      <c r="CM374" s="408"/>
      <c r="CN374" s="408"/>
      <c r="CO374" s="408">
        <v>-21607.952239999995</v>
      </c>
      <c r="CP374" s="408">
        <v>2218.5452200000004</v>
      </c>
      <c r="CQ374" s="408"/>
      <c r="CR374" s="408">
        <v>6354.2167599028617</v>
      </c>
      <c r="CS374" s="408">
        <v>411.74334053338225</v>
      </c>
      <c r="CT374" s="408">
        <v>1919.8879014447375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1925.5924485883563</v>
      </c>
      <c r="DA374" s="408">
        <v>0</v>
      </c>
      <c r="DB374" s="408">
        <v>0</v>
      </c>
      <c r="DC374" s="408">
        <v>2218.2947334152232</v>
      </c>
      <c r="DD374" s="408">
        <v>0</v>
      </c>
      <c r="DE374" s="408">
        <v>0</v>
      </c>
      <c r="DF374" s="408">
        <v>0</v>
      </c>
      <c r="DG374" s="408">
        <v>97.392383936102647</v>
      </c>
      <c r="DH374" s="408">
        <v>0</v>
      </c>
      <c r="DI374" s="408">
        <v>-186.83411372926548</v>
      </c>
      <c r="DJ374" s="408"/>
      <c r="DK374" s="408">
        <v>0</v>
      </c>
      <c r="DL374" s="408">
        <v>0</v>
      </c>
      <c r="DM374" s="408">
        <v>0</v>
      </c>
      <c r="DN374" s="408">
        <v>0</v>
      </c>
      <c r="DO374" s="408">
        <v>-29.53183174994308</v>
      </c>
      <c r="DP374" s="408">
        <v>-2.3281025357276519</v>
      </c>
      <c r="DQ374" s="408">
        <v>0</v>
      </c>
      <c r="DR374" s="408">
        <v>0</v>
      </c>
      <c r="DS374" s="408"/>
      <c r="DT374" s="408"/>
      <c r="DU374" s="408"/>
      <c r="DV374" s="408">
        <v>103632.23596297139</v>
      </c>
      <c r="DW374" s="408">
        <v>0</v>
      </c>
      <c r="DX374" s="408">
        <v>0</v>
      </c>
      <c r="DY374" s="408">
        <v>-21607.952239999984</v>
      </c>
      <c r="DZ374" s="408">
        <v>2218.54522</v>
      </c>
      <c r="EA374" s="408">
        <v>0</v>
      </c>
      <c r="EB374" s="408">
        <v>0</v>
      </c>
      <c r="EC374" s="408">
        <v>-25744.005281857477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1405.1397786210407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240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373</v>
      </c>
      <c r="B375" s="408" t="s">
        <v>2238</v>
      </c>
      <c r="C375" s="408" t="s">
        <v>2243</v>
      </c>
      <c r="D375" s="408" t="s">
        <v>597</v>
      </c>
      <c r="E375" s="408" t="s">
        <v>998</v>
      </c>
      <c r="F375" s="408" t="s">
        <v>1322</v>
      </c>
      <c r="G375" s="408" t="s">
        <v>1322</v>
      </c>
      <c r="H375" s="408" t="s">
        <v>1322</v>
      </c>
      <c r="I375" s="408" t="s">
        <v>973</v>
      </c>
      <c r="J375" s="408" t="s">
        <v>2236</v>
      </c>
      <c r="K375" s="826">
        <v>44531</v>
      </c>
      <c r="L375" s="408">
        <v>0</v>
      </c>
      <c r="M375" s="408">
        <v>0</v>
      </c>
      <c r="N375" s="408">
        <v>8.8390000000000004</v>
      </c>
      <c r="O375" s="408">
        <v>8.8390000000000004</v>
      </c>
      <c r="P375" s="408">
        <v>8.8390000000000004</v>
      </c>
      <c r="Q375" s="408">
        <v>8.8390000000000004</v>
      </c>
      <c r="R375" s="408"/>
      <c r="S375" s="408">
        <v>1358.36</v>
      </c>
      <c r="T375" s="408">
        <v>173.25</v>
      </c>
      <c r="U375" s="408"/>
      <c r="V375" s="408">
        <v>13537.90079</v>
      </c>
      <c r="W375" s="408">
        <v>13537.90079</v>
      </c>
      <c r="X375" s="408">
        <v>11870.069879999999</v>
      </c>
      <c r="Y375" s="408">
        <v>0</v>
      </c>
      <c r="Z375" s="408">
        <v>473.27815064033405</v>
      </c>
      <c r="AA375" s="408">
        <v>0</v>
      </c>
      <c r="AB375" s="408">
        <v>0</v>
      </c>
      <c r="AC375" s="408">
        <v>167.4291187978142</v>
      </c>
      <c r="AD375" s="408">
        <v>160.8623354164574</v>
      </c>
      <c r="AE375" s="408">
        <v>8914.1997087983818</v>
      </c>
      <c r="AF375" s="408">
        <v>1505.6394195035816</v>
      </c>
      <c r="AG375" s="408">
        <v>25.697037176454113</v>
      </c>
      <c r="AH375" s="408">
        <v>0</v>
      </c>
      <c r="AI375" s="408">
        <v>0</v>
      </c>
      <c r="AJ375" s="408">
        <v>0</v>
      </c>
      <c r="AK375" s="408">
        <v>0</v>
      </c>
      <c r="AL375" s="408">
        <v>84.050318621279303</v>
      </c>
      <c r="AM375" s="408"/>
      <c r="AN375" s="408">
        <v>7.0783934198152938</v>
      </c>
      <c r="AO375" s="408">
        <v>355.42345736737423</v>
      </c>
      <c r="AP375" s="408">
        <v>1657.2780383170177</v>
      </c>
      <c r="AQ375" s="408">
        <v>0</v>
      </c>
      <c r="AR375" s="408">
        <v>0</v>
      </c>
      <c r="AS375" s="408">
        <v>0</v>
      </c>
      <c r="AT375" s="408">
        <v>0</v>
      </c>
      <c r="AU375" s="408">
        <v>0</v>
      </c>
      <c r="AV375" s="408">
        <v>0</v>
      </c>
      <c r="AW375" s="408">
        <v>0</v>
      </c>
      <c r="AX375" s="408">
        <v>0</v>
      </c>
      <c r="AY375" s="408">
        <v>0</v>
      </c>
      <c r="AZ375" s="408">
        <v>0</v>
      </c>
      <c r="BA375" s="408"/>
      <c r="BB375" s="408">
        <v>0</v>
      </c>
      <c r="BC375" s="408">
        <v>0</v>
      </c>
      <c r="BD375" s="408">
        <v>0</v>
      </c>
      <c r="BE375" s="408">
        <v>0</v>
      </c>
      <c r="BF375" s="408">
        <v>0</v>
      </c>
      <c r="BG375" s="408">
        <v>66.103845537182252</v>
      </c>
      <c r="BH375" s="408">
        <v>0</v>
      </c>
      <c r="BI375" s="408">
        <v>0</v>
      </c>
      <c r="BJ375" s="408">
        <v>0</v>
      </c>
      <c r="BK375" s="408">
        <v>0</v>
      </c>
      <c r="BL375" s="408">
        <v>0</v>
      </c>
      <c r="BM375" s="408"/>
      <c r="BN375" s="408"/>
      <c r="BO375" s="408"/>
      <c r="BP375" s="408"/>
      <c r="BQ375" s="408"/>
      <c r="BR375" s="408"/>
      <c r="BS375" s="408"/>
      <c r="BT375" s="408"/>
      <c r="BU375" s="408"/>
      <c r="BV375" s="408">
        <v>1571.7432650407638</v>
      </c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>
        <v>11871.412799999998</v>
      </c>
      <c r="CJ375" s="408">
        <v>-1666.5179900000021</v>
      </c>
      <c r="CK375" s="408"/>
      <c r="CL375" s="408"/>
      <c r="CM375" s="408"/>
      <c r="CN375" s="408"/>
      <c r="CO375" s="408">
        <v>-1858.6649199999999</v>
      </c>
      <c r="CP375" s="408">
        <v>190.83401000000003</v>
      </c>
      <c r="CQ375" s="408"/>
      <c r="CR375" s="408">
        <v>546.57468947217149</v>
      </c>
      <c r="CS375" s="408">
        <v>35.417187829410523</v>
      </c>
      <c r="CT375" s="408">
        <v>165.14421418157281</v>
      </c>
      <c r="CU375" s="408">
        <v>0</v>
      </c>
      <c r="CV375" s="408">
        <v>0</v>
      </c>
      <c r="CW375" s="408">
        <v>0</v>
      </c>
      <c r="CX375" s="408">
        <v>0</v>
      </c>
      <c r="CY375" s="408">
        <v>0</v>
      </c>
      <c r="CZ375" s="408">
        <v>165.63490582798889</v>
      </c>
      <c r="DA375" s="408">
        <v>0</v>
      </c>
      <c r="DB375" s="408">
        <v>0</v>
      </c>
      <c r="DC375" s="408">
        <v>190.81246373671297</v>
      </c>
      <c r="DD375" s="408">
        <v>0</v>
      </c>
      <c r="DE375" s="408">
        <v>0</v>
      </c>
      <c r="DF375" s="408">
        <v>0</v>
      </c>
      <c r="DG375" s="408">
        <v>8.3774624030363753</v>
      </c>
      <c r="DH375" s="408">
        <v>0</v>
      </c>
      <c r="DI375" s="408">
        <v>-16.071028350619713</v>
      </c>
      <c r="DJ375" s="408"/>
      <c r="DK375" s="408">
        <v>0</v>
      </c>
      <c r="DL375" s="408">
        <v>0</v>
      </c>
      <c r="DM375" s="408">
        <v>0</v>
      </c>
      <c r="DN375" s="408">
        <v>0</v>
      </c>
      <c r="DO375" s="408">
        <v>-2.5402582848804656</v>
      </c>
      <c r="DP375" s="408">
        <v>-0.20025787104942427</v>
      </c>
      <c r="DQ375" s="408">
        <v>0</v>
      </c>
      <c r="DR375" s="408">
        <v>0</v>
      </c>
      <c r="DS375" s="408"/>
      <c r="DT375" s="408"/>
      <c r="DU375" s="408"/>
      <c r="DV375" s="408">
        <v>8914.1997087983818</v>
      </c>
      <c r="DW375" s="408">
        <v>0</v>
      </c>
      <c r="DX375" s="408">
        <v>0</v>
      </c>
      <c r="DY375" s="408">
        <v>-1858.6649199999993</v>
      </c>
      <c r="DZ375" s="408">
        <v>190.83401000000003</v>
      </c>
      <c r="EA375" s="408">
        <v>0</v>
      </c>
      <c r="EB375" s="408">
        <v>0</v>
      </c>
      <c r="EC375" s="408">
        <v>-2214.4384153675446</v>
      </c>
      <c r="ED375" s="408">
        <v>0</v>
      </c>
      <c r="EE375" s="408">
        <v>0</v>
      </c>
      <c r="EF375" s="408">
        <v>0</v>
      </c>
      <c r="EG375" s="408">
        <v>0</v>
      </c>
      <c r="EH375" s="408">
        <v>0</v>
      </c>
      <c r="EI375" s="408">
        <v>0</v>
      </c>
      <c r="EJ375" s="408">
        <v>0</v>
      </c>
      <c r="EK375" s="408">
        <v>0</v>
      </c>
      <c r="EL375" s="408">
        <v>0</v>
      </c>
      <c r="EM375" s="408">
        <v>0</v>
      </c>
      <c r="EN375" s="408">
        <v>0</v>
      </c>
      <c r="EO375" s="408">
        <v>0</v>
      </c>
      <c r="EP375" s="408">
        <v>120.86679872351914</v>
      </c>
      <c r="EQ375" s="408">
        <v>0</v>
      </c>
      <c r="ER375" s="408">
        <v>0</v>
      </c>
      <c r="ES375" s="408">
        <v>0</v>
      </c>
      <c r="ET375" s="408">
        <v>0</v>
      </c>
      <c r="EU375" s="408">
        <v>0</v>
      </c>
      <c r="EV375" s="408">
        <v>240</v>
      </c>
      <c r="EW375" s="408">
        <v>0</v>
      </c>
      <c r="EX375" s="408">
        <v>0</v>
      </c>
      <c r="EY375" s="408">
        <v>0</v>
      </c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374</v>
      </c>
      <c r="B376" s="408" t="s">
        <v>1036</v>
      </c>
      <c r="C376" s="408" t="s">
        <v>2243</v>
      </c>
      <c r="D376" s="408" t="s">
        <v>597</v>
      </c>
      <c r="E376" s="408" t="s">
        <v>998</v>
      </c>
      <c r="F376" s="408" t="s">
        <v>1322</v>
      </c>
      <c r="G376" s="408" t="s">
        <v>1322</v>
      </c>
      <c r="H376" s="408" t="s">
        <v>1322</v>
      </c>
      <c r="I376" s="408" t="s">
        <v>2244</v>
      </c>
      <c r="J376" s="408" t="s">
        <v>2236</v>
      </c>
      <c r="K376" s="826">
        <v>44531</v>
      </c>
      <c r="L376" s="408">
        <v>0</v>
      </c>
      <c r="M376" s="408">
        <v>0</v>
      </c>
      <c r="N376" s="408">
        <v>1063.4369999999999</v>
      </c>
      <c r="O376" s="408">
        <v>1063.4369999999999</v>
      </c>
      <c r="P376" s="408">
        <v>1063.4369999999999</v>
      </c>
      <c r="Q376" s="408">
        <v>1063.4369999999999</v>
      </c>
      <c r="R376" s="408"/>
      <c r="S376" s="408">
        <v>85.01</v>
      </c>
      <c r="T376" s="408">
        <v>173.25</v>
      </c>
      <c r="U376" s="408"/>
      <c r="V376" s="408">
        <v>274643.23962000001</v>
      </c>
      <c r="W376" s="408">
        <v>274643.23962000001</v>
      </c>
      <c r="X376" s="408">
        <v>296347.98878999997</v>
      </c>
      <c r="Y376" s="408">
        <v>0</v>
      </c>
      <c r="Z376" s="408">
        <v>56940.999737810256</v>
      </c>
      <c r="AA376" s="408">
        <v>0</v>
      </c>
      <c r="AB376" s="408">
        <v>0</v>
      </c>
      <c r="AC376" s="408">
        <v>0</v>
      </c>
      <c r="AD376" s="408">
        <v>0</v>
      </c>
      <c r="AE376" s="408">
        <v>0</v>
      </c>
      <c r="AF376" s="408">
        <v>181146.35901783349</v>
      </c>
      <c r="AG376" s="408">
        <v>3091.659704018195</v>
      </c>
      <c r="AH376" s="408">
        <v>0</v>
      </c>
      <c r="AI376" s="408">
        <v>0</v>
      </c>
      <c r="AJ376" s="408">
        <v>0</v>
      </c>
      <c r="AK376" s="408">
        <v>0</v>
      </c>
      <c r="AL376" s="408">
        <v>10112.254631028101</v>
      </c>
      <c r="AM376" s="408"/>
      <c r="AN376" s="408">
        <v>851.61505409979804</v>
      </c>
      <c r="AO376" s="408">
        <v>0</v>
      </c>
      <c r="AP376" s="408">
        <v>0</v>
      </c>
      <c r="AQ376" s="408">
        <v>0</v>
      </c>
      <c r="AR376" s="408">
        <v>0</v>
      </c>
      <c r="AS376" s="408">
        <v>0</v>
      </c>
      <c r="AT376" s="408">
        <v>0</v>
      </c>
      <c r="AU376" s="408">
        <v>0</v>
      </c>
      <c r="AV376" s="408">
        <v>0</v>
      </c>
      <c r="AW376" s="408">
        <v>0</v>
      </c>
      <c r="AX376" s="408">
        <v>0</v>
      </c>
      <c r="AY376" s="408">
        <v>0</v>
      </c>
      <c r="AZ376" s="408">
        <v>0</v>
      </c>
      <c r="BA376" s="408"/>
      <c r="BB376" s="408">
        <v>0</v>
      </c>
      <c r="BC376" s="408">
        <v>0</v>
      </c>
      <c r="BD376" s="408">
        <v>0</v>
      </c>
      <c r="BE376" s="408">
        <v>0</v>
      </c>
      <c r="BF376" s="408">
        <v>0</v>
      </c>
      <c r="BG376" s="408">
        <v>7953.080120661215</v>
      </c>
      <c r="BH376" s="408">
        <v>0</v>
      </c>
      <c r="BI376" s="408">
        <v>0</v>
      </c>
      <c r="BJ376" s="408">
        <v>0</v>
      </c>
      <c r="BK376" s="408">
        <v>0</v>
      </c>
      <c r="BL376" s="408">
        <v>0</v>
      </c>
      <c r="BM376" s="408"/>
      <c r="BN376" s="408"/>
      <c r="BO376" s="408"/>
      <c r="BP376" s="408"/>
      <c r="BQ376" s="408"/>
      <c r="BR376" s="408"/>
      <c r="BS376" s="408"/>
      <c r="BT376" s="408"/>
      <c r="BU376" s="408"/>
      <c r="BV376" s="408">
        <v>189099.43913849469</v>
      </c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>
        <v>296348.8248</v>
      </c>
      <c r="CJ376" s="408">
        <v>21705.555180000025</v>
      </c>
      <c r="CK376" s="408"/>
      <c r="CL376" s="408"/>
      <c r="CM376" s="408"/>
      <c r="CN376" s="408"/>
      <c r="CO376" s="408">
        <v>-1254.8556600000072</v>
      </c>
      <c r="CP376" s="408">
        <v>22959.60483</v>
      </c>
      <c r="CQ376" s="408"/>
      <c r="CR376" s="408">
        <v>21701.668178398628</v>
      </c>
      <c r="CS376" s="408">
        <v>0</v>
      </c>
      <c r="CT376" s="408">
        <v>0</v>
      </c>
      <c r="CU376" s="408">
        <v>0</v>
      </c>
      <c r="CV376" s="408">
        <v>0</v>
      </c>
      <c r="CW376" s="408">
        <v>0</v>
      </c>
      <c r="CX376" s="408">
        <v>0</v>
      </c>
      <c r="CY376" s="408">
        <v>0</v>
      </c>
      <c r="CZ376" s="408">
        <v>0</v>
      </c>
      <c r="DA376" s="408">
        <v>0</v>
      </c>
      <c r="DB376" s="408">
        <v>0</v>
      </c>
      <c r="DC376" s="408">
        <v>22957.012557843496</v>
      </c>
      <c r="DD376" s="408">
        <v>0</v>
      </c>
      <c r="DE376" s="408">
        <v>0</v>
      </c>
      <c r="DF376" s="408">
        <v>0</v>
      </c>
      <c r="DG376" s="408">
        <v>1007.9085287360313</v>
      </c>
      <c r="DH376" s="408">
        <v>0</v>
      </c>
      <c r="DI376" s="408">
        <v>-1933.5361665457604</v>
      </c>
      <c r="DJ376" s="408"/>
      <c r="DK376" s="408">
        <v>0</v>
      </c>
      <c r="DL376" s="408">
        <v>0</v>
      </c>
      <c r="DM376" s="408">
        <v>0</v>
      </c>
      <c r="DN376" s="408">
        <v>0</v>
      </c>
      <c r="DO376" s="408">
        <v>-305.62333405344907</v>
      </c>
      <c r="DP376" s="408">
        <v>-24.093407581761085</v>
      </c>
      <c r="DQ376" s="408">
        <v>0</v>
      </c>
      <c r="DR376" s="408">
        <v>0</v>
      </c>
      <c r="DS376" s="408"/>
      <c r="DT376" s="408"/>
      <c r="DU376" s="408"/>
      <c r="DV376" s="408">
        <v>0</v>
      </c>
      <c r="DW376" s="408">
        <v>0</v>
      </c>
      <c r="DX376" s="408">
        <v>0</v>
      </c>
      <c r="DY376" s="408">
        <v>-1254.8556600000156</v>
      </c>
      <c r="DZ376" s="408">
        <v>22959.604829999997</v>
      </c>
      <c r="EA376" s="408">
        <v>0</v>
      </c>
      <c r="EB376" s="408">
        <v>0</v>
      </c>
      <c r="EC376" s="408">
        <v>0</v>
      </c>
      <c r="ED376" s="408">
        <v>0</v>
      </c>
      <c r="EE376" s="408">
        <v>0</v>
      </c>
      <c r="EF376" s="408">
        <v>0</v>
      </c>
      <c r="EG376" s="408">
        <v>0</v>
      </c>
      <c r="EH376" s="408">
        <v>0</v>
      </c>
      <c r="EI376" s="408">
        <v>0</v>
      </c>
      <c r="EJ376" s="408">
        <v>0</v>
      </c>
      <c r="EK376" s="408">
        <v>0</v>
      </c>
      <c r="EL376" s="408">
        <v>0</v>
      </c>
      <c r="EM376" s="408">
        <v>0</v>
      </c>
      <c r="EN376" s="408">
        <v>0</v>
      </c>
      <c r="EO376" s="408">
        <v>0</v>
      </c>
      <c r="EP376" s="408">
        <v>14541.715786191085</v>
      </c>
      <c r="EQ376" s="408">
        <v>0</v>
      </c>
      <c r="ER376" s="408">
        <v>0</v>
      </c>
      <c r="ES376" s="408">
        <v>0</v>
      </c>
      <c r="ET376" s="408">
        <v>0</v>
      </c>
      <c r="EU376" s="408">
        <v>0</v>
      </c>
      <c r="EV376" s="408">
        <v>240</v>
      </c>
      <c r="EW376" s="408">
        <v>0</v>
      </c>
      <c r="EX376" s="408">
        <v>0</v>
      </c>
      <c r="EY376" s="408">
        <v>0</v>
      </c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375</v>
      </c>
      <c r="B377" s="408" t="s">
        <v>2238</v>
      </c>
      <c r="C377" s="408" t="s">
        <v>2243</v>
      </c>
      <c r="D377" s="408" t="s">
        <v>597</v>
      </c>
      <c r="E377" s="408" t="s">
        <v>998</v>
      </c>
      <c r="F377" s="408" t="s">
        <v>1322</v>
      </c>
      <c r="G377" s="408" t="s">
        <v>1322</v>
      </c>
      <c r="H377" s="408" t="s">
        <v>1322</v>
      </c>
      <c r="I377" s="408" t="s">
        <v>2244</v>
      </c>
      <c r="J377" s="408" t="s">
        <v>2236</v>
      </c>
      <c r="K377" s="826">
        <v>44531</v>
      </c>
      <c r="L377" s="408">
        <v>0</v>
      </c>
      <c r="M377" s="408">
        <v>0</v>
      </c>
      <c r="N377" s="408">
        <v>28.815999999999999</v>
      </c>
      <c r="O377" s="408">
        <v>28.815999999999999</v>
      </c>
      <c r="P377" s="408">
        <v>28.815999999999999</v>
      </c>
      <c r="Q377" s="408">
        <v>28.815999999999999</v>
      </c>
      <c r="R377" s="408"/>
      <c r="S377" s="408">
        <v>85.01</v>
      </c>
      <c r="T377" s="408">
        <v>173.25</v>
      </c>
      <c r="U377" s="408"/>
      <c r="V377" s="408">
        <v>7442.02016</v>
      </c>
      <c r="W377" s="408">
        <v>7442.02016</v>
      </c>
      <c r="X377" s="408">
        <v>8030.1547199999995</v>
      </c>
      <c r="Y377" s="408">
        <v>0</v>
      </c>
      <c r="Z377" s="408">
        <v>1542.9328191935585</v>
      </c>
      <c r="AA377" s="408">
        <v>0</v>
      </c>
      <c r="AB377" s="408">
        <v>0</v>
      </c>
      <c r="AC377" s="408">
        <v>0</v>
      </c>
      <c r="AD377" s="408">
        <v>0</v>
      </c>
      <c r="AE377" s="408">
        <v>0</v>
      </c>
      <c r="AF377" s="408">
        <v>4908.5310003863797</v>
      </c>
      <c r="AG377" s="408">
        <v>83.774841416076669</v>
      </c>
      <c r="AH377" s="408">
        <v>0</v>
      </c>
      <c r="AI377" s="408">
        <v>0</v>
      </c>
      <c r="AJ377" s="408">
        <v>0</v>
      </c>
      <c r="AK377" s="408">
        <v>0</v>
      </c>
      <c r="AL377" s="408">
        <v>274.01221647140898</v>
      </c>
      <c r="AM377" s="408"/>
      <c r="AN377" s="408">
        <v>23.076251248489363</v>
      </c>
      <c r="AO377" s="408">
        <v>0</v>
      </c>
      <c r="AP377" s="408">
        <v>0</v>
      </c>
      <c r="AQ377" s="408">
        <v>0</v>
      </c>
      <c r="AR377" s="408">
        <v>0</v>
      </c>
      <c r="AS377" s="408">
        <v>0</v>
      </c>
      <c r="AT377" s="408">
        <v>0</v>
      </c>
      <c r="AU377" s="408">
        <v>0</v>
      </c>
      <c r="AV377" s="408">
        <v>0</v>
      </c>
      <c r="AW377" s="408">
        <v>0</v>
      </c>
      <c r="AX377" s="408">
        <v>0</v>
      </c>
      <c r="AY377" s="408">
        <v>0</v>
      </c>
      <c r="AZ377" s="408">
        <v>0</v>
      </c>
      <c r="BA377" s="408"/>
      <c r="BB377" s="408">
        <v>0</v>
      </c>
      <c r="BC377" s="408">
        <v>0</v>
      </c>
      <c r="BD377" s="408">
        <v>0</v>
      </c>
      <c r="BE377" s="408">
        <v>0</v>
      </c>
      <c r="BF377" s="408">
        <v>0</v>
      </c>
      <c r="BG377" s="408">
        <v>215.50496809587551</v>
      </c>
      <c r="BH377" s="408">
        <v>0</v>
      </c>
      <c r="BI377" s="408">
        <v>0</v>
      </c>
      <c r="BJ377" s="408">
        <v>0</v>
      </c>
      <c r="BK377" s="408">
        <v>0</v>
      </c>
      <c r="BL377" s="408">
        <v>0</v>
      </c>
      <c r="BM377" s="408"/>
      <c r="BN377" s="408"/>
      <c r="BO377" s="408"/>
      <c r="BP377" s="408"/>
      <c r="BQ377" s="408"/>
      <c r="BR377" s="408"/>
      <c r="BS377" s="408"/>
      <c r="BT377" s="408"/>
      <c r="BU377" s="408"/>
      <c r="BV377" s="408">
        <v>5124.0359684822552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8031.2694000000001</v>
      </c>
      <c r="CJ377" s="408">
        <v>589.21923999999944</v>
      </c>
      <c r="CK377" s="408"/>
      <c r="CL377" s="408"/>
      <c r="CM377" s="408"/>
      <c r="CN377" s="408"/>
      <c r="CO377" s="408">
        <v>-34.002880000000197</v>
      </c>
      <c r="CP377" s="408">
        <v>622.13744000000008</v>
      </c>
      <c r="CQ377" s="408"/>
      <c r="CR377" s="408">
        <v>588.05107423263871</v>
      </c>
      <c r="CS377" s="408">
        <v>0</v>
      </c>
      <c r="CT377" s="408">
        <v>0</v>
      </c>
      <c r="CU377" s="408">
        <v>0</v>
      </c>
      <c r="CV377" s="408">
        <v>0</v>
      </c>
      <c r="CW377" s="408">
        <v>0</v>
      </c>
      <c r="CX377" s="408">
        <v>0</v>
      </c>
      <c r="CY377" s="408">
        <v>0</v>
      </c>
      <c r="CZ377" s="408">
        <v>0</v>
      </c>
      <c r="DA377" s="408">
        <v>0</v>
      </c>
      <c r="DB377" s="408">
        <v>0</v>
      </c>
      <c r="DC377" s="408">
        <v>622.06719708531728</v>
      </c>
      <c r="DD377" s="408">
        <v>0</v>
      </c>
      <c r="DE377" s="408">
        <v>0</v>
      </c>
      <c r="DF377" s="408">
        <v>0</v>
      </c>
      <c r="DG377" s="408">
        <v>27.311342528102273</v>
      </c>
      <c r="DH377" s="408">
        <v>0</v>
      </c>
      <c r="DI377" s="408">
        <v>-52.393116070987389</v>
      </c>
      <c r="DJ377" s="408"/>
      <c r="DK377" s="408">
        <v>0</v>
      </c>
      <c r="DL377" s="408">
        <v>0</v>
      </c>
      <c r="DM377" s="408">
        <v>0</v>
      </c>
      <c r="DN377" s="408">
        <v>0</v>
      </c>
      <c r="DO377" s="408">
        <v>-8.2814891658688907</v>
      </c>
      <c r="DP377" s="408">
        <v>-0.65286014392580682</v>
      </c>
      <c r="DQ377" s="408">
        <v>0</v>
      </c>
      <c r="DR377" s="408">
        <v>0</v>
      </c>
      <c r="DS377" s="408"/>
      <c r="DT377" s="408"/>
      <c r="DU377" s="408"/>
      <c r="DV377" s="408">
        <v>0</v>
      </c>
      <c r="DW377" s="408">
        <v>0</v>
      </c>
      <c r="DX377" s="408">
        <v>0</v>
      </c>
      <c r="DY377" s="408">
        <v>-34.002880000000459</v>
      </c>
      <c r="DZ377" s="408">
        <v>622.13744000000042</v>
      </c>
      <c r="EA377" s="408">
        <v>0</v>
      </c>
      <c r="EB377" s="408">
        <v>0</v>
      </c>
      <c r="EC377" s="408">
        <v>0</v>
      </c>
      <c r="ED377" s="408">
        <v>0</v>
      </c>
      <c r="EE377" s="408">
        <v>0</v>
      </c>
      <c r="EF377" s="408">
        <v>0</v>
      </c>
      <c r="EG377" s="408">
        <v>0</v>
      </c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>
        <v>0</v>
      </c>
      <c r="EN377" s="408">
        <v>0</v>
      </c>
      <c r="EO377" s="408">
        <v>0</v>
      </c>
      <c r="EP377" s="408">
        <v>394.03752370369131</v>
      </c>
      <c r="EQ377" s="408">
        <v>0</v>
      </c>
      <c r="ER377" s="408">
        <v>0</v>
      </c>
      <c r="ES377" s="408">
        <v>0</v>
      </c>
      <c r="ET377" s="408">
        <v>0</v>
      </c>
      <c r="EU377" s="408">
        <v>0</v>
      </c>
      <c r="EV377" s="408">
        <v>240</v>
      </c>
      <c r="EW377" s="408">
        <v>0</v>
      </c>
      <c r="EX377" s="408">
        <v>0</v>
      </c>
      <c r="EY377" s="408">
        <v>0</v>
      </c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376</v>
      </c>
      <c r="B378" s="408" t="s">
        <v>1036</v>
      </c>
      <c r="C378" s="408" t="s">
        <v>2243</v>
      </c>
      <c r="D378" s="408" t="s">
        <v>597</v>
      </c>
      <c r="E378" s="408" t="s">
        <v>998</v>
      </c>
      <c r="F378" s="408" t="s">
        <v>1322</v>
      </c>
      <c r="G378" s="408" t="s">
        <v>1322</v>
      </c>
      <c r="H378" s="408" t="s">
        <v>1322</v>
      </c>
      <c r="I378" s="408" t="s">
        <v>1322</v>
      </c>
      <c r="J378" s="408" t="s">
        <v>2236</v>
      </c>
      <c r="K378" s="826">
        <v>44531</v>
      </c>
      <c r="L378" s="408">
        <v>4241</v>
      </c>
      <c r="M378" s="408">
        <v>4241</v>
      </c>
      <c r="N378" s="408">
        <v>0</v>
      </c>
      <c r="O378" s="408">
        <v>0</v>
      </c>
      <c r="P378" s="408">
        <v>0</v>
      </c>
      <c r="Q378" s="408">
        <v>0</v>
      </c>
      <c r="R378" s="408">
        <v>27.19</v>
      </c>
      <c r="S378" s="408"/>
      <c r="T378" s="408"/>
      <c r="U378" s="408">
        <v>115312.79000000001</v>
      </c>
      <c r="V378" s="408"/>
      <c r="W378" s="408">
        <v>115312.79000000001</v>
      </c>
      <c r="X378" s="408">
        <v>92284.160000000003</v>
      </c>
      <c r="Y378" s="408">
        <v>0</v>
      </c>
      <c r="Z378" s="408">
        <v>0</v>
      </c>
      <c r="AA378" s="408">
        <v>0</v>
      </c>
      <c r="AB378" s="408">
        <v>0</v>
      </c>
      <c r="AC378" s="408">
        <v>989.00380154629897</v>
      </c>
      <c r="AD378" s="408">
        <v>950.13175376996821</v>
      </c>
      <c r="AE378" s="408">
        <v>101495.74026123944</v>
      </c>
      <c r="AF378" s="408"/>
      <c r="AG378" s="408"/>
      <c r="AH378" s="408"/>
      <c r="AI378" s="408">
        <v>0</v>
      </c>
      <c r="AJ378" s="408">
        <v>0</v>
      </c>
      <c r="AK378" s="408">
        <v>0</v>
      </c>
      <c r="AL378" s="408">
        <v>0</v>
      </c>
      <c r="AM378" s="408"/>
      <c r="AN378" s="408">
        <v>0</v>
      </c>
      <c r="AO378" s="408">
        <v>2098.8065686546579</v>
      </c>
      <c r="AP378" s="408">
        <v>9788.6047832117292</v>
      </c>
      <c r="AQ378" s="408">
        <v>0</v>
      </c>
      <c r="AR378" s="408">
        <v>0</v>
      </c>
      <c r="AS378" s="408"/>
      <c r="AT378" s="408"/>
      <c r="AU378" s="408">
        <v>0</v>
      </c>
      <c r="AV378" s="408">
        <v>0</v>
      </c>
      <c r="AW378" s="408">
        <v>0</v>
      </c>
      <c r="AX378" s="408"/>
      <c r="AY378" s="408"/>
      <c r="AZ378" s="408">
        <v>0</v>
      </c>
      <c r="BA378" s="408"/>
      <c r="BB378" s="408">
        <v>0</v>
      </c>
      <c r="BC378" s="408">
        <v>0</v>
      </c>
      <c r="BD378" s="408">
        <v>0</v>
      </c>
      <c r="BE378" s="408">
        <v>0</v>
      </c>
      <c r="BF378" s="408"/>
      <c r="BG378" s="408">
        <v>0</v>
      </c>
      <c r="BH378" s="408">
        <v>0</v>
      </c>
      <c r="BI378" s="408">
        <v>492.51</v>
      </c>
      <c r="BJ378" s="408">
        <v>4223.13</v>
      </c>
      <c r="BK378" s="408">
        <v>295517.02</v>
      </c>
      <c r="BL378" s="408">
        <v>42</v>
      </c>
      <c r="BM378" s="408"/>
      <c r="BN378" s="408"/>
      <c r="BO378" s="408"/>
      <c r="BP378" s="408"/>
      <c r="BQ378" s="408"/>
      <c r="BR378" s="408"/>
      <c r="BS378" s="408"/>
      <c r="BT378" s="408"/>
      <c r="BU378" s="408"/>
      <c r="BV378" s="408">
        <v>0</v>
      </c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>
        <v>92284.160000000003</v>
      </c>
      <c r="CJ378" s="408">
        <v>-23028.659999999989</v>
      </c>
      <c r="CK378" s="408"/>
      <c r="CL378" s="408"/>
      <c r="CM378" s="408"/>
      <c r="CN378" s="408"/>
      <c r="CO378" s="408">
        <v>-23028.629999999997</v>
      </c>
      <c r="CP378" s="408">
        <v>0</v>
      </c>
      <c r="CQ378" s="408"/>
      <c r="CR378" s="408">
        <v>2162.8760250886244</v>
      </c>
      <c r="CS378" s="408">
        <v>209.14158848781381</v>
      </c>
      <c r="CT378" s="408">
        <v>975.41354406594655</v>
      </c>
      <c r="CU378" s="408">
        <v>0</v>
      </c>
      <c r="CV378" s="408">
        <v>0</v>
      </c>
      <c r="CW378" s="408"/>
      <c r="CX378" s="408"/>
      <c r="CY378" s="408"/>
      <c r="CZ378" s="408">
        <v>978.32089253486254</v>
      </c>
      <c r="DA378" s="408">
        <v>0</v>
      </c>
      <c r="DB378" s="408">
        <v>0</v>
      </c>
      <c r="DC378" s="408"/>
      <c r="DD378" s="408"/>
      <c r="DE378" s="408">
        <v>0</v>
      </c>
      <c r="DF378" s="408">
        <v>0</v>
      </c>
      <c r="DG378" s="408">
        <v>0</v>
      </c>
      <c r="DH378" s="408">
        <v>0</v>
      </c>
      <c r="DI378" s="408">
        <v>0</v>
      </c>
      <c r="DJ378" s="408"/>
      <c r="DK378" s="408">
        <v>0</v>
      </c>
      <c r="DL378" s="408">
        <v>0</v>
      </c>
      <c r="DM378" s="408"/>
      <c r="DN378" s="408">
        <v>0</v>
      </c>
      <c r="DO378" s="408">
        <v>0</v>
      </c>
      <c r="DP378" s="408">
        <v>0</v>
      </c>
      <c r="DQ378" s="408">
        <v>0</v>
      </c>
      <c r="DR378" s="408">
        <v>0</v>
      </c>
      <c r="DS378" s="408"/>
      <c r="DT378" s="408"/>
      <c r="DU378" s="408">
        <v>101495.74026123944</v>
      </c>
      <c r="DV378" s="408"/>
      <c r="DW378" s="408">
        <v>0</v>
      </c>
      <c r="DX378" s="408">
        <v>0</v>
      </c>
      <c r="DY378" s="408">
        <v>-23028.630000000005</v>
      </c>
      <c r="DZ378" s="408"/>
      <c r="EA378" s="408">
        <v>0</v>
      </c>
      <c r="EB378" s="408"/>
      <c r="EC378" s="408">
        <v>-25213.263509097364</v>
      </c>
      <c r="ED378" s="408"/>
      <c r="EE378" s="408">
        <v>0</v>
      </c>
      <c r="EF378" s="408">
        <v>0</v>
      </c>
      <c r="EG378" s="408"/>
      <c r="EH378" s="408">
        <v>0</v>
      </c>
      <c r="EI378" s="408">
        <v>0</v>
      </c>
      <c r="EJ378" s="408">
        <v>0</v>
      </c>
      <c r="EK378" s="408">
        <v>0</v>
      </c>
      <c r="EL378" s="408">
        <v>0</v>
      </c>
      <c r="EM378" s="408"/>
      <c r="EN378" s="408"/>
      <c r="EO378" s="408">
        <v>0</v>
      </c>
      <c r="EP378" s="408">
        <v>0</v>
      </c>
      <c r="EQ378" s="408"/>
      <c r="ER378" s="408">
        <v>0</v>
      </c>
      <c r="ES378" s="408"/>
      <c r="ET378" s="408">
        <v>0</v>
      </c>
      <c r="EU378" s="408"/>
      <c r="EV378" s="408">
        <v>240</v>
      </c>
      <c r="EW378" s="408"/>
      <c r="EX378" s="408"/>
      <c r="EY378" s="408"/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377</v>
      </c>
      <c r="B379" s="408" t="s">
        <v>2238</v>
      </c>
      <c r="C379" s="408" t="s">
        <v>2243</v>
      </c>
      <c r="D379" s="408" t="s">
        <v>597</v>
      </c>
      <c r="E379" s="408" t="s">
        <v>998</v>
      </c>
      <c r="F379" s="408" t="s">
        <v>1322</v>
      </c>
      <c r="G379" s="408" t="s">
        <v>1322</v>
      </c>
      <c r="H379" s="408" t="s">
        <v>1322</v>
      </c>
      <c r="I379" s="408" t="s">
        <v>1322</v>
      </c>
      <c r="J379" s="408" t="s">
        <v>2236</v>
      </c>
      <c r="K379" s="826">
        <v>44531</v>
      </c>
      <c r="L379" s="408">
        <v>805</v>
      </c>
      <c r="M379" s="408">
        <v>805</v>
      </c>
      <c r="N379" s="408">
        <v>0</v>
      </c>
      <c r="O379" s="408">
        <v>0</v>
      </c>
      <c r="P379" s="408">
        <v>0</v>
      </c>
      <c r="Q379" s="408">
        <v>0</v>
      </c>
      <c r="R379" s="408">
        <v>27.19</v>
      </c>
      <c r="S379" s="408"/>
      <c r="T379" s="408"/>
      <c r="U379" s="408">
        <v>21887.95</v>
      </c>
      <c r="V379" s="408"/>
      <c r="W379" s="408">
        <v>21887.95</v>
      </c>
      <c r="X379" s="408">
        <v>17516.800000000003</v>
      </c>
      <c r="Y379" s="408">
        <v>0</v>
      </c>
      <c r="Z379" s="408">
        <v>0</v>
      </c>
      <c r="AA379" s="408">
        <v>0</v>
      </c>
      <c r="AB379" s="408">
        <v>0</v>
      </c>
      <c r="AC379" s="408">
        <v>187.72649380918904</v>
      </c>
      <c r="AD379" s="408">
        <v>180.34804569319132</v>
      </c>
      <c r="AE379" s="408">
        <v>19265.284345743396</v>
      </c>
      <c r="AF379" s="408"/>
      <c r="AG379" s="408"/>
      <c r="AH379" s="408"/>
      <c r="AI379" s="408">
        <v>0</v>
      </c>
      <c r="AJ379" s="408">
        <v>0</v>
      </c>
      <c r="AK379" s="408">
        <v>0</v>
      </c>
      <c r="AL379" s="408">
        <v>0</v>
      </c>
      <c r="AM379" s="408"/>
      <c r="AN379" s="408">
        <v>0</v>
      </c>
      <c r="AO379" s="408">
        <v>398.3822890278235</v>
      </c>
      <c r="AP379" s="408">
        <v>1858.0115186242494</v>
      </c>
      <c r="AQ379" s="408">
        <v>0</v>
      </c>
      <c r="AR379" s="408">
        <v>0</v>
      </c>
      <c r="AS379" s="408"/>
      <c r="AT379" s="408"/>
      <c r="AU379" s="408">
        <v>0</v>
      </c>
      <c r="AV379" s="408">
        <v>0</v>
      </c>
      <c r="AW379" s="408">
        <v>0</v>
      </c>
      <c r="AX379" s="408"/>
      <c r="AY379" s="408"/>
      <c r="AZ379" s="408">
        <v>0</v>
      </c>
      <c r="BA379" s="408"/>
      <c r="BB379" s="408">
        <v>0</v>
      </c>
      <c r="BC379" s="408">
        <v>0</v>
      </c>
      <c r="BD379" s="408">
        <v>0</v>
      </c>
      <c r="BE379" s="408">
        <v>0</v>
      </c>
      <c r="BF379" s="408"/>
      <c r="BG379" s="408">
        <v>0</v>
      </c>
      <c r="BH379" s="408">
        <v>0</v>
      </c>
      <c r="BI379" s="408">
        <v>30.83</v>
      </c>
      <c r="BJ379" s="408">
        <v>264.52</v>
      </c>
      <c r="BK379" s="408">
        <v>20549.61</v>
      </c>
      <c r="BL379" s="408">
        <v>6</v>
      </c>
      <c r="BM379" s="408"/>
      <c r="BN379" s="408"/>
      <c r="BO379" s="408"/>
      <c r="BP379" s="408"/>
      <c r="BQ379" s="408"/>
      <c r="BR379" s="408"/>
      <c r="BS379" s="408"/>
      <c r="BT379" s="408"/>
      <c r="BU379" s="408"/>
      <c r="BV379" s="408">
        <v>0</v>
      </c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>
        <v>17516.800000000003</v>
      </c>
      <c r="CJ379" s="408">
        <v>-4371.179999999993</v>
      </c>
      <c r="CK379" s="408"/>
      <c r="CL379" s="408"/>
      <c r="CM379" s="408"/>
      <c r="CN379" s="408"/>
      <c r="CO379" s="408">
        <v>-4371.1499999999996</v>
      </c>
      <c r="CP379" s="408">
        <v>0</v>
      </c>
      <c r="CQ379" s="408"/>
      <c r="CR379" s="408">
        <v>410.54355109557719</v>
      </c>
      <c r="CS379" s="408">
        <v>39.697943582336734</v>
      </c>
      <c r="CT379" s="408">
        <v>185.14687643788898</v>
      </c>
      <c r="CU379" s="408">
        <v>0</v>
      </c>
      <c r="CV379" s="408">
        <v>0</v>
      </c>
      <c r="CW379" s="408"/>
      <c r="CX379" s="408"/>
      <c r="CY379" s="408"/>
      <c r="CZ379" s="408">
        <v>185.69873107535116</v>
      </c>
      <c r="DA379" s="408">
        <v>0</v>
      </c>
      <c r="DB379" s="408">
        <v>0</v>
      </c>
      <c r="DC379" s="408"/>
      <c r="DD379" s="408"/>
      <c r="DE379" s="408">
        <v>0</v>
      </c>
      <c r="DF379" s="408">
        <v>0</v>
      </c>
      <c r="DG379" s="408">
        <v>0</v>
      </c>
      <c r="DH379" s="408">
        <v>0</v>
      </c>
      <c r="DI379" s="408">
        <v>0</v>
      </c>
      <c r="DJ379" s="408"/>
      <c r="DK379" s="408">
        <v>0</v>
      </c>
      <c r="DL379" s="408">
        <v>0</v>
      </c>
      <c r="DM379" s="408"/>
      <c r="DN379" s="408">
        <v>0</v>
      </c>
      <c r="DO379" s="408">
        <v>0</v>
      </c>
      <c r="DP379" s="408">
        <v>0</v>
      </c>
      <c r="DQ379" s="408">
        <v>0</v>
      </c>
      <c r="DR379" s="408">
        <v>0</v>
      </c>
      <c r="DS379" s="408"/>
      <c r="DT379" s="408"/>
      <c r="DU379" s="408">
        <v>19265.284345743396</v>
      </c>
      <c r="DV379" s="408"/>
      <c r="DW379" s="408">
        <v>0</v>
      </c>
      <c r="DX379" s="408">
        <v>0</v>
      </c>
      <c r="DY379" s="408">
        <v>-4371.1499999999978</v>
      </c>
      <c r="DZ379" s="408"/>
      <c r="EA379" s="408">
        <v>0</v>
      </c>
      <c r="EB379" s="408"/>
      <c r="EC379" s="408">
        <v>-4785.8234201422711</v>
      </c>
      <c r="ED379" s="408"/>
      <c r="EE379" s="408">
        <v>0</v>
      </c>
      <c r="EF379" s="408">
        <v>0</v>
      </c>
      <c r="EG379" s="408"/>
      <c r="EH379" s="408">
        <v>0</v>
      </c>
      <c r="EI379" s="408">
        <v>0</v>
      </c>
      <c r="EJ379" s="408">
        <v>0</v>
      </c>
      <c r="EK379" s="408">
        <v>0</v>
      </c>
      <c r="EL379" s="408">
        <v>0</v>
      </c>
      <c r="EM379" s="408"/>
      <c r="EN379" s="408"/>
      <c r="EO379" s="408">
        <v>0</v>
      </c>
      <c r="EP379" s="408">
        <v>0</v>
      </c>
      <c r="EQ379" s="408"/>
      <c r="ER379" s="408">
        <v>0</v>
      </c>
      <c r="ES379" s="408"/>
      <c r="ET379" s="408">
        <v>0</v>
      </c>
      <c r="EU379" s="408"/>
      <c r="EV379" s="408">
        <v>240</v>
      </c>
      <c r="EW379" s="408"/>
      <c r="EX379" s="408"/>
      <c r="EY379" s="408"/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378</v>
      </c>
      <c r="B380" s="408" t="s">
        <v>1036</v>
      </c>
      <c r="C380" s="408" t="s">
        <v>2316</v>
      </c>
      <c r="D380" s="408" t="s">
        <v>1958</v>
      </c>
      <c r="E380" s="408" t="s">
        <v>998</v>
      </c>
      <c r="F380" s="408" t="s">
        <v>1322</v>
      </c>
      <c r="G380" s="408" t="s">
        <v>1322</v>
      </c>
      <c r="H380" s="408" t="s">
        <v>1322</v>
      </c>
      <c r="I380" s="408" t="s">
        <v>973</v>
      </c>
      <c r="J380" s="408" t="s">
        <v>2236</v>
      </c>
      <c r="K380" s="826">
        <v>44531</v>
      </c>
      <c r="L380" s="408">
        <v>0</v>
      </c>
      <c r="M380" s="408">
        <v>0</v>
      </c>
      <c r="N380" s="408">
        <v>0.70399999999999996</v>
      </c>
      <c r="O380" s="408">
        <v>0.70399999999999996</v>
      </c>
      <c r="P380" s="408">
        <v>0.70399999999999996</v>
      </c>
      <c r="Q380" s="408">
        <v>0.70399999999999996</v>
      </c>
      <c r="R380" s="408"/>
      <c r="S380" s="408">
        <v>1553.42</v>
      </c>
      <c r="T380" s="408">
        <v>173.25</v>
      </c>
      <c r="U380" s="408"/>
      <c r="V380" s="408">
        <v>1215.5756800000001</v>
      </c>
      <c r="W380" s="408">
        <v>1215.5756800000001</v>
      </c>
      <c r="X380" s="408">
        <v>1153.32096</v>
      </c>
      <c r="Y380" s="408">
        <v>0</v>
      </c>
      <c r="Z380" s="408">
        <v>43.327808972356756</v>
      </c>
      <c r="AA380" s="408">
        <v>0</v>
      </c>
      <c r="AB380" s="408">
        <v>0</v>
      </c>
      <c r="AC380" s="408">
        <v>76.348269219627326</v>
      </c>
      <c r="AD380" s="408">
        <v>5.2797325533148767</v>
      </c>
      <c r="AE380" s="408">
        <v>505.74508402351927</v>
      </c>
      <c r="AF380" s="408">
        <v>119.91969129206035</v>
      </c>
      <c r="AG380" s="408">
        <v>2.04669240550104</v>
      </c>
      <c r="AH380" s="408">
        <v>0</v>
      </c>
      <c r="AI380" s="408">
        <v>0</v>
      </c>
      <c r="AJ380" s="408">
        <v>0</v>
      </c>
      <c r="AK380" s="408">
        <v>0</v>
      </c>
      <c r="AL380" s="408">
        <v>6.6943573152370881</v>
      </c>
      <c r="AM380" s="408"/>
      <c r="AN380" s="408">
        <v>0.85033112691135482</v>
      </c>
      <c r="AO380" s="408">
        <v>222.14999116305387</v>
      </c>
      <c r="AP380" s="408">
        <v>215.85069051517732</v>
      </c>
      <c r="AQ380" s="408">
        <v>0</v>
      </c>
      <c r="AR380" s="408">
        <v>0</v>
      </c>
      <c r="AS380" s="408">
        <v>0</v>
      </c>
      <c r="AT380" s="408">
        <v>0</v>
      </c>
      <c r="AU380" s="408">
        <v>0</v>
      </c>
      <c r="AV380" s="408">
        <v>0</v>
      </c>
      <c r="AW380" s="408">
        <v>0</v>
      </c>
      <c r="AX380" s="408">
        <v>0</v>
      </c>
      <c r="AY380" s="408">
        <v>0</v>
      </c>
      <c r="AZ380" s="408">
        <v>0</v>
      </c>
      <c r="BA380" s="408"/>
      <c r="BB380" s="408">
        <v>0</v>
      </c>
      <c r="BC380" s="408">
        <v>0</v>
      </c>
      <c r="BD380" s="408">
        <v>0</v>
      </c>
      <c r="BE380" s="408">
        <v>0</v>
      </c>
      <c r="BF380" s="408">
        <v>0</v>
      </c>
      <c r="BG380" s="408">
        <v>6.29361344482533</v>
      </c>
      <c r="BH380" s="408">
        <v>0</v>
      </c>
      <c r="BI380" s="408">
        <v>0</v>
      </c>
      <c r="BJ380" s="408">
        <v>0</v>
      </c>
      <c r="BK380" s="408">
        <v>0</v>
      </c>
      <c r="BL380" s="408">
        <v>0</v>
      </c>
      <c r="BM380" s="408"/>
      <c r="BN380" s="408"/>
      <c r="BO380" s="408"/>
      <c r="BP380" s="408"/>
      <c r="BQ380" s="408"/>
      <c r="BR380" s="408"/>
      <c r="BS380" s="408"/>
      <c r="BT380" s="408"/>
      <c r="BU380" s="408"/>
      <c r="BV380" s="408">
        <v>126.21330473688568</v>
      </c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>
        <v>1146.768</v>
      </c>
      <c r="CJ380" s="408">
        <v>-68.837680000000091</v>
      </c>
      <c r="CK380" s="408"/>
      <c r="CL380" s="408"/>
      <c r="CM380" s="408"/>
      <c r="CN380" s="408"/>
      <c r="CO380" s="408">
        <v>-77.454079999999976</v>
      </c>
      <c r="CP380" s="408">
        <v>15.199360000000002</v>
      </c>
      <c r="CQ380" s="408"/>
      <c r="CR380" s="408">
        <v>63.379795675071819</v>
      </c>
      <c r="CS380" s="408">
        <v>22.136771786538134</v>
      </c>
      <c r="CT380" s="408">
        <v>21.50905994137122</v>
      </c>
      <c r="CU380" s="408">
        <v>0</v>
      </c>
      <c r="CV380" s="408">
        <v>0</v>
      </c>
      <c r="CW380" s="408">
        <v>0</v>
      </c>
      <c r="CX380" s="408">
        <v>0</v>
      </c>
      <c r="CY380" s="408">
        <v>0</v>
      </c>
      <c r="CZ380" s="408">
        <v>5.4363751589286293</v>
      </c>
      <c r="DA380" s="408">
        <v>0</v>
      </c>
      <c r="DB380" s="408">
        <v>0</v>
      </c>
      <c r="DC380" s="408">
        <v>15.197643904360888</v>
      </c>
      <c r="DD380" s="408">
        <v>0</v>
      </c>
      <c r="DE380" s="408">
        <v>0</v>
      </c>
      <c r="DF380" s="408">
        <v>0</v>
      </c>
      <c r="DG380" s="408">
        <v>0.79760125276847482</v>
      </c>
      <c r="DH380" s="408">
        <v>0</v>
      </c>
      <c r="DI380" s="408">
        <v>-1.471275285839603</v>
      </c>
      <c r="DJ380" s="408"/>
      <c r="DK380" s="408">
        <v>0</v>
      </c>
      <c r="DL380" s="408">
        <v>0</v>
      </c>
      <c r="DM380" s="408">
        <v>0</v>
      </c>
      <c r="DN380" s="408">
        <v>0</v>
      </c>
      <c r="DO380" s="408">
        <v>-0.20232399961034542</v>
      </c>
      <c r="DP380" s="408">
        <v>-2.405708344574653E-2</v>
      </c>
      <c r="DQ380" s="408">
        <v>0</v>
      </c>
      <c r="DR380" s="408">
        <v>0</v>
      </c>
      <c r="DS380" s="408"/>
      <c r="DT380" s="408"/>
      <c r="DU380" s="408"/>
      <c r="DV380" s="408">
        <v>505.74508402351927</v>
      </c>
      <c r="DW380" s="408">
        <v>0</v>
      </c>
      <c r="DX380" s="408">
        <v>0</v>
      </c>
      <c r="DY380" s="408">
        <v>-77.45408000000009</v>
      </c>
      <c r="DZ380" s="408">
        <v>15.199360000000013</v>
      </c>
      <c r="EA380" s="408">
        <v>0</v>
      </c>
      <c r="EB380" s="408">
        <v>0</v>
      </c>
      <c r="EC380" s="408">
        <v>-125.63565760587284</v>
      </c>
      <c r="ED380" s="408">
        <v>0</v>
      </c>
      <c r="EE380" s="408">
        <v>0</v>
      </c>
      <c r="EF380" s="408">
        <v>0</v>
      </c>
      <c r="EG380" s="408">
        <v>0</v>
      </c>
      <c r="EH380" s="408">
        <v>0</v>
      </c>
      <c r="EI380" s="408">
        <v>0</v>
      </c>
      <c r="EJ380" s="408">
        <v>0</v>
      </c>
      <c r="EK380" s="408">
        <v>0</v>
      </c>
      <c r="EL380" s="408">
        <v>0</v>
      </c>
      <c r="EM380" s="408">
        <v>0</v>
      </c>
      <c r="EN380" s="408">
        <v>0</v>
      </c>
      <c r="EO380" s="408">
        <v>0</v>
      </c>
      <c r="EP380" s="408">
        <v>11.065149656935404</v>
      </c>
      <c r="EQ380" s="408">
        <v>0</v>
      </c>
      <c r="ER380" s="408">
        <v>0</v>
      </c>
      <c r="ES380" s="408">
        <v>0</v>
      </c>
      <c r="ET380" s="408">
        <v>0</v>
      </c>
      <c r="EU380" s="408">
        <v>0</v>
      </c>
      <c r="EV380" s="408">
        <v>240</v>
      </c>
      <c r="EW380" s="408">
        <v>0</v>
      </c>
      <c r="EX380" s="408">
        <v>0</v>
      </c>
      <c r="EY380" s="408">
        <v>0</v>
      </c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379</v>
      </c>
      <c r="B381" s="408" t="s">
        <v>1036</v>
      </c>
      <c r="C381" s="408" t="s">
        <v>2316</v>
      </c>
      <c r="D381" s="408" t="s">
        <v>1958</v>
      </c>
      <c r="E381" s="408" t="s">
        <v>998</v>
      </c>
      <c r="F381" s="408" t="s">
        <v>1322</v>
      </c>
      <c r="G381" s="408" t="s">
        <v>1322</v>
      </c>
      <c r="H381" s="408" t="s">
        <v>1322</v>
      </c>
      <c r="I381" s="408" t="s">
        <v>2244</v>
      </c>
      <c r="J381" s="408" t="s">
        <v>2236</v>
      </c>
      <c r="K381" s="826">
        <v>44531</v>
      </c>
      <c r="L381" s="408">
        <v>0</v>
      </c>
      <c r="M381" s="408">
        <v>0</v>
      </c>
      <c r="N381" s="408">
        <v>11.273999999999999</v>
      </c>
      <c r="O381" s="408">
        <v>11.273999999999999</v>
      </c>
      <c r="P381" s="408">
        <v>11.273999999999999</v>
      </c>
      <c r="Q381" s="408">
        <v>11.273999999999999</v>
      </c>
      <c r="R381" s="408"/>
      <c r="S381" s="408">
        <v>388.22</v>
      </c>
      <c r="T381" s="408">
        <v>173.25</v>
      </c>
      <c r="U381" s="408"/>
      <c r="V381" s="408">
        <v>6330.0127799999991</v>
      </c>
      <c r="W381" s="408">
        <v>6330.0127799999991</v>
      </c>
      <c r="X381" s="408">
        <v>6313.7782199999992</v>
      </c>
      <c r="Y381" s="408">
        <v>0</v>
      </c>
      <c r="Z381" s="408">
        <v>693.86039538970181</v>
      </c>
      <c r="AA381" s="408">
        <v>0</v>
      </c>
      <c r="AB381" s="408">
        <v>0</v>
      </c>
      <c r="AC381" s="408">
        <v>244.53135999490866</v>
      </c>
      <c r="AD381" s="408">
        <v>16.910159232965075</v>
      </c>
      <c r="AE381" s="408">
        <v>1619.8222587942712</v>
      </c>
      <c r="AF381" s="408">
        <v>1920.4184653788186</v>
      </c>
      <c r="AG381" s="408">
        <v>32.776150823322055</v>
      </c>
      <c r="AH381" s="408">
        <v>0</v>
      </c>
      <c r="AI381" s="408">
        <v>0</v>
      </c>
      <c r="AJ381" s="408">
        <v>0</v>
      </c>
      <c r="AK381" s="408">
        <v>0</v>
      </c>
      <c r="AL381" s="408">
        <v>107.20480734656667</v>
      </c>
      <c r="AM381" s="408"/>
      <c r="AN381" s="408">
        <v>13.617376597725304</v>
      </c>
      <c r="AO381" s="408">
        <v>711.51107965121287</v>
      </c>
      <c r="AP381" s="408">
        <v>691.33542183753104</v>
      </c>
      <c r="AQ381" s="408">
        <v>0</v>
      </c>
      <c r="AR381" s="408">
        <v>0</v>
      </c>
      <c r="AS381" s="408">
        <v>0</v>
      </c>
      <c r="AT381" s="408">
        <v>0</v>
      </c>
      <c r="AU381" s="408">
        <v>0</v>
      </c>
      <c r="AV381" s="408">
        <v>0</v>
      </c>
      <c r="AW381" s="408">
        <v>0</v>
      </c>
      <c r="AX381" s="408">
        <v>0</v>
      </c>
      <c r="AY381" s="408">
        <v>0</v>
      </c>
      <c r="AZ381" s="408">
        <v>0</v>
      </c>
      <c r="BA381" s="408"/>
      <c r="BB381" s="408">
        <v>0</v>
      </c>
      <c r="BC381" s="408">
        <v>0</v>
      </c>
      <c r="BD381" s="408">
        <v>0</v>
      </c>
      <c r="BE381" s="408">
        <v>0</v>
      </c>
      <c r="BF381" s="408">
        <v>0</v>
      </c>
      <c r="BG381" s="408">
        <v>100.78721303545564</v>
      </c>
      <c r="BH381" s="408">
        <v>0</v>
      </c>
      <c r="BI381" s="408">
        <v>0</v>
      </c>
      <c r="BJ381" s="408">
        <v>0</v>
      </c>
      <c r="BK381" s="408">
        <v>0</v>
      </c>
      <c r="BL381" s="408">
        <v>0</v>
      </c>
      <c r="BM381" s="408"/>
      <c r="BN381" s="408"/>
      <c r="BO381" s="408"/>
      <c r="BP381" s="408"/>
      <c r="BQ381" s="408"/>
      <c r="BR381" s="408"/>
      <c r="BS381" s="408"/>
      <c r="BT381" s="408"/>
      <c r="BU381" s="408"/>
      <c r="BV381" s="408">
        <v>2021.2056784142742</v>
      </c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>
        <v>6311.5380999999998</v>
      </c>
      <c r="CJ381" s="408">
        <v>-18.504680000000008</v>
      </c>
      <c r="CK381" s="408"/>
      <c r="CL381" s="408"/>
      <c r="CM381" s="408"/>
      <c r="CN381" s="408"/>
      <c r="CO381" s="408">
        <v>-259.64022000000034</v>
      </c>
      <c r="CP381" s="408">
        <v>243.40566000000001</v>
      </c>
      <c r="CQ381" s="408"/>
      <c r="CR381" s="408">
        <v>386.16702777876799</v>
      </c>
      <c r="CS381" s="408">
        <v>70.90055827313256</v>
      </c>
      <c r="CT381" s="408">
        <v>68.890097096311024</v>
      </c>
      <c r="CU381" s="408">
        <v>0</v>
      </c>
      <c r="CV381" s="408">
        <v>0</v>
      </c>
      <c r="CW381" s="408">
        <v>0</v>
      </c>
      <c r="CX381" s="408">
        <v>0</v>
      </c>
      <c r="CY381" s="408">
        <v>0</v>
      </c>
      <c r="CZ381" s="408">
        <v>17.411861047753359</v>
      </c>
      <c r="DA381" s="408">
        <v>0</v>
      </c>
      <c r="DB381" s="408">
        <v>0</v>
      </c>
      <c r="DC381" s="408">
        <v>243.37817809341573</v>
      </c>
      <c r="DD381" s="408">
        <v>0</v>
      </c>
      <c r="DE381" s="408">
        <v>0</v>
      </c>
      <c r="DF381" s="408">
        <v>0</v>
      </c>
      <c r="DG381" s="408">
        <v>12.772949607545158</v>
      </c>
      <c r="DH381" s="408">
        <v>0</v>
      </c>
      <c r="DI381" s="408">
        <v>-23.561303370107453</v>
      </c>
      <c r="DJ381" s="408"/>
      <c r="DK381" s="408">
        <v>0</v>
      </c>
      <c r="DL381" s="408">
        <v>0</v>
      </c>
      <c r="DM381" s="408">
        <v>0</v>
      </c>
      <c r="DN381" s="408">
        <v>0</v>
      </c>
      <c r="DO381" s="408">
        <v>-3.240057914214546</v>
      </c>
      <c r="DP381" s="408">
        <v>-0.38525505506725466</v>
      </c>
      <c r="DQ381" s="408">
        <v>0</v>
      </c>
      <c r="DR381" s="408">
        <v>0</v>
      </c>
      <c r="DS381" s="408"/>
      <c r="DT381" s="408"/>
      <c r="DU381" s="408"/>
      <c r="DV381" s="408">
        <v>1619.8222587942712</v>
      </c>
      <c r="DW381" s="408">
        <v>0</v>
      </c>
      <c r="DX381" s="408">
        <v>0</v>
      </c>
      <c r="DY381" s="408">
        <v>-259.64022000000023</v>
      </c>
      <c r="DZ381" s="408">
        <v>243.4056599999999</v>
      </c>
      <c r="EA381" s="408">
        <v>0</v>
      </c>
      <c r="EB381" s="408">
        <v>0</v>
      </c>
      <c r="EC381" s="408">
        <v>-402.39132542667176</v>
      </c>
      <c r="ED381" s="408">
        <v>0</v>
      </c>
      <c r="EE381" s="408">
        <v>0</v>
      </c>
      <c r="EF381" s="408">
        <v>0</v>
      </c>
      <c r="EG381" s="408">
        <v>0</v>
      </c>
      <c r="EH381" s="408">
        <v>0</v>
      </c>
      <c r="EI381" s="408">
        <v>0</v>
      </c>
      <c r="EJ381" s="408">
        <v>0</v>
      </c>
      <c r="EK381" s="408">
        <v>0</v>
      </c>
      <c r="EL381" s="408">
        <v>0</v>
      </c>
      <c r="EM381" s="408">
        <v>0</v>
      </c>
      <c r="EN381" s="408">
        <v>0</v>
      </c>
      <c r="EO381" s="408">
        <v>0</v>
      </c>
      <c r="EP381" s="408">
        <v>177.19956993222976</v>
      </c>
      <c r="EQ381" s="408">
        <v>0</v>
      </c>
      <c r="ER381" s="408">
        <v>0</v>
      </c>
      <c r="ES381" s="408">
        <v>0</v>
      </c>
      <c r="ET381" s="408">
        <v>0</v>
      </c>
      <c r="EU381" s="408">
        <v>0</v>
      </c>
      <c r="EV381" s="408">
        <v>240</v>
      </c>
      <c r="EW381" s="408">
        <v>0</v>
      </c>
      <c r="EX381" s="408">
        <v>0</v>
      </c>
      <c r="EY381" s="408">
        <v>0</v>
      </c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380</v>
      </c>
      <c r="B382" s="408" t="s">
        <v>1036</v>
      </c>
      <c r="C382" s="408" t="s">
        <v>2316</v>
      </c>
      <c r="D382" s="408" t="s">
        <v>1958</v>
      </c>
      <c r="E382" s="408" t="s">
        <v>998</v>
      </c>
      <c r="F382" s="408" t="s">
        <v>1322</v>
      </c>
      <c r="G382" s="408" t="s">
        <v>1322</v>
      </c>
      <c r="H382" s="408" t="s">
        <v>1322</v>
      </c>
      <c r="I382" s="408" t="s">
        <v>1322</v>
      </c>
      <c r="J382" s="408" t="s">
        <v>2236</v>
      </c>
      <c r="K382" s="826">
        <v>44531</v>
      </c>
      <c r="L382" s="408">
        <v>0</v>
      </c>
      <c r="M382" s="408">
        <v>0</v>
      </c>
      <c r="N382" s="408">
        <v>0</v>
      </c>
      <c r="O382" s="408">
        <v>0</v>
      </c>
      <c r="P382" s="408">
        <v>0</v>
      </c>
      <c r="Q382" s="408">
        <v>0</v>
      </c>
      <c r="R382" s="408"/>
      <c r="S382" s="408"/>
      <c r="T382" s="408"/>
      <c r="U382" s="408"/>
      <c r="V382" s="408"/>
      <c r="W382" s="408"/>
      <c r="X382" s="408"/>
      <c r="Y382" s="408"/>
      <c r="Z382" s="408"/>
      <c r="AA382" s="408">
        <v>0</v>
      </c>
      <c r="AB382" s="408"/>
      <c r="AC382" s="408"/>
      <c r="AD382" s="408"/>
      <c r="AE382" s="408"/>
      <c r="AF382" s="408"/>
      <c r="AG382" s="408"/>
      <c r="AH382" s="408"/>
      <c r="AI382" s="408"/>
      <c r="AJ382" s="408"/>
      <c r="AK382" s="408"/>
      <c r="AL382" s="408"/>
      <c r="AM382" s="408"/>
      <c r="AN382" s="408"/>
      <c r="AO382" s="408"/>
      <c r="AP382" s="408"/>
      <c r="AQ382" s="408"/>
      <c r="AR382" s="408"/>
      <c r="AS382" s="408"/>
      <c r="AT382" s="408"/>
      <c r="AU382" s="408"/>
      <c r="AV382" s="408"/>
      <c r="AW382" s="408"/>
      <c r="AX382" s="408"/>
      <c r="AY382" s="408"/>
      <c r="AZ382" s="408">
        <v>0</v>
      </c>
      <c r="BA382" s="408"/>
      <c r="BB382" s="408"/>
      <c r="BC382" s="408"/>
      <c r="BD382" s="408"/>
      <c r="BE382" s="408"/>
      <c r="BF382" s="408"/>
      <c r="BG382" s="408"/>
      <c r="BH382" s="408"/>
      <c r="BI382" s="408">
        <v>6.93</v>
      </c>
      <c r="BJ382" s="408">
        <v>59.74</v>
      </c>
      <c r="BK382" s="408">
        <v>4266.1000000000004</v>
      </c>
      <c r="BL382" s="408">
        <v>6</v>
      </c>
      <c r="BM382" s="408"/>
      <c r="BN382" s="408"/>
      <c r="BO382" s="408"/>
      <c r="BP382" s="408"/>
      <c r="BQ382" s="408"/>
      <c r="BR382" s="408"/>
      <c r="BS382" s="408"/>
      <c r="BT382" s="408"/>
      <c r="BU382" s="408"/>
      <c r="BV382" s="408"/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/>
      <c r="CJ382" s="408">
        <v>-0.03</v>
      </c>
      <c r="CK382" s="408"/>
      <c r="CL382" s="408"/>
      <c r="CM382" s="408"/>
      <c r="CN382" s="408"/>
      <c r="CO382" s="408">
        <v>0</v>
      </c>
      <c r="CP382" s="408">
        <v>0</v>
      </c>
      <c r="CQ382" s="408"/>
      <c r="CR382" s="408"/>
      <c r="CS382" s="408"/>
      <c r="CT382" s="408"/>
      <c r="CU382" s="408"/>
      <c r="CV382" s="408"/>
      <c r="CW382" s="408"/>
      <c r="CX382" s="408"/>
      <c r="CY382" s="408"/>
      <c r="CZ382" s="408"/>
      <c r="DA382" s="408"/>
      <c r="DB382" s="408"/>
      <c r="DC382" s="408"/>
      <c r="DD382" s="408"/>
      <c r="DE382" s="408"/>
      <c r="DF382" s="408"/>
      <c r="DG382" s="408"/>
      <c r="DH382" s="408"/>
      <c r="DI382" s="408"/>
      <c r="DJ382" s="408"/>
      <c r="DK382" s="408">
        <v>0</v>
      </c>
      <c r="DL382" s="408"/>
      <c r="DM382" s="408"/>
      <c r="DN382" s="408"/>
      <c r="DO382" s="408"/>
      <c r="DP382" s="408"/>
      <c r="DQ382" s="408"/>
      <c r="DR382" s="408"/>
      <c r="DS382" s="408"/>
      <c r="DT382" s="408"/>
      <c r="DU382" s="408"/>
      <c r="DV382" s="408"/>
      <c r="DW382" s="408"/>
      <c r="DX382" s="408"/>
      <c r="DY382" s="408"/>
      <c r="DZ382" s="408"/>
      <c r="EA382" s="408"/>
      <c r="EB382" s="408"/>
      <c r="EC382" s="408"/>
      <c r="ED382" s="408"/>
      <c r="EE382" s="408"/>
      <c r="EF382" s="408"/>
      <c r="EG382" s="408"/>
      <c r="EH382" s="408"/>
      <c r="EI382" s="408"/>
      <c r="EJ382" s="408"/>
      <c r="EK382" s="408"/>
      <c r="EL382" s="408"/>
      <c r="EM382" s="408"/>
      <c r="EN382" s="408"/>
      <c r="EO382" s="408"/>
      <c r="EP382" s="408"/>
      <c r="EQ382" s="408"/>
      <c r="ER382" s="408"/>
      <c r="ES382" s="408"/>
      <c r="ET382" s="408"/>
      <c r="EU382" s="408"/>
      <c r="EV382" s="408">
        <v>240</v>
      </c>
      <c r="EW382" s="408"/>
      <c r="EX382" s="408"/>
      <c r="EY382" s="408"/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381</v>
      </c>
      <c r="B383" s="408" t="s">
        <v>1036</v>
      </c>
      <c r="C383" s="408" t="s">
        <v>2316</v>
      </c>
      <c r="D383" s="408" t="s">
        <v>1958</v>
      </c>
      <c r="E383" s="408" t="s">
        <v>998</v>
      </c>
      <c r="F383" s="408" t="s">
        <v>1322</v>
      </c>
      <c r="G383" s="408" t="s">
        <v>1322</v>
      </c>
      <c r="H383" s="408" t="s">
        <v>1322</v>
      </c>
      <c r="I383" s="408" t="s">
        <v>2317</v>
      </c>
      <c r="J383" s="408" t="s">
        <v>2236</v>
      </c>
      <c r="K383" s="826">
        <v>44531</v>
      </c>
      <c r="L383" s="408">
        <v>0</v>
      </c>
      <c r="M383" s="408">
        <v>0</v>
      </c>
      <c r="N383" s="408">
        <v>0.57999999999999996</v>
      </c>
      <c r="O383" s="408">
        <v>0.57999999999999996</v>
      </c>
      <c r="P383" s="408">
        <v>0.57999999999999996</v>
      </c>
      <c r="Q383" s="408">
        <v>0.57999999999999996</v>
      </c>
      <c r="R383" s="408"/>
      <c r="S383" s="408">
        <v>970.82</v>
      </c>
      <c r="T383" s="408">
        <v>173.25</v>
      </c>
      <c r="U383" s="408"/>
      <c r="V383" s="408">
        <v>663.56060000000002</v>
      </c>
      <c r="W383" s="408">
        <v>663.56060000000002</v>
      </c>
      <c r="X383" s="408">
        <v>637.4953999999999</v>
      </c>
      <c r="Y383" s="408">
        <v>0</v>
      </c>
      <c r="Z383" s="408">
        <v>35.696206255634827</v>
      </c>
      <c r="AA383" s="408">
        <v>0</v>
      </c>
      <c r="AB383" s="408">
        <v>0</v>
      </c>
      <c r="AC383" s="408">
        <v>37.740337625611289</v>
      </c>
      <c r="AD383" s="408">
        <v>2.6098702381904526</v>
      </c>
      <c r="AE383" s="408">
        <v>249.99905285896429</v>
      </c>
      <c r="AF383" s="408">
        <v>98.797472939481537</v>
      </c>
      <c r="AG383" s="408">
        <v>1.6861954477139249</v>
      </c>
      <c r="AH383" s="408">
        <v>0</v>
      </c>
      <c r="AI383" s="408">
        <v>0</v>
      </c>
      <c r="AJ383" s="408">
        <v>0</v>
      </c>
      <c r="AK383" s="408">
        <v>0</v>
      </c>
      <c r="AL383" s="408">
        <v>5.5152375608487372</v>
      </c>
      <c r="AM383" s="408"/>
      <c r="AN383" s="408">
        <v>0.70055689433037749</v>
      </c>
      <c r="AO383" s="408">
        <v>109.81277972264584</v>
      </c>
      <c r="AP383" s="408">
        <v>106.69892087966176</v>
      </c>
      <c r="AQ383" s="408">
        <v>0</v>
      </c>
      <c r="AR383" s="408">
        <v>0</v>
      </c>
      <c r="AS383" s="408">
        <v>0</v>
      </c>
      <c r="AT383" s="408">
        <v>0</v>
      </c>
      <c r="AU383" s="408">
        <v>0</v>
      </c>
      <c r="AV383" s="408">
        <v>0</v>
      </c>
      <c r="AW383" s="408">
        <v>0</v>
      </c>
      <c r="AX383" s="408">
        <v>0</v>
      </c>
      <c r="AY383" s="408">
        <v>0</v>
      </c>
      <c r="AZ383" s="408">
        <v>0</v>
      </c>
      <c r="BA383" s="408"/>
      <c r="BB383" s="408">
        <v>0</v>
      </c>
      <c r="BC383" s="408">
        <v>0</v>
      </c>
      <c r="BD383" s="408">
        <v>0</v>
      </c>
      <c r="BE383" s="408">
        <v>0</v>
      </c>
      <c r="BF383" s="408">
        <v>0</v>
      </c>
      <c r="BG383" s="408">
        <v>5.1850792585208687</v>
      </c>
      <c r="BH383" s="408">
        <v>0</v>
      </c>
      <c r="BI383" s="408">
        <v>0</v>
      </c>
      <c r="BJ383" s="408">
        <v>0</v>
      </c>
      <c r="BK383" s="408">
        <v>0</v>
      </c>
      <c r="BL383" s="408">
        <v>0</v>
      </c>
      <c r="BM383" s="408"/>
      <c r="BN383" s="408"/>
      <c r="BO383" s="408"/>
      <c r="BP383" s="408"/>
      <c r="BQ383" s="408"/>
      <c r="BR383" s="408"/>
      <c r="BS383" s="408"/>
      <c r="BT383" s="408"/>
      <c r="BU383" s="408"/>
      <c r="BV383" s="408">
        <v>103.98255219800241</v>
      </c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>
        <v>637.4953999999999</v>
      </c>
      <c r="CJ383" s="408">
        <v>-26.095200000000091</v>
      </c>
      <c r="CK383" s="408"/>
      <c r="CL383" s="408"/>
      <c r="CM383" s="408"/>
      <c r="CN383" s="408"/>
      <c r="CO383" s="408">
        <v>-38.587400000000045</v>
      </c>
      <c r="CP383" s="408">
        <v>12.522200000000002</v>
      </c>
      <c r="CQ383" s="408"/>
      <c r="CR383" s="408">
        <v>36.041493272630248</v>
      </c>
      <c r="CS383" s="408">
        <v>10.94260878084566</v>
      </c>
      <c r="CT383" s="408">
        <v>10.632319402836316</v>
      </c>
      <c r="CU383" s="408">
        <v>0</v>
      </c>
      <c r="CV383" s="408">
        <v>0</v>
      </c>
      <c r="CW383" s="408">
        <v>0</v>
      </c>
      <c r="CX383" s="408">
        <v>0</v>
      </c>
      <c r="CY383" s="408">
        <v>0</v>
      </c>
      <c r="CZ383" s="408">
        <v>2.6873015986420952</v>
      </c>
      <c r="DA383" s="408">
        <v>0</v>
      </c>
      <c r="DB383" s="408">
        <v>0</v>
      </c>
      <c r="DC383" s="408">
        <v>12.52078617120641</v>
      </c>
      <c r="DD383" s="408">
        <v>0</v>
      </c>
      <c r="DE383" s="408">
        <v>0</v>
      </c>
      <c r="DF383" s="408">
        <v>0</v>
      </c>
      <c r="DG383" s="408">
        <v>0.65711466847402722</v>
      </c>
      <c r="DH383" s="408">
        <v>0</v>
      </c>
      <c r="DI383" s="408">
        <v>-1.2121302070837601</v>
      </c>
      <c r="DJ383" s="408"/>
      <c r="DK383" s="408">
        <v>0</v>
      </c>
      <c r="DL383" s="408">
        <v>0</v>
      </c>
      <c r="DM383" s="408">
        <v>0</v>
      </c>
      <c r="DN383" s="408">
        <v>0</v>
      </c>
      <c r="DO383" s="408">
        <v>-0.16668738604261435</v>
      </c>
      <c r="DP383" s="408">
        <v>-1.9819756247916209E-2</v>
      </c>
      <c r="DQ383" s="408">
        <v>0</v>
      </c>
      <c r="DR383" s="408">
        <v>0</v>
      </c>
      <c r="DS383" s="408"/>
      <c r="DT383" s="408"/>
      <c r="DU383" s="408"/>
      <c r="DV383" s="408">
        <v>249.99905285896429</v>
      </c>
      <c r="DW383" s="408">
        <v>0</v>
      </c>
      <c r="DX383" s="408">
        <v>0</v>
      </c>
      <c r="DY383" s="408">
        <v>-38.587400000000116</v>
      </c>
      <c r="DZ383" s="408">
        <v>12.522199999999998</v>
      </c>
      <c r="EA383" s="408">
        <v>0</v>
      </c>
      <c r="EB383" s="408">
        <v>0</v>
      </c>
      <c r="EC383" s="408">
        <v>-62.104005355632125</v>
      </c>
      <c r="ED383" s="408">
        <v>0</v>
      </c>
      <c r="EE383" s="408">
        <v>0</v>
      </c>
      <c r="EF383" s="408">
        <v>0</v>
      </c>
      <c r="EG383" s="408">
        <v>0</v>
      </c>
      <c r="EH383" s="408">
        <v>0</v>
      </c>
      <c r="EI383" s="408">
        <v>0</v>
      </c>
      <c r="EJ383" s="408">
        <v>0</v>
      </c>
      <c r="EK383" s="408">
        <v>0</v>
      </c>
      <c r="EL383" s="408">
        <v>0</v>
      </c>
      <c r="EM383" s="408">
        <v>0</v>
      </c>
      <c r="EN383" s="408">
        <v>0</v>
      </c>
      <c r="EO383" s="408">
        <v>0</v>
      </c>
      <c r="EP383" s="408">
        <v>9.1161744332706451</v>
      </c>
      <c r="EQ383" s="408">
        <v>0</v>
      </c>
      <c r="ER383" s="408">
        <v>0</v>
      </c>
      <c r="ES383" s="408">
        <v>0</v>
      </c>
      <c r="ET383" s="408">
        <v>0</v>
      </c>
      <c r="EU383" s="408">
        <v>0</v>
      </c>
      <c r="EV383" s="408">
        <v>240</v>
      </c>
      <c r="EW383" s="408">
        <v>0</v>
      </c>
      <c r="EX383" s="408">
        <v>0</v>
      </c>
      <c r="EY383" s="408">
        <v>0</v>
      </c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408">
        <v>382</v>
      </c>
      <c r="B384" s="408" t="s">
        <v>1036</v>
      </c>
      <c r="C384" s="408" t="s">
        <v>2235</v>
      </c>
      <c r="D384" s="408" t="s">
        <v>2245</v>
      </c>
      <c r="E384" s="408" t="s">
        <v>974</v>
      </c>
      <c r="F384" s="408" t="s">
        <v>1322</v>
      </c>
      <c r="G384" s="408" t="s">
        <v>1322</v>
      </c>
      <c r="H384" s="408" t="s">
        <v>1322</v>
      </c>
      <c r="I384" s="408" t="s">
        <v>1322</v>
      </c>
      <c r="J384" s="408" t="s">
        <v>2236</v>
      </c>
      <c r="K384" s="826">
        <v>44531</v>
      </c>
      <c r="L384" s="408">
        <v>0</v>
      </c>
      <c r="M384" s="408">
        <v>0</v>
      </c>
      <c r="N384" s="408">
        <v>6548.1440000000002</v>
      </c>
      <c r="O384" s="408">
        <v>6548.1440000000002</v>
      </c>
      <c r="P384" s="408">
        <v>6548.1440000000002</v>
      </c>
      <c r="Q384" s="408">
        <v>6548.1440000000002</v>
      </c>
      <c r="R384" s="408"/>
      <c r="S384" s="408">
        <v>368.24</v>
      </c>
      <c r="T384" s="408">
        <v>173.25</v>
      </c>
      <c r="U384" s="408"/>
      <c r="V384" s="408">
        <v>3545754.4945600005</v>
      </c>
      <c r="W384" s="408">
        <v>3545754.4945600005</v>
      </c>
      <c r="X384" s="408">
        <v>3332285.0001600003</v>
      </c>
      <c r="Y384" s="408">
        <v>0</v>
      </c>
      <c r="Z384" s="408">
        <v>403006.72209585807</v>
      </c>
      <c r="AA384" s="408">
        <v>0</v>
      </c>
      <c r="AB384" s="408">
        <v>0</v>
      </c>
      <c r="AC384" s="408">
        <v>16760.219238620153</v>
      </c>
      <c r="AD384" s="408">
        <v>16102.812409565258</v>
      </c>
      <c r="AE384" s="408">
        <v>1542330.8860805</v>
      </c>
      <c r="AF384" s="408">
        <v>1115413.9304203938</v>
      </c>
      <c r="AG384" s="408">
        <v>19036.983799612506</v>
      </c>
      <c r="AH384" s="408">
        <v>0</v>
      </c>
      <c r="AI384" s="408">
        <v>0</v>
      </c>
      <c r="AJ384" s="408">
        <v>0</v>
      </c>
      <c r="AK384" s="408">
        <v>0</v>
      </c>
      <c r="AL384" s="408">
        <v>62266.499556286719</v>
      </c>
      <c r="AM384" s="408"/>
      <c r="AN384" s="408">
        <v>7909.2196970139585</v>
      </c>
      <c r="AO384" s="408">
        <v>35578.656455597389</v>
      </c>
      <c r="AP384" s="408">
        <v>165898.02624128581</v>
      </c>
      <c r="AQ384" s="408">
        <v>0</v>
      </c>
      <c r="AR384" s="408">
        <v>0</v>
      </c>
      <c r="AS384" s="408">
        <v>0</v>
      </c>
      <c r="AT384" s="408">
        <v>0</v>
      </c>
      <c r="AU384" s="408">
        <v>0</v>
      </c>
      <c r="AV384" s="408">
        <v>0</v>
      </c>
      <c r="AW384" s="408">
        <v>0</v>
      </c>
      <c r="AX384" s="408">
        <v>0</v>
      </c>
      <c r="AY384" s="408">
        <v>0</v>
      </c>
      <c r="AZ384" s="408">
        <v>0</v>
      </c>
      <c r="BA384" s="408"/>
      <c r="BB384" s="408">
        <v>0</v>
      </c>
      <c r="BC384" s="408">
        <v>0</v>
      </c>
      <c r="BD384" s="408">
        <v>0</v>
      </c>
      <c r="BE384" s="408">
        <v>0</v>
      </c>
      <c r="BF384" s="408">
        <v>0</v>
      </c>
      <c r="BG384" s="408">
        <v>58539.04420035841</v>
      </c>
      <c r="BH384" s="408">
        <v>0</v>
      </c>
      <c r="BI384" s="408">
        <v>2648.26</v>
      </c>
      <c r="BJ384" s="408">
        <v>23315.97</v>
      </c>
      <c r="BK384" s="408">
        <v>197413.16</v>
      </c>
      <c r="BL384" s="408">
        <v>15772</v>
      </c>
      <c r="BM384" s="408"/>
      <c r="BN384" s="408"/>
      <c r="BO384" s="408"/>
      <c r="BP384" s="408"/>
      <c r="BQ384" s="408"/>
      <c r="BR384" s="408">
        <v>399829.67264</v>
      </c>
      <c r="BS384" s="408"/>
      <c r="BT384" s="408"/>
      <c r="BU384" s="408"/>
      <c r="BV384" s="408">
        <v>1173952.9746207523</v>
      </c>
      <c r="BW384" s="408"/>
      <c r="BX384" s="408"/>
      <c r="BY384" s="408"/>
      <c r="BZ384" s="408"/>
      <c r="CA384" s="408"/>
      <c r="CB384" s="408"/>
      <c r="CC384" s="408"/>
      <c r="CD384" s="408"/>
      <c r="CE384" s="408"/>
      <c r="CF384" s="408"/>
      <c r="CG384" s="408"/>
      <c r="CH384" s="408"/>
      <c r="CI384" s="408">
        <v>2932453.5362</v>
      </c>
      <c r="CJ384" s="408">
        <v>-187802.59123999951</v>
      </c>
      <c r="CK384" s="408"/>
      <c r="CL384" s="408"/>
      <c r="CM384" s="408"/>
      <c r="CN384" s="408"/>
      <c r="CO384" s="408">
        <v>-354843.92336000002</v>
      </c>
      <c r="CP384" s="408">
        <v>141374.42896000002</v>
      </c>
      <c r="CQ384" s="408"/>
      <c r="CR384" s="408">
        <v>169644.02960681566</v>
      </c>
      <c r="CS384" s="408">
        <v>3545.337068463421</v>
      </c>
      <c r="CT384" s="408">
        <v>16531.3837174316</v>
      </c>
      <c r="CU384" s="408">
        <v>0</v>
      </c>
      <c r="CV384" s="408">
        <v>0</v>
      </c>
      <c r="CW384" s="408">
        <v>0</v>
      </c>
      <c r="CX384" s="408">
        <v>0</v>
      </c>
      <c r="CY384" s="408">
        <v>0</v>
      </c>
      <c r="CZ384" s="408">
        <v>16580.561323562884</v>
      </c>
      <c r="DA384" s="408">
        <v>0</v>
      </c>
      <c r="DB384" s="408">
        <v>0</v>
      </c>
      <c r="DC384" s="408">
        <v>141358.46696942812</v>
      </c>
      <c r="DD384" s="408">
        <v>0</v>
      </c>
      <c r="DE384" s="408">
        <v>0</v>
      </c>
      <c r="DF384" s="408">
        <v>0</v>
      </c>
      <c r="DG384" s="408">
        <v>7418.7611615175774</v>
      </c>
      <c r="DH384" s="408">
        <v>0</v>
      </c>
      <c r="DI384" s="408">
        <v>-13684.833004714281</v>
      </c>
      <c r="DJ384" s="408"/>
      <c r="DK384" s="408">
        <v>0</v>
      </c>
      <c r="DL384" s="408">
        <v>0</v>
      </c>
      <c r="DM384" s="408">
        <v>0</v>
      </c>
      <c r="DN384" s="408">
        <v>0</v>
      </c>
      <c r="DO384" s="408">
        <v>-1881.884494466598</v>
      </c>
      <c r="DP384" s="408">
        <v>-223.76313440733611</v>
      </c>
      <c r="DQ384" s="408">
        <v>0</v>
      </c>
      <c r="DR384" s="408">
        <v>0</v>
      </c>
      <c r="DS384" s="408"/>
      <c r="DT384" s="408"/>
      <c r="DU384" s="408"/>
      <c r="DV384" s="408">
        <v>1542330.8860805</v>
      </c>
      <c r="DW384" s="408">
        <v>0</v>
      </c>
      <c r="DX384" s="408">
        <v>0</v>
      </c>
      <c r="DY384" s="408">
        <v>-354843.9233599999</v>
      </c>
      <c r="DZ384" s="408">
        <v>141374.42895999993</v>
      </c>
      <c r="EA384" s="408">
        <v>0</v>
      </c>
      <c r="EB384" s="408">
        <v>0</v>
      </c>
      <c r="EC384" s="408">
        <v>-383141.15399204171</v>
      </c>
      <c r="ED384" s="408">
        <v>0</v>
      </c>
      <c r="EE384" s="408">
        <v>0</v>
      </c>
      <c r="EF384" s="408">
        <v>0</v>
      </c>
      <c r="EG384" s="408">
        <v>0</v>
      </c>
      <c r="EH384" s="408">
        <v>0</v>
      </c>
      <c r="EI384" s="408">
        <v>0</v>
      </c>
      <c r="EJ384" s="408">
        <v>0</v>
      </c>
      <c r="EK384" s="408">
        <v>0</v>
      </c>
      <c r="EL384" s="408">
        <v>0</v>
      </c>
      <c r="EM384" s="408">
        <v>0</v>
      </c>
      <c r="EN384" s="408">
        <v>0</v>
      </c>
      <c r="EO384" s="408">
        <v>0</v>
      </c>
      <c r="EP384" s="408">
        <v>102920.72916926653</v>
      </c>
      <c r="EQ384" s="408">
        <v>0</v>
      </c>
      <c r="ER384" s="408">
        <v>0</v>
      </c>
      <c r="ES384" s="408">
        <v>0</v>
      </c>
      <c r="ET384" s="408">
        <v>0</v>
      </c>
      <c r="EU384" s="408">
        <v>0</v>
      </c>
      <c r="EV384" s="408">
        <v>240</v>
      </c>
      <c r="EW384" s="408">
        <v>0</v>
      </c>
      <c r="EX384" s="408">
        <v>0</v>
      </c>
      <c r="EY384" s="408">
        <v>0</v>
      </c>
      <c r="EZ384" s="408"/>
      <c r="FA384" s="408">
        <v>0</v>
      </c>
      <c r="FB384" s="408"/>
      <c r="FC384" s="408"/>
      <c r="FD384" s="408"/>
      <c r="FE384" s="408"/>
      <c r="FF384" s="408">
        <v>0</v>
      </c>
      <c r="FG384" s="408">
        <v>0</v>
      </c>
      <c r="FH384" s="408">
        <v>0</v>
      </c>
      <c r="FI384" s="408">
        <v>0</v>
      </c>
    </row>
    <row r="385" spans="1:165">
      <c r="A385" s="408">
        <v>383</v>
      </c>
      <c r="B385" s="408" t="s">
        <v>2237</v>
      </c>
      <c r="C385" s="408" t="s">
        <v>2235</v>
      </c>
      <c r="D385" s="408" t="s">
        <v>2245</v>
      </c>
      <c r="E385" s="408" t="s">
        <v>974</v>
      </c>
      <c r="F385" s="408" t="s">
        <v>1322</v>
      </c>
      <c r="G385" s="408" t="s">
        <v>1322</v>
      </c>
      <c r="H385" s="408" t="s">
        <v>1322</v>
      </c>
      <c r="I385" s="408" t="s">
        <v>1322</v>
      </c>
      <c r="J385" s="408" t="s">
        <v>2236</v>
      </c>
      <c r="K385" s="826">
        <v>44531</v>
      </c>
      <c r="L385" s="408">
        <v>0</v>
      </c>
      <c r="M385" s="408">
        <v>0</v>
      </c>
      <c r="N385" s="408">
        <v>-4.2759999999999998</v>
      </c>
      <c r="O385" s="408">
        <v>-4.2759999999999998</v>
      </c>
      <c r="P385" s="408">
        <v>-4.2759999999999998</v>
      </c>
      <c r="Q385" s="408">
        <v>-4.2759999999999998</v>
      </c>
      <c r="R385" s="408"/>
      <c r="S385" s="408">
        <v>368.24</v>
      </c>
      <c r="T385" s="408">
        <v>173.25</v>
      </c>
      <c r="U385" s="408"/>
      <c r="V385" s="408">
        <v>-2315.4112399999999</v>
      </c>
      <c r="W385" s="408">
        <v>-2315.4112399999999</v>
      </c>
      <c r="X385" s="408">
        <v>-2176.0136400000001</v>
      </c>
      <c r="Y385" s="408">
        <v>0</v>
      </c>
      <c r="Z385" s="408">
        <v>-263.16720336050781</v>
      </c>
      <c r="AA385" s="408">
        <v>0</v>
      </c>
      <c r="AB385" s="408">
        <v>0</v>
      </c>
      <c r="AC385" s="408">
        <v>-10.944581772230386</v>
      </c>
      <c r="AD385" s="408">
        <v>-10.51528889152423</v>
      </c>
      <c r="AE385" s="408">
        <v>-1007.1566643739382</v>
      </c>
      <c r="AF385" s="408">
        <v>-728.37585222279836</v>
      </c>
      <c r="AG385" s="408">
        <v>-12.431330576594386</v>
      </c>
      <c r="AH385" s="408">
        <v>0</v>
      </c>
      <c r="AI385" s="408">
        <v>0</v>
      </c>
      <c r="AJ385" s="408">
        <v>0</v>
      </c>
      <c r="AK385" s="408">
        <v>0</v>
      </c>
      <c r="AL385" s="408">
        <v>-40.660613465843447</v>
      </c>
      <c r="AM385" s="408"/>
      <c r="AN385" s="408">
        <v>-5.1647953106149904</v>
      </c>
      <c r="AO385" s="408">
        <v>-23.233199362160398</v>
      </c>
      <c r="AP385" s="408">
        <v>-108.33298110239147</v>
      </c>
      <c r="AQ385" s="408">
        <v>0</v>
      </c>
      <c r="AR385" s="408">
        <v>0</v>
      </c>
      <c r="AS385" s="408">
        <v>0</v>
      </c>
      <c r="AT385" s="408">
        <v>0</v>
      </c>
      <c r="AU385" s="408">
        <v>0</v>
      </c>
      <c r="AV385" s="408">
        <v>0</v>
      </c>
      <c r="AW385" s="408">
        <v>0</v>
      </c>
      <c r="AX385" s="408">
        <v>0</v>
      </c>
      <c r="AY385" s="408">
        <v>0</v>
      </c>
      <c r="AZ385" s="408">
        <v>0</v>
      </c>
      <c r="BA385" s="408"/>
      <c r="BB385" s="408">
        <v>0</v>
      </c>
      <c r="BC385" s="408">
        <v>0</v>
      </c>
      <c r="BD385" s="408">
        <v>0</v>
      </c>
      <c r="BE385" s="408">
        <v>0</v>
      </c>
      <c r="BF385" s="408">
        <v>0</v>
      </c>
      <c r="BG385" s="408">
        <v>-38.226549843853853</v>
      </c>
      <c r="BH385" s="408">
        <v>0</v>
      </c>
      <c r="BI385" s="408">
        <v>-1.91</v>
      </c>
      <c r="BJ385" s="408">
        <v>-15.26</v>
      </c>
      <c r="BK385" s="408">
        <v>17.559999999999999</v>
      </c>
      <c r="BL385" s="408">
        <v>0</v>
      </c>
      <c r="BM385" s="408"/>
      <c r="BN385" s="408"/>
      <c r="BO385" s="408"/>
      <c r="BP385" s="408"/>
      <c r="BQ385" s="408"/>
      <c r="BR385" s="408">
        <v>-261.09255999999999</v>
      </c>
      <c r="BS385" s="408"/>
      <c r="BT385" s="408"/>
      <c r="BU385" s="408"/>
      <c r="BV385" s="408">
        <v>-766.60240206665219</v>
      </c>
      <c r="BW385" s="408"/>
      <c r="BX385" s="408"/>
      <c r="BY385" s="408"/>
      <c r="BZ385" s="408"/>
      <c r="CA385" s="408"/>
      <c r="CB385" s="408"/>
      <c r="CC385" s="408"/>
      <c r="CD385" s="408"/>
      <c r="CE385" s="408"/>
      <c r="CF385" s="408"/>
      <c r="CG385" s="408"/>
      <c r="CH385" s="408"/>
      <c r="CI385" s="408">
        <v>-1916.7124000000003</v>
      </c>
      <c r="CJ385" s="408">
        <v>120.81435999999962</v>
      </c>
      <c r="CK385" s="408"/>
      <c r="CL385" s="408"/>
      <c r="CM385" s="408"/>
      <c r="CN385" s="408"/>
      <c r="CO385" s="408">
        <v>231.71643999999998</v>
      </c>
      <c r="CP385" s="408">
        <v>-92.318840000000009</v>
      </c>
      <c r="CQ385" s="408"/>
      <c r="CR385" s="408">
        <v>-110.77915675017857</v>
      </c>
      <c r="CS385" s="408">
        <v>-2.3151386568086423</v>
      </c>
      <c r="CT385" s="408">
        <v>-10.795150011321908</v>
      </c>
      <c r="CU385" s="408">
        <v>0</v>
      </c>
      <c r="CV385" s="408">
        <v>0</v>
      </c>
      <c r="CW385" s="408">
        <v>0</v>
      </c>
      <c r="CX385" s="408">
        <v>0</v>
      </c>
      <c r="CY385" s="408">
        <v>0</v>
      </c>
      <c r="CZ385" s="408">
        <v>-10.827263453515206</v>
      </c>
      <c r="DA385" s="408">
        <v>0</v>
      </c>
      <c r="DB385" s="408">
        <v>0</v>
      </c>
      <c r="DC385" s="408">
        <v>-92.308416669101121</v>
      </c>
      <c r="DD385" s="408">
        <v>0</v>
      </c>
      <c r="DE385" s="408">
        <v>0</v>
      </c>
      <c r="DF385" s="408">
        <v>0</v>
      </c>
      <c r="DG385" s="408">
        <v>-4.8445212455085169</v>
      </c>
      <c r="DH385" s="408">
        <v>0</v>
      </c>
      <c r="DI385" s="408">
        <v>8.936325457741674</v>
      </c>
      <c r="DJ385" s="408"/>
      <c r="DK385" s="408">
        <v>0</v>
      </c>
      <c r="DL385" s="408">
        <v>0</v>
      </c>
      <c r="DM385" s="408">
        <v>0</v>
      </c>
      <c r="DN385" s="408">
        <v>0</v>
      </c>
      <c r="DO385" s="408">
        <v>1.2288883839969245</v>
      </c>
      <c r="DP385" s="408">
        <v>0.14611944433808599</v>
      </c>
      <c r="DQ385" s="408">
        <v>0</v>
      </c>
      <c r="DR385" s="408">
        <v>0</v>
      </c>
      <c r="DS385" s="408"/>
      <c r="DT385" s="408"/>
      <c r="DU385" s="408"/>
      <c r="DV385" s="408">
        <v>-1007.1566643739382</v>
      </c>
      <c r="DW385" s="408">
        <v>0</v>
      </c>
      <c r="DX385" s="408">
        <v>0</v>
      </c>
      <c r="DY385" s="408">
        <v>231.71643999999992</v>
      </c>
      <c r="DZ385" s="408">
        <v>-92.318840000000023</v>
      </c>
      <c r="EA385" s="408">
        <v>0</v>
      </c>
      <c r="EB385" s="408">
        <v>0</v>
      </c>
      <c r="EC385" s="408">
        <v>250.1947993920063</v>
      </c>
      <c r="ED385" s="408">
        <v>0</v>
      </c>
      <c r="EE385" s="408">
        <v>0</v>
      </c>
      <c r="EF385" s="408">
        <v>0</v>
      </c>
      <c r="EG385" s="408">
        <v>0</v>
      </c>
      <c r="EH385" s="408">
        <v>0</v>
      </c>
      <c r="EI385" s="408">
        <v>0</v>
      </c>
      <c r="EJ385" s="408">
        <v>0</v>
      </c>
      <c r="EK385" s="408">
        <v>0</v>
      </c>
      <c r="EL385" s="408">
        <v>0</v>
      </c>
      <c r="EM385" s="408">
        <v>0</v>
      </c>
      <c r="EN385" s="408">
        <v>0</v>
      </c>
      <c r="EO385" s="408">
        <v>0</v>
      </c>
      <c r="EP385" s="408">
        <v>-67.20821013218152</v>
      </c>
      <c r="EQ385" s="408">
        <v>0</v>
      </c>
      <c r="ER385" s="408">
        <v>0</v>
      </c>
      <c r="ES385" s="408">
        <v>0</v>
      </c>
      <c r="ET385" s="408">
        <v>0</v>
      </c>
      <c r="EU385" s="408">
        <v>0</v>
      </c>
      <c r="EV385" s="408">
        <v>240</v>
      </c>
      <c r="EW385" s="408">
        <v>0</v>
      </c>
      <c r="EX385" s="408">
        <v>0</v>
      </c>
      <c r="EY385" s="408">
        <v>0</v>
      </c>
      <c r="EZ385" s="408"/>
      <c r="FA385" s="408">
        <v>0</v>
      </c>
      <c r="FB385" s="408"/>
      <c r="FC385" s="408"/>
      <c r="FD385" s="408"/>
      <c r="FE385" s="408"/>
      <c r="FF385" s="408">
        <v>0</v>
      </c>
      <c r="FG385" s="408">
        <v>0</v>
      </c>
      <c r="FH385" s="408">
        <v>0</v>
      </c>
      <c r="FI385" s="408">
        <v>0</v>
      </c>
    </row>
    <row r="386" spans="1:165">
      <c r="A386" s="408">
        <v>384</v>
      </c>
      <c r="B386" s="408" t="s">
        <v>2238</v>
      </c>
      <c r="C386" s="408" t="s">
        <v>2235</v>
      </c>
      <c r="D386" s="408" t="s">
        <v>2245</v>
      </c>
      <c r="E386" s="408" t="s">
        <v>974</v>
      </c>
      <c r="F386" s="408" t="s">
        <v>1322</v>
      </c>
      <c r="G386" s="408" t="s">
        <v>1322</v>
      </c>
      <c r="H386" s="408" t="s">
        <v>1322</v>
      </c>
      <c r="I386" s="408" t="s">
        <v>1322</v>
      </c>
      <c r="J386" s="408" t="s">
        <v>2236</v>
      </c>
      <c r="K386" s="826">
        <v>44531</v>
      </c>
      <c r="L386" s="408">
        <v>0</v>
      </c>
      <c r="M386" s="408">
        <v>0</v>
      </c>
      <c r="N386" s="408">
        <v>84.281000000000006</v>
      </c>
      <c r="O386" s="408">
        <v>84.281000000000006</v>
      </c>
      <c r="P386" s="408">
        <v>84.281000000000006</v>
      </c>
      <c r="Q386" s="408">
        <v>84.281000000000006</v>
      </c>
      <c r="R386" s="408"/>
      <c r="S386" s="408">
        <v>368.24</v>
      </c>
      <c r="T386" s="408">
        <v>173.25</v>
      </c>
      <c r="U386" s="408"/>
      <c r="V386" s="408">
        <v>45637.31869</v>
      </c>
      <c r="W386" s="408">
        <v>45637.31869</v>
      </c>
      <c r="X386" s="408">
        <v>42889.758090000003</v>
      </c>
      <c r="Y386" s="408">
        <v>0</v>
      </c>
      <c r="Z386" s="408">
        <v>5187.0895852261374</v>
      </c>
      <c r="AA386" s="408">
        <v>0</v>
      </c>
      <c r="AB386" s="408">
        <v>0</v>
      </c>
      <c r="AC386" s="408">
        <v>215.7203686495204</v>
      </c>
      <c r="AD386" s="408">
        <v>207.25890155906308</v>
      </c>
      <c r="AE386" s="408">
        <v>19851.302813400351</v>
      </c>
      <c r="AF386" s="408">
        <v>14356.465201400766</v>
      </c>
      <c r="AG386" s="408">
        <v>245.02454918754714</v>
      </c>
      <c r="AH386" s="408">
        <v>0</v>
      </c>
      <c r="AI386" s="408">
        <v>0</v>
      </c>
      <c r="AJ386" s="408">
        <v>0</v>
      </c>
      <c r="AK386" s="408">
        <v>0</v>
      </c>
      <c r="AL386" s="408">
        <v>801.43058080326296</v>
      </c>
      <c r="AM386" s="408"/>
      <c r="AN386" s="408">
        <v>101.7993717432044</v>
      </c>
      <c r="AO386" s="408">
        <v>457.93201015955111</v>
      </c>
      <c r="AP386" s="408">
        <v>2135.2694060548774</v>
      </c>
      <c r="AQ386" s="408">
        <v>0</v>
      </c>
      <c r="AR386" s="408">
        <v>0</v>
      </c>
      <c r="AS386" s="408">
        <v>0</v>
      </c>
      <c r="AT386" s="408">
        <v>0</v>
      </c>
      <c r="AU386" s="408">
        <v>0</v>
      </c>
      <c r="AV386" s="408">
        <v>0</v>
      </c>
      <c r="AW386" s="408">
        <v>0</v>
      </c>
      <c r="AX386" s="408">
        <v>0</v>
      </c>
      <c r="AY386" s="408">
        <v>0</v>
      </c>
      <c r="AZ386" s="408">
        <v>0</v>
      </c>
      <c r="BA386" s="408"/>
      <c r="BB386" s="408">
        <v>0</v>
      </c>
      <c r="BC386" s="408">
        <v>0</v>
      </c>
      <c r="BD386" s="408">
        <v>0</v>
      </c>
      <c r="BE386" s="408">
        <v>0</v>
      </c>
      <c r="BF386" s="408">
        <v>0</v>
      </c>
      <c r="BG386" s="408">
        <v>753.45459480585748</v>
      </c>
      <c r="BH386" s="408">
        <v>0</v>
      </c>
      <c r="BI386" s="408">
        <v>35.159999999999997</v>
      </c>
      <c r="BJ386" s="408">
        <v>304.88</v>
      </c>
      <c r="BK386" s="408">
        <v>2610.06</v>
      </c>
      <c r="BL386" s="408">
        <v>261</v>
      </c>
      <c r="BM386" s="408"/>
      <c r="BN386" s="408"/>
      <c r="BO386" s="408"/>
      <c r="BP386" s="408"/>
      <c r="BQ386" s="408"/>
      <c r="BR386" s="408">
        <v>5146.1978600000002</v>
      </c>
      <c r="BS386" s="408"/>
      <c r="BT386" s="408"/>
      <c r="BU386" s="408"/>
      <c r="BV386" s="408">
        <v>15109.919796206623</v>
      </c>
      <c r="BW386" s="408"/>
      <c r="BX386" s="408"/>
      <c r="BY386" s="408"/>
      <c r="BZ386" s="408"/>
      <c r="CA386" s="408"/>
      <c r="CB386" s="408"/>
      <c r="CC386" s="408"/>
      <c r="CD386" s="408"/>
      <c r="CE386" s="408"/>
      <c r="CF386" s="408"/>
      <c r="CG386" s="408"/>
      <c r="CH386" s="408"/>
      <c r="CI386" s="408">
        <v>37743.112399999998</v>
      </c>
      <c r="CJ386" s="408">
        <v>-2417.6569100000052</v>
      </c>
      <c r="CK386" s="408"/>
      <c r="CL386" s="408"/>
      <c r="CM386" s="408"/>
      <c r="CN386" s="408"/>
      <c r="CO386" s="408">
        <v>-4567.1873900000001</v>
      </c>
      <c r="CP386" s="408">
        <v>1819.6267900000005</v>
      </c>
      <c r="CQ386" s="408"/>
      <c r="CR386" s="408">
        <v>2183.4841230266138</v>
      </c>
      <c r="CS386" s="408">
        <v>45.631946009001297</v>
      </c>
      <c r="CT386" s="408">
        <v>212.77503229752665</v>
      </c>
      <c r="CU386" s="408">
        <v>0</v>
      </c>
      <c r="CV386" s="408">
        <v>0</v>
      </c>
      <c r="CW386" s="408">
        <v>0</v>
      </c>
      <c r="CX386" s="408">
        <v>0</v>
      </c>
      <c r="CY386" s="408">
        <v>0</v>
      </c>
      <c r="CZ386" s="408">
        <v>213.407996053722</v>
      </c>
      <c r="DA386" s="408">
        <v>0</v>
      </c>
      <c r="DB386" s="408">
        <v>0</v>
      </c>
      <c r="DC386" s="408">
        <v>1819.4213436128412</v>
      </c>
      <c r="DD386" s="408">
        <v>0</v>
      </c>
      <c r="DE386" s="408">
        <v>0</v>
      </c>
      <c r="DF386" s="408">
        <v>0</v>
      </c>
      <c r="DG386" s="408">
        <v>95.486692023550972</v>
      </c>
      <c r="DH386" s="408">
        <v>0</v>
      </c>
      <c r="DI386" s="408">
        <v>-176.13714824694307</v>
      </c>
      <c r="DJ386" s="408"/>
      <c r="DK386" s="408">
        <v>0</v>
      </c>
      <c r="DL386" s="408">
        <v>0</v>
      </c>
      <c r="DM386" s="408">
        <v>0</v>
      </c>
      <c r="DN386" s="408">
        <v>0</v>
      </c>
      <c r="DO386" s="408">
        <v>-24.221688936306236</v>
      </c>
      <c r="DP386" s="408">
        <v>-2.8800497867769366</v>
      </c>
      <c r="DQ386" s="408">
        <v>0</v>
      </c>
      <c r="DR386" s="408">
        <v>0</v>
      </c>
      <c r="DS386" s="408"/>
      <c r="DT386" s="408"/>
      <c r="DU386" s="408"/>
      <c r="DV386" s="408">
        <v>19851.302813400351</v>
      </c>
      <c r="DW386" s="408">
        <v>0</v>
      </c>
      <c r="DX386" s="408">
        <v>0</v>
      </c>
      <c r="DY386" s="408">
        <v>-4567.1873899999991</v>
      </c>
      <c r="DZ386" s="408">
        <v>1819.6267899999984</v>
      </c>
      <c r="EA386" s="408">
        <v>0</v>
      </c>
      <c r="EB386" s="408">
        <v>0</v>
      </c>
      <c r="EC386" s="408">
        <v>-4931.4003478853356</v>
      </c>
      <c r="ED386" s="408">
        <v>0</v>
      </c>
      <c r="EE386" s="408">
        <v>0</v>
      </c>
      <c r="EF386" s="408">
        <v>0</v>
      </c>
      <c r="EG386" s="408">
        <v>0</v>
      </c>
      <c r="EH386" s="408">
        <v>0</v>
      </c>
      <c r="EI386" s="408">
        <v>0</v>
      </c>
      <c r="EJ386" s="408">
        <v>0</v>
      </c>
      <c r="EK386" s="408">
        <v>0</v>
      </c>
      <c r="EL386" s="408">
        <v>0</v>
      </c>
      <c r="EM386" s="408">
        <v>0</v>
      </c>
      <c r="EN386" s="408">
        <v>0</v>
      </c>
      <c r="EO386" s="408">
        <v>0</v>
      </c>
      <c r="EP386" s="408">
        <v>1324.6901679491093</v>
      </c>
      <c r="EQ386" s="408">
        <v>0</v>
      </c>
      <c r="ER386" s="408">
        <v>0</v>
      </c>
      <c r="ES386" s="408">
        <v>0</v>
      </c>
      <c r="ET386" s="408">
        <v>0</v>
      </c>
      <c r="EU386" s="408">
        <v>0</v>
      </c>
      <c r="EV386" s="408">
        <v>240</v>
      </c>
      <c r="EW386" s="408">
        <v>0</v>
      </c>
      <c r="EX386" s="408">
        <v>0</v>
      </c>
      <c r="EY386" s="408">
        <v>0</v>
      </c>
      <c r="EZ386" s="408"/>
      <c r="FA386" s="408">
        <v>0</v>
      </c>
      <c r="FB386" s="408"/>
      <c r="FC386" s="408"/>
      <c r="FD386" s="408"/>
      <c r="FE386" s="408"/>
      <c r="FF386" s="408">
        <v>0</v>
      </c>
      <c r="FG386" s="408">
        <v>0</v>
      </c>
      <c r="FH386" s="408">
        <v>0</v>
      </c>
      <c r="FI386" s="408">
        <v>0</v>
      </c>
    </row>
    <row r="387" spans="1:165">
      <c r="A387" s="408">
        <v>385</v>
      </c>
      <c r="B387" s="408" t="s">
        <v>1036</v>
      </c>
      <c r="C387" s="408" t="s">
        <v>2243</v>
      </c>
      <c r="D387" s="408" t="s">
        <v>597</v>
      </c>
      <c r="E387" s="408" t="s">
        <v>974</v>
      </c>
      <c r="F387" s="408" t="s">
        <v>1322</v>
      </c>
      <c r="G387" s="408" t="s">
        <v>1322</v>
      </c>
      <c r="H387" s="408" t="s">
        <v>1322</v>
      </c>
      <c r="I387" s="408" t="s">
        <v>973</v>
      </c>
      <c r="J387" s="408" t="s">
        <v>2236</v>
      </c>
      <c r="K387" s="826">
        <v>44531</v>
      </c>
      <c r="L387" s="408">
        <v>0</v>
      </c>
      <c r="M387" s="408">
        <v>0</v>
      </c>
      <c r="N387" s="408">
        <v>10.997999999999999</v>
      </c>
      <c r="O387" s="408">
        <v>10.55808</v>
      </c>
      <c r="P387" s="408">
        <v>10.997999999999999</v>
      </c>
      <c r="Q387" s="408">
        <v>10.55808</v>
      </c>
      <c r="R387" s="408"/>
      <c r="S387" s="408">
        <v>1358.36</v>
      </c>
      <c r="T387" s="408">
        <v>173.25</v>
      </c>
      <c r="U387" s="408"/>
      <c r="V387" s="408">
        <v>16844.646779999999</v>
      </c>
      <c r="W387" s="408">
        <v>16844.646779999999</v>
      </c>
      <c r="X387" s="408">
        <v>14769.434159999999</v>
      </c>
      <c r="Y387" s="408">
        <v>0</v>
      </c>
      <c r="Z387" s="408">
        <v>588.88031459920728</v>
      </c>
      <c r="AA387" s="408">
        <v>0</v>
      </c>
      <c r="AB387" s="408">
        <v>0</v>
      </c>
      <c r="AC387" s="408">
        <v>208.32508751423921</v>
      </c>
      <c r="AD387" s="408">
        <v>200.15431212922255</v>
      </c>
      <c r="AE387" s="408">
        <v>11091.567869370358</v>
      </c>
      <c r="AF387" s="408">
        <v>1873.4044954972724</v>
      </c>
      <c r="AG387" s="408">
        <v>31.973754368892667</v>
      </c>
      <c r="AH387" s="408">
        <v>0</v>
      </c>
      <c r="AI387" s="408">
        <v>0</v>
      </c>
      <c r="AJ387" s="408">
        <v>0</v>
      </c>
      <c r="AK387" s="408">
        <v>0</v>
      </c>
      <c r="AL387" s="408">
        <v>104.58031499002485</v>
      </c>
      <c r="AM387" s="408"/>
      <c r="AN387" s="408">
        <v>8.8073504730318568</v>
      </c>
      <c r="AO387" s="408">
        <v>442.23862248290322</v>
      </c>
      <c r="AP387" s="408">
        <v>2062.0821207614617</v>
      </c>
      <c r="AQ387" s="408">
        <v>0</v>
      </c>
      <c r="AR387" s="408">
        <v>0</v>
      </c>
      <c r="AS387" s="408">
        <v>0</v>
      </c>
      <c r="AT387" s="408">
        <v>0</v>
      </c>
      <c r="AU387" s="408">
        <v>0</v>
      </c>
      <c r="AV387" s="408">
        <v>0</v>
      </c>
      <c r="AW387" s="408">
        <v>0</v>
      </c>
      <c r="AX387" s="408">
        <v>0</v>
      </c>
      <c r="AY387" s="408">
        <v>0</v>
      </c>
      <c r="AZ387" s="408">
        <v>0</v>
      </c>
      <c r="BA387" s="408"/>
      <c r="BB387" s="408">
        <v>0</v>
      </c>
      <c r="BC387" s="408">
        <v>0</v>
      </c>
      <c r="BD387" s="408">
        <v>0</v>
      </c>
      <c r="BE387" s="408">
        <v>0</v>
      </c>
      <c r="BF387" s="408">
        <v>0</v>
      </c>
      <c r="BG387" s="408">
        <v>82.250265099890299</v>
      </c>
      <c r="BH387" s="408">
        <v>0</v>
      </c>
      <c r="BI387" s="408">
        <v>0</v>
      </c>
      <c r="BJ387" s="408">
        <v>0</v>
      </c>
      <c r="BK387" s="408">
        <v>0</v>
      </c>
      <c r="BL387" s="408">
        <v>0</v>
      </c>
      <c r="BM387" s="408"/>
      <c r="BN387" s="408"/>
      <c r="BO387" s="408"/>
      <c r="BP387" s="408"/>
      <c r="BQ387" s="408"/>
      <c r="BR387" s="408">
        <v>590.77736639999853</v>
      </c>
      <c r="BS387" s="408"/>
      <c r="BT387" s="408"/>
      <c r="BU387" s="408"/>
      <c r="BV387" s="408">
        <v>1955.6547605971627</v>
      </c>
      <c r="BW387" s="408"/>
      <c r="BX387" s="408"/>
      <c r="BY387" s="408"/>
      <c r="BZ387" s="408"/>
      <c r="CA387" s="408"/>
      <c r="CB387" s="408"/>
      <c r="CC387" s="408"/>
      <c r="CD387" s="408"/>
      <c r="CE387" s="408"/>
      <c r="CF387" s="408"/>
      <c r="CG387" s="408"/>
      <c r="CH387" s="408"/>
      <c r="CI387" s="408">
        <v>14181.235199999999</v>
      </c>
      <c r="CJ387" s="408">
        <v>-1989.6557088000009</v>
      </c>
      <c r="CK387" s="408"/>
      <c r="CL387" s="408"/>
      <c r="CM387" s="408"/>
      <c r="CN387" s="408"/>
      <c r="CO387" s="408">
        <v>-2312.6594399999994</v>
      </c>
      <c r="CP387" s="408">
        <v>237.44682000000003</v>
      </c>
      <c r="CQ387" s="408"/>
      <c r="CR387" s="408">
        <v>680.08014875155004</v>
      </c>
      <c r="CS387" s="408">
        <v>44.068133470738417</v>
      </c>
      <c r="CT387" s="408">
        <v>205.4820757516618</v>
      </c>
      <c r="CU387" s="408">
        <v>0</v>
      </c>
      <c r="CV387" s="408">
        <v>0</v>
      </c>
      <c r="CW387" s="408">
        <v>0</v>
      </c>
      <c r="CX387" s="408">
        <v>0</v>
      </c>
      <c r="CY387" s="408">
        <v>0</v>
      </c>
      <c r="CZ387" s="408">
        <v>206.092622954658</v>
      </c>
      <c r="DA387" s="408">
        <v>0</v>
      </c>
      <c r="DB387" s="408">
        <v>0</v>
      </c>
      <c r="DC387" s="408">
        <v>237.42001088091047</v>
      </c>
      <c r="DD387" s="408">
        <v>0</v>
      </c>
      <c r="DE387" s="408">
        <v>0</v>
      </c>
      <c r="DF387" s="408">
        <v>0</v>
      </c>
      <c r="DG387" s="408">
        <v>10.42372796793687</v>
      </c>
      <c r="DH387" s="408">
        <v>0</v>
      </c>
      <c r="DI387" s="408">
        <v>-19.996512026260348</v>
      </c>
      <c r="DJ387" s="408"/>
      <c r="DK387" s="408">
        <v>0</v>
      </c>
      <c r="DL387" s="408">
        <v>0</v>
      </c>
      <c r="DM387" s="408">
        <v>0</v>
      </c>
      <c r="DN387" s="408">
        <v>0</v>
      </c>
      <c r="DO387" s="408">
        <v>-3.160737709821845</v>
      </c>
      <c r="DP387" s="408">
        <v>-0.24917253827373642</v>
      </c>
      <c r="DQ387" s="408">
        <v>0</v>
      </c>
      <c r="DR387" s="408">
        <v>0</v>
      </c>
      <c r="DS387" s="408"/>
      <c r="DT387" s="408"/>
      <c r="DU387" s="408"/>
      <c r="DV387" s="408">
        <v>11091.567869370358</v>
      </c>
      <c r="DW387" s="408">
        <v>0</v>
      </c>
      <c r="DX387" s="408">
        <v>0</v>
      </c>
      <c r="DY387" s="408">
        <v>-2312.6594399999994</v>
      </c>
      <c r="DZ387" s="408">
        <v>237.44682000000012</v>
      </c>
      <c r="EA387" s="408">
        <v>0</v>
      </c>
      <c r="EB387" s="408">
        <v>0</v>
      </c>
      <c r="EC387" s="408">
        <v>-2755.3336002050291</v>
      </c>
      <c r="ED387" s="408">
        <v>0</v>
      </c>
      <c r="EE387" s="408">
        <v>0</v>
      </c>
      <c r="EF387" s="408">
        <v>0</v>
      </c>
      <c r="EG387" s="408">
        <v>0</v>
      </c>
      <c r="EH387" s="408">
        <v>0</v>
      </c>
      <c r="EI387" s="408">
        <v>0</v>
      </c>
      <c r="EJ387" s="408">
        <v>0</v>
      </c>
      <c r="EK387" s="408">
        <v>0</v>
      </c>
      <c r="EL387" s="408">
        <v>0</v>
      </c>
      <c r="EM387" s="408">
        <v>0</v>
      </c>
      <c r="EN387" s="408">
        <v>0</v>
      </c>
      <c r="EO387" s="408">
        <v>0</v>
      </c>
      <c r="EP387" s="408">
        <v>150.3895296256662</v>
      </c>
      <c r="EQ387" s="408">
        <v>0</v>
      </c>
      <c r="ER387" s="408">
        <v>0</v>
      </c>
      <c r="ES387" s="408">
        <v>0</v>
      </c>
      <c r="ET387" s="408">
        <v>0</v>
      </c>
      <c r="EU387" s="408">
        <v>0</v>
      </c>
      <c r="EV387" s="408">
        <v>240</v>
      </c>
      <c r="EW387" s="408">
        <v>0</v>
      </c>
      <c r="EX387" s="408">
        <v>0</v>
      </c>
      <c r="EY387" s="408">
        <v>0</v>
      </c>
      <c r="EZ387" s="408"/>
      <c r="FA387" s="408">
        <v>0</v>
      </c>
      <c r="FB387" s="408"/>
      <c r="FC387" s="408"/>
      <c r="FD387" s="408"/>
      <c r="FE387" s="408"/>
      <c r="FF387" s="408">
        <v>0</v>
      </c>
      <c r="FG387" s="408">
        <v>0</v>
      </c>
      <c r="FH387" s="408">
        <v>0</v>
      </c>
      <c r="FI387" s="408">
        <v>0</v>
      </c>
    </row>
    <row r="388" spans="1:165">
      <c r="A388" s="408">
        <v>386</v>
      </c>
      <c r="B388" s="408" t="s">
        <v>1036</v>
      </c>
      <c r="C388" s="408" t="s">
        <v>2243</v>
      </c>
      <c r="D388" s="408" t="s">
        <v>597</v>
      </c>
      <c r="E388" s="408" t="s">
        <v>974</v>
      </c>
      <c r="F388" s="408" t="s">
        <v>1322</v>
      </c>
      <c r="G388" s="408" t="s">
        <v>1322</v>
      </c>
      <c r="H388" s="408" t="s">
        <v>1322</v>
      </c>
      <c r="I388" s="408" t="s">
        <v>2244</v>
      </c>
      <c r="J388" s="408" t="s">
        <v>2236</v>
      </c>
      <c r="K388" s="826">
        <v>44531</v>
      </c>
      <c r="L388" s="408">
        <v>0</v>
      </c>
      <c r="M388" s="408">
        <v>0</v>
      </c>
      <c r="N388" s="408">
        <v>116.01300000000001</v>
      </c>
      <c r="O388" s="408">
        <v>111.37248</v>
      </c>
      <c r="P388" s="408">
        <v>116.01300000000001</v>
      </c>
      <c r="Q388" s="408">
        <v>111.37248</v>
      </c>
      <c r="R388" s="408"/>
      <c r="S388" s="408">
        <v>85.01</v>
      </c>
      <c r="T388" s="408">
        <v>173.25</v>
      </c>
      <c r="U388" s="408"/>
      <c r="V388" s="408">
        <v>29961.517380000005</v>
      </c>
      <c r="W388" s="408">
        <v>29961.517380000005</v>
      </c>
      <c r="X388" s="408">
        <v>32329.342710000001</v>
      </c>
      <c r="Y388" s="408">
        <v>0</v>
      </c>
      <c r="Z388" s="408">
        <v>6211.8359645024402</v>
      </c>
      <c r="AA388" s="408">
        <v>0</v>
      </c>
      <c r="AB388" s="408">
        <v>0</v>
      </c>
      <c r="AC388" s="408">
        <v>0</v>
      </c>
      <c r="AD388" s="408">
        <v>0</v>
      </c>
      <c r="AE388" s="408">
        <v>0</v>
      </c>
      <c r="AF388" s="408">
        <v>19761.709014013919</v>
      </c>
      <c r="AG388" s="408">
        <v>337.27688357868209</v>
      </c>
      <c r="AH388" s="408">
        <v>0</v>
      </c>
      <c r="AI388" s="408">
        <v>0</v>
      </c>
      <c r="AJ388" s="408">
        <v>0</v>
      </c>
      <c r="AK388" s="408">
        <v>0</v>
      </c>
      <c r="AL388" s="408">
        <v>1103.1711295633529</v>
      </c>
      <c r="AM388" s="408"/>
      <c r="AN388" s="408">
        <v>92.904814550631485</v>
      </c>
      <c r="AO388" s="408">
        <v>0</v>
      </c>
      <c r="AP388" s="408">
        <v>0</v>
      </c>
      <c r="AQ388" s="408">
        <v>0</v>
      </c>
      <c r="AR388" s="408">
        <v>0</v>
      </c>
      <c r="AS388" s="408">
        <v>0</v>
      </c>
      <c r="AT388" s="408">
        <v>0</v>
      </c>
      <c r="AU388" s="408">
        <v>0</v>
      </c>
      <c r="AV388" s="408">
        <v>0</v>
      </c>
      <c r="AW388" s="408">
        <v>0</v>
      </c>
      <c r="AX388" s="408">
        <v>0</v>
      </c>
      <c r="AY388" s="408">
        <v>0</v>
      </c>
      <c r="AZ388" s="408">
        <v>0</v>
      </c>
      <c r="BA388" s="408"/>
      <c r="BB388" s="408">
        <v>0</v>
      </c>
      <c r="BC388" s="408">
        <v>0</v>
      </c>
      <c r="BD388" s="408">
        <v>0</v>
      </c>
      <c r="BE388" s="408">
        <v>0</v>
      </c>
      <c r="BF388" s="408">
        <v>0</v>
      </c>
      <c r="BG388" s="408">
        <v>867.62138616417303</v>
      </c>
      <c r="BH388" s="408">
        <v>0</v>
      </c>
      <c r="BI388" s="408">
        <v>0</v>
      </c>
      <c r="BJ388" s="408">
        <v>0</v>
      </c>
      <c r="BK388" s="408">
        <v>0</v>
      </c>
      <c r="BL388" s="408">
        <v>0</v>
      </c>
      <c r="BM388" s="408"/>
      <c r="BN388" s="408"/>
      <c r="BO388" s="408"/>
      <c r="BP388" s="408"/>
      <c r="BQ388" s="408"/>
      <c r="BR388" s="408">
        <v>1293.1737084000026</v>
      </c>
      <c r="BS388" s="408"/>
      <c r="BT388" s="408"/>
      <c r="BU388" s="408"/>
      <c r="BV388" s="408">
        <v>20629.330400178093</v>
      </c>
      <c r="BW388" s="408"/>
      <c r="BX388" s="408"/>
      <c r="BY388" s="408"/>
      <c r="BZ388" s="408"/>
      <c r="CA388" s="408"/>
      <c r="CB388" s="408"/>
      <c r="CC388" s="408"/>
      <c r="CD388" s="408"/>
      <c r="CE388" s="408"/>
      <c r="CF388" s="408"/>
      <c r="CG388" s="408"/>
      <c r="CH388" s="408"/>
      <c r="CI388" s="408">
        <v>31035.477899999998</v>
      </c>
      <c r="CJ388" s="408">
        <v>2272.3912152000012</v>
      </c>
      <c r="CK388" s="408"/>
      <c r="CL388" s="408"/>
      <c r="CM388" s="408"/>
      <c r="CN388" s="408"/>
      <c r="CO388" s="408">
        <v>-136.8953400000008</v>
      </c>
      <c r="CP388" s="408">
        <v>2504.7206700000006</v>
      </c>
      <c r="CQ388" s="408"/>
      <c r="CR388" s="408">
        <v>2367.4892169263912</v>
      </c>
      <c r="CS388" s="408">
        <v>0</v>
      </c>
      <c r="CT388" s="408">
        <v>0</v>
      </c>
      <c r="CU388" s="408">
        <v>0</v>
      </c>
      <c r="CV388" s="408">
        <v>0</v>
      </c>
      <c r="CW388" s="408">
        <v>0</v>
      </c>
      <c r="CX388" s="408">
        <v>0</v>
      </c>
      <c r="CY388" s="408">
        <v>0</v>
      </c>
      <c r="CZ388" s="408">
        <v>0</v>
      </c>
      <c r="DA388" s="408">
        <v>0</v>
      </c>
      <c r="DB388" s="408">
        <v>0</v>
      </c>
      <c r="DC388" s="408">
        <v>2504.4378725520146</v>
      </c>
      <c r="DD388" s="408">
        <v>0</v>
      </c>
      <c r="DE388" s="408">
        <v>0</v>
      </c>
      <c r="DF388" s="408">
        <v>0</v>
      </c>
      <c r="DG388" s="408">
        <v>109.95526029680479</v>
      </c>
      <c r="DH388" s="408">
        <v>0</v>
      </c>
      <c r="DI388" s="408">
        <v>-210.93429257160824</v>
      </c>
      <c r="DJ388" s="408"/>
      <c r="DK388" s="408">
        <v>0</v>
      </c>
      <c r="DL388" s="408">
        <v>0</v>
      </c>
      <c r="DM388" s="408">
        <v>0</v>
      </c>
      <c r="DN388" s="408">
        <v>0</v>
      </c>
      <c r="DO388" s="408">
        <v>-33.341213305106749</v>
      </c>
      <c r="DP388" s="408">
        <v>-2.6284100457129682</v>
      </c>
      <c r="DQ388" s="408">
        <v>0</v>
      </c>
      <c r="DR388" s="408">
        <v>0</v>
      </c>
      <c r="DS388" s="408"/>
      <c r="DT388" s="408"/>
      <c r="DU388" s="408"/>
      <c r="DV388" s="408">
        <v>0</v>
      </c>
      <c r="DW388" s="408">
        <v>0</v>
      </c>
      <c r="DX388" s="408">
        <v>0</v>
      </c>
      <c r="DY388" s="408">
        <v>-136.89534000000094</v>
      </c>
      <c r="DZ388" s="408">
        <v>2504.7206699999988</v>
      </c>
      <c r="EA388" s="408">
        <v>0</v>
      </c>
      <c r="EB388" s="408">
        <v>0</v>
      </c>
      <c r="EC388" s="408">
        <v>0</v>
      </c>
      <c r="ED388" s="408">
        <v>0</v>
      </c>
      <c r="EE388" s="408">
        <v>0</v>
      </c>
      <c r="EF388" s="408">
        <v>0</v>
      </c>
      <c r="EG388" s="408">
        <v>0</v>
      </c>
      <c r="EH388" s="408">
        <v>0</v>
      </c>
      <c r="EI388" s="408">
        <v>0</v>
      </c>
      <c r="EJ388" s="408">
        <v>0</v>
      </c>
      <c r="EK388" s="408">
        <v>0</v>
      </c>
      <c r="EL388" s="408">
        <v>0</v>
      </c>
      <c r="EM388" s="408">
        <v>0</v>
      </c>
      <c r="EN388" s="408">
        <v>0</v>
      </c>
      <c r="EO388" s="408">
        <v>0</v>
      </c>
      <c r="EP388" s="408">
        <v>1586.3921167905448</v>
      </c>
      <c r="EQ388" s="408">
        <v>0</v>
      </c>
      <c r="ER388" s="408">
        <v>0</v>
      </c>
      <c r="ES388" s="408">
        <v>0</v>
      </c>
      <c r="ET388" s="408">
        <v>0</v>
      </c>
      <c r="EU388" s="408">
        <v>0</v>
      </c>
      <c r="EV388" s="408">
        <v>240</v>
      </c>
      <c r="EW388" s="408">
        <v>0</v>
      </c>
      <c r="EX388" s="408">
        <v>0</v>
      </c>
      <c r="EY388" s="408">
        <v>0</v>
      </c>
      <c r="EZ388" s="408"/>
      <c r="FA388" s="408">
        <v>0</v>
      </c>
      <c r="FB388" s="408"/>
      <c r="FC388" s="408"/>
      <c r="FD388" s="408"/>
      <c r="FE388" s="408"/>
      <c r="FF388" s="408">
        <v>0</v>
      </c>
      <c r="FG388" s="408">
        <v>0</v>
      </c>
      <c r="FH388" s="408">
        <v>0</v>
      </c>
      <c r="FI388" s="408">
        <v>0</v>
      </c>
    </row>
    <row r="389" spans="1:165">
      <c r="A389" s="408">
        <v>387</v>
      </c>
      <c r="B389" s="408" t="s">
        <v>2238</v>
      </c>
      <c r="C389" s="408" t="s">
        <v>2243</v>
      </c>
      <c r="D389" s="408" t="s">
        <v>597</v>
      </c>
      <c r="E389" s="408" t="s">
        <v>974</v>
      </c>
      <c r="F389" s="408" t="s">
        <v>1322</v>
      </c>
      <c r="G389" s="408" t="s">
        <v>1322</v>
      </c>
      <c r="H389" s="408" t="s">
        <v>1322</v>
      </c>
      <c r="I389" s="408" t="s">
        <v>2244</v>
      </c>
      <c r="J389" s="408" t="s">
        <v>2236</v>
      </c>
      <c r="K389" s="826">
        <v>44531</v>
      </c>
      <c r="L389" s="408">
        <v>0</v>
      </c>
      <c r="M389" s="408">
        <v>0</v>
      </c>
      <c r="N389" s="408">
        <v>40.652999999999999</v>
      </c>
      <c r="O389" s="408">
        <v>39.026879999999998</v>
      </c>
      <c r="P389" s="408">
        <v>40.652999999999999</v>
      </c>
      <c r="Q389" s="408">
        <v>39.026879999999998</v>
      </c>
      <c r="R389" s="408"/>
      <c r="S389" s="408">
        <v>85.01</v>
      </c>
      <c r="T389" s="408">
        <v>173.25</v>
      </c>
      <c r="U389" s="408"/>
      <c r="V389" s="408">
        <v>10499.04378</v>
      </c>
      <c r="W389" s="408">
        <v>10499.04378</v>
      </c>
      <c r="X389" s="408">
        <v>11328.771509999999</v>
      </c>
      <c r="Y389" s="408">
        <v>0</v>
      </c>
      <c r="Z389" s="408">
        <v>2176.7368093654823</v>
      </c>
      <c r="AA389" s="408">
        <v>0</v>
      </c>
      <c r="AB389" s="408">
        <v>0</v>
      </c>
      <c r="AC389" s="408">
        <v>0</v>
      </c>
      <c r="AD389" s="408">
        <v>0</v>
      </c>
      <c r="AE389" s="408">
        <v>0</v>
      </c>
      <c r="AF389" s="408">
        <v>6924.8511507047288</v>
      </c>
      <c r="AG389" s="408">
        <v>118.18776471709344</v>
      </c>
      <c r="AH389" s="408">
        <v>0</v>
      </c>
      <c r="AI389" s="408">
        <v>0</v>
      </c>
      <c r="AJ389" s="408">
        <v>0</v>
      </c>
      <c r="AK389" s="408">
        <v>0</v>
      </c>
      <c r="AL389" s="408">
        <v>386.57060786410989</v>
      </c>
      <c r="AM389" s="408"/>
      <c r="AN389" s="408">
        <v>32.555484522655405</v>
      </c>
      <c r="AO389" s="408">
        <v>0</v>
      </c>
      <c r="AP389" s="408">
        <v>0</v>
      </c>
      <c r="AQ389" s="408">
        <v>0</v>
      </c>
      <c r="AR389" s="408">
        <v>0</v>
      </c>
      <c r="AS389" s="408">
        <v>0</v>
      </c>
      <c r="AT389" s="408">
        <v>0</v>
      </c>
      <c r="AU389" s="408">
        <v>0</v>
      </c>
      <c r="AV389" s="408">
        <v>0</v>
      </c>
      <c r="AW389" s="408">
        <v>0</v>
      </c>
      <c r="AX389" s="408">
        <v>0</v>
      </c>
      <c r="AY389" s="408">
        <v>0</v>
      </c>
      <c r="AZ389" s="408">
        <v>0</v>
      </c>
      <c r="BA389" s="408"/>
      <c r="BB389" s="408">
        <v>0</v>
      </c>
      <c r="BC389" s="408">
        <v>0</v>
      </c>
      <c r="BD389" s="408">
        <v>0</v>
      </c>
      <c r="BE389" s="408">
        <v>0</v>
      </c>
      <c r="BF389" s="408">
        <v>0</v>
      </c>
      <c r="BG389" s="408">
        <v>304.02982606890714</v>
      </c>
      <c r="BH389" s="408">
        <v>0</v>
      </c>
      <c r="BI389" s="408">
        <v>0</v>
      </c>
      <c r="BJ389" s="408">
        <v>0</v>
      </c>
      <c r="BK389" s="408">
        <v>0</v>
      </c>
      <c r="BL389" s="408">
        <v>0</v>
      </c>
      <c r="BM389" s="408"/>
      <c r="BN389" s="408"/>
      <c r="BO389" s="408"/>
      <c r="BP389" s="408"/>
      <c r="BQ389" s="408"/>
      <c r="BR389" s="408">
        <v>453.15086040000006</v>
      </c>
      <c r="BS389" s="408"/>
      <c r="BT389" s="408"/>
      <c r="BU389" s="408"/>
      <c r="BV389" s="408">
        <v>7228.8809767736357</v>
      </c>
      <c r="BW389" s="408"/>
      <c r="BX389" s="408"/>
      <c r="BY389" s="408"/>
      <c r="BZ389" s="408"/>
      <c r="CA389" s="408"/>
      <c r="CB389" s="408"/>
      <c r="CC389" s="408"/>
      <c r="CD389" s="408"/>
      <c r="CE389" s="408"/>
      <c r="CF389" s="408"/>
      <c r="CG389" s="408"/>
      <c r="CH389" s="408"/>
      <c r="CI389" s="408">
        <v>10876.490099999999</v>
      </c>
      <c r="CJ389" s="408">
        <v>797.37807119999889</v>
      </c>
      <c r="CK389" s="408"/>
      <c r="CL389" s="408"/>
      <c r="CM389" s="408"/>
      <c r="CN389" s="408"/>
      <c r="CO389" s="408">
        <v>-47.970540000000277</v>
      </c>
      <c r="CP389" s="408">
        <v>877.69827000000009</v>
      </c>
      <c r="CQ389" s="408"/>
      <c r="CR389" s="408">
        <v>829.60995005480981</v>
      </c>
      <c r="CS389" s="408">
        <v>0</v>
      </c>
      <c r="CT389" s="408">
        <v>0</v>
      </c>
      <c r="CU389" s="408">
        <v>0</v>
      </c>
      <c r="CV389" s="408">
        <v>0</v>
      </c>
      <c r="CW389" s="408">
        <v>0</v>
      </c>
      <c r="CX389" s="408">
        <v>0</v>
      </c>
      <c r="CY389" s="408">
        <v>0</v>
      </c>
      <c r="CZ389" s="408">
        <v>0</v>
      </c>
      <c r="DA389" s="408">
        <v>0</v>
      </c>
      <c r="DB389" s="408">
        <v>0</v>
      </c>
      <c r="DC389" s="408">
        <v>877.59917278974899</v>
      </c>
      <c r="DD389" s="408">
        <v>0</v>
      </c>
      <c r="DE389" s="408">
        <v>0</v>
      </c>
      <c r="DF389" s="408">
        <v>0</v>
      </c>
      <c r="DG389" s="408">
        <v>38.53026123663733</v>
      </c>
      <c r="DH389" s="408">
        <v>0</v>
      </c>
      <c r="DI389" s="408">
        <v>-73.915093962862557</v>
      </c>
      <c r="DJ389" s="408"/>
      <c r="DK389" s="408">
        <v>0</v>
      </c>
      <c r="DL389" s="408">
        <v>0</v>
      </c>
      <c r="DM389" s="408">
        <v>0</v>
      </c>
      <c r="DN389" s="408">
        <v>0</v>
      </c>
      <c r="DO389" s="408">
        <v>-11.683348801362797</v>
      </c>
      <c r="DP389" s="408">
        <v>-0.92104120735063333</v>
      </c>
      <c r="DQ389" s="408">
        <v>0</v>
      </c>
      <c r="DR389" s="408">
        <v>0</v>
      </c>
      <c r="DS389" s="408"/>
      <c r="DT389" s="408"/>
      <c r="DU389" s="408"/>
      <c r="DV389" s="408">
        <v>0</v>
      </c>
      <c r="DW389" s="408">
        <v>0</v>
      </c>
      <c r="DX389" s="408">
        <v>0</v>
      </c>
      <c r="DY389" s="408">
        <v>-47.97054000000071</v>
      </c>
      <c r="DZ389" s="408">
        <v>877.69826999999987</v>
      </c>
      <c r="EA389" s="408">
        <v>0</v>
      </c>
      <c r="EB389" s="408">
        <v>0</v>
      </c>
      <c r="EC389" s="408">
        <v>0</v>
      </c>
      <c r="ED389" s="408">
        <v>0</v>
      </c>
      <c r="EE389" s="408">
        <v>0</v>
      </c>
      <c r="EF389" s="408">
        <v>0</v>
      </c>
      <c r="EG389" s="408">
        <v>0</v>
      </c>
      <c r="EH389" s="408">
        <v>0</v>
      </c>
      <c r="EI389" s="408">
        <v>0</v>
      </c>
      <c r="EJ389" s="408">
        <v>0</v>
      </c>
      <c r="EK389" s="408">
        <v>0</v>
      </c>
      <c r="EL389" s="408">
        <v>0</v>
      </c>
      <c r="EM389" s="408">
        <v>0</v>
      </c>
      <c r="EN389" s="408">
        <v>0</v>
      </c>
      <c r="EO389" s="408">
        <v>0</v>
      </c>
      <c r="EP389" s="408">
        <v>555.89975885362867</v>
      </c>
      <c r="EQ389" s="408">
        <v>0</v>
      </c>
      <c r="ER389" s="408">
        <v>0</v>
      </c>
      <c r="ES389" s="408">
        <v>0</v>
      </c>
      <c r="ET389" s="408">
        <v>0</v>
      </c>
      <c r="EU389" s="408">
        <v>0</v>
      </c>
      <c r="EV389" s="408">
        <v>240</v>
      </c>
      <c r="EW389" s="408">
        <v>0</v>
      </c>
      <c r="EX389" s="408">
        <v>0</v>
      </c>
      <c r="EY389" s="408">
        <v>0</v>
      </c>
      <c r="EZ389" s="408"/>
      <c r="FA389" s="408">
        <v>0</v>
      </c>
      <c r="FB389" s="408"/>
      <c r="FC389" s="408"/>
      <c r="FD389" s="408"/>
      <c r="FE389" s="408"/>
      <c r="FF389" s="408">
        <v>0</v>
      </c>
      <c r="FG389" s="408">
        <v>0</v>
      </c>
      <c r="FH389" s="408">
        <v>0</v>
      </c>
      <c r="FI389" s="408">
        <v>0</v>
      </c>
    </row>
    <row r="390" spans="1:165">
      <c r="A390" s="408">
        <v>388</v>
      </c>
      <c r="B390" s="408" t="s">
        <v>1036</v>
      </c>
      <c r="C390" s="408" t="s">
        <v>2243</v>
      </c>
      <c r="D390" s="408" t="s">
        <v>597</v>
      </c>
      <c r="E390" s="408" t="s">
        <v>974</v>
      </c>
      <c r="F390" s="408" t="s">
        <v>1322</v>
      </c>
      <c r="G390" s="408" t="s">
        <v>1322</v>
      </c>
      <c r="H390" s="408" t="s">
        <v>1322</v>
      </c>
      <c r="I390" s="408" t="s">
        <v>1322</v>
      </c>
      <c r="J390" s="408" t="s">
        <v>2236</v>
      </c>
      <c r="K390" s="826">
        <v>44531</v>
      </c>
      <c r="L390" s="408">
        <v>662</v>
      </c>
      <c r="M390" s="408">
        <v>635.52</v>
      </c>
      <c r="N390" s="408">
        <v>0</v>
      </c>
      <c r="O390" s="408">
        <v>0</v>
      </c>
      <c r="P390" s="408">
        <v>0</v>
      </c>
      <c r="Q390" s="408">
        <v>0</v>
      </c>
      <c r="R390" s="408">
        <v>27.19</v>
      </c>
      <c r="S390" s="408"/>
      <c r="T390" s="408"/>
      <c r="U390" s="408">
        <v>17999.780000000002</v>
      </c>
      <c r="V390" s="408"/>
      <c r="W390" s="408">
        <v>17999.780000000002</v>
      </c>
      <c r="X390" s="408">
        <v>14405.12</v>
      </c>
      <c r="Y390" s="408">
        <v>0</v>
      </c>
      <c r="Z390" s="408">
        <v>0</v>
      </c>
      <c r="AA390" s="408">
        <v>0</v>
      </c>
      <c r="AB390" s="408">
        <v>0</v>
      </c>
      <c r="AC390" s="408">
        <v>154.37880608904737</v>
      </c>
      <c r="AD390" s="408">
        <v>148.31106366322069</v>
      </c>
      <c r="AE390" s="408">
        <v>15843.004020971588</v>
      </c>
      <c r="AF390" s="408"/>
      <c r="AG390" s="408"/>
      <c r="AH390" s="408"/>
      <c r="AI390" s="408">
        <v>0</v>
      </c>
      <c r="AJ390" s="408">
        <v>0</v>
      </c>
      <c r="AK390" s="408">
        <v>0</v>
      </c>
      <c r="AL390" s="408">
        <v>0</v>
      </c>
      <c r="AM390" s="408"/>
      <c r="AN390" s="408">
        <v>0</v>
      </c>
      <c r="AO390" s="408">
        <v>327.61375818188719</v>
      </c>
      <c r="AP390" s="408">
        <v>1527.9548140736065</v>
      </c>
      <c r="AQ390" s="408">
        <v>0</v>
      </c>
      <c r="AR390" s="408">
        <v>0</v>
      </c>
      <c r="AS390" s="408"/>
      <c r="AT390" s="408"/>
      <c r="AU390" s="408">
        <v>0</v>
      </c>
      <c r="AV390" s="408">
        <v>0</v>
      </c>
      <c r="AW390" s="408">
        <v>0</v>
      </c>
      <c r="AX390" s="408"/>
      <c r="AY390" s="408"/>
      <c r="AZ390" s="408">
        <v>0</v>
      </c>
      <c r="BA390" s="408"/>
      <c r="BB390" s="408">
        <v>0</v>
      </c>
      <c r="BC390" s="408">
        <v>0</v>
      </c>
      <c r="BD390" s="408">
        <v>0</v>
      </c>
      <c r="BE390" s="408">
        <v>0</v>
      </c>
      <c r="BF390" s="408"/>
      <c r="BG390" s="408">
        <v>0</v>
      </c>
      <c r="BH390" s="408">
        <v>0</v>
      </c>
      <c r="BI390" s="408">
        <v>54.3</v>
      </c>
      <c r="BJ390" s="408">
        <v>465.61</v>
      </c>
      <c r="BK390" s="408">
        <v>28.47</v>
      </c>
      <c r="BL390" s="408">
        <v>4</v>
      </c>
      <c r="BM390" s="408"/>
      <c r="BN390" s="408"/>
      <c r="BO390" s="408"/>
      <c r="BP390" s="408"/>
      <c r="BQ390" s="408"/>
      <c r="BR390" s="408">
        <v>576.20480000000043</v>
      </c>
      <c r="BS390" s="408"/>
      <c r="BT390" s="408"/>
      <c r="BU390" s="408"/>
      <c r="BV390" s="408">
        <v>0</v>
      </c>
      <c r="BW390" s="408"/>
      <c r="BX390" s="408"/>
      <c r="BY390" s="408"/>
      <c r="BZ390" s="408"/>
      <c r="CA390" s="408"/>
      <c r="CB390" s="408"/>
      <c r="CC390" s="408"/>
      <c r="CD390" s="408"/>
      <c r="CE390" s="408"/>
      <c r="CF390" s="408"/>
      <c r="CG390" s="408"/>
      <c r="CH390" s="408"/>
      <c r="CI390" s="408">
        <v>13828.915200000001</v>
      </c>
      <c r="CJ390" s="408">
        <v>-3450.903599999996</v>
      </c>
      <c r="CK390" s="408"/>
      <c r="CL390" s="408"/>
      <c r="CM390" s="408"/>
      <c r="CN390" s="408"/>
      <c r="CO390" s="408">
        <v>-3594.66</v>
      </c>
      <c r="CP390" s="408">
        <v>0</v>
      </c>
      <c r="CQ390" s="408"/>
      <c r="CR390" s="408">
        <v>337.61469667735582</v>
      </c>
      <c r="CS390" s="408">
        <v>32.646010747213552</v>
      </c>
      <c r="CT390" s="408">
        <v>152.25743130668616</v>
      </c>
      <c r="CU390" s="408">
        <v>0</v>
      </c>
      <c r="CV390" s="408">
        <v>0</v>
      </c>
      <c r="CW390" s="408"/>
      <c r="CX390" s="408"/>
      <c r="CY390" s="408"/>
      <c r="CZ390" s="408">
        <v>152.71125462345651</v>
      </c>
      <c r="DA390" s="408">
        <v>0</v>
      </c>
      <c r="DB390" s="408">
        <v>0</v>
      </c>
      <c r="DC390" s="408"/>
      <c r="DD390" s="408"/>
      <c r="DE390" s="408">
        <v>0</v>
      </c>
      <c r="DF390" s="408">
        <v>0</v>
      </c>
      <c r="DG390" s="408">
        <v>0</v>
      </c>
      <c r="DH390" s="408">
        <v>0</v>
      </c>
      <c r="DI390" s="408">
        <v>0</v>
      </c>
      <c r="DJ390" s="408"/>
      <c r="DK390" s="408">
        <v>0</v>
      </c>
      <c r="DL390" s="408">
        <v>0</v>
      </c>
      <c r="DM390" s="408"/>
      <c r="DN390" s="408">
        <v>0</v>
      </c>
      <c r="DO390" s="408">
        <v>0</v>
      </c>
      <c r="DP390" s="408">
        <v>0</v>
      </c>
      <c r="DQ390" s="408">
        <v>0</v>
      </c>
      <c r="DR390" s="408">
        <v>0</v>
      </c>
      <c r="DS390" s="408"/>
      <c r="DT390" s="408"/>
      <c r="DU390" s="408">
        <v>15843.004020971588</v>
      </c>
      <c r="DV390" s="408"/>
      <c r="DW390" s="408">
        <v>0</v>
      </c>
      <c r="DX390" s="408">
        <v>0</v>
      </c>
      <c r="DY390" s="408">
        <v>-3594.6600000000017</v>
      </c>
      <c r="DZ390" s="408"/>
      <c r="EA390" s="408">
        <v>0</v>
      </c>
      <c r="EB390" s="408"/>
      <c r="EC390" s="408">
        <v>-3935.6709368126503</v>
      </c>
      <c r="ED390" s="408"/>
      <c r="EE390" s="408">
        <v>0</v>
      </c>
      <c r="EF390" s="408">
        <v>0</v>
      </c>
      <c r="EG390" s="408"/>
      <c r="EH390" s="408">
        <v>0</v>
      </c>
      <c r="EI390" s="408">
        <v>0</v>
      </c>
      <c r="EJ390" s="408">
        <v>0</v>
      </c>
      <c r="EK390" s="408">
        <v>0</v>
      </c>
      <c r="EL390" s="408">
        <v>0</v>
      </c>
      <c r="EM390" s="408"/>
      <c r="EN390" s="408"/>
      <c r="EO390" s="408">
        <v>0</v>
      </c>
      <c r="EP390" s="408">
        <v>0</v>
      </c>
      <c r="EQ390" s="408"/>
      <c r="ER390" s="408">
        <v>0</v>
      </c>
      <c r="ES390" s="408"/>
      <c r="ET390" s="408">
        <v>0</v>
      </c>
      <c r="EU390" s="408"/>
      <c r="EV390" s="408">
        <v>240</v>
      </c>
      <c r="EW390" s="408"/>
      <c r="EX390" s="408"/>
      <c r="EY390" s="408"/>
      <c r="EZ390" s="408"/>
      <c r="FA390" s="408">
        <v>0</v>
      </c>
      <c r="FB390" s="408"/>
      <c r="FC390" s="408"/>
      <c r="FD390" s="408"/>
      <c r="FE390" s="408"/>
      <c r="FF390" s="408">
        <v>0</v>
      </c>
      <c r="FG390" s="408">
        <v>0</v>
      </c>
      <c r="FH390" s="408">
        <v>0</v>
      </c>
      <c r="FI390" s="408">
        <v>0</v>
      </c>
    </row>
    <row r="391" spans="1:165">
      <c r="A391" s="408">
        <v>389</v>
      </c>
      <c r="B391" s="408" t="s">
        <v>2238</v>
      </c>
      <c r="C391" s="408" t="s">
        <v>2243</v>
      </c>
      <c r="D391" s="408" t="s">
        <v>597</v>
      </c>
      <c r="E391" s="408" t="s">
        <v>974</v>
      </c>
      <c r="F391" s="408" t="s">
        <v>1322</v>
      </c>
      <c r="G391" s="408" t="s">
        <v>1322</v>
      </c>
      <c r="H391" s="408" t="s">
        <v>1322</v>
      </c>
      <c r="I391" s="408" t="s">
        <v>1322</v>
      </c>
      <c r="J391" s="408" t="s">
        <v>2236</v>
      </c>
      <c r="K391" s="826">
        <v>44531</v>
      </c>
      <c r="L391" s="408">
        <v>146</v>
      </c>
      <c r="M391" s="408">
        <v>140.16</v>
      </c>
      <c r="N391" s="408">
        <v>0</v>
      </c>
      <c r="O391" s="408">
        <v>0</v>
      </c>
      <c r="P391" s="408">
        <v>0</v>
      </c>
      <c r="Q391" s="408">
        <v>0</v>
      </c>
      <c r="R391" s="408">
        <v>27.19</v>
      </c>
      <c r="S391" s="408"/>
      <c r="T391" s="408"/>
      <c r="U391" s="408">
        <v>3969.7400000000002</v>
      </c>
      <c r="V391" s="408"/>
      <c r="W391" s="408">
        <v>3969.7400000000002</v>
      </c>
      <c r="X391" s="408">
        <v>3176.96</v>
      </c>
      <c r="Y391" s="408">
        <v>0</v>
      </c>
      <c r="Z391" s="408">
        <v>0</v>
      </c>
      <c r="AA391" s="408">
        <v>0</v>
      </c>
      <c r="AB391" s="408">
        <v>0</v>
      </c>
      <c r="AC391" s="408">
        <v>34.047289560424346</v>
      </c>
      <c r="AD391" s="408">
        <v>32.709086548081906</v>
      </c>
      <c r="AE391" s="408">
        <v>3494.0764155012866</v>
      </c>
      <c r="AF391" s="408"/>
      <c r="AG391" s="408"/>
      <c r="AH391" s="408"/>
      <c r="AI391" s="408">
        <v>0</v>
      </c>
      <c r="AJ391" s="408">
        <v>0</v>
      </c>
      <c r="AK391" s="408">
        <v>0</v>
      </c>
      <c r="AL391" s="408">
        <v>0</v>
      </c>
      <c r="AM391" s="408"/>
      <c r="AN391" s="408">
        <v>0</v>
      </c>
      <c r="AO391" s="408">
        <v>72.253185339207747</v>
      </c>
      <c r="AP391" s="408">
        <v>336.98097107967754</v>
      </c>
      <c r="AQ391" s="408">
        <v>0</v>
      </c>
      <c r="AR391" s="408">
        <v>0</v>
      </c>
      <c r="AS391" s="408"/>
      <c r="AT391" s="408"/>
      <c r="AU391" s="408">
        <v>0</v>
      </c>
      <c r="AV391" s="408">
        <v>0</v>
      </c>
      <c r="AW391" s="408">
        <v>0</v>
      </c>
      <c r="AX391" s="408"/>
      <c r="AY391" s="408"/>
      <c r="AZ391" s="408">
        <v>0</v>
      </c>
      <c r="BA391" s="408"/>
      <c r="BB391" s="408">
        <v>0</v>
      </c>
      <c r="BC391" s="408">
        <v>0</v>
      </c>
      <c r="BD391" s="408">
        <v>0</v>
      </c>
      <c r="BE391" s="408">
        <v>0</v>
      </c>
      <c r="BF391" s="408"/>
      <c r="BG391" s="408">
        <v>0</v>
      </c>
      <c r="BH391" s="408">
        <v>0</v>
      </c>
      <c r="BI391" s="408">
        <v>14.68</v>
      </c>
      <c r="BJ391" s="408">
        <v>125.9</v>
      </c>
      <c r="BK391" s="408">
        <v>5.76</v>
      </c>
      <c r="BL391" s="408">
        <v>1</v>
      </c>
      <c r="BM391" s="408"/>
      <c r="BN391" s="408"/>
      <c r="BO391" s="408"/>
      <c r="BP391" s="408"/>
      <c r="BQ391" s="408"/>
      <c r="BR391" s="408">
        <v>127.07840000000009</v>
      </c>
      <c r="BS391" s="408"/>
      <c r="BT391" s="408"/>
      <c r="BU391" s="408"/>
      <c r="BV391" s="408">
        <v>0</v>
      </c>
      <c r="BW391" s="408"/>
      <c r="BX391" s="408"/>
      <c r="BY391" s="408"/>
      <c r="BZ391" s="408"/>
      <c r="CA391" s="408"/>
      <c r="CB391" s="408"/>
      <c r="CC391" s="408"/>
      <c r="CD391" s="408"/>
      <c r="CE391" s="408"/>
      <c r="CF391" s="408"/>
      <c r="CG391" s="408"/>
      <c r="CH391" s="408"/>
      <c r="CI391" s="408">
        <v>3049.8816000000002</v>
      </c>
      <c r="CJ391" s="408">
        <v>-761.09880000000067</v>
      </c>
      <c r="CK391" s="408"/>
      <c r="CL391" s="408"/>
      <c r="CM391" s="408"/>
      <c r="CN391" s="408"/>
      <c r="CO391" s="408">
        <v>-792.78</v>
      </c>
      <c r="CP391" s="408">
        <v>0</v>
      </c>
      <c r="CQ391" s="408"/>
      <c r="CR391" s="408">
        <v>74.458830385036322</v>
      </c>
      <c r="CS391" s="408">
        <v>7.1998754820138657</v>
      </c>
      <c r="CT391" s="408">
        <v>33.57943349059849</v>
      </c>
      <c r="CU391" s="408">
        <v>0</v>
      </c>
      <c r="CV391" s="408">
        <v>0</v>
      </c>
      <c r="CW391" s="408"/>
      <c r="CX391" s="408"/>
      <c r="CY391" s="408"/>
      <c r="CZ391" s="408">
        <v>33.679521412423945</v>
      </c>
      <c r="DA391" s="408">
        <v>0</v>
      </c>
      <c r="DB391" s="408">
        <v>0</v>
      </c>
      <c r="DC391" s="408"/>
      <c r="DD391" s="408"/>
      <c r="DE391" s="408">
        <v>0</v>
      </c>
      <c r="DF391" s="408">
        <v>0</v>
      </c>
      <c r="DG391" s="408">
        <v>0</v>
      </c>
      <c r="DH391" s="408">
        <v>0</v>
      </c>
      <c r="DI391" s="408">
        <v>0</v>
      </c>
      <c r="DJ391" s="408"/>
      <c r="DK391" s="408">
        <v>0</v>
      </c>
      <c r="DL391" s="408">
        <v>0</v>
      </c>
      <c r="DM391" s="408"/>
      <c r="DN391" s="408">
        <v>0</v>
      </c>
      <c r="DO391" s="408">
        <v>0</v>
      </c>
      <c r="DP391" s="408">
        <v>0</v>
      </c>
      <c r="DQ391" s="408">
        <v>0</v>
      </c>
      <c r="DR391" s="408">
        <v>0</v>
      </c>
      <c r="DS391" s="408"/>
      <c r="DT391" s="408"/>
      <c r="DU391" s="408">
        <v>3494.0764155012866</v>
      </c>
      <c r="DV391" s="408"/>
      <c r="DW391" s="408">
        <v>0</v>
      </c>
      <c r="DX391" s="408">
        <v>0</v>
      </c>
      <c r="DY391" s="408">
        <v>-792.7800000000002</v>
      </c>
      <c r="DZ391" s="408"/>
      <c r="EA391" s="408">
        <v>0</v>
      </c>
      <c r="EB391" s="408"/>
      <c r="EC391" s="408">
        <v>-867.98785011275959</v>
      </c>
      <c r="ED391" s="408"/>
      <c r="EE391" s="408">
        <v>0</v>
      </c>
      <c r="EF391" s="408">
        <v>0</v>
      </c>
      <c r="EG391" s="408"/>
      <c r="EH391" s="408">
        <v>0</v>
      </c>
      <c r="EI391" s="408">
        <v>0</v>
      </c>
      <c r="EJ391" s="408">
        <v>0</v>
      </c>
      <c r="EK391" s="408">
        <v>0</v>
      </c>
      <c r="EL391" s="408">
        <v>0</v>
      </c>
      <c r="EM391" s="408"/>
      <c r="EN391" s="408"/>
      <c r="EO391" s="408">
        <v>0</v>
      </c>
      <c r="EP391" s="408">
        <v>0</v>
      </c>
      <c r="EQ391" s="408"/>
      <c r="ER391" s="408">
        <v>0</v>
      </c>
      <c r="ES391" s="408"/>
      <c r="ET391" s="408">
        <v>0</v>
      </c>
      <c r="EU391" s="408"/>
      <c r="EV391" s="408">
        <v>240</v>
      </c>
      <c r="EW391" s="408"/>
      <c r="EX391" s="408"/>
      <c r="EY391" s="408"/>
      <c r="EZ391" s="408"/>
      <c r="FA391" s="408">
        <v>0</v>
      </c>
      <c r="FB391" s="408"/>
      <c r="FC391" s="408"/>
      <c r="FD391" s="408"/>
      <c r="FE391" s="408"/>
      <c r="FF391" s="408">
        <v>0</v>
      </c>
      <c r="FG391" s="408">
        <v>0</v>
      </c>
      <c r="FH391" s="408">
        <v>0</v>
      </c>
      <c r="FI391" s="408">
        <v>0</v>
      </c>
    </row>
    <row r="392" spans="1:165">
      <c r="A392" s="408">
        <v>390</v>
      </c>
      <c r="B392" s="408" t="s">
        <v>1036</v>
      </c>
      <c r="C392" s="408" t="s">
        <v>2235</v>
      </c>
      <c r="D392" s="408" t="s">
        <v>1958</v>
      </c>
      <c r="E392" s="408" t="s">
        <v>2246</v>
      </c>
      <c r="F392" s="408" t="s">
        <v>1322</v>
      </c>
      <c r="G392" s="408" t="s">
        <v>1322</v>
      </c>
      <c r="H392" s="408" t="s">
        <v>1322</v>
      </c>
      <c r="I392" s="408" t="s">
        <v>1322</v>
      </c>
      <c r="J392" s="408" t="s">
        <v>2236</v>
      </c>
      <c r="K392" s="826">
        <v>44531</v>
      </c>
      <c r="L392" s="408">
        <v>0</v>
      </c>
      <c r="M392" s="408">
        <v>0</v>
      </c>
      <c r="N392" s="408">
        <v>518.28899999999999</v>
      </c>
      <c r="O392" s="408">
        <v>518.28899999999999</v>
      </c>
      <c r="P392" s="408">
        <v>518.28899999999999</v>
      </c>
      <c r="Q392" s="408">
        <v>518.28899999999999</v>
      </c>
      <c r="R392" s="408"/>
      <c r="S392" s="408">
        <v>368.24</v>
      </c>
      <c r="T392" s="408">
        <v>173.25</v>
      </c>
      <c r="U392" s="408"/>
      <c r="V392" s="408">
        <v>280648.31061000004</v>
      </c>
      <c r="W392" s="408">
        <v>280648.31061000004</v>
      </c>
      <c r="X392" s="408">
        <v>263752.08921000001</v>
      </c>
      <c r="Y392" s="408">
        <v>0</v>
      </c>
      <c r="Z392" s="408">
        <v>31898.191455218483</v>
      </c>
      <c r="AA392" s="408">
        <v>0</v>
      </c>
      <c r="AB392" s="408">
        <v>0</v>
      </c>
      <c r="AC392" s="408">
        <v>1326.5800613067152</v>
      </c>
      <c r="AD392" s="408">
        <v>1274.5459692000004</v>
      </c>
      <c r="AE392" s="408">
        <v>122076.29102472031</v>
      </c>
      <c r="AF392" s="408">
        <v>88285.592159191292</v>
      </c>
      <c r="AG392" s="408">
        <v>1506.7871593106941</v>
      </c>
      <c r="AH392" s="408">
        <v>0</v>
      </c>
      <c r="AI392" s="408">
        <v>0</v>
      </c>
      <c r="AJ392" s="408">
        <v>0</v>
      </c>
      <c r="AK392" s="408">
        <v>0</v>
      </c>
      <c r="AL392" s="408">
        <v>4928.4257934047091</v>
      </c>
      <c r="AM392" s="408"/>
      <c r="AN392" s="408">
        <v>626.01884863033968</v>
      </c>
      <c r="AO392" s="408">
        <v>2816.0691450455452</v>
      </c>
      <c r="AP392" s="408">
        <v>13130.914977216411</v>
      </c>
      <c r="AQ392" s="408">
        <v>0</v>
      </c>
      <c r="AR392" s="408">
        <v>0</v>
      </c>
      <c r="AS392" s="408">
        <v>0</v>
      </c>
      <c r="AT392" s="408">
        <v>0</v>
      </c>
      <c r="AU392" s="408">
        <v>0</v>
      </c>
      <c r="AV392" s="408">
        <v>0</v>
      </c>
      <c r="AW392" s="408">
        <v>0</v>
      </c>
      <c r="AX392" s="408">
        <v>0</v>
      </c>
      <c r="AY392" s="408">
        <v>0</v>
      </c>
      <c r="AZ392" s="408">
        <v>0</v>
      </c>
      <c r="BA392" s="408"/>
      <c r="BB392" s="408">
        <v>0</v>
      </c>
      <c r="BC392" s="408">
        <v>0</v>
      </c>
      <c r="BD392" s="408">
        <v>0</v>
      </c>
      <c r="BE392" s="408">
        <v>0</v>
      </c>
      <c r="BF392" s="408">
        <v>0</v>
      </c>
      <c r="BG392" s="408">
        <v>4633.3957652060735</v>
      </c>
      <c r="BH392" s="408">
        <v>0</v>
      </c>
      <c r="BI392" s="408">
        <v>234.86</v>
      </c>
      <c r="BJ392" s="408">
        <v>2037.53</v>
      </c>
      <c r="BK392" s="408">
        <v>130808.19</v>
      </c>
      <c r="BL392" s="408">
        <v>583</v>
      </c>
      <c r="BM392" s="408"/>
      <c r="BN392" s="408"/>
      <c r="BO392" s="408"/>
      <c r="BP392" s="408"/>
      <c r="BQ392" s="408"/>
      <c r="BR392" s="408"/>
      <c r="BS392" s="408"/>
      <c r="BT392" s="408"/>
      <c r="BU392" s="408"/>
      <c r="BV392" s="408">
        <v>92918.98792439737</v>
      </c>
      <c r="BW392" s="408"/>
      <c r="BX392" s="408"/>
      <c r="BY392" s="408"/>
      <c r="BZ392" s="408"/>
      <c r="CA392" s="408"/>
      <c r="CB392" s="408"/>
      <c r="CC392" s="408"/>
      <c r="CD392" s="408"/>
      <c r="CE392" s="408"/>
      <c r="CF392" s="408"/>
      <c r="CG392" s="408"/>
      <c r="CH392" s="408"/>
      <c r="CI392" s="408">
        <v>263752.59809999994</v>
      </c>
      <c r="CJ392" s="408">
        <v>-16895.742510000127</v>
      </c>
      <c r="CK392" s="408"/>
      <c r="CL392" s="408"/>
      <c r="CM392" s="408"/>
      <c r="CN392" s="408"/>
      <c r="CO392" s="408">
        <v>-28086.080909999997</v>
      </c>
      <c r="CP392" s="408">
        <v>11189.859510000002</v>
      </c>
      <c r="CQ392" s="408"/>
      <c r="CR392" s="408">
        <v>13427.413090012473</v>
      </c>
      <c r="CS392" s="408">
        <v>280.61527111756186</v>
      </c>
      <c r="CT392" s="408">
        <v>1308.4676109022512</v>
      </c>
      <c r="CU392" s="408">
        <v>0</v>
      </c>
      <c r="CV392" s="408">
        <v>0</v>
      </c>
      <c r="CW392" s="408">
        <v>0</v>
      </c>
      <c r="CX392" s="408">
        <v>0</v>
      </c>
      <c r="CY392" s="408">
        <v>0</v>
      </c>
      <c r="CZ392" s="408">
        <v>1312.3600439801085</v>
      </c>
      <c r="DA392" s="408">
        <v>0</v>
      </c>
      <c r="DB392" s="408">
        <v>0</v>
      </c>
      <c r="DC392" s="408">
        <v>11188.596110152415</v>
      </c>
      <c r="DD392" s="408">
        <v>0</v>
      </c>
      <c r="DE392" s="408">
        <v>0</v>
      </c>
      <c r="DF392" s="408">
        <v>0</v>
      </c>
      <c r="DG392" s="408">
        <v>587.19880070471572</v>
      </c>
      <c r="DH392" s="408">
        <v>0</v>
      </c>
      <c r="DI392" s="408">
        <v>-1083.1616429297173</v>
      </c>
      <c r="DJ392" s="408"/>
      <c r="DK392" s="408">
        <v>0</v>
      </c>
      <c r="DL392" s="408">
        <v>0</v>
      </c>
      <c r="DM392" s="408">
        <v>0</v>
      </c>
      <c r="DN392" s="408">
        <v>0</v>
      </c>
      <c r="DO392" s="408">
        <v>-148.95213555972532</v>
      </c>
      <c r="DP392" s="408">
        <v>-17.710968355131399</v>
      </c>
      <c r="DQ392" s="408">
        <v>0</v>
      </c>
      <c r="DR392" s="408">
        <v>0</v>
      </c>
      <c r="DS392" s="408"/>
      <c r="DT392" s="408"/>
      <c r="DU392" s="408"/>
      <c r="DV392" s="408">
        <v>122076.29102472031</v>
      </c>
      <c r="DW392" s="408">
        <v>0</v>
      </c>
      <c r="DX392" s="408">
        <v>0</v>
      </c>
      <c r="DY392" s="408">
        <v>-28086.080910000019</v>
      </c>
      <c r="DZ392" s="408">
        <v>11189.859509999995</v>
      </c>
      <c r="EA392" s="408">
        <v>0</v>
      </c>
      <c r="EB392" s="408">
        <v>0</v>
      </c>
      <c r="EC392" s="408">
        <v>-30325.821417699612</v>
      </c>
      <c r="ED392" s="408">
        <v>0</v>
      </c>
      <c r="EE392" s="408">
        <v>0</v>
      </c>
      <c r="EF392" s="408">
        <v>0</v>
      </c>
      <c r="EG392" s="408">
        <v>0</v>
      </c>
      <c r="EH392" s="408">
        <v>0</v>
      </c>
      <c r="EI392" s="408">
        <v>0</v>
      </c>
      <c r="EJ392" s="408">
        <v>0</v>
      </c>
      <c r="EK392" s="408">
        <v>0</v>
      </c>
      <c r="EL392" s="408">
        <v>0</v>
      </c>
      <c r="EM392" s="408">
        <v>0</v>
      </c>
      <c r="EN392" s="408">
        <v>0</v>
      </c>
      <c r="EO392" s="408">
        <v>0</v>
      </c>
      <c r="EP392" s="408">
        <v>8146.2291911127759</v>
      </c>
      <c r="EQ392" s="408">
        <v>0</v>
      </c>
      <c r="ER392" s="408">
        <v>0</v>
      </c>
      <c r="ES392" s="408">
        <v>0</v>
      </c>
      <c r="ET392" s="408">
        <v>0</v>
      </c>
      <c r="EU392" s="408">
        <v>0</v>
      </c>
      <c r="EV392" s="408">
        <v>240</v>
      </c>
      <c r="EW392" s="408">
        <v>0</v>
      </c>
      <c r="EX392" s="408">
        <v>0</v>
      </c>
      <c r="EY392" s="408">
        <v>0</v>
      </c>
      <c r="EZ392" s="408"/>
      <c r="FA392" s="408">
        <v>0</v>
      </c>
      <c r="FB392" s="408"/>
      <c r="FC392" s="408"/>
      <c r="FD392" s="408"/>
      <c r="FE392" s="408"/>
      <c r="FF392" s="408">
        <v>0</v>
      </c>
      <c r="FG392" s="408">
        <v>0</v>
      </c>
      <c r="FH392" s="408">
        <v>0</v>
      </c>
      <c r="FI392" s="408">
        <v>0</v>
      </c>
    </row>
    <row r="393" spans="1:165">
      <c r="A393" s="408">
        <v>391</v>
      </c>
      <c r="B393" s="408" t="s">
        <v>2238</v>
      </c>
      <c r="C393" s="408" t="s">
        <v>2235</v>
      </c>
      <c r="D393" s="408" t="s">
        <v>1958</v>
      </c>
      <c r="E393" s="408" t="s">
        <v>2246</v>
      </c>
      <c r="F393" s="408" t="s">
        <v>1322</v>
      </c>
      <c r="G393" s="408" t="s">
        <v>1322</v>
      </c>
      <c r="H393" s="408" t="s">
        <v>1322</v>
      </c>
      <c r="I393" s="408" t="s">
        <v>1322</v>
      </c>
      <c r="J393" s="408" t="s">
        <v>2236</v>
      </c>
      <c r="K393" s="826">
        <v>44531</v>
      </c>
      <c r="L393" s="408">
        <v>0</v>
      </c>
      <c r="M393" s="408">
        <v>0</v>
      </c>
      <c r="N393" s="408">
        <v>2.3860000000000001</v>
      </c>
      <c r="O393" s="408">
        <v>2.3860000000000001</v>
      </c>
      <c r="P393" s="408">
        <v>2.3860000000000001</v>
      </c>
      <c r="Q393" s="408">
        <v>2.3860000000000001</v>
      </c>
      <c r="R393" s="408"/>
      <c r="S393" s="408">
        <v>368.24</v>
      </c>
      <c r="T393" s="408">
        <v>173.25</v>
      </c>
      <c r="U393" s="408"/>
      <c r="V393" s="408">
        <v>1291.99514</v>
      </c>
      <c r="W393" s="408">
        <v>1291.99514</v>
      </c>
      <c r="X393" s="408">
        <v>1214.21154</v>
      </c>
      <c r="Y393" s="408">
        <v>0</v>
      </c>
      <c r="Z393" s="408">
        <v>146.84680711369779</v>
      </c>
      <c r="AA393" s="408">
        <v>0</v>
      </c>
      <c r="AB393" s="408">
        <v>0</v>
      </c>
      <c r="AC393" s="408">
        <v>6.1070561526056366</v>
      </c>
      <c r="AD393" s="408">
        <v>5.8675115283388246</v>
      </c>
      <c r="AE393" s="408">
        <v>561.99153442381123</v>
      </c>
      <c r="AF393" s="408">
        <v>406.43236281655686</v>
      </c>
      <c r="AG393" s="408">
        <v>6.9366592038714234</v>
      </c>
      <c r="AH393" s="408">
        <v>0</v>
      </c>
      <c r="AI393" s="408">
        <v>0</v>
      </c>
      <c r="AJ393" s="408">
        <v>0</v>
      </c>
      <c r="AK393" s="408">
        <v>0</v>
      </c>
      <c r="AL393" s="408">
        <v>22.688546241698429</v>
      </c>
      <c r="AM393" s="408"/>
      <c r="AN393" s="408">
        <v>2.8819461204694496</v>
      </c>
      <c r="AO393" s="408">
        <v>12.964081776921121</v>
      </c>
      <c r="AP393" s="408">
        <v>60.449600774159514</v>
      </c>
      <c r="AQ393" s="408">
        <v>0</v>
      </c>
      <c r="AR393" s="408">
        <v>0</v>
      </c>
      <c r="AS393" s="408">
        <v>0</v>
      </c>
      <c r="AT393" s="408">
        <v>0</v>
      </c>
      <c r="AU393" s="408">
        <v>0</v>
      </c>
      <c r="AV393" s="408">
        <v>0</v>
      </c>
      <c r="AW393" s="408">
        <v>0</v>
      </c>
      <c r="AX393" s="408">
        <v>0</v>
      </c>
      <c r="AY393" s="408">
        <v>0</v>
      </c>
      <c r="AZ393" s="408">
        <v>0</v>
      </c>
      <c r="BA393" s="408"/>
      <c r="BB393" s="408">
        <v>0</v>
      </c>
      <c r="BC393" s="408">
        <v>0</v>
      </c>
      <c r="BD393" s="408">
        <v>0</v>
      </c>
      <c r="BE393" s="408">
        <v>0</v>
      </c>
      <c r="BF393" s="408">
        <v>0</v>
      </c>
      <c r="BG393" s="408">
        <v>21.330343294535851</v>
      </c>
      <c r="BH393" s="408">
        <v>0</v>
      </c>
      <c r="BI393" s="408">
        <v>1.08</v>
      </c>
      <c r="BJ393" s="408">
        <v>9.3800000000000008</v>
      </c>
      <c r="BK393" s="408">
        <v>768.02</v>
      </c>
      <c r="BL393" s="408">
        <v>2</v>
      </c>
      <c r="BM393" s="408"/>
      <c r="BN393" s="408"/>
      <c r="BO393" s="408"/>
      <c r="BP393" s="408"/>
      <c r="BQ393" s="408"/>
      <c r="BR393" s="408"/>
      <c r="BS393" s="408"/>
      <c r="BT393" s="408"/>
      <c r="BU393" s="408"/>
      <c r="BV393" s="408">
        <v>427.76270611109271</v>
      </c>
      <c r="BW393" s="408"/>
      <c r="BX393" s="408"/>
      <c r="BY393" s="408"/>
      <c r="BZ393" s="408"/>
      <c r="CA393" s="408"/>
      <c r="CB393" s="408"/>
      <c r="CC393" s="408"/>
      <c r="CD393" s="408"/>
      <c r="CE393" s="408"/>
      <c r="CF393" s="408"/>
      <c r="CG393" s="408"/>
      <c r="CH393" s="408"/>
      <c r="CI393" s="408">
        <v>1216.2471</v>
      </c>
      <c r="CJ393" s="408">
        <v>-75.778039999999919</v>
      </c>
      <c r="CK393" s="408"/>
      <c r="CL393" s="408"/>
      <c r="CM393" s="408"/>
      <c r="CN393" s="408"/>
      <c r="CO393" s="408">
        <v>-129.29733999999999</v>
      </c>
      <c r="CP393" s="408">
        <v>51.513740000000013</v>
      </c>
      <c r="CQ393" s="408"/>
      <c r="CR393" s="408">
        <v>61.814562209056476</v>
      </c>
      <c r="CS393" s="408">
        <v>1.2918430390892013</v>
      </c>
      <c r="CT393" s="408">
        <v>6.0236735095916956</v>
      </c>
      <c r="CU393" s="408">
        <v>0</v>
      </c>
      <c r="CV393" s="408">
        <v>0</v>
      </c>
      <c r="CW393" s="408">
        <v>0</v>
      </c>
      <c r="CX393" s="408">
        <v>0</v>
      </c>
      <c r="CY393" s="408">
        <v>0</v>
      </c>
      <c r="CZ393" s="408">
        <v>6.041592750254277</v>
      </c>
      <c r="DA393" s="408">
        <v>0</v>
      </c>
      <c r="DB393" s="408">
        <v>0</v>
      </c>
      <c r="DC393" s="408">
        <v>51.507923800859487</v>
      </c>
      <c r="DD393" s="408">
        <v>0</v>
      </c>
      <c r="DE393" s="408">
        <v>0</v>
      </c>
      <c r="DF393" s="408">
        <v>0</v>
      </c>
      <c r="DG393" s="408">
        <v>2.7032337913431554</v>
      </c>
      <c r="DH393" s="408">
        <v>0</v>
      </c>
      <c r="DI393" s="408">
        <v>-4.9864528863825228</v>
      </c>
      <c r="DJ393" s="408"/>
      <c r="DK393" s="408">
        <v>0</v>
      </c>
      <c r="DL393" s="408">
        <v>0</v>
      </c>
      <c r="DM393" s="408">
        <v>0</v>
      </c>
      <c r="DN393" s="408">
        <v>0</v>
      </c>
      <c r="DO393" s="408">
        <v>-0.68571741913392614</v>
      </c>
      <c r="DP393" s="408">
        <v>-8.1534376564703415E-2</v>
      </c>
      <c r="DQ393" s="408">
        <v>0</v>
      </c>
      <c r="DR393" s="408">
        <v>0</v>
      </c>
      <c r="DS393" s="408"/>
      <c r="DT393" s="408"/>
      <c r="DU393" s="408"/>
      <c r="DV393" s="408">
        <v>561.99153442381123</v>
      </c>
      <c r="DW393" s="408">
        <v>0</v>
      </c>
      <c r="DX393" s="408">
        <v>0</v>
      </c>
      <c r="DY393" s="408">
        <v>-129.29734000000008</v>
      </c>
      <c r="DZ393" s="408">
        <v>51.513740000000041</v>
      </c>
      <c r="EA393" s="408">
        <v>0</v>
      </c>
      <c r="EB393" s="408">
        <v>0</v>
      </c>
      <c r="EC393" s="408">
        <v>-139.6082299694404</v>
      </c>
      <c r="ED393" s="408">
        <v>0</v>
      </c>
      <c r="EE393" s="408">
        <v>0</v>
      </c>
      <c r="EF393" s="408">
        <v>0</v>
      </c>
      <c r="EG393" s="408">
        <v>0</v>
      </c>
      <c r="EH393" s="408">
        <v>0</v>
      </c>
      <c r="EI393" s="408">
        <v>0</v>
      </c>
      <c r="EJ393" s="408">
        <v>0</v>
      </c>
      <c r="EK393" s="408">
        <v>0</v>
      </c>
      <c r="EL393" s="408">
        <v>0</v>
      </c>
      <c r="EM393" s="408">
        <v>0</v>
      </c>
      <c r="EN393" s="408">
        <v>0</v>
      </c>
      <c r="EO393" s="408">
        <v>0</v>
      </c>
      <c r="EP393" s="408">
        <v>37.502055513420281</v>
      </c>
      <c r="EQ393" s="408">
        <v>0</v>
      </c>
      <c r="ER393" s="408">
        <v>0</v>
      </c>
      <c r="ES393" s="408">
        <v>0</v>
      </c>
      <c r="ET393" s="408">
        <v>0</v>
      </c>
      <c r="EU393" s="408">
        <v>0</v>
      </c>
      <c r="EV393" s="408">
        <v>240</v>
      </c>
      <c r="EW393" s="408">
        <v>0</v>
      </c>
      <c r="EX393" s="408">
        <v>0</v>
      </c>
      <c r="EY393" s="408">
        <v>0</v>
      </c>
      <c r="EZ393" s="408"/>
      <c r="FA393" s="408">
        <v>0</v>
      </c>
      <c r="FB393" s="408"/>
      <c r="FC393" s="408"/>
      <c r="FD393" s="408"/>
      <c r="FE393" s="408"/>
      <c r="FF393" s="408">
        <v>0</v>
      </c>
      <c r="FG393" s="408">
        <v>0</v>
      </c>
      <c r="FH393" s="408">
        <v>0</v>
      </c>
      <c r="FI393" s="408">
        <v>0</v>
      </c>
    </row>
    <row r="394" spans="1:165">
      <c r="A394" s="408">
        <v>392</v>
      </c>
      <c r="B394" s="408" t="s">
        <v>1036</v>
      </c>
      <c r="C394" s="408" t="s">
        <v>2243</v>
      </c>
      <c r="D394" s="408" t="s">
        <v>597</v>
      </c>
      <c r="E394" s="408" t="s">
        <v>2246</v>
      </c>
      <c r="F394" s="408" t="s">
        <v>1322</v>
      </c>
      <c r="G394" s="408" t="s">
        <v>1322</v>
      </c>
      <c r="H394" s="408" t="s">
        <v>1322</v>
      </c>
      <c r="I394" s="408" t="s">
        <v>973</v>
      </c>
      <c r="J394" s="408" t="s">
        <v>2236</v>
      </c>
      <c r="K394" s="826">
        <v>44531</v>
      </c>
      <c r="L394" s="408">
        <v>0</v>
      </c>
      <c r="M394" s="408">
        <v>0</v>
      </c>
      <c r="N394" s="408">
        <v>5.0830000000000002</v>
      </c>
      <c r="O394" s="408">
        <v>5.0830000000000002</v>
      </c>
      <c r="P394" s="408">
        <v>5.0830000000000002</v>
      </c>
      <c r="Q394" s="408">
        <v>5.0830000000000002</v>
      </c>
      <c r="R394" s="408"/>
      <c r="S394" s="408">
        <v>1358.36</v>
      </c>
      <c r="T394" s="408">
        <v>173.25</v>
      </c>
      <c r="U394" s="408"/>
      <c r="V394" s="408">
        <v>7785.1736300000002</v>
      </c>
      <c r="W394" s="408">
        <v>7785.1736300000002</v>
      </c>
      <c r="X394" s="408">
        <v>6826.0623599999999</v>
      </c>
      <c r="Y394" s="408">
        <v>0</v>
      </c>
      <c r="Z394" s="408">
        <v>272.16572459608756</v>
      </c>
      <c r="AA394" s="408">
        <v>0</v>
      </c>
      <c r="AB394" s="408">
        <v>0</v>
      </c>
      <c r="AC394" s="408">
        <v>96.282635009536094</v>
      </c>
      <c r="AD394" s="408">
        <v>92.506307378872378</v>
      </c>
      <c r="AE394" s="408">
        <v>5126.2447244962295</v>
      </c>
      <c r="AF394" s="408">
        <v>865.84061198514598</v>
      </c>
      <c r="AG394" s="408">
        <v>14.777468035741176</v>
      </c>
      <c r="AH394" s="408">
        <v>0</v>
      </c>
      <c r="AI394" s="408">
        <v>0</v>
      </c>
      <c r="AJ394" s="408">
        <v>0</v>
      </c>
      <c r="AK394" s="408">
        <v>0</v>
      </c>
      <c r="AL394" s="408">
        <v>48.334400899645061</v>
      </c>
      <c r="AM394" s="408"/>
      <c r="AN394" s="408">
        <v>4.0705366843445114</v>
      </c>
      <c r="AO394" s="408">
        <v>204.39160920900139</v>
      </c>
      <c r="AP394" s="408">
        <v>953.04268229046284</v>
      </c>
      <c r="AQ394" s="408">
        <v>0</v>
      </c>
      <c r="AR394" s="408">
        <v>0</v>
      </c>
      <c r="AS394" s="408">
        <v>0</v>
      </c>
      <c r="AT394" s="408">
        <v>0</v>
      </c>
      <c r="AU394" s="408">
        <v>0</v>
      </c>
      <c r="AV394" s="408">
        <v>0</v>
      </c>
      <c r="AW394" s="408">
        <v>0</v>
      </c>
      <c r="AX394" s="408">
        <v>0</v>
      </c>
      <c r="AY394" s="408">
        <v>0</v>
      </c>
      <c r="AZ394" s="408">
        <v>0</v>
      </c>
      <c r="BA394" s="408"/>
      <c r="BB394" s="408">
        <v>0</v>
      </c>
      <c r="BC394" s="408">
        <v>0</v>
      </c>
      <c r="BD394" s="408">
        <v>0</v>
      </c>
      <c r="BE394" s="408">
        <v>0</v>
      </c>
      <c r="BF394" s="408">
        <v>0</v>
      </c>
      <c r="BG394" s="408">
        <v>38.014011411415026</v>
      </c>
      <c r="BH394" s="408">
        <v>0</v>
      </c>
      <c r="BI394" s="408">
        <v>0</v>
      </c>
      <c r="BJ394" s="408">
        <v>0</v>
      </c>
      <c r="BK394" s="408">
        <v>0</v>
      </c>
      <c r="BL394" s="408">
        <v>0</v>
      </c>
      <c r="BM394" s="408"/>
      <c r="BN394" s="408"/>
      <c r="BO394" s="408"/>
      <c r="BP394" s="408"/>
      <c r="BQ394" s="408"/>
      <c r="BR394" s="408"/>
      <c r="BS394" s="408"/>
      <c r="BT394" s="408"/>
      <c r="BU394" s="408"/>
      <c r="BV394" s="408">
        <v>903.85462339656101</v>
      </c>
      <c r="BW394" s="408"/>
      <c r="BX394" s="408"/>
      <c r="BY394" s="408"/>
      <c r="BZ394" s="408"/>
      <c r="CA394" s="408"/>
      <c r="CB394" s="408"/>
      <c r="CC394" s="408"/>
      <c r="CD394" s="408"/>
      <c r="CE394" s="408"/>
      <c r="CF394" s="408"/>
      <c r="CG394" s="408"/>
      <c r="CH394" s="408"/>
      <c r="CI394" s="408">
        <v>6822.0335999999998</v>
      </c>
      <c r="CJ394" s="408">
        <v>-963.17003000000113</v>
      </c>
      <c r="CK394" s="408"/>
      <c r="CL394" s="408"/>
      <c r="CM394" s="408"/>
      <c r="CN394" s="408"/>
      <c r="CO394" s="408">
        <v>-1068.8532399999999</v>
      </c>
      <c r="CP394" s="408">
        <v>109.74197000000002</v>
      </c>
      <c r="CQ394" s="408"/>
      <c r="CR394" s="408">
        <v>314.31600255538524</v>
      </c>
      <c r="CS394" s="408">
        <v>20.367186982338922</v>
      </c>
      <c r="CT394" s="408">
        <v>94.968666216193697</v>
      </c>
      <c r="CU394" s="408">
        <v>0</v>
      </c>
      <c r="CV394" s="408">
        <v>0</v>
      </c>
      <c r="CW394" s="408">
        <v>0</v>
      </c>
      <c r="CX394" s="408">
        <v>0</v>
      </c>
      <c r="CY394" s="408">
        <v>0</v>
      </c>
      <c r="CZ394" s="408">
        <v>95.250845833653983</v>
      </c>
      <c r="DA394" s="408">
        <v>0</v>
      </c>
      <c r="DB394" s="408">
        <v>0</v>
      </c>
      <c r="DC394" s="408">
        <v>109.72957949696934</v>
      </c>
      <c r="DD394" s="408">
        <v>0</v>
      </c>
      <c r="DE394" s="408">
        <v>0</v>
      </c>
      <c r="DF394" s="408">
        <v>0</v>
      </c>
      <c r="DG394" s="408">
        <v>4.8175858575216495</v>
      </c>
      <c r="DH394" s="408">
        <v>0</v>
      </c>
      <c r="DI394" s="408">
        <v>-9.2418867639099744</v>
      </c>
      <c r="DJ394" s="408"/>
      <c r="DK394" s="408">
        <v>0</v>
      </c>
      <c r="DL394" s="408">
        <v>0</v>
      </c>
      <c r="DM394" s="408">
        <v>0</v>
      </c>
      <c r="DN394" s="408">
        <v>0</v>
      </c>
      <c r="DO394" s="408">
        <v>-1.4608137642320855</v>
      </c>
      <c r="DP394" s="408">
        <v>-0.11516130315015527</v>
      </c>
      <c r="DQ394" s="408">
        <v>0</v>
      </c>
      <c r="DR394" s="408">
        <v>0</v>
      </c>
      <c r="DS394" s="408"/>
      <c r="DT394" s="408"/>
      <c r="DU394" s="408"/>
      <c r="DV394" s="408">
        <v>5126.2447244962295</v>
      </c>
      <c r="DW394" s="408">
        <v>0</v>
      </c>
      <c r="DX394" s="408">
        <v>0</v>
      </c>
      <c r="DY394" s="408">
        <v>-1068.8532400000004</v>
      </c>
      <c r="DZ394" s="408">
        <v>109.74197000000004</v>
      </c>
      <c r="EA394" s="408">
        <v>0</v>
      </c>
      <c r="EB394" s="408">
        <v>0</v>
      </c>
      <c r="EC394" s="408">
        <v>-1273.4461438299841</v>
      </c>
      <c r="ED394" s="408">
        <v>0</v>
      </c>
      <c r="EE394" s="408">
        <v>0</v>
      </c>
      <c r="EF394" s="408">
        <v>0</v>
      </c>
      <c r="EG394" s="408">
        <v>0</v>
      </c>
      <c r="EH394" s="408">
        <v>0</v>
      </c>
      <c r="EI394" s="408">
        <v>0</v>
      </c>
      <c r="EJ394" s="408">
        <v>0</v>
      </c>
      <c r="EK394" s="408">
        <v>0</v>
      </c>
      <c r="EL394" s="408">
        <v>0</v>
      </c>
      <c r="EM394" s="408">
        <v>0</v>
      </c>
      <c r="EN394" s="408">
        <v>0</v>
      </c>
      <c r="EO394" s="408">
        <v>0</v>
      </c>
      <c r="EP394" s="408">
        <v>69.506271966472198</v>
      </c>
      <c r="EQ394" s="408">
        <v>0</v>
      </c>
      <c r="ER394" s="408">
        <v>0</v>
      </c>
      <c r="ES394" s="408">
        <v>0</v>
      </c>
      <c r="ET394" s="408">
        <v>0</v>
      </c>
      <c r="EU394" s="408">
        <v>0</v>
      </c>
      <c r="EV394" s="408">
        <v>240</v>
      </c>
      <c r="EW394" s="408">
        <v>0</v>
      </c>
      <c r="EX394" s="408">
        <v>0</v>
      </c>
      <c r="EY394" s="408">
        <v>0</v>
      </c>
      <c r="EZ394" s="408"/>
      <c r="FA394" s="408">
        <v>0</v>
      </c>
      <c r="FB394" s="408"/>
      <c r="FC394" s="408"/>
      <c r="FD394" s="408"/>
      <c r="FE394" s="408"/>
      <c r="FF394" s="408">
        <v>0</v>
      </c>
      <c r="FG394" s="408">
        <v>0</v>
      </c>
      <c r="FH394" s="408">
        <v>0</v>
      </c>
      <c r="FI394" s="408">
        <v>0</v>
      </c>
    </row>
    <row r="395" spans="1:165">
      <c r="A395" s="408">
        <v>393</v>
      </c>
      <c r="B395" s="408" t="s">
        <v>2238</v>
      </c>
      <c r="C395" s="408" t="s">
        <v>2243</v>
      </c>
      <c r="D395" s="408" t="s">
        <v>597</v>
      </c>
      <c r="E395" s="408" t="s">
        <v>2246</v>
      </c>
      <c r="F395" s="408" t="s">
        <v>1322</v>
      </c>
      <c r="G395" s="408" t="s">
        <v>1322</v>
      </c>
      <c r="H395" s="408" t="s">
        <v>1322</v>
      </c>
      <c r="I395" s="408" t="s">
        <v>973</v>
      </c>
      <c r="J395" s="408" t="s">
        <v>2236</v>
      </c>
      <c r="K395" s="826">
        <v>44531</v>
      </c>
      <c r="L395" s="408">
        <v>0</v>
      </c>
      <c r="M395" s="408">
        <v>0</v>
      </c>
      <c r="N395" s="408">
        <v>0.03</v>
      </c>
      <c r="O395" s="408">
        <v>0.03</v>
      </c>
      <c r="P395" s="408">
        <v>0.03</v>
      </c>
      <c r="Q395" s="408">
        <v>0.03</v>
      </c>
      <c r="R395" s="408"/>
      <c r="S395" s="408">
        <v>1358.36</v>
      </c>
      <c r="T395" s="408">
        <v>173.25</v>
      </c>
      <c r="U395" s="408"/>
      <c r="V395" s="408">
        <v>45.948299999999996</v>
      </c>
      <c r="W395" s="408">
        <v>45.948299999999996</v>
      </c>
      <c r="X395" s="408">
        <v>40.287599999999998</v>
      </c>
      <c r="Y395" s="408">
        <v>0</v>
      </c>
      <c r="Z395" s="408">
        <v>1.6063292815035659</v>
      </c>
      <c r="AA395" s="408">
        <v>0</v>
      </c>
      <c r="AB395" s="408">
        <v>0</v>
      </c>
      <c r="AC395" s="408">
        <v>0.56826265006611898</v>
      </c>
      <c r="AD395" s="408">
        <v>0.54597466483694101</v>
      </c>
      <c r="AE395" s="408">
        <v>30.255231504010798</v>
      </c>
      <c r="AF395" s="408">
        <v>5.1102141175593898</v>
      </c>
      <c r="AG395" s="408">
        <v>8.7217005916237503E-2</v>
      </c>
      <c r="AH395" s="408">
        <v>0</v>
      </c>
      <c r="AI395" s="408">
        <v>0</v>
      </c>
      <c r="AJ395" s="408">
        <v>0</v>
      </c>
      <c r="AK395" s="408">
        <v>0</v>
      </c>
      <c r="AL395" s="408">
        <v>0.28527090831976226</v>
      </c>
      <c r="AM395" s="408"/>
      <c r="AN395" s="408">
        <v>2.4024414820054168E-2</v>
      </c>
      <c r="AO395" s="408">
        <v>1.2063246658016999</v>
      </c>
      <c r="AP395" s="408">
        <v>5.6248830353558699</v>
      </c>
      <c r="AQ395" s="408">
        <v>0</v>
      </c>
      <c r="AR395" s="408">
        <v>0</v>
      </c>
      <c r="AS395" s="408">
        <v>0</v>
      </c>
      <c r="AT395" s="408">
        <v>0</v>
      </c>
      <c r="AU395" s="408">
        <v>0</v>
      </c>
      <c r="AV395" s="408">
        <v>0</v>
      </c>
      <c r="AW395" s="408">
        <v>0</v>
      </c>
      <c r="AX395" s="408">
        <v>0</v>
      </c>
      <c r="AY395" s="408">
        <v>0</v>
      </c>
      <c r="AZ395" s="408">
        <v>0</v>
      </c>
      <c r="BA395" s="408"/>
      <c r="BB395" s="408">
        <v>0</v>
      </c>
      <c r="BC395" s="408">
        <v>0</v>
      </c>
      <c r="BD395" s="408">
        <v>0</v>
      </c>
      <c r="BE395" s="408">
        <v>0</v>
      </c>
      <c r="BF395" s="408">
        <v>0</v>
      </c>
      <c r="BG395" s="408">
        <v>0.22435969749015358</v>
      </c>
      <c r="BH395" s="408">
        <v>0</v>
      </c>
      <c r="BI395" s="408">
        <v>0</v>
      </c>
      <c r="BJ395" s="408">
        <v>0</v>
      </c>
      <c r="BK395" s="408">
        <v>0</v>
      </c>
      <c r="BL395" s="408">
        <v>0</v>
      </c>
      <c r="BM395" s="408"/>
      <c r="BN395" s="408"/>
      <c r="BO395" s="408"/>
      <c r="BP395" s="408"/>
      <c r="BQ395" s="408"/>
      <c r="BR395" s="408"/>
      <c r="BS395" s="408"/>
      <c r="BT395" s="408"/>
      <c r="BU395" s="408"/>
      <c r="BV395" s="408">
        <v>5.3345738150495432</v>
      </c>
      <c r="BW395" s="408"/>
      <c r="BX395" s="408"/>
      <c r="BY395" s="408"/>
      <c r="BZ395" s="408"/>
      <c r="CA395" s="408"/>
      <c r="CB395" s="408"/>
      <c r="CC395" s="408"/>
      <c r="CD395" s="408"/>
      <c r="CE395" s="408"/>
      <c r="CF395" s="408"/>
      <c r="CG395" s="408"/>
      <c r="CH395" s="408"/>
      <c r="CI395" s="408">
        <v>40.287599999999998</v>
      </c>
      <c r="CJ395" s="408">
        <v>-5.6906999999999925</v>
      </c>
      <c r="CK395" s="408"/>
      <c r="CL395" s="408"/>
      <c r="CM395" s="408"/>
      <c r="CN395" s="408"/>
      <c r="CO395" s="408">
        <v>-6.3083999999999989</v>
      </c>
      <c r="CP395" s="408">
        <v>0.64770000000000005</v>
      </c>
      <c r="CQ395" s="408"/>
      <c r="CR395" s="408">
        <v>1.8551013332011692</v>
      </c>
      <c r="CS395" s="408">
        <v>0.12020767449737702</v>
      </c>
      <c r="CT395" s="408">
        <v>0.56050757160846043</v>
      </c>
      <c r="CU395" s="408">
        <v>0</v>
      </c>
      <c r="CV395" s="408">
        <v>0</v>
      </c>
      <c r="CW395" s="408">
        <v>0</v>
      </c>
      <c r="CX395" s="408">
        <v>0</v>
      </c>
      <c r="CY395" s="408">
        <v>0</v>
      </c>
      <c r="CZ395" s="408">
        <v>0.56217300314963992</v>
      </c>
      <c r="DA395" s="408">
        <v>0</v>
      </c>
      <c r="DB395" s="408">
        <v>0</v>
      </c>
      <c r="DC395" s="408">
        <v>0.64762687092447013</v>
      </c>
      <c r="DD395" s="408">
        <v>0</v>
      </c>
      <c r="DE395" s="408">
        <v>0</v>
      </c>
      <c r="DF395" s="408">
        <v>0</v>
      </c>
      <c r="DG395" s="408">
        <v>2.8433518734143154E-2</v>
      </c>
      <c r="DH395" s="408">
        <v>0</v>
      </c>
      <c r="DI395" s="408">
        <v>-5.4545859318767986E-2</v>
      </c>
      <c r="DJ395" s="408"/>
      <c r="DK395" s="408">
        <v>0</v>
      </c>
      <c r="DL395" s="408">
        <v>0</v>
      </c>
      <c r="DM395" s="408">
        <v>0</v>
      </c>
      <c r="DN395" s="408">
        <v>0</v>
      </c>
      <c r="DO395" s="408">
        <v>-8.6217613470317422E-3</v>
      </c>
      <c r="DP395" s="408">
        <v>-6.796850471187596E-4</v>
      </c>
      <c r="DQ395" s="408">
        <v>0</v>
      </c>
      <c r="DR395" s="408">
        <v>0</v>
      </c>
      <c r="DS395" s="408"/>
      <c r="DT395" s="408"/>
      <c r="DU395" s="408"/>
      <c r="DV395" s="408">
        <v>30.255231504010798</v>
      </c>
      <c r="DW395" s="408">
        <v>0</v>
      </c>
      <c r="DX395" s="408">
        <v>0</v>
      </c>
      <c r="DY395" s="408">
        <v>-6.3083999999999989</v>
      </c>
      <c r="DZ395" s="408">
        <v>0.64770000000000039</v>
      </c>
      <c r="EA395" s="408">
        <v>0</v>
      </c>
      <c r="EB395" s="408">
        <v>0</v>
      </c>
      <c r="EC395" s="408">
        <v>-7.5159127119613487</v>
      </c>
      <c r="ED395" s="408">
        <v>0</v>
      </c>
      <c r="EE395" s="408">
        <v>0</v>
      </c>
      <c r="EF395" s="408">
        <v>0</v>
      </c>
      <c r="EG395" s="408">
        <v>0</v>
      </c>
      <c r="EH395" s="408">
        <v>0</v>
      </c>
      <c r="EI395" s="408">
        <v>0</v>
      </c>
      <c r="EJ395" s="408">
        <v>0</v>
      </c>
      <c r="EK395" s="408">
        <v>0</v>
      </c>
      <c r="EL395" s="408">
        <v>0</v>
      </c>
      <c r="EM395" s="408">
        <v>0</v>
      </c>
      <c r="EN395" s="408">
        <v>0</v>
      </c>
      <c r="EO395" s="408">
        <v>0</v>
      </c>
      <c r="EP395" s="408">
        <v>0.41022784949718</v>
      </c>
      <c r="EQ395" s="408">
        <v>0</v>
      </c>
      <c r="ER395" s="408">
        <v>0</v>
      </c>
      <c r="ES395" s="408">
        <v>0</v>
      </c>
      <c r="ET395" s="408">
        <v>0</v>
      </c>
      <c r="EU395" s="408">
        <v>0</v>
      </c>
      <c r="EV395" s="408">
        <v>240</v>
      </c>
      <c r="EW395" s="408">
        <v>0</v>
      </c>
      <c r="EX395" s="408">
        <v>0</v>
      </c>
      <c r="EY395" s="408">
        <v>0</v>
      </c>
      <c r="EZ395" s="408"/>
      <c r="FA395" s="408">
        <v>0</v>
      </c>
      <c r="FB395" s="408"/>
      <c r="FC395" s="408"/>
      <c r="FD395" s="408"/>
      <c r="FE395" s="408"/>
      <c r="FF395" s="408">
        <v>0</v>
      </c>
      <c r="FG395" s="408">
        <v>0</v>
      </c>
      <c r="FH395" s="408">
        <v>0</v>
      </c>
      <c r="FI395" s="408">
        <v>0</v>
      </c>
    </row>
    <row r="396" spans="1:165">
      <c r="A396" s="408">
        <v>394</v>
      </c>
      <c r="B396" s="408" t="s">
        <v>1036</v>
      </c>
      <c r="C396" s="408" t="s">
        <v>2243</v>
      </c>
      <c r="D396" s="408" t="s">
        <v>597</v>
      </c>
      <c r="E396" s="408" t="s">
        <v>2246</v>
      </c>
      <c r="F396" s="408" t="s">
        <v>1322</v>
      </c>
      <c r="G396" s="408" t="s">
        <v>1322</v>
      </c>
      <c r="H396" s="408" t="s">
        <v>1322</v>
      </c>
      <c r="I396" s="408" t="s">
        <v>2244</v>
      </c>
      <c r="J396" s="408" t="s">
        <v>2236</v>
      </c>
      <c r="K396" s="826">
        <v>44531</v>
      </c>
      <c r="L396" s="408">
        <v>0</v>
      </c>
      <c r="M396" s="408">
        <v>0</v>
      </c>
      <c r="N396" s="408">
        <v>35.253</v>
      </c>
      <c r="O396" s="408">
        <v>35.253</v>
      </c>
      <c r="P396" s="408">
        <v>35.253</v>
      </c>
      <c r="Q396" s="408">
        <v>35.253</v>
      </c>
      <c r="R396" s="408"/>
      <c r="S396" s="408">
        <v>85.01</v>
      </c>
      <c r="T396" s="408">
        <v>173.25</v>
      </c>
      <c r="U396" s="408"/>
      <c r="V396" s="408">
        <v>9104.4397800000006</v>
      </c>
      <c r="W396" s="408">
        <v>9104.4397800000006</v>
      </c>
      <c r="X396" s="408">
        <v>9823.9535099999994</v>
      </c>
      <c r="Y396" s="408">
        <v>0</v>
      </c>
      <c r="Z396" s="408">
        <v>1887.5975386948405</v>
      </c>
      <c r="AA396" s="408">
        <v>0</v>
      </c>
      <c r="AB396" s="408">
        <v>0</v>
      </c>
      <c r="AC396" s="408">
        <v>0</v>
      </c>
      <c r="AD396" s="408">
        <v>0</v>
      </c>
      <c r="AE396" s="408">
        <v>0</v>
      </c>
      <c r="AF396" s="408">
        <v>6005.0126095440392</v>
      </c>
      <c r="AG396" s="408">
        <v>102.4887036521707</v>
      </c>
      <c r="AH396" s="408">
        <v>0</v>
      </c>
      <c r="AI396" s="408">
        <v>0</v>
      </c>
      <c r="AJ396" s="408">
        <v>0</v>
      </c>
      <c r="AK396" s="408">
        <v>0</v>
      </c>
      <c r="AL396" s="408">
        <v>335.22184436655266</v>
      </c>
      <c r="AM396" s="408"/>
      <c r="AN396" s="408">
        <v>28.231089855045653</v>
      </c>
      <c r="AO396" s="408">
        <v>0</v>
      </c>
      <c r="AP396" s="408">
        <v>0</v>
      </c>
      <c r="AQ396" s="408">
        <v>0</v>
      </c>
      <c r="AR396" s="408">
        <v>0</v>
      </c>
      <c r="AS396" s="408">
        <v>0</v>
      </c>
      <c r="AT396" s="408">
        <v>0</v>
      </c>
      <c r="AU396" s="408">
        <v>0</v>
      </c>
      <c r="AV396" s="408">
        <v>0</v>
      </c>
      <c r="AW396" s="408">
        <v>0</v>
      </c>
      <c r="AX396" s="408">
        <v>0</v>
      </c>
      <c r="AY396" s="408">
        <v>0</v>
      </c>
      <c r="AZ396" s="408">
        <v>0</v>
      </c>
      <c r="BA396" s="408"/>
      <c r="BB396" s="408">
        <v>0</v>
      </c>
      <c r="BC396" s="408">
        <v>0</v>
      </c>
      <c r="BD396" s="408">
        <v>0</v>
      </c>
      <c r="BE396" s="408">
        <v>0</v>
      </c>
      <c r="BF396" s="408">
        <v>0</v>
      </c>
      <c r="BG396" s="408">
        <v>263.64508052067947</v>
      </c>
      <c r="BH396" s="408">
        <v>0</v>
      </c>
      <c r="BI396" s="408">
        <v>0</v>
      </c>
      <c r="BJ396" s="408">
        <v>0</v>
      </c>
      <c r="BK396" s="408">
        <v>0</v>
      </c>
      <c r="BL396" s="408">
        <v>0</v>
      </c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>
        <v>6268.6576900647187</v>
      </c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>
        <v>9823.1175000000003</v>
      </c>
      <c r="CJ396" s="408">
        <v>718.64771999999903</v>
      </c>
      <c r="CK396" s="408"/>
      <c r="CL396" s="408"/>
      <c r="CM396" s="408"/>
      <c r="CN396" s="408"/>
      <c r="CO396" s="408">
        <v>-41.598540000000241</v>
      </c>
      <c r="CP396" s="408">
        <v>761.11227000000008</v>
      </c>
      <c r="CQ396" s="408"/>
      <c r="CR396" s="408">
        <v>719.41159494458225</v>
      </c>
      <c r="CS396" s="408">
        <v>0</v>
      </c>
      <c r="CT396" s="408">
        <v>0</v>
      </c>
      <c r="CU396" s="408">
        <v>0</v>
      </c>
      <c r="CV396" s="408">
        <v>0</v>
      </c>
      <c r="CW396" s="408">
        <v>0</v>
      </c>
      <c r="CX396" s="408">
        <v>0</v>
      </c>
      <c r="CY396" s="408">
        <v>0</v>
      </c>
      <c r="CZ396" s="408">
        <v>0</v>
      </c>
      <c r="DA396" s="408">
        <v>0</v>
      </c>
      <c r="DB396" s="408">
        <v>0</v>
      </c>
      <c r="DC396" s="408">
        <v>761.02633602334481</v>
      </c>
      <c r="DD396" s="408">
        <v>0</v>
      </c>
      <c r="DE396" s="408">
        <v>0</v>
      </c>
      <c r="DF396" s="408">
        <v>0</v>
      </c>
      <c r="DG396" s="408">
        <v>33.412227864491626</v>
      </c>
      <c r="DH396" s="408">
        <v>0</v>
      </c>
      <c r="DI396" s="408">
        <v>-64.096839285484521</v>
      </c>
      <c r="DJ396" s="408"/>
      <c r="DK396" s="408">
        <v>0</v>
      </c>
      <c r="DL396" s="408">
        <v>0</v>
      </c>
      <c r="DM396" s="408">
        <v>0</v>
      </c>
      <c r="DN396" s="408">
        <v>0</v>
      </c>
      <c r="DO396" s="408">
        <v>-10.131431758897008</v>
      </c>
      <c r="DP396" s="408">
        <v>-0.79869789886925346</v>
      </c>
      <c r="DQ396" s="408">
        <v>0</v>
      </c>
      <c r="DR396" s="408">
        <v>0</v>
      </c>
      <c r="DS396" s="408"/>
      <c r="DT396" s="408"/>
      <c r="DU396" s="408"/>
      <c r="DV396" s="408">
        <v>0</v>
      </c>
      <c r="DW396" s="408">
        <v>0</v>
      </c>
      <c r="DX396" s="408">
        <v>0</v>
      </c>
      <c r="DY396" s="408">
        <v>-41.598540000000412</v>
      </c>
      <c r="DZ396" s="408">
        <v>761.11226999999963</v>
      </c>
      <c r="EA396" s="408">
        <v>0</v>
      </c>
      <c r="EB396" s="408">
        <v>0</v>
      </c>
      <c r="EC396" s="408">
        <v>0</v>
      </c>
      <c r="ED396" s="408">
        <v>0</v>
      </c>
      <c r="EE396" s="408">
        <v>0</v>
      </c>
      <c r="EF396" s="408">
        <v>0</v>
      </c>
      <c r="EG396" s="408">
        <v>0</v>
      </c>
      <c r="EH396" s="408">
        <v>0</v>
      </c>
      <c r="EI396" s="408">
        <v>0</v>
      </c>
      <c r="EJ396" s="408">
        <v>0</v>
      </c>
      <c r="EK396" s="408">
        <v>0</v>
      </c>
      <c r="EL396" s="408">
        <v>0</v>
      </c>
      <c r="EM396" s="408">
        <v>0</v>
      </c>
      <c r="EN396" s="408">
        <v>0</v>
      </c>
      <c r="EO396" s="408">
        <v>0</v>
      </c>
      <c r="EP396" s="408">
        <v>482.05874594413626</v>
      </c>
      <c r="EQ396" s="408">
        <v>0</v>
      </c>
      <c r="ER396" s="408">
        <v>0</v>
      </c>
      <c r="ES396" s="408">
        <v>0</v>
      </c>
      <c r="ET396" s="408">
        <v>0</v>
      </c>
      <c r="EU396" s="408">
        <v>0</v>
      </c>
      <c r="EV396" s="408">
        <v>240</v>
      </c>
      <c r="EW396" s="408">
        <v>0</v>
      </c>
      <c r="EX396" s="408">
        <v>0</v>
      </c>
      <c r="EY396" s="408">
        <v>0</v>
      </c>
      <c r="EZ396" s="408"/>
      <c r="FA396" s="408">
        <v>0</v>
      </c>
      <c r="FB396" s="408"/>
      <c r="FC396" s="408"/>
      <c r="FD396" s="408"/>
      <c r="FE396" s="408"/>
      <c r="FF396" s="408">
        <v>0</v>
      </c>
      <c r="FG396" s="408">
        <v>0</v>
      </c>
      <c r="FH396" s="408">
        <v>0</v>
      </c>
      <c r="FI396" s="408">
        <v>0</v>
      </c>
    </row>
    <row r="397" spans="1:165">
      <c r="A397" s="408">
        <v>395</v>
      </c>
      <c r="B397" s="408" t="s">
        <v>1036</v>
      </c>
      <c r="C397" s="408" t="s">
        <v>2243</v>
      </c>
      <c r="D397" s="408" t="s">
        <v>597</v>
      </c>
      <c r="E397" s="408" t="s">
        <v>2246</v>
      </c>
      <c r="F397" s="408" t="s">
        <v>1322</v>
      </c>
      <c r="G397" s="408" t="s">
        <v>1322</v>
      </c>
      <c r="H397" s="408" t="s">
        <v>1322</v>
      </c>
      <c r="I397" s="408" t="s">
        <v>1322</v>
      </c>
      <c r="J397" s="408" t="s">
        <v>2236</v>
      </c>
      <c r="K397" s="826">
        <v>44531</v>
      </c>
      <c r="L397" s="408">
        <v>220</v>
      </c>
      <c r="M397" s="408">
        <v>220</v>
      </c>
      <c r="N397" s="408">
        <v>0</v>
      </c>
      <c r="O397" s="408">
        <v>0</v>
      </c>
      <c r="P397" s="408">
        <v>0</v>
      </c>
      <c r="Q397" s="408">
        <v>0</v>
      </c>
      <c r="R397" s="408">
        <v>27.19</v>
      </c>
      <c r="S397" s="408"/>
      <c r="T397" s="408"/>
      <c r="U397" s="408">
        <v>5981.8</v>
      </c>
      <c r="V397" s="408"/>
      <c r="W397" s="408">
        <v>5981.8</v>
      </c>
      <c r="X397" s="408">
        <v>4787.2000000000007</v>
      </c>
      <c r="Y397" s="408">
        <v>0</v>
      </c>
      <c r="Z397" s="408">
        <v>0</v>
      </c>
      <c r="AA397" s="408">
        <v>0</v>
      </c>
      <c r="AB397" s="408">
        <v>0</v>
      </c>
      <c r="AC397" s="408">
        <v>51.304134954064082</v>
      </c>
      <c r="AD397" s="408">
        <v>49.287664661493281</v>
      </c>
      <c r="AE397" s="408">
        <v>5265.0466534950901</v>
      </c>
      <c r="AF397" s="408"/>
      <c r="AG397" s="408"/>
      <c r="AH397" s="408"/>
      <c r="AI397" s="408">
        <v>0</v>
      </c>
      <c r="AJ397" s="408">
        <v>0</v>
      </c>
      <c r="AK397" s="408">
        <v>0</v>
      </c>
      <c r="AL397" s="408">
        <v>0</v>
      </c>
      <c r="AM397" s="408"/>
      <c r="AN397" s="408">
        <v>0</v>
      </c>
      <c r="AO397" s="408">
        <v>108.87466283990207</v>
      </c>
      <c r="AP397" s="408">
        <v>507.77954546252784</v>
      </c>
      <c r="AQ397" s="408">
        <v>0</v>
      </c>
      <c r="AR397" s="408">
        <v>0</v>
      </c>
      <c r="AS397" s="408"/>
      <c r="AT397" s="408"/>
      <c r="AU397" s="408">
        <v>0</v>
      </c>
      <c r="AV397" s="408">
        <v>0</v>
      </c>
      <c r="AW397" s="408">
        <v>0</v>
      </c>
      <c r="AX397" s="408"/>
      <c r="AY397" s="408"/>
      <c r="AZ397" s="408">
        <v>0</v>
      </c>
      <c r="BA397" s="408"/>
      <c r="BB397" s="408">
        <v>0</v>
      </c>
      <c r="BC397" s="408">
        <v>0</v>
      </c>
      <c r="BD397" s="408">
        <v>0</v>
      </c>
      <c r="BE397" s="408">
        <v>0</v>
      </c>
      <c r="BF397" s="408"/>
      <c r="BG397" s="408">
        <v>0</v>
      </c>
      <c r="BH397" s="408">
        <v>0</v>
      </c>
      <c r="BI397" s="408">
        <v>20.7</v>
      </c>
      <c r="BJ397" s="408">
        <v>177.49</v>
      </c>
      <c r="BK397" s="408">
        <v>12462.25</v>
      </c>
      <c r="BL397" s="408">
        <v>5</v>
      </c>
      <c r="BM397" s="408"/>
      <c r="BN397" s="408"/>
      <c r="BO397" s="408"/>
      <c r="BP397" s="408"/>
      <c r="BQ397" s="408"/>
      <c r="BR397" s="408"/>
      <c r="BS397" s="408"/>
      <c r="BT397" s="408"/>
      <c r="BU397" s="408"/>
      <c r="BV397" s="408">
        <v>0</v>
      </c>
      <c r="BW397" s="408"/>
      <c r="BX397" s="408"/>
      <c r="BY397" s="408"/>
      <c r="BZ397" s="408"/>
      <c r="CA397" s="408"/>
      <c r="CB397" s="408"/>
      <c r="CC397" s="408"/>
      <c r="CD397" s="408"/>
      <c r="CE397" s="408"/>
      <c r="CF397" s="408"/>
      <c r="CG397" s="408"/>
      <c r="CH397" s="408"/>
      <c r="CI397" s="408">
        <v>4787.2000000000007</v>
      </c>
      <c r="CJ397" s="408">
        <v>-1194.6300000000001</v>
      </c>
      <c r="CK397" s="408"/>
      <c r="CL397" s="408"/>
      <c r="CM397" s="408"/>
      <c r="CN397" s="408"/>
      <c r="CO397" s="408">
        <v>-1194.5999999999999</v>
      </c>
      <c r="CP397" s="408">
        <v>0</v>
      </c>
      <c r="CQ397" s="408"/>
      <c r="CR397" s="408">
        <v>112.19823756649305</v>
      </c>
      <c r="CS397" s="408">
        <v>10.849127438651038</v>
      </c>
      <c r="CT397" s="408">
        <v>50.599146355696348</v>
      </c>
      <c r="CU397" s="408">
        <v>0</v>
      </c>
      <c r="CV397" s="408">
        <v>0</v>
      </c>
      <c r="CW397" s="408"/>
      <c r="CX397" s="408"/>
      <c r="CY397" s="408"/>
      <c r="CZ397" s="408">
        <v>50.749963772145662</v>
      </c>
      <c r="DA397" s="408">
        <v>0</v>
      </c>
      <c r="DB397" s="408">
        <v>0</v>
      </c>
      <c r="DC397" s="408"/>
      <c r="DD397" s="408"/>
      <c r="DE397" s="408">
        <v>0</v>
      </c>
      <c r="DF397" s="408">
        <v>0</v>
      </c>
      <c r="DG397" s="408">
        <v>0</v>
      </c>
      <c r="DH397" s="408">
        <v>0</v>
      </c>
      <c r="DI397" s="408">
        <v>0</v>
      </c>
      <c r="DJ397" s="408"/>
      <c r="DK397" s="408">
        <v>0</v>
      </c>
      <c r="DL397" s="408">
        <v>0</v>
      </c>
      <c r="DM397" s="408"/>
      <c r="DN397" s="408">
        <v>0</v>
      </c>
      <c r="DO397" s="408">
        <v>0</v>
      </c>
      <c r="DP397" s="408">
        <v>0</v>
      </c>
      <c r="DQ397" s="408">
        <v>0</v>
      </c>
      <c r="DR397" s="408">
        <v>0</v>
      </c>
      <c r="DS397" s="408"/>
      <c r="DT397" s="408"/>
      <c r="DU397" s="408">
        <v>5265.0466534950901</v>
      </c>
      <c r="DV397" s="408"/>
      <c r="DW397" s="408">
        <v>0</v>
      </c>
      <c r="DX397" s="408">
        <v>0</v>
      </c>
      <c r="DY397" s="408">
        <v>-1194.5999999999995</v>
      </c>
      <c r="DZ397" s="408"/>
      <c r="EA397" s="408">
        <v>0</v>
      </c>
      <c r="EB397" s="408"/>
      <c r="EC397" s="408">
        <v>-1307.9268974301867</v>
      </c>
      <c r="ED397" s="408"/>
      <c r="EE397" s="408">
        <v>0</v>
      </c>
      <c r="EF397" s="408">
        <v>0</v>
      </c>
      <c r="EG397" s="408"/>
      <c r="EH397" s="408">
        <v>0</v>
      </c>
      <c r="EI397" s="408">
        <v>0</v>
      </c>
      <c r="EJ397" s="408">
        <v>0</v>
      </c>
      <c r="EK397" s="408">
        <v>0</v>
      </c>
      <c r="EL397" s="408">
        <v>0</v>
      </c>
      <c r="EM397" s="408"/>
      <c r="EN397" s="408"/>
      <c r="EO397" s="408">
        <v>0</v>
      </c>
      <c r="EP397" s="408">
        <v>0</v>
      </c>
      <c r="EQ397" s="408"/>
      <c r="ER397" s="408">
        <v>0</v>
      </c>
      <c r="ES397" s="408"/>
      <c r="ET397" s="408">
        <v>0</v>
      </c>
      <c r="EU397" s="408"/>
      <c r="EV397" s="408">
        <v>240</v>
      </c>
      <c r="EW397" s="408"/>
      <c r="EX397" s="408"/>
      <c r="EY397" s="408"/>
      <c r="EZ397" s="408"/>
      <c r="FA397" s="408">
        <v>0</v>
      </c>
      <c r="FB397" s="408"/>
      <c r="FC397" s="408"/>
      <c r="FD397" s="408"/>
      <c r="FE397" s="408"/>
      <c r="FF397" s="408">
        <v>0</v>
      </c>
      <c r="FG397" s="408">
        <v>0</v>
      </c>
      <c r="FH397" s="408">
        <v>0</v>
      </c>
      <c r="FI397" s="408">
        <v>0</v>
      </c>
    </row>
    <row r="398" spans="1:165">
      <c r="A398" s="408">
        <v>396</v>
      </c>
      <c r="B398" s="408" t="s">
        <v>2238</v>
      </c>
      <c r="C398" s="408" t="s">
        <v>2243</v>
      </c>
      <c r="D398" s="408" t="s">
        <v>597</v>
      </c>
      <c r="E398" s="408" t="s">
        <v>2246</v>
      </c>
      <c r="F398" s="408" t="s">
        <v>1322</v>
      </c>
      <c r="G398" s="408" t="s">
        <v>1322</v>
      </c>
      <c r="H398" s="408" t="s">
        <v>1322</v>
      </c>
      <c r="I398" s="408" t="s">
        <v>1322</v>
      </c>
      <c r="J398" s="408" t="s">
        <v>2236</v>
      </c>
      <c r="K398" s="826">
        <v>44531</v>
      </c>
      <c r="L398" s="408">
        <v>40</v>
      </c>
      <c r="M398" s="408">
        <v>40</v>
      </c>
      <c r="N398" s="408">
        <v>0</v>
      </c>
      <c r="O398" s="408">
        <v>0</v>
      </c>
      <c r="P398" s="408">
        <v>0</v>
      </c>
      <c r="Q398" s="408">
        <v>0</v>
      </c>
      <c r="R398" s="408">
        <v>27.19</v>
      </c>
      <c r="S398" s="408"/>
      <c r="T398" s="408"/>
      <c r="U398" s="408">
        <v>1087.6000000000001</v>
      </c>
      <c r="V398" s="408"/>
      <c r="W398" s="408">
        <v>1087.6000000000001</v>
      </c>
      <c r="X398" s="408">
        <v>870.40000000000009</v>
      </c>
      <c r="Y398" s="408">
        <v>0</v>
      </c>
      <c r="Z398" s="408">
        <v>0</v>
      </c>
      <c r="AA398" s="408">
        <v>0</v>
      </c>
      <c r="AB398" s="408">
        <v>0</v>
      </c>
      <c r="AC398" s="408">
        <v>9.3280245371025607</v>
      </c>
      <c r="AD398" s="408">
        <v>8.9613935748169595</v>
      </c>
      <c r="AE398" s="408">
        <v>957.28120972637998</v>
      </c>
      <c r="AF398" s="408"/>
      <c r="AG398" s="408"/>
      <c r="AH398" s="408"/>
      <c r="AI398" s="408">
        <v>0</v>
      </c>
      <c r="AJ398" s="408">
        <v>0</v>
      </c>
      <c r="AK398" s="408">
        <v>0</v>
      </c>
      <c r="AL398" s="408">
        <v>0</v>
      </c>
      <c r="AM398" s="408"/>
      <c r="AN398" s="408">
        <v>0</v>
      </c>
      <c r="AO398" s="408">
        <v>19.795393243618559</v>
      </c>
      <c r="AP398" s="408">
        <v>92.3235537204596</v>
      </c>
      <c r="AQ398" s="408">
        <v>0</v>
      </c>
      <c r="AR398" s="408">
        <v>0</v>
      </c>
      <c r="AS398" s="408"/>
      <c r="AT398" s="408"/>
      <c r="AU398" s="408">
        <v>0</v>
      </c>
      <c r="AV398" s="408">
        <v>0</v>
      </c>
      <c r="AW398" s="408">
        <v>0</v>
      </c>
      <c r="AX398" s="408"/>
      <c r="AY398" s="408"/>
      <c r="AZ398" s="408">
        <v>0</v>
      </c>
      <c r="BA398" s="408"/>
      <c r="BB398" s="408">
        <v>0</v>
      </c>
      <c r="BC398" s="408">
        <v>0</v>
      </c>
      <c r="BD398" s="408">
        <v>0</v>
      </c>
      <c r="BE398" s="408">
        <v>0</v>
      </c>
      <c r="BF398" s="408"/>
      <c r="BG398" s="408">
        <v>0</v>
      </c>
      <c r="BH398" s="408">
        <v>0</v>
      </c>
      <c r="BI398" s="408">
        <v>0.67</v>
      </c>
      <c r="BJ398" s="408">
        <v>5.74</v>
      </c>
      <c r="BK398" s="408">
        <v>624.96</v>
      </c>
      <c r="BL398" s="408">
        <v>1</v>
      </c>
      <c r="BM398" s="408"/>
      <c r="BN398" s="408"/>
      <c r="BO398" s="408"/>
      <c r="BP398" s="408"/>
      <c r="BQ398" s="408"/>
      <c r="BR398" s="408"/>
      <c r="BS398" s="408"/>
      <c r="BT398" s="408"/>
      <c r="BU398" s="408"/>
      <c r="BV398" s="408">
        <v>0</v>
      </c>
      <c r="BW398" s="408"/>
      <c r="BX398" s="408"/>
      <c r="BY398" s="408"/>
      <c r="BZ398" s="408"/>
      <c r="CA398" s="408"/>
      <c r="CB398" s="408"/>
      <c r="CC398" s="408"/>
      <c r="CD398" s="408"/>
      <c r="CE398" s="408"/>
      <c r="CF398" s="408"/>
      <c r="CG398" s="408"/>
      <c r="CH398" s="408"/>
      <c r="CI398" s="408">
        <v>870.40000000000009</v>
      </c>
      <c r="CJ398" s="408">
        <v>-217.23000000000002</v>
      </c>
      <c r="CK398" s="408"/>
      <c r="CL398" s="408"/>
      <c r="CM398" s="408"/>
      <c r="CN398" s="408"/>
      <c r="CO398" s="408">
        <v>-217.2</v>
      </c>
      <c r="CP398" s="408">
        <v>0</v>
      </c>
      <c r="CQ398" s="408"/>
      <c r="CR398" s="408">
        <v>20.399679557544232</v>
      </c>
      <c r="CS398" s="408">
        <v>1.9725686252092807</v>
      </c>
      <c r="CT398" s="408">
        <v>9.1998447919447983</v>
      </c>
      <c r="CU398" s="408">
        <v>0</v>
      </c>
      <c r="CV398" s="408">
        <v>0</v>
      </c>
      <c r="CW398" s="408"/>
      <c r="CX398" s="408"/>
      <c r="CY398" s="408"/>
      <c r="CZ398" s="408">
        <v>9.2272661403901211</v>
      </c>
      <c r="DA398" s="408">
        <v>0</v>
      </c>
      <c r="DB398" s="408">
        <v>0</v>
      </c>
      <c r="DC398" s="408"/>
      <c r="DD398" s="408"/>
      <c r="DE398" s="408">
        <v>0</v>
      </c>
      <c r="DF398" s="408">
        <v>0</v>
      </c>
      <c r="DG398" s="408">
        <v>0</v>
      </c>
      <c r="DH398" s="408">
        <v>0</v>
      </c>
      <c r="DI398" s="408">
        <v>0</v>
      </c>
      <c r="DJ398" s="408"/>
      <c r="DK398" s="408">
        <v>0</v>
      </c>
      <c r="DL398" s="408">
        <v>0</v>
      </c>
      <c r="DM398" s="408"/>
      <c r="DN398" s="408">
        <v>0</v>
      </c>
      <c r="DO398" s="408">
        <v>0</v>
      </c>
      <c r="DP398" s="408">
        <v>0</v>
      </c>
      <c r="DQ398" s="408">
        <v>0</v>
      </c>
      <c r="DR398" s="408">
        <v>0</v>
      </c>
      <c r="DS398" s="408"/>
      <c r="DT398" s="408"/>
      <c r="DU398" s="408">
        <v>957.28120972637998</v>
      </c>
      <c r="DV398" s="408"/>
      <c r="DW398" s="408">
        <v>0</v>
      </c>
      <c r="DX398" s="408">
        <v>0</v>
      </c>
      <c r="DY398" s="408">
        <v>-217.20000000000005</v>
      </c>
      <c r="DZ398" s="408"/>
      <c r="EA398" s="408">
        <v>0</v>
      </c>
      <c r="EB398" s="408"/>
      <c r="EC398" s="408">
        <v>-237.80489044185208</v>
      </c>
      <c r="ED398" s="408"/>
      <c r="EE398" s="408">
        <v>0</v>
      </c>
      <c r="EF398" s="408">
        <v>0</v>
      </c>
      <c r="EG398" s="408"/>
      <c r="EH398" s="408">
        <v>0</v>
      </c>
      <c r="EI398" s="408">
        <v>0</v>
      </c>
      <c r="EJ398" s="408">
        <v>0</v>
      </c>
      <c r="EK398" s="408">
        <v>0</v>
      </c>
      <c r="EL398" s="408">
        <v>0</v>
      </c>
      <c r="EM398" s="408"/>
      <c r="EN398" s="408"/>
      <c r="EO398" s="408">
        <v>0</v>
      </c>
      <c r="EP398" s="408">
        <v>0</v>
      </c>
      <c r="EQ398" s="408"/>
      <c r="ER398" s="408">
        <v>0</v>
      </c>
      <c r="ES398" s="408"/>
      <c r="ET398" s="408">
        <v>0</v>
      </c>
      <c r="EU398" s="408"/>
      <c r="EV398" s="408">
        <v>240</v>
      </c>
      <c r="EW398" s="408"/>
      <c r="EX398" s="408"/>
      <c r="EY398" s="408"/>
      <c r="EZ398" s="408"/>
      <c r="FA398" s="408">
        <v>0</v>
      </c>
      <c r="FB398" s="408"/>
      <c r="FC398" s="408"/>
      <c r="FD398" s="408"/>
      <c r="FE398" s="408"/>
      <c r="FF398" s="408">
        <v>0</v>
      </c>
      <c r="FG398" s="408">
        <v>0</v>
      </c>
      <c r="FH398" s="408">
        <v>0</v>
      </c>
      <c r="FI398" s="408">
        <v>0</v>
      </c>
    </row>
    <row r="399" spans="1:165">
      <c r="A399" s="408">
        <v>397</v>
      </c>
      <c r="B399" s="408" t="s">
        <v>1036</v>
      </c>
      <c r="C399" s="408" t="s">
        <v>2235</v>
      </c>
      <c r="D399" s="408" t="s">
        <v>2248</v>
      </c>
      <c r="E399" s="408" t="s">
        <v>2249</v>
      </c>
      <c r="F399" s="408" t="s">
        <v>2250</v>
      </c>
      <c r="G399" s="408" t="s">
        <v>1322</v>
      </c>
      <c r="H399" s="408" t="s">
        <v>1322</v>
      </c>
      <c r="I399" s="408" t="s">
        <v>1322</v>
      </c>
      <c r="J399" s="408" t="s">
        <v>2236</v>
      </c>
      <c r="K399" s="826">
        <v>44531</v>
      </c>
      <c r="L399" s="408">
        <v>0</v>
      </c>
      <c r="M399" s="408">
        <v>0</v>
      </c>
      <c r="N399" s="408">
        <v>1598.7249999999999</v>
      </c>
      <c r="O399" s="408">
        <v>1598.7249999999999</v>
      </c>
      <c r="P399" s="408">
        <v>1598.7249999999999</v>
      </c>
      <c r="Q399" s="408">
        <v>1598.7249999999999</v>
      </c>
      <c r="R399" s="408"/>
      <c r="S399" s="408">
        <v>199.07</v>
      </c>
      <c r="T399" s="408">
        <v>95.29</v>
      </c>
      <c r="U399" s="408"/>
      <c r="V399" s="408">
        <v>470600.69099999993</v>
      </c>
      <c r="W399" s="408">
        <v>470600.69099999993</v>
      </c>
      <c r="X399" s="408">
        <v>444237.71574999997</v>
      </c>
      <c r="Y399" s="408">
        <v>0</v>
      </c>
      <c r="Z399" s="408">
        <v>54116.602655727358</v>
      </c>
      <c r="AA399" s="408">
        <v>0</v>
      </c>
      <c r="AB399" s="408">
        <v>0</v>
      </c>
      <c r="AC399" s="408">
        <v>2250.5980055179971</v>
      </c>
      <c r="AD399" s="408">
        <v>2902.6176810490529</v>
      </c>
      <c r="AE399" s="408">
        <v>200824.4222397315</v>
      </c>
      <c r="AF399" s="408">
        <v>149780.1628600774</v>
      </c>
      <c r="AG399" s="408">
        <v>2556.3268093630118</v>
      </c>
      <c r="AH399" s="408">
        <v>0</v>
      </c>
      <c r="AI399" s="408">
        <v>0</v>
      </c>
      <c r="AJ399" s="408">
        <v>0</v>
      </c>
      <c r="AK399" s="408">
        <v>0</v>
      </c>
      <c r="AL399" s="408">
        <v>8361.2784365643929</v>
      </c>
      <c r="AM399" s="408"/>
      <c r="AN399" s="408">
        <v>1062.0668991182451</v>
      </c>
      <c r="AO399" s="408">
        <v>4777.5779133883188</v>
      </c>
      <c r="AP399" s="408">
        <v>22277.140988565632</v>
      </c>
      <c r="AQ399" s="408">
        <v>0</v>
      </c>
      <c r="AR399" s="408">
        <v>0</v>
      </c>
      <c r="AS399" s="408">
        <v>0</v>
      </c>
      <c r="AT399" s="408">
        <v>0</v>
      </c>
      <c r="AU399" s="408">
        <v>0</v>
      </c>
      <c r="AV399" s="408">
        <v>0</v>
      </c>
      <c r="AW399" s="408">
        <v>0</v>
      </c>
      <c r="AX399" s="408">
        <v>0</v>
      </c>
      <c r="AY399" s="408">
        <v>0</v>
      </c>
      <c r="AZ399" s="408">
        <v>0</v>
      </c>
      <c r="BA399" s="408"/>
      <c r="BB399" s="408">
        <v>0</v>
      </c>
      <c r="BC399" s="408">
        <v>0</v>
      </c>
      <c r="BD399" s="408">
        <v>0</v>
      </c>
      <c r="BE399" s="408">
        <v>0</v>
      </c>
      <c r="BF399" s="408">
        <v>0</v>
      </c>
      <c r="BG399" s="408">
        <v>7860.7477770143569</v>
      </c>
      <c r="BH399" s="408">
        <v>0</v>
      </c>
      <c r="BI399" s="408">
        <v>472.75</v>
      </c>
      <c r="BJ399" s="408">
        <v>4054.7</v>
      </c>
      <c r="BK399" s="408">
        <v>168945.51</v>
      </c>
      <c r="BL399" s="408">
        <v>63</v>
      </c>
      <c r="BM399" s="408"/>
      <c r="BN399" s="408"/>
      <c r="BO399" s="408"/>
      <c r="BP399" s="408"/>
      <c r="BQ399" s="408"/>
      <c r="BR399" s="408"/>
      <c r="BS399" s="408"/>
      <c r="BT399" s="408"/>
      <c r="BU399" s="408"/>
      <c r="BV399" s="408">
        <v>157640.91063709176</v>
      </c>
      <c r="BW399" s="408"/>
      <c r="BX399" s="408"/>
      <c r="BY399" s="408"/>
      <c r="BZ399" s="408"/>
      <c r="CA399" s="408"/>
      <c r="CB399" s="408"/>
      <c r="CC399" s="408"/>
      <c r="CD399" s="408"/>
      <c r="CE399" s="408"/>
      <c r="CF399" s="408"/>
      <c r="CG399" s="408"/>
      <c r="CH399" s="408"/>
      <c r="CI399" s="408">
        <v>444239.10509999999</v>
      </c>
      <c r="CJ399" s="408">
        <v>-26361.615899999975</v>
      </c>
      <c r="CK399" s="408"/>
      <c r="CL399" s="408"/>
      <c r="CM399" s="408"/>
      <c r="CN399" s="408"/>
      <c r="CO399" s="408">
        <v>-45339.840999999971</v>
      </c>
      <c r="CP399" s="408">
        <v>18976.865749999983</v>
      </c>
      <c r="CQ399" s="408"/>
      <c r="CR399" s="408">
        <v>23542.42362384405</v>
      </c>
      <c r="CS399" s="408">
        <v>476.0754272704753</v>
      </c>
      <c r="CT399" s="408">
        <v>2219.8694833998525</v>
      </c>
      <c r="CU399" s="408">
        <v>0</v>
      </c>
      <c r="CV399" s="408">
        <v>0</v>
      </c>
      <c r="CW399" s="408">
        <v>0</v>
      </c>
      <c r="CX399" s="408">
        <v>0</v>
      </c>
      <c r="CY399" s="408">
        <v>0</v>
      </c>
      <c r="CZ399" s="408">
        <v>2988.7344667136317</v>
      </c>
      <c r="DA399" s="408">
        <v>0</v>
      </c>
      <c r="DB399" s="408">
        <v>0</v>
      </c>
      <c r="DC399" s="408">
        <v>18981.916602343175</v>
      </c>
      <c r="DD399" s="408">
        <v>0</v>
      </c>
      <c r="DE399" s="408">
        <v>0</v>
      </c>
      <c r="DF399" s="408">
        <v>0</v>
      </c>
      <c r="DG399" s="408">
        <v>996.20708033768551</v>
      </c>
      <c r="DH399" s="408">
        <v>0</v>
      </c>
      <c r="DI399" s="408">
        <v>-1837.6285791826012</v>
      </c>
      <c r="DJ399" s="408"/>
      <c r="DK399" s="408">
        <v>0</v>
      </c>
      <c r="DL399" s="408">
        <v>0</v>
      </c>
      <c r="DM399" s="408">
        <v>0</v>
      </c>
      <c r="DN399" s="408">
        <v>0</v>
      </c>
      <c r="DO399" s="408">
        <v>-252.70346584144136</v>
      </c>
      <c r="DP399" s="408">
        <v>-30.047391196718991</v>
      </c>
      <c r="DQ399" s="408">
        <v>0</v>
      </c>
      <c r="DR399" s="408">
        <v>0</v>
      </c>
      <c r="DS399" s="408"/>
      <c r="DT399" s="408"/>
      <c r="DU399" s="408"/>
      <c r="DV399" s="408">
        <v>200824.4222397315</v>
      </c>
      <c r="DW399" s="408">
        <v>0</v>
      </c>
      <c r="DX399" s="408">
        <v>0</v>
      </c>
      <c r="DY399" s="408">
        <v>-45339.840999999957</v>
      </c>
      <c r="DZ399" s="408">
        <v>18976.865749999997</v>
      </c>
      <c r="EA399" s="408">
        <v>0</v>
      </c>
      <c r="EB399" s="408">
        <v>0</v>
      </c>
      <c r="EC399" s="408">
        <v>-49888.192981891101</v>
      </c>
      <c r="ED399" s="408">
        <v>0</v>
      </c>
      <c r="EE399" s="408">
        <v>0</v>
      </c>
      <c r="EF399" s="408">
        <v>0</v>
      </c>
      <c r="EG399" s="408">
        <v>0</v>
      </c>
      <c r="EH399" s="408">
        <v>0</v>
      </c>
      <c r="EI399" s="408">
        <v>0</v>
      </c>
      <c r="EJ399" s="408">
        <v>0</v>
      </c>
      <c r="EK399" s="408">
        <v>0</v>
      </c>
      <c r="EL399" s="408">
        <v>0</v>
      </c>
      <c r="EM399" s="408">
        <v>0</v>
      </c>
      <c r="EN399" s="408">
        <v>0</v>
      </c>
      <c r="EO399" s="408">
        <v>0</v>
      </c>
      <c r="EP399" s="408">
        <v>13820.415144753189</v>
      </c>
      <c r="EQ399" s="408">
        <v>0</v>
      </c>
      <c r="ER399" s="408">
        <v>0</v>
      </c>
      <c r="ES399" s="408">
        <v>0</v>
      </c>
      <c r="ET399" s="408">
        <v>0</v>
      </c>
      <c r="EU399" s="408">
        <v>0</v>
      </c>
      <c r="EV399" s="408">
        <v>240</v>
      </c>
      <c r="EW399" s="408">
        <v>0</v>
      </c>
      <c r="EX399" s="408">
        <v>0</v>
      </c>
      <c r="EY399" s="408">
        <v>0</v>
      </c>
      <c r="EZ399" s="408"/>
      <c r="FA399" s="408">
        <v>0</v>
      </c>
      <c r="FB399" s="408"/>
      <c r="FC399" s="408"/>
      <c r="FD399" s="408"/>
      <c r="FE399" s="408"/>
      <c r="FF399" s="408">
        <v>0</v>
      </c>
      <c r="FG399" s="408">
        <v>0</v>
      </c>
      <c r="FH399" s="408">
        <v>0</v>
      </c>
      <c r="FI399" s="408">
        <v>0</v>
      </c>
    </row>
    <row r="400" spans="1:165">
      <c r="A400" s="408">
        <v>398</v>
      </c>
      <c r="B400" s="408" t="s">
        <v>1036</v>
      </c>
      <c r="C400" s="408" t="s">
        <v>2235</v>
      </c>
      <c r="D400" s="408" t="s">
        <v>1958</v>
      </c>
      <c r="E400" s="408" t="s">
        <v>1001</v>
      </c>
      <c r="F400" s="408" t="s">
        <v>2251</v>
      </c>
      <c r="G400" s="408" t="s">
        <v>1322</v>
      </c>
      <c r="H400" s="408" t="s">
        <v>1322</v>
      </c>
      <c r="I400" s="408" t="s">
        <v>1322</v>
      </c>
      <c r="J400" s="408" t="s">
        <v>2236</v>
      </c>
      <c r="K400" s="826">
        <v>44531</v>
      </c>
      <c r="L400" s="408">
        <v>0</v>
      </c>
      <c r="M400" s="408">
        <v>0</v>
      </c>
      <c r="N400" s="408">
        <v>604.64700000000005</v>
      </c>
      <c r="O400" s="408">
        <v>568.36818000000005</v>
      </c>
      <c r="P400" s="408">
        <v>604.64700000000005</v>
      </c>
      <c r="Q400" s="408">
        <v>568.36818000000005</v>
      </c>
      <c r="R400" s="408"/>
      <c r="S400" s="408">
        <v>368.24</v>
      </c>
      <c r="T400" s="408">
        <v>173.25</v>
      </c>
      <c r="U400" s="408"/>
      <c r="V400" s="408">
        <v>327410.30403</v>
      </c>
      <c r="W400" s="408">
        <v>327410.30403</v>
      </c>
      <c r="X400" s="408">
        <v>307698.81183000002</v>
      </c>
      <c r="Y400" s="408">
        <v>0</v>
      </c>
      <c r="Z400" s="408">
        <v>37213.110385949716</v>
      </c>
      <c r="AA400" s="408">
        <v>0</v>
      </c>
      <c r="AB400" s="408">
        <v>0</v>
      </c>
      <c r="AC400" s="408">
        <v>1547.6165890630932</v>
      </c>
      <c r="AD400" s="408">
        <v>1486.9125075756435</v>
      </c>
      <c r="AE400" s="408">
        <v>142416.80440685424</v>
      </c>
      <c r="AF400" s="408">
        <v>102995.85451799775</v>
      </c>
      <c r="AG400" s="408">
        <v>1757.8500325411756</v>
      </c>
      <c r="AH400" s="408">
        <v>0</v>
      </c>
      <c r="AI400" s="408">
        <v>0</v>
      </c>
      <c r="AJ400" s="408">
        <v>0</v>
      </c>
      <c r="AK400" s="408">
        <v>0</v>
      </c>
      <c r="AL400" s="408">
        <v>5749.6066300939774</v>
      </c>
      <c r="AM400" s="408"/>
      <c r="AN400" s="408">
        <v>730.32693876927556</v>
      </c>
      <c r="AO400" s="408">
        <v>3285.2863177577642</v>
      </c>
      <c r="AP400" s="408">
        <v>15318.805431388611</v>
      </c>
      <c r="AQ400" s="408">
        <v>0</v>
      </c>
      <c r="AR400" s="408">
        <v>0</v>
      </c>
      <c r="AS400" s="408">
        <v>0</v>
      </c>
      <c r="AT400" s="408">
        <v>0</v>
      </c>
      <c r="AU400" s="408">
        <v>0</v>
      </c>
      <c r="AV400" s="408">
        <v>0</v>
      </c>
      <c r="AW400" s="408">
        <v>0</v>
      </c>
      <c r="AX400" s="408">
        <v>0</v>
      </c>
      <c r="AY400" s="408">
        <v>0</v>
      </c>
      <c r="AZ400" s="408">
        <v>0</v>
      </c>
      <c r="BA400" s="408"/>
      <c r="BB400" s="408">
        <v>0</v>
      </c>
      <c r="BC400" s="408">
        <v>0</v>
      </c>
      <c r="BD400" s="408">
        <v>0</v>
      </c>
      <c r="BE400" s="408">
        <v>0</v>
      </c>
      <c r="BF400" s="408">
        <v>0</v>
      </c>
      <c r="BG400" s="408">
        <v>5405.4183076325307</v>
      </c>
      <c r="BH400" s="408">
        <v>0</v>
      </c>
      <c r="BI400" s="408">
        <v>263.33999999999997</v>
      </c>
      <c r="BJ400" s="408">
        <v>2265.75</v>
      </c>
      <c r="BK400" s="408">
        <v>169802.85</v>
      </c>
      <c r="BL400" s="408">
        <v>199</v>
      </c>
      <c r="BM400" s="408"/>
      <c r="BN400" s="408"/>
      <c r="BO400" s="408"/>
      <c r="BP400" s="408"/>
      <c r="BQ400" s="408">
        <v>18461.928709799999</v>
      </c>
      <c r="BR400" s="408"/>
      <c r="BS400" s="408"/>
      <c r="BT400" s="408"/>
      <c r="BU400" s="408"/>
      <c r="BV400" s="408">
        <v>108401.27282563028</v>
      </c>
      <c r="BW400" s="408"/>
      <c r="BX400" s="408"/>
      <c r="BY400" s="408"/>
      <c r="BZ400" s="408"/>
      <c r="CA400" s="408"/>
      <c r="CB400" s="408"/>
      <c r="CC400" s="408"/>
      <c r="CD400" s="408"/>
      <c r="CE400" s="408"/>
      <c r="CF400" s="408"/>
      <c r="CG400" s="408"/>
      <c r="CH400" s="408"/>
      <c r="CI400" s="408">
        <v>289237.80930000002</v>
      </c>
      <c r="CJ400" s="408">
        <v>-18527.906488200009</v>
      </c>
      <c r="CK400" s="408"/>
      <c r="CL400" s="408"/>
      <c r="CM400" s="408"/>
      <c r="CN400" s="408"/>
      <c r="CO400" s="408">
        <v>-32765.820930000002</v>
      </c>
      <c r="CP400" s="408">
        <v>13054.328730000003</v>
      </c>
      <c r="CQ400" s="408"/>
      <c r="CR400" s="408">
        <v>15664.706452648621</v>
      </c>
      <c r="CS400" s="408">
        <v>327.3717594535492</v>
      </c>
      <c r="CT400" s="408">
        <v>1526.4862181701992</v>
      </c>
      <c r="CU400" s="408">
        <v>0</v>
      </c>
      <c r="CV400" s="408">
        <v>0</v>
      </c>
      <c r="CW400" s="408">
        <v>0</v>
      </c>
      <c r="CX400" s="408">
        <v>0</v>
      </c>
      <c r="CY400" s="408">
        <v>0</v>
      </c>
      <c r="CZ400" s="408">
        <v>1531.0272136056153</v>
      </c>
      <c r="DA400" s="408">
        <v>0</v>
      </c>
      <c r="DB400" s="408">
        <v>0</v>
      </c>
      <c r="DC400" s="408">
        <v>13052.854820795605</v>
      </c>
      <c r="DD400" s="408">
        <v>0</v>
      </c>
      <c r="DE400" s="408">
        <v>0</v>
      </c>
      <c r="DF400" s="408">
        <v>0</v>
      </c>
      <c r="DG400" s="408">
        <v>685.03864301519934</v>
      </c>
      <c r="DH400" s="408">
        <v>0</v>
      </c>
      <c r="DI400" s="408">
        <v>-1263.6394712458205</v>
      </c>
      <c r="DJ400" s="408"/>
      <c r="DK400" s="408">
        <v>0</v>
      </c>
      <c r="DL400" s="408">
        <v>0</v>
      </c>
      <c r="DM400" s="408">
        <v>0</v>
      </c>
      <c r="DN400" s="408">
        <v>0</v>
      </c>
      <c r="DO400" s="408">
        <v>-173.77073777329042</v>
      </c>
      <c r="DP400" s="408">
        <v>-20.661993372472011</v>
      </c>
      <c r="DQ400" s="408">
        <v>0</v>
      </c>
      <c r="DR400" s="408">
        <v>0</v>
      </c>
      <c r="DS400" s="408"/>
      <c r="DT400" s="408"/>
      <c r="DU400" s="408"/>
      <c r="DV400" s="408">
        <v>142416.80440685424</v>
      </c>
      <c r="DW400" s="408">
        <v>0</v>
      </c>
      <c r="DX400" s="408">
        <v>0</v>
      </c>
      <c r="DY400" s="408">
        <v>-32765.820929999987</v>
      </c>
      <c r="DZ400" s="408">
        <v>13054.328729999994</v>
      </c>
      <c r="EA400" s="408">
        <v>0</v>
      </c>
      <c r="EB400" s="408">
        <v>0</v>
      </c>
      <c r="EC400" s="408">
        <v>-35378.749969124998</v>
      </c>
      <c r="ED400" s="408">
        <v>0</v>
      </c>
      <c r="EE400" s="408">
        <v>0</v>
      </c>
      <c r="EF400" s="408">
        <v>0</v>
      </c>
      <c r="EG400" s="408">
        <v>0</v>
      </c>
      <c r="EH400" s="408">
        <v>0</v>
      </c>
      <c r="EI400" s="408">
        <v>0</v>
      </c>
      <c r="EJ400" s="408">
        <v>0</v>
      </c>
      <c r="EK400" s="408">
        <v>0</v>
      </c>
      <c r="EL400" s="408">
        <v>0</v>
      </c>
      <c r="EM400" s="408">
        <v>0</v>
      </c>
      <c r="EN400" s="408">
        <v>0</v>
      </c>
      <c r="EO400" s="408">
        <v>0</v>
      </c>
      <c r="EP400" s="408">
        <v>9503.5646940582701</v>
      </c>
      <c r="EQ400" s="408">
        <v>0</v>
      </c>
      <c r="ER400" s="408">
        <v>0</v>
      </c>
      <c r="ES400" s="408">
        <v>0</v>
      </c>
      <c r="ET400" s="408">
        <v>0</v>
      </c>
      <c r="EU400" s="408">
        <v>0</v>
      </c>
      <c r="EV400" s="408">
        <v>240</v>
      </c>
      <c r="EW400" s="408">
        <v>0</v>
      </c>
      <c r="EX400" s="408">
        <v>0</v>
      </c>
      <c r="EY400" s="408">
        <v>0</v>
      </c>
      <c r="EZ400" s="408"/>
      <c r="FA400" s="408">
        <v>0</v>
      </c>
      <c r="FB400" s="408"/>
      <c r="FC400" s="408"/>
      <c r="FD400" s="408"/>
      <c r="FE400" s="408"/>
      <c r="FF400" s="408">
        <v>0</v>
      </c>
      <c r="FG400" s="408">
        <v>0</v>
      </c>
      <c r="FH400" s="408">
        <v>0</v>
      </c>
      <c r="FI400" s="408">
        <v>0</v>
      </c>
    </row>
    <row r="401" spans="1:165">
      <c r="A401" s="408">
        <v>399</v>
      </c>
      <c r="B401" s="408" t="s">
        <v>1036</v>
      </c>
      <c r="C401" s="408" t="s">
        <v>2247</v>
      </c>
      <c r="D401" s="408" t="s">
        <v>597</v>
      </c>
      <c r="E401" s="408" t="s">
        <v>1001</v>
      </c>
      <c r="F401" s="408" t="s">
        <v>2251</v>
      </c>
      <c r="G401" s="408" t="s">
        <v>1322</v>
      </c>
      <c r="H401" s="408" t="s">
        <v>1322</v>
      </c>
      <c r="I401" s="408" t="s">
        <v>973</v>
      </c>
      <c r="J401" s="408" t="s">
        <v>2236</v>
      </c>
      <c r="K401" s="826">
        <v>44531</v>
      </c>
      <c r="L401" s="408">
        <v>70</v>
      </c>
      <c r="M401" s="408">
        <v>65.8</v>
      </c>
      <c r="N401" s="408">
        <v>3.8980000000000001</v>
      </c>
      <c r="O401" s="408">
        <v>3.66412</v>
      </c>
      <c r="P401" s="408">
        <v>3.8980000000000001</v>
      </c>
      <c r="Q401" s="408">
        <v>3.66412</v>
      </c>
      <c r="R401" s="408">
        <v>52.95</v>
      </c>
      <c r="S401" s="408">
        <v>85.01</v>
      </c>
      <c r="T401" s="408">
        <v>173.25</v>
      </c>
      <c r="U401" s="408">
        <v>3706.5</v>
      </c>
      <c r="V401" s="408">
        <v>1006.69748</v>
      </c>
      <c r="W401" s="408">
        <v>4713.1974800000007</v>
      </c>
      <c r="X401" s="408">
        <v>4183.7556599999998</v>
      </c>
      <c r="Y401" s="408">
        <v>0</v>
      </c>
      <c r="Z401" s="408">
        <v>208.71571797669668</v>
      </c>
      <c r="AA401" s="408">
        <v>0</v>
      </c>
      <c r="AB401" s="408">
        <v>0</v>
      </c>
      <c r="AC401" s="408">
        <v>55.13663774199847</v>
      </c>
      <c r="AD401" s="408">
        <v>52.972622707879907</v>
      </c>
      <c r="AE401" s="408">
        <v>2935.3599792224049</v>
      </c>
      <c r="AF401" s="408">
        <v>663.98715434155008</v>
      </c>
      <c r="AG401" s="408">
        <v>11.332396302049794</v>
      </c>
      <c r="AH401" s="408">
        <v>0</v>
      </c>
      <c r="AI401" s="408">
        <v>0</v>
      </c>
      <c r="AJ401" s="408">
        <v>0</v>
      </c>
      <c r="AK401" s="408">
        <v>0</v>
      </c>
      <c r="AL401" s="408">
        <v>37.066200021014446</v>
      </c>
      <c r="AM401" s="408"/>
      <c r="AN401" s="408">
        <v>3.1215722989523718</v>
      </c>
      <c r="AO401" s="408">
        <v>117.04356178510169</v>
      </c>
      <c r="AP401" s="408">
        <v>545.74974404936506</v>
      </c>
      <c r="AQ401" s="408">
        <v>0</v>
      </c>
      <c r="AR401" s="408">
        <v>0</v>
      </c>
      <c r="AS401" s="408">
        <v>0</v>
      </c>
      <c r="AT401" s="408">
        <v>0</v>
      </c>
      <c r="AU401" s="408">
        <v>0</v>
      </c>
      <c r="AV401" s="408">
        <v>0</v>
      </c>
      <c r="AW401" s="408">
        <v>0</v>
      </c>
      <c r="AX401" s="408">
        <v>0</v>
      </c>
      <c r="AY401" s="408">
        <v>0</v>
      </c>
      <c r="AZ401" s="408">
        <v>0</v>
      </c>
      <c r="BA401" s="408"/>
      <c r="BB401" s="408">
        <v>0</v>
      </c>
      <c r="BC401" s="408">
        <v>0</v>
      </c>
      <c r="BD401" s="408">
        <v>0</v>
      </c>
      <c r="BE401" s="408">
        <v>0</v>
      </c>
      <c r="BF401" s="408">
        <v>0</v>
      </c>
      <c r="BG401" s="408">
        <v>29.151803360553959</v>
      </c>
      <c r="BH401" s="408">
        <v>0</v>
      </c>
      <c r="BI401" s="408">
        <v>0</v>
      </c>
      <c r="BJ401" s="408">
        <v>0</v>
      </c>
      <c r="BK401" s="408">
        <v>0</v>
      </c>
      <c r="BL401" s="408">
        <v>0</v>
      </c>
      <c r="BM401" s="408"/>
      <c r="BN401" s="408"/>
      <c r="BO401" s="408"/>
      <c r="BP401" s="408"/>
      <c r="BQ401" s="408">
        <v>251.02533960000017</v>
      </c>
      <c r="BR401" s="408"/>
      <c r="BS401" s="408"/>
      <c r="BT401" s="408"/>
      <c r="BU401" s="408"/>
      <c r="BV401" s="408">
        <v>693.13895770210399</v>
      </c>
      <c r="BW401" s="408"/>
      <c r="BX401" s="408"/>
      <c r="BY401" s="408"/>
      <c r="BZ401" s="408"/>
      <c r="CA401" s="408"/>
      <c r="CB401" s="408"/>
      <c r="CC401" s="408"/>
      <c r="CD401" s="408"/>
      <c r="CE401" s="408"/>
      <c r="CF401" s="408"/>
      <c r="CG401" s="408"/>
      <c r="CH401" s="408"/>
      <c r="CI401" s="408">
        <v>3931.5822000000003</v>
      </c>
      <c r="CJ401" s="408">
        <v>-498.85343120000061</v>
      </c>
      <c r="CK401" s="408"/>
      <c r="CL401" s="408"/>
      <c r="CM401" s="408"/>
      <c r="CN401" s="408"/>
      <c r="CO401" s="408">
        <v>-613.59964000000025</v>
      </c>
      <c r="CP401" s="408">
        <v>84.157820000000015</v>
      </c>
      <c r="CQ401" s="408"/>
      <c r="CR401" s="408">
        <v>200.13707254789665</v>
      </c>
      <c r="CS401" s="408">
        <v>11.66314075798762</v>
      </c>
      <c r="CT401" s="408">
        <v>54.382795485753718</v>
      </c>
      <c r="CU401" s="408">
        <v>0</v>
      </c>
      <c r="CV401" s="408">
        <v>0</v>
      </c>
      <c r="CW401" s="408">
        <v>0</v>
      </c>
      <c r="CX401" s="408">
        <v>0</v>
      </c>
      <c r="CY401" s="408">
        <v>0</v>
      </c>
      <c r="CZ401" s="408">
        <v>54.544249596811596</v>
      </c>
      <c r="DA401" s="408">
        <v>0</v>
      </c>
      <c r="DB401" s="408">
        <v>0</v>
      </c>
      <c r="DC401" s="408">
        <v>84.148318095452851</v>
      </c>
      <c r="DD401" s="408">
        <v>0</v>
      </c>
      <c r="DE401" s="408">
        <v>0</v>
      </c>
      <c r="DF401" s="408">
        <v>0</v>
      </c>
      <c r="DG401" s="408">
        <v>3.6944618675229925</v>
      </c>
      <c r="DH401" s="408">
        <v>0</v>
      </c>
      <c r="DI401" s="408">
        <v>-7.0873253208185929</v>
      </c>
      <c r="DJ401" s="408"/>
      <c r="DK401" s="408">
        <v>0</v>
      </c>
      <c r="DL401" s="408">
        <v>0</v>
      </c>
      <c r="DM401" s="408">
        <v>0</v>
      </c>
      <c r="DN401" s="408">
        <v>0</v>
      </c>
      <c r="DO401" s="408">
        <v>-1.1202541910243298</v>
      </c>
      <c r="DP401" s="408">
        <v>-8.8313743788964061E-2</v>
      </c>
      <c r="DQ401" s="408">
        <v>0</v>
      </c>
      <c r="DR401" s="408">
        <v>0</v>
      </c>
      <c r="DS401" s="408"/>
      <c r="DT401" s="408"/>
      <c r="DU401" s="408">
        <v>2935.3599792224049</v>
      </c>
      <c r="DV401" s="408">
        <v>0</v>
      </c>
      <c r="DW401" s="408">
        <v>0</v>
      </c>
      <c r="DX401" s="408">
        <v>0</v>
      </c>
      <c r="DY401" s="408">
        <v>-613.59964000000036</v>
      </c>
      <c r="DZ401" s="408">
        <v>84.157820000000015</v>
      </c>
      <c r="EA401" s="408">
        <v>0</v>
      </c>
      <c r="EB401" s="408">
        <v>0</v>
      </c>
      <c r="EC401" s="408">
        <v>-729.19321007658982</v>
      </c>
      <c r="ED401" s="408">
        <v>0</v>
      </c>
      <c r="EE401" s="408">
        <v>0</v>
      </c>
      <c r="EF401" s="408">
        <v>0</v>
      </c>
      <c r="EG401" s="408">
        <v>0</v>
      </c>
      <c r="EH401" s="408">
        <v>0</v>
      </c>
      <c r="EI401" s="408">
        <v>0</v>
      </c>
      <c r="EJ401" s="408">
        <v>0</v>
      </c>
      <c r="EK401" s="408">
        <v>0</v>
      </c>
      <c r="EL401" s="408">
        <v>0</v>
      </c>
      <c r="EM401" s="408">
        <v>0</v>
      </c>
      <c r="EN401" s="408">
        <v>0</v>
      </c>
      <c r="EO401" s="408">
        <v>0</v>
      </c>
      <c r="EP401" s="408">
        <v>53.302271911333591</v>
      </c>
      <c r="EQ401" s="408">
        <v>0</v>
      </c>
      <c r="ER401" s="408">
        <v>0</v>
      </c>
      <c r="ES401" s="408">
        <v>0</v>
      </c>
      <c r="ET401" s="408">
        <v>0</v>
      </c>
      <c r="EU401" s="408">
        <v>0</v>
      </c>
      <c r="EV401" s="408">
        <v>240</v>
      </c>
      <c r="EW401" s="408">
        <v>0</v>
      </c>
      <c r="EX401" s="408">
        <v>0</v>
      </c>
      <c r="EY401" s="408">
        <v>0</v>
      </c>
      <c r="EZ401" s="408"/>
      <c r="FA401" s="408">
        <v>0</v>
      </c>
      <c r="FB401" s="408"/>
      <c r="FC401" s="408"/>
      <c r="FD401" s="408"/>
      <c r="FE401" s="408"/>
      <c r="FF401" s="408">
        <v>0</v>
      </c>
      <c r="FG401" s="408">
        <v>0</v>
      </c>
      <c r="FH401" s="408">
        <v>0</v>
      </c>
      <c r="FI401" s="408">
        <v>0</v>
      </c>
    </row>
    <row r="402" spans="1:165">
      <c r="A402" s="408">
        <v>400</v>
      </c>
      <c r="B402" s="408" t="s">
        <v>1036</v>
      </c>
      <c r="C402" s="408" t="s">
        <v>2247</v>
      </c>
      <c r="D402" s="408" t="s">
        <v>597</v>
      </c>
      <c r="E402" s="408" t="s">
        <v>1001</v>
      </c>
      <c r="F402" s="408" t="s">
        <v>2251</v>
      </c>
      <c r="G402" s="408" t="s">
        <v>1322</v>
      </c>
      <c r="H402" s="408" t="s">
        <v>1322</v>
      </c>
      <c r="I402" s="408" t="s">
        <v>2244</v>
      </c>
      <c r="J402" s="408" t="s">
        <v>2236</v>
      </c>
      <c r="K402" s="826">
        <v>44531</v>
      </c>
      <c r="L402" s="408">
        <v>70</v>
      </c>
      <c r="M402" s="408">
        <v>65.8</v>
      </c>
      <c r="N402" s="408">
        <v>24.754999999999999</v>
      </c>
      <c r="O402" s="408">
        <v>23.2697</v>
      </c>
      <c r="P402" s="408">
        <v>24.754999999999999</v>
      </c>
      <c r="Q402" s="408">
        <v>23.2697</v>
      </c>
      <c r="R402" s="408">
        <v>27.19</v>
      </c>
      <c r="S402" s="408">
        <v>85.01</v>
      </c>
      <c r="T402" s="408">
        <v>173.25</v>
      </c>
      <c r="U402" s="408">
        <v>1903.3000000000002</v>
      </c>
      <c r="V402" s="408">
        <v>6393.2263000000003</v>
      </c>
      <c r="W402" s="408">
        <v>8296.5263000000014</v>
      </c>
      <c r="X402" s="408">
        <v>8421.6758499999996</v>
      </c>
      <c r="Y402" s="408">
        <v>0</v>
      </c>
      <c r="Z402" s="408">
        <v>1325.4893787873591</v>
      </c>
      <c r="AA402" s="408">
        <v>0</v>
      </c>
      <c r="AB402" s="408">
        <v>0</v>
      </c>
      <c r="AC402" s="408">
        <v>16.32404293992948</v>
      </c>
      <c r="AD402" s="408">
        <v>15.682438755929681</v>
      </c>
      <c r="AE402" s="408">
        <v>1675.2421170211649</v>
      </c>
      <c r="AF402" s="408">
        <v>4216.7783493394236</v>
      </c>
      <c r="AG402" s="408">
        <v>71.968566048548652</v>
      </c>
      <c r="AH402" s="408">
        <v>0</v>
      </c>
      <c r="AI402" s="408">
        <v>0</v>
      </c>
      <c r="AJ402" s="408">
        <v>0</v>
      </c>
      <c r="AK402" s="408">
        <v>0</v>
      </c>
      <c r="AL402" s="408">
        <v>235.39604451519051</v>
      </c>
      <c r="AM402" s="408"/>
      <c r="AN402" s="408">
        <v>19.824146295681363</v>
      </c>
      <c r="AO402" s="408">
        <v>34.641938176332481</v>
      </c>
      <c r="AP402" s="408">
        <v>161.5662190108043</v>
      </c>
      <c r="AQ402" s="408">
        <v>0</v>
      </c>
      <c r="AR402" s="408">
        <v>0</v>
      </c>
      <c r="AS402" s="408">
        <v>0</v>
      </c>
      <c r="AT402" s="408">
        <v>0</v>
      </c>
      <c r="AU402" s="408">
        <v>0</v>
      </c>
      <c r="AV402" s="408">
        <v>0</v>
      </c>
      <c r="AW402" s="408">
        <v>0</v>
      </c>
      <c r="AX402" s="408">
        <v>0</v>
      </c>
      <c r="AY402" s="408">
        <v>0</v>
      </c>
      <c r="AZ402" s="408">
        <v>0</v>
      </c>
      <c r="BA402" s="408"/>
      <c r="BB402" s="408">
        <v>0</v>
      </c>
      <c r="BC402" s="408">
        <v>0</v>
      </c>
      <c r="BD402" s="408">
        <v>0</v>
      </c>
      <c r="BE402" s="408">
        <v>0</v>
      </c>
      <c r="BF402" s="408">
        <v>0</v>
      </c>
      <c r="BG402" s="408">
        <v>185.13414371229172</v>
      </c>
      <c r="BH402" s="408">
        <v>0</v>
      </c>
      <c r="BI402" s="408">
        <v>0</v>
      </c>
      <c r="BJ402" s="408">
        <v>0</v>
      </c>
      <c r="BK402" s="408">
        <v>0</v>
      </c>
      <c r="BL402" s="408">
        <v>0</v>
      </c>
      <c r="BM402" s="408"/>
      <c r="BN402" s="408"/>
      <c r="BO402" s="408"/>
      <c r="BP402" s="408"/>
      <c r="BQ402" s="408">
        <v>505.3005509999997</v>
      </c>
      <c r="BR402" s="408"/>
      <c r="BS402" s="408"/>
      <c r="BT402" s="408"/>
      <c r="BU402" s="408"/>
      <c r="BV402" s="408">
        <v>4401.9124930517155</v>
      </c>
      <c r="BW402" s="408"/>
      <c r="BX402" s="408"/>
      <c r="BY402" s="408"/>
      <c r="BZ402" s="408"/>
      <c r="CA402" s="408"/>
      <c r="CB402" s="408"/>
      <c r="CC402" s="408"/>
      <c r="CD402" s="408"/>
      <c r="CE402" s="408"/>
      <c r="CF402" s="408"/>
      <c r="CG402" s="408"/>
      <c r="CH402" s="408"/>
      <c r="CI402" s="408">
        <v>7916.4588999999996</v>
      </c>
      <c r="CJ402" s="408">
        <v>117.69417799999883</v>
      </c>
      <c r="CK402" s="408"/>
      <c r="CL402" s="408"/>
      <c r="CM402" s="408"/>
      <c r="CN402" s="408"/>
      <c r="CO402" s="408">
        <v>-409.31090000000012</v>
      </c>
      <c r="CP402" s="408">
        <v>534.46045000000004</v>
      </c>
      <c r="CQ402" s="408"/>
      <c r="CR402" s="408">
        <v>540.87726899488916</v>
      </c>
      <c r="CS402" s="408">
        <v>3.451995094116235</v>
      </c>
      <c r="CT402" s="408">
        <v>16.099728385903376</v>
      </c>
      <c r="CU402" s="408">
        <v>0</v>
      </c>
      <c r="CV402" s="408">
        <v>0</v>
      </c>
      <c r="CW402" s="408">
        <v>0</v>
      </c>
      <c r="CX402" s="408">
        <v>0</v>
      </c>
      <c r="CY402" s="408">
        <v>0</v>
      </c>
      <c r="CZ402" s="408">
        <v>16.14771574568271</v>
      </c>
      <c r="DA402" s="408">
        <v>0</v>
      </c>
      <c r="DB402" s="408">
        <v>0</v>
      </c>
      <c r="DC402" s="408">
        <v>534.40010632450776</v>
      </c>
      <c r="DD402" s="408">
        <v>0</v>
      </c>
      <c r="DE402" s="408">
        <v>0</v>
      </c>
      <c r="DF402" s="408">
        <v>0</v>
      </c>
      <c r="DG402" s="408">
        <v>23.462391875457115</v>
      </c>
      <c r="DH402" s="408">
        <v>0</v>
      </c>
      <c r="DI402" s="408">
        <v>-45.009424914536794</v>
      </c>
      <c r="DJ402" s="408"/>
      <c r="DK402" s="408">
        <v>0</v>
      </c>
      <c r="DL402" s="408">
        <v>0</v>
      </c>
      <c r="DM402" s="408">
        <v>0</v>
      </c>
      <c r="DN402" s="408">
        <v>0</v>
      </c>
      <c r="DO402" s="408">
        <v>-7.1143900715257189</v>
      </c>
      <c r="DP402" s="408">
        <v>-0.56085344471416221</v>
      </c>
      <c r="DQ402" s="408">
        <v>0</v>
      </c>
      <c r="DR402" s="408">
        <v>0</v>
      </c>
      <c r="DS402" s="408"/>
      <c r="DT402" s="408"/>
      <c r="DU402" s="408">
        <v>1675.2421170211649</v>
      </c>
      <c r="DV402" s="408">
        <v>0</v>
      </c>
      <c r="DW402" s="408">
        <v>0</v>
      </c>
      <c r="DX402" s="408">
        <v>0</v>
      </c>
      <c r="DY402" s="408">
        <v>-409.3109000000004</v>
      </c>
      <c r="DZ402" s="408">
        <v>534.46044999999958</v>
      </c>
      <c r="EA402" s="408">
        <v>0</v>
      </c>
      <c r="EB402" s="408">
        <v>0</v>
      </c>
      <c r="EC402" s="408">
        <v>-416.15855827324094</v>
      </c>
      <c r="ED402" s="408">
        <v>0</v>
      </c>
      <c r="EE402" s="408">
        <v>0</v>
      </c>
      <c r="EF402" s="408">
        <v>0</v>
      </c>
      <c r="EG402" s="408">
        <v>0</v>
      </c>
      <c r="EH402" s="408">
        <v>0</v>
      </c>
      <c r="EI402" s="408">
        <v>0</v>
      </c>
      <c r="EJ402" s="408">
        <v>0</v>
      </c>
      <c r="EK402" s="408">
        <v>0</v>
      </c>
      <c r="EL402" s="408">
        <v>0</v>
      </c>
      <c r="EM402" s="408">
        <v>0</v>
      </c>
      <c r="EN402" s="408">
        <v>0</v>
      </c>
      <c r="EO402" s="408">
        <v>0</v>
      </c>
      <c r="EP402" s="408">
        <v>338.50634714342306</v>
      </c>
      <c r="EQ402" s="408">
        <v>0</v>
      </c>
      <c r="ER402" s="408">
        <v>0</v>
      </c>
      <c r="ES402" s="408">
        <v>0</v>
      </c>
      <c r="ET402" s="408">
        <v>0</v>
      </c>
      <c r="EU402" s="408">
        <v>0</v>
      </c>
      <c r="EV402" s="408">
        <v>240</v>
      </c>
      <c r="EW402" s="408">
        <v>0</v>
      </c>
      <c r="EX402" s="408">
        <v>0</v>
      </c>
      <c r="EY402" s="408">
        <v>0</v>
      </c>
      <c r="EZ402" s="408"/>
      <c r="FA402" s="408">
        <v>0</v>
      </c>
      <c r="FB402" s="408"/>
      <c r="FC402" s="408"/>
      <c r="FD402" s="408"/>
      <c r="FE402" s="408"/>
      <c r="FF402" s="408">
        <v>0</v>
      </c>
      <c r="FG402" s="408">
        <v>0</v>
      </c>
      <c r="FH402" s="408">
        <v>0</v>
      </c>
      <c r="FI402" s="408">
        <v>0</v>
      </c>
    </row>
    <row r="403" spans="1:165">
      <c r="A403" s="408">
        <v>401</v>
      </c>
      <c r="B403" s="408" t="s">
        <v>1036</v>
      </c>
      <c r="C403" s="408" t="s">
        <v>2247</v>
      </c>
      <c r="D403" s="408" t="s">
        <v>597</v>
      </c>
      <c r="E403" s="408" t="s">
        <v>1001</v>
      </c>
      <c r="F403" s="408" t="s">
        <v>2251</v>
      </c>
      <c r="G403" s="408" t="s">
        <v>1322</v>
      </c>
      <c r="H403" s="408" t="s">
        <v>1322</v>
      </c>
      <c r="I403" s="408" t="s">
        <v>1322</v>
      </c>
      <c r="J403" s="408" t="s">
        <v>2236</v>
      </c>
      <c r="K403" s="826">
        <v>44531</v>
      </c>
      <c r="L403" s="408">
        <v>0</v>
      </c>
      <c r="M403" s="408">
        <v>0</v>
      </c>
      <c r="N403" s="408">
        <v>0</v>
      </c>
      <c r="O403" s="408">
        <v>0</v>
      </c>
      <c r="P403" s="408">
        <v>0</v>
      </c>
      <c r="Q403" s="408">
        <v>0</v>
      </c>
      <c r="R403" s="408"/>
      <c r="S403" s="408"/>
      <c r="T403" s="408"/>
      <c r="U403" s="408"/>
      <c r="V403" s="408"/>
      <c r="W403" s="408"/>
      <c r="X403" s="408"/>
      <c r="Y403" s="408"/>
      <c r="Z403" s="408"/>
      <c r="AA403" s="408">
        <v>0</v>
      </c>
      <c r="AB403" s="408"/>
      <c r="AC403" s="408"/>
      <c r="AD403" s="408"/>
      <c r="AE403" s="408"/>
      <c r="AF403" s="408"/>
      <c r="AG403" s="408"/>
      <c r="AH403" s="408"/>
      <c r="AI403" s="408"/>
      <c r="AJ403" s="408"/>
      <c r="AK403" s="408"/>
      <c r="AL403" s="408"/>
      <c r="AM403" s="408"/>
      <c r="AN403" s="408"/>
      <c r="AO403" s="408"/>
      <c r="AP403" s="408"/>
      <c r="AQ403" s="408"/>
      <c r="AR403" s="408"/>
      <c r="AS403" s="408"/>
      <c r="AT403" s="408"/>
      <c r="AU403" s="408"/>
      <c r="AV403" s="408"/>
      <c r="AW403" s="408"/>
      <c r="AX403" s="408"/>
      <c r="AY403" s="408"/>
      <c r="AZ403" s="408">
        <v>0</v>
      </c>
      <c r="BA403" s="408"/>
      <c r="BB403" s="408"/>
      <c r="BC403" s="408"/>
      <c r="BD403" s="408"/>
      <c r="BE403" s="408"/>
      <c r="BF403" s="408"/>
      <c r="BG403" s="408"/>
      <c r="BH403" s="408"/>
      <c r="BI403" s="408">
        <v>11.65</v>
      </c>
      <c r="BJ403" s="408">
        <v>99.9</v>
      </c>
      <c r="BK403" s="408">
        <v>7479.07</v>
      </c>
      <c r="BL403" s="408">
        <v>1</v>
      </c>
      <c r="BM403" s="408"/>
      <c r="BN403" s="408"/>
      <c r="BO403" s="408"/>
      <c r="BP403" s="408"/>
      <c r="BQ403" s="408"/>
      <c r="BR403" s="408"/>
      <c r="BS403" s="408"/>
      <c r="BT403" s="408"/>
      <c r="BU403" s="408"/>
      <c r="BV403" s="408"/>
      <c r="BW403" s="408"/>
      <c r="BX403" s="408"/>
      <c r="BY403" s="408"/>
      <c r="BZ403" s="408"/>
      <c r="CA403" s="408"/>
      <c r="CB403" s="408"/>
      <c r="CC403" s="408"/>
      <c r="CD403" s="408"/>
      <c r="CE403" s="408"/>
      <c r="CF403" s="408"/>
      <c r="CG403" s="408"/>
      <c r="CH403" s="408"/>
      <c r="CI403" s="408"/>
      <c r="CJ403" s="408">
        <v>-0.03</v>
      </c>
      <c r="CK403" s="408"/>
      <c r="CL403" s="408"/>
      <c r="CM403" s="408"/>
      <c r="CN403" s="408"/>
      <c r="CO403" s="408">
        <v>0</v>
      </c>
      <c r="CP403" s="408">
        <v>0</v>
      </c>
      <c r="CQ403" s="408"/>
      <c r="CR403" s="408"/>
      <c r="CS403" s="408"/>
      <c r="CT403" s="408"/>
      <c r="CU403" s="408"/>
      <c r="CV403" s="408"/>
      <c r="CW403" s="408"/>
      <c r="CX403" s="408"/>
      <c r="CY403" s="408"/>
      <c r="CZ403" s="408"/>
      <c r="DA403" s="408"/>
      <c r="DB403" s="408"/>
      <c r="DC403" s="408"/>
      <c r="DD403" s="408"/>
      <c r="DE403" s="408"/>
      <c r="DF403" s="408"/>
      <c r="DG403" s="408"/>
      <c r="DH403" s="408"/>
      <c r="DI403" s="408"/>
      <c r="DJ403" s="408"/>
      <c r="DK403" s="408">
        <v>0</v>
      </c>
      <c r="DL403" s="408"/>
      <c r="DM403" s="408"/>
      <c r="DN403" s="408"/>
      <c r="DO403" s="408"/>
      <c r="DP403" s="408"/>
      <c r="DQ403" s="408"/>
      <c r="DR403" s="408"/>
      <c r="DS403" s="408"/>
      <c r="DT403" s="408"/>
      <c r="DU403" s="408"/>
      <c r="DV403" s="408"/>
      <c r="DW403" s="408"/>
      <c r="DX403" s="408"/>
      <c r="DY403" s="408"/>
      <c r="DZ403" s="408"/>
      <c r="EA403" s="408"/>
      <c r="EB403" s="408"/>
      <c r="EC403" s="408"/>
      <c r="ED403" s="408"/>
      <c r="EE403" s="408"/>
      <c r="EF403" s="408"/>
      <c r="EG403" s="408"/>
      <c r="EH403" s="408"/>
      <c r="EI403" s="408"/>
      <c r="EJ403" s="408"/>
      <c r="EK403" s="408"/>
      <c r="EL403" s="408"/>
      <c r="EM403" s="408"/>
      <c r="EN403" s="408"/>
      <c r="EO403" s="408"/>
      <c r="EP403" s="408"/>
      <c r="EQ403" s="408"/>
      <c r="ER403" s="408"/>
      <c r="ES403" s="408"/>
      <c r="ET403" s="408"/>
      <c r="EU403" s="408"/>
      <c r="EV403" s="408">
        <v>240</v>
      </c>
      <c r="EW403" s="408"/>
      <c r="EX403" s="408"/>
      <c r="EY403" s="408"/>
      <c r="EZ403" s="408"/>
      <c r="FA403" s="408">
        <v>0</v>
      </c>
      <c r="FB403" s="408"/>
      <c r="FC403" s="408"/>
      <c r="FD403" s="408"/>
      <c r="FE403" s="408"/>
      <c r="FF403" s="408">
        <v>0</v>
      </c>
      <c r="FG403" s="408">
        <v>0</v>
      </c>
      <c r="FH403" s="408">
        <v>0</v>
      </c>
      <c r="FI403" s="408">
        <v>0</v>
      </c>
    </row>
    <row r="404" spans="1:165">
      <c r="A404" s="408">
        <v>402</v>
      </c>
      <c r="B404" s="408" t="s">
        <v>1036</v>
      </c>
      <c r="C404" s="408" t="s">
        <v>2235</v>
      </c>
      <c r="D404" s="408" t="s">
        <v>1958</v>
      </c>
      <c r="E404" s="408" t="s">
        <v>2252</v>
      </c>
      <c r="F404" s="408" t="s">
        <v>1322</v>
      </c>
      <c r="G404" s="408" t="s">
        <v>1322</v>
      </c>
      <c r="H404" s="408" t="s">
        <v>1322</v>
      </c>
      <c r="I404" s="408" t="s">
        <v>1322</v>
      </c>
      <c r="J404" s="408" t="s">
        <v>2236</v>
      </c>
      <c r="K404" s="826">
        <v>44531</v>
      </c>
      <c r="L404" s="408">
        <v>0</v>
      </c>
      <c r="M404" s="408">
        <v>0</v>
      </c>
      <c r="N404" s="408">
        <v>10.471</v>
      </c>
      <c r="O404" s="408">
        <v>10.471</v>
      </c>
      <c r="P404" s="408">
        <v>10.471</v>
      </c>
      <c r="Q404" s="408">
        <v>10.471</v>
      </c>
      <c r="R404" s="408"/>
      <c r="S404" s="408">
        <v>368.24</v>
      </c>
      <c r="T404" s="408">
        <v>173.25</v>
      </c>
      <c r="U404" s="408"/>
      <c r="V404" s="408">
        <v>5669.9417900000008</v>
      </c>
      <c r="W404" s="408">
        <v>5669.9417900000008</v>
      </c>
      <c r="X404" s="408">
        <v>5328.5871900000002</v>
      </c>
      <c r="Y404" s="408">
        <v>0</v>
      </c>
      <c r="Z404" s="408">
        <v>644.43961328060743</v>
      </c>
      <c r="AA404" s="408">
        <v>0</v>
      </c>
      <c r="AB404" s="408">
        <v>0</v>
      </c>
      <c r="AC404" s="408">
        <v>26.800915747667066</v>
      </c>
      <c r="AD404" s="408">
        <v>25.749670248631951</v>
      </c>
      <c r="AE404" s="408">
        <v>2466.3090347660213</v>
      </c>
      <c r="AF404" s="408">
        <v>1783.6350674988125</v>
      </c>
      <c r="AG404" s="408">
        <v>30.441642298297431</v>
      </c>
      <c r="AH404" s="408">
        <v>0</v>
      </c>
      <c r="AI404" s="408">
        <v>0</v>
      </c>
      <c r="AJ404" s="408">
        <v>0</v>
      </c>
      <c r="AK404" s="408">
        <v>0</v>
      </c>
      <c r="AL404" s="408">
        <v>99.569056033874361</v>
      </c>
      <c r="AM404" s="408"/>
      <c r="AN404" s="408">
        <v>12.64746765609204</v>
      </c>
      <c r="AO404" s="408">
        <v>56.893084780444696</v>
      </c>
      <c r="AP404" s="408">
        <v>265.28406106715181</v>
      </c>
      <c r="AQ404" s="408">
        <v>0</v>
      </c>
      <c r="AR404" s="408">
        <v>0</v>
      </c>
      <c r="AS404" s="408">
        <v>0</v>
      </c>
      <c r="AT404" s="408">
        <v>0</v>
      </c>
      <c r="AU404" s="408">
        <v>0</v>
      </c>
      <c r="AV404" s="408">
        <v>0</v>
      </c>
      <c r="AW404" s="408">
        <v>0</v>
      </c>
      <c r="AX404" s="408">
        <v>0</v>
      </c>
      <c r="AY404" s="408">
        <v>0</v>
      </c>
      <c r="AZ404" s="408">
        <v>0</v>
      </c>
      <c r="BA404" s="408"/>
      <c r="BB404" s="408">
        <v>0</v>
      </c>
      <c r="BC404" s="408">
        <v>0</v>
      </c>
      <c r="BD404" s="408">
        <v>0</v>
      </c>
      <c r="BE404" s="408">
        <v>0</v>
      </c>
      <c r="BF404" s="408">
        <v>0</v>
      </c>
      <c r="BG404" s="408">
        <v>93.608560199951754</v>
      </c>
      <c r="BH404" s="408">
        <v>0</v>
      </c>
      <c r="BI404" s="408">
        <v>4.78</v>
      </c>
      <c r="BJ404" s="408">
        <v>41.17</v>
      </c>
      <c r="BK404" s="408">
        <v>2940.54</v>
      </c>
      <c r="BL404" s="408">
        <v>5</v>
      </c>
      <c r="BM404" s="408"/>
      <c r="BN404" s="408"/>
      <c r="BO404" s="408"/>
      <c r="BP404" s="408"/>
      <c r="BQ404" s="408"/>
      <c r="BR404" s="408"/>
      <c r="BS404" s="408"/>
      <c r="BT404" s="408"/>
      <c r="BU404" s="408"/>
      <c r="BV404" s="408">
        <v>1877.2436276987644</v>
      </c>
      <c r="BW404" s="408"/>
      <c r="BX404" s="408"/>
      <c r="BY404" s="408"/>
      <c r="BZ404" s="408"/>
      <c r="CA404" s="408"/>
      <c r="CB404" s="408"/>
      <c r="CC404" s="408"/>
      <c r="CD404" s="408"/>
      <c r="CE404" s="408"/>
      <c r="CF404" s="408"/>
      <c r="CG404" s="408"/>
      <c r="CH404" s="408"/>
      <c r="CI404" s="408">
        <v>5328.0783000000001</v>
      </c>
      <c r="CJ404" s="408">
        <v>-341.89349000000129</v>
      </c>
      <c r="CK404" s="408"/>
      <c r="CL404" s="408"/>
      <c r="CM404" s="408"/>
      <c r="CN404" s="408"/>
      <c r="CO404" s="408">
        <v>-567.42349000000002</v>
      </c>
      <c r="CP404" s="408">
        <v>226.06889000000004</v>
      </c>
      <c r="CQ404" s="408"/>
      <c r="CR404" s="408">
        <v>271.27421663496807</v>
      </c>
      <c r="CS404" s="408">
        <v>5.6692742926668274</v>
      </c>
      <c r="CT404" s="408">
        <v>26.434989655882077</v>
      </c>
      <c r="CU404" s="408">
        <v>0</v>
      </c>
      <c r="CV404" s="408">
        <v>0</v>
      </c>
      <c r="CW404" s="408">
        <v>0</v>
      </c>
      <c r="CX404" s="408">
        <v>0</v>
      </c>
      <c r="CY404" s="408">
        <v>0</v>
      </c>
      <c r="CZ404" s="408">
        <v>26.51362853642604</v>
      </c>
      <c r="DA404" s="408">
        <v>0</v>
      </c>
      <c r="DB404" s="408">
        <v>0</v>
      </c>
      <c r="DC404" s="408">
        <v>226.0433655150041</v>
      </c>
      <c r="DD404" s="408">
        <v>0</v>
      </c>
      <c r="DE404" s="408">
        <v>0</v>
      </c>
      <c r="DF404" s="408">
        <v>0</v>
      </c>
      <c r="DG404" s="408">
        <v>11.863185678606115</v>
      </c>
      <c r="DH404" s="408">
        <v>0</v>
      </c>
      <c r="DI404" s="408">
        <v>-21.883129997196761</v>
      </c>
      <c r="DJ404" s="408"/>
      <c r="DK404" s="408">
        <v>0</v>
      </c>
      <c r="DL404" s="408">
        <v>0</v>
      </c>
      <c r="DM404" s="408">
        <v>0</v>
      </c>
      <c r="DN404" s="408">
        <v>0</v>
      </c>
      <c r="DO404" s="408">
        <v>-3.0092821021589913</v>
      </c>
      <c r="DP404" s="408">
        <v>-0.35781494426194804</v>
      </c>
      <c r="DQ404" s="408">
        <v>0</v>
      </c>
      <c r="DR404" s="408">
        <v>0</v>
      </c>
      <c r="DS404" s="408"/>
      <c r="DT404" s="408"/>
      <c r="DU404" s="408"/>
      <c r="DV404" s="408">
        <v>2466.3090347660213</v>
      </c>
      <c r="DW404" s="408">
        <v>0</v>
      </c>
      <c r="DX404" s="408">
        <v>0</v>
      </c>
      <c r="DY404" s="408">
        <v>-567.42349000000013</v>
      </c>
      <c r="DZ404" s="408">
        <v>226.06889000000001</v>
      </c>
      <c r="EA404" s="408">
        <v>0</v>
      </c>
      <c r="EB404" s="408">
        <v>0</v>
      </c>
      <c r="EC404" s="408">
        <v>-612.67299916597244</v>
      </c>
      <c r="ED404" s="408">
        <v>0</v>
      </c>
      <c r="EE404" s="408">
        <v>0</v>
      </c>
      <c r="EF404" s="408">
        <v>0</v>
      </c>
      <c r="EG404" s="408">
        <v>0</v>
      </c>
      <c r="EH404" s="408">
        <v>0</v>
      </c>
      <c r="EI404" s="408">
        <v>0</v>
      </c>
      <c r="EJ404" s="408">
        <v>0</v>
      </c>
      <c r="EK404" s="408">
        <v>0</v>
      </c>
      <c r="EL404" s="408">
        <v>0</v>
      </c>
      <c r="EM404" s="408">
        <v>0</v>
      </c>
      <c r="EN404" s="408">
        <v>0</v>
      </c>
      <c r="EO404" s="408">
        <v>0</v>
      </c>
      <c r="EP404" s="408">
        <v>164.57838360478783</v>
      </c>
      <c r="EQ404" s="408">
        <v>0</v>
      </c>
      <c r="ER404" s="408">
        <v>0</v>
      </c>
      <c r="ES404" s="408">
        <v>0</v>
      </c>
      <c r="ET404" s="408">
        <v>0</v>
      </c>
      <c r="EU404" s="408">
        <v>0</v>
      </c>
      <c r="EV404" s="408">
        <v>240</v>
      </c>
      <c r="EW404" s="408">
        <v>0</v>
      </c>
      <c r="EX404" s="408">
        <v>0</v>
      </c>
      <c r="EY404" s="408">
        <v>0</v>
      </c>
      <c r="EZ404" s="408"/>
      <c r="FA404" s="408">
        <v>0</v>
      </c>
      <c r="FB404" s="408"/>
      <c r="FC404" s="408"/>
      <c r="FD404" s="408"/>
      <c r="FE404" s="408"/>
      <c r="FF404" s="408">
        <v>0</v>
      </c>
      <c r="FG404" s="408">
        <v>0</v>
      </c>
      <c r="FH404" s="408">
        <v>0</v>
      </c>
      <c r="FI404" s="408">
        <v>0</v>
      </c>
    </row>
    <row r="405" spans="1:165">
      <c r="A405" s="408">
        <v>403</v>
      </c>
      <c r="B405" s="408" t="s">
        <v>2238</v>
      </c>
      <c r="C405" s="408" t="s">
        <v>2235</v>
      </c>
      <c r="D405" s="408" t="s">
        <v>1958</v>
      </c>
      <c r="E405" s="408" t="s">
        <v>2252</v>
      </c>
      <c r="F405" s="408" t="s">
        <v>1322</v>
      </c>
      <c r="G405" s="408" t="s">
        <v>1322</v>
      </c>
      <c r="H405" s="408" t="s">
        <v>1322</v>
      </c>
      <c r="I405" s="408" t="s">
        <v>1322</v>
      </c>
      <c r="J405" s="408" t="s">
        <v>2236</v>
      </c>
      <c r="K405" s="826">
        <v>44531</v>
      </c>
      <c r="L405" s="408">
        <v>0</v>
      </c>
      <c r="M405" s="408">
        <v>0</v>
      </c>
      <c r="N405" s="408">
        <v>3.778</v>
      </c>
      <c r="O405" s="408">
        <v>3.778</v>
      </c>
      <c r="P405" s="408">
        <v>3.778</v>
      </c>
      <c r="Q405" s="408">
        <v>3.778</v>
      </c>
      <c r="R405" s="408"/>
      <c r="S405" s="408">
        <v>368.24</v>
      </c>
      <c r="T405" s="408">
        <v>173.25</v>
      </c>
      <c r="U405" s="408"/>
      <c r="V405" s="408">
        <v>2045.7492200000002</v>
      </c>
      <c r="W405" s="408">
        <v>2045.7492200000002</v>
      </c>
      <c r="X405" s="408">
        <v>1922.5864200000001</v>
      </c>
      <c r="Y405" s="408">
        <v>0</v>
      </c>
      <c r="Z405" s="408">
        <v>232.51770212722136</v>
      </c>
      <c r="AA405" s="408">
        <v>0</v>
      </c>
      <c r="AB405" s="408">
        <v>0</v>
      </c>
      <c r="AC405" s="408">
        <v>9.6699321645197376</v>
      </c>
      <c r="AD405" s="408">
        <v>9.2906364434468056</v>
      </c>
      <c r="AE405" s="408">
        <v>889.85918568866668</v>
      </c>
      <c r="AF405" s="408">
        <v>643.5462978713125</v>
      </c>
      <c r="AG405" s="408">
        <v>10.983528278384844</v>
      </c>
      <c r="AH405" s="408">
        <v>0</v>
      </c>
      <c r="AI405" s="408">
        <v>0</v>
      </c>
      <c r="AJ405" s="408">
        <v>0</v>
      </c>
      <c r="AK405" s="408">
        <v>0</v>
      </c>
      <c r="AL405" s="408">
        <v>35.9251163877354</v>
      </c>
      <c r="AM405" s="408"/>
      <c r="AN405" s="408">
        <v>4.5632826668623556</v>
      </c>
      <c r="AO405" s="408">
        <v>20.527368379383066</v>
      </c>
      <c r="AP405" s="408">
        <v>95.716090412730352</v>
      </c>
      <c r="AQ405" s="408">
        <v>0</v>
      </c>
      <c r="AR405" s="408">
        <v>0</v>
      </c>
      <c r="AS405" s="408">
        <v>0</v>
      </c>
      <c r="AT405" s="408">
        <v>0</v>
      </c>
      <c r="AU405" s="408">
        <v>0</v>
      </c>
      <c r="AV405" s="408">
        <v>0</v>
      </c>
      <c r="AW405" s="408">
        <v>0</v>
      </c>
      <c r="AX405" s="408">
        <v>0</v>
      </c>
      <c r="AY405" s="408">
        <v>0</v>
      </c>
      <c r="AZ405" s="408">
        <v>0</v>
      </c>
      <c r="BA405" s="408"/>
      <c r="BB405" s="408">
        <v>0</v>
      </c>
      <c r="BC405" s="408">
        <v>0</v>
      </c>
      <c r="BD405" s="408">
        <v>0</v>
      </c>
      <c r="BE405" s="408">
        <v>0</v>
      </c>
      <c r="BF405" s="408">
        <v>0</v>
      </c>
      <c r="BG405" s="408">
        <v>33.774533514985933</v>
      </c>
      <c r="BH405" s="408">
        <v>0</v>
      </c>
      <c r="BI405" s="408">
        <v>1.73</v>
      </c>
      <c r="BJ405" s="408">
        <v>14.85</v>
      </c>
      <c r="BK405" s="408">
        <v>1147.79</v>
      </c>
      <c r="BL405" s="408">
        <v>1</v>
      </c>
      <c r="BM405" s="408"/>
      <c r="BN405" s="408"/>
      <c r="BO405" s="408"/>
      <c r="BP405" s="408"/>
      <c r="BQ405" s="408"/>
      <c r="BR405" s="408"/>
      <c r="BS405" s="408"/>
      <c r="BT405" s="408"/>
      <c r="BU405" s="408"/>
      <c r="BV405" s="408">
        <v>677.32083138629844</v>
      </c>
      <c r="BW405" s="408"/>
      <c r="BX405" s="408"/>
      <c r="BY405" s="408"/>
      <c r="BZ405" s="408"/>
      <c r="CA405" s="408"/>
      <c r="CB405" s="408"/>
      <c r="CC405" s="408"/>
      <c r="CD405" s="408"/>
      <c r="CE405" s="408"/>
      <c r="CF405" s="408"/>
      <c r="CG405" s="408"/>
      <c r="CH405" s="408"/>
      <c r="CI405" s="408">
        <v>1923.6041999999998</v>
      </c>
      <c r="CJ405" s="408">
        <v>-122.17502000000036</v>
      </c>
      <c r="CK405" s="408"/>
      <c r="CL405" s="408"/>
      <c r="CM405" s="408"/>
      <c r="CN405" s="408"/>
      <c r="CO405" s="408">
        <v>-204.72981999999999</v>
      </c>
      <c r="CP405" s="408">
        <v>81.567020000000014</v>
      </c>
      <c r="CQ405" s="408"/>
      <c r="CR405" s="408">
        <v>97.877374696486186</v>
      </c>
      <c r="CS405" s="408">
        <v>2.0455083829333631</v>
      </c>
      <c r="CT405" s="408">
        <v>9.5379038219771246</v>
      </c>
      <c r="CU405" s="408">
        <v>0</v>
      </c>
      <c r="CV405" s="408">
        <v>0</v>
      </c>
      <c r="CW405" s="408">
        <v>0</v>
      </c>
      <c r="CX405" s="408">
        <v>0</v>
      </c>
      <c r="CY405" s="408">
        <v>0</v>
      </c>
      <c r="CZ405" s="408">
        <v>9.5662772047194711</v>
      </c>
      <c r="DA405" s="408">
        <v>0</v>
      </c>
      <c r="DB405" s="408">
        <v>0</v>
      </c>
      <c r="DC405" s="408">
        <v>81.557810611754917</v>
      </c>
      <c r="DD405" s="408">
        <v>0</v>
      </c>
      <c r="DE405" s="408">
        <v>0</v>
      </c>
      <c r="DF405" s="408">
        <v>0</v>
      </c>
      <c r="DG405" s="408">
        <v>4.2803089956808265</v>
      </c>
      <c r="DH405" s="408">
        <v>0</v>
      </c>
      <c r="DI405" s="408">
        <v>-7.8955653833835413</v>
      </c>
      <c r="DJ405" s="408"/>
      <c r="DK405" s="408">
        <v>0</v>
      </c>
      <c r="DL405" s="408">
        <v>0</v>
      </c>
      <c r="DM405" s="408">
        <v>0</v>
      </c>
      <c r="DN405" s="408">
        <v>0</v>
      </c>
      <c r="DO405" s="408">
        <v>-1.0857671456362041</v>
      </c>
      <c r="DP405" s="408">
        <v>-0.1291017915597017</v>
      </c>
      <c r="DQ405" s="408">
        <v>0</v>
      </c>
      <c r="DR405" s="408">
        <v>0</v>
      </c>
      <c r="DS405" s="408"/>
      <c r="DT405" s="408"/>
      <c r="DU405" s="408"/>
      <c r="DV405" s="408">
        <v>889.85918568866668</v>
      </c>
      <c r="DW405" s="408">
        <v>0</v>
      </c>
      <c r="DX405" s="408">
        <v>0</v>
      </c>
      <c r="DY405" s="408">
        <v>-204.72982000000002</v>
      </c>
      <c r="DZ405" s="408">
        <v>81.56702000000007</v>
      </c>
      <c r="EA405" s="408">
        <v>0</v>
      </c>
      <c r="EB405" s="408">
        <v>0</v>
      </c>
      <c r="EC405" s="408">
        <v>-221.05611602034605</v>
      </c>
      <c r="ED405" s="408">
        <v>0</v>
      </c>
      <c r="EE405" s="408">
        <v>0</v>
      </c>
      <c r="EF405" s="408">
        <v>0</v>
      </c>
      <c r="EG405" s="408">
        <v>0</v>
      </c>
      <c r="EH405" s="408">
        <v>0</v>
      </c>
      <c r="EI405" s="408">
        <v>0</v>
      </c>
      <c r="EJ405" s="408">
        <v>0</v>
      </c>
      <c r="EK405" s="408">
        <v>0</v>
      </c>
      <c r="EL405" s="408">
        <v>0</v>
      </c>
      <c r="EM405" s="408">
        <v>0</v>
      </c>
      <c r="EN405" s="408">
        <v>0</v>
      </c>
      <c r="EO405" s="408">
        <v>0</v>
      </c>
      <c r="EP405" s="408">
        <v>59.380874153269829</v>
      </c>
      <c r="EQ405" s="408">
        <v>0</v>
      </c>
      <c r="ER405" s="408">
        <v>0</v>
      </c>
      <c r="ES405" s="408">
        <v>0</v>
      </c>
      <c r="ET405" s="408">
        <v>0</v>
      </c>
      <c r="EU405" s="408">
        <v>0</v>
      </c>
      <c r="EV405" s="408">
        <v>240</v>
      </c>
      <c r="EW405" s="408">
        <v>0</v>
      </c>
      <c r="EX405" s="408">
        <v>0</v>
      </c>
      <c r="EY405" s="408">
        <v>0</v>
      </c>
      <c r="EZ405" s="408"/>
      <c r="FA405" s="408">
        <v>0</v>
      </c>
      <c r="FB405" s="408"/>
      <c r="FC405" s="408"/>
      <c r="FD405" s="408"/>
      <c r="FE405" s="408"/>
      <c r="FF405" s="408">
        <v>0</v>
      </c>
      <c r="FG405" s="408">
        <v>0</v>
      </c>
      <c r="FH405" s="408">
        <v>0</v>
      </c>
      <c r="FI405" s="408">
        <v>0</v>
      </c>
    </row>
    <row r="406" spans="1:165">
      <c r="A406" s="408">
        <v>404</v>
      </c>
      <c r="B406" s="408" t="s">
        <v>1036</v>
      </c>
      <c r="C406" s="408" t="s">
        <v>2235</v>
      </c>
      <c r="D406" s="408" t="s">
        <v>2245</v>
      </c>
      <c r="E406" s="408" t="s">
        <v>974</v>
      </c>
      <c r="F406" s="408" t="s">
        <v>2253</v>
      </c>
      <c r="G406" s="408" t="s">
        <v>2254</v>
      </c>
      <c r="H406" s="408" t="s">
        <v>1322</v>
      </c>
      <c r="I406" s="408" t="s">
        <v>1322</v>
      </c>
      <c r="J406" s="408" t="s">
        <v>2236</v>
      </c>
      <c r="K406" s="826">
        <v>44531</v>
      </c>
      <c r="L406" s="408">
        <v>0</v>
      </c>
      <c r="M406" s="408">
        <v>0</v>
      </c>
      <c r="N406" s="408">
        <v>0</v>
      </c>
      <c r="O406" s="408">
        <v>0</v>
      </c>
      <c r="P406" s="408">
        <v>0</v>
      </c>
      <c r="Q406" s="408">
        <v>0</v>
      </c>
      <c r="R406" s="408"/>
      <c r="S406" s="408"/>
      <c r="T406" s="408"/>
      <c r="U406" s="408"/>
      <c r="V406" s="408"/>
      <c r="W406" s="408"/>
      <c r="X406" s="408"/>
      <c r="Y406" s="408"/>
      <c r="Z406" s="408"/>
      <c r="AA406" s="408">
        <v>0</v>
      </c>
      <c r="AB406" s="408"/>
      <c r="AC406" s="408"/>
      <c r="AD406" s="408"/>
      <c r="AE406" s="408"/>
      <c r="AF406" s="408"/>
      <c r="AG406" s="408"/>
      <c r="AH406" s="408"/>
      <c r="AI406" s="408"/>
      <c r="AJ406" s="408"/>
      <c r="AK406" s="408"/>
      <c r="AL406" s="408"/>
      <c r="AM406" s="408"/>
      <c r="AN406" s="408"/>
      <c r="AO406" s="408"/>
      <c r="AP406" s="408"/>
      <c r="AQ406" s="408"/>
      <c r="AR406" s="408"/>
      <c r="AS406" s="408"/>
      <c r="AT406" s="408"/>
      <c r="AU406" s="408"/>
      <c r="AV406" s="408"/>
      <c r="AW406" s="408"/>
      <c r="AX406" s="408"/>
      <c r="AY406" s="408"/>
      <c r="AZ406" s="408">
        <v>0</v>
      </c>
      <c r="BA406" s="408"/>
      <c r="BB406" s="408"/>
      <c r="BC406" s="408"/>
      <c r="BD406" s="408"/>
      <c r="BE406" s="408"/>
      <c r="BF406" s="408"/>
      <c r="BG406" s="408"/>
      <c r="BH406" s="408"/>
      <c r="BI406" s="408">
        <v>0.51</v>
      </c>
      <c r="BJ406" s="408">
        <v>4.42</v>
      </c>
      <c r="BK406" s="408">
        <v>35.72</v>
      </c>
      <c r="BL406" s="408">
        <v>4</v>
      </c>
      <c r="BM406" s="408"/>
      <c r="BN406" s="408"/>
      <c r="BO406" s="408"/>
      <c r="BP406" s="408"/>
      <c r="BQ406" s="408"/>
      <c r="BR406" s="408"/>
      <c r="BS406" s="408"/>
      <c r="BT406" s="408"/>
      <c r="BU406" s="408"/>
      <c r="BV406" s="408"/>
      <c r="BW406" s="408"/>
      <c r="BX406" s="408"/>
      <c r="BY406" s="408"/>
      <c r="BZ406" s="408"/>
      <c r="CA406" s="408"/>
      <c r="CB406" s="408"/>
      <c r="CC406" s="408"/>
      <c r="CD406" s="408"/>
      <c r="CE406" s="408"/>
      <c r="CF406" s="408"/>
      <c r="CG406" s="408"/>
      <c r="CH406" s="408"/>
      <c r="CI406" s="408"/>
      <c r="CJ406" s="408">
        <v>-0.03</v>
      </c>
      <c r="CK406" s="408"/>
      <c r="CL406" s="408"/>
      <c r="CM406" s="408"/>
      <c r="CN406" s="408"/>
      <c r="CO406" s="408">
        <v>0</v>
      </c>
      <c r="CP406" s="408">
        <v>0</v>
      </c>
      <c r="CQ406" s="408"/>
      <c r="CR406" s="408"/>
      <c r="CS406" s="408"/>
      <c r="CT406" s="408"/>
      <c r="CU406" s="408"/>
      <c r="CV406" s="408"/>
      <c r="CW406" s="408"/>
      <c r="CX406" s="408"/>
      <c r="CY406" s="408"/>
      <c r="CZ406" s="408"/>
      <c r="DA406" s="408"/>
      <c r="DB406" s="408"/>
      <c r="DC406" s="408"/>
      <c r="DD406" s="408"/>
      <c r="DE406" s="408"/>
      <c r="DF406" s="408"/>
      <c r="DG406" s="408"/>
      <c r="DH406" s="408"/>
      <c r="DI406" s="408"/>
      <c r="DJ406" s="408"/>
      <c r="DK406" s="408">
        <v>0</v>
      </c>
      <c r="DL406" s="408"/>
      <c r="DM406" s="408"/>
      <c r="DN406" s="408"/>
      <c r="DO406" s="408"/>
      <c r="DP406" s="408"/>
      <c r="DQ406" s="408"/>
      <c r="DR406" s="408"/>
      <c r="DS406" s="408"/>
      <c r="DT406" s="408"/>
      <c r="DU406" s="408"/>
      <c r="DV406" s="408"/>
      <c r="DW406" s="408"/>
      <c r="DX406" s="408"/>
      <c r="DY406" s="408"/>
      <c r="DZ406" s="408"/>
      <c r="EA406" s="408"/>
      <c r="EB406" s="408"/>
      <c r="EC406" s="408"/>
      <c r="ED406" s="408"/>
      <c r="EE406" s="408"/>
      <c r="EF406" s="408"/>
      <c r="EG406" s="408"/>
      <c r="EH406" s="408"/>
      <c r="EI406" s="408"/>
      <c r="EJ406" s="408"/>
      <c r="EK406" s="408"/>
      <c r="EL406" s="408"/>
      <c r="EM406" s="408"/>
      <c r="EN406" s="408"/>
      <c r="EO406" s="408"/>
      <c r="EP406" s="408"/>
      <c r="EQ406" s="408"/>
      <c r="ER406" s="408"/>
      <c r="ES406" s="408"/>
      <c r="ET406" s="408"/>
      <c r="EU406" s="408"/>
      <c r="EV406" s="408">
        <v>240</v>
      </c>
      <c r="EW406" s="408"/>
      <c r="EX406" s="408"/>
      <c r="EY406" s="408"/>
      <c r="EZ406" s="408"/>
      <c r="FA406" s="408">
        <v>0</v>
      </c>
      <c r="FB406" s="408"/>
      <c r="FC406" s="408"/>
      <c r="FD406" s="408"/>
      <c r="FE406" s="408"/>
      <c r="FF406" s="408">
        <v>0</v>
      </c>
      <c r="FG406" s="408">
        <v>0</v>
      </c>
      <c r="FH406" s="408">
        <v>0</v>
      </c>
      <c r="FI406" s="408">
        <v>0</v>
      </c>
    </row>
    <row r="407" spans="1:165">
      <c r="A407" s="408">
        <v>405</v>
      </c>
      <c r="B407" s="408" t="s">
        <v>1036</v>
      </c>
      <c r="C407" s="408" t="s">
        <v>2235</v>
      </c>
      <c r="D407" s="408" t="s">
        <v>2245</v>
      </c>
      <c r="E407" s="408" t="s">
        <v>974</v>
      </c>
      <c r="F407" s="408" t="s">
        <v>2253</v>
      </c>
      <c r="G407" s="408" t="s">
        <v>2254</v>
      </c>
      <c r="H407" s="408" t="s">
        <v>1322</v>
      </c>
      <c r="I407" s="408" t="s">
        <v>1322</v>
      </c>
      <c r="J407" s="408" t="s">
        <v>2236</v>
      </c>
      <c r="K407" s="826">
        <v>44531</v>
      </c>
      <c r="L407" s="408">
        <v>0</v>
      </c>
      <c r="M407" s="408">
        <v>0</v>
      </c>
      <c r="N407" s="408">
        <v>0.79700000000000004</v>
      </c>
      <c r="O407" s="408">
        <v>0.79700000000000004</v>
      </c>
      <c r="P407" s="408">
        <v>0.79700000000000004</v>
      </c>
      <c r="Q407" s="408">
        <v>0.79700000000000004</v>
      </c>
      <c r="R407" s="408"/>
      <c r="S407" s="408">
        <v>368.24</v>
      </c>
      <c r="T407" s="408">
        <v>173.25</v>
      </c>
      <c r="U407" s="408"/>
      <c r="V407" s="408">
        <v>431.56753000000003</v>
      </c>
      <c r="W407" s="408">
        <v>431.56753000000003</v>
      </c>
      <c r="X407" s="408">
        <v>405.58533</v>
      </c>
      <c r="Y407" s="408">
        <v>0</v>
      </c>
      <c r="Z407" s="408">
        <v>49.051511009898213</v>
      </c>
      <c r="AA407" s="408">
        <v>0</v>
      </c>
      <c r="AB407" s="408">
        <v>0</v>
      </c>
      <c r="AC407" s="408">
        <v>2.0399512798100137</v>
      </c>
      <c r="AD407" s="408">
        <v>1.9599357452162798</v>
      </c>
      <c r="AE407" s="408">
        <v>187.72307331759328</v>
      </c>
      <c r="AF407" s="408">
        <v>135.76135505649447</v>
      </c>
      <c r="AG407" s="408">
        <v>2.3170651238413766</v>
      </c>
      <c r="AH407" s="408">
        <v>0</v>
      </c>
      <c r="AI407" s="408">
        <v>0</v>
      </c>
      <c r="AJ407" s="408">
        <v>0</v>
      </c>
      <c r="AK407" s="408">
        <v>0</v>
      </c>
      <c r="AL407" s="408">
        <v>7.5786971310283517</v>
      </c>
      <c r="AM407" s="408"/>
      <c r="AN407" s="408">
        <v>0.96266180134708779</v>
      </c>
      <c r="AO407" s="408">
        <v>4.3304162515532827</v>
      </c>
      <c r="AP407" s="408">
        <v>20.192092127831152</v>
      </c>
      <c r="AQ407" s="408">
        <v>0</v>
      </c>
      <c r="AR407" s="408">
        <v>0</v>
      </c>
      <c r="AS407" s="408">
        <v>0</v>
      </c>
      <c r="AT407" s="408">
        <v>0</v>
      </c>
      <c r="AU407" s="408">
        <v>0</v>
      </c>
      <c r="AV407" s="408">
        <v>0</v>
      </c>
      <c r="AW407" s="408">
        <v>0</v>
      </c>
      <c r="AX407" s="408">
        <v>0</v>
      </c>
      <c r="AY407" s="408">
        <v>0</v>
      </c>
      <c r="AZ407" s="408">
        <v>0</v>
      </c>
      <c r="BA407" s="408"/>
      <c r="BB407" s="408">
        <v>0</v>
      </c>
      <c r="BC407" s="408">
        <v>0</v>
      </c>
      <c r="BD407" s="408">
        <v>0</v>
      </c>
      <c r="BE407" s="408">
        <v>0</v>
      </c>
      <c r="BF407" s="408">
        <v>0</v>
      </c>
      <c r="BG407" s="408">
        <v>7.1250140845536771</v>
      </c>
      <c r="BH407" s="408">
        <v>0</v>
      </c>
      <c r="BI407" s="408">
        <v>0</v>
      </c>
      <c r="BJ407" s="408">
        <v>0</v>
      </c>
      <c r="BK407" s="408">
        <v>0</v>
      </c>
      <c r="BL407" s="408">
        <v>0</v>
      </c>
      <c r="BM407" s="408"/>
      <c r="BN407" s="408"/>
      <c r="BO407" s="408"/>
      <c r="BP407" s="408"/>
      <c r="BQ407" s="408"/>
      <c r="BR407" s="408">
        <v>48.664820000000006</v>
      </c>
      <c r="BS407" s="408"/>
      <c r="BT407" s="408"/>
      <c r="BU407" s="408"/>
      <c r="BV407" s="408">
        <v>142.88636914104814</v>
      </c>
      <c r="BW407" s="408"/>
      <c r="BX407" s="408"/>
      <c r="BY407" s="408"/>
      <c r="BZ407" s="408"/>
      <c r="CA407" s="408"/>
      <c r="CB407" s="408"/>
      <c r="CC407" s="408"/>
      <c r="CD407" s="408"/>
      <c r="CE407" s="408"/>
      <c r="CF407" s="408"/>
      <c r="CG407" s="408"/>
      <c r="CH407" s="408"/>
      <c r="CI407" s="408">
        <v>358.26400000000001</v>
      </c>
      <c r="CJ407" s="408">
        <v>-21.54446999999999</v>
      </c>
      <c r="CK407" s="408"/>
      <c r="CL407" s="408"/>
      <c r="CM407" s="408"/>
      <c r="CN407" s="408"/>
      <c r="CO407" s="408">
        <v>-43.189430000000002</v>
      </c>
      <c r="CP407" s="408">
        <v>17.207230000000003</v>
      </c>
      <c r="CQ407" s="408"/>
      <c r="CR407" s="408">
        <v>20.648032724483699</v>
      </c>
      <c r="CS407" s="408">
        <v>0.43151672345100334</v>
      </c>
      <c r="CT407" s="408">
        <v>2.0120988210999933</v>
      </c>
      <c r="CU407" s="408">
        <v>0</v>
      </c>
      <c r="CV407" s="408">
        <v>0</v>
      </c>
      <c r="CW407" s="408">
        <v>0</v>
      </c>
      <c r="CX407" s="408">
        <v>0</v>
      </c>
      <c r="CY407" s="408">
        <v>0</v>
      </c>
      <c r="CZ407" s="408">
        <v>2.0180844182534194</v>
      </c>
      <c r="DA407" s="408">
        <v>0</v>
      </c>
      <c r="DB407" s="408">
        <v>0</v>
      </c>
      <c r="DC407" s="408">
        <v>17.20528720422675</v>
      </c>
      <c r="DD407" s="408">
        <v>0</v>
      </c>
      <c r="DE407" s="408">
        <v>0</v>
      </c>
      <c r="DF407" s="408">
        <v>0</v>
      </c>
      <c r="DG407" s="408">
        <v>0.90296619098930986</v>
      </c>
      <c r="DH407" s="408">
        <v>0</v>
      </c>
      <c r="DI407" s="408">
        <v>-1.665634094906487</v>
      </c>
      <c r="DJ407" s="408"/>
      <c r="DK407" s="408">
        <v>0</v>
      </c>
      <c r="DL407" s="408">
        <v>0</v>
      </c>
      <c r="DM407" s="408">
        <v>0</v>
      </c>
      <c r="DN407" s="408">
        <v>0</v>
      </c>
      <c r="DO407" s="408">
        <v>-0.22905145978614438</v>
      </c>
      <c r="DP407" s="408">
        <v>-2.7235078844119243E-2</v>
      </c>
      <c r="DQ407" s="408">
        <v>0</v>
      </c>
      <c r="DR407" s="408">
        <v>0</v>
      </c>
      <c r="DS407" s="408"/>
      <c r="DT407" s="408"/>
      <c r="DU407" s="408"/>
      <c r="DV407" s="408">
        <v>187.72307331759328</v>
      </c>
      <c r="DW407" s="408">
        <v>0</v>
      </c>
      <c r="DX407" s="408">
        <v>0</v>
      </c>
      <c r="DY407" s="408">
        <v>-43.189429999999987</v>
      </c>
      <c r="DZ407" s="408">
        <v>17.20723000000001</v>
      </c>
      <c r="EA407" s="408">
        <v>0</v>
      </c>
      <c r="EB407" s="408">
        <v>0</v>
      </c>
      <c r="EC407" s="408">
        <v>-46.633595677134963</v>
      </c>
      <c r="ED407" s="408">
        <v>0</v>
      </c>
      <c r="EE407" s="408">
        <v>0</v>
      </c>
      <c r="EF407" s="408">
        <v>0</v>
      </c>
      <c r="EG407" s="408">
        <v>0</v>
      </c>
      <c r="EH407" s="408">
        <v>0</v>
      </c>
      <c r="EI407" s="408">
        <v>0</v>
      </c>
      <c r="EJ407" s="408">
        <v>0</v>
      </c>
      <c r="EK407" s="408">
        <v>0</v>
      </c>
      <c r="EL407" s="408">
        <v>0</v>
      </c>
      <c r="EM407" s="408">
        <v>0</v>
      </c>
      <c r="EN407" s="408">
        <v>0</v>
      </c>
      <c r="EO407" s="408">
        <v>0</v>
      </c>
      <c r="EP407" s="408">
        <v>12.526881074683974</v>
      </c>
      <c r="EQ407" s="408">
        <v>0</v>
      </c>
      <c r="ER407" s="408">
        <v>0</v>
      </c>
      <c r="ES407" s="408">
        <v>0</v>
      </c>
      <c r="ET407" s="408">
        <v>0</v>
      </c>
      <c r="EU407" s="408">
        <v>0</v>
      </c>
      <c r="EV407" s="408">
        <v>240</v>
      </c>
      <c r="EW407" s="408">
        <v>0</v>
      </c>
      <c r="EX407" s="408">
        <v>0</v>
      </c>
      <c r="EY407" s="408">
        <v>0</v>
      </c>
      <c r="EZ407" s="408"/>
      <c r="FA407" s="408">
        <v>0</v>
      </c>
      <c r="FB407" s="408"/>
      <c r="FC407" s="408"/>
      <c r="FD407" s="408"/>
      <c r="FE407" s="408"/>
      <c r="FF407" s="408">
        <v>0</v>
      </c>
      <c r="FG407" s="408">
        <v>0</v>
      </c>
      <c r="FH407" s="408">
        <v>0</v>
      </c>
      <c r="FI407" s="408">
        <v>0</v>
      </c>
    </row>
    <row r="408" spans="1:165">
      <c r="A408" s="408">
        <v>406</v>
      </c>
      <c r="B408" s="408" t="s">
        <v>1036</v>
      </c>
      <c r="C408" s="408" t="s">
        <v>2235</v>
      </c>
      <c r="D408" s="408" t="s">
        <v>2245</v>
      </c>
      <c r="E408" s="408" t="s">
        <v>974</v>
      </c>
      <c r="F408" s="408" t="s">
        <v>2253</v>
      </c>
      <c r="G408" s="408" t="s">
        <v>2255</v>
      </c>
      <c r="H408" s="408" t="s">
        <v>1322</v>
      </c>
      <c r="I408" s="408" t="s">
        <v>1322</v>
      </c>
      <c r="J408" s="408" t="s">
        <v>2236</v>
      </c>
      <c r="K408" s="826">
        <v>44531</v>
      </c>
      <c r="L408" s="408">
        <v>0</v>
      </c>
      <c r="M408" s="408">
        <v>0</v>
      </c>
      <c r="N408" s="408">
        <v>1.121</v>
      </c>
      <c r="O408" s="408">
        <v>0.44840000000000002</v>
      </c>
      <c r="P408" s="408">
        <v>1.121</v>
      </c>
      <c r="Q408" s="408">
        <v>0.44840000000000002</v>
      </c>
      <c r="R408" s="408"/>
      <c r="S408" s="408">
        <v>368.24</v>
      </c>
      <c r="T408" s="408">
        <v>173.25</v>
      </c>
      <c r="U408" s="408"/>
      <c r="V408" s="408">
        <v>607.01028999999994</v>
      </c>
      <c r="W408" s="408">
        <v>607.01028999999994</v>
      </c>
      <c r="X408" s="408">
        <v>570.46569</v>
      </c>
      <c r="Y408" s="408">
        <v>0</v>
      </c>
      <c r="Z408" s="408">
        <v>68.992150366494215</v>
      </c>
      <c r="AA408" s="408">
        <v>0</v>
      </c>
      <c r="AB408" s="408">
        <v>0</v>
      </c>
      <c r="AC408" s="408">
        <v>2.869241386031399</v>
      </c>
      <c r="AD408" s="408">
        <v>2.7566975789052064</v>
      </c>
      <c r="AE408" s="408">
        <v>264.03709559475789</v>
      </c>
      <c r="AF408" s="408">
        <v>190.95166752613588</v>
      </c>
      <c r="AG408" s="408">
        <v>3.2590087877367413</v>
      </c>
      <c r="AH408" s="408">
        <v>0</v>
      </c>
      <c r="AI408" s="408">
        <v>0</v>
      </c>
      <c r="AJ408" s="408">
        <v>0</v>
      </c>
      <c r="AK408" s="408">
        <v>0</v>
      </c>
      <c r="AL408" s="408">
        <v>10.659622940881784</v>
      </c>
      <c r="AM408" s="408"/>
      <c r="AN408" s="408">
        <v>1.3540073768006091</v>
      </c>
      <c r="AO408" s="408">
        <v>6.0908364090228737</v>
      </c>
      <c r="AP408" s="408">
        <v>28.400671612670919</v>
      </c>
      <c r="AQ408" s="408">
        <v>0</v>
      </c>
      <c r="AR408" s="408">
        <v>0</v>
      </c>
      <c r="AS408" s="408">
        <v>0</v>
      </c>
      <c r="AT408" s="408">
        <v>0</v>
      </c>
      <c r="AU408" s="408">
        <v>0</v>
      </c>
      <c r="AV408" s="408">
        <v>0</v>
      </c>
      <c r="AW408" s="408">
        <v>0</v>
      </c>
      <c r="AX408" s="408">
        <v>0</v>
      </c>
      <c r="AY408" s="408">
        <v>0</v>
      </c>
      <c r="AZ408" s="408">
        <v>0</v>
      </c>
      <c r="BA408" s="408"/>
      <c r="BB408" s="408">
        <v>0</v>
      </c>
      <c r="BC408" s="408">
        <v>0</v>
      </c>
      <c r="BD408" s="408">
        <v>0</v>
      </c>
      <c r="BE408" s="408">
        <v>0</v>
      </c>
      <c r="BF408" s="408">
        <v>0</v>
      </c>
      <c r="BG408" s="408">
        <v>10.021506635865334</v>
      </c>
      <c r="BH408" s="408">
        <v>0</v>
      </c>
      <c r="BI408" s="408">
        <v>0</v>
      </c>
      <c r="BJ408" s="408">
        <v>0</v>
      </c>
      <c r="BK408" s="408">
        <v>0</v>
      </c>
      <c r="BL408" s="408">
        <v>0</v>
      </c>
      <c r="BM408" s="408"/>
      <c r="BN408" s="408"/>
      <c r="BO408" s="408"/>
      <c r="BP408" s="408"/>
      <c r="BQ408" s="408"/>
      <c r="BR408" s="408"/>
      <c r="BS408" s="408">
        <v>369.65871800000002</v>
      </c>
      <c r="BT408" s="408"/>
      <c r="BU408" s="408"/>
      <c r="BV408" s="408">
        <v>200.97317416200121</v>
      </c>
      <c r="BW408" s="408"/>
      <c r="BX408" s="408"/>
      <c r="BY408" s="408"/>
      <c r="BZ408" s="408"/>
      <c r="CA408" s="408"/>
      <c r="CB408" s="408"/>
      <c r="CC408" s="408"/>
      <c r="CD408" s="408"/>
      <c r="CE408" s="408"/>
      <c r="CF408" s="408"/>
      <c r="CG408" s="408"/>
      <c r="CH408" s="408"/>
      <c r="CI408" s="408">
        <v>201.52350000000001</v>
      </c>
      <c r="CJ408" s="408">
        <v>-12.173583999999977</v>
      </c>
      <c r="CK408" s="408"/>
      <c r="CL408" s="408"/>
      <c r="CM408" s="408"/>
      <c r="CN408" s="408"/>
      <c r="CO408" s="408">
        <v>-60.746989999999997</v>
      </c>
      <c r="CP408" s="408">
        <v>24.202390000000005</v>
      </c>
      <c r="CQ408" s="408"/>
      <c r="CR408" s="408">
        <v>29.041963217247542</v>
      </c>
      <c r="CS408" s="408">
        <v>0.60693882934576493</v>
      </c>
      <c r="CT408" s="408">
        <v>2.8300662213965992</v>
      </c>
      <c r="CU408" s="408">
        <v>0</v>
      </c>
      <c r="CV408" s="408">
        <v>0</v>
      </c>
      <c r="CW408" s="408">
        <v>0</v>
      </c>
      <c r="CX408" s="408">
        <v>0</v>
      </c>
      <c r="CY408" s="408">
        <v>0</v>
      </c>
      <c r="CZ408" s="408">
        <v>2.8384851102410078</v>
      </c>
      <c r="DA408" s="408">
        <v>0</v>
      </c>
      <c r="DB408" s="408">
        <v>0</v>
      </c>
      <c r="DC408" s="408">
        <v>24.199657410211017</v>
      </c>
      <c r="DD408" s="408">
        <v>0</v>
      </c>
      <c r="DE408" s="408">
        <v>0</v>
      </c>
      <c r="DF408" s="408">
        <v>0</v>
      </c>
      <c r="DG408" s="408">
        <v>1.2700440402748008</v>
      </c>
      <c r="DH408" s="408">
        <v>0</v>
      </c>
      <c r="DI408" s="408">
        <v>-2.3427551071394817</v>
      </c>
      <c r="DJ408" s="408"/>
      <c r="DK408" s="408">
        <v>0</v>
      </c>
      <c r="DL408" s="408">
        <v>0</v>
      </c>
      <c r="DM408" s="408">
        <v>0</v>
      </c>
      <c r="DN408" s="408">
        <v>0</v>
      </c>
      <c r="DO408" s="408">
        <v>-0.32216648233408662</v>
      </c>
      <c r="DP408" s="408">
        <v>-3.8306804748127643E-2</v>
      </c>
      <c r="DQ408" s="408">
        <v>0</v>
      </c>
      <c r="DR408" s="408">
        <v>0</v>
      </c>
      <c r="DS408" s="408"/>
      <c r="DT408" s="408"/>
      <c r="DU408" s="408"/>
      <c r="DV408" s="408">
        <v>264.03709559475789</v>
      </c>
      <c r="DW408" s="408">
        <v>0</v>
      </c>
      <c r="DX408" s="408">
        <v>0</v>
      </c>
      <c r="DY408" s="408">
        <v>-60.746989999999983</v>
      </c>
      <c r="DZ408" s="408">
        <v>24.202390000000008</v>
      </c>
      <c r="EA408" s="408">
        <v>0</v>
      </c>
      <c r="EB408" s="408">
        <v>0</v>
      </c>
      <c r="EC408" s="408">
        <v>-65.59129329243197</v>
      </c>
      <c r="ED408" s="408">
        <v>0</v>
      </c>
      <c r="EE408" s="408">
        <v>0</v>
      </c>
      <c r="EF408" s="408">
        <v>0</v>
      </c>
      <c r="EG408" s="408">
        <v>0</v>
      </c>
      <c r="EH408" s="408">
        <v>0</v>
      </c>
      <c r="EI408" s="408">
        <v>0</v>
      </c>
      <c r="EJ408" s="408">
        <v>0</v>
      </c>
      <c r="EK408" s="408">
        <v>0</v>
      </c>
      <c r="EL408" s="408">
        <v>0</v>
      </c>
      <c r="EM408" s="408">
        <v>0</v>
      </c>
      <c r="EN408" s="408">
        <v>0</v>
      </c>
      <c r="EO408" s="408">
        <v>0</v>
      </c>
      <c r="EP408" s="408">
        <v>17.619364723614474</v>
      </c>
      <c r="EQ408" s="408">
        <v>0</v>
      </c>
      <c r="ER408" s="408">
        <v>0</v>
      </c>
      <c r="ES408" s="408">
        <v>0</v>
      </c>
      <c r="ET408" s="408">
        <v>0</v>
      </c>
      <c r="EU408" s="408">
        <v>0</v>
      </c>
      <c r="EV408" s="408">
        <v>240</v>
      </c>
      <c r="EW408" s="408">
        <v>0</v>
      </c>
      <c r="EX408" s="408">
        <v>0</v>
      </c>
      <c r="EY408" s="408">
        <v>0</v>
      </c>
      <c r="EZ408" s="408"/>
      <c r="FA408" s="408">
        <v>0</v>
      </c>
      <c r="FB408" s="408"/>
      <c r="FC408" s="408"/>
      <c r="FD408" s="408"/>
      <c r="FE408" s="408"/>
      <c r="FF408" s="408">
        <v>0</v>
      </c>
      <c r="FG408" s="408">
        <v>0</v>
      </c>
      <c r="FH408" s="408">
        <v>0</v>
      </c>
      <c r="FI408" s="408">
        <v>0</v>
      </c>
    </row>
    <row r="409" spans="1:165">
      <c r="A409" s="408">
        <v>407</v>
      </c>
      <c r="B409" s="408" t="s">
        <v>1036</v>
      </c>
      <c r="C409" s="408" t="s">
        <v>2235</v>
      </c>
      <c r="D409" s="408" t="s">
        <v>1955</v>
      </c>
      <c r="E409" s="408" t="s">
        <v>969</v>
      </c>
      <c r="F409" s="408" t="s">
        <v>969</v>
      </c>
      <c r="G409" s="408" t="s">
        <v>1322</v>
      </c>
      <c r="H409" s="408" t="s">
        <v>1322</v>
      </c>
      <c r="I409" s="408" t="s">
        <v>1322</v>
      </c>
      <c r="J409" s="408" t="s">
        <v>2236</v>
      </c>
      <c r="K409" s="826">
        <v>44562</v>
      </c>
      <c r="L409" s="408">
        <v>0</v>
      </c>
      <c r="M409" s="408">
        <v>0</v>
      </c>
      <c r="N409" s="408">
        <v>12955.120999999999</v>
      </c>
      <c r="O409" s="408">
        <v>12955.120999999999</v>
      </c>
      <c r="P409" s="408">
        <v>12955.120999999999</v>
      </c>
      <c r="Q409" s="408">
        <v>12955.120999999999</v>
      </c>
      <c r="R409" s="408"/>
      <c r="S409" s="408">
        <v>368.24</v>
      </c>
      <c r="T409" s="408">
        <v>173.25</v>
      </c>
      <c r="U409" s="408"/>
      <c r="V409" s="408">
        <v>7015068.4702899996</v>
      </c>
      <c r="W409" s="408">
        <v>7015068.4702899996</v>
      </c>
      <c r="X409" s="408">
        <v>6592731.5256899996</v>
      </c>
      <c r="Y409" s="408">
        <v>0</v>
      </c>
      <c r="Z409" s="408">
        <v>797325.29531501059</v>
      </c>
      <c r="AA409" s="408">
        <v>0</v>
      </c>
      <c r="AB409" s="408">
        <v>0</v>
      </c>
      <c r="AC409" s="408">
        <v>33159.116266052173</v>
      </c>
      <c r="AD409" s="408">
        <v>31858.475196363954</v>
      </c>
      <c r="AE409" s="408">
        <v>3051411.7055474175</v>
      </c>
      <c r="AF409" s="408">
        <v>2206781.4076296706</v>
      </c>
      <c r="AG409" s="408">
        <v>37663.56216341909</v>
      </c>
      <c r="AH409" s="408">
        <v>0</v>
      </c>
      <c r="AI409" s="408">
        <v>0</v>
      </c>
      <c r="AJ409" s="408">
        <v>0</v>
      </c>
      <c r="AK409" s="408">
        <v>0</v>
      </c>
      <c r="AL409" s="408">
        <v>123190.63783541424</v>
      </c>
      <c r="AM409" s="408"/>
      <c r="AN409" s="408">
        <v>15647.929885231473</v>
      </c>
      <c r="AO409" s="408">
        <v>70390.296761906167</v>
      </c>
      <c r="AP409" s="408">
        <v>328219.56933400256</v>
      </c>
      <c r="AQ409" s="408">
        <v>0</v>
      </c>
      <c r="AR409" s="408">
        <v>0</v>
      </c>
      <c r="AS409" s="408">
        <v>0</v>
      </c>
      <c r="AT409" s="408">
        <v>0</v>
      </c>
      <c r="AU409" s="408">
        <v>0</v>
      </c>
      <c r="AV409" s="408">
        <v>0</v>
      </c>
      <c r="AW409" s="408">
        <v>0</v>
      </c>
      <c r="AX409" s="408">
        <v>0</v>
      </c>
      <c r="AY409" s="408">
        <v>0</v>
      </c>
      <c r="AZ409" s="408">
        <v>0</v>
      </c>
      <c r="BA409" s="408"/>
      <c r="BB409" s="408">
        <v>0</v>
      </c>
      <c r="BC409" s="408">
        <v>0</v>
      </c>
      <c r="BD409" s="408">
        <v>0</v>
      </c>
      <c r="BE409" s="408">
        <v>0</v>
      </c>
      <c r="BF409" s="408">
        <v>0</v>
      </c>
      <c r="BG409" s="408">
        <v>115816.08480815195</v>
      </c>
      <c r="BH409" s="408">
        <v>0</v>
      </c>
      <c r="BI409" s="408">
        <v>5708.7</v>
      </c>
      <c r="BJ409" s="408">
        <v>50931.85</v>
      </c>
      <c r="BK409" s="408">
        <v>2812070.52</v>
      </c>
      <c r="BL409" s="408">
        <v>46701</v>
      </c>
      <c r="BM409" s="408"/>
      <c r="BN409" s="408"/>
      <c r="BO409" s="408"/>
      <c r="BP409" s="408"/>
      <c r="BQ409" s="408"/>
      <c r="BR409" s="408"/>
      <c r="BS409" s="408"/>
      <c r="BT409" s="408"/>
      <c r="BU409" s="408"/>
      <c r="BV409" s="408">
        <v>2322597.4924378227</v>
      </c>
      <c r="BW409" s="408"/>
      <c r="BX409" s="408"/>
      <c r="BY409" s="408"/>
      <c r="BZ409" s="408"/>
      <c r="CA409" s="408"/>
      <c r="CB409" s="408"/>
      <c r="CC409" s="408"/>
      <c r="CD409" s="408"/>
      <c r="CE409" s="408"/>
      <c r="CF409" s="408"/>
      <c r="CG409" s="408"/>
      <c r="CH409" s="408"/>
      <c r="CI409" s="408">
        <v>6592731.0168000003</v>
      </c>
      <c r="CJ409" s="408">
        <v>-422337.48348999862</v>
      </c>
      <c r="CK409" s="408"/>
      <c r="CL409" s="408"/>
      <c r="CM409" s="408"/>
      <c r="CN409" s="408"/>
      <c r="CO409" s="408">
        <v>-702038.00698999991</v>
      </c>
      <c r="CP409" s="408">
        <v>279701.06239000004</v>
      </c>
      <c r="CQ409" s="408">
        <v>31</v>
      </c>
      <c r="CR409" s="408">
        <v>335630.81851649424</v>
      </c>
      <c r="CS409" s="408">
        <v>7014.2426171032421</v>
      </c>
      <c r="CT409" s="408">
        <v>32706.378533635812</v>
      </c>
      <c r="CU409" s="408">
        <v>0</v>
      </c>
      <c r="CV409" s="408">
        <v>0</v>
      </c>
      <c r="CW409" s="408">
        <v>0</v>
      </c>
      <c r="CX409" s="408">
        <v>0</v>
      </c>
      <c r="CY409" s="408">
        <v>0</v>
      </c>
      <c r="CZ409" s="408">
        <v>32803.673559206596</v>
      </c>
      <c r="DA409" s="408">
        <v>0</v>
      </c>
      <c r="DB409" s="408">
        <v>0</v>
      </c>
      <c r="DC409" s="408">
        <v>279669.48252259614</v>
      </c>
      <c r="DD409" s="408">
        <v>0</v>
      </c>
      <c r="DE409" s="408">
        <v>0</v>
      </c>
      <c r="DF409" s="408">
        <v>0</v>
      </c>
      <c r="DG409" s="408">
        <v>14677.5862775102</v>
      </c>
      <c r="DH409" s="408">
        <v>0</v>
      </c>
      <c r="DI409" s="408">
        <v>-27074.643966422766</v>
      </c>
      <c r="DJ409" s="408"/>
      <c r="DK409" s="408">
        <v>0</v>
      </c>
      <c r="DL409" s="408">
        <v>0</v>
      </c>
      <c r="DM409" s="408">
        <v>0</v>
      </c>
      <c r="DN409" s="408">
        <v>0</v>
      </c>
      <c r="DO409" s="408">
        <v>-3723.1987161306606</v>
      </c>
      <c r="DP409" s="408">
        <v>-442.70231100389719</v>
      </c>
      <c r="DQ409" s="408">
        <v>0</v>
      </c>
      <c r="DR409" s="408">
        <v>0</v>
      </c>
      <c r="DS409" s="408"/>
      <c r="DT409" s="408"/>
      <c r="DU409" s="408"/>
      <c r="DV409" s="408">
        <v>3051411.7055474175</v>
      </c>
      <c r="DW409" s="408">
        <v>0</v>
      </c>
      <c r="DX409" s="408">
        <v>0</v>
      </c>
      <c r="DY409" s="408">
        <v>-702038.00698999967</v>
      </c>
      <c r="DZ409" s="408">
        <v>279701.06238999963</v>
      </c>
      <c r="EA409" s="408">
        <v>0</v>
      </c>
      <c r="EB409" s="408">
        <v>0</v>
      </c>
      <c r="EC409" s="408">
        <v>-758022.42743081553</v>
      </c>
      <c r="ED409" s="408">
        <v>0</v>
      </c>
      <c r="EE409" s="408">
        <v>0</v>
      </c>
      <c r="EF409" s="408">
        <v>0</v>
      </c>
      <c r="EG409" s="408">
        <v>0</v>
      </c>
      <c r="EH409" s="408">
        <v>0</v>
      </c>
      <c r="EI409" s="408">
        <v>0</v>
      </c>
      <c r="EJ409" s="408">
        <v>0</v>
      </c>
      <c r="EK409" s="408">
        <v>0</v>
      </c>
      <c r="EL409" s="408">
        <v>0</v>
      </c>
      <c r="EM409" s="408">
        <v>0</v>
      </c>
      <c r="EN409" s="408">
        <v>0</v>
      </c>
      <c r="EO409" s="408">
        <v>0</v>
      </c>
      <c r="EP409" s="408">
        <v>203622.66006918557</v>
      </c>
      <c r="EQ409" s="408">
        <v>0</v>
      </c>
      <c r="ER409" s="408">
        <v>0</v>
      </c>
      <c r="ES409" s="408">
        <v>0</v>
      </c>
      <c r="ET409" s="408">
        <v>0</v>
      </c>
      <c r="EU409" s="408">
        <v>0</v>
      </c>
      <c r="EV409" s="408">
        <v>240</v>
      </c>
      <c r="EW409" s="408">
        <v>0</v>
      </c>
      <c r="EX409" s="408">
        <v>0</v>
      </c>
      <c r="EY409" s="408">
        <v>0</v>
      </c>
      <c r="EZ409" s="408"/>
      <c r="FA409" s="408">
        <v>0</v>
      </c>
      <c r="FB409" s="408"/>
      <c r="FC409" s="408"/>
      <c r="FD409" s="408"/>
      <c r="FE409" s="408"/>
      <c r="FF409" s="408">
        <v>0</v>
      </c>
      <c r="FG409" s="408">
        <v>0</v>
      </c>
      <c r="FH409" s="408">
        <v>0</v>
      </c>
      <c r="FI409" s="408">
        <v>0</v>
      </c>
    </row>
    <row r="410" spans="1:165">
      <c r="A410" s="408">
        <v>408</v>
      </c>
      <c r="B410" s="408" t="s">
        <v>2237</v>
      </c>
      <c r="C410" s="408" t="s">
        <v>2235</v>
      </c>
      <c r="D410" s="408" t="s">
        <v>1955</v>
      </c>
      <c r="E410" s="408" t="s">
        <v>969</v>
      </c>
      <c r="F410" s="408" t="s">
        <v>969</v>
      </c>
      <c r="G410" s="408" t="s">
        <v>1322</v>
      </c>
      <c r="H410" s="408" t="s">
        <v>1322</v>
      </c>
      <c r="I410" s="408" t="s">
        <v>1322</v>
      </c>
      <c r="J410" s="408" t="s">
        <v>2236</v>
      </c>
      <c r="K410" s="826">
        <v>44562</v>
      </c>
      <c r="L410" s="408">
        <v>0</v>
      </c>
      <c r="M410" s="408">
        <v>0</v>
      </c>
      <c r="N410" s="408">
        <v>-1.5309999999999999</v>
      </c>
      <c r="O410" s="408">
        <v>-1.5309999999999999</v>
      </c>
      <c r="P410" s="408">
        <v>-1.5309999999999999</v>
      </c>
      <c r="Q410" s="408">
        <v>-1.5309999999999999</v>
      </c>
      <c r="R410" s="408"/>
      <c r="S410" s="408">
        <v>368.24</v>
      </c>
      <c r="T410" s="408">
        <v>173.25</v>
      </c>
      <c r="U410" s="408"/>
      <c r="V410" s="408">
        <v>-829.02118999999993</v>
      </c>
      <c r="W410" s="408">
        <v>-829.02118999999993</v>
      </c>
      <c r="X410" s="408">
        <v>-779.11059</v>
      </c>
      <c r="Y410" s="408">
        <v>0</v>
      </c>
      <c r="Z410" s="408">
        <v>-94.22567547823607</v>
      </c>
      <c r="AA410" s="408">
        <v>0</v>
      </c>
      <c r="AB410" s="408">
        <v>0</v>
      </c>
      <c r="AC410" s="408">
        <v>-3.9186517056325352</v>
      </c>
      <c r="AD410" s="408">
        <v>-3.7649455783263788</v>
      </c>
      <c r="AE410" s="408">
        <v>-360.60730897018226</v>
      </c>
      <c r="AF410" s="408">
        <v>-260.79126046611418</v>
      </c>
      <c r="AG410" s="408">
        <v>-4.4509745352586538</v>
      </c>
      <c r="AH410" s="408">
        <v>0</v>
      </c>
      <c r="AI410" s="408">
        <v>0</v>
      </c>
      <c r="AJ410" s="408">
        <v>0</v>
      </c>
      <c r="AK410" s="408">
        <v>0</v>
      </c>
      <c r="AL410" s="408">
        <v>-14.558325354585202</v>
      </c>
      <c r="AM410" s="408"/>
      <c r="AN410" s="408">
        <v>-1.8492286296893241</v>
      </c>
      <c r="AO410" s="408">
        <v>-8.3185285835985887</v>
      </c>
      <c r="AP410" s="408">
        <v>-38.78807157805457</v>
      </c>
      <c r="AQ410" s="408">
        <v>0</v>
      </c>
      <c r="AR410" s="408">
        <v>0</v>
      </c>
      <c r="AS410" s="408">
        <v>0</v>
      </c>
      <c r="AT410" s="408">
        <v>0</v>
      </c>
      <c r="AU410" s="408">
        <v>0</v>
      </c>
      <c r="AV410" s="408">
        <v>0</v>
      </c>
      <c r="AW410" s="408">
        <v>0</v>
      </c>
      <c r="AX410" s="408">
        <v>0</v>
      </c>
      <c r="AY410" s="408">
        <v>0</v>
      </c>
      <c r="AZ410" s="408">
        <v>0</v>
      </c>
      <c r="BA410" s="408"/>
      <c r="BB410" s="408">
        <v>0</v>
      </c>
      <c r="BC410" s="408">
        <v>0</v>
      </c>
      <c r="BD410" s="408">
        <v>0</v>
      </c>
      <c r="BE410" s="408">
        <v>0</v>
      </c>
      <c r="BF410" s="408">
        <v>0</v>
      </c>
      <c r="BG410" s="408">
        <v>-13.686821284130085</v>
      </c>
      <c r="BH410" s="408">
        <v>0</v>
      </c>
      <c r="BI410" s="408">
        <v>-0.69</v>
      </c>
      <c r="BJ410" s="408">
        <v>-6.02</v>
      </c>
      <c r="BK410" s="408">
        <v>-471.71</v>
      </c>
      <c r="BL410" s="408">
        <v>0</v>
      </c>
      <c r="BM410" s="408"/>
      <c r="BN410" s="408"/>
      <c r="BO410" s="408"/>
      <c r="BP410" s="408"/>
      <c r="BQ410" s="408"/>
      <c r="BR410" s="408"/>
      <c r="BS410" s="408"/>
      <c r="BT410" s="408"/>
      <c r="BU410" s="408"/>
      <c r="BV410" s="408">
        <v>-274.47808175024426</v>
      </c>
      <c r="BW410" s="408"/>
      <c r="BX410" s="408"/>
      <c r="BY410" s="408"/>
      <c r="BZ410" s="408"/>
      <c r="CA410" s="408"/>
      <c r="CB410" s="408"/>
      <c r="CC410" s="408"/>
      <c r="CD410" s="408"/>
      <c r="CE410" s="408"/>
      <c r="CF410" s="408"/>
      <c r="CG410" s="408"/>
      <c r="CH410" s="408"/>
      <c r="CI410" s="408">
        <v>-778.60170000000005</v>
      </c>
      <c r="CJ410" s="408">
        <v>50.38948999999991</v>
      </c>
      <c r="CK410" s="408"/>
      <c r="CL410" s="408"/>
      <c r="CM410" s="408"/>
      <c r="CN410" s="408"/>
      <c r="CO410" s="408">
        <v>82.964889999999997</v>
      </c>
      <c r="CP410" s="408">
        <v>-33.054290000000002</v>
      </c>
      <c r="CQ410" s="408">
        <v>31</v>
      </c>
      <c r="CR410" s="408">
        <v>-39.66391229759671</v>
      </c>
      <c r="CS410" s="408">
        <v>-0.82892359297802543</v>
      </c>
      <c r="CT410" s="408">
        <v>-3.8651484254756454</v>
      </c>
      <c r="CU410" s="408">
        <v>0</v>
      </c>
      <c r="CV410" s="408">
        <v>0</v>
      </c>
      <c r="CW410" s="408">
        <v>0</v>
      </c>
      <c r="CX410" s="408">
        <v>0</v>
      </c>
      <c r="CY410" s="408">
        <v>0</v>
      </c>
      <c r="CZ410" s="408">
        <v>-3.8766464797314741</v>
      </c>
      <c r="DA410" s="408">
        <v>0</v>
      </c>
      <c r="DB410" s="408">
        <v>0</v>
      </c>
      <c r="DC410" s="408">
        <v>-33.050557979512121</v>
      </c>
      <c r="DD410" s="408">
        <v>0</v>
      </c>
      <c r="DE410" s="408">
        <v>0</v>
      </c>
      <c r="DF410" s="408">
        <v>0</v>
      </c>
      <c r="DG410" s="408">
        <v>-1.7345561335064428</v>
      </c>
      <c r="DH410" s="408">
        <v>0</v>
      </c>
      <c r="DI410" s="408">
        <v>3.1996057707676613</v>
      </c>
      <c r="DJ410" s="408"/>
      <c r="DK410" s="408">
        <v>0</v>
      </c>
      <c r="DL410" s="408">
        <v>0</v>
      </c>
      <c r="DM410" s="408">
        <v>0</v>
      </c>
      <c r="DN410" s="408">
        <v>0</v>
      </c>
      <c r="DO410" s="408">
        <v>0.43999722074352299</v>
      </c>
      <c r="DP410" s="408">
        <v>5.2317322095792651E-2</v>
      </c>
      <c r="DQ410" s="408">
        <v>0</v>
      </c>
      <c r="DR410" s="408">
        <v>0</v>
      </c>
      <c r="DS410" s="408"/>
      <c r="DT410" s="408"/>
      <c r="DU410" s="408"/>
      <c r="DV410" s="408">
        <v>-360.60730897018226</v>
      </c>
      <c r="DW410" s="408">
        <v>0</v>
      </c>
      <c r="DX410" s="408">
        <v>0</v>
      </c>
      <c r="DY410" s="408">
        <v>82.964890000000025</v>
      </c>
      <c r="DZ410" s="408">
        <v>-33.05428999999998</v>
      </c>
      <c r="EA410" s="408">
        <v>0</v>
      </c>
      <c r="EB410" s="408">
        <v>0</v>
      </c>
      <c r="EC410" s="408">
        <v>89.580972373517682</v>
      </c>
      <c r="ED410" s="408">
        <v>0</v>
      </c>
      <c r="EE410" s="408">
        <v>0</v>
      </c>
      <c r="EF410" s="408">
        <v>0</v>
      </c>
      <c r="EG410" s="408">
        <v>0</v>
      </c>
      <c r="EH410" s="408">
        <v>0</v>
      </c>
      <c r="EI410" s="408">
        <v>0</v>
      </c>
      <c r="EJ410" s="408">
        <v>0</v>
      </c>
      <c r="EK410" s="408">
        <v>0</v>
      </c>
      <c r="EL410" s="408">
        <v>0</v>
      </c>
      <c r="EM410" s="408">
        <v>0</v>
      </c>
      <c r="EN410" s="408">
        <v>0</v>
      </c>
      <c r="EO410" s="408">
        <v>0</v>
      </c>
      <c r="EP410" s="408">
        <v>-24.06355699540924</v>
      </c>
      <c r="EQ410" s="408">
        <v>0</v>
      </c>
      <c r="ER410" s="408">
        <v>0</v>
      </c>
      <c r="ES410" s="408">
        <v>0</v>
      </c>
      <c r="ET410" s="408">
        <v>0</v>
      </c>
      <c r="EU410" s="408">
        <v>0</v>
      </c>
      <c r="EV410" s="408">
        <v>240</v>
      </c>
      <c r="EW410" s="408">
        <v>0</v>
      </c>
      <c r="EX410" s="408">
        <v>0</v>
      </c>
      <c r="EY410" s="408">
        <v>0</v>
      </c>
      <c r="EZ410" s="408"/>
      <c r="FA410" s="408">
        <v>0</v>
      </c>
      <c r="FB410" s="408"/>
      <c r="FC410" s="408"/>
      <c r="FD410" s="408"/>
      <c r="FE410" s="408"/>
      <c r="FF410" s="408">
        <v>0</v>
      </c>
      <c r="FG410" s="408">
        <v>0</v>
      </c>
      <c r="FH410" s="408">
        <v>0</v>
      </c>
      <c r="FI410" s="408">
        <v>0</v>
      </c>
    </row>
    <row r="411" spans="1:165">
      <c r="A411" s="408">
        <v>409</v>
      </c>
      <c r="B411" s="408" t="s">
        <v>2238</v>
      </c>
      <c r="C411" s="408" t="s">
        <v>2235</v>
      </c>
      <c r="D411" s="408" t="s">
        <v>1955</v>
      </c>
      <c r="E411" s="408" t="s">
        <v>969</v>
      </c>
      <c r="F411" s="408" t="s">
        <v>969</v>
      </c>
      <c r="G411" s="408" t="s">
        <v>1322</v>
      </c>
      <c r="H411" s="408" t="s">
        <v>1322</v>
      </c>
      <c r="I411" s="408" t="s">
        <v>1322</v>
      </c>
      <c r="J411" s="408" t="s">
        <v>2236</v>
      </c>
      <c r="K411" s="826">
        <v>44562</v>
      </c>
      <c r="L411" s="408">
        <v>0</v>
      </c>
      <c r="M411" s="408">
        <v>0</v>
      </c>
      <c r="N411" s="408">
        <v>164.107</v>
      </c>
      <c r="O411" s="408">
        <v>164.107</v>
      </c>
      <c r="P411" s="408">
        <v>164.107</v>
      </c>
      <c r="Q411" s="408">
        <v>164.107</v>
      </c>
      <c r="R411" s="408"/>
      <c r="S411" s="408">
        <v>368.24</v>
      </c>
      <c r="T411" s="408">
        <v>173.25</v>
      </c>
      <c r="U411" s="408"/>
      <c r="V411" s="408">
        <v>88862.299429999999</v>
      </c>
      <c r="W411" s="408">
        <v>88862.299429999999</v>
      </c>
      <c r="X411" s="408">
        <v>83512.411229999998</v>
      </c>
      <c r="Y411" s="408">
        <v>0</v>
      </c>
      <c r="Z411" s="408">
        <v>10099.995379299078</v>
      </c>
      <c r="AA411" s="408">
        <v>0</v>
      </c>
      <c r="AB411" s="408">
        <v>0</v>
      </c>
      <c r="AC411" s="408">
        <v>420.03799833849672</v>
      </c>
      <c r="AD411" s="408">
        <v>403.56232790490338</v>
      </c>
      <c r="AE411" s="408">
        <v>38653.287820489684</v>
      </c>
      <c r="AF411" s="408">
        <v>27954.06360634396</v>
      </c>
      <c r="AG411" s="408">
        <v>477.09737299653295</v>
      </c>
      <c r="AH411" s="408">
        <v>0</v>
      </c>
      <c r="AI411" s="408">
        <v>0</v>
      </c>
      <c r="AJ411" s="408">
        <v>0</v>
      </c>
      <c r="AK411" s="408">
        <v>0</v>
      </c>
      <c r="AL411" s="408">
        <v>1560.498431721041</v>
      </c>
      <c r="AM411" s="408"/>
      <c r="AN411" s="408">
        <v>198.21774182392286</v>
      </c>
      <c r="AO411" s="408">
        <v>891.65824315389534</v>
      </c>
      <c r="AP411" s="408">
        <v>4157.6708441932078</v>
      </c>
      <c r="AQ411" s="408">
        <v>0</v>
      </c>
      <c r="AR411" s="408">
        <v>0</v>
      </c>
      <c r="AS411" s="408">
        <v>0</v>
      </c>
      <c r="AT411" s="408">
        <v>0</v>
      </c>
      <c r="AU411" s="408">
        <v>0</v>
      </c>
      <c r="AV411" s="408">
        <v>0</v>
      </c>
      <c r="AW411" s="408">
        <v>0</v>
      </c>
      <c r="AX411" s="408">
        <v>0</v>
      </c>
      <c r="AY411" s="408">
        <v>0</v>
      </c>
      <c r="AZ411" s="408">
        <v>0</v>
      </c>
      <c r="BA411" s="408"/>
      <c r="BB411" s="408">
        <v>0</v>
      </c>
      <c r="BC411" s="408">
        <v>0</v>
      </c>
      <c r="BD411" s="408">
        <v>0</v>
      </c>
      <c r="BE411" s="408">
        <v>0</v>
      </c>
      <c r="BF411" s="408">
        <v>0</v>
      </c>
      <c r="BG411" s="408">
        <v>1467.0824170311796</v>
      </c>
      <c r="BH411" s="408">
        <v>0</v>
      </c>
      <c r="BI411" s="408">
        <v>69.42</v>
      </c>
      <c r="BJ411" s="408">
        <v>645.77</v>
      </c>
      <c r="BK411" s="408">
        <v>102987.78</v>
      </c>
      <c r="BL411" s="408">
        <v>1315</v>
      </c>
      <c r="BM411" s="408"/>
      <c r="BN411" s="408"/>
      <c r="BO411" s="408"/>
      <c r="BP411" s="408"/>
      <c r="BQ411" s="408"/>
      <c r="BR411" s="408"/>
      <c r="BS411" s="408"/>
      <c r="BT411" s="408"/>
      <c r="BU411" s="408"/>
      <c r="BV411" s="408">
        <v>29421.146023375139</v>
      </c>
      <c r="BW411" s="408"/>
      <c r="BX411" s="408"/>
      <c r="BY411" s="408"/>
      <c r="BZ411" s="408"/>
      <c r="CA411" s="408"/>
      <c r="CB411" s="408"/>
      <c r="CC411" s="408"/>
      <c r="CD411" s="408"/>
      <c r="CE411" s="408"/>
      <c r="CF411" s="408"/>
      <c r="CG411" s="408"/>
      <c r="CH411" s="408"/>
      <c r="CI411" s="408">
        <v>83513.937900000004</v>
      </c>
      <c r="CJ411" s="408">
        <v>-5348.3915299999935</v>
      </c>
      <c r="CK411" s="408"/>
      <c r="CL411" s="408"/>
      <c r="CM411" s="408"/>
      <c r="CN411" s="408"/>
      <c r="CO411" s="408">
        <v>-8892.9583299999995</v>
      </c>
      <c r="CP411" s="408">
        <v>3543.0701300000005</v>
      </c>
      <c r="CQ411" s="408">
        <v>31</v>
      </c>
      <c r="CR411" s="408">
        <v>4251.5517017777238</v>
      </c>
      <c r="CS411" s="408">
        <v>88.851838061949593</v>
      </c>
      <c r="CT411" s="408">
        <v>414.30301284097459</v>
      </c>
      <c r="CU411" s="408">
        <v>0</v>
      </c>
      <c r="CV411" s="408">
        <v>0</v>
      </c>
      <c r="CW411" s="408">
        <v>0</v>
      </c>
      <c r="CX411" s="408">
        <v>0</v>
      </c>
      <c r="CY411" s="408">
        <v>0</v>
      </c>
      <c r="CZ411" s="408">
        <v>415.53548259261464</v>
      </c>
      <c r="DA411" s="408">
        <v>0</v>
      </c>
      <c r="DB411" s="408">
        <v>0</v>
      </c>
      <c r="DC411" s="408">
        <v>3542.6700968933983</v>
      </c>
      <c r="DD411" s="408">
        <v>0</v>
      </c>
      <c r="DE411" s="408">
        <v>0</v>
      </c>
      <c r="DF411" s="408">
        <v>0</v>
      </c>
      <c r="DG411" s="408">
        <v>185.92606361942626</v>
      </c>
      <c r="DH411" s="408">
        <v>0</v>
      </c>
      <c r="DI411" s="408">
        <v>-342.96388257568105</v>
      </c>
      <c r="DJ411" s="408"/>
      <c r="DK411" s="408">
        <v>0</v>
      </c>
      <c r="DL411" s="408">
        <v>0</v>
      </c>
      <c r="DM411" s="408">
        <v>0</v>
      </c>
      <c r="DN411" s="408">
        <v>0</v>
      </c>
      <c r="DO411" s="408">
        <v>-47.163046312578217</v>
      </c>
      <c r="DP411" s="408">
        <v>-5.6078633423737472</v>
      </c>
      <c r="DQ411" s="408">
        <v>0</v>
      </c>
      <c r="DR411" s="408">
        <v>0</v>
      </c>
      <c r="DS411" s="408"/>
      <c r="DT411" s="408"/>
      <c r="DU411" s="408"/>
      <c r="DV411" s="408">
        <v>38653.287820489684</v>
      </c>
      <c r="DW411" s="408">
        <v>0</v>
      </c>
      <c r="DX411" s="408">
        <v>0</v>
      </c>
      <c r="DY411" s="408">
        <v>-8892.9583300000013</v>
      </c>
      <c r="DZ411" s="408">
        <v>3543.0701300000001</v>
      </c>
      <c r="EA411" s="408">
        <v>0</v>
      </c>
      <c r="EB411" s="408">
        <v>0</v>
      </c>
      <c r="EC411" s="408">
        <v>-9602.1323535603333</v>
      </c>
      <c r="ED411" s="408">
        <v>0</v>
      </c>
      <c r="EE411" s="408">
        <v>0</v>
      </c>
      <c r="EF411" s="408">
        <v>0</v>
      </c>
      <c r="EG411" s="408">
        <v>0</v>
      </c>
      <c r="EH411" s="408">
        <v>0</v>
      </c>
      <c r="EI411" s="408">
        <v>0</v>
      </c>
      <c r="EJ411" s="408">
        <v>0</v>
      </c>
      <c r="EK411" s="408">
        <v>0</v>
      </c>
      <c r="EL411" s="408">
        <v>0</v>
      </c>
      <c r="EM411" s="408">
        <v>0</v>
      </c>
      <c r="EN411" s="408">
        <v>0</v>
      </c>
      <c r="EO411" s="408">
        <v>0</v>
      </c>
      <c r="EP411" s="408">
        <v>2579.358685725424</v>
      </c>
      <c r="EQ411" s="408">
        <v>0</v>
      </c>
      <c r="ER411" s="408">
        <v>0</v>
      </c>
      <c r="ES411" s="408">
        <v>0</v>
      </c>
      <c r="ET411" s="408">
        <v>0</v>
      </c>
      <c r="EU411" s="408">
        <v>0</v>
      </c>
      <c r="EV411" s="408">
        <v>240</v>
      </c>
      <c r="EW411" s="408">
        <v>0</v>
      </c>
      <c r="EX411" s="408">
        <v>0</v>
      </c>
      <c r="EY411" s="408">
        <v>0</v>
      </c>
      <c r="EZ411" s="408"/>
      <c r="FA411" s="408">
        <v>0</v>
      </c>
      <c r="FB411" s="408"/>
      <c r="FC411" s="408"/>
      <c r="FD411" s="408"/>
      <c r="FE411" s="408"/>
      <c r="FF411" s="408">
        <v>0</v>
      </c>
      <c r="FG411" s="408">
        <v>0</v>
      </c>
      <c r="FH411" s="408">
        <v>0</v>
      </c>
      <c r="FI411" s="408">
        <v>0</v>
      </c>
    </row>
    <row r="412" spans="1:165">
      <c r="A412" s="408">
        <v>410</v>
      </c>
      <c r="B412" s="408" t="s">
        <v>2238</v>
      </c>
      <c r="C412" s="408" t="s">
        <v>2235</v>
      </c>
      <c r="D412" s="408" t="s">
        <v>1955</v>
      </c>
      <c r="E412" s="408" t="s">
        <v>969</v>
      </c>
      <c r="F412" s="408" t="s">
        <v>969</v>
      </c>
      <c r="G412" s="408" t="s">
        <v>1322</v>
      </c>
      <c r="H412" s="408" t="s">
        <v>1322</v>
      </c>
      <c r="I412" s="408" t="s">
        <v>1322</v>
      </c>
      <c r="J412" s="408" t="s">
        <v>2236</v>
      </c>
      <c r="K412" s="826">
        <v>44562</v>
      </c>
      <c r="L412" s="408">
        <v>0</v>
      </c>
      <c r="M412" s="408">
        <v>0</v>
      </c>
      <c r="N412" s="408">
        <v>-3.835</v>
      </c>
      <c r="O412" s="408">
        <v>-3.835</v>
      </c>
      <c r="P412" s="408">
        <v>-3.835</v>
      </c>
      <c r="Q412" s="408">
        <v>-3.835</v>
      </c>
      <c r="R412" s="408"/>
      <c r="S412" s="408">
        <v>368.24</v>
      </c>
      <c r="T412" s="408">
        <v>173.25</v>
      </c>
      <c r="U412" s="408"/>
      <c r="V412" s="408">
        <v>-2076.6141499999999</v>
      </c>
      <c r="W412" s="408">
        <v>-2076.6141499999999</v>
      </c>
      <c r="X412" s="408">
        <v>-1951.5931500000002</v>
      </c>
      <c r="Y412" s="408">
        <v>0</v>
      </c>
      <c r="Z412" s="408">
        <v>-236.02577756958547</v>
      </c>
      <c r="AA412" s="408">
        <v>0</v>
      </c>
      <c r="AB412" s="408">
        <v>0</v>
      </c>
      <c r="AC412" s="408">
        <v>-9.815825794317945</v>
      </c>
      <c r="AD412" s="408">
        <v>-9.4308075067809689</v>
      </c>
      <c r="AE412" s="408">
        <v>-903.28480071890851</v>
      </c>
      <c r="AF412" s="408">
        <v>-653.25570469467539</v>
      </c>
      <c r="AG412" s="408">
        <v>-11.149240589625695</v>
      </c>
      <c r="AH412" s="408">
        <v>0</v>
      </c>
      <c r="AI412" s="408">
        <v>0</v>
      </c>
      <c r="AJ412" s="408">
        <v>0</v>
      </c>
      <c r="AK412" s="408">
        <v>0</v>
      </c>
      <c r="AL412" s="408">
        <v>-36.467131113542948</v>
      </c>
      <c r="AM412" s="408"/>
      <c r="AN412" s="408">
        <v>-4.6321304995810308</v>
      </c>
      <c r="AO412" s="408">
        <v>-20.837071925604565</v>
      </c>
      <c r="AP412" s="408">
        <v>-97.160192359137355</v>
      </c>
      <c r="AQ412" s="408">
        <v>0</v>
      </c>
      <c r="AR412" s="408">
        <v>0</v>
      </c>
      <c r="AS412" s="408">
        <v>0</v>
      </c>
      <c r="AT412" s="408">
        <v>0</v>
      </c>
      <c r="AU412" s="408">
        <v>0</v>
      </c>
      <c r="AV412" s="408">
        <v>0</v>
      </c>
      <c r="AW412" s="408">
        <v>0</v>
      </c>
      <c r="AX412" s="408">
        <v>0</v>
      </c>
      <c r="AY412" s="408">
        <v>0</v>
      </c>
      <c r="AZ412" s="408">
        <v>0</v>
      </c>
      <c r="BA412" s="408"/>
      <c r="BB412" s="408">
        <v>0</v>
      </c>
      <c r="BC412" s="408">
        <v>0</v>
      </c>
      <c r="BD412" s="408">
        <v>0</v>
      </c>
      <c r="BE412" s="408">
        <v>0</v>
      </c>
      <c r="BF412" s="408">
        <v>0</v>
      </c>
      <c r="BG412" s="408">
        <v>-34.284101649012982</v>
      </c>
      <c r="BH412" s="408">
        <v>0</v>
      </c>
      <c r="BI412" s="408">
        <v>-1.75</v>
      </c>
      <c r="BJ412" s="408">
        <v>-15.05</v>
      </c>
      <c r="BK412" s="408">
        <v>-1072.04</v>
      </c>
      <c r="BL412" s="408">
        <v>11</v>
      </c>
      <c r="BM412" s="408"/>
      <c r="BN412" s="408"/>
      <c r="BO412" s="408"/>
      <c r="BP412" s="408"/>
      <c r="BQ412" s="408"/>
      <c r="BR412" s="408"/>
      <c r="BS412" s="408"/>
      <c r="BT412" s="408"/>
      <c r="BU412" s="408"/>
      <c r="BV412" s="408">
        <v>-687.53980634368838</v>
      </c>
      <c r="BW412" s="408"/>
      <c r="BX412" s="408"/>
      <c r="BY412" s="408"/>
      <c r="BZ412" s="408"/>
      <c r="CA412" s="408"/>
      <c r="CB412" s="408"/>
      <c r="CC412" s="408"/>
      <c r="CD412" s="408"/>
      <c r="CE412" s="408"/>
      <c r="CF412" s="408"/>
      <c r="CG412" s="408"/>
      <c r="CH412" s="408"/>
      <c r="CI412" s="408">
        <v>-1954.1376</v>
      </c>
      <c r="CJ412" s="408">
        <v>122.44654999999966</v>
      </c>
      <c r="CK412" s="408"/>
      <c r="CL412" s="408"/>
      <c r="CM412" s="408"/>
      <c r="CN412" s="408"/>
      <c r="CO412" s="408">
        <v>207.81864999999999</v>
      </c>
      <c r="CP412" s="408">
        <v>-82.797650000000019</v>
      </c>
      <c r="CQ412" s="408">
        <v>31</v>
      </c>
      <c r="CR412" s="408">
        <v>-99.35408469058325</v>
      </c>
      <c r="CS412" s="408">
        <v>-2.0763696793407753</v>
      </c>
      <c r="CT412" s="408">
        <v>-9.6818054942515204</v>
      </c>
      <c r="CU412" s="408">
        <v>0</v>
      </c>
      <c r="CV412" s="408">
        <v>0</v>
      </c>
      <c r="CW412" s="408">
        <v>0</v>
      </c>
      <c r="CX412" s="408">
        <v>0</v>
      </c>
      <c r="CY412" s="408">
        <v>0</v>
      </c>
      <c r="CZ412" s="408">
        <v>-9.7106069560876556</v>
      </c>
      <c r="DA412" s="408">
        <v>0</v>
      </c>
      <c r="DB412" s="408">
        <v>0</v>
      </c>
      <c r="DC412" s="408">
        <v>-82.788301666511302</v>
      </c>
      <c r="DD412" s="408">
        <v>0</v>
      </c>
      <c r="DE412" s="408">
        <v>0</v>
      </c>
      <c r="DF412" s="408">
        <v>0</v>
      </c>
      <c r="DG412" s="408">
        <v>-4.3448875062032712</v>
      </c>
      <c r="DH412" s="408">
        <v>0</v>
      </c>
      <c r="DI412" s="408">
        <v>8.0146885244245425</v>
      </c>
      <c r="DJ412" s="408"/>
      <c r="DK412" s="408">
        <v>0</v>
      </c>
      <c r="DL412" s="408">
        <v>0</v>
      </c>
      <c r="DM412" s="408">
        <v>0</v>
      </c>
      <c r="DN412" s="408">
        <v>0</v>
      </c>
      <c r="DO412" s="408">
        <v>1.1021484921955675</v>
      </c>
      <c r="DP412" s="408">
        <v>0.13104959519096315</v>
      </c>
      <c r="DQ412" s="408">
        <v>0</v>
      </c>
      <c r="DR412" s="408">
        <v>0</v>
      </c>
      <c r="DS412" s="408"/>
      <c r="DT412" s="408"/>
      <c r="DU412" s="408"/>
      <c r="DV412" s="408">
        <v>-903.28480071890851</v>
      </c>
      <c r="DW412" s="408">
        <v>0</v>
      </c>
      <c r="DX412" s="408">
        <v>0</v>
      </c>
      <c r="DY412" s="408">
        <v>207.81864999999993</v>
      </c>
      <c r="DZ412" s="408">
        <v>-82.797649999999976</v>
      </c>
      <c r="EA412" s="408">
        <v>0</v>
      </c>
      <c r="EB412" s="408">
        <v>0</v>
      </c>
      <c r="EC412" s="408">
        <v>224.39126652674088</v>
      </c>
      <c r="ED412" s="408">
        <v>0</v>
      </c>
      <c r="EE412" s="408">
        <v>0</v>
      </c>
      <c r="EF412" s="408">
        <v>0</v>
      </c>
      <c r="EG412" s="408">
        <v>0</v>
      </c>
      <c r="EH412" s="408">
        <v>0</v>
      </c>
      <c r="EI412" s="408">
        <v>0</v>
      </c>
      <c r="EJ412" s="408">
        <v>0</v>
      </c>
      <c r="EK412" s="408">
        <v>0</v>
      </c>
      <c r="EL412" s="408">
        <v>0</v>
      </c>
      <c r="EM412" s="408">
        <v>0</v>
      </c>
      <c r="EN412" s="408">
        <v>0</v>
      </c>
      <c r="EO412" s="408">
        <v>0</v>
      </c>
      <c r="EP412" s="408">
        <v>-60.276774054470565</v>
      </c>
      <c r="EQ412" s="408">
        <v>0</v>
      </c>
      <c r="ER412" s="408">
        <v>0</v>
      </c>
      <c r="ES412" s="408">
        <v>0</v>
      </c>
      <c r="ET412" s="408">
        <v>0</v>
      </c>
      <c r="EU412" s="408">
        <v>0</v>
      </c>
      <c r="EV412" s="408">
        <v>240</v>
      </c>
      <c r="EW412" s="408">
        <v>0</v>
      </c>
      <c r="EX412" s="408">
        <v>0</v>
      </c>
      <c r="EY412" s="408">
        <v>0</v>
      </c>
      <c r="EZ412" s="408"/>
      <c r="FA412" s="408">
        <v>0</v>
      </c>
      <c r="FB412" s="408"/>
      <c r="FC412" s="408"/>
      <c r="FD412" s="408"/>
      <c r="FE412" s="408"/>
      <c r="FF412" s="408">
        <v>0</v>
      </c>
      <c r="FG412" s="408">
        <v>0</v>
      </c>
      <c r="FH412" s="408">
        <v>0</v>
      </c>
      <c r="FI412" s="408">
        <v>0</v>
      </c>
    </row>
    <row r="413" spans="1:165">
      <c r="A413" s="408">
        <v>411</v>
      </c>
      <c r="B413" s="408" t="s">
        <v>1036</v>
      </c>
      <c r="C413" s="408" t="s">
        <v>2235</v>
      </c>
      <c r="D413" s="408" t="s">
        <v>1955</v>
      </c>
      <c r="E413" s="408" t="s">
        <v>969</v>
      </c>
      <c r="F413" s="408" t="s">
        <v>2239</v>
      </c>
      <c r="G413" s="408" t="s">
        <v>1322</v>
      </c>
      <c r="H413" s="408" t="s">
        <v>1322</v>
      </c>
      <c r="I413" s="408" t="s">
        <v>1322</v>
      </c>
      <c r="J413" s="408" t="s">
        <v>2236</v>
      </c>
      <c r="K413" s="826">
        <v>44562</v>
      </c>
      <c r="L413" s="408">
        <v>0</v>
      </c>
      <c r="M413" s="408">
        <v>0</v>
      </c>
      <c r="N413" s="408">
        <v>24.6</v>
      </c>
      <c r="O413" s="408">
        <v>24.6</v>
      </c>
      <c r="P413" s="408">
        <v>24.6</v>
      </c>
      <c r="Q413" s="408">
        <v>24.6</v>
      </c>
      <c r="R413" s="408"/>
      <c r="S413" s="408">
        <v>281.47000000000003</v>
      </c>
      <c r="T413" s="408">
        <v>173.25</v>
      </c>
      <c r="U413" s="408"/>
      <c r="V413" s="408">
        <v>11186.112000000001</v>
      </c>
      <c r="W413" s="408">
        <v>11186.112000000001</v>
      </c>
      <c r="X413" s="408">
        <v>10442.700000000001</v>
      </c>
      <c r="Y413" s="408">
        <v>0</v>
      </c>
      <c r="Z413" s="408">
        <v>0</v>
      </c>
      <c r="AA413" s="408">
        <v>0</v>
      </c>
      <c r="AB413" s="408">
        <v>0</v>
      </c>
      <c r="AC413" s="408">
        <v>62.964619176068176</v>
      </c>
      <c r="AD413" s="408">
        <v>60.494879965270364</v>
      </c>
      <c r="AE413" s="408">
        <v>5794.2128025254633</v>
      </c>
      <c r="AF413" s="408">
        <v>4190.3755763987001</v>
      </c>
      <c r="AG413" s="408">
        <v>71.517944851314766</v>
      </c>
      <c r="AH413" s="408">
        <v>0</v>
      </c>
      <c r="AI413" s="408">
        <v>0</v>
      </c>
      <c r="AJ413" s="408">
        <v>0</v>
      </c>
      <c r="AK413" s="408">
        <v>0</v>
      </c>
      <c r="AL413" s="408">
        <v>0</v>
      </c>
      <c r="AM413" s="408"/>
      <c r="AN413" s="408">
        <v>29.713275173322913</v>
      </c>
      <c r="AO413" s="408">
        <v>133.66153047454299</v>
      </c>
      <c r="AP413" s="408">
        <v>623.24399792301926</v>
      </c>
      <c r="AQ413" s="408">
        <v>0</v>
      </c>
      <c r="AR413" s="408">
        <v>0</v>
      </c>
      <c r="AS413" s="408">
        <v>0</v>
      </c>
      <c r="AT413" s="408">
        <v>0</v>
      </c>
      <c r="AU413" s="408">
        <v>0</v>
      </c>
      <c r="AV413" s="408">
        <v>0</v>
      </c>
      <c r="AW413" s="408">
        <v>0</v>
      </c>
      <c r="AX413" s="408">
        <v>0</v>
      </c>
      <c r="AY413" s="408">
        <v>0</v>
      </c>
      <c r="AZ413" s="408">
        <v>0</v>
      </c>
      <c r="BA413" s="408"/>
      <c r="BB413" s="408">
        <v>0</v>
      </c>
      <c r="BC413" s="408">
        <v>0</v>
      </c>
      <c r="BD413" s="408">
        <v>0</v>
      </c>
      <c r="BE413" s="408">
        <v>0</v>
      </c>
      <c r="BF413" s="408">
        <v>0</v>
      </c>
      <c r="BG413" s="408">
        <v>219.91887889588514</v>
      </c>
      <c r="BH413" s="408">
        <v>0</v>
      </c>
      <c r="BI413" s="408">
        <v>0</v>
      </c>
      <c r="BJ413" s="408">
        <v>24.54</v>
      </c>
      <c r="BK413" s="408">
        <v>1194.18</v>
      </c>
      <c r="BL413" s="408">
        <v>23</v>
      </c>
      <c r="BM413" s="408"/>
      <c r="BN413" s="408"/>
      <c r="BO413" s="408"/>
      <c r="BP413" s="408"/>
      <c r="BQ413" s="408"/>
      <c r="BR413" s="408"/>
      <c r="BS413" s="408"/>
      <c r="BT413" s="408">
        <v>6787.8780000000006</v>
      </c>
      <c r="BU413" s="408"/>
      <c r="BV413" s="408">
        <v>4410.2944552945855</v>
      </c>
      <c r="BW413" s="408"/>
      <c r="BX413" s="408"/>
      <c r="BY413" s="408"/>
      <c r="BZ413" s="408"/>
      <c r="CA413" s="408"/>
      <c r="CB413" s="408"/>
      <c r="CC413" s="408"/>
      <c r="CD413" s="408"/>
      <c r="CE413" s="408"/>
      <c r="CF413" s="408"/>
      <c r="CG413" s="408"/>
      <c r="CH413" s="408"/>
      <c r="CI413" s="408">
        <v>3654.8220000000001</v>
      </c>
      <c r="CJ413" s="408">
        <v>-260.54400000000078</v>
      </c>
      <c r="CK413" s="408"/>
      <c r="CL413" s="408"/>
      <c r="CM413" s="408"/>
      <c r="CN413" s="408"/>
      <c r="CO413" s="408">
        <v>-1274.5260000000007</v>
      </c>
      <c r="CP413" s="408">
        <v>531.11400000000015</v>
      </c>
      <c r="CQ413" s="408">
        <v>31</v>
      </c>
      <c r="CR413" s="408">
        <v>695.79782894321124</v>
      </c>
      <c r="CS413" s="408">
        <v>13.319085817935616</v>
      </c>
      <c r="CT413" s="408">
        <v>62.104932244742599</v>
      </c>
      <c r="CU413" s="408">
        <v>0</v>
      </c>
      <c r="CV413" s="408">
        <v>0</v>
      </c>
      <c r="CW413" s="408">
        <v>0</v>
      </c>
      <c r="CX413" s="408">
        <v>0</v>
      </c>
      <c r="CY413" s="408">
        <v>0</v>
      </c>
      <c r="CZ413" s="408">
        <v>62.289682169427998</v>
      </c>
      <c r="DA413" s="408">
        <v>0</v>
      </c>
      <c r="DB413" s="408">
        <v>0</v>
      </c>
      <c r="DC413" s="408">
        <v>531.05403415806541</v>
      </c>
      <c r="DD413" s="408">
        <v>0</v>
      </c>
      <c r="DE413" s="408">
        <v>0</v>
      </c>
      <c r="DF413" s="408">
        <v>0</v>
      </c>
      <c r="DG413" s="408">
        <v>27.870725593898413</v>
      </c>
      <c r="DH413" s="408">
        <v>0</v>
      </c>
      <c r="DI413" s="408">
        <v>0</v>
      </c>
      <c r="DJ413" s="408"/>
      <c r="DK413" s="408">
        <v>0</v>
      </c>
      <c r="DL413" s="408">
        <v>0</v>
      </c>
      <c r="DM413" s="408">
        <v>0</v>
      </c>
      <c r="DN413" s="408">
        <v>0</v>
      </c>
      <c r="DO413" s="408">
        <v>0</v>
      </c>
      <c r="DP413" s="408">
        <v>-0.84063104085989337</v>
      </c>
      <c r="DQ413" s="408">
        <v>0</v>
      </c>
      <c r="DR413" s="408">
        <v>0</v>
      </c>
      <c r="DS413" s="408"/>
      <c r="DT413" s="408"/>
      <c r="DU413" s="408"/>
      <c r="DV413" s="408">
        <v>5794.2128025254633</v>
      </c>
      <c r="DW413" s="408">
        <v>0</v>
      </c>
      <c r="DX413" s="408">
        <v>0</v>
      </c>
      <c r="DY413" s="408">
        <v>-1274.5260000000007</v>
      </c>
      <c r="DZ413" s="408">
        <v>531.11400000000049</v>
      </c>
      <c r="EA413" s="408">
        <v>0</v>
      </c>
      <c r="EB413" s="408">
        <v>0</v>
      </c>
      <c r="EC413" s="408">
        <v>-1439.3807448651442</v>
      </c>
      <c r="ED413" s="408">
        <v>0</v>
      </c>
      <c r="EE413" s="408">
        <v>0</v>
      </c>
      <c r="EF413" s="408">
        <v>0</v>
      </c>
      <c r="EG413" s="408">
        <v>0</v>
      </c>
      <c r="EH413" s="408">
        <v>0</v>
      </c>
      <c r="EI413" s="408">
        <v>0</v>
      </c>
      <c r="EJ413" s="408">
        <v>0</v>
      </c>
      <c r="EK413" s="408">
        <v>0</v>
      </c>
      <c r="EL413" s="408">
        <v>0</v>
      </c>
      <c r="EM413" s="408">
        <v>0</v>
      </c>
      <c r="EN413" s="408">
        <v>0</v>
      </c>
      <c r="EO413" s="408">
        <v>0</v>
      </c>
      <c r="EP413" s="408">
        <v>0</v>
      </c>
      <c r="EQ413" s="408">
        <v>0</v>
      </c>
      <c r="ER413" s="408">
        <v>0</v>
      </c>
      <c r="ES413" s="408">
        <v>0</v>
      </c>
      <c r="ET413" s="408">
        <v>0</v>
      </c>
      <c r="EU413" s="408">
        <v>0</v>
      </c>
      <c r="EV413" s="408">
        <v>240</v>
      </c>
      <c r="EW413" s="408">
        <v>0</v>
      </c>
      <c r="EX413" s="408">
        <v>0</v>
      </c>
      <c r="EY413" s="408">
        <v>0</v>
      </c>
      <c r="EZ413" s="408"/>
      <c r="FA413" s="408">
        <v>0</v>
      </c>
      <c r="FB413" s="408"/>
      <c r="FC413" s="408"/>
      <c r="FD413" s="408"/>
      <c r="FE413" s="408"/>
      <c r="FF413" s="408">
        <v>0</v>
      </c>
      <c r="FG413" s="408">
        <v>0</v>
      </c>
      <c r="FH413" s="408">
        <v>0</v>
      </c>
      <c r="FI413" s="408">
        <v>0</v>
      </c>
    </row>
    <row r="414" spans="1:165">
      <c r="A414" s="408">
        <v>412</v>
      </c>
      <c r="B414" s="408" t="s">
        <v>2238</v>
      </c>
      <c r="C414" s="408" t="s">
        <v>2235</v>
      </c>
      <c r="D414" s="408" t="s">
        <v>1955</v>
      </c>
      <c r="E414" s="408" t="s">
        <v>969</v>
      </c>
      <c r="F414" s="408" t="s">
        <v>2239</v>
      </c>
      <c r="G414" s="408" t="s">
        <v>1322</v>
      </c>
      <c r="H414" s="408" t="s">
        <v>1322</v>
      </c>
      <c r="I414" s="408" t="s">
        <v>1322</v>
      </c>
      <c r="J414" s="408" t="s">
        <v>2236</v>
      </c>
      <c r="K414" s="826">
        <v>44562</v>
      </c>
      <c r="L414" s="408">
        <v>0</v>
      </c>
      <c r="M414" s="408">
        <v>0</v>
      </c>
      <c r="N414" s="408">
        <v>0.06</v>
      </c>
      <c r="O414" s="408">
        <v>-1.7999999999999999E-2</v>
      </c>
      <c r="P414" s="408">
        <v>0.06</v>
      </c>
      <c r="Q414" s="408">
        <v>-1.7999999999999999E-2</v>
      </c>
      <c r="R414" s="408"/>
      <c r="S414" s="408">
        <v>281.47000000000003</v>
      </c>
      <c r="T414" s="408">
        <v>173.25</v>
      </c>
      <c r="U414" s="408"/>
      <c r="V414" s="408">
        <v>27.283200000000001</v>
      </c>
      <c r="W414" s="408">
        <v>27.283200000000001</v>
      </c>
      <c r="X414" s="408">
        <v>25.47</v>
      </c>
      <c r="Y414" s="408">
        <v>0</v>
      </c>
      <c r="Z414" s="408">
        <v>0</v>
      </c>
      <c r="AA414" s="408">
        <v>0</v>
      </c>
      <c r="AB414" s="408">
        <v>0</v>
      </c>
      <c r="AC414" s="408">
        <v>0.15357224189284918</v>
      </c>
      <c r="AD414" s="408">
        <v>0.14754848772017159</v>
      </c>
      <c r="AE414" s="408">
        <v>14.13222634762308</v>
      </c>
      <c r="AF414" s="408">
        <v>10.22042823511878</v>
      </c>
      <c r="AG414" s="408">
        <v>0.17443401183247501</v>
      </c>
      <c r="AH414" s="408">
        <v>0</v>
      </c>
      <c r="AI414" s="408">
        <v>0</v>
      </c>
      <c r="AJ414" s="408">
        <v>0</v>
      </c>
      <c r="AK414" s="408">
        <v>0</v>
      </c>
      <c r="AL414" s="408">
        <v>0</v>
      </c>
      <c r="AM414" s="408"/>
      <c r="AN414" s="408">
        <v>7.2471402861763193E-2</v>
      </c>
      <c r="AO414" s="408">
        <v>0.32600373286473899</v>
      </c>
      <c r="AP414" s="408">
        <v>1.520107312007364</v>
      </c>
      <c r="AQ414" s="408">
        <v>0</v>
      </c>
      <c r="AR414" s="408">
        <v>0</v>
      </c>
      <c r="AS414" s="408">
        <v>0</v>
      </c>
      <c r="AT414" s="408">
        <v>0</v>
      </c>
      <c r="AU414" s="408">
        <v>0</v>
      </c>
      <c r="AV414" s="408">
        <v>0</v>
      </c>
      <c r="AW414" s="408">
        <v>0</v>
      </c>
      <c r="AX414" s="408">
        <v>0</v>
      </c>
      <c r="AY414" s="408">
        <v>0</v>
      </c>
      <c r="AZ414" s="408">
        <v>0</v>
      </c>
      <c r="BA414" s="408"/>
      <c r="BB414" s="408">
        <v>0</v>
      </c>
      <c r="BC414" s="408">
        <v>0</v>
      </c>
      <c r="BD414" s="408">
        <v>0</v>
      </c>
      <c r="BE414" s="408">
        <v>0</v>
      </c>
      <c r="BF414" s="408">
        <v>0</v>
      </c>
      <c r="BG414" s="408">
        <v>0.53638750950215885</v>
      </c>
      <c r="BH414" s="408">
        <v>0</v>
      </c>
      <c r="BI414" s="408">
        <v>0</v>
      </c>
      <c r="BJ414" s="408">
        <v>0.06</v>
      </c>
      <c r="BK414" s="408">
        <v>2.98</v>
      </c>
      <c r="BL414" s="408">
        <v>0</v>
      </c>
      <c r="BM414" s="408"/>
      <c r="BN414" s="408"/>
      <c r="BO414" s="408"/>
      <c r="BP414" s="408"/>
      <c r="BQ414" s="408"/>
      <c r="BR414" s="408"/>
      <c r="BS414" s="408"/>
      <c r="BT414" s="408">
        <v>28.144259999999999</v>
      </c>
      <c r="BU414" s="408"/>
      <c r="BV414" s="408">
        <v>10.756815744620939</v>
      </c>
      <c r="BW414" s="408"/>
      <c r="BX414" s="408"/>
      <c r="BY414" s="408"/>
      <c r="BZ414" s="408"/>
      <c r="CA414" s="408"/>
      <c r="CB414" s="408"/>
      <c r="CC414" s="408"/>
      <c r="CD414" s="408"/>
      <c r="CE414" s="408"/>
      <c r="CF414" s="408"/>
      <c r="CG414" s="408"/>
      <c r="CH414" s="408"/>
      <c r="CI414" s="408">
        <v>-2.9714</v>
      </c>
      <c r="CJ414" s="408">
        <v>-0.13651999999999997</v>
      </c>
      <c r="CK414" s="408"/>
      <c r="CL414" s="408"/>
      <c r="CM414" s="408"/>
      <c r="CN414" s="408"/>
      <c r="CO414" s="408">
        <v>-3.1086000000000018</v>
      </c>
      <c r="CP414" s="408">
        <v>1.2954000000000001</v>
      </c>
      <c r="CQ414" s="408">
        <v>31</v>
      </c>
      <c r="CR414" s="408">
        <v>1.6970678754712409</v>
      </c>
      <c r="CS414" s="408">
        <v>3.2485575165696612E-2</v>
      </c>
      <c r="CT414" s="408">
        <v>0.151475444499372</v>
      </c>
      <c r="CU414" s="408">
        <v>0</v>
      </c>
      <c r="CV414" s="408">
        <v>0</v>
      </c>
      <c r="CW414" s="408">
        <v>0</v>
      </c>
      <c r="CX414" s="408">
        <v>0</v>
      </c>
      <c r="CY414" s="408">
        <v>0</v>
      </c>
      <c r="CZ414" s="408">
        <v>0.15192605407177562</v>
      </c>
      <c r="DA414" s="408">
        <v>0</v>
      </c>
      <c r="DB414" s="408">
        <v>0</v>
      </c>
      <c r="DC414" s="408">
        <v>1.2952537418489403</v>
      </c>
      <c r="DD414" s="408">
        <v>0</v>
      </c>
      <c r="DE414" s="408">
        <v>0</v>
      </c>
      <c r="DF414" s="408">
        <v>0</v>
      </c>
      <c r="DG414" s="408">
        <v>6.7977379497313195E-2</v>
      </c>
      <c r="DH414" s="408">
        <v>0</v>
      </c>
      <c r="DI414" s="408">
        <v>0</v>
      </c>
      <c r="DJ414" s="408"/>
      <c r="DK414" s="408">
        <v>0</v>
      </c>
      <c r="DL414" s="408">
        <v>0</v>
      </c>
      <c r="DM414" s="408">
        <v>0</v>
      </c>
      <c r="DN414" s="408">
        <v>0</v>
      </c>
      <c r="DO414" s="408">
        <v>0</v>
      </c>
      <c r="DP414" s="408">
        <v>-2.0503196118533962E-3</v>
      </c>
      <c r="DQ414" s="408">
        <v>0</v>
      </c>
      <c r="DR414" s="408">
        <v>0</v>
      </c>
      <c r="DS414" s="408"/>
      <c r="DT414" s="408"/>
      <c r="DU414" s="408"/>
      <c r="DV414" s="408">
        <v>14.13222634762308</v>
      </c>
      <c r="DW414" s="408">
        <v>0</v>
      </c>
      <c r="DX414" s="408">
        <v>0</v>
      </c>
      <c r="DY414" s="408">
        <v>-3.1086000000000027</v>
      </c>
      <c r="DZ414" s="408">
        <v>1.2954000000000008</v>
      </c>
      <c r="EA414" s="408">
        <v>0</v>
      </c>
      <c r="EB414" s="408">
        <v>0</v>
      </c>
      <c r="EC414" s="408">
        <v>-3.5106847435735204</v>
      </c>
      <c r="ED414" s="408">
        <v>0</v>
      </c>
      <c r="EE414" s="408">
        <v>0</v>
      </c>
      <c r="EF414" s="408">
        <v>0</v>
      </c>
      <c r="EG414" s="408">
        <v>0</v>
      </c>
      <c r="EH414" s="408">
        <v>0</v>
      </c>
      <c r="EI414" s="408">
        <v>0</v>
      </c>
      <c r="EJ414" s="408">
        <v>0</v>
      </c>
      <c r="EK414" s="408">
        <v>0</v>
      </c>
      <c r="EL414" s="408">
        <v>0</v>
      </c>
      <c r="EM414" s="408">
        <v>0</v>
      </c>
      <c r="EN414" s="408">
        <v>0</v>
      </c>
      <c r="EO414" s="408">
        <v>0</v>
      </c>
      <c r="EP414" s="408">
        <v>0</v>
      </c>
      <c r="EQ414" s="408">
        <v>0</v>
      </c>
      <c r="ER414" s="408">
        <v>0</v>
      </c>
      <c r="ES414" s="408">
        <v>0</v>
      </c>
      <c r="ET414" s="408">
        <v>0</v>
      </c>
      <c r="EU414" s="408">
        <v>0</v>
      </c>
      <c r="EV414" s="408">
        <v>240</v>
      </c>
      <c r="EW414" s="408">
        <v>0</v>
      </c>
      <c r="EX414" s="408">
        <v>0</v>
      </c>
      <c r="EY414" s="408">
        <v>0</v>
      </c>
      <c r="EZ414" s="408"/>
      <c r="FA414" s="408">
        <v>0</v>
      </c>
      <c r="FB414" s="408"/>
      <c r="FC414" s="408"/>
      <c r="FD414" s="408"/>
      <c r="FE414" s="408"/>
      <c r="FF414" s="408">
        <v>0</v>
      </c>
      <c r="FG414" s="408">
        <v>0</v>
      </c>
      <c r="FH414" s="408">
        <v>0</v>
      </c>
      <c r="FI414" s="408">
        <v>0</v>
      </c>
    </row>
    <row r="415" spans="1:165">
      <c r="A415" s="408">
        <v>413</v>
      </c>
      <c r="B415" s="408" t="s">
        <v>1036</v>
      </c>
      <c r="C415" s="408" t="s">
        <v>2235</v>
      </c>
      <c r="D415" s="408" t="s">
        <v>1955</v>
      </c>
      <c r="E415" s="408" t="s">
        <v>969</v>
      </c>
      <c r="F415" s="408" t="s">
        <v>2240</v>
      </c>
      <c r="G415" s="408" t="s">
        <v>1322</v>
      </c>
      <c r="H415" s="408" t="s">
        <v>1322</v>
      </c>
      <c r="I415" s="408" t="s">
        <v>1322</v>
      </c>
      <c r="J415" s="408" t="s">
        <v>2236</v>
      </c>
      <c r="K415" s="826">
        <v>44562</v>
      </c>
      <c r="L415" s="408">
        <v>0</v>
      </c>
      <c r="M415" s="408">
        <v>0</v>
      </c>
      <c r="N415" s="408">
        <v>54.487000000000002</v>
      </c>
      <c r="O415" s="408">
        <v>54.487000000000002</v>
      </c>
      <c r="P415" s="408">
        <v>54.487000000000002</v>
      </c>
      <c r="Q415" s="408">
        <v>54.487000000000002</v>
      </c>
      <c r="R415" s="408"/>
      <c r="S415" s="408">
        <v>281.47000000000003</v>
      </c>
      <c r="T415" s="408">
        <v>173.25</v>
      </c>
      <c r="U415" s="408"/>
      <c r="V415" s="408">
        <v>24776.328640000003</v>
      </c>
      <c r="W415" s="408">
        <v>24776.328640000003</v>
      </c>
      <c r="X415" s="408">
        <v>23129.731500000002</v>
      </c>
      <c r="Y415" s="408">
        <v>0</v>
      </c>
      <c r="Z415" s="408">
        <v>0</v>
      </c>
      <c r="AA415" s="408">
        <v>0</v>
      </c>
      <c r="AB415" s="408">
        <v>0</v>
      </c>
      <c r="AC415" s="408">
        <v>139.46151240026123</v>
      </c>
      <c r="AD415" s="408">
        <v>133.99124084014986</v>
      </c>
      <c r="AE415" s="408">
        <v>12833.710283382314</v>
      </c>
      <c r="AF415" s="408">
        <v>9281.3412207819492</v>
      </c>
      <c r="AG415" s="408">
        <v>158.40643337860109</v>
      </c>
      <c r="AH415" s="408">
        <v>0</v>
      </c>
      <c r="AI415" s="408">
        <v>0</v>
      </c>
      <c r="AJ415" s="408">
        <v>0</v>
      </c>
      <c r="AK415" s="408">
        <v>0</v>
      </c>
      <c r="AL415" s="408">
        <v>0</v>
      </c>
      <c r="AM415" s="408"/>
      <c r="AN415" s="408">
        <v>65.812488795481528</v>
      </c>
      <c r="AO415" s="408">
        <v>296.04942321001721</v>
      </c>
      <c r="AP415" s="408">
        <v>1380.4347851557541</v>
      </c>
      <c r="AQ415" s="408">
        <v>0</v>
      </c>
      <c r="AR415" s="408">
        <v>0</v>
      </c>
      <c r="AS415" s="408">
        <v>0</v>
      </c>
      <c r="AT415" s="408">
        <v>0</v>
      </c>
      <c r="AU415" s="408">
        <v>0</v>
      </c>
      <c r="AV415" s="408">
        <v>0</v>
      </c>
      <c r="AW415" s="408">
        <v>0</v>
      </c>
      <c r="AX415" s="408">
        <v>0</v>
      </c>
      <c r="AY415" s="408">
        <v>0</v>
      </c>
      <c r="AZ415" s="408">
        <v>0</v>
      </c>
      <c r="BA415" s="408"/>
      <c r="BB415" s="408">
        <v>0</v>
      </c>
      <c r="BC415" s="408">
        <v>0</v>
      </c>
      <c r="BD415" s="408">
        <v>0</v>
      </c>
      <c r="BE415" s="408">
        <v>0</v>
      </c>
      <c r="BF415" s="408">
        <v>0</v>
      </c>
      <c r="BG415" s="408">
        <v>487.10243717073547</v>
      </c>
      <c r="BH415" s="408">
        <v>0</v>
      </c>
      <c r="BI415" s="408">
        <v>7.78</v>
      </c>
      <c r="BJ415" s="408">
        <v>85.32</v>
      </c>
      <c r="BK415" s="408">
        <v>4648.62</v>
      </c>
      <c r="BL415" s="408">
        <v>52</v>
      </c>
      <c r="BM415" s="408"/>
      <c r="BN415" s="408"/>
      <c r="BO415" s="408"/>
      <c r="BP415" s="408"/>
      <c r="BQ415" s="408"/>
      <c r="BR415" s="408"/>
      <c r="BS415" s="408"/>
      <c r="BT415" s="408">
        <v>9252.4374700000008</v>
      </c>
      <c r="BU415" s="408"/>
      <c r="BV415" s="408">
        <v>9768.4436579526846</v>
      </c>
      <c r="BW415" s="408"/>
      <c r="BX415" s="408"/>
      <c r="BY415" s="408"/>
      <c r="BZ415" s="408"/>
      <c r="CA415" s="408"/>
      <c r="CB415" s="408"/>
      <c r="CC415" s="408"/>
      <c r="CD415" s="408"/>
      <c r="CE415" s="408"/>
      <c r="CF415" s="408"/>
      <c r="CG415" s="408"/>
      <c r="CH415" s="408"/>
      <c r="CI415" s="408">
        <v>13878.0581</v>
      </c>
      <c r="CJ415" s="408">
        <v>-987.66011000000071</v>
      </c>
      <c r="CK415" s="408"/>
      <c r="CL415" s="408"/>
      <c r="CM415" s="408"/>
      <c r="CN415" s="408"/>
      <c r="CO415" s="408">
        <v>-2822.9714700000018</v>
      </c>
      <c r="CP415" s="408">
        <v>1176.3743300000003</v>
      </c>
      <c r="CQ415" s="408">
        <v>31</v>
      </c>
      <c r="CR415" s="408">
        <v>1541.135622180027</v>
      </c>
      <c r="CS415" s="408">
        <v>29.500692234221901</v>
      </c>
      <c r="CT415" s="408">
        <v>137.55737574062141</v>
      </c>
      <c r="CU415" s="408">
        <v>0</v>
      </c>
      <c r="CV415" s="408">
        <v>0</v>
      </c>
      <c r="CW415" s="408">
        <v>0</v>
      </c>
      <c r="CX415" s="408">
        <v>0</v>
      </c>
      <c r="CY415" s="408">
        <v>0</v>
      </c>
      <c r="CZ415" s="408">
        <v>137.96658180348064</v>
      </c>
      <c r="DA415" s="408">
        <v>0</v>
      </c>
      <c r="DB415" s="408">
        <v>0</v>
      </c>
      <c r="DC415" s="408">
        <v>1176.2415105353866</v>
      </c>
      <c r="DD415" s="408">
        <v>0</v>
      </c>
      <c r="DE415" s="408">
        <v>0</v>
      </c>
      <c r="DF415" s="408">
        <v>0</v>
      </c>
      <c r="DG415" s="408">
        <v>61.731391277835087</v>
      </c>
      <c r="DH415" s="408">
        <v>0</v>
      </c>
      <c r="DI415" s="408">
        <v>0</v>
      </c>
      <c r="DJ415" s="408"/>
      <c r="DK415" s="408">
        <v>0</v>
      </c>
      <c r="DL415" s="408">
        <v>0</v>
      </c>
      <c r="DM415" s="408">
        <v>0</v>
      </c>
      <c r="DN415" s="408">
        <v>0</v>
      </c>
      <c r="DO415" s="408">
        <v>0</v>
      </c>
      <c r="DP415" s="408">
        <v>-1.8619294115176075</v>
      </c>
      <c r="DQ415" s="408">
        <v>0</v>
      </c>
      <c r="DR415" s="408">
        <v>0</v>
      </c>
      <c r="DS415" s="408"/>
      <c r="DT415" s="408"/>
      <c r="DU415" s="408"/>
      <c r="DV415" s="408">
        <v>12833.710283382314</v>
      </c>
      <c r="DW415" s="408">
        <v>0</v>
      </c>
      <c r="DX415" s="408">
        <v>0</v>
      </c>
      <c r="DY415" s="408">
        <v>-2822.9714700000022</v>
      </c>
      <c r="DZ415" s="408">
        <v>1176.3743300000006</v>
      </c>
      <c r="EA415" s="408">
        <v>0</v>
      </c>
      <c r="EB415" s="408">
        <v>0</v>
      </c>
      <c r="EC415" s="408">
        <v>-3188.111327051507</v>
      </c>
      <c r="ED415" s="408">
        <v>0</v>
      </c>
      <c r="EE415" s="408">
        <v>0</v>
      </c>
      <c r="EF415" s="408">
        <v>0</v>
      </c>
      <c r="EG415" s="408">
        <v>0</v>
      </c>
      <c r="EH415" s="408">
        <v>0</v>
      </c>
      <c r="EI415" s="408">
        <v>0</v>
      </c>
      <c r="EJ415" s="408">
        <v>0</v>
      </c>
      <c r="EK415" s="408">
        <v>0</v>
      </c>
      <c r="EL415" s="408">
        <v>0</v>
      </c>
      <c r="EM415" s="408">
        <v>0</v>
      </c>
      <c r="EN415" s="408">
        <v>0</v>
      </c>
      <c r="EO415" s="408">
        <v>0</v>
      </c>
      <c r="EP415" s="408">
        <v>0</v>
      </c>
      <c r="EQ415" s="408">
        <v>0</v>
      </c>
      <c r="ER415" s="408">
        <v>0</v>
      </c>
      <c r="ES415" s="408">
        <v>0</v>
      </c>
      <c r="ET415" s="408">
        <v>0</v>
      </c>
      <c r="EU415" s="408">
        <v>0</v>
      </c>
      <c r="EV415" s="408">
        <v>240</v>
      </c>
      <c r="EW415" s="408">
        <v>0</v>
      </c>
      <c r="EX415" s="408">
        <v>0</v>
      </c>
      <c r="EY415" s="408">
        <v>0</v>
      </c>
      <c r="EZ415" s="408"/>
      <c r="FA415" s="408">
        <v>0</v>
      </c>
      <c r="FB415" s="408"/>
      <c r="FC415" s="408"/>
      <c r="FD415" s="408"/>
      <c r="FE415" s="408"/>
      <c r="FF415" s="408">
        <v>0</v>
      </c>
      <c r="FG415" s="408">
        <v>0</v>
      </c>
      <c r="FH415" s="408">
        <v>0</v>
      </c>
      <c r="FI415" s="408">
        <v>0</v>
      </c>
    </row>
    <row r="416" spans="1:165">
      <c r="A416" s="408">
        <v>414</v>
      </c>
      <c r="B416" s="408" t="s">
        <v>2238</v>
      </c>
      <c r="C416" s="408" t="s">
        <v>2235</v>
      </c>
      <c r="D416" s="408" t="s">
        <v>1955</v>
      </c>
      <c r="E416" s="408" t="s">
        <v>969</v>
      </c>
      <c r="F416" s="408" t="s">
        <v>2240</v>
      </c>
      <c r="G416" s="408" t="s">
        <v>1322</v>
      </c>
      <c r="H416" s="408" t="s">
        <v>1322</v>
      </c>
      <c r="I416" s="408" t="s">
        <v>1322</v>
      </c>
      <c r="J416" s="408" t="s">
        <v>2236</v>
      </c>
      <c r="K416" s="826">
        <v>44562</v>
      </c>
      <c r="L416" s="408">
        <v>0</v>
      </c>
      <c r="M416" s="408">
        <v>0</v>
      </c>
      <c r="N416" s="408">
        <v>7.0000000000000007E-2</v>
      </c>
      <c r="O416" s="408">
        <v>1.4E-2</v>
      </c>
      <c r="P416" s="408">
        <v>7.0000000000000007E-2</v>
      </c>
      <c r="Q416" s="408">
        <v>1.4E-2</v>
      </c>
      <c r="R416" s="408"/>
      <c r="S416" s="408">
        <v>281.47000000000003</v>
      </c>
      <c r="T416" s="408">
        <v>173.25</v>
      </c>
      <c r="U416" s="408"/>
      <c r="V416" s="408">
        <v>31.830400000000004</v>
      </c>
      <c r="W416" s="408">
        <v>31.830400000000004</v>
      </c>
      <c r="X416" s="408">
        <v>29.715000000000003</v>
      </c>
      <c r="Y416" s="408">
        <v>0</v>
      </c>
      <c r="Z416" s="408">
        <v>0</v>
      </c>
      <c r="AA416" s="408">
        <v>0</v>
      </c>
      <c r="AB416" s="408">
        <v>0</v>
      </c>
      <c r="AC416" s="408">
        <v>0.17916761554165742</v>
      </c>
      <c r="AD416" s="408">
        <v>0.17213990234020024</v>
      </c>
      <c r="AE416" s="408">
        <v>16.487597405560262</v>
      </c>
      <c r="AF416" s="408">
        <v>11.923832940971911</v>
      </c>
      <c r="AG416" s="408">
        <v>0.20350634713788754</v>
      </c>
      <c r="AH416" s="408">
        <v>0</v>
      </c>
      <c r="AI416" s="408">
        <v>0</v>
      </c>
      <c r="AJ416" s="408">
        <v>0</v>
      </c>
      <c r="AK416" s="408">
        <v>0</v>
      </c>
      <c r="AL416" s="408">
        <v>0</v>
      </c>
      <c r="AM416" s="408"/>
      <c r="AN416" s="408">
        <v>8.4549970005390399E-2</v>
      </c>
      <c r="AO416" s="408">
        <v>0.3803376883421955</v>
      </c>
      <c r="AP416" s="408">
        <v>1.7734585306752582</v>
      </c>
      <c r="AQ416" s="408">
        <v>0</v>
      </c>
      <c r="AR416" s="408">
        <v>0</v>
      </c>
      <c r="AS416" s="408">
        <v>0</v>
      </c>
      <c r="AT416" s="408">
        <v>0</v>
      </c>
      <c r="AU416" s="408">
        <v>0</v>
      </c>
      <c r="AV416" s="408">
        <v>0</v>
      </c>
      <c r="AW416" s="408">
        <v>0</v>
      </c>
      <c r="AX416" s="408">
        <v>0</v>
      </c>
      <c r="AY416" s="408">
        <v>0</v>
      </c>
      <c r="AZ416" s="408">
        <v>0</v>
      </c>
      <c r="BA416" s="408"/>
      <c r="BB416" s="408">
        <v>0</v>
      </c>
      <c r="BC416" s="408">
        <v>0</v>
      </c>
      <c r="BD416" s="408">
        <v>0</v>
      </c>
      <c r="BE416" s="408">
        <v>0</v>
      </c>
      <c r="BF416" s="408">
        <v>0</v>
      </c>
      <c r="BG416" s="408">
        <v>0.62578542775251866</v>
      </c>
      <c r="BH416" s="408">
        <v>0</v>
      </c>
      <c r="BI416" s="408">
        <v>0.01</v>
      </c>
      <c r="BJ416" s="408">
        <v>0.11</v>
      </c>
      <c r="BK416" s="408">
        <v>8.6199999999999992</v>
      </c>
      <c r="BL416" s="408">
        <v>0</v>
      </c>
      <c r="BM416" s="408"/>
      <c r="BN416" s="408"/>
      <c r="BO416" s="408"/>
      <c r="BP416" s="408"/>
      <c r="BQ416" s="408"/>
      <c r="BR416" s="408"/>
      <c r="BS416" s="408"/>
      <c r="BT416" s="408">
        <v>26.149340000000002</v>
      </c>
      <c r="BU416" s="408"/>
      <c r="BV416" s="408">
        <v>12.549618368724429</v>
      </c>
      <c r="BW416" s="408"/>
      <c r="BX416" s="408"/>
      <c r="BY416" s="408"/>
      <c r="BZ416" s="408"/>
      <c r="CA416" s="408"/>
      <c r="CB416" s="408"/>
      <c r="CC416" s="408"/>
      <c r="CD416" s="408"/>
      <c r="CE416" s="408"/>
      <c r="CF416" s="408"/>
      <c r="CG416" s="408"/>
      <c r="CH416" s="408"/>
      <c r="CI416" s="408">
        <v>2.5468999999999999</v>
      </c>
      <c r="CJ416" s="408">
        <v>-1.3027199999999999</v>
      </c>
      <c r="CK416" s="408"/>
      <c r="CL416" s="408"/>
      <c r="CM416" s="408"/>
      <c r="CN416" s="408"/>
      <c r="CO416" s="408">
        <v>-3.6267000000000027</v>
      </c>
      <c r="CP416" s="408">
        <v>1.5113000000000003</v>
      </c>
      <c r="CQ416" s="408">
        <v>31</v>
      </c>
      <c r="CR416" s="408">
        <v>1.9799125213831203</v>
      </c>
      <c r="CS416" s="408">
        <v>3.7899837693312732E-2</v>
      </c>
      <c r="CT416" s="408">
        <v>0.17672135191593408</v>
      </c>
      <c r="CU416" s="408">
        <v>0</v>
      </c>
      <c r="CV416" s="408">
        <v>0</v>
      </c>
      <c r="CW416" s="408">
        <v>0</v>
      </c>
      <c r="CX416" s="408">
        <v>0</v>
      </c>
      <c r="CY416" s="408">
        <v>0</v>
      </c>
      <c r="CZ416" s="408">
        <v>0.17724706308373819</v>
      </c>
      <c r="DA416" s="408">
        <v>0</v>
      </c>
      <c r="DB416" s="408">
        <v>0</v>
      </c>
      <c r="DC416" s="408">
        <v>1.5111293654904294</v>
      </c>
      <c r="DD416" s="408">
        <v>0</v>
      </c>
      <c r="DE416" s="408">
        <v>0</v>
      </c>
      <c r="DF416" s="408">
        <v>0</v>
      </c>
      <c r="DG416" s="408">
        <v>7.930694274686545E-2</v>
      </c>
      <c r="DH416" s="408">
        <v>0</v>
      </c>
      <c r="DI416" s="408">
        <v>0</v>
      </c>
      <c r="DJ416" s="408"/>
      <c r="DK416" s="408">
        <v>0</v>
      </c>
      <c r="DL416" s="408">
        <v>0</v>
      </c>
      <c r="DM416" s="408">
        <v>0</v>
      </c>
      <c r="DN416" s="408">
        <v>0</v>
      </c>
      <c r="DO416" s="408">
        <v>0</v>
      </c>
      <c r="DP416" s="408">
        <v>-2.3920395471623002E-3</v>
      </c>
      <c r="DQ416" s="408">
        <v>0</v>
      </c>
      <c r="DR416" s="408">
        <v>0</v>
      </c>
      <c r="DS416" s="408"/>
      <c r="DT416" s="408"/>
      <c r="DU416" s="408"/>
      <c r="DV416" s="408">
        <v>16.487597405560262</v>
      </c>
      <c r="DW416" s="408">
        <v>0</v>
      </c>
      <c r="DX416" s="408">
        <v>0</v>
      </c>
      <c r="DY416" s="408">
        <v>-3.6267000000000031</v>
      </c>
      <c r="DZ416" s="408">
        <v>1.5113000000000003</v>
      </c>
      <c r="EA416" s="408">
        <v>0</v>
      </c>
      <c r="EB416" s="408">
        <v>0</v>
      </c>
      <c r="EC416" s="408">
        <v>-4.0957988675024417</v>
      </c>
      <c r="ED416" s="408">
        <v>0</v>
      </c>
      <c r="EE416" s="408">
        <v>0</v>
      </c>
      <c r="EF416" s="408">
        <v>0</v>
      </c>
      <c r="EG416" s="408">
        <v>0</v>
      </c>
      <c r="EH416" s="408">
        <v>0</v>
      </c>
      <c r="EI416" s="408">
        <v>0</v>
      </c>
      <c r="EJ416" s="408">
        <v>0</v>
      </c>
      <c r="EK416" s="408">
        <v>0</v>
      </c>
      <c r="EL416" s="408">
        <v>0</v>
      </c>
      <c r="EM416" s="408">
        <v>0</v>
      </c>
      <c r="EN416" s="408">
        <v>0</v>
      </c>
      <c r="EO416" s="408">
        <v>0</v>
      </c>
      <c r="EP416" s="408">
        <v>0</v>
      </c>
      <c r="EQ416" s="408">
        <v>0</v>
      </c>
      <c r="ER416" s="408">
        <v>0</v>
      </c>
      <c r="ES416" s="408">
        <v>0</v>
      </c>
      <c r="ET416" s="408">
        <v>0</v>
      </c>
      <c r="EU416" s="408">
        <v>0</v>
      </c>
      <c r="EV416" s="408">
        <v>240</v>
      </c>
      <c r="EW416" s="408">
        <v>0</v>
      </c>
      <c r="EX416" s="408">
        <v>0</v>
      </c>
      <c r="EY416" s="408">
        <v>0</v>
      </c>
      <c r="EZ416" s="408"/>
      <c r="FA416" s="408">
        <v>0</v>
      </c>
      <c r="FB416" s="408"/>
      <c r="FC416" s="408"/>
      <c r="FD416" s="408"/>
      <c r="FE416" s="408"/>
      <c r="FF416" s="408">
        <v>0</v>
      </c>
      <c r="FG416" s="408">
        <v>0</v>
      </c>
      <c r="FH416" s="408">
        <v>0</v>
      </c>
      <c r="FI416" s="408">
        <v>0</v>
      </c>
    </row>
    <row r="417" spans="1:165">
      <c r="A417" s="408">
        <v>415</v>
      </c>
      <c r="B417" s="408" t="s">
        <v>1036</v>
      </c>
      <c r="C417" s="408" t="s">
        <v>2235</v>
      </c>
      <c r="D417" s="408" t="s">
        <v>1955</v>
      </c>
      <c r="E417" s="408" t="s">
        <v>969</v>
      </c>
      <c r="F417" s="408" t="s">
        <v>2241</v>
      </c>
      <c r="G417" s="408" t="s">
        <v>1322</v>
      </c>
      <c r="H417" s="408" t="s">
        <v>1322</v>
      </c>
      <c r="I417" s="408" t="s">
        <v>1322</v>
      </c>
      <c r="J417" s="408" t="s">
        <v>2236</v>
      </c>
      <c r="K417" s="826">
        <v>44562</v>
      </c>
      <c r="L417" s="408">
        <v>0</v>
      </c>
      <c r="M417" s="408">
        <v>0</v>
      </c>
      <c r="N417" s="408">
        <v>72.197999999999993</v>
      </c>
      <c r="O417" s="408">
        <v>72.197999999999993</v>
      </c>
      <c r="P417" s="408">
        <v>72.197999999999993</v>
      </c>
      <c r="Q417" s="408">
        <v>72.197999999999993</v>
      </c>
      <c r="R417" s="408"/>
      <c r="S417" s="408">
        <v>281.47000000000003</v>
      </c>
      <c r="T417" s="408">
        <v>173.25</v>
      </c>
      <c r="U417" s="408"/>
      <c r="V417" s="408">
        <v>32829.874559999997</v>
      </c>
      <c r="W417" s="408">
        <v>32829.874559999997</v>
      </c>
      <c r="X417" s="408">
        <v>30648.050999999999</v>
      </c>
      <c r="Y417" s="408">
        <v>0</v>
      </c>
      <c r="Z417" s="408">
        <v>0</v>
      </c>
      <c r="AA417" s="408">
        <v>0</v>
      </c>
      <c r="AB417" s="408">
        <v>0</v>
      </c>
      <c r="AC417" s="408">
        <v>184.79347866966543</v>
      </c>
      <c r="AD417" s="408">
        <v>177.54509527368248</v>
      </c>
      <c r="AE417" s="408">
        <v>17005.307964094853</v>
      </c>
      <c r="AF417" s="408">
        <v>12298.241295318427</v>
      </c>
      <c r="AG417" s="408">
        <v>209.89644643801716</v>
      </c>
      <c r="AH417" s="408">
        <v>0</v>
      </c>
      <c r="AI417" s="408">
        <v>0</v>
      </c>
      <c r="AJ417" s="408">
        <v>0</v>
      </c>
      <c r="AK417" s="408">
        <v>0</v>
      </c>
      <c r="AL417" s="408">
        <v>0</v>
      </c>
      <c r="AM417" s="408"/>
      <c r="AN417" s="408">
        <v>87.204839063559646</v>
      </c>
      <c r="AO417" s="408">
        <v>392.2802917561404</v>
      </c>
      <c r="AP417" s="408">
        <v>1829.145128538461</v>
      </c>
      <c r="AQ417" s="408">
        <v>0</v>
      </c>
      <c r="AR417" s="408">
        <v>0</v>
      </c>
      <c r="AS417" s="408">
        <v>0</v>
      </c>
      <c r="AT417" s="408">
        <v>0</v>
      </c>
      <c r="AU417" s="408">
        <v>0</v>
      </c>
      <c r="AV417" s="408">
        <v>0</v>
      </c>
      <c r="AW417" s="408">
        <v>0</v>
      </c>
      <c r="AX417" s="408">
        <v>0</v>
      </c>
      <c r="AY417" s="408">
        <v>0</v>
      </c>
      <c r="AZ417" s="408">
        <v>0</v>
      </c>
      <c r="BA417" s="408"/>
      <c r="BB417" s="408">
        <v>0</v>
      </c>
      <c r="BC417" s="408">
        <v>0</v>
      </c>
      <c r="BD417" s="408">
        <v>0</v>
      </c>
      <c r="BE417" s="408">
        <v>0</v>
      </c>
      <c r="BF417" s="408">
        <v>0</v>
      </c>
      <c r="BG417" s="408">
        <v>645.43509018394764</v>
      </c>
      <c r="BH417" s="408">
        <v>0</v>
      </c>
      <c r="BI417" s="408">
        <v>18.63</v>
      </c>
      <c r="BJ417" s="408">
        <v>161.99</v>
      </c>
      <c r="BK417" s="408">
        <v>9252.26</v>
      </c>
      <c r="BL417" s="408">
        <v>319</v>
      </c>
      <c r="BM417" s="408"/>
      <c r="BN417" s="408"/>
      <c r="BO417" s="408"/>
      <c r="BP417" s="408"/>
      <c r="BQ417" s="408"/>
      <c r="BR417" s="408"/>
      <c r="BS417" s="408"/>
      <c r="BT417" s="408">
        <v>3065.5270800000003</v>
      </c>
      <c r="BU417" s="408"/>
      <c r="BV417" s="408">
        <v>12943.676385502375</v>
      </c>
      <c r="BW417" s="408"/>
      <c r="BX417" s="408"/>
      <c r="BY417" s="408"/>
      <c r="BZ417" s="408"/>
      <c r="CA417" s="408"/>
      <c r="CB417" s="408"/>
      <c r="CC417" s="408"/>
      <c r="CD417" s="408"/>
      <c r="CE417" s="408"/>
      <c r="CF417" s="408"/>
      <c r="CG417" s="408"/>
      <c r="CH417" s="408"/>
      <c r="CI417" s="408">
        <v>27583.288</v>
      </c>
      <c r="CJ417" s="408">
        <v>-1963.05151999999</v>
      </c>
      <c r="CK417" s="408"/>
      <c r="CL417" s="408"/>
      <c r="CM417" s="408"/>
      <c r="CN417" s="408"/>
      <c r="CO417" s="408">
        <v>-3740.5783800000017</v>
      </c>
      <c r="CP417" s="408">
        <v>1558.7548200000001</v>
      </c>
      <c r="CQ417" s="408">
        <v>31</v>
      </c>
      <c r="CR417" s="408">
        <v>2042.0817745545501</v>
      </c>
      <c r="CS417" s="408">
        <v>39.089892596882692</v>
      </c>
      <c r="CT417" s="408">
        <v>182.27040236609446</v>
      </c>
      <c r="CU417" s="408">
        <v>0</v>
      </c>
      <c r="CV417" s="408">
        <v>0</v>
      </c>
      <c r="CW417" s="408">
        <v>0</v>
      </c>
      <c r="CX417" s="408">
        <v>0</v>
      </c>
      <c r="CY417" s="408">
        <v>0</v>
      </c>
      <c r="CZ417" s="408">
        <v>182.81262086456758</v>
      </c>
      <c r="DA417" s="408">
        <v>0</v>
      </c>
      <c r="DB417" s="408">
        <v>0</v>
      </c>
      <c r="DC417" s="408">
        <v>1558.5788275668292</v>
      </c>
      <c r="DD417" s="408">
        <v>0</v>
      </c>
      <c r="DE417" s="408">
        <v>0</v>
      </c>
      <c r="DF417" s="408">
        <v>0</v>
      </c>
      <c r="DG417" s="408">
        <v>81.797180749117047</v>
      </c>
      <c r="DH417" s="408">
        <v>0</v>
      </c>
      <c r="DI417" s="408">
        <v>0</v>
      </c>
      <c r="DJ417" s="408"/>
      <c r="DK417" s="408">
        <v>0</v>
      </c>
      <c r="DL417" s="408">
        <v>0</v>
      </c>
      <c r="DM417" s="408">
        <v>0</v>
      </c>
      <c r="DN417" s="408">
        <v>0</v>
      </c>
      <c r="DO417" s="408">
        <v>0</v>
      </c>
      <c r="DP417" s="408">
        <v>-2.4671495889432009</v>
      </c>
      <c r="DQ417" s="408">
        <v>0</v>
      </c>
      <c r="DR417" s="408">
        <v>0</v>
      </c>
      <c r="DS417" s="408"/>
      <c r="DT417" s="408"/>
      <c r="DU417" s="408"/>
      <c r="DV417" s="408">
        <v>17005.307964094853</v>
      </c>
      <c r="DW417" s="408">
        <v>0</v>
      </c>
      <c r="DX417" s="408">
        <v>0</v>
      </c>
      <c r="DY417" s="408">
        <v>-3740.578379999999</v>
      </c>
      <c r="DZ417" s="408">
        <v>1558.7548200000001</v>
      </c>
      <c r="EA417" s="408">
        <v>0</v>
      </c>
      <c r="EB417" s="408">
        <v>0</v>
      </c>
      <c r="EC417" s="408">
        <v>-4224.4069519420191</v>
      </c>
      <c r="ED417" s="408">
        <v>0</v>
      </c>
      <c r="EE417" s="408">
        <v>0</v>
      </c>
      <c r="EF417" s="408">
        <v>0</v>
      </c>
      <c r="EG417" s="408">
        <v>0</v>
      </c>
      <c r="EH417" s="408">
        <v>0</v>
      </c>
      <c r="EI417" s="408">
        <v>0</v>
      </c>
      <c r="EJ417" s="408">
        <v>0</v>
      </c>
      <c r="EK417" s="408">
        <v>0</v>
      </c>
      <c r="EL417" s="408">
        <v>0</v>
      </c>
      <c r="EM417" s="408">
        <v>0</v>
      </c>
      <c r="EN417" s="408">
        <v>0</v>
      </c>
      <c r="EO417" s="408">
        <v>0</v>
      </c>
      <c r="EP417" s="408">
        <v>0</v>
      </c>
      <c r="EQ417" s="408">
        <v>0</v>
      </c>
      <c r="ER417" s="408">
        <v>0</v>
      </c>
      <c r="ES417" s="408">
        <v>0</v>
      </c>
      <c r="ET417" s="408">
        <v>0</v>
      </c>
      <c r="EU417" s="408">
        <v>0</v>
      </c>
      <c r="EV417" s="408">
        <v>240</v>
      </c>
      <c r="EW417" s="408">
        <v>0</v>
      </c>
      <c r="EX417" s="408">
        <v>0</v>
      </c>
      <c r="EY417" s="408">
        <v>0</v>
      </c>
      <c r="EZ417" s="408"/>
      <c r="FA417" s="408">
        <v>0</v>
      </c>
      <c r="FB417" s="408"/>
      <c r="FC417" s="408"/>
      <c r="FD417" s="408"/>
      <c r="FE417" s="408"/>
      <c r="FF417" s="408">
        <v>0</v>
      </c>
      <c r="FG417" s="408">
        <v>0</v>
      </c>
      <c r="FH417" s="408">
        <v>0</v>
      </c>
      <c r="FI417" s="408">
        <v>0</v>
      </c>
    </row>
    <row r="418" spans="1:165">
      <c r="A418" s="408">
        <v>416</v>
      </c>
      <c r="B418" s="408" t="s">
        <v>2238</v>
      </c>
      <c r="C418" s="408" t="s">
        <v>2235</v>
      </c>
      <c r="D418" s="408" t="s">
        <v>1955</v>
      </c>
      <c r="E418" s="408" t="s">
        <v>969</v>
      </c>
      <c r="F418" s="408" t="s">
        <v>2241</v>
      </c>
      <c r="G418" s="408" t="s">
        <v>1322</v>
      </c>
      <c r="H418" s="408" t="s">
        <v>1322</v>
      </c>
      <c r="I418" s="408" t="s">
        <v>1322</v>
      </c>
      <c r="J418" s="408" t="s">
        <v>2236</v>
      </c>
      <c r="K418" s="826">
        <v>44562</v>
      </c>
      <c r="L418" s="408">
        <v>0</v>
      </c>
      <c r="M418" s="408">
        <v>0</v>
      </c>
      <c r="N418" s="408">
        <v>6.3E-2</v>
      </c>
      <c r="O418" s="408">
        <v>5.04E-2</v>
      </c>
      <c r="P418" s="408">
        <v>6.3E-2</v>
      </c>
      <c r="Q418" s="408">
        <v>5.04E-2</v>
      </c>
      <c r="R418" s="408"/>
      <c r="S418" s="408">
        <v>281.47000000000003</v>
      </c>
      <c r="T418" s="408">
        <v>173.25</v>
      </c>
      <c r="U418" s="408"/>
      <c r="V418" s="408">
        <v>28.647359999999999</v>
      </c>
      <c r="W418" s="408">
        <v>28.647359999999999</v>
      </c>
      <c r="X418" s="408">
        <v>26.743499999999997</v>
      </c>
      <c r="Y418" s="408">
        <v>0</v>
      </c>
      <c r="Z418" s="408">
        <v>0</v>
      </c>
      <c r="AA418" s="408">
        <v>0</v>
      </c>
      <c r="AB418" s="408">
        <v>0</v>
      </c>
      <c r="AC418" s="408">
        <v>0.16125085398749167</v>
      </c>
      <c r="AD418" s="408">
        <v>0.1549259121061802</v>
      </c>
      <c r="AE418" s="408">
        <v>14.838837665004235</v>
      </c>
      <c r="AF418" s="408">
        <v>10.731449646874719</v>
      </c>
      <c r="AG418" s="408">
        <v>0.18315571242409875</v>
      </c>
      <c r="AH418" s="408">
        <v>0</v>
      </c>
      <c r="AI418" s="408">
        <v>0</v>
      </c>
      <c r="AJ418" s="408">
        <v>0</v>
      </c>
      <c r="AK418" s="408">
        <v>0</v>
      </c>
      <c r="AL418" s="408">
        <v>0</v>
      </c>
      <c r="AM418" s="408"/>
      <c r="AN418" s="408">
        <v>7.6094973004851352E-2</v>
      </c>
      <c r="AO418" s="408">
        <v>0.34230391950797595</v>
      </c>
      <c r="AP418" s="408">
        <v>1.5961126776077321</v>
      </c>
      <c r="AQ418" s="408">
        <v>0</v>
      </c>
      <c r="AR418" s="408">
        <v>0</v>
      </c>
      <c r="AS418" s="408">
        <v>0</v>
      </c>
      <c r="AT418" s="408">
        <v>0</v>
      </c>
      <c r="AU418" s="408">
        <v>0</v>
      </c>
      <c r="AV418" s="408">
        <v>0</v>
      </c>
      <c r="AW418" s="408">
        <v>0</v>
      </c>
      <c r="AX418" s="408">
        <v>0</v>
      </c>
      <c r="AY418" s="408">
        <v>0</v>
      </c>
      <c r="AZ418" s="408">
        <v>0</v>
      </c>
      <c r="BA418" s="408"/>
      <c r="BB418" s="408">
        <v>0</v>
      </c>
      <c r="BC418" s="408">
        <v>0</v>
      </c>
      <c r="BD418" s="408">
        <v>0</v>
      </c>
      <c r="BE418" s="408">
        <v>0</v>
      </c>
      <c r="BF418" s="408">
        <v>0</v>
      </c>
      <c r="BG418" s="408">
        <v>0.56320688497726679</v>
      </c>
      <c r="BH418" s="408">
        <v>0</v>
      </c>
      <c r="BI418" s="408">
        <v>0.02</v>
      </c>
      <c r="BJ418" s="408">
        <v>0.14000000000000001</v>
      </c>
      <c r="BK418" s="408">
        <v>20.260000000000002</v>
      </c>
      <c r="BL418" s="408">
        <v>0</v>
      </c>
      <c r="BM418" s="408"/>
      <c r="BN418" s="408"/>
      <c r="BO418" s="408"/>
      <c r="BP418" s="408"/>
      <c r="BQ418" s="408"/>
      <c r="BR418" s="408"/>
      <c r="BS418" s="408"/>
      <c r="BT418" s="408">
        <v>7.488684000000001</v>
      </c>
      <c r="BU418" s="408"/>
      <c r="BV418" s="408">
        <v>11.294656531851986</v>
      </c>
      <c r="BW418" s="408"/>
      <c r="BX418" s="408"/>
      <c r="BY418" s="408"/>
      <c r="BZ418" s="408"/>
      <c r="CA418" s="408"/>
      <c r="CB418" s="408"/>
      <c r="CC418" s="408"/>
      <c r="CD418" s="408"/>
      <c r="CE418" s="408"/>
      <c r="CF418" s="408"/>
      <c r="CG418" s="408"/>
      <c r="CH418" s="408"/>
      <c r="CI418" s="408">
        <v>19.102</v>
      </c>
      <c r="CJ418" s="408">
        <v>-1.5536959999999986</v>
      </c>
      <c r="CK418" s="408"/>
      <c r="CL418" s="408"/>
      <c r="CM418" s="408"/>
      <c r="CN418" s="408"/>
      <c r="CO418" s="408">
        <v>-3.2640300000000018</v>
      </c>
      <c r="CP418" s="408">
        <v>1.3601700000000003</v>
      </c>
      <c r="CQ418" s="408">
        <v>31</v>
      </c>
      <c r="CR418" s="408">
        <v>1.7819212692448083</v>
      </c>
      <c r="CS418" s="408">
        <v>3.4109853923981415E-2</v>
      </c>
      <c r="CT418" s="408">
        <v>0.15904921672434069</v>
      </c>
      <c r="CU418" s="408">
        <v>0</v>
      </c>
      <c r="CV418" s="408">
        <v>0</v>
      </c>
      <c r="CW418" s="408">
        <v>0</v>
      </c>
      <c r="CX418" s="408">
        <v>0</v>
      </c>
      <c r="CY418" s="408">
        <v>0</v>
      </c>
      <c r="CZ418" s="408">
        <v>0.15952235677536439</v>
      </c>
      <c r="DA418" s="408">
        <v>0</v>
      </c>
      <c r="DB418" s="408">
        <v>0</v>
      </c>
      <c r="DC418" s="408">
        <v>1.3600164289413872</v>
      </c>
      <c r="DD418" s="408">
        <v>0</v>
      </c>
      <c r="DE418" s="408">
        <v>0</v>
      </c>
      <c r="DF418" s="408">
        <v>0</v>
      </c>
      <c r="DG418" s="408">
        <v>7.1376248472178827E-2</v>
      </c>
      <c r="DH418" s="408">
        <v>0</v>
      </c>
      <c r="DI418" s="408">
        <v>0</v>
      </c>
      <c r="DJ418" s="408"/>
      <c r="DK418" s="408">
        <v>0</v>
      </c>
      <c r="DL418" s="408">
        <v>0</v>
      </c>
      <c r="DM418" s="408">
        <v>0</v>
      </c>
      <c r="DN418" s="408">
        <v>0</v>
      </c>
      <c r="DO418" s="408">
        <v>0</v>
      </c>
      <c r="DP418" s="408">
        <v>-2.1528355924460701E-3</v>
      </c>
      <c r="DQ418" s="408">
        <v>0</v>
      </c>
      <c r="DR418" s="408">
        <v>0</v>
      </c>
      <c r="DS418" s="408"/>
      <c r="DT418" s="408"/>
      <c r="DU418" s="408"/>
      <c r="DV418" s="408">
        <v>14.838837665004235</v>
      </c>
      <c r="DW418" s="408">
        <v>0</v>
      </c>
      <c r="DX418" s="408">
        <v>0</v>
      </c>
      <c r="DY418" s="408">
        <v>-3.2640300000000018</v>
      </c>
      <c r="DZ418" s="408">
        <v>1.3601700000000001</v>
      </c>
      <c r="EA418" s="408">
        <v>0</v>
      </c>
      <c r="EB418" s="408">
        <v>0</v>
      </c>
      <c r="EC418" s="408">
        <v>-3.6862189807521979</v>
      </c>
      <c r="ED418" s="408">
        <v>0</v>
      </c>
      <c r="EE418" s="408">
        <v>0</v>
      </c>
      <c r="EF418" s="408">
        <v>0</v>
      </c>
      <c r="EG418" s="408">
        <v>0</v>
      </c>
      <c r="EH418" s="408">
        <v>0</v>
      </c>
      <c r="EI418" s="408">
        <v>0</v>
      </c>
      <c r="EJ418" s="408">
        <v>0</v>
      </c>
      <c r="EK418" s="408">
        <v>0</v>
      </c>
      <c r="EL418" s="408">
        <v>0</v>
      </c>
      <c r="EM418" s="408">
        <v>0</v>
      </c>
      <c r="EN418" s="408">
        <v>0</v>
      </c>
      <c r="EO418" s="408">
        <v>0</v>
      </c>
      <c r="EP418" s="408">
        <v>0</v>
      </c>
      <c r="EQ418" s="408">
        <v>0</v>
      </c>
      <c r="ER418" s="408">
        <v>0</v>
      </c>
      <c r="ES418" s="408">
        <v>0</v>
      </c>
      <c r="ET418" s="408">
        <v>0</v>
      </c>
      <c r="EU418" s="408">
        <v>0</v>
      </c>
      <c r="EV418" s="408">
        <v>240</v>
      </c>
      <c r="EW418" s="408">
        <v>0</v>
      </c>
      <c r="EX418" s="408">
        <v>0</v>
      </c>
      <c r="EY418" s="408">
        <v>0</v>
      </c>
      <c r="EZ418" s="408"/>
      <c r="FA418" s="408">
        <v>0</v>
      </c>
      <c r="FB418" s="408"/>
      <c r="FC418" s="408"/>
      <c r="FD418" s="408"/>
      <c r="FE418" s="408"/>
      <c r="FF418" s="408">
        <v>0</v>
      </c>
      <c r="FG418" s="408">
        <v>0</v>
      </c>
      <c r="FH418" s="408">
        <v>0</v>
      </c>
      <c r="FI418" s="408">
        <v>0</v>
      </c>
    </row>
    <row r="419" spans="1:165">
      <c r="A419" s="408">
        <v>417</v>
      </c>
      <c r="B419" s="408" t="s">
        <v>1036</v>
      </c>
      <c r="C419" s="408" t="s">
        <v>2235</v>
      </c>
      <c r="D419" s="408" t="s">
        <v>1955</v>
      </c>
      <c r="E419" s="408" t="s">
        <v>969</v>
      </c>
      <c r="F419" s="408" t="s">
        <v>2242</v>
      </c>
      <c r="G419" s="408" t="s">
        <v>1322</v>
      </c>
      <c r="H419" s="408" t="s">
        <v>1322</v>
      </c>
      <c r="I419" s="408" t="s">
        <v>1322</v>
      </c>
      <c r="J419" s="408" t="s">
        <v>2236</v>
      </c>
      <c r="K419" s="826">
        <v>44562</v>
      </c>
      <c r="L419" s="408">
        <v>0</v>
      </c>
      <c r="M419" s="408">
        <v>0</v>
      </c>
      <c r="N419" s="408">
        <v>63.843000000000004</v>
      </c>
      <c r="O419" s="408">
        <v>63.843000000000004</v>
      </c>
      <c r="P419" s="408">
        <v>63.843000000000004</v>
      </c>
      <c r="Q419" s="408">
        <v>63.843000000000004</v>
      </c>
      <c r="R419" s="408"/>
      <c r="S419" s="408">
        <v>281.47000000000003</v>
      </c>
      <c r="T419" s="408">
        <v>173.25</v>
      </c>
      <c r="U419" s="408"/>
      <c r="V419" s="408">
        <v>29030.688959999999</v>
      </c>
      <c r="W419" s="408">
        <v>29030.688959999999</v>
      </c>
      <c r="X419" s="408">
        <v>27101.353500000001</v>
      </c>
      <c r="Y419" s="408">
        <v>0</v>
      </c>
      <c r="Z419" s="408">
        <v>0</v>
      </c>
      <c r="AA419" s="408">
        <v>0</v>
      </c>
      <c r="AB419" s="408">
        <v>0</v>
      </c>
      <c r="AC419" s="408">
        <v>163.40854398608619</v>
      </c>
      <c r="AD419" s="408">
        <v>156.99896835864863</v>
      </c>
      <c r="AE419" s="408">
        <v>15037.39544518834</v>
      </c>
      <c r="AF419" s="408">
        <v>10875.046663578138</v>
      </c>
      <c r="AG419" s="408">
        <v>185.60651029034506</v>
      </c>
      <c r="AH419" s="408">
        <v>0</v>
      </c>
      <c r="AI419" s="408">
        <v>0</v>
      </c>
      <c r="AJ419" s="408">
        <v>0</v>
      </c>
      <c r="AK419" s="408">
        <v>0</v>
      </c>
      <c r="AL419" s="408">
        <v>0</v>
      </c>
      <c r="AM419" s="408"/>
      <c r="AN419" s="408">
        <v>77.113196215059133</v>
      </c>
      <c r="AO419" s="408">
        <v>346.88427195472553</v>
      </c>
      <c r="AP419" s="408">
        <v>1617.4701853414358</v>
      </c>
      <c r="AQ419" s="408">
        <v>0</v>
      </c>
      <c r="AR419" s="408">
        <v>0</v>
      </c>
      <c r="AS419" s="408">
        <v>0</v>
      </c>
      <c r="AT419" s="408">
        <v>0</v>
      </c>
      <c r="AU419" s="408">
        <v>0</v>
      </c>
      <c r="AV419" s="408">
        <v>0</v>
      </c>
      <c r="AW419" s="408">
        <v>0</v>
      </c>
      <c r="AX419" s="408">
        <v>0</v>
      </c>
      <c r="AY419" s="408">
        <v>0</v>
      </c>
      <c r="AZ419" s="408">
        <v>0</v>
      </c>
      <c r="BA419" s="408"/>
      <c r="BB419" s="408">
        <v>0</v>
      </c>
      <c r="BC419" s="408">
        <v>0</v>
      </c>
      <c r="BD419" s="408">
        <v>0</v>
      </c>
      <c r="BE419" s="408">
        <v>0</v>
      </c>
      <c r="BF419" s="408">
        <v>0</v>
      </c>
      <c r="BG419" s="408">
        <v>570.7431294857721</v>
      </c>
      <c r="BH419" s="408">
        <v>0</v>
      </c>
      <c r="BI419" s="408">
        <v>20.45</v>
      </c>
      <c r="BJ419" s="408">
        <v>164.24</v>
      </c>
      <c r="BK419" s="408">
        <v>9093.2800000000007</v>
      </c>
      <c r="BL419" s="408">
        <v>426</v>
      </c>
      <c r="BM419" s="408"/>
      <c r="BN419" s="408"/>
      <c r="BO419" s="408"/>
      <c r="BP419" s="408"/>
      <c r="BQ419" s="408"/>
      <c r="BR419" s="408"/>
      <c r="BS419" s="408"/>
      <c r="BT419" s="408"/>
      <c r="BU419" s="408"/>
      <c r="BV419" s="408">
        <v>11445.78979306391</v>
      </c>
      <c r="BW419" s="408"/>
      <c r="BX419" s="408"/>
      <c r="BY419" s="408"/>
      <c r="BZ419" s="408"/>
      <c r="CA419" s="408"/>
      <c r="CB419" s="408"/>
      <c r="CC419" s="408"/>
      <c r="CD419" s="408"/>
      <c r="CE419" s="408"/>
      <c r="CF419" s="408"/>
      <c r="CG419" s="408"/>
      <c r="CH419" s="408"/>
      <c r="CI419" s="408">
        <v>27100.080000000002</v>
      </c>
      <c r="CJ419" s="408">
        <v>-1930.6389599999929</v>
      </c>
      <c r="CK419" s="408"/>
      <c r="CL419" s="408"/>
      <c r="CM419" s="408"/>
      <c r="CN419" s="408"/>
      <c r="CO419" s="408">
        <v>-3307.7058300000022</v>
      </c>
      <c r="CP419" s="408">
        <v>1378.3703700000003</v>
      </c>
      <c r="CQ419" s="408">
        <v>31</v>
      </c>
      <c r="CR419" s="408">
        <v>1805.7650728951794</v>
      </c>
      <c r="CS419" s="408">
        <v>34.566276255059506</v>
      </c>
      <c r="CT419" s="408">
        <v>161.17744671955688</v>
      </c>
      <c r="CU419" s="408">
        <v>0</v>
      </c>
      <c r="CV419" s="408">
        <v>0</v>
      </c>
      <c r="CW419" s="408">
        <v>0</v>
      </c>
      <c r="CX419" s="408">
        <v>0</v>
      </c>
      <c r="CY419" s="408">
        <v>0</v>
      </c>
      <c r="CZ419" s="408">
        <v>161.65691783507285</v>
      </c>
      <c r="DA419" s="408">
        <v>0</v>
      </c>
      <c r="DB419" s="408">
        <v>0</v>
      </c>
      <c r="DC419" s="408">
        <v>1378.2147440143654</v>
      </c>
      <c r="DD419" s="408">
        <v>0</v>
      </c>
      <c r="DE419" s="408">
        <v>0</v>
      </c>
      <c r="DF419" s="408">
        <v>0</v>
      </c>
      <c r="DG419" s="408">
        <v>72.331330654116186</v>
      </c>
      <c r="DH419" s="408">
        <v>0</v>
      </c>
      <c r="DI419" s="408">
        <v>0</v>
      </c>
      <c r="DJ419" s="408"/>
      <c r="DK419" s="408">
        <v>0</v>
      </c>
      <c r="DL419" s="408">
        <v>0</v>
      </c>
      <c r="DM419" s="408">
        <v>0</v>
      </c>
      <c r="DN419" s="408">
        <v>0</v>
      </c>
      <c r="DO419" s="408">
        <v>0</v>
      </c>
      <c r="DP419" s="408">
        <v>-2.1816425829926089</v>
      </c>
      <c r="DQ419" s="408">
        <v>0</v>
      </c>
      <c r="DR419" s="408">
        <v>0</v>
      </c>
      <c r="DS419" s="408"/>
      <c r="DT419" s="408"/>
      <c r="DU419" s="408"/>
      <c r="DV419" s="408">
        <v>15037.39544518834</v>
      </c>
      <c r="DW419" s="408">
        <v>0</v>
      </c>
      <c r="DX419" s="408">
        <v>0</v>
      </c>
      <c r="DY419" s="408">
        <v>-3307.7058300000008</v>
      </c>
      <c r="DZ419" s="408">
        <v>1378.3703700000005</v>
      </c>
      <c r="EA419" s="408">
        <v>0</v>
      </c>
      <c r="EB419" s="408">
        <v>0</v>
      </c>
      <c r="EC419" s="408">
        <v>-3735.5441013994059</v>
      </c>
      <c r="ED419" s="408">
        <v>0</v>
      </c>
      <c r="EE419" s="408">
        <v>0</v>
      </c>
      <c r="EF419" s="408">
        <v>0</v>
      </c>
      <c r="EG419" s="408">
        <v>0</v>
      </c>
      <c r="EH419" s="408">
        <v>0</v>
      </c>
      <c r="EI419" s="408">
        <v>0</v>
      </c>
      <c r="EJ419" s="408">
        <v>0</v>
      </c>
      <c r="EK419" s="408">
        <v>0</v>
      </c>
      <c r="EL419" s="408">
        <v>0</v>
      </c>
      <c r="EM419" s="408">
        <v>0</v>
      </c>
      <c r="EN419" s="408">
        <v>0</v>
      </c>
      <c r="EO419" s="408">
        <v>0</v>
      </c>
      <c r="EP419" s="408">
        <v>0</v>
      </c>
      <c r="EQ419" s="408">
        <v>0</v>
      </c>
      <c r="ER419" s="408">
        <v>0</v>
      </c>
      <c r="ES419" s="408">
        <v>0</v>
      </c>
      <c r="ET419" s="408">
        <v>0</v>
      </c>
      <c r="EU419" s="408">
        <v>0</v>
      </c>
      <c r="EV419" s="408">
        <v>240</v>
      </c>
      <c r="EW419" s="408">
        <v>0</v>
      </c>
      <c r="EX419" s="408">
        <v>0</v>
      </c>
      <c r="EY419" s="408">
        <v>0</v>
      </c>
      <c r="EZ419" s="408"/>
      <c r="FA419" s="408">
        <v>0</v>
      </c>
      <c r="FB419" s="408"/>
      <c r="FC419" s="408"/>
      <c r="FD419" s="408"/>
      <c r="FE419" s="408"/>
      <c r="FF419" s="408">
        <v>0</v>
      </c>
      <c r="FG419" s="408">
        <v>0</v>
      </c>
      <c r="FH419" s="408">
        <v>0</v>
      </c>
      <c r="FI419" s="408">
        <v>0</v>
      </c>
    </row>
    <row r="420" spans="1:165">
      <c r="A420" s="408">
        <v>418</v>
      </c>
      <c r="B420" s="408" t="s">
        <v>2238</v>
      </c>
      <c r="C420" s="408" t="s">
        <v>2235</v>
      </c>
      <c r="D420" s="408" t="s">
        <v>1955</v>
      </c>
      <c r="E420" s="408" t="s">
        <v>969</v>
      </c>
      <c r="F420" s="408" t="s">
        <v>2242</v>
      </c>
      <c r="G420" s="408" t="s">
        <v>1322</v>
      </c>
      <c r="H420" s="408" t="s">
        <v>1322</v>
      </c>
      <c r="I420" s="408" t="s">
        <v>1322</v>
      </c>
      <c r="J420" s="408" t="s">
        <v>2236</v>
      </c>
      <c r="K420" s="826">
        <v>44562</v>
      </c>
      <c r="L420" s="408">
        <v>0</v>
      </c>
      <c r="M420" s="408">
        <v>0</v>
      </c>
      <c r="N420" s="408">
        <v>0</v>
      </c>
      <c r="O420" s="408">
        <v>0</v>
      </c>
      <c r="P420" s="408">
        <v>0</v>
      </c>
      <c r="Q420" s="408">
        <v>0</v>
      </c>
      <c r="R420" s="408"/>
      <c r="S420" s="408"/>
      <c r="T420" s="408"/>
      <c r="U420" s="408"/>
      <c r="V420" s="408"/>
      <c r="W420" s="408"/>
      <c r="X420" s="408"/>
      <c r="Y420" s="408"/>
      <c r="Z420" s="408"/>
      <c r="AA420" s="408">
        <v>0</v>
      </c>
      <c r="AB420" s="408"/>
      <c r="AC420" s="408"/>
      <c r="AD420" s="408"/>
      <c r="AE420" s="408"/>
      <c r="AF420" s="408"/>
      <c r="AG420" s="408"/>
      <c r="AH420" s="408"/>
      <c r="AI420" s="408"/>
      <c r="AJ420" s="408"/>
      <c r="AK420" s="408"/>
      <c r="AL420" s="408"/>
      <c r="AM420" s="408"/>
      <c r="AN420" s="408"/>
      <c r="AO420" s="408"/>
      <c r="AP420" s="408"/>
      <c r="AQ420" s="408"/>
      <c r="AR420" s="408"/>
      <c r="AS420" s="408"/>
      <c r="AT420" s="408"/>
      <c r="AU420" s="408"/>
      <c r="AV420" s="408"/>
      <c r="AW420" s="408"/>
      <c r="AX420" s="408"/>
      <c r="AY420" s="408"/>
      <c r="AZ420" s="408">
        <v>0</v>
      </c>
      <c r="BA420" s="408"/>
      <c r="BB420" s="408"/>
      <c r="BC420" s="408"/>
      <c r="BD420" s="408"/>
      <c r="BE420" s="408"/>
      <c r="BF420" s="408"/>
      <c r="BG420" s="408"/>
      <c r="BH420" s="408"/>
      <c r="BI420" s="408">
        <v>0</v>
      </c>
      <c r="BJ420" s="408">
        <v>0</v>
      </c>
      <c r="BK420" s="408">
        <v>52.44</v>
      </c>
      <c r="BL420" s="408">
        <v>2</v>
      </c>
      <c r="BM420" s="408"/>
      <c r="BN420" s="408"/>
      <c r="BO420" s="408"/>
      <c r="BP420" s="408"/>
      <c r="BQ420" s="408"/>
      <c r="BR420" s="408"/>
      <c r="BS420" s="408"/>
      <c r="BT420" s="408"/>
      <c r="BU420" s="408"/>
      <c r="BV420" s="408"/>
      <c r="BW420" s="408"/>
      <c r="BX420" s="408"/>
      <c r="BY420" s="408"/>
      <c r="BZ420" s="408"/>
      <c r="CA420" s="408"/>
      <c r="CB420" s="408"/>
      <c r="CC420" s="408"/>
      <c r="CD420" s="408"/>
      <c r="CE420" s="408"/>
      <c r="CF420" s="408"/>
      <c r="CG420" s="408"/>
      <c r="CH420" s="408"/>
      <c r="CI420" s="408"/>
      <c r="CJ420" s="408">
        <v>-0.03</v>
      </c>
      <c r="CK420" s="408"/>
      <c r="CL420" s="408"/>
      <c r="CM420" s="408"/>
      <c r="CN420" s="408"/>
      <c r="CO420" s="408">
        <v>0</v>
      </c>
      <c r="CP420" s="408">
        <v>0</v>
      </c>
      <c r="CQ420" s="408">
        <v>31</v>
      </c>
      <c r="CR420" s="408"/>
      <c r="CS420" s="408"/>
      <c r="CT420" s="408"/>
      <c r="CU420" s="408"/>
      <c r="CV420" s="408"/>
      <c r="CW420" s="408"/>
      <c r="CX420" s="408"/>
      <c r="CY420" s="408"/>
      <c r="CZ420" s="408"/>
      <c r="DA420" s="408"/>
      <c r="DB420" s="408"/>
      <c r="DC420" s="408"/>
      <c r="DD420" s="408"/>
      <c r="DE420" s="408"/>
      <c r="DF420" s="408"/>
      <c r="DG420" s="408"/>
      <c r="DH420" s="408"/>
      <c r="DI420" s="408"/>
      <c r="DJ420" s="408"/>
      <c r="DK420" s="408">
        <v>0</v>
      </c>
      <c r="DL420" s="408"/>
      <c r="DM420" s="408"/>
      <c r="DN420" s="408"/>
      <c r="DO420" s="408"/>
      <c r="DP420" s="408"/>
      <c r="DQ420" s="408"/>
      <c r="DR420" s="408"/>
      <c r="DS420" s="408"/>
      <c r="DT420" s="408"/>
      <c r="DU420" s="408"/>
      <c r="DV420" s="408"/>
      <c r="DW420" s="408"/>
      <c r="DX420" s="408"/>
      <c r="DY420" s="408"/>
      <c r="DZ420" s="408"/>
      <c r="EA420" s="408"/>
      <c r="EB420" s="408"/>
      <c r="EC420" s="408"/>
      <c r="ED420" s="408"/>
      <c r="EE420" s="408"/>
      <c r="EF420" s="408"/>
      <c r="EG420" s="408"/>
      <c r="EH420" s="408"/>
      <c r="EI420" s="408"/>
      <c r="EJ420" s="408"/>
      <c r="EK420" s="408"/>
      <c r="EL420" s="408"/>
      <c r="EM420" s="408"/>
      <c r="EN420" s="408"/>
      <c r="EO420" s="408"/>
      <c r="EP420" s="408"/>
      <c r="EQ420" s="408"/>
      <c r="ER420" s="408"/>
      <c r="ES420" s="408"/>
      <c r="ET420" s="408"/>
      <c r="EU420" s="408"/>
      <c r="EV420" s="408">
        <v>240</v>
      </c>
      <c r="EW420" s="408"/>
      <c r="EX420" s="408"/>
      <c r="EY420" s="408"/>
      <c r="EZ420" s="408"/>
      <c r="FA420" s="408">
        <v>0</v>
      </c>
      <c r="FB420" s="408"/>
      <c r="FC420" s="408"/>
      <c r="FD420" s="408"/>
      <c r="FE420" s="408"/>
      <c r="FF420" s="408">
        <v>0</v>
      </c>
      <c r="FG420" s="408">
        <v>0</v>
      </c>
      <c r="FH420" s="408">
        <v>0</v>
      </c>
      <c r="FI420" s="408">
        <v>0</v>
      </c>
    </row>
    <row r="421" spans="1:165">
      <c r="A421" s="408">
        <v>419</v>
      </c>
      <c r="B421" s="408" t="s">
        <v>1036</v>
      </c>
      <c r="C421" s="408" t="s">
        <v>2316</v>
      </c>
      <c r="D421" s="408" t="s">
        <v>1955</v>
      </c>
      <c r="E421" s="408" t="s">
        <v>969</v>
      </c>
      <c r="F421" s="408" t="s">
        <v>969</v>
      </c>
      <c r="G421" s="408" t="s">
        <v>1322</v>
      </c>
      <c r="H421" s="408" t="s">
        <v>1322</v>
      </c>
      <c r="I421" s="408" t="s">
        <v>973</v>
      </c>
      <c r="J421" s="408" t="s">
        <v>2236</v>
      </c>
      <c r="K421" s="826">
        <v>44562</v>
      </c>
      <c r="L421" s="408">
        <v>0</v>
      </c>
      <c r="M421" s="408">
        <v>0</v>
      </c>
      <c r="N421" s="408">
        <v>0.53100000000000003</v>
      </c>
      <c r="O421" s="408">
        <v>0.53100000000000003</v>
      </c>
      <c r="P421" s="408">
        <v>0.53100000000000003</v>
      </c>
      <c r="Q421" s="408">
        <v>0.53100000000000003</v>
      </c>
      <c r="R421" s="408"/>
      <c r="S421" s="408">
        <v>775.22</v>
      </c>
      <c r="T421" s="408">
        <v>173.25</v>
      </c>
      <c r="U421" s="408"/>
      <c r="V421" s="408">
        <v>503.63757000000004</v>
      </c>
      <c r="W421" s="408">
        <v>503.63757000000004</v>
      </c>
      <c r="X421" s="408">
        <v>444.18149999999997</v>
      </c>
      <c r="Y421" s="408">
        <v>0</v>
      </c>
      <c r="Z421" s="408">
        <v>32.680492278865685</v>
      </c>
      <c r="AA421" s="408">
        <v>0</v>
      </c>
      <c r="AB421" s="408">
        <v>0</v>
      </c>
      <c r="AC421" s="408">
        <v>3.3975450164969891</v>
      </c>
      <c r="AD421" s="408">
        <v>3.2642941782713475</v>
      </c>
      <c r="AE421" s="408">
        <v>312.67545075706073</v>
      </c>
      <c r="AF421" s="408">
        <v>90.45078988080121</v>
      </c>
      <c r="AG421" s="408">
        <v>1.5437410047174041</v>
      </c>
      <c r="AH421" s="408">
        <v>0</v>
      </c>
      <c r="AI421" s="408">
        <v>0</v>
      </c>
      <c r="AJ421" s="408">
        <v>0</v>
      </c>
      <c r="AK421" s="408">
        <v>0</v>
      </c>
      <c r="AL421" s="408">
        <v>5.0492950772597931</v>
      </c>
      <c r="AM421" s="408"/>
      <c r="AN421" s="408">
        <v>0.64137191532660431</v>
      </c>
      <c r="AO421" s="408">
        <v>7.2124238147618902</v>
      </c>
      <c r="AP421" s="408">
        <v>33.630218138502116</v>
      </c>
      <c r="AQ421" s="408">
        <v>0</v>
      </c>
      <c r="AR421" s="408">
        <v>0</v>
      </c>
      <c r="AS421" s="408">
        <v>0</v>
      </c>
      <c r="AT421" s="408">
        <v>0</v>
      </c>
      <c r="AU421" s="408">
        <v>0</v>
      </c>
      <c r="AV421" s="408">
        <v>0</v>
      </c>
      <c r="AW421" s="408">
        <v>0</v>
      </c>
      <c r="AX421" s="408">
        <v>0</v>
      </c>
      <c r="AY421" s="408">
        <v>0</v>
      </c>
      <c r="AZ421" s="408">
        <v>0</v>
      </c>
      <c r="BA421" s="408"/>
      <c r="BB421" s="408">
        <v>0</v>
      </c>
      <c r="BC421" s="408">
        <v>0</v>
      </c>
      <c r="BD421" s="408">
        <v>0</v>
      </c>
      <c r="BE421" s="408">
        <v>0</v>
      </c>
      <c r="BF421" s="408">
        <v>0</v>
      </c>
      <c r="BG421" s="408">
        <v>4.7470294590941062</v>
      </c>
      <c r="BH421" s="408">
        <v>0</v>
      </c>
      <c r="BI421" s="408">
        <v>0</v>
      </c>
      <c r="BJ421" s="408">
        <v>0</v>
      </c>
      <c r="BK421" s="408">
        <v>0</v>
      </c>
      <c r="BL421" s="408">
        <v>0</v>
      </c>
      <c r="BM421" s="408"/>
      <c r="BN421" s="408"/>
      <c r="BO421" s="408"/>
      <c r="BP421" s="408"/>
      <c r="BQ421" s="408"/>
      <c r="BR421" s="408"/>
      <c r="BS421" s="408"/>
      <c r="BT421" s="408"/>
      <c r="BU421" s="408"/>
      <c r="BV421" s="408">
        <v>95.197819339895318</v>
      </c>
      <c r="BW421" s="408"/>
      <c r="BX421" s="408"/>
      <c r="BY421" s="408"/>
      <c r="BZ421" s="408"/>
      <c r="CA421" s="408"/>
      <c r="CB421" s="408"/>
      <c r="CC421" s="408"/>
      <c r="CD421" s="408"/>
      <c r="CE421" s="408"/>
      <c r="CF421" s="408"/>
      <c r="CG421" s="408"/>
      <c r="CH421" s="408"/>
      <c r="CI421" s="408">
        <v>443.34499999999997</v>
      </c>
      <c r="CJ421" s="408">
        <v>-60.322570000000042</v>
      </c>
      <c r="CK421" s="408"/>
      <c r="CL421" s="408"/>
      <c r="CM421" s="408"/>
      <c r="CN421" s="408"/>
      <c r="CO421" s="408">
        <v>-70.920360000000031</v>
      </c>
      <c r="CP421" s="408">
        <v>11.464290000000002</v>
      </c>
      <c r="CQ421" s="408">
        <v>31</v>
      </c>
      <c r="CR421" s="408">
        <v>18.215142209994582</v>
      </c>
      <c r="CS421" s="408">
        <v>0.71870261699890836</v>
      </c>
      <c r="CT421" s="408">
        <v>3.3511793548400064</v>
      </c>
      <c r="CU421" s="408">
        <v>0</v>
      </c>
      <c r="CV421" s="408">
        <v>0</v>
      </c>
      <c r="CW421" s="408">
        <v>0</v>
      </c>
      <c r="CX421" s="408">
        <v>0</v>
      </c>
      <c r="CY421" s="408">
        <v>0</v>
      </c>
      <c r="CZ421" s="408">
        <v>3.3611414220305447</v>
      </c>
      <c r="DA421" s="408">
        <v>0</v>
      </c>
      <c r="DB421" s="408">
        <v>0</v>
      </c>
      <c r="DC421" s="408">
        <v>11.462995615363113</v>
      </c>
      <c r="DD421" s="408">
        <v>0</v>
      </c>
      <c r="DE421" s="408">
        <v>0</v>
      </c>
      <c r="DF421" s="408">
        <v>0</v>
      </c>
      <c r="DG421" s="408">
        <v>0.60159980855122175</v>
      </c>
      <c r="DH421" s="408">
        <v>0</v>
      </c>
      <c r="DI421" s="408">
        <v>-1.1097261033818633</v>
      </c>
      <c r="DJ421" s="408"/>
      <c r="DK421" s="408">
        <v>0</v>
      </c>
      <c r="DL421" s="408">
        <v>0</v>
      </c>
      <c r="DM421" s="408">
        <v>0</v>
      </c>
      <c r="DN421" s="408">
        <v>0</v>
      </c>
      <c r="DO421" s="408">
        <v>-0.15260517584246269</v>
      </c>
      <c r="DP421" s="408">
        <v>-1.8145328564902585E-2</v>
      </c>
      <c r="DQ421" s="408">
        <v>0</v>
      </c>
      <c r="DR421" s="408">
        <v>0</v>
      </c>
      <c r="DS421" s="408"/>
      <c r="DT421" s="408"/>
      <c r="DU421" s="408"/>
      <c r="DV421" s="408">
        <v>312.67545075706073</v>
      </c>
      <c r="DW421" s="408">
        <v>0</v>
      </c>
      <c r="DX421" s="408">
        <v>0</v>
      </c>
      <c r="DY421" s="408">
        <v>-70.920360000000073</v>
      </c>
      <c r="DZ421" s="408">
        <v>11.464290000000005</v>
      </c>
      <c r="EA421" s="408">
        <v>0</v>
      </c>
      <c r="EB421" s="408">
        <v>0</v>
      </c>
      <c r="EC421" s="408">
        <v>-77.673885746063121</v>
      </c>
      <c r="ED421" s="408">
        <v>0</v>
      </c>
      <c r="EE421" s="408">
        <v>0</v>
      </c>
      <c r="EF421" s="408">
        <v>0</v>
      </c>
      <c r="EG421" s="408">
        <v>0</v>
      </c>
      <c r="EH421" s="408">
        <v>0</v>
      </c>
      <c r="EI421" s="408">
        <v>0</v>
      </c>
      <c r="EJ421" s="408">
        <v>0</v>
      </c>
      <c r="EK421" s="408">
        <v>0</v>
      </c>
      <c r="EL421" s="408">
        <v>0</v>
      </c>
      <c r="EM421" s="408">
        <v>0</v>
      </c>
      <c r="EN421" s="408">
        <v>0</v>
      </c>
      <c r="EO421" s="408">
        <v>0</v>
      </c>
      <c r="EP421" s="408">
        <v>8.3460148690805411</v>
      </c>
      <c r="EQ421" s="408">
        <v>0</v>
      </c>
      <c r="ER421" s="408">
        <v>0</v>
      </c>
      <c r="ES421" s="408">
        <v>0</v>
      </c>
      <c r="ET421" s="408">
        <v>0</v>
      </c>
      <c r="EU421" s="408">
        <v>0</v>
      </c>
      <c r="EV421" s="408">
        <v>240</v>
      </c>
      <c r="EW421" s="408">
        <v>0</v>
      </c>
      <c r="EX421" s="408">
        <v>0</v>
      </c>
      <c r="EY421" s="408">
        <v>0</v>
      </c>
      <c r="EZ421" s="408"/>
      <c r="FA421" s="408">
        <v>0</v>
      </c>
      <c r="FB421" s="408"/>
      <c r="FC421" s="408"/>
      <c r="FD421" s="408"/>
      <c r="FE421" s="408"/>
      <c r="FF421" s="408">
        <v>0</v>
      </c>
      <c r="FG421" s="408">
        <v>0</v>
      </c>
      <c r="FH421" s="408">
        <v>0</v>
      </c>
      <c r="FI421" s="408">
        <v>0</v>
      </c>
    </row>
    <row r="422" spans="1:165">
      <c r="A422" s="408">
        <v>420</v>
      </c>
      <c r="B422" s="408" t="s">
        <v>1036</v>
      </c>
      <c r="C422" s="408" t="s">
        <v>2316</v>
      </c>
      <c r="D422" s="408" t="s">
        <v>1955</v>
      </c>
      <c r="E422" s="408" t="s">
        <v>969</v>
      </c>
      <c r="F422" s="408" t="s">
        <v>969</v>
      </c>
      <c r="G422" s="408" t="s">
        <v>1322</v>
      </c>
      <c r="H422" s="408" t="s">
        <v>1322</v>
      </c>
      <c r="I422" s="408" t="s">
        <v>2244</v>
      </c>
      <c r="J422" s="408" t="s">
        <v>2236</v>
      </c>
      <c r="K422" s="826">
        <v>44562</v>
      </c>
      <c r="L422" s="408">
        <v>0</v>
      </c>
      <c r="M422" s="408">
        <v>0</v>
      </c>
      <c r="N422" s="408">
        <v>5.6559999999999997</v>
      </c>
      <c r="O422" s="408">
        <v>5.6559999999999997</v>
      </c>
      <c r="P422" s="408">
        <v>5.6559999999999997</v>
      </c>
      <c r="Q422" s="408">
        <v>5.6559999999999997</v>
      </c>
      <c r="R422" s="408"/>
      <c r="S422" s="408">
        <v>232.58</v>
      </c>
      <c r="T422" s="408">
        <v>173.25</v>
      </c>
      <c r="U422" s="408"/>
      <c r="V422" s="408">
        <v>2295.3744799999999</v>
      </c>
      <c r="W422" s="408">
        <v>2295.3744799999999</v>
      </c>
      <c r="X422" s="408">
        <v>2260.6466399999999</v>
      </c>
      <c r="Y422" s="408">
        <v>0</v>
      </c>
      <c r="Z422" s="408">
        <v>348.09955617563895</v>
      </c>
      <c r="AA422" s="408">
        <v>0</v>
      </c>
      <c r="AB422" s="408">
        <v>0</v>
      </c>
      <c r="AC422" s="408">
        <v>7.2383716678829586</v>
      </c>
      <c r="AD422" s="408">
        <v>6.9544520545440882</v>
      </c>
      <c r="AE422" s="408">
        <v>666.09893518463446</v>
      </c>
      <c r="AF422" s="408">
        <v>963.44570163053027</v>
      </c>
      <c r="AG422" s="408">
        <v>16.443312848741311</v>
      </c>
      <c r="AH422" s="408">
        <v>0</v>
      </c>
      <c r="AI422" s="408">
        <v>0</v>
      </c>
      <c r="AJ422" s="408">
        <v>0</v>
      </c>
      <c r="AK422" s="408">
        <v>0</v>
      </c>
      <c r="AL422" s="408">
        <v>53.783075248552514</v>
      </c>
      <c r="AM422" s="408"/>
      <c r="AN422" s="408">
        <v>6.8316375764355435</v>
      </c>
      <c r="AO422" s="408">
        <v>15.36626462427021</v>
      </c>
      <c r="AP422" s="408">
        <v>71.647724639280426</v>
      </c>
      <c r="AQ422" s="408">
        <v>0</v>
      </c>
      <c r="AR422" s="408">
        <v>0</v>
      </c>
      <c r="AS422" s="408">
        <v>0</v>
      </c>
      <c r="AT422" s="408">
        <v>0</v>
      </c>
      <c r="AU422" s="408">
        <v>0</v>
      </c>
      <c r="AV422" s="408">
        <v>0</v>
      </c>
      <c r="AW422" s="408">
        <v>0</v>
      </c>
      <c r="AX422" s="408">
        <v>0</v>
      </c>
      <c r="AY422" s="408">
        <v>0</v>
      </c>
      <c r="AZ422" s="408">
        <v>0</v>
      </c>
      <c r="BA422" s="408"/>
      <c r="BB422" s="408">
        <v>0</v>
      </c>
      <c r="BC422" s="408">
        <v>0</v>
      </c>
      <c r="BD422" s="408">
        <v>0</v>
      </c>
      <c r="BE422" s="408">
        <v>0</v>
      </c>
      <c r="BF422" s="408">
        <v>0</v>
      </c>
      <c r="BG422" s="408">
        <v>50.563462562403501</v>
      </c>
      <c r="BH422" s="408">
        <v>0</v>
      </c>
      <c r="BI422" s="408">
        <v>0</v>
      </c>
      <c r="BJ422" s="408">
        <v>0</v>
      </c>
      <c r="BK422" s="408">
        <v>0</v>
      </c>
      <c r="BL422" s="408">
        <v>0</v>
      </c>
      <c r="BM422" s="408"/>
      <c r="BN422" s="408"/>
      <c r="BO422" s="408"/>
      <c r="BP422" s="408"/>
      <c r="BQ422" s="408"/>
      <c r="BR422" s="408"/>
      <c r="BS422" s="408"/>
      <c r="BT422" s="408"/>
      <c r="BU422" s="408"/>
      <c r="BV422" s="408">
        <v>1014.0091641929338</v>
      </c>
      <c r="BW422" s="408"/>
      <c r="BX422" s="408"/>
      <c r="BY422" s="408"/>
      <c r="BZ422" s="408"/>
      <c r="CA422" s="408"/>
      <c r="CB422" s="408"/>
      <c r="CC422" s="408"/>
      <c r="CD422" s="408"/>
      <c r="CE422" s="408"/>
      <c r="CF422" s="408"/>
      <c r="CG422" s="408"/>
      <c r="CH422" s="408"/>
      <c r="CI422" s="408">
        <v>2262.2453999999998</v>
      </c>
      <c r="CJ422" s="408">
        <v>-33.159080000000358</v>
      </c>
      <c r="CK422" s="408"/>
      <c r="CL422" s="408"/>
      <c r="CM422" s="408"/>
      <c r="CN422" s="408"/>
      <c r="CO422" s="408">
        <v>-156.84088000000008</v>
      </c>
      <c r="CP422" s="408">
        <v>122.11304000000001</v>
      </c>
      <c r="CQ422" s="408">
        <v>31</v>
      </c>
      <c r="CR422" s="408">
        <v>130.69966749675496</v>
      </c>
      <c r="CS422" s="408">
        <v>1.5312154252995231</v>
      </c>
      <c r="CT422" s="408">
        <v>7.139542617403734</v>
      </c>
      <c r="CU422" s="408">
        <v>0</v>
      </c>
      <c r="CV422" s="408">
        <v>0</v>
      </c>
      <c r="CW422" s="408">
        <v>0</v>
      </c>
      <c r="CX422" s="408">
        <v>0</v>
      </c>
      <c r="CY422" s="408">
        <v>0</v>
      </c>
      <c r="CZ422" s="408">
        <v>7.1607813485830238</v>
      </c>
      <c r="DA422" s="408">
        <v>0</v>
      </c>
      <c r="DB422" s="408">
        <v>0</v>
      </c>
      <c r="DC422" s="408">
        <v>122.09925273162662</v>
      </c>
      <c r="DD422" s="408">
        <v>0</v>
      </c>
      <c r="DE422" s="408">
        <v>0</v>
      </c>
      <c r="DF422" s="408">
        <v>0</v>
      </c>
      <c r="DG422" s="408">
        <v>6.4080009739467272</v>
      </c>
      <c r="DH422" s="408">
        <v>0</v>
      </c>
      <c r="DI422" s="408">
        <v>-11.82035939873407</v>
      </c>
      <c r="DJ422" s="408"/>
      <c r="DK422" s="408">
        <v>0</v>
      </c>
      <c r="DL422" s="408">
        <v>0</v>
      </c>
      <c r="DM422" s="408">
        <v>0</v>
      </c>
      <c r="DN422" s="408">
        <v>0</v>
      </c>
      <c r="DO422" s="408">
        <v>-1.6254894059603942</v>
      </c>
      <c r="DP422" s="408">
        <v>-0.1932767954107133</v>
      </c>
      <c r="DQ422" s="408">
        <v>0</v>
      </c>
      <c r="DR422" s="408">
        <v>0</v>
      </c>
      <c r="DS422" s="408"/>
      <c r="DT422" s="408"/>
      <c r="DU422" s="408"/>
      <c r="DV422" s="408">
        <v>666.09893518463446</v>
      </c>
      <c r="DW422" s="408">
        <v>0</v>
      </c>
      <c r="DX422" s="408">
        <v>0</v>
      </c>
      <c r="DY422" s="408">
        <v>-156.84087999999997</v>
      </c>
      <c r="DZ422" s="408">
        <v>122.11304000000007</v>
      </c>
      <c r="EA422" s="408">
        <v>0</v>
      </c>
      <c r="EB422" s="408">
        <v>0</v>
      </c>
      <c r="EC422" s="408">
        <v>-165.47027424709796</v>
      </c>
      <c r="ED422" s="408">
        <v>0</v>
      </c>
      <c r="EE422" s="408">
        <v>0</v>
      </c>
      <c r="EF422" s="408">
        <v>0</v>
      </c>
      <c r="EG422" s="408">
        <v>0</v>
      </c>
      <c r="EH422" s="408">
        <v>0</v>
      </c>
      <c r="EI422" s="408">
        <v>0</v>
      </c>
      <c r="EJ422" s="408">
        <v>0</v>
      </c>
      <c r="EK422" s="408">
        <v>0</v>
      </c>
      <c r="EL422" s="408">
        <v>0</v>
      </c>
      <c r="EM422" s="408">
        <v>0</v>
      </c>
      <c r="EN422" s="408">
        <v>0</v>
      </c>
      <c r="EO422" s="408">
        <v>0</v>
      </c>
      <c r="EP422" s="408">
        <v>88.898418266515122</v>
      </c>
      <c r="EQ422" s="408">
        <v>0</v>
      </c>
      <c r="ER422" s="408">
        <v>0</v>
      </c>
      <c r="ES422" s="408">
        <v>0</v>
      </c>
      <c r="ET422" s="408">
        <v>0</v>
      </c>
      <c r="EU422" s="408">
        <v>0</v>
      </c>
      <c r="EV422" s="408">
        <v>240</v>
      </c>
      <c r="EW422" s="408">
        <v>0</v>
      </c>
      <c r="EX422" s="408">
        <v>0</v>
      </c>
      <c r="EY422" s="408">
        <v>0</v>
      </c>
      <c r="EZ422" s="408"/>
      <c r="FA422" s="408">
        <v>0</v>
      </c>
      <c r="FB422" s="408"/>
      <c r="FC422" s="408"/>
      <c r="FD422" s="408"/>
      <c r="FE422" s="408"/>
      <c r="FF422" s="408">
        <v>0</v>
      </c>
      <c r="FG422" s="408">
        <v>0</v>
      </c>
      <c r="FH422" s="408">
        <v>0</v>
      </c>
      <c r="FI422" s="408">
        <v>0</v>
      </c>
    </row>
    <row r="423" spans="1:165">
      <c r="A423" s="408">
        <v>421</v>
      </c>
      <c r="B423" s="408" t="s">
        <v>1036</v>
      </c>
      <c r="C423" s="408" t="s">
        <v>2316</v>
      </c>
      <c r="D423" s="408" t="s">
        <v>1955</v>
      </c>
      <c r="E423" s="408" t="s">
        <v>969</v>
      </c>
      <c r="F423" s="408" t="s">
        <v>969</v>
      </c>
      <c r="G423" s="408" t="s">
        <v>1322</v>
      </c>
      <c r="H423" s="408" t="s">
        <v>1322</v>
      </c>
      <c r="I423" s="408" t="s">
        <v>1322</v>
      </c>
      <c r="J423" s="408" t="s">
        <v>2236</v>
      </c>
      <c r="K423" s="826">
        <v>44562</v>
      </c>
      <c r="L423" s="408">
        <v>0</v>
      </c>
      <c r="M423" s="408">
        <v>0</v>
      </c>
      <c r="N423" s="408">
        <v>0</v>
      </c>
      <c r="O423" s="408">
        <v>0</v>
      </c>
      <c r="P423" s="408">
        <v>0</v>
      </c>
      <c r="Q423" s="408">
        <v>0</v>
      </c>
      <c r="R423" s="408"/>
      <c r="S423" s="408"/>
      <c r="T423" s="408"/>
      <c r="U423" s="408"/>
      <c r="V423" s="408"/>
      <c r="W423" s="408"/>
      <c r="X423" s="408"/>
      <c r="Y423" s="408"/>
      <c r="Z423" s="408"/>
      <c r="AA423" s="408">
        <v>0</v>
      </c>
      <c r="AB423" s="408"/>
      <c r="AC423" s="408"/>
      <c r="AD423" s="408"/>
      <c r="AE423" s="408"/>
      <c r="AF423" s="408"/>
      <c r="AG423" s="408"/>
      <c r="AH423" s="408"/>
      <c r="AI423" s="408"/>
      <c r="AJ423" s="408"/>
      <c r="AK423" s="408"/>
      <c r="AL423" s="408"/>
      <c r="AM423" s="408"/>
      <c r="AN423" s="408"/>
      <c r="AO423" s="408"/>
      <c r="AP423" s="408"/>
      <c r="AQ423" s="408"/>
      <c r="AR423" s="408"/>
      <c r="AS423" s="408"/>
      <c r="AT423" s="408"/>
      <c r="AU423" s="408"/>
      <c r="AV423" s="408"/>
      <c r="AW423" s="408"/>
      <c r="AX423" s="408"/>
      <c r="AY423" s="408"/>
      <c r="AZ423" s="408">
        <v>0</v>
      </c>
      <c r="BA423" s="408"/>
      <c r="BB423" s="408"/>
      <c r="BC423" s="408"/>
      <c r="BD423" s="408"/>
      <c r="BE423" s="408"/>
      <c r="BF423" s="408"/>
      <c r="BG423" s="408"/>
      <c r="BH423" s="408"/>
      <c r="BI423" s="408">
        <v>2.66</v>
      </c>
      <c r="BJ423" s="408">
        <v>23.56</v>
      </c>
      <c r="BK423" s="408">
        <v>1307.8699999999999</v>
      </c>
      <c r="BL423" s="408">
        <v>15</v>
      </c>
      <c r="BM423" s="408"/>
      <c r="BN423" s="408"/>
      <c r="BO423" s="408"/>
      <c r="BP423" s="408"/>
      <c r="BQ423" s="408"/>
      <c r="BR423" s="408"/>
      <c r="BS423" s="408"/>
      <c r="BT423" s="408"/>
      <c r="BU423" s="408"/>
      <c r="BV423" s="408"/>
      <c r="BW423" s="408"/>
      <c r="BX423" s="408"/>
      <c r="BY423" s="408"/>
      <c r="BZ423" s="408"/>
      <c r="CA423" s="408"/>
      <c r="CB423" s="408"/>
      <c r="CC423" s="408"/>
      <c r="CD423" s="408"/>
      <c r="CE423" s="408"/>
      <c r="CF423" s="408"/>
      <c r="CG423" s="408"/>
      <c r="CH423" s="408"/>
      <c r="CI423" s="408"/>
      <c r="CJ423" s="408">
        <v>-0.03</v>
      </c>
      <c r="CK423" s="408"/>
      <c r="CL423" s="408"/>
      <c r="CM423" s="408"/>
      <c r="CN423" s="408"/>
      <c r="CO423" s="408">
        <v>0</v>
      </c>
      <c r="CP423" s="408">
        <v>0</v>
      </c>
      <c r="CQ423" s="408">
        <v>31</v>
      </c>
      <c r="CR423" s="408"/>
      <c r="CS423" s="408"/>
      <c r="CT423" s="408"/>
      <c r="CU423" s="408"/>
      <c r="CV423" s="408"/>
      <c r="CW423" s="408"/>
      <c r="CX423" s="408"/>
      <c r="CY423" s="408"/>
      <c r="CZ423" s="408"/>
      <c r="DA423" s="408"/>
      <c r="DB423" s="408"/>
      <c r="DC423" s="408"/>
      <c r="DD423" s="408"/>
      <c r="DE423" s="408"/>
      <c r="DF423" s="408"/>
      <c r="DG423" s="408"/>
      <c r="DH423" s="408"/>
      <c r="DI423" s="408"/>
      <c r="DJ423" s="408"/>
      <c r="DK423" s="408">
        <v>0</v>
      </c>
      <c r="DL423" s="408"/>
      <c r="DM423" s="408"/>
      <c r="DN423" s="408"/>
      <c r="DO423" s="408"/>
      <c r="DP423" s="408"/>
      <c r="DQ423" s="408"/>
      <c r="DR423" s="408"/>
      <c r="DS423" s="408"/>
      <c r="DT423" s="408"/>
      <c r="DU423" s="408"/>
      <c r="DV423" s="408"/>
      <c r="DW423" s="408"/>
      <c r="DX423" s="408"/>
      <c r="DY423" s="408"/>
      <c r="DZ423" s="408"/>
      <c r="EA423" s="408"/>
      <c r="EB423" s="408"/>
      <c r="EC423" s="408"/>
      <c r="ED423" s="408"/>
      <c r="EE423" s="408"/>
      <c r="EF423" s="408"/>
      <c r="EG423" s="408"/>
      <c r="EH423" s="408"/>
      <c r="EI423" s="408"/>
      <c r="EJ423" s="408"/>
      <c r="EK423" s="408"/>
      <c r="EL423" s="408"/>
      <c r="EM423" s="408"/>
      <c r="EN423" s="408"/>
      <c r="EO423" s="408"/>
      <c r="EP423" s="408"/>
      <c r="EQ423" s="408"/>
      <c r="ER423" s="408"/>
      <c r="ES423" s="408"/>
      <c r="ET423" s="408"/>
      <c r="EU423" s="408"/>
      <c r="EV423" s="408">
        <v>240</v>
      </c>
      <c r="EW423" s="408"/>
      <c r="EX423" s="408"/>
      <c r="EY423" s="408"/>
      <c r="EZ423" s="408"/>
      <c r="FA423" s="408">
        <v>0</v>
      </c>
      <c r="FB423" s="408"/>
      <c r="FC423" s="408"/>
      <c r="FD423" s="408"/>
      <c r="FE423" s="408"/>
      <c r="FF423" s="408">
        <v>0</v>
      </c>
      <c r="FG423" s="408">
        <v>0</v>
      </c>
      <c r="FH423" s="408">
        <v>0</v>
      </c>
      <c r="FI423" s="408">
        <v>0</v>
      </c>
    </row>
    <row r="424" spans="1:165">
      <c r="A424" s="408">
        <v>422</v>
      </c>
      <c r="B424" s="408" t="s">
        <v>1036</v>
      </c>
      <c r="C424" s="408" t="s">
        <v>2316</v>
      </c>
      <c r="D424" s="408" t="s">
        <v>1955</v>
      </c>
      <c r="E424" s="408" t="s">
        <v>969</v>
      </c>
      <c r="F424" s="408" t="s">
        <v>969</v>
      </c>
      <c r="G424" s="408" t="s">
        <v>1322</v>
      </c>
      <c r="H424" s="408" t="s">
        <v>1322</v>
      </c>
      <c r="I424" s="408" t="s">
        <v>2317</v>
      </c>
      <c r="J424" s="408" t="s">
        <v>2236</v>
      </c>
      <c r="K424" s="826">
        <v>44562</v>
      </c>
      <c r="L424" s="408">
        <v>0</v>
      </c>
      <c r="M424" s="408">
        <v>0</v>
      </c>
      <c r="N424" s="408">
        <v>0.41399999999999998</v>
      </c>
      <c r="O424" s="408">
        <v>0.41399999999999998</v>
      </c>
      <c r="P424" s="408">
        <v>0.41399999999999998</v>
      </c>
      <c r="Q424" s="408">
        <v>0.41399999999999998</v>
      </c>
      <c r="R424" s="408"/>
      <c r="S424" s="408">
        <v>503.9</v>
      </c>
      <c r="T424" s="408">
        <v>173.25</v>
      </c>
      <c r="U424" s="408"/>
      <c r="V424" s="408">
        <v>280.34009999999995</v>
      </c>
      <c r="W424" s="408">
        <v>280.34009999999995</v>
      </c>
      <c r="X424" s="408">
        <v>255.88925999999998</v>
      </c>
      <c r="Y424" s="408">
        <v>0</v>
      </c>
      <c r="Z424" s="408">
        <v>25.479705844539343</v>
      </c>
      <c r="AA424" s="408">
        <v>0</v>
      </c>
      <c r="AB424" s="408">
        <v>0</v>
      </c>
      <c r="AC424" s="408">
        <v>1.5892849336319079</v>
      </c>
      <c r="AD424" s="408">
        <v>1.5269612584609995</v>
      </c>
      <c r="AE424" s="408">
        <v>146.26845352947225</v>
      </c>
      <c r="AF424" s="408">
        <v>70.520954822319581</v>
      </c>
      <c r="AG424" s="408">
        <v>1.2035946816440775</v>
      </c>
      <c r="AH424" s="408">
        <v>0</v>
      </c>
      <c r="AI424" s="408">
        <v>0</v>
      </c>
      <c r="AJ424" s="408">
        <v>0</v>
      </c>
      <c r="AK424" s="408">
        <v>0</v>
      </c>
      <c r="AL424" s="408">
        <v>3.9367385348127195</v>
      </c>
      <c r="AM424" s="408"/>
      <c r="AN424" s="408">
        <v>0.50005267974616596</v>
      </c>
      <c r="AO424" s="408">
        <v>3.3738199293188291</v>
      </c>
      <c r="AP424" s="408">
        <v>15.731429621235581</v>
      </c>
      <c r="AQ424" s="408">
        <v>0</v>
      </c>
      <c r="AR424" s="408">
        <v>0</v>
      </c>
      <c r="AS424" s="408">
        <v>0</v>
      </c>
      <c r="AT424" s="408">
        <v>0</v>
      </c>
      <c r="AU424" s="408">
        <v>0</v>
      </c>
      <c r="AV424" s="408">
        <v>0</v>
      </c>
      <c r="AW424" s="408">
        <v>0</v>
      </c>
      <c r="AX424" s="408">
        <v>0</v>
      </c>
      <c r="AY424" s="408">
        <v>0</v>
      </c>
      <c r="AZ424" s="408">
        <v>0</v>
      </c>
      <c r="BA424" s="408"/>
      <c r="BB424" s="408">
        <v>0</v>
      </c>
      <c r="BC424" s="408">
        <v>0</v>
      </c>
      <c r="BD424" s="408">
        <v>0</v>
      </c>
      <c r="BE424" s="408">
        <v>0</v>
      </c>
      <c r="BF424" s="408">
        <v>0</v>
      </c>
      <c r="BG424" s="408">
        <v>3.7010738155648957</v>
      </c>
      <c r="BH424" s="408">
        <v>0</v>
      </c>
      <c r="BI424" s="408">
        <v>0</v>
      </c>
      <c r="BJ424" s="408">
        <v>0</v>
      </c>
      <c r="BK424" s="408">
        <v>0</v>
      </c>
      <c r="BL424" s="408">
        <v>0</v>
      </c>
      <c r="BM424" s="408"/>
      <c r="BN424" s="408"/>
      <c r="BO424" s="408"/>
      <c r="BP424" s="408"/>
      <c r="BQ424" s="408"/>
      <c r="BR424" s="408"/>
      <c r="BS424" s="408"/>
      <c r="BT424" s="408"/>
      <c r="BU424" s="408"/>
      <c r="BV424" s="408">
        <v>74.222028637884478</v>
      </c>
      <c r="BW424" s="408"/>
      <c r="BX424" s="408"/>
      <c r="BY424" s="408"/>
      <c r="BZ424" s="408"/>
      <c r="CA424" s="408"/>
      <c r="CB424" s="408"/>
      <c r="CC424" s="408"/>
      <c r="CD424" s="408"/>
      <c r="CE424" s="408"/>
      <c r="CF424" s="408"/>
      <c r="CG424" s="408"/>
      <c r="CH424" s="408"/>
      <c r="CI424" s="408">
        <v>253.4169</v>
      </c>
      <c r="CJ424" s="408">
        <v>-26.953199999999924</v>
      </c>
      <c r="CK424" s="408"/>
      <c r="CL424" s="408"/>
      <c r="CM424" s="408"/>
      <c r="CN424" s="408"/>
      <c r="CO424" s="408">
        <v>-33.389099999999992</v>
      </c>
      <c r="CP424" s="408">
        <v>8.9382600000000014</v>
      </c>
      <c r="CQ424" s="408">
        <v>31</v>
      </c>
      <c r="CR424" s="408">
        <v>11.884018481801292</v>
      </c>
      <c r="CS424" s="408">
        <v>0.336193944610093</v>
      </c>
      <c r="CT424" s="408">
        <v>1.5676033367278954</v>
      </c>
      <c r="CU424" s="408">
        <v>0</v>
      </c>
      <c r="CV424" s="408">
        <v>0</v>
      </c>
      <c r="CW424" s="408">
        <v>0</v>
      </c>
      <c r="CX424" s="408">
        <v>0</v>
      </c>
      <c r="CY424" s="408">
        <v>0</v>
      </c>
      <c r="CZ424" s="408">
        <v>1.5722641573827365</v>
      </c>
      <c r="DA424" s="408">
        <v>0</v>
      </c>
      <c r="DB424" s="408">
        <v>0</v>
      </c>
      <c r="DC424" s="408">
        <v>8.9372508187576756</v>
      </c>
      <c r="DD424" s="408">
        <v>0</v>
      </c>
      <c r="DE424" s="408">
        <v>0</v>
      </c>
      <c r="DF424" s="408">
        <v>0</v>
      </c>
      <c r="DG424" s="408">
        <v>0.46904391853146077</v>
      </c>
      <c r="DH424" s="408">
        <v>0</v>
      </c>
      <c r="DI424" s="408">
        <v>-0.8652101822977194</v>
      </c>
      <c r="DJ424" s="408"/>
      <c r="DK424" s="408">
        <v>0</v>
      </c>
      <c r="DL424" s="408">
        <v>0</v>
      </c>
      <c r="DM424" s="408">
        <v>0</v>
      </c>
      <c r="DN424" s="408">
        <v>0</v>
      </c>
      <c r="DO424" s="408">
        <v>-0.11898030658903869</v>
      </c>
      <c r="DP424" s="408">
        <v>-1.414720532178837E-2</v>
      </c>
      <c r="DQ424" s="408">
        <v>0</v>
      </c>
      <c r="DR424" s="408">
        <v>0</v>
      </c>
      <c r="DS424" s="408"/>
      <c r="DT424" s="408"/>
      <c r="DU424" s="408"/>
      <c r="DV424" s="408">
        <v>146.26845352947225</v>
      </c>
      <c r="DW424" s="408">
        <v>0</v>
      </c>
      <c r="DX424" s="408">
        <v>0</v>
      </c>
      <c r="DY424" s="408">
        <v>-33.389099999999985</v>
      </c>
      <c r="DZ424" s="408">
        <v>8.9382599999999996</v>
      </c>
      <c r="EA424" s="408">
        <v>0</v>
      </c>
      <c r="EB424" s="408">
        <v>0</v>
      </c>
      <c r="EC424" s="408">
        <v>-36.335564945035983</v>
      </c>
      <c r="ED424" s="408">
        <v>0</v>
      </c>
      <c r="EE424" s="408">
        <v>0</v>
      </c>
      <c r="EF424" s="408">
        <v>0</v>
      </c>
      <c r="EG424" s="408">
        <v>0</v>
      </c>
      <c r="EH424" s="408">
        <v>0</v>
      </c>
      <c r="EI424" s="408">
        <v>0</v>
      </c>
      <c r="EJ424" s="408">
        <v>0</v>
      </c>
      <c r="EK424" s="408">
        <v>0</v>
      </c>
      <c r="EL424" s="408">
        <v>0</v>
      </c>
      <c r="EM424" s="408">
        <v>0</v>
      </c>
      <c r="EN424" s="408">
        <v>0</v>
      </c>
      <c r="EO424" s="408">
        <v>0</v>
      </c>
      <c r="EP424" s="408">
        <v>6.5070624403000812</v>
      </c>
      <c r="EQ424" s="408">
        <v>0</v>
      </c>
      <c r="ER424" s="408">
        <v>0</v>
      </c>
      <c r="ES424" s="408">
        <v>0</v>
      </c>
      <c r="ET424" s="408">
        <v>0</v>
      </c>
      <c r="EU424" s="408">
        <v>0</v>
      </c>
      <c r="EV424" s="408">
        <v>240</v>
      </c>
      <c r="EW424" s="408">
        <v>0</v>
      </c>
      <c r="EX424" s="408">
        <v>0</v>
      </c>
      <c r="EY424" s="408">
        <v>0</v>
      </c>
      <c r="EZ424" s="408"/>
      <c r="FA424" s="408">
        <v>0</v>
      </c>
      <c r="FB424" s="408"/>
      <c r="FC424" s="408"/>
      <c r="FD424" s="408"/>
      <c r="FE424" s="408"/>
      <c r="FF424" s="408">
        <v>0</v>
      </c>
      <c r="FG424" s="408">
        <v>0</v>
      </c>
      <c r="FH424" s="408">
        <v>0</v>
      </c>
      <c r="FI424" s="408">
        <v>0</v>
      </c>
    </row>
    <row r="425" spans="1:165">
      <c r="A425" s="408">
        <v>423</v>
      </c>
      <c r="B425" s="408" t="s">
        <v>1036</v>
      </c>
      <c r="C425" s="408" t="s">
        <v>2235</v>
      </c>
      <c r="D425" s="408" t="s">
        <v>1958</v>
      </c>
      <c r="E425" s="408" t="s">
        <v>970</v>
      </c>
      <c r="F425" s="408" t="s">
        <v>1322</v>
      </c>
      <c r="G425" s="408" t="s">
        <v>1322</v>
      </c>
      <c r="H425" s="408" t="s">
        <v>1322</v>
      </c>
      <c r="I425" s="408" t="s">
        <v>1322</v>
      </c>
      <c r="J425" s="408" t="s">
        <v>2236</v>
      </c>
      <c r="K425" s="826">
        <v>44562</v>
      </c>
      <c r="L425" s="408">
        <v>0</v>
      </c>
      <c r="M425" s="408">
        <v>0</v>
      </c>
      <c r="N425" s="408">
        <v>431.35300000000001</v>
      </c>
      <c r="O425" s="408">
        <v>431.35300000000001</v>
      </c>
      <c r="P425" s="408">
        <v>431.35300000000001</v>
      </c>
      <c r="Q425" s="408">
        <v>431.35300000000001</v>
      </c>
      <c r="R425" s="408"/>
      <c r="S425" s="408">
        <v>368.24</v>
      </c>
      <c r="T425" s="408">
        <v>173.25</v>
      </c>
      <c r="U425" s="408"/>
      <c r="V425" s="408">
        <v>233573.33597000001</v>
      </c>
      <c r="W425" s="408">
        <v>233573.33597000001</v>
      </c>
      <c r="X425" s="408">
        <v>219511.22817000002</v>
      </c>
      <c r="Y425" s="408">
        <v>0</v>
      </c>
      <c r="Z425" s="408">
        <v>26547.699408598019</v>
      </c>
      <c r="AA425" s="408">
        <v>0</v>
      </c>
      <c r="AB425" s="408">
        <v>0</v>
      </c>
      <c r="AC425" s="408">
        <v>1104.0641209534363</v>
      </c>
      <c r="AD425" s="408">
        <v>1060.7580470593198</v>
      </c>
      <c r="AE425" s="408">
        <v>101599.63719543765</v>
      </c>
      <c r="AF425" s="408">
        <v>73476.873008386523</v>
      </c>
      <c r="AG425" s="408">
        <v>1254.0439050995599</v>
      </c>
      <c r="AH425" s="408">
        <v>0</v>
      </c>
      <c r="AI425" s="408">
        <v>0</v>
      </c>
      <c r="AJ425" s="408">
        <v>0</v>
      </c>
      <c r="AK425" s="408">
        <v>0</v>
      </c>
      <c r="AL425" s="408">
        <v>4101.7487372151472</v>
      </c>
      <c r="AM425" s="408"/>
      <c r="AN425" s="408">
        <v>521.01261731050238</v>
      </c>
      <c r="AO425" s="408">
        <v>2343.7114697067291</v>
      </c>
      <c r="AP425" s="408">
        <v>10928.380822605208</v>
      </c>
      <c r="AQ425" s="408">
        <v>0</v>
      </c>
      <c r="AR425" s="408">
        <v>0</v>
      </c>
      <c r="AS425" s="408">
        <v>0</v>
      </c>
      <c r="AT425" s="408">
        <v>0</v>
      </c>
      <c r="AU425" s="408">
        <v>0</v>
      </c>
      <c r="AV425" s="408">
        <v>0</v>
      </c>
      <c r="AW425" s="408">
        <v>0</v>
      </c>
      <c r="AX425" s="408">
        <v>0</v>
      </c>
      <c r="AY425" s="408">
        <v>0</v>
      </c>
      <c r="AZ425" s="408">
        <v>0</v>
      </c>
      <c r="BA425" s="408"/>
      <c r="BB425" s="408">
        <v>0</v>
      </c>
      <c r="BC425" s="408">
        <v>0</v>
      </c>
      <c r="BD425" s="408">
        <v>0</v>
      </c>
      <c r="BE425" s="408">
        <v>0</v>
      </c>
      <c r="BF425" s="408">
        <v>0</v>
      </c>
      <c r="BG425" s="408">
        <v>3856.2060231047453</v>
      </c>
      <c r="BH425" s="408">
        <v>0</v>
      </c>
      <c r="BI425" s="408">
        <v>196.36</v>
      </c>
      <c r="BJ425" s="408">
        <v>1695.93</v>
      </c>
      <c r="BK425" s="408">
        <v>58276.4</v>
      </c>
      <c r="BL425" s="408">
        <v>288</v>
      </c>
      <c r="BM425" s="408"/>
      <c r="BN425" s="408"/>
      <c r="BO425" s="408"/>
      <c r="BP425" s="408"/>
      <c r="BQ425" s="408"/>
      <c r="BR425" s="408"/>
      <c r="BS425" s="408"/>
      <c r="BT425" s="408"/>
      <c r="BU425" s="408"/>
      <c r="BV425" s="408">
        <v>77333.079031491274</v>
      </c>
      <c r="BW425" s="408"/>
      <c r="BX425" s="408"/>
      <c r="BY425" s="408"/>
      <c r="BZ425" s="408"/>
      <c r="CA425" s="408"/>
      <c r="CB425" s="408"/>
      <c r="CC425" s="408"/>
      <c r="CD425" s="408"/>
      <c r="CE425" s="408"/>
      <c r="CF425" s="408"/>
      <c r="CG425" s="408"/>
      <c r="CH425" s="408"/>
      <c r="CI425" s="408">
        <v>219509.70150000002</v>
      </c>
      <c r="CJ425" s="408">
        <v>-14063.664470000018</v>
      </c>
      <c r="CK425" s="408"/>
      <c r="CL425" s="408"/>
      <c r="CM425" s="408"/>
      <c r="CN425" s="408"/>
      <c r="CO425" s="408">
        <v>-23375.019069999998</v>
      </c>
      <c r="CP425" s="408">
        <v>9312.9112700000023</v>
      </c>
      <c r="CQ425" s="408">
        <v>31</v>
      </c>
      <c r="CR425" s="408">
        <v>11175.145369892358</v>
      </c>
      <c r="CS425" s="408">
        <v>233.5458384074791</v>
      </c>
      <c r="CT425" s="408">
        <v>1088.9897901856275</v>
      </c>
      <c r="CU425" s="408">
        <v>0</v>
      </c>
      <c r="CV425" s="408">
        <v>0</v>
      </c>
      <c r="CW425" s="408">
        <v>0</v>
      </c>
      <c r="CX425" s="408">
        <v>0</v>
      </c>
      <c r="CY425" s="408">
        <v>0</v>
      </c>
      <c r="CZ425" s="408">
        <v>1092.2293200337103</v>
      </c>
      <c r="DA425" s="408">
        <v>0</v>
      </c>
      <c r="DB425" s="408">
        <v>0</v>
      </c>
      <c r="DC425" s="408">
        <v>9311.8597884627525</v>
      </c>
      <c r="DD425" s="408">
        <v>0</v>
      </c>
      <c r="DE425" s="408">
        <v>0</v>
      </c>
      <c r="DF425" s="408">
        <v>0</v>
      </c>
      <c r="DG425" s="408">
        <v>488.70410963840914</v>
      </c>
      <c r="DH425" s="408">
        <v>0</v>
      </c>
      <c r="DI425" s="408">
        <v>-901.47586416586637</v>
      </c>
      <c r="DJ425" s="408"/>
      <c r="DK425" s="408">
        <v>0</v>
      </c>
      <c r="DL425" s="408">
        <v>0</v>
      </c>
      <c r="DM425" s="408">
        <v>0</v>
      </c>
      <c r="DN425" s="408">
        <v>0</v>
      </c>
      <c r="DO425" s="408">
        <v>-123.96742074420627</v>
      </c>
      <c r="DP425" s="408">
        <v>-14.740191925530041</v>
      </c>
      <c r="DQ425" s="408">
        <v>0</v>
      </c>
      <c r="DR425" s="408">
        <v>0</v>
      </c>
      <c r="DS425" s="408"/>
      <c r="DT425" s="408"/>
      <c r="DU425" s="408"/>
      <c r="DV425" s="408">
        <v>101599.63719543765</v>
      </c>
      <c r="DW425" s="408">
        <v>0</v>
      </c>
      <c r="DX425" s="408">
        <v>0</v>
      </c>
      <c r="DY425" s="408">
        <v>-23375.01906999998</v>
      </c>
      <c r="DZ425" s="408">
        <v>9312.9112699999969</v>
      </c>
      <c r="EA425" s="408">
        <v>0</v>
      </c>
      <c r="EB425" s="408">
        <v>0</v>
      </c>
      <c r="EC425" s="408">
        <v>-25239.073269911154</v>
      </c>
      <c r="ED425" s="408">
        <v>0</v>
      </c>
      <c r="EE425" s="408">
        <v>0</v>
      </c>
      <c r="EF425" s="408">
        <v>0</v>
      </c>
      <c r="EG425" s="408">
        <v>0</v>
      </c>
      <c r="EH425" s="408">
        <v>0</v>
      </c>
      <c r="EI425" s="408">
        <v>0</v>
      </c>
      <c r="EJ425" s="408">
        <v>0</v>
      </c>
      <c r="EK425" s="408">
        <v>0</v>
      </c>
      <c r="EL425" s="408">
        <v>0</v>
      </c>
      <c r="EM425" s="408">
        <v>0</v>
      </c>
      <c r="EN425" s="408">
        <v>0</v>
      </c>
      <c r="EO425" s="408">
        <v>0</v>
      </c>
      <c r="EP425" s="408">
        <v>6779.8089488182641</v>
      </c>
      <c r="EQ425" s="408">
        <v>0</v>
      </c>
      <c r="ER425" s="408">
        <v>0</v>
      </c>
      <c r="ES425" s="408">
        <v>0</v>
      </c>
      <c r="ET425" s="408">
        <v>0</v>
      </c>
      <c r="EU425" s="408">
        <v>0</v>
      </c>
      <c r="EV425" s="408">
        <v>240</v>
      </c>
      <c r="EW425" s="408">
        <v>0</v>
      </c>
      <c r="EX425" s="408">
        <v>0</v>
      </c>
      <c r="EY425" s="408">
        <v>0</v>
      </c>
      <c r="EZ425" s="408"/>
      <c r="FA425" s="408">
        <v>0</v>
      </c>
      <c r="FB425" s="408"/>
      <c r="FC425" s="408"/>
      <c r="FD425" s="408"/>
      <c r="FE425" s="408"/>
      <c r="FF425" s="408">
        <v>0</v>
      </c>
      <c r="FG425" s="408">
        <v>0</v>
      </c>
      <c r="FH425" s="408">
        <v>0</v>
      </c>
      <c r="FI425" s="408">
        <v>0</v>
      </c>
    </row>
    <row r="426" spans="1:165">
      <c r="A426" s="408">
        <v>424</v>
      </c>
      <c r="B426" s="408" t="s">
        <v>2238</v>
      </c>
      <c r="C426" s="408" t="s">
        <v>2235</v>
      </c>
      <c r="D426" s="408" t="s">
        <v>1958</v>
      </c>
      <c r="E426" s="408" t="s">
        <v>970</v>
      </c>
      <c r="F426" s="408" t="s">
        <v>1322</v>
      </c>
      <c r="G426" s="408" t="s">
        <v>1322</v>
      </c>
      <c r="H426" s="408" t="s">
        <v>1322</v>
      </c>
      <c r="I426" s="408" t="s">
        <v>1322</v>
      </c>
      <c r="J426" s="408" t="s">
        <v>2236</v>
      </c>
      <c r="K426" s="826">
        <v>44562</v>
      </c>
      <c r="L426" s="408">
        <v>0</v>
      </c>
      <c r="M426" s="408">
        <v>0</v>
      </c>
      <c r="N426" s="408">
        <v>23.86</v>
      </c>
      <c r="O426" s="408">
        <v>23.86</v>
      </c>
      <c r="P426" s="408">
        <v>23.86</v>
      </c>
      <c r="Q426" s="408">
        <v>23.86</v>
      </c>
      <c r="R426" s="408"/>
      <c r="S426" s="408">
        <v>368.24</v>
      </c>
      <c r="T426" s="408">
        <v>173.25</v>
      </c>
      <c r="U426" s="408"/>
      <c r="V426" s="408">
        <v>12919.951399999998</v>
      </c>
      <c r="W426" s="408">
        <v>12919.951399999998</v>
      </c>
      <c r="X426" s="408">
        <v>12142.115400000001</v>
      </c>
      <c r="Y426" s="408">
        <v>0</v>
      </c>
      <c r="Z426" s="408">
        <v>1468.4680711369776</v>
      </c>
      <c r="AA426" s="408">
        <v>0</v>
      </c>
      <c r="AB426" s="408">
        <v>0</v>
      </c>
      <c r="AC426" s="408">
        <v>61.070561526056366</v>
      </c>
      <c r="AD426" s="408">
        <v>58.675115283388244</v>
      </c>
      <c r="AE426" s="408">
        <v>5619.9153442381121</v>
      </c>
      <c r="AF426" s="408">
        <v>4064.3236281655682</v>
      </c>
      <c r="AG426" s="408">
        <v>69.366592038714231</v>
      </c>
      <c r="AH426" s="408">
        <v>0</v>
      </c>
      <c r="AI426" s="408">
        <v>0</v>
      </c>
      <c r="AJ426" s="408">
        <v>0</v>
      </c>
      <c r="AK426" s="408">
        <v>0</v>
      </c>
      <c r="AL426" s="408">
        <v>226.88546241698427</v>
      </c>
      <c r="AM426" s="408"/>
      <c r="AN426" s="408">
        <v>28.819461204694495</v>
      </c>
      <c r="AO426" s="408">
        <v>129.6408177692112</v>
      </c>
      <c r="AP426" s="408">
        <v>604.49600774159512</v>
      </c>
      <c r="AQ426" s="408">
        <v>0</v>
      </c>
      <c r="AR426" s="408">
        <v>0</v>
      </c>
      <c r="AS426" s="408">
        <v>0</v>
      </c>
      <c r="AT426" s="408">
        <v>0</v>
      </c>
      <c r="AU426" s="408">
        <v>0</v>
      </c>
      <c r="AV426" s="408">
        <v>0</v>
      </c>
      <c r="AW426" s="408">
        <v>0</v>
      </c>
      <c r="AX426" s="408">
        <v>0</v>
      </c>
      <c r="AY426" s="408">
        <v>0</v>
      </c>
      <c r="AZ426" s="408">
        <v>0</v>
      </c>
      <c r="BA426" s="408"/>
      <c r="BB426" s="408">
        <v>0</v>
      </c>
      <c r="BC426" s="408">
        <v>0</v>
      </c>
      <c r="BD426" s="408">
        <v>0</v>
      </c>
      <c r="BE426" s="408">
        <v>0</v>
      </c>
      <c r="BF426" s="408">
        <v>0</v>
      </c>
      <c r="BG426" s="408">
        <v>213.30343294535848</v>
      </c>
      <c r="BH426" s="408">
        <v>0</v>
      </c>
      <c r="BI426" s="408">
        <v>11.24</v>
      </c>
      <c r="BJ426" s="408">
        <v>98.71</v>
      </c>
      <c r="BK426" s="408">
        <v>8390.89</v>
      </c>
      <c r="BL426" s="408">
        <v>50</v>
      </c>
      <c r="BM426" s="408"/>
      <c r="BN426" s="408"/>
      <c r="BO426" s="408"/>
      <c r="BP426" s="408"/>
      <c r="BQ426" s="408"/>
      <c r="BR426" s="408"/>
      <c r="BS426" s="408"/>
      <c r="BT426" s="408"/>
      <c r="BU426" s="408"/>
      <c r="BV426" s="408">
        <v>4277.6270611109267</v>
      </c>
      <c r="BW426" s="408"/>
      <c r="BX426" s="408"/>
      <c r="BY426" s="408"/>
      <c r="BZ426" s="408"/>
      <c r="CA426" s="408"/>
      <c r="CB426" s="408"/>
      <c r="CC426" s="408"/>
      <c r="CD426" s="408"/>
      <c r="CE426" s="408"/>
      <c r="CF426" s="408"/>
      <c r="CG426" s="408"/>
      <c r="CH426" s="408"/>
      <c r="CI426" s="408">
        <v>12142.115400000001</v>
      </c>
      <c r="CJ426" s="408">
        <v>-777.86599999999817</v>
      </c>
      <c r="CK426" s="408"/>
      <c r="CL426" s="408"/>
      <c r="CM426" s="408"/>
      <c r="CN426" s="408"/>
      <c r="CO426" s="408">
        <v>-1292.9733999999999</v>
      </c>
      <c r="CP426" s="408">
        <v>515.13740000000007</v>
      </c>
      <c r="CQ426" s="408">
        <v>31</v>
      </c>
      <c r="CR426" s="408">
        <v>618.14562209056658</v>
      </c>
      <c r="CS426" s="408">
        <v>12.918430390892013</v>
      </c>
      <c r="CT426" s="408">
        <v>60.23673509591697</v>
      </c>
      <c r="CU426" s="408">
        <v>0</v>
      </c>
      <c r="CV426" s="408">
        <v>0</v>
      </c>
      <c r="CW426" s="408">
        <v>0</v>
      </c>
      <c r="CX426" s="408">
        <v>0</v>
      </c>
      <c r="CY426" s="408">
        <v>0</v>
      </c>
      <c r="CZ426" s="408">
        <v>60.415927502542765</v>
      </c>
      <c r="DA426" s="408">
        <v>0</v>
      </c>
      <c r="DB426" s="408">
        <v>0</v>
      </c>
      <c r="DC426" s="408">
        <v>515.07923800859498</v>
      </c>
      <c r="DD426" s="408">
        <v>0</v>
      </c>
      <c r="DE426" s="408">
        <v>0</v>
      </c>
      <c r="DF426" s="408">
        <v>0</v>
      </c>
      <c r="DG426" s="408">
        <v>27.032337913431547</v>
      </c>
      <c r="DH426" s="408">
        <v>0</v>
      </c>
      <c r="DI426" s="408">
        <v>-49.864528863825171</v>
      </c>
      <c r="DJ426" s="408"/>
      <c r="DK426" s="408">
        <v>0</v>
      </c>
      <c r="DL426" s="408">
        <v>0</v>
      </c>
      <c r="DM426" s="408">
        <v>0</v>
      </c>
      <c r="DN426" s="408">
        <v>0</v>
      </c>
      <c r="DO426" s="408">
        <v>-6.8571741913392827</v>
      </c>
      <c r="DP426" s="408">
        <v>-0.81534376564703237</v>
      </c>
      <c r="DQ426" s="408">
        <v>0</v>
      </c>
      <c r="DR426" s="408">
        <v>0</v>
      </c>
      <c r="DS426" s="408"/>
      <c r="DT426" s="408"/>
      <c r="DU426" s="408"/>
      <c r="DV426" s="408">
        <v>5619.9153442381121</v>
      </c>
      <c r="DW426" s="408">
        <v>0</v>
      </c>
      <c r="DX426" s="408">
        <v>0</v>
      </c>
      <c r="DY426" s="408">
        <v>-1292.9733999999989</v>
      </c>
      <c r="DZ426" s="408">
        <v>515.13740000000053</v>
      </c>
      <c r="EA426" s="408">
        <v>0</v>
      </c>
      <c r="EB426" s="408">
        <v>0</v>
      </c>
      <c r="EC426" s="408">
        <v>-1396.0822996944044</v>
      </c>
      <c r="ED426" s="408">
        <v>0</v>
      </c>
      <c r="EE426" s="408">
        <v>0</v>
      </c>
      <c r="EF426" s="408">
        <v>0</v>
      </c>
      <c r="EG426" s="408">
        <v>0</v>
      </c>
      <c r="EH426" s="408">
        <v>0</v>
      </c>
      <c r="EI426" s="408">
        <v>0</v>
      </c>
      <c r="EJ426" s="408">
        <v>0</v>
      </c>
      <c r="EK426" s="408">
        <v>0</v>
      </c>
      <c r="EL426" s="408">
        <v>0</v>
      </c>
      <c r="EM426" s="408">
        <v>0</v>
      </c>
      <c r="EN426" s="408">
        <v>0</v>
      </c>
      <c r="EO426" s="408">
        <v>0</v>
      </c>
      <c r="EP426" s="408">
        <v>375.02055513420277</v>
      </c>
      <c r="EQ426" s="408">
        <v>0</v>
      </c>
      <c r="ER426" s="408">
        <v>0</v>
      </c>
      <c r="ES426" s="408">
        <v>0</v>
      </c>
      <c r="ET426" s="408">
        <v>0</v>
      </c>
      <c r="EU426" s="408">
        <v>0</v>
      </c>
      <c r="EV426" s="408">
        <v>240</v>
      </c>
      <c r="EW426" s="408">
        <v>0</v>
      </c>
      <c r="EX426" s="408">
        <v>0</v>
      </c>
      <c r="EY426" s="408">
        <v>0</v>
      </c>
      <c r="EZ426" s="408"/>
      <c r="FA426" s="408">
        <v>0</v>
      </c>
      <c r="FB426" s="408"/>
      <c r="FC426" s="408"/>
      <c r="FD426" s="408"/>
      <c r="FE426" s="408"/>
      <c r="FF426" s="408">
        <v>0</v>
      </c>
      <c r="FG426" s="408">
        <v>0</v>
      </c>
      <c r="FH426" s="408">
        <v>0</v>
      </c>
      <c r="FI426" s="408">
        <v>0</v>
      </c>
    </row>
    <row r="427" spans="1:165">
      <c r="A427" s="408">
        <v>425</v>
      </c>
      <c r="B427" s="408" t="s">
        <v>1036</v>
      </c>
      <c r="C427" s="408" t="s">
        <v>2247</v>
      </c>
      <c r="D427" s="408" t="s">
        <v>597</v>
      </c>
      <c r="E427" s="408" t="s">
        <v>970</v>
      </c>
      <c r="F427" s="408" t="s">
        <v>1322</v>
      </c>
      <c r="G427" s="408" t="s">
        <v>1322</v>
      </c>
      <c r="H427" s="408" t="s">
        <v>1322</v>
      </c>
      <c r="I427" s="408" t="s">
        <v>973</v>
      </c>
      <c r="J427" s="408" t="s">
        <v>2236</v>
      </c>
      <c r="K427" s="826">
        <v>44562</v>
      </c>
      <c r="L427" s="408">
        <v>10384</v>
      </c>
      <c r="M427" s="408">
        <v>10384</v>
      </c>
      <c r="N427" s="408">
        <v>524.08600000000001</v>
      </c>
      <c r="O427" s="408">
        <v>524.08600000000001</v>
      </c>
      <c r="P427" s="408">
        <v>524.08600000000001</v>
      </c>
      <c r="Q427" s="408">
        <v>524.08600000000001</v>
      </c>
      <c r="R427" s="408">
        <v>52.95</v>
      </c>
      <c r="S427" s="408">
        <v>85.01</v>
      </c>
      <c r="T427" s="408">
        <v>173.25</v>
      </c>
      <c r="U427" s="408">
        <v>549832.80000000005</v>
      </c>
      <c r="V427" s="408">
        <v>135350.45036000002</v>
      </c>
      <c r="W427" s="408">
        <v>685183.25035999995</v>
      </c>
      <c r="X427" s="408">
        <v>605539.04561999999</v>
      </c>
      <c r="Y427" s="408">
        <v>0</v>
      </c>
      <c r="Z427" s="408">
        <v>28061.82292753593</v>
      </c>
      <c r="AA427" s="408">
        <v>0</v>
      </c>
      <c r="AB427" s="408">
        <v>0</v>
      </c>
      <c r="AC427" s="408">
        <v>8179.1263758987452</v>
      </c>
      <c r="AD427" s="408">
        <v>7858.1102028374999</v>
      </c>
      <c r="AE427" s="408">
        <v>435439.68606064928</v>
      </c>
      <c r="AF427" s="408">
        <v>89273.055867174349</v>
      </c>
      <c r="AG427" s="408">
        <v>1523.6403920872417</v>
      </c>
      <c r="AH427" s="408">
        <v>0</v>
      </c>
      <c r="AI427" s="408">
        <v>0</v>
      </c>
      <c r="AJ427" s="408">
        <v>0</v>
      </c>
      <c r="AK427" s="408">
        <v>0</v>
      </c>
      <c r="AL427" s="408">
        <v>4983.5496419223646</v>
      </c>
      <c r="AM427" s="408"/>
      <c r="AN427" s="408">
        <v>419.69531551276361</v>
      </c>
      <c r="AO427" s="408">
        <v>17362.576365378514</v>
      </c>
      <c r="AP427" s="408">
        <v>80958.076317265819</v>
      </c>
      <c r="AQ427" s="408">
        <v>0</v>
      </c>
      <c r="AR427" s="408">
        <v>0</v>
      </c>
      <c r="AS427" s="408">
        <v>0</v>
      </c>
      <c r="AT427" s="408">
        <v>0</v>
      </c>
      <c r="AU427" s="408">
        <v>0</v>
      </c>
      <c r="AV427" s="408">
        <v>0</v>
      </c>
      <c r="AW427" s="408">
        <v>0</v>
      </c>
      <c r="AX427" s="408">
        <v>0</v>
      </c>
      <c r="AY427" s="408">
        <v>0</v>
      </c>
      <c r="AZ427" s="408">
        <v>0</v>
      </c>
      <c r="BA427" s="408"/>
      <c r="BB427" s="408">
        <v>0</v>
      </c>
      <c r="BC427" s="408">
        <v>0</v>
      </c>
      <c r="BD427" s="408">
        <v>0</v>
      </c>
      <c r="BE427" s="408">
        <v>0</v>
      </c>
      <c r="BF427" s="408">
        <v>0</v>
      </c>
      <c r="BG427" s="408">
        <v>3919.4592139608212</v>
      </c>
      <c r="BH427" s="408">
        <v>0</v>
      </c>
      <c r="BI427" s="408">
        <v>0</v>
      </c>
      <c r="BJ427" s="408">
        <v>0</v>
      </c>
      <c r="BK427" s="408">
        <v>0</v>
      </c>
      <c r="BL427" s="408">
        <v>0</v>
      </c>
      <c r="BM427" s="408"/>
      <c r="BN427" s="408"/>
      <c r="BO427" s="408"/>
      <c r="BP427" s="408"/>
      <c r="BQ427" s="408"/>
      <c r="BR427" s="408"/>
      <c r="BS427" s="408"/>
      <c r="BT427" s="408"/>
      <c r="BU427" s="408"/>
      <c r="BV427" s="408">
        <v>93192.515081135178</v>
      </c>
      <c r="BW427" s="408"/>
      <c r="BX427" s="408"/>
      <c r="BY427" s="408"/>
      <c r="BZ427" s="408"/>
      <c r="CA427" s="408"/>
      <c r="CB427" s="408"/>
      <c r="CC427" s="408"/>
      <c r="CD427" s="408"/>
      <c r="CE427" s="408"/>
      <c r="CF427" s="408"/>
      <c r="CG427" s="408"/>
      <c r="CH427" s="408"/>
      <c r="CI427" s="408">
        <v>605540.16029999999</v>
      </c>
      <c r="CJ427" s="408">
        <v>-79643.120059999987</v>
      </c>
      <c r="CK427" s="408"/>
      <c r="CL427" s="408"/>
      <c r="CM427" s="408"/>
      <c r="CN427" s="408"/>
      <c r="CO427" s="408">
        <v>-90959.221480000037</v>
      </c>
      <c r="CP427" s="408">
        <v>11315.016740000003</v>
      </c>
      <c r="CQ427" s="408">
        <v>31</v>
      </c>
      <c r="CR427" s="408">
        <v>28583.769588067807</v>
      </c>
      <c r="CS427" s="408">
        <v>1730.1436232991909</v>
      </c>
      <c r="CT427" s="408">
        <v>8067.2992617723794</v>
      </c>
      <c r="CU427" s="408">
        <v>0</v>
      </c>
      <c r="CV427" s="408">
        <v>0</v>
      </c>
      <c r="CW427" s="408">
        <v>0</v>
      </c>
      <c r="CX427" s="408">
        <v>0</v>
      </c>
      <c r="CY427" s="408">
        <v>0</v>
      </c>
      <c r="CZ427" s="408">
        <v>8091.2498259041649</v>
      </c>
      <c r="DA427" s="408">
        <v>0</v>
      </c>
      <c r="DB427" s="408">
        <v>0</v>
      </c>
      <c r="DC427" s="408">
        <v>11313.739209177395</v>
      </c>
      <c r="DD427" s="408">
        <v>0</v>
      </c>
      <c r="DE427" s="408">
        <v>0</v>
      </c>
      <c r="DF427" s="408">
        <v>0</v>
      </c>
      <c r="DG427" s="408">
        <v>496.72030331007136</v>
      </c>
      <c r="DH427" s="408">
        <v>0</v>
      </c>
      <c r="DI427" s="408">
        <v>-952.89070756452929</v>
      </c>
      <c r="DJ427" s="408"/>
      <c r="DK427" s="408">
        <v>0</v>
      </c>
      <c r="DL427" s="408">
        <v>0</v>
      </c>
      <c r="DM427" s="408">
        <v>0</v>
      </c>
      <c r="DN427" s="408">
        <v>0</v>
      </c>
      <c r="DO427" s="408">
        <v>-150.61814724401665</v>
      </c>
      <c r="DP427" s="408">
        <v>-11.873780586809403</v>
      </c>
      <c r="DQ427" s="408">
        <v>0</v>
      </c>
      <c r="DR427" s="408">
        <v>0</v>
      </c>
      <c r="DS427" s="408"/>
      <c r="DT427" s="408"/>
      <c r="DU427" s="408">
        <v>435439.68606064928</v>
      </c>
      <c r="DV427" s="408">
        <v>0</v>
      </c>
      <c r="DW427" s="408">
        <v>0</v>
      </c>
      <c r="DX427" s="408">
        <v>0</v>
      </c>
      <c r="DY427" s="408">
        <v>-90959.221480000007</v>
      </c>
      <c r="DZ427" s="408">
        <v>11315.016740000006</v>
      </c>
      <c r="EA427" s="408">
        <v>0</v>
      </c>
      <c r="EB427" s="408">
        <v>0</v>
      </c>
      <c r="EC427" s="408">
        <v>-108170.60419193294</v>
      </c>
      <c r="ED427" s="408">
        <v>0</v>
      </c>
      <c r="EE427" s="408">
        <v>0</v>
      </c>
      <c r="EF427" s="408">
        <v>0</v>
      </c>
      <c r="EG427" s="408">
        <v>0</v>
      </c>
      <c r="EH427" s="408">
        <v>0</v>
      </c>
      <c r="EI427" s="408">
        <v>0</v>
      </c>
      <c r="EJ427" s="408">
        <v>0</v>
      </c>
      <c r="EK427" s="408">
        <v>0</v>
      </c>
      <c r="EL427" s="408">
        <v>0</v>
      </c>
      <c r="EM427" s="408">
        <v>0</v>
      </c>
      <c r="EN427" s="408">
        <v>0</v>
      </c>
      <c r="EO427" s="408">
        <v>0</v>
      </c>
      <c r="EP427" s="408">
        <v>7166.4890910526365</v>
      </c>
      <c r="EQ427" s="408">
        <v>0</v>
      </c>
      <c r="ER427" s="408">
        <v>0</v>
      </c>
      <c r="ES427" s="408">
        <v>0</v>
      </c>
      <c r="ET427" s="408">
        <v>0</v>
      </c>
      <c r="EU427" s="408">
        <v>0</v>
      </c>
      <c r="EV427" s="408">
        <v>240</v>
      </c>
      <c r="EW427" s="408">
        <v>0</v>
      </c>
      <c r="EX427" s="408">
        <v>0</v>
      </c>
      <c r="EY427" s="408">
        <v>0</v>
      </c>
      <c r="EZ427" s="408"/>
      <c r="FA427" s="408">
        <v>0</v>
      </c>
      <c r="FB427" s="408"/>
      <c r="FC427" s="408"/>
      <c r="FD427" s="408"/>
      <c r="FE427" s="408"/>
      <c r="FF427" s="408">
        <v>0</v>
      </c>
      <c r="FG427" s="408">
        <v>0</v>
      </c>
      <c r="FH427" s="408">
        <v>0</v>
      </c>
      <c r="FI427" s="408">
        <v>0</v>
      </c>
    </row>
    <row r="428" spans="1:165">
      <c r="A428" s="408">
        <v>426</v>
      </c>
      <c r="B428" s="408" t="s">
        <v>1036</v>
      </c>
      <c r="C428" s="408" t="s">
        <v>2247</v>
      </c>
      <c r="D428" s="408" t="s">
        <v>597</v>
      </c>
      <c r="E428" s="408" t="s">
        <v>970</v>
      </c>
      <c r="F428" s="408" t="s">
        <v>1322</v>
      </c>
      <c r="G428" s="408" t="s">
        <v>1322</v>
      </c>
      <c r="H428" s="408" t="s">
        <v>1322</v>
      </c>
      <c r="I428" s="408" t="s">
        <v>2244</v>
      </c>
      <c r="J428" s="408" t="s">
        <v>2236</v>
      </c>
      <c r="K428" s="826">
        <v>44562</v>
      </c>
      <c r="L428" s="408">
        <v>11176</v>
      </c>
      <c r="M428" s="408">
        <v>11176</v>
      </c>
      <c r="N428" s="408">
        <v>4563.5969999999998</v>
      </c>
      <c r="O428" s="408">
        <v>4563.5969999999998</v>
      </c>
      <c r="P428" s="408">
        <v>4563.5969999999998</v>
      </c>
      <c r="Q428" s="408">
        <v>4563.5969999999998</v>
      </c>
      <c r="R428" s="408">
        <v>27.19</v>
      </c>
      <c r="S428" s="408">
        <v>85.01</v>
      </c>
      <c r="T428" s="408">
        <v>173.25</v>
      </c>
      <c r="U428" s="408">
        <v>303875.44</v>
      </c>
      <c r="V428" s="408">
        <v>1178594.56122</v>
      </c>
      <c r="W428" s="408">
        <v>1482470.00122</v>
      </c>
      <c r="X428" s="408">
        <v>1514927.3359900001</v>
      </c>
      <c r="Y428" s="408">
        <v>0</v>
      </c>
      <c r="Z428" s="408">
        <v>244354.6496693943</v>
      </c>
      <c r="AA428" s="408">
        <v>0</v>
      </c>
      <c r="AB428" s="408">
        <v>0</v>
      </c>
      <c r="AC428" s="408">
        <v>2606.2500556664554</v>
      </c>
      <c r="AD428" s="408">
        <v>2503.8133648038588</v>
      </c>
      <c r="AE428" s="408">
        <v>267464.36999755056</v>
      </c>
      <c r="AF428" s="408">
        <v>777365.26054172264</v>
      </c>
      <c r="AG428" s="408">
        <v>13267.442218277458</v>
      </c>
      <c r="AH428" s="408">
        <v>0</v>
      </c>
      <c r="AI428" s="408">
        <v>0</v>
      </c>
      <c r="AJ428" s="408">
        <v>0</v>
      </c>
      <c r="AK428" s="408">
        <v>0</v>
      </c>
      <c r="AL428" s="408">
        <v>43395.382046511404</v>
      </c>
      <c r="AM428" s="408"/>
      <c r="AN428" s="408">
        <v>3654.5915799851578</v>
      </c>
      <c r="AO428" s="408">
        <v>5530.8328722670258</v>
      </c>
      <c r="AP428" s="408">
        <v>25795.200909496412</v>
      </c>
      <c r="AQ428" s="408">
        <v>0</v>
      </c>
      <c r="AR428" s="408">
        <v>0</v>
      </c>
      <c r="AS428" s="408">
        <v>0</v>
      </c>
      <c r="AT428" s="408">
        <v>0</v>
      </c>
      <c r="AU428" s="408">
        <v>0</v>
      </c>
      <c r="AV428" s="408">
        <v>0</v>
      </c>
      <c r="AW428" s="408">
        <v>0</v>
      </c>
      <c r="AX428" s="408">
        <v>0</v>
      </c>
      <c r="AY428" s="408">
        <v>0</v>
      </c>
      <c r="AZ428" s="408">
        <v>0</v>
      </c>
      <c r="BA428" s="408"/>
      <c r="BB428" s="408">
        <v>0</v>
      </c>
      <c r="BC428" s="408">
        <v>0</v>
      </c>
      <c r="BD428" s="408">
        <v>0</v>
      </c>
      <c r="BE428" s="408">
        <v>0</v>
      </c>
      <c r="BF428" s="408">
        <v>0</v>
      </c>
      <c r="BG428" s="408">
        <v>34129.574746232414</v>
      </c>
      <c r="BH428" s="408">
        <v>0</v>
      </c>
      <c r="BI428" s="408">
        <v>0</v>
      </c>
      <c r="BJ428" s="408">
        <v>0</v>
      </c>
      <c r="BK428" s="408">
        <v>0</v>
      </c>
      <c r="BL428" s="408">
        <v>0</v>
      </c>
      <c r="BM428" s="408"/>
      <c r="BN428" s="408"/>
      <c r="BO428" s="408"/>
      <c r="BP428" s="408"/>
      <c r="BQ428" s="408"/>
      <c r="BR428" s="408"/>
      <c r="BS428" s="408"/>
      <c r="BT428" s="408"/>
      <c r="BU428" s="408"/>
      <c r="BV428" s="408">
        <v>811494.83528795501</v>
      </c>
      <c r="BW428" s="408"/>
      <c r="BX428" s="408"/>
      <c r="BY428" s="408"/>
      <c r="BZ428" s="408"/>
      <c r="CA428" s="408"/>
      <c r="CB428" s="408"/>
      <c r="CC428" s="408"/>
      <c r="CD428" s="408"/>
      <c r="CE428" s="408"/>
      <c r="CF428" s="408"/>
      <c r="CG428" s="408"/>
      <c r="CH428" s="408"/>
      <c r="CI428" s="408">
        <v>1514928.1720000003</v>
      </c>
      <c r="CJ428" s="408">
        <v>32458.140780000249</v>
      </c>
      <c r="CK428" s="408"/>
      <c r="CL428" s="408"/>
      <c r="CM428" s="408"/>
      <c r="CN428" s="408"/>
      <c r="CO428" s="408">
        <v>-66070.724460000027</v>
      </c>
      <c r="CP428" s="408">
        <v>98528.059230000013</v>
      </c>
      <c r="CQ428" s="408">
        <v>31</v>
      </c>
      <c r="CR428" s="408">
        <v>98829.4635768882</v>
      </c>
      <c r="CS428" s="408">
        <v>551.13567388347201</v>
      </c>
      <c r="CT428" s="408">
        <v>2570.4366348693766</v>
      </c>
      <c r="CU428" s="408">
        <v>0</v>
      </c>
      <c r="CV428" s="408">
        <v>0</v>
      </c>
      <c r="CW428" s="408">
        <v>0</v>
      </c>
      <c r="CX428" s="408">
        <v>0</v>
      </c>
      <c r="CY428" s="408">
        <v>0</v>
      </c>
      <c r="CZ428" s="408">
        <v>2578.0981596249999</v>
      </c>
      <c r="DA428" s="408">
        <v>0</v>
      </c>
      <c r="DB428" s="408">
        <v>0</v>
      </c>
      <c r="DC428" s="408">
        <v>98516.934842343209</v>
      </c>
      <c r="DD428" s="408">
        <v>0</v>
      </c>
      <c r="DE428" s="408">
        <v>0</v>
      </c>
      <c r="DF428" s="408">
        <v>0</v>
      </c>
      <c r="DG428" s="408">
        <v>4325.304026485981</v>
      </c>
      <c r="DH428" s="408">
        <v>0</v>
      </c>
      <c r="DI428" s="408">
        <v>-8297.5106649850786</v>
      </c>
      <c r="DJ428" s="408"/>
      <c r="DK428" s="408">
        <v>0</v>
      </c>
      <c r="DL428" s="408">
        <v>0</v>
      </c>
      <c r="DM428" s="408">
        <v>0</v>
      </c>
      <c r="DN428" s="408">
        <v>0</v>
      </c>
      <c r="DO428" s="408">
        <v>-1311.5414739343396</v>
      </c>
      <c r="DP428" s="408">
        <v>-103.39362139920104</v>
      </c>
      <c r="DQ428" s="408">
        <v>0</v>
      </c>
      <c r="DR428" s="408">
        <v>0</v>
      </c>
      <c r="DS428" s="408"/>
      <c r="DT428" s="408"/>
      <c r="DU428" s="408">
        <v>267464.36999755056</v>
      </c>
      <c r="DV428" s="408">
        <v>0</v>
      </c>
      <c r="DW428" s="408">
        <v>0</v>
      </c>
      <c r="DX428" s="408">
        <v>0</v>
      </c>
      <c r="DY428" s="408">
        <v>-66070.724459999939</v>
      </c>
      <c r="DZ428" s="408">
        <v>98528.059230000013</v>
      </c>
      <c r="EA428" s="408">
        <v>0</v>
      </c>
      <c r="EB428" s="408">
        <v>0</v>
      </c>
      <c r="EC428" s="408">
        <v>-66442.686389453447</v>
      </c>
      <c r="ED428" s="408">
        <v>0</v>
      </c>
      <c r="EE428" s="408">
        <v>0</v>
      </c>
      <c r="EF428" s="408">
        <v>0</v>
      </c>
      <c r="EG428" s="408">
        <v>0</v>
      </c>
      <c r="EH428" s="408">
        <v>0</v>
      </c>
      <c r="EI428" s="408">
        <v>0</v>
      </c>
      <c r="EJ428" s="408">
        <v>0</v>
      </c>
      <c r="EK428" s="408">
        <v>0</v>
      </c>
      <c r="EL428" s="408">
        <v>0</v>
      </c>
      <c r="EM428" s="408">
        <v>0</v>
      </c>
      <c r="EN428" s="408">
        <v>0</v>
      </c>
      <c r="EO428" s="408">
        <v>0</v>
      </c>
      <c r="EP428" s="408">
        <v>62403.819442726068</v>
      </c>
      <c r="EQ428" s="408">
        <v>0</v>
      </c>
      <c r="ER428" s="408">
        <v>0</v>
      </c>
      <c r="ES428" s="408">
        <v>0</v>
      </c>
      <c r="ET428" s="408">
        <v>0</v>
      </c>
      <c r="EU428" s="408">
        <v>0</v>
      </c>
      <c r="EV428" s="408">
        <v>240</v>
      </c>
      <c r="EW428" s="408">
        <v>0</v>
      </c>
      <c r="EX428" s="408">
        <v>0</v>
      </c>
      <c r="EY428" s="408">
        <v>0</v>
      </c>
      <c r="EZ428" s="408"/>
      <c r="FA428" s="408">
        <v>0</v>
      </c>
      <c r="FB428" s="408"/>
      <c r="FC428" s="408"/>
      <c r="FD428" s="408"/>
      <c r="FE428" s="408"/>
      <c r="FF428" s="408">
        <v>0</v>
      </c>
      <c r="FG428" s="408">
        <v>0</v>
      </c>
      <c r="FH428" s="408">
        <v>0</v>
      </c>
      <c r="FI428" s="408">
        <v>0</v>
      </c>
    </row>
    <row r="429" spans="1:165">
      <c r="A429" s="408">
        <v>427</v>
      </c>
      <c r="B429" s="408" t="s">
        <v>1036</v>
      </c>
      <c r="C429" s="408" t="s">
        <v>2247</v>
      </c>
      <c r="D429" s="408" t="s">
        <v>597</v>
      </c>
      <c r="E429" s="408" t="s">
        <v>970</v>
      </c>
      <c r="F429" s="408" t="s">
        <v>1322</v>
      </c>
      <c r="G429" s="408" t="s">
        <v>1322</v>
      </c>
      <c r="H429" s="408" t="s">
        <v>1322</v>
      </c>
      <c r="I429" s="408" t="s">
        <v>1322</v>
      </c>
      <c r="J429" s="408" t="s">
        <v>2236</v>
      </c>
      <c r="K429" s="826">
        <v>44562</v>
      </c>
      <c r="L429" s="408">
        <v>0</v>
      </c>
      <c r="M429" s="408">
        <v>0</v>
      </c>
      <c r="N429" s="408">
        <v>0</v>
      </c>
      <c r="O429" s="408">
        <v>0</v>
      </c>
      <c r="P429" s="408">
        <v>0</v>
      </c>
      <c r="Q429" s="408">
        <v>0</v>
      </c>
      <c r="R429" s="408"/>
      <c r="S429" s="408"/>
      <c r="T429" s="408"/>
      <c r="U429" s="408"/>
      <c r="V429" s="408"/>
      <c r="W429" s="408"/>
      <c r="X429" s="408"/>
      <c r="Y429" s="408"/>
      <c r="Z429" s="408"/>
      <c r="AA429" s="408">
        <v>0</v>
      </c>
      <c r="AB429" s="408"/>
      <c r="AC429" s="408"/>
      <c r="AD429" s="408"/>
      <c r="AE429" s="408"/>
      <c r="AF429" s="408"/>
      <c r="AG429" s="408"/>
      <c r="AH429" s="408"/>
      <c r="AI429" s="408"/>
      <c r="AJ429" s="408"/>
      <c r="AK429" s="408"/>
      <c r="AL429" s="408"/>
      <c r="AM429" s="408"/>
      <c r="AN429" s="408"/>
      <c r="AO429" s="408"/>
      <c r="AP429" s="408"/>
      <c r="AQ429" s="408"/>
      <c r="AR429" s="408"/>
      <c r="AS429" s="408"/>
      <c r="AT429" s="408"/>
      <c r="AU429" s="408"/>
      <c r="AV429" s="408"/>
      <c r="AW429" s="408"/>
      <c r="AX429" s="408"/>
      <c r="AY429" s="408"/>
      <c r="AZ429" s="408">
        <v>0</v>
      </c>
      <c r="BA429" s="408"/>
      <c r="BB429" s="408"/>
      <c r="BC429" s="408"/>
      <c r="BD429" s="408"/>
      <c r="BE429" s="408"/>
      <c r="BF429" s="408"/>
      <c r="BG429" s="408"/>
      <c r="BH429" s="408"/>
      <c r="BI429" s="408">
        <v>2006.26</v>
      </c>
      <c r="BJ429" s="408">
        <v>17196.75</v>
      </c>
      <c r="BK429" s="408">
        <v>582455.17000000004</v>
      </c>
      <c r="BL429" s="408">
        <v>5</v>
      </c>
      <c r="BM429" s="408"/>
      <c r="BN429" s="408"/>
      <c r="BO429" s="408"/>
      <c r="BP429" s="408"/>
      <c r="BQ429" s="408"/>
      <c r="BR429" s="408"/>
      <c r="BS429" s="408"/>
      <c r="BT429" s="408"/>
      <c r="BU429" s="408"/>
      <c r="BV429" s="408"/>
      <c r="BW429" s="408"/>
      <c r="BX429" s="408"/>
      <c r="BY429" s="408"/>
      <c r="BZ429" s="408"/>
      <c r="CA429" s="408"/>
      <c r="CB429" s="408"/>
      <c r="CC429" s="408"/>
      <c r="CD429" s="408"/>
      <c r="CE429" s="408"/>
      <c r="CF429" s="408"/>
      <c r="CG429" s="408"/>
      <c r="CH429" s="408"/>
      <c r="CI429" s="408"/>
      <c r="CJ429" s="408">
        <v>-0.03</v>
      </c>
      <c r="CK429" s="408"/>
      <c r="CL429" s="408"/>
      <c r="CM429" s="408"/>
      <c r="CN429" s="408"/>
      <c r="CO429" s="408">
        <v>0</v>
      </c>
      <c r="CP429" s="408">
        <v>0</v>
      </c>
      <c r="CQ429" s="408">
        <v>31</v>
      </c>
      <c r="CR429" s="408"/>
      <c r="CS429" s="408"/>
      <c r="CT429" s="408"/>
      <c r="CU429" s="408"/>
      <c r="CV429" s="408"/>
      <c r="CW429" s="408"/>
      <c r="CX429" s="408"/>
      <c r="CY429" s="408"/>
      <c r="CZ429" s="408"/>
      <c r="DA429" s="408"/>
      <c r="DB429" s="408"/>
      <c r="DC429" s="408"/>
      <c r="DD429" s="408"/>
      <c r="DE429" s="408"/>
      <c r="DF429" s="408"/>
      <c r="DG429" s="408"/>
      <c r="DH429" s="408"/>
      <c r="DI429" s="408"/>
      <c r="DJ429" s="408"/>
      <c r="DK429" s="408">
        <v>0</v>
      </c>
      <c r="DL429" s="408"/>
      <c r="DM429" s="408"/>
      <c r="DN429" s="408"/>
      <c r="DO429" s="408"/>
      <c r="DP429" s="408"/>
      <c r="DQ429" s="408"/>
      <c r="DR429" s="408"/>
      <c r="DS429" s="408"/>
      <c r="DT429" s="408"/>
      <c r="DU429" s="408"/>
      <c r="DV429" s="408"/>
      <c r="DW429" s="408"/>
      <c r="DX429" s="408"/>
      <c r="DY429" s="408"/>
      <c r="DZ429" s="408"/>
      <c r="EA429" s="408"/>
      <c r="EB429" s="408"/>
      <c r="EC429" s="408"/>
      <c r="ED429" s="408"/>
      <c r="EE429" s="408"/>
      <c r="EF429" s="408"/>
      <c r="EG429" s="408"/>
      <c r="EH429" s="408"/>
      <c r="EI429" s="408"/>
      <c r="EJ429" s="408"/>
      <c r="EK429" s="408"/>
      <c r="EL429" s="408"/>
      <c r="EM429" s="408"/>
      <c r="EN429" s="408"/>
      <c r="EO429" s="408"/>
      <c r="EP429" s="408"/>
      <c r="EQ429" s="408"/>
      <c r="ER429" s="408"/>
      <c r="ES429" s="408"/>
      <c r="ET429" s="408"/>
      <c r="EU429" s="408"/>
      <c r="EV429" s="408">
        <v>240</v>
      </c>
      <c r="EW429" s="408"/>
      <c r="EX429" s="408"/>
      <c r="EY429" s="408"/>
      <c r="EZ429" s="408"/>
      <c r="FA429" s="408">
        <v>0</v>
      </c>
      <c r="FB429" s="408"/>
      <c r="FC429" s="408"/>
      <c r="FD429" s="408"/>
      <c r="FE429" s="408"/>
      <c r="FF429" s="408">
        <v>0</v>
      </c>
      <c r="FG429" s="408">
        <v>0</v>
      </c>
      <c r="FH429" s="408">
        <v>0</v>
      </c>
      <c r="FI429" s="408">
        <v>0</v>
      </c>
    </row>
    <row r="430" spans="1:165">
      <c r="A430" s="408">
        <v>428</v>
      </c>
      <c r="B430" s="408" t="s">
        <v>1036</v>
      </c>
      <c r="C430" s="408" t="s">
        <v>2243</v>
      </c>
      <c r="D430" s="408" t="s">
        <v>597</v>
      </c>
      <c r="E430" s="408" t="s">
        <v>970</v>
      </c>
      <c r="F430" s="408" t="s">
        <v>1322</v>
      </c>
      <c r="G430" s="408" t="s">
        <v>1322</v>
      </c>
      <c r="H430" s="408" t="s">
        <v>1322</v>
      </c>
      <c r="I430" s="408" t="s">
        <v>973</v>
      </c>
      <c r="J430" s="408" t="s">
        <v>2236</v>
      </c>
      <c r="K430" s="826">
        <v>44562</v>
      </c>
      <c r="L430" s="408">
        <v>0</v>
      </c>
      <c r="M430" s="408">
        <v>0</v>
      </c>
      <c r="N430" s="408">
        <v>178.84800000000001</v>
      </c>
      <c r="O430" s="408">
        <v>178.84800000000001</v>
      </c>
      <c r="P430" s="408">
        <v>178.84800000000001</v>
      </c>
      <c r="Q430" s="408">
        <v>178.84800000000001</v>
      </c>
      <c r="R430" s="408"/>
      <c r="S430" s="408">
        <v>1358.36</v>
      </c>
      <c r="T430" s="408">
        <v>173.25</v>
      </c>
      <c r="U430" s="408"/>
      <c r="V430" s="408">
        <v>273925.38527999999</v>
      </c>
      <c r="W430" s="408">
        <v>273925.38527999999</v>
      </c>
      <c r="X430" s="408">
        <v>240178.55616000001</v>
      </c>
      <c r="Y430" s="408">
        <v>0</v>
      </c>
      <c r="Z430" s="408">
        <v>9576.2926446116599</v>
      </c>
      <c r="AA430" s="408">
        <v>0</v>
      </c>
      <c r="AB430" s="408">
        <v>0</v>
      </c>
      <c r="AC430" s="408">
        <v>3387.7546146341751</v>
      </c>
      <c r="AD430" s="408">
        <v>3254.8825618919077</v>
      </c>
      <c r="AE430" s="408">
        <v>180369.58813431079</v>
      </c>
      <c r="AF430" s="408">
        <v>30465.052483242063</v>
      </c>
      <c r="AG430" s="408">
        <v>519.95290247024161</v>
      </c>
      <c r="AH430" s="408">
        <v>0</v>
      </c>
      <c r="AI430" s="408">
        <v>0</v>
      </c>
      <c r="AJ430" s="408">
        <v>0</v>
      </c>
      <c r="AK430" s="408">
        <v>0</v>
      </c>
      <c r="AL430" s="408">
        <v>1700.6710470390951</v>
      </c>
      <c r="AM430" s="408"/>
      <c r="AN430" s="408">
        <v>143.22395139123495</v>
      </c>
      <c r="AO430" s="408">
        <v>7191.6251276434159</v>
      </c>
      <c r="AP430" s="408">
        <v>33533.302703577552</v>
      </c>
      <c r="AQ430" s="408">
        <v>0</v>
      </c>
      <c r="AR430" s="408">
        <v>0</v>
      </c>
      <c r="AS430" s="408">
        <v>0</v>
      </c>
      <c r="AT430" s="408">
        <v>0</v>
      </c>
      <c r="AU430" s="408">
        <v>0</v>
      </c>
      <c r="AV430" s="408">
        <v>0</v>
      </c>
      <c r="AW430" s="408">
        <v>0</v>
      </c>
      <c r="AX430" s="408">
        <v>0</v>
      </c>
      <c r="AY430" s="408">
        <v>0</v>
      </c>
      <c r="AZ430" s="408">
        <v>0</v>
      </c>
      <c r="BA430" s="408"/>
      <c r="BB430" s="408">
        <v>0</v>
      </c>
      <c r="BC430" s="408">
        <v>0</v>
      </c>
      <c r="BD430" s="408">
        <v>0</v>
      </c>
      <c r="BE430" s="408">
        <v>0</v>
      </c>
      <c r="BF430" s="408">
        <v>0</v>
      </c>
      <c r="BG430" s="408">
        <v>1337.5427725572997</v>
      </c>
      <c r="BH430" s="408">
        <v>0</v>
      </c>
      <c r="BI430" s="408">
        <v>0</v>
      </c>
      <c r="BJ430" s="408">
        <v>0</v>
      </c>
      <c r="BK430" s="408">
        <v>0</v>
      </c>
      <c r="BL430" s="408">
        <v>0</v>
      </c>
      <c r="BM430" s="408"/>
      <c r="BN430" s="408"/>
      <c r="BO430" s="408"/>
      <c r="BP430" s="408"/>
      <c r="BQ430" s="408"/>
      <c r="BR430" s="408"/>
      <c r="BS430" s="408"/>
      <c r="BT430" s="408"/>
      <c r="BU430" s="408"/>
      <c r="BV430" s="408">
        <v>31802.595255799362</v>
      </c>
      <c r="BW430" s="408"/>
      <c r="BX430" s="408"/>
      <c r="BY430" s="408"/>
      <c r="BZ430" s="408"/>
      <c r="CA430" s="408"/>
      <c r="CB430" s="408"/>
      <c r="CC430" s="408"/>
      <c r="CD430" s="408"/>
      <c r="CE430" s="408"/>
      <c r="CF430" s="408"/>
      <c r="CG430" s="408"/>
      <c r="CH430" s="408"/>
      <c r="CI430" s="408">
        <v>240181.24199999997</v>
      </c>
      <c r="CJ430" s="408">
        <v>-33744.173280000046</v>
      </c>
      <c r="CK430" s="408"/>
      <c r="CL430" s="408"/>
      <c r="CM430" s="408"/>
      <c r="CN430" s="408"/>
      <c r="CO430" s="408">
        <v>-37608.157439999995</v>
      </c>
      <c r="CP430" s="408">
        <v>3861.328320000001</v>
      </c>
      <c r="CQ430" s="408">
        <v>31</v>
      </c>
      <c r="CR430" s="408">
        <v>11059.372108012118</v>
      </c>
      <c r="CS430" s="408">
        <v>716.63007228356219</v>
      </c>
      <c r="CT430" s="408">
        <v>3341.5219389010017</v>
      </c>
      <c r="CU430" s="408">
        <v>0</v>
      </c>
      <c r="CV430" s="408">
        <v>0</v>
      </c>
      <c r="CW430" s="408">
        <v>0</v>
      </c>
      <c r="CX430" s="408">
        <v>0</v>
      </c>
      <c r="CY430" s="408">
        <v>0</v>
      </c>
      <c r="CZ430" s="408">
        <v>3351.4505755768937</v>
      </c>
      <c r="DA430" s="408">
        <v>0</v>
      </c>
      <c r="DB430" s="408">
        <v>0</v>
      </c>
      <c r="DC430" s="408">
        <v>3860.8923537033188</v>
      </c>
      <c r="DD430" s="408">
        <v>0</v>
      </c>
      <c r="DE430" s="408">
        <v>0</v>
      </c>
      <c r="DF430" s="408">
        <v>0</v>
      </c>
      <c r="DG430" s="408">
        <v>169.50926528546779</v>
      </c>
      <c r="DH430" s="408">
        <v>0</v>
      </c>
      <c r="DI430" s="408">
        <v>-325.18059491476743</v>
      </c>
      <c r="DJ430" s="408"/>
      <c r="DK430" s="408">
        <v>0</v>
      </c>
      <c r="DL430" s="408">
        <v>0</v>
      </c>
      <c r="DM430" s="408">
        <v>0</v>
      </c>
      <c r="DN430" s="408">
        <v>0</v>
      </c>
      <c r="DO430" s="408">
        <v>-51.399492446464819</v>
      </c>
      <c r="DP430" s="408">
        <v>-4.0520103769032119</v>
      </c>
      <c r="DQ430" s="408">
        <v>0</v>
      </c>
      <c r="DR430" s="408">
        <v>0</v>
      </c>
      <c r="DS430" s="408"/>
      <c r="DT430" s="408"/>
      <c r="DU430" s="408"/>
      <c r="DV430" s="408">
        <v>180369.58813431079</v>
      </c>
      <c r="DW430" s="408">
        <v>0</v>
      </c>
      <c r="DX430" s="408">
        <v>0</v>
      </c>
      <c r="DY430" s="408">
        <v>-37608.157439999981</v>
      </c>
      <c r="DZ430" s="408">
        <v>3861.3283200000042</v>
      </c>
      <c r="EA430" s="408">
        <v>0</v>
      </c>
      <c r="EB430" s="408">
        <v>0</v>
      </c>
      <c r="EC430" s="408">
        <v>-44806.865223628789</v>
      </c>
      <c r="ED430" s="408">
        <v>0</v>
      </c>
      <c r="EE430" s="408">
        <v>0</v>
      </c>
      <c r="EF430" s="408">
        <v>0</v>
      </c>
      <c r="EG430" s="408">
        <v>0</v>
      </c>
      <c r="EH430" s="408">
        <v>0</v>
      </c>
      <c r="EI430" s="408">
        <v>0</v>
      </c>
      <c r="EJ430" s="408">
        <v>0</v>
      </c>
      <c r="EK430" s="408">
        <v>0</v>
      </c>
      <c r="EL430" s="408">
        <v>0</v>
      </c>
      <c r="EM430" s="408">
        <v>0</v>
      </c>
      <c r="EN430" s="408">
        <v>0</v>
      </c>
      <c r="EO430" s="408">
        <v>0</v>
      </c>
      <c r="EP430" s="408">
        <v>2445.6143475623885</v>
      </c>
      <c r="EQ430" s="408">
        <v>0</v>
      </c>
      <c r="ER430" s="408">
        <v>0</v>
      </c>
      <c r="ES430" s="408">
        <v>0</v>
      </c>
      <c r="ET430" s="408">
        <v>0</v>
      </c>
      <c r="EU430" s="408">
        <v>0</v>
      </c>
      <c r="EV430" s="408">
        <v>240</v>
      </c>
      <c r="EW430" s="408">
        <v>0</v>
      </c>
      <c r="EX430" s="408">
        <v>0</v>
      </c>
      <c r="EY430" s="408">
        <v>0</v>
      </c>
      <c r="EZ430" s="408"/>
      <c r="FA430" s="408">
        <v>0</v>
      </c>
      <c r="FB430" s="408"/>
      <c r="FC430" s="408"/>
      <c r="FD430" s="408"/>
      <c r="FE430" s="408"/>
      <c r="FF430" s="408">
        <v>0</v>
      </c>
      <c r="FG430" s="408">
        <v>0</v>
      </c>
      <c r="FH430" s="408">
        <v>0</v>
      </c>
      <c r="FI430" s="408">
        <v>0</v>
      </c>
    </row>
    <row r="431" spans="1:165">
      <c r="A431" s="408">
        <v>429</v>
      </c>
      <c r="B431" s="408" t="s">
        <v>1036</v>
      </c>
      <c r="C431" s="408" t="s">
        <v>2243</v>
      </c>
      <c r="D431" s="408" t="s">
        <v>597</v>
      </c>
      <c r="E431" s="408" t="s">
        <v>970</v>
      </c>
      <c r="F431" s="408" t="s">
        <v>1322</v>
      </c>
      <c r="G431" s="408" t="s">
        <v>1322</v>
      </c>
      <c r="H431" s="408" t="s">
        <v>1322</v>
      </c>
      <c r="I431" s="408" t="s">
        <v>2244</v>
      </c>
      <c r="J431" s="408" t="s">
        <v>2236</v>
      </c>
      <c r="K431" s="826">
        <v>44562</v>
      </c>
      <c r="L431" s="408">
        <v>0</v>
      </c>
      <c r="M431" s="408">
        <v>0</v>
      </c>
      <c r="N431" s="408">
        <v>3039.2190000000001</v>
      </c>
      <c r="O431" s="408">
        <v>3039.2190000000001</v>
      </c>
      <c r="P431" s="408">
        <v>3039.2190000000001</v>
      </c>
      <c r="Q431" s="408">
        <v>3039.2190000000001</v>
      </c>
      <c r="R431" s="408"/>
      <c r="S431" s="408">
        <v>85.01</v>
      </c>
      <c r="T431" s="408">
        <v>173.25</v>
      </c>
      <c r="U431" s="408"/>
      <c r="V431" s="408">
        <v>784908.69894000003</v>
      </c>
      <c r="W431" s="408">
        <v>784908.69894000003</v>
      </c>
      <c r="X431" s="408">
        <v>846939.15873000002</v>
      </c>
      <c r="Y431" s="408">
        <v>0</v>
      </c>
      <c r="Z431" s="408">
        <v>162732.88242006622</v>
      </c>
      <c r="AA431" s="408">
        <v>0</v>
      </c>
      <c r="AB431" s="408">
        <v>0</v>
      </c>
      <c r="AC431" s="408">
        <v>0</v>
      </c>
      <c r="AD431" s="408">
        <v>0</v>
      </c>
      <c r="AE431" s="408">
        <v>0</v>
      </c>
      <c r="AF431" s="408">
        <v>517701.99467182439</v>
      </c>
      <c r="AG431" s="408">
        <v>8835.7193834580485</v>
      </c>
      <c r="AH431" s="408">
        <v>0</v>
      </c>
      <c r="AI431" s="408">
        <v>0</v>
      </c>
      <c r="AJ431" s="408">
        <v>0</v>
      </c>
      <c r="AK431" s="408">
        <v>0</v>
      </c>
      <c r="AL431" s="408">
        <v>28900.025490422657</v>
      </c>
      <c r="AM431" s="408"/>
      <c r="AN431" s="408">
        <v>2433.8485994996736</v>
      </c>
      <c r="AO431" s="408">
        <v>0</v>
      </c>
      <c r="AP431" s="408">
        <v>0</v>
      </c>
      <c r="AQ431" s="408">
        <v>0</v>
      </c>
      <c r="AR431" s="408">
        <v>0</v>
      </c>
      <c r="AS431" s="408">
        <v>0</v>
      </c>
      <c r="AT431" s="408">
        <v>0</v>
      </c>
      <c r="AU431" s="408">
        <v>0</v>
      </c>
      <c r="AV431" s="408">
        <v>0</v>
      </c>
      <c r="AW431" s="408">
        <v>0</v>
      </c>
      <c r="AX431" s="408">
        <v>0</v>
      </c>
      <c r="AY431" s="408">
        <v>0</v>
      </c>
      <c r="AZ431" s="408">
        <v>0</v>
      </c>
      <c r="BA431" s="408"/>
      <c r="BB431" s="408">
        <v>0</v>
      </c>
      <c r="BC431" s="408">
        <v>0</v>
      </c>
      <c r="BD431" s="408">
        <v>0</v>
      </c>
      <c r="BE431" s="408">
        <v>0</v>
      </c>
      <c r="BF431" s="408">
        <v>0</v>
      </c>
      <c r="BG431" s="408">
        <v>22729.275181544239</v>
      </c>
      <c r="BH431" s="408">
        <v>0</v>
      </c>
      <c r="BI431" s="408">
        <v>0</v>
      </c>
      <c r="BJ431" s="408">
        <v>0</v>
      </c>
      <c r="BK431" s="408">
        <v>0</v>
      </c>
      <c r="BL431" s="408">
        <v>0</v>
      </c>
      <c r="BM431" s="408"/>
      <c r="BN431" s="408"/>
      <c r="BO431" s="408"/>
      <c r="BP431" s="408"/>
      <c r="BQ431" s="408"/>
      <c r="BR431" s="408"/>
      <c r="BS431" s="408"/>
      <c r="BT431" s="408"/>
      <c r="BU431" s="408"/>
      <c r="BV431" s="408">
        <v>540431.26985336863</v>
      </c>
      <c r="BW431" s="408"/>
      <c r="BX431" s="408"/>
      <c r="BY431" s="408"/>
      <c r="BZ431" s="408"/>
      <c r="CA431" s="408"/>
      <c r="CB431" s="408"/>
      <c r="CC431" s="408"/>
      <c r="CD431" s="408"/>
      <c r="CE431" s="408"/>
      <c r="CF431" s="408"/>
      <c r="CG431" s="408"/>
      <c r="CH431" s="408"/>
      <c r="CI431" s="408">
        <v>846939.43739999994</v>
      </c>
      <c r="CJ431" s="408">
        <v>62030.708459999878</v>
      </c>
      <c r="CK431" s="408"/>
      <c r="CL431" s="408"/>
      <c r="CM431" s="408"/>
      <c r="CN431" s="408"/>
      <c r="CO431" s="408">
        <v>-3586.278420000021</v>
      </c>
      <c r="CP431" s="408">
        <v>65616.73821000001</v>
      </c>
      <c r="CQ431" s="408">
        <v>31</v>
      </c>
      <c r="CR431" s="408">
        <v>62021.654559211573</v>
      </c>
      <c r="CS431" s="408">
        <v>0</v>
      </c>
      <c r="CT431" s="408">
        <v>0</v>
      </c>
      <c r="CU431" s="408">
        <v>0</v>
      </c>
      <c r="CV431" s="408">
        <v>0</v>
      </c>
      <c r="CW431" s="408">
        <v>0</v>
      </c>
      <c r="CX431" s="408">
        <v>0</v>
      </c>
      <c r="CY431" s="408">
        <v>0</v>
      </c>
      <c r="CZ431" s="408">
        <v>0</v>
      </c>
      <c r="DA431" s="408">
        <v>0</v>
      </c>
      <c r="DB431" s="408">
        <v>0</v>
      </c>
      <c r="DC431" s="408">
        <v>65609.329700806527</v>
      </c>
      <c r="DD431" s="408">
        <v>0</v>
      </c>
      <c r="DE431" s="408">
        <v>0</v>
      </c>
      <c r="DF431" s="408">
        <v>0</v>
      </c>
      <c r="DG431" s="408">
        <v>2880.5230124554546</v>
      </c>
      <c r="DH431" s="408">
        <v>0</v>
      </c>
      <c r="DI431" s="408">
        <v>-5525.8937337642419</v>
      </c>
      <c r="DJ431" s="408"/>
      <c r="DK431" s="408">
        <v>0</v>
      </c>
      <c r="DL431" s="408">
        <v>0</v>
      </c>
      <c r="DM431" s="408">
        <v>0</v>
      </c>
      <c r="DN431" s="408">
        <v>0</v>
      </c>
      <c r="DO431" s="408">
        <v>-873.44736331215609</v>
      </c>
      <c r="DP431" s="408">
        <v>-68.857056973974068</v>
      </c>
      <c r="DQ431" s="408">
        <v>0</v>
      </c>
      <c r="DR431" s="408">
        <v>0</v>
      </c>
      <c r="DS431" s="408"/>
      <c r="DT431" s="408"/>
      <c r="DU431" s="408"/>
      <c r="DV431" s="408">
        <v>0</v>
      </c>
      <c r="DW431" s="408">
        <v>0</v>
      </c>
      <c r="DX431" s="408">
        <v>0</v>
      </c>
      <c r="DY431" s="408">
        <v>-3586.278420000046</v>
      </c>
      <c r="DZ431" s="408">
        <v>65616.738209999981</v>
      </c>
      <c r="EA431" s="408">
        <v>0</v>
      </c>
      <c r="EB431" s="408">
        <v>0</v>
      </c>
      <c r="EC431" s="408">
        <v>0</v>
      </c>
      <c r="ED431" s="408">
        <v>0</v>
      </c>
      <c r="EE431" s="408">
        <v>0</v>
      </c>
      <c r="EF431" s="408">
        <v>0</v>
      </c>
      <c r="EG431" s="408">
        <v>0</v>
      </c>
      <c r="EH431" s="408">
        <v>0</v>
      </c>
      <c r="EI431" s="408">
        <v>0</v>
      </c>
      <c r="EJ431" s="408">
        <v>0</v>
      </c>
      <c r="EK431" s="408">
        <v>0</v>
      </c>
      <c r="EL431" s="408">
        <v>0</v>
      </c>
      <c r="EM431" s="408">
        <v>0</v>
      </c>
      <c r="EN431" s="408">
        <v>0</v>
      </c>
      <c r="EO431" s="408">
        <v>0</v>
      </c>
      <c r="EP431" s="408">
        <v>41559.075817365665</v>
      </c>
      <c r="EQ431" s="408">
        <v>0</v>
      </c>
      <c r="ER431" s="408">
        <v>0</v>
      </c>
      <c r="ES431" s="408">
        <v>0</v>
      </c>
      <c r="ET431" s="408">
        <v>0</v>
      </c>
      <c r="EU431" s="408">
        <v>0</v>
      </c>
      <c r="EV431" s="408">
        <v>240</v>
      </c>
      <c r="EW431" s="408">
        <v>0</v>
      </c>
      <c r="EX431" s="408">
        <v>0</v>
      </c>
      <c r="EY431" s="408">
        <v>0</v>
      </c>
      <c r="EZ431" s="408"/>
      <c r="FA431" s="408">
        <v>0</v>
      </c>
      <c r="FB431" s="408"/>
      <c r="FC431" s="408"/>
      <c r="FD431" s="408"/>
      <c r="FE431" s="408"/>
      <c r="FF431" s="408">
        <v>0</v>
      </c>
      <c r="FG431" s="408">
        <v>0</v>
      </c>
      <c r="FH431" s="408">
        <v>0</v>
      </c>
      <c r="FI431" s="408">
        <v>0</v>
      </c>
    </row>
    <row r="432" spans="1:165">
      <c r="A432" s="408">
        <v>430</v>
      </c>
      <c r="B432" s="408" t="s">
        <v>1036</v>
      </c>
      <c r="C432" s="408" t="s">
        <v>2243</v>
      </c>
      <c r="D432" s="408" t="s">
        <v>597</v>
      </c>
      <c r="E432" s="408" t="s">
        <v>970</v>
      </c>
      <c r="F432" s="408" t="s">
        <v>1322</v>
      </c>
      <c r="G432" s="408" t="s">
        <v>1322</v>
      </c>
      <c r="H432" s="408" t="s">
        <v>1322</v>
      </c>
      <c r="I432" s="408" t="s">
        <v>1322</v>
      </c>
      <c r="J432" s="408" t="s">
        <v>2236</v>
      </c>
      <c r="K432" s="826">
        <v>44562</v>
      </c>
      <c r="L432" s="408">
        <v>17784</v>
      </c>
      <c r="M432" s="408">
        <v>17784</v>
      </c>
      <c r="N432" s="408">
        <v>0</v>
      </c>
      <c r="O432" s="408">
        <v>0</v>
      </c>
      <c r="P432" s="408">
        <v>0</v>
      </c>
      <c r="Q432" s="408">
        <v>0</v>
      </c>
      <c r="R432" s="408">
        <v>27.19</v>
      </c>
      <c r="S432" s="408"/>
      <c r="T432" s="408"/>
      <c r="U432" s="408">
        <v>483546.96</v>
      </c>
      <c r="V432" s="408"/>
      <c r="W432" s="408">
        <v>483546.96</v>
      </c>
      <c r="X432" s="408">
        <v>386979.84000000003</v>
      </c>
      <c r="Y432" s="408">
        <v>0</v>
      </c>
      <c r="Z432" s="408">
        <v>0</v>
      </c>
      <c r="AA432" s="408">
        <v>0</v>
      </c>
      <c r="AB432" s="408">
        <v>0</v>
      </c>
      <c r="AC432" s="408">
        <v>4147.2397091957982</v>
      </c>
      <c r="AD432" s="408">
        <v>3984.2355833636207</v>
      </c>
      <c r="AE432" s="408">
        <v>425607.22584434855</v>
      </c>
      <c r="AF432" s="408"/>
      <c r="AG432" s="408"/>
      <c r="AH432" s="408"/>
      <c r="AI432" s="408">
        <v>0</v>
      </c>
      <c r="AJ432" s="408">
        <v>0</v>
      </c>
      <c r="AK432" s="408">
        <v>0</v>
      </c>
      <c r="AL432" s="408">
        <v>0</v>
      </c>
      <c r="AM432" s="408"/>
      <c r="AN432" s="408">
        <v>0</v>
      </c>
      <c r="AO432" s="408">
        <v>8801.031836112812</v>
      </c>
      <c r="AP432" s="408">
        <v>41047.05198411634</v>
      </c>
      <c r="AQ432" s="408">
        <v>0</v>
      </c>
      <c r="AR432" s="408">
        <v>0</v>
      </c>
      <c r="AS432" s="408"/>
      <c r="AT432" s="408"/>
      <c r="AU432" s="408">
        <v>0</v>
      </c>
      <c r="AV432" s="408">
        <v>0</v>
      </c>
      <c r="AW432" s="408">
        <v>0</v>
      </c>
      <c r="AX432" s="408"/>
      <c r="AY432" s="408"/>
      <c r="AZ432" s="408">
        <v>0</v>
      </c>
      <c r="BA432" s="408"/>
      <c r="BB432" s="408">
        <v>0</v>
      </c>
      <c r="BC432" s="408">
        <v>0</v>
      </c>
      <c r="BD432" s="408">
        <v>0</v>
      </c>
      <c r="BE432" s="408">
        <v>0</v>
      </c>
      <c r="BF432" s="408"/>
      <c r="BG432" s="408">
        <v>0</v>
      </c>
      <c r="BH432" s="408">
        <v>0</v>
      </c>
      <c r="BI432" s="408">
        <v>1375.79</v>
      </c>
      <c r="BJ432" s="408">
        <v>11796.46</v>
      </c>
      <c r="BK432" s="408">
        <v>401908.8</v>
      </c>
      <c r="BL432" s="408">
        <v>102</v>
      </c>
      <c r="BM432" s="408"/>
      <c r="BN432" s="408"/>
      <c r="BO432" s="408"/>
      <c r="BP432" s="408"/>
      <c r="BQ432" s="408"/>
      <c r="BR432" s="408"/>
      <c r="BS432" s="408"/>
      <c r="BT432" s="408"/>
      <c r="BU432" s="408"/>
      <c r="BV432" s="408">
        <v>0</v>
      </c>
      <c r="BW432" s="408"/>
      <c r="BX432" s="408"/>
      <c r="BY432" s="408"/>
      <c r="BZ432" s="408"/>
      <c r="CA432" s="408"/>
      <c r="CB432" s="408"/>
      <c r="CC432" s="408"/>
      <c r="CD432" s="408"/>
      <c r="CE432" s="408"/>
      <c r="CF432" s="408"/>
      <c r="CG432" s="408"/>
      <c r="CH432" s="408"/>
      <c r="CI432" s="408">
        <v>386979.84000000003</v>
      </c>
      <c r="CJ432" s="408">
        <v>-96567.150000000023</v>
      </c>
      <c r="CK432" s="408"/>
      <c r="CL432" s="408"/>
      <c r="CM432" s="408"/>
      <c r="CN432" s="408"/>
      <c r="CO432" s="408">
        <v>-96567.12</v>
      </c>
      <c r="CP432" s="408">
        <v>0</v>
      </c>
      <c r="CQ432" s="408">
        <v>31</v>
      </c>
      <c r="CR432" s="408">
        <v>9069.6975312841387</v>
      </c>
      <c r="CS432" s="408">
        <v>877.00401076804519</v>
      </c>
      <c r="CT432" s="408">
        <v>4090.2509944986523</v>
      </c>
      <c r="CU432" s="408">
        <v>0</v>
      </c>
      <c r="CV432" s="408">
        <v>0</v>
      </c>
      <c r="CW432" s="408"/>
      <c r="CX432" s="408"/>
      <c r="CY432" s="408"/>
      <c r="CZ432" s="408">
        <v>4102.4425260174467</v>
      </c>
      <c r="DA432" s="408">
        <v>0</v>
      </c>
      <c r="DB432" s="408">
        <v>0</v>
      </c>
      <c r="DC432" s="408"/>
      <c r="DD432" s="408"/>
      <c r="DE432" s="408">
        <v>0</v>
      </c>
      <c r="DF432" s="408">
        <v>0</v>
      </c>
      <c r="DG432" s="408">
        <v>0</v>
      </c>
      <c r="DH432" s="408">
        <v>0</v>
      </c>
      <c r="DI432" s="408">
        <v>0</v>
      </c>
      <c r="DJ432" s="408"/>
      <c r="DK432" s="408">
        <v>0</v>
      </c>
      <c r="DL432" s="408">
        <v>0</v>
      </c>
      <c r="DM432" s="408"/>
      <c r="DN432" s="408">
        <v>0</v>
      </c>
      <c r="DO432" s="408">
        <v>0</v>
      </c>
      <c r="DP432" s="408">
        <v>0</v>
      </c>
      <c r="DQ432" s="408">
        <v>0</v>
      </c>
      <c r="DR432" s="408">
        <v>0</v>
      </c>
      <c r="DS432" s="408"/>
      <c r="DT432" s="408"/>
      <c r="DU432" s="408">
        <v>425607.22584434855</v>
      </c>
      <c r="DV432" s="408"/>
      <c r="DW432" s="408">
        <v>0</v>
      </c>
      <c r="DX432" s="408">
        <v>0</v>
      </c>
      <c r="DY432" s="408">
        <v>-96567.12</v>
      </c>
      <c r="DZ432" s="408"/>
      <c r="EA432" s="408">
        <v>0</v>
      </c>
      <c r="EB432" s="408"/>
      <c r="EC432" s="408">
        <v>-105728.05429044744</v>
      </c>
      <c r="ED432" s="408"/>
      <c r="EE432" s="408">
        <v>0</v>
      </c>
      <c r="EF432" s="408">
        <v>0</v>
      </c>
      <c r="EG432" s="408"/>
      <c r="EH432" s="408">
        <v>0</v>
      </c>
      <c r="EI432" s="408">
        <v>0</v>
      </c>
      <c r="EJ432" s="408">
        <v>0</v>
      </c>
      <c r="EK432" s="408">
        <v>0</v>
      </c>
      <c r="EL432" s="408">
        <v>0</v>
      </c>
      <c r="EM432" s="408"/>
      <c r="EN432" s="408"/>
      <c r="EO432" s="408">
        <v>0</v>
      </c>
      <c r="EP432" s="408">
        <v>0</v>
      </c>
      <c r="EQ432" s="408"/>
      <c r="ER432" s="408">
        <v>0</v>
      </c>
      <c r="ES432" s="408"/>
      <c r="ET432" s="408">
        <v>0</v>
      </c>
      <c r="EU432" s="408"/>
      <c r="EV432" s="408">
        <v>240</v>
      </c>
      <c r="EW432" s="408"/>
      <c r="EX432" s="408"/>
      <c r="EY432" s="408"/>
      <c r="EZ432" s="408"/>
      <c r="FA432" s="408">
        <v>0</v>
      </c>
      <c r="FB432" s="408"/>
      <c r="FC432" s="408"/>
      <c r="FD432" s="408"/>
      <c r="FE432" s="408"/>
      <c r="FF432" s="408">
        <v>0</v>
      </c>
      <c r="FG432" s="408">
        <v>0</v>
      </c>
      <c r="FH432" s="408">
        <v>0</v>
      </c>
      <c r="FI432" s="408">
        <v>0</v>
      </c>
    </row>
    <row r="433" spans="1:165">
      <c r="A433" s="408">
        <v>431</v>
      </c>
      <c r="B433" s="408" t="s">
        <v>2237</v>
      </c>
      <c r="C433" s="408" t="s">
        <v>2243</v>
      </c>
      <c r="D433" s="408" t="s">
        <v>597</v>
      </c>
      <c r="E433" s="408" t="s">
        <v>970</v>
      </c>
      <c r="F433" s="408" t="s">
        <v>1322</v>
      </c>
      <c r="G433" s="408" t="s">
        <v>1322</v>
      </c>
      <c r="H433" s="408" t="s">
        <v>1322</v>
      </c>
      <c r="I433" s="408" t="s">
        <v>1322</v>
      </c>
      <c r="J433" s="408" t="s">
        <v>2236</v>
      </c>
      <c r="K433" s="826">
        <v>44562</v>
      </c>
      <c r="L433" s="408">
        <v>-3</v>
      </c>
      <c r="M433" s="408">
        <v>-3</v>
      </c>
      <c r="N433" s="408">
        <v>0</v>
      </c>
      <c r="O433" s="408">
        <v>0</v>
      </c>
      <c r="P433" s="408">
        <v>0</v>
      </c>
      <c r="Q433" s="408">
        <v>0</v>
      </c>
      <c r="R433" s="408">
        <v>27.19</v>
      </c>
      <c r="S433" s="408"/>
      <c r="T433" s="408"/>
      <c r="U433" s="408">
        <v>-81.570000000000007</v>
      </c>
      <c r="V433" s="408"/>
      <c r="W433" s="408">
        <v>-81.570000000000007</v>
      </c>
      <c r="X433" s="408">
        <v>-65.28</v>
      </c>
      <c r="Y433" s="408">
        <v>0</v>
      </c>
      <c r="Z433" s="408">
        <v>0</v>
      </c>
      <c r="AA433" s="408">
        <v>0</v>
      </c>
      <c r="AB433" s="408">
        <v>0</v>
      </c>
      <c r="AC433" s="408">
        <v>-0.69960184028269201</v>
      </c>
      <c r="AD433" s="408">
        <v>-0.67210451811127203</v>
      </c>
      <c r="AE433" s="408">
        <v>-71.796090729478493</v>
      </c>
      <c r="AF433" s="408"/>
      <c r="AG433" s="408"/>
      <c r="AH433" s="408"/>
      <c r="AI433" s="408">
        <v>0</v>
      </c>
      <c r="AJ433" s="408">
        <v>0</v>
      </c>
      <c r="AK433" s="408">
        <v>0</v>
      </c>
      <c r="AL433" s="408">
        <v>0</v>
      </c>
      <c r="AM433" s="408"/>
      <c r="AN433" s="408">
        <v>0</v>
      </c>
      <c r="AO433" s="408">
        <v>-1.4846544932713921</v>
      </c>
      <c r="AP433" s="408">
        <v>-6.9242665290344707</v>
      </c>
      <c r="AQ433" s="408">
        <v>0</v>
      </c>
      <c r="AR433" s="408">
        <v>0</v>
      </c>
      <c r="AS433" s="408"/>
      <c r="AT433" s="408"/>
      <c r="AU433" s="408">
        <v>0</v>
      </c>
      <c r="AV433" s="408">
        <v>0</v>
      </c>
      <c r="AW433" s="408">
        <v>0</v>
      </c>
      <c r="AX433" s="408"/>
      <c r="AY433" s="408"/>
      <c r="AZ433" s="408">
        <v>0</v>
      </c>
      <c r="BA433" s="408"/>
      <c r="BB433" s="408">
        <v>0</v>
      </c>
      <c r="BC433" s="408">
        <v>0</v>
      </c>
      <c r="BD433" s="408">
        <v>0</v>
      </c>
      <c r="BE433" s="408">
        <v>0</v>
      </c>
      <c r="BF433" s="408"/>
      <c r="BG433" s="408">
        <v>0</v>
      </c>
      <c r="BH433" s="408">
        <v>0</v>
      </c>
      <c r="BI433" s="408">
        <v>-0.62</v>
      </c>
      <c r="BJ433" s="408">
        <v>-5.4</v>
      </c>
      <c r="BK433" s="408">
        <v>-301.19</v>
      </c>
      <c r="BL433" s="408">
        <v>0</v>
      </c>
      <c r="BM433" s="408"/>
      <c r="BN433" s="408"/>
      <c r="BO433" s="408"/>
      <c r="BP433" s="408"/>
      <c r="BQ433" s="408"/>
      <c r="BR433" s="408"/>
      <c r="BS433" s="408"/>
      <c r="BT433" s="408"/>
      <c r="BU433" s="408"/>
      <c r="BV433" s="408">
        <v>0</v>
      </c>
      <c r="BW433" s="408"/>
      <c r="BX433" s="408"/>
      <c r="BY433" s="408"/>
      <c r="BZ433" s="408"/>
      <c r="CA433" s="408"/>
      <c r="CB433" s="408"/>
      <c r="CC433" s="408"/>
      <c r="CD433" s="408"/>
      <c r="CE433" s="408"/>
      <c r="CF433" s="408"/>
      <c r="CG433" s="408"/>
      <c r="CH433" s="408"/>
      <c r="CI433" s="408">
        <v>-65.28</v>
      </c>
      <c r="CJ433" s="408">
        <v>16.259999999999991</v>
      </c>
      <c r="CK433" s="408"/>
      <c r="CL433" s="408"/>
      <c r="CM433" s="408"/>
      <c r="CN433" s="408"/>
      <c r="CO433" s="408">
        <v>16.29</v>
      </c>
      <c r="CP433" s="408">
        <v>0</v>
      </c>
      <c r="CQ433" s="408">
        <v>31</v>
      </c>
      <c r="CR433" s="408">
        <v>-1.5299759668158135</v>
      </c>
      <c r="CS433" s="408">
        <v>-0.14794264689069569</v>
      </c>
      <c r="CT433" s="408">
        <v>-0.68998835939585845</v>
      </c>
      <c r="CU433" s="408">
        <v>0</v>
      </c>
      <c r="CV433" s="408">
        <v>0</v>
      </c>
      <c r="CW433" s="408"/>
      <c r="CX433" s="408"/>
      <c r="CY433" s="408"/>
      <c r="CZ433" s="408">
        <v>-0.69204496052925901</v>
      </c>
      <c r="DA433" s="408">
        <v>0</v>
      </c>
      <c r="DB433" s="408">
        <v>0</v>
      </c>
      <c r="DC433" s="408"/>
      <c r="DD433" s="408"/>
      <c r="DE433" s="408">
        <v>0</v>
      </c>
      <c r="DF433" s="408">
        <v>0</v>
      </c>
      <c r="DG433" s="408">
        <v>0</v>
      </c>
      <c r="DH433" s="408">
        <v>0</v>
      </c>
      <c r="DI433" s="408">
        <v>0</v>
      </c>
      <c r="DJ433" s="408"/>
      <c r="DK433" s="408">
        <v>0</v>
      </c>
      <c r="DL433" s="408">
        <v>0</v>
      </c>
      <c r="DM433" s="408"/>
      <c r="DN433" s="408">
        <v>0</v>
      </c>
      <c r="DO433" s="408">
        <v>0</v>
      </c>
      <c r="DP433" s="408">
        <v>0</v>
      </c>
      <c r="DQ433" s="408">
        <v>0</v>
      </c>
      <c r="DR433" s="408">
        <v>0</v>
      </c>
      <c r="DS433" s="408"/>
      <c r="DT433" s="408"/>
      <c r="DU433" s="408">
        <v>-71.796090729478493</v>
      </c>
      <c r="DV433" s="408"/>
      <c r="DW433" s="408">
        <v>0</v>
      </c>
      <c r="DX433" s="408">
        <v>0</v>
      </c>
      <c r="DY433" s="408">
        <v>16.290000000000006</v>
      </c>
      <c r="DZ433" s="408"/>
      <c r="EA433" s="408">
        <v>0</v>
      </c>
      <c r="EB433" s="408"/>
      <c r="EC433" s="408">
        <v>17.835366783138895</v>
      </c>
      <c r="ED433" s="408"/>
      <c r="EE433" s="408">
        <v>0</v>
      </c>
      <c r="EF433" s="408">
        <v>0</v>
      </c>
      <c r="EG433" s="408"/>
      <c r="EH433" s="408">
        <v>0</v>
      </c>
      <c r="EI433" s="408">
        <v>0</v>
      </c>
      <c r="EJ433" s="408">
        <v>0</v>
      </c>
      <c r="EK433" s="408">
        <v>0</v>
      </c>
      <c r="EL433" s="408">
        <v>0</v>
      </c>
      <c r="EM433" s="408"/>
      <c r="EN433" s="408"/>
      <c r="EO433" s="408">
        <v>0</v>
      </c>
      <c r="EP433" s="408">
        <v>0</v>
      </c>
      <c r="EQ433" s="408"/>
      <c r="ER433" s="408">
        <v>0</v>
      </c>
      <c r="ES433" s="408"/>
      <c r="ET433" s="408">
        <v>0</v>
      </c>
      <c r="EU433" s="408"/>
      <c r="EV433" s="408">
        <v>240</v>
      </c>
      <c r="EW433" s="408"/>
      <c r="EX433" s="408"/>
      <c r="EY433" s="408"/>
      <c r="EZ433" s="408"/>
      <c r="FA433" s="408">
        <v>0</v>
      </c>
      <c r="FB433" s="408"/>
      <c r="FC433" s="408"/>
      <c r="FD433" s="408"/>
      <c r="FE433" s="408"/>
      <c r="FF433" s="408">
        <v>0</v>
      </c>
      <c r="FG433" s="408">
        <v>0</v>
      </c>
      <c r="FH433" s="408">
        <v>0</v>
      </c>
      <c r="FI433" s="408">
        <v>0</v>
      </c>
    </row>
    <row r="434" spans="1:165">
      <c r="A434" s="408">
        <v>432</v>
      </c>
      <c r="B434" s="408" t="s">
        <v>2238</v>
      </c>
      <c r="C434" s="408" t="s">
        <v>2243</v>
      </c>
      <c r="D434" s="408" t="s">
        <v>597</v>
      </c>
      <c r="E434" s="408" t="s">
        <v>970</v>
      </c>
      <c r="F434" s="408" t="s">
        <v>1322</v>
      </c>
      <c r="G434" s="408" t="s">
        <v>1322</v>
      </c>
      <c r="H434" s="408" t="s">
        <v>1322</v>
      </c>
      <c r="I434" s="408" t="s">
        <v>1322</v>
      </c>
      <c r="J434" s="408" t="s">
        <v>2236</v>
      </c>
      <c r="K434" s="826">
        <v>44562</v>
      </c>
      <c r="L434" s="408">
        <v>557</v>
      </c>
      <c r="M434" s="408">
        <v>557</v>
      </c>
      <c r="N434" s="408">
        <v>0</v>
      </c>
      <c r="O434" s="408">
        <v>0</v>
      </c>
      <c r="P434" s="408">
        <v>0</v>
      </c>
      <c r="Q434" s="408">
        <v>0</v>
      </c>
      <c r="R434" s="408">
        <v>27.19</v>
      </c>
      <c r="S434" s="408"/>
      <c r="T434" s="408"/>
      <c r="U434" s="408">
        <v>15144.83</v>
      </c>
      <c r="V434" s="408"/>
      <c r="W434" s="408">
        <v>15144.83</v>
      </c>
      <c r="X434" s="408">
        <v>12120.320000000002</v>
      </c>
      <c r="Y434" s="408">
        <v>0</v>
      </c>
      <c r="Z434" s="408">
        <v>0</v>
      </c>
      <c r="AA434" s="408">
        <v>0</v>
      </c>
      <c r="AB434" s="408">
        <v>0</v>
      </c>
      <c r="AC434" s="408">
        <v>129.89274167915315</v>
      </c>
      <c r="AD434" s="408">
        <v>124.78740552932618</v>
      </c>
      <c r="AE434" s="408">
        <v>13330.140845439841</v>
      </c>
      <c r="AF434" s="408"/>
      <c r="AG434" s="408"/>
      <c r="AH434" s="408"/>
      <c r="AI434" s="408">
        <v>0</v>
      </c>
      <c r="AJ434" s="408">
        <v>0</v>
      </c>
      <c r="AK434" s="408">
        <v>0</v>
      </c>
      <c r="AL434" s="408">
        <v>0</v>
      </c>
      <c r="AM434" s="408"/>
      <c r="AN434" s="408">
        <v>0</v>
      </c>
      <c r="AO434" s="408">
        <v>275.65085091738842</v>
      </c>
      <c r="AP434" s="408">
        <v>1285.6054855574</v>
      </c>
      <c r="AQ434" s="408">
        <v>0</v>
      </c>
      <c r="AR434" s="408">
        <v>0</v>
      </c>
      <c r="AS434" s="408"/>
      <c r="AT434" s="408"/>
      <c r="AU434" s="408">
        <v>0</v>
      </c>
      <c r="AV434" s="408">
        <v>0</v>
      </c>
      <c r="AW434" s="408">
        <v>0</v>
      </c>
      <c r="AX434" s="408"/>
      <c r="AY434" s="408"/>
      <c r="AZ434" s="408">
        <v>0</v>
      </c>
      <c r="BA434" s="408"/>
      <c r="BB434" s="408">
        <v>0</v>
      </c>
      <c r="BC434" s="408">
        <v>0</v>
      </c>
      <c r="BD434" s="408">
        <v>0</v>
      </c>
      <c r="BE434" s="408">
        <v>0</v>
      </c>
      <c r="BF434" s="408"/>
      <c r="BG434" s="408">
        <v>0</v>
      </c>
      <c r="BH434" s="408">
        <v>0</v>
      </c>
      <c r="BI434" s="408">
        <v>9.39</v>
      </c>
      <c r="BJ434" s="408">
        <v>80.67</v>
      </c>
      <c r="BK434" s="408">
        <v>3140.58</v>
      </c>
      <c r="BL434" s="408">
        <v>5</v>
      </c>
      <c r="BM434" s="408"/>
      <c r="BN434" s="408"/>
      <c r="BO434" s="408"/>
      <c r="BP434" s="408"/>
      <c r="BQ434" s="408"/>
      <c r="BR434" s="408"/>
      <c r="BS434" s="408"/>
      <c r="BT434" s="408"/>
      <c r="BU434" s="408"/>
      <c r="BV434" s="408">
        <v>0</v>
      </c>
      <c r="BW434" s="408"/>
      <c r="BX434" s="408"/>
      <c r="BY434" s="408"/>
      <c r="BZ434" s="408"/>
      <c r="CA434" s="408"/>
      <c r="CB434" s="408"/>
      <c r="CC434" s="408"/>
      <c r="CD434" s="408"/>
      <c r="CE434" s="408"/>
      <c r="CF434" s="408"/>
      <c r="CG434" s="408"/>
      <c r="CH434" s="408"/>
      <c r="CI434" s="408">
        <v>12120.320000000002</v>
      </c>
      <c r="CJ434" s="408">
        <v>-3024.5399999999991</v>
      </c>
      <c r="CK434" s="408"/>
      <c r="CL434" s="408"/>
      <c r="CM434" s="408"/>
      <c r="CN434" s="408"/>
      <c r="CO434" s="408">
        <v>-3024.5099999999998</v>
      </c>
      <c r="CP434" s="408">
        <v>0</v>
      </c>
      <c r="CQ434" s="408">
        <v>31</v>
      </c>
      <c r="CR434" s="408">
        <v>284.06553783880281</v>
      </c>
      <c r="CS434" s="408">
        <v>27.46801810603921</v>
      </c>
      <c r="CT434" s="408">
        <v>128.10783872783122</v>
      </c>
      <c r="CU434" s="408">
        <v>0</v>
      </c>
      <c r="CV434" s="408">
        <v>0</v>
      </c>
      <c r="CW434" s="408"/>
      <c r="CX434" s="408"/>
      <c r="CY434" s="408"/>
      <c r="CZ434" s="408">
        <v>128.48968100493241</v>
      </c>
      <c r="DA434" s="408">
        <v>0</v>
      </c>
      <c r="DB434" s="408">
        <v>0</v>
      </c>
      <c r="DC434" s="408"/>
      <c r="DD434" s="408"/>
      <c r="DE434" s="408">
        <v>0</v>
      </c>
      <c r="DF434" s="408">
        <v>0</v>
      </c>
      <c r="DG434" s="408">
        <v>0</v>
      </c>
      <c r="DH434" s="408">
        <v>0</v>
      </c>
      <c r="DI434" s="408">
        <v>0</v>
      </c>
      <c r="DJ434" s="408"/>
      <c r="DK434" s="408">
        <v>0</v>
      </c>
      <c r="DL434" s="408">
        <v>0</v>
      </c>
      <c r="DM434" s="408"/>
      <c r="DN434" s="408">
        <v>0</v>
      </c>
      <c r="DO434" s="408">
        <v>0</v>
      </c>
      <c r="DP434" s="408">
        <v>0</v>
      </c>
      <c r="DQ434" s="408">
        <v>0</v>
      </c>
      <c r="DR434" s="408">
        <v>0</v>
      </c>
      <c r="DS434" s="408"/>
      <c r="DT434" s="408"/>
      <c r="DU434" s="408">
        <v>13330.140845439841</v>
      </c>
      <c r="DV434" s="408"/>
      <c r="DW434" s="408">
        <v>0</v>
      </c>
      <c r="DX434" s="408">
        <v>0</v>
      </c>
      <c r="DY434" s="408">
        <v>-3024.5099999999984</v>
      </c>
      <c r="DZ434" s="408"/>
      <c r="EA434" s="408">
        <v>0</v>
      </c>
      <c r="EB434" s="408"/>
      <c r="EC434" s="408">
        <v>-3311.4330994027896</v>
      </c>
      <c r="ED434" s="408"/>
      <c r="EE434" s="408">
        <v>0</v>
      </c>
      <c r="EF434" s="408">
        <v>0</v>
      </c>
      <c r="EG434" s="408"/>
      <c r="EH434" s="408">
        <v>0</v>
      </c>
      <c r="EI434" s="408">
        <v>0</v>
      </c>
      <c r="EJ434" s="408">
        <v>0</v>
      </c>
      <c r="EK434" s="408">
        <v>0</v>
      </c>
      <c r="EL434" s="408">
        <v>0</v>
      </c>
      <c r="EM434" s="408"/>
      <c r="EN434" s="408"/>
      <c r="EO434" s="408">
        <v>0</v>
      </c>
      <c r="EP434" s="408">
        <v>0</v>
      </c>
      <c r="EQ434" s="408"/>
      <c r="ER434" s="408">
        <v>0</v>
      </c>
      <c r="ES434" s="408"/>
      <c r="ET434" s="408">
        <v>0</v>
      </c>
      <c r="EU434" s="408"/>
      <c r="EV434" s="408">
        <v>240</v>
      </c>
      <c r="EW434" s="408"/>
      <c r="EX434" s="408"/>
      <c r="EY434" s="408"/>
      <c r="EZ434" s="408"/>
      <c r="FA434" s="408">
        <v>0</v>
      </c>
      <c r="FB434" s="408"/>
      <c r="FC434" s="408"/>
      <c r="FD434" s="408"/>
      <c r="FE434" s="408"/>
      <c r="FF434" s="408">
        <v>0</v>
      </c>
      <c r="FG434" s="408">
        <v>0</v>
      </c>
      <c r="FH434" s="408">
        <v>0</v>
      </c>
      <c r="FI434" s="408">
        <v>0</v>
      </c>
    </row>
    <row r="435" spans="1:165">
      <c r="A435" s="408">
        <v>433</v>
      </c>
      <c r="B435" s="408" t="s">
        <v>1036</v>
      </c>
      <c r="C435" s="408" t="s">
        <v>2316</v>
      </c>
      <c r="D435" s="408" t="s">
        <v>1958</v>
      </c>
      <c r="E435" s="408" t="s">
        <v>970</v>
      </c>
      <c r="F435" s="408" t="s">
        <v>1322</v>
      </c>
      <c r="G435" s="408" t="s">
        <v>1322</v>
      </c>
      <c r="H435" s="408" t="s">
        <v>1322</v>
      </c>
      <c r="I435" s="408" t="s">
        <v>973</v>
      </c>
      <c r="J435" s="408" t="s">
        <v>2236</v>
      </c>
      <c r="K435" s="826">
        <v>44562</v>
      </c>
      <c r="L435" s="408">
        <v>0</v>
      </c>
      <c r="M435" s="408">
        <v>0</v>
      </c>
      <c r="N435" s="408">
        <v>1.0999999999999999E-2</v>
      </c>
      <c r="O435" s="408">
        <v>1.0999999999999999E-2</v>
      </c>
      <c r="P435" s="408">
        <v>1.0999999999999999E-2</v>
      </c>
      <c r="Q435" s="408">
        <v>1.0999999999999999E-2</v>
      </c>
      <c r="R435" s="408"/>
      <c r="S435" s="408">
        <v>1553.42</v>
      </c>
      <c r="T435" s="408">
        <v>173.25</v>
      </c>
      <c r="U435" s="408"/>
      <c r="V435" s="408">
        <v>18.993370000000002</v>
      </c>
      <c r="W435" s="408">
        <v>18.993370000000002</v>
      </c>
      <c r="X435" s="408">
        <v>18.02064</v>
      </c>
      <c r="Y435" s="408">
        <v>0</v>
      </c>
      <c r="Z435" s="408">
        <v>0.67699701519307431</v>
      </c>
      <c r="AA435" s="408">
        <v>0</v>
      </c>
      <c r="AB435" s="408">
        <v>0</v>
      </c>
      <c r="AC435" s="408">
        <v>1.192941706556677</v>
      </c>
      <c r="AD435" s="408">
        <v>8.2495821145544948E-2</v>
      </c>
      <c r="AE435" s="408">
        <v>7.9022669378674886</v>
      </c>
      <c r="AF435" s="408">
        <v>1.873745176438443</v>
      </c>
      <c r="AG435" s="408">
        <v>3.1979568835953751E-2</v>
      </c>
      <c r="AH435" s="408">
        <v>0</v>
      </c>
      <c r="AI435" s="408">
        <v>0</v>
      </c>
      <c r="AJ435" s="408">
        <v>0</v>
      </c>
      <c r="AK435" s="408">
        <v>0</v>
      </c>
      <c r="AL435" s="408">
        <v>0.1045993330505795</v>
      </c>
      <c r="AM435" s="408"/>
      <c r="AN435" s="408">
        <v>1.3286423857989919E-2</v>
      </c>
      <c r="AO435" s="408">
        <v>3.4710936119227167</v>
      </c>
      <c r="AP435" s="408">
        <v>3.3726670392996456</v>
      </c>
      <c r="AQ435" s="408">
        <v>0</v>
      </c>
      <c r="AR435" s="408">
        <v>0</v>
      </c>
      <c r="AS435" s="408">
        <v>0</v>
      </c>
      <c r="AT435" s="408">
        <v>0</v>
      </c>
      <c r="AU435" s="408">
        <v>0</v>
      </c>
      <c r="AV435" s="408">
        <v>0</v>
      </c>
      <c r="AW435" s="408">
        <v>0</v>
      </c>
      <c r="AX435" s="408">
        <v>0</v>
      </c>
      <c r="AY435" s="408">
        <v>0</v>
      </c>
      <c r="AZ435" s="408">
        <v>0</v>
      </c>
      <c r="BA435" s="408"/>
      <c r="BB435" s="408">
        <v>0</v>
      </c>
      <c r="BC435" s="408">
        <v>0</v>
      </c>
      <c r="BD435" s="408">
        <v>0</v>
      </c>
      <c r="BE435" s="408">
        <v>0</v>
      </c>
      <c r="BF435" s="408">
        <v>0</v>
      </c>
      <c r="BG435" s="408">
        <v>9.8337710075395782E-2</v>
      </c>
      <c r="BH435" s="408">
        <v>0</v>
      </c>
      <c r="BI435" s="408">
        <v>0</v>
      </c>
      <c r="BJ435" s="408">
        <v>0</v>
      </c>
      <c r="BK435" s="408">
        <v>0</v>
      </c>
      <c r="BL435" s="408">
        <v>0</v>
      </c>
      <c r="BM435" s="408"/>
      <c r="BN435" s="408"/>
      <c r="BO435" s="408"/>
      <c r="BP435" s="408"/>
      <c r="BQ435" s="408"/>
      <c r="BR435" s="408"/>
      <c r="BS435" s="408"/>
      <c r="BT435" s="408"/>
      <c r="BU435" s="408"/>
      <c r="BV435" s="408">
        <v>1.9720828865138387</v>
      </c>
      <c r="BW435" s="408"/>
      <c r="BX435" s="408"/>
      <c r="BY435" s="408"/>
      <c r="BZ435" s="408"/>
      <c r="CA435" s="408"/>
      <c r="CB435" s="408"/>
      <c r="CC435" s="408"/>
      <c r="CD435" s="408"/>
      <c r="CE435" s="408"/>
      <c r="CF435" s="408"/>
      <c r="CG435" s="408"/>
      <c r="CH435" s="408"/>
      <c r="CI435" s="408">
        <v>16.382400000000001</v>
      </c>
      <c r="CJ435" s="408">
        <v>-2.6409700000000065</v>
      </c>
      <c r="CK435" s="408"/>
      <c r="CL435" s="408"/>
      <c r="CM435" s="408"/>
      <c r="CN435" s="408"/>
      <c r="CO435" s="408">
        <v>-1.2102199999999996</v>
      </c>
      <c r="CP435" s="408">
        <v>0.23749000000000003</v>
      </c>
      <c r="CQ435" s="408">
        <v>31</v>
      </c>
      <c r="CR435" s="408">
        <v>0.99030930742299716</v>
      </c>
      <c r="CS435" s="408">
        <v>0.34588705916465834</v>
      </c>
      <c r="CT435" s="408">
        <v>0.33607906158392531</v>
      </c>
      <c r="CU435" s="408">
        <v>0</v>
      </c>
      <c r="CV435" s="408">
        <v>0</v>
      </c>
      <c r="CW435" s="408">
        <v>0</v>
      </c>
      <c r="CX435" s="408">
        <v>0</v>
      </c>
      <c r="CY435" s="408">
        <v>0</v>
      </c>
      <c r="CZ435" s="408">
        <v>8.4943361858259833E-2</v>
      </c>
      <c r="DA435" s="408">
        <v>0</v>
      </c>
      <c r="DB435" s="408">
        <v>0</v>
      </c>
      <c r="DC435" s="408">
        <v>0.23746318600563887</v>
      </c>
      <c r="DD435" s="408">
        <v>0</v>
      </c>
      <c r="DE435" s="408">
        <v>0</v>
      </c>
      <c r="DF435" s="408">
        <v>0</v>
      </c>
      <c r="DG435" s="408">
        <v>1.2462519574507419E-2</v>
      </c>
      <c r="DH435" s="408">
        <v>0</v>
      </c>
      <c r="DI435" s="408">
        <v>-2.2988676341243797E-2</v>
      </c>
      <c r="DJ435" s="408"/>
      <c r="DK435" s="408">
        <v>0</v>
      </c>
      <c r="DL435" s="408">
        <v>0</v>
      </c>
      <c r="DM435" s="408">
        <v>0</v>
      </c>
      <c r="DN435" s="408">
        <v>0</v>
      </c>
      <c r="DO435" s="408">
        <v>-3.1613124939116471E-3</v>
      </c>
      <c r="DP435" s="408">
        <v>-3.7589192883978953E-4</v>
      </c>
      <c r="DQ435" s="408">
        <v>0</v>
      </c>
      <c r="DR435" s="408">
        <v>0</v>
      </c>
      <c r="DS435" s="408"/>
      <c r="DT435" s="408"/>
      <c r="DU435" s="408"/>
      <c r="DV435" s="408">
        <v>7.9022669378674886</v>
      </c>
      <c r="DW435" s="408">
        <v>0</v>
      </c>
      <c r="DX435" s="408">
        <v>0</v>
      </c>
      <c r="DY435" s="408">
        <v>-1.2102200000000014</v>
      </c>
      <c r="DZ435" s="408">
        <v>0.2374900000000002</v>
      </c>
      <c r="EA435" s="408">
        <v>0</v>
      </c>
      <c r="EB435" s="408">
        <v>0</v>
      </c>
      <c r="EC435" s="408">
        <v>-1.9630571500917631</v>
      </c>
      <c r="ED435" s="408">
        <v>0</v>
      </c>
      <c r="EE435" s="408">
        <v>0</v>
      </c>
      <c r="EF435" s="408">
        <v>0</v>
      </c>
      <c r="EG435" s="408">
        <v>0</v>
      </c>
      <c r="EH435" s="408">
        <v>0</v>
      </c>
      <c r="EI435" s="408">
        <v>0</v>
      </c>
      <c r="EJ435" s="408">
        <v>0</v>
      </c>
      <c r="EK435" s="408">
        <v>0</v>
      </c>
      <c r="EL435" s="408">
        <v>0</v>
      </c>
      <c r="EM435" s="408">
        <v>0</v>
      </c>
      <c r="EN435" s="408">
        <v>0</v>
      </c>
      <c r="EO435" s="408">
        <v>0</v>
      </c>
      <c r="EP435" s="408">
        <v>0.17289296338961568</v>
      </c>
      <c r="EQ435" s="408">
        <v>0</v>
      </c>
      <c r="ER435" s="408">
        <v>0</v>
      </c>
      <c r="ES435" s="408">
        <v>0</v>
      </c>
      <c r="ET435" s="408">
        <v>0</v>
      </c>
      <c r="EU435" s="408">
        <v>0</v>
      </c>
      <c r="EV435" s="408">
        <v>240</v>
      </c>
      <c r="EW435" s="408">
        <v>0</v>
      </c>
      <c r="EX435" s="408">
        <v>0</v>
      </c>
      <c r="EY435" s="408">
        <v>0</v>
      </c>
      <c r="EZ435" s="408"/>
      <c r="FA435" s="408">
        <v>0</v>
      </c>
      <c r="FB435" s="408"/>
      <c r="FC435" s="408"/>
      <c r="FD435" s="408"/>
      <c r="FE435" s="408"/>
      <c r="FF435" s="408">
        <v>0</v>
      </c>
      <c r="FG435" s="408">
        <v>0</v>
      </c>
      <c r="FH435" s="408">
        <v>0</v>
      </c>
      <c r="FI435" s="408">
        <v>0</v>
      </c>
    </row>
    <row r="436" spans="1:165">
      <c r="A436" s="408">
        <v>434</v>
      </c>
      <c r="B436" s="408" t="s">
        <v>1036</v>
      </c>
      <c r="C436" s="408" t="s">
        <v>2316</v>
      </c>
      <c r="D436" s="408" t="s">
        <v>1958</v>
      </c>
      <c r="E436" s="408" t="s">
        <v>970</v>
      </c>
      <c r="F436" s="408" t="s">
        <v>1322</v>
      </c>
      <c r="G436" s="408" t="s">
        <v>1322</v>
      </c>
      <c r="H436" s="408" t="s">
        <v>1322</v>
      </c>
      <c r="I436" s="408" t="s">
        <v>2244</v>
      </c>
      <c r="J436" s="408" t="s">
        <v>2236</v>
      </c>
      <c r="K436" s="826">
        <v>44562</v>
      </c>
      <c r="L436" s="408">
        <v>0</v>
      </c>
      <c r="M436" s="408">
        <v>0</v>
      </c>
      <c r="N436" s="408">
        <v>1.1040000000000001</v>
      </c>
      <c r="O436" s="408">
        <v>1.1040000000000001</v>
      </c>
      <c r="P436" s="408">
        <v>1.1040000000000001</v>
      </c>
      <c r="Q436" s="408">
        <v>1.1040000000000001</v>
      </c>
      <c r="R436" s="408"/>
      <c r="S436" s="408">
        <v>388.22</v>
      </c>
      <c r="T436" s="408">
        <v>173.25</v>
      </c>
      <c r="U436" s="408"/>
      <c r="V436" s="408">
        <v>619.86288000000013</v>
      </c>
      <c r="W436" s="408">
        <v>619.86288000000013</v>
      </c>
      <c r="X436" s="408">
        <v>618.27312000000006</v>
      </c>
      <c r="Y436" s="408">
        <v>0</v>
      </c>
      <c r="Z436" s="408">
        <v>67.945882252104923</v>
      </c>
      <c r="AA436" s="408">
        <v>0</v>
      </c>
      <c r="AB436" s="408">
        <v>0</v>
      </c>
      <c r="AC436" s="408">
        <v>23.94559352797403</v>
      </c>
      <c r="AD436" s="408">
        <v>1.6559176683691188</v>
      </c>
      <c r="AE436" s="408">
        <v>158.62016797133896</v>
      </c>
      <c r="AF436" s="408">
        <v>188.05587952618558</v>
      </c>
      <c r="AG436" s="408">
        <v>3.2095858177175405</v>
      </c>
      <c r="AH436" s="408">
        <v>0</v>
      </c>
      <c r="AI436" s="408">
        <v>0</v>
      </c>
      <c r="AJ436" s="408">
        <v>0</v>
      </c>
      <c r="AK436" s="408">
        <v>0</v>
      </c>
      <c r="AL436" s="408">
        <v>10.497969426167254</v>
      </c>
      <c r="AM436" s="408"/>
      <c r="AN436" s="408">
        <v>1.3334738126564429</v>
      </c>
      <c r="AO436" s="408">
        <v>69.674315410230548</v>
      </c>
      <c r="AP436" s="408">
        <v>67.698625661578362</v>
      </c>
      <c r="AQ436" s="408">
        <v>0</v>
      </c>
      <c r="AR436" s="408">
        <v>0</v>
      </c>
      <c r="AS436" s="408">
        <v>0</v>
      </c>
      <c r="AT436" s="408">
        <v>0</v>
      </c>
      <c r="AU436" s="408">
        <v>0</v>
      </c>
      <c r="AV436" s="408">
        <v>0</v>
      </c>
      <c r="AW436" s="408">
        <v>0</v>
      </c>
      <c r="AX436" s="408">
        <v>0</v>
      </c>
      <c r="AY436" s="408">
        <v>0</v>
      </c>
      <c r="AZ436" s="408">
        <v>0</v>
      </c>
      <c r="BA436" s="408"/>
      <c r="BB436" s="408">
        <v>0</v>
      </c>
      <c r="BC436" s="408">
        <v>0</v>
      </c>
      <c r="BD436" s="408">
        <v>0</v>
      </c>
      <c r="BE436" s="408">
        <v>0</v>
      </c>
      <c r="BF436" s="408">
        <v>0</v>
      </c>
      <c r="BG436" s="408">
        <v>9.8695301748397224</v>
      </c>
      <c r="BH436" s="408">
        <v>0</v>
      </c>
      <c r="BI436" s="408">
        <v>0</v>
      </c>
      <c r="BJ436" s="408">
        <v>0</v>
      </c>
      <c r="BK436" s="408">
        <v>0</v>
      </c>
      <c r="BL436" s="408"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08"/>
      <c r="BV436" s="408">
        <v>197.9254097010253</v>
      </c>
      <c r="BW436" s="408"/>
      <c r="BX436" s="408"/>
      <c r="BY436" s="408"/>
      <c r="BZ436" s="408"/>
      <c r="CA436" s="408"/>
      <c r="CB436" s="408"/>
      <c r="CC436" s="408"/>
      <c r="CD436" s="408"/>
      <c r="CE436" s="408"/>
      <c r="CF436" s="408"/>
      <c r="CG436" s="408"/>
      <c r="CH436" s="408"/>
      <c r="CI436" s="408">
        <v>616.03300000000002</v>
      </c>
      <c r="CJ436" s="408">
        <v>-3.8598800000000892</v>
      </c>
      <c r="CK436" s="408"/>
      <c r="CL436" s="408"/>
      <c r="CM436" s="408"/>
      <c r="CN436" s="408"/>
      <c r="CO436" s="408">
        <v>-25.425120000000035</v>
      </c>
      <c r="CP436" s="408">
        <v>23.835360000000005</v>
      </c>
      <c r="CQ436" s="408">
        <v>31</v>
      </c>
      <c r="CR436" s="408">
        <v>37.815185264126285</v>
      </c>
      <c r="CS436" s="408">
        <v>6.9428966057777473</v>
      </c>
      <c r="CT436" s="408">
        <v>6.7460233452481191</v>
      </c>
      <c r="CU436" s="408">
        <v>0</v>
      </c>
      <c r="CV436" s="408">
        <v>0</v>
      </c>
      <c r="CW436" s="408">
        <v>0</v>
      </c>
      <c r="CX436" s="408">
        <v>0</v>
      </c>
      <c r="CY436" s="408">
        <v>0</v>
      </c>
      <c r="CZ436" s="408">
        <v>1.7050465315522185</v>
      </c>
      <c r="DA436" s="408">
        <v>0</v>
      </c>
      <c r="DB436" s="408">
        <v>0</v>
      </c>
      <c r="DC436" s="408">
        <v>23.832668850020468</v>
      </c>
      <c r="DD436" s="408">
        <v>0</v>
      </c>
      <c r="DE436" s="408">
        <v>0</v>
      </c>
      <c r="DF436" s="408">
        <v>0</v>
      </c>
      <c r="DG436" s="408">
        <v>1.2507837827505632</v>
      </c>
      <c r="DH436" s="408">
        <v>0</v>
      </c>
      <c r="DI436" s="408">
        <v>-2.3072271527939279</v>
      </c>
      <c r="DJ436" s="408"/>
      <c r="DK436" s="408">
        <v>0</v>
      </c>
      <c r="DL436" s="408">
        <v>0</v>
      </c>
      <c r="DM436" s="408">
        <v>0</v>
      </c>
      <c r="DN436" s="408">
        <v>0</v>
      </c>
      <c r="DO436" s="408">
        <v>-0.31728081757077042</v>
      </c>
      <c r="DP436" s="408">
        <v>-3.7725880858102467E-2</v>
      </c>
      <c r="DQ436" s="408">
        <v>0</v>
      </c>
      <c r="DR436" s="408">
        <v>0</v>
      </c>
      <c r="DS436" s="408"/>
      <c r="DT436" s="408"/>
      <c r="DU436" s="408"/>
      <c r="DV436" s="408">
        <v>158.62016797133896</v>
      </c>
      <c r="DW436" s="408">
        <v>0</v>
      </c>
      <c r="DX436" s="408">
        <v>0</v>
      </c>
      <c r="DY436" s="408">
        <v>-25.425119999999993</v>
      </c>
      <c r="DZ436" s="408">
        <v>23.83535999999998</v>
      </c>
      <c r="EA436" s="408">
        <v>0</v>
      </c>
      <c r="EB436" s="408">
        <v>0</v>
      </c>
      <c r="EC436" s="408">
        <v>-39.403940329168478</v>
      </c>
      <c r="ED436" s="408">
        <v>0</v>
      </c>
      <c r="EE436" s="408">
        <v>0</v>
      </c>
      <c r="EF436" s="408">
        <v>0</v>
      </c>
      <c r="EG436" s="408">
        <v>0</v>
      </c>
      <c r="EH436" s="408">
        <v>0</v>
      </c>
      <c r="EI436" s="408">
        <v>0</v>
      </c>
      <c r="EJ436" s="408">
        <v>0</v>
      </c>
      <c r="EK436" s="408">
        <v>0</v>
      </c>
      <c r="EL436" s="408">
        <v>0</v>
      </c>
      <c r="EM436" s="408">
        <v>0</v>
      </c>
      <c r="EN436" s="408">
        <v>0</v>
      </c>
      <c r="EO436" s="408">
        <v>0</v>
      </c>
      <c r="EP436" s="408">
        <v>17.352166507466887</v>
      </c>
      <c r="EQ436" s="408">
        <v>0</v>
      </c>
      <c r="ER436" s="408">
        <v>0</v>
      </c>
      <c r="ES436" s="408">
        <v>0</v>
      </c>
      <c r="ET436" s="408">
        <v>0</v>
      </c>
      <c r="EU436" s="408">
        <v>0</v>
      </c>
      <c r="EV436" s="408">
        <v>240</v>
      </c>
      <c r="EW436" s="408">
        <v>0</v>
      </c>
      <c r="EX436" s="408">
        <v>0</v>
      </c>
      <c r="EY436" s="408">
        <v>0</v>
      </c>
      <c r="EZ436" s="408"/>
      <c r="FA436" s="408">
        <v>0</v>
      </c>
      <c r="FB436" s="408"/>
      <c r="FC436" s="408"/>
      <c r="FD436" s="408"/>
      <c r="FE436" s="408"/>
      <c r="FF436" s="408">
        <v>0</v>
      </c>
      <c r="FG436" s="408">
        <v>0</v>
      </c>
      <c r="FH436" s="408">
        <v>0</v>
      </c>
      <c r="FI436" s="408">
        <v>0</v>
      </c>
    </row>
    <row r="437" spans="1:165">
      <c r="A437" s="408">
        <v>435</v>
      </c>
      <c r="B437" s="408" t="s">
        <v>1036</v>
      </c>
      <c r="C437" s="408" t="s">
        <v>2316</v>
      </c>
      <c r="D437" s="408" t="s">
        <v>1958</v>
      </c>
      <c r="E437" s="408" t="s">
        <v>970</v>
      </c>
      <c r="F437" s="408" t="s">
        <v>1322</v>
      </c>
      <c r="G437" s="408" t="s">
        <v>1322</v>
      </c>
      <c r="H437" s="408" t="s">
        <v>1322</v>
      </c>
      <c r="I437" s="408" t="s">
        <v>1322</v>
      </c>
      <c r="J437" s="408" t="s">
        <v>2236</v>
      </c>
      <c r="K437" s="826">
        <v>44562</v>
      </c>
      <c r="L437" s="408">
        <v>0</v>
      </c>
      <c r="M437" s="408">
        <v>0</v>
      </c>
      <c r="N437" s="408">
        <v>0</v>
      </c>
      <c r="O437" s="408">
        <v>0</v>
      </c>
      <c r="P437" s="408">
        <v>0</v>
      </c>
      <c r="Q437" s="408">
        <v>0</v>
      </c>
      <c r="R437" s="408"/>
      <c r="S437" s="408"/>
      <c r="T437" s="408"/>
      <c r="U437" s="408"/>
      <c r="V437" s="408"/>
      <c r="W437" s="408"/>
      <c r="X437" s="408"/>
      <c r="Y437" s="408"/>
      <c r="Z437" s="408"/>
      <c r="AA437" s="408">
        <v>0</v>
      </c>
      <c r="AB437" s="408"/>
      <c r="AC437" s="408"/>
      <c r="AD437" s="408"/>
      <c r="AE437" s="408"/>
      <c r="AF437" s="408"/>
      <c r="AG437" s="408"/>
      <c r="AH437" s="408"/>
      <c r="AI437" s="408"/>
      <c r="AJ437" s="408"/>
      <c r="AK437" s="408"/>
      <c r="AL437" s="408"/>
      <c r="AM437" s="408"/>
      <c r="AN437" s="408"/>
      <c r="AO437" s="408"/>
      <c r="AP437" s="408"/>
      <c r="AQ437" s="408"/>
      <c r="AR437" s="408"/>
      <c r="AS437" s="408"/>
      <c r="AT437" s="408"/>
      <c r="AU437" s="408"/>
      <c r="AV437" s="408"/>
      <c r="AW437" s="408"/>
      <c r="AX437" s="408"/>
      <c r="AY437" s="408"/>
      <c r="AZ437" s="408">
        <v>0</v>
      </c>
      <c r="BA437" s="408"/>
      <c r="BB437" s="408"/>
      <c r="BC437" s="408"/>
      <c r="BD437" s="408"/>
      <c r="BE437" s="408"/>
      <c r="BF437" s="408"/>
      <c r="BG437" s="408"/>
      <c r="BH437" s="408"/>
      <c r="BI437" s="408">
        <v>0.6</v>
      </c>
      <c r="BJ437" s="408">
        <v>5.23</v>
      </c>
      <c r="BK437" s="408">
        <v>178.43</v>
      </c>
      <c r="BL437" s="408">
        <v>1</v>
      </c>
      <c r="BM437" s="408"/>
      <c r="BN437" s="408"/>
      <c r="BO437" s="408"/>
      <c r="BP437" s="408"/>
      <c r="BQ437" s="408"/>
      <c r="BR437" s="408"/>
      <c r="BS437" s="408"/>
      <c r="BT437" s="408"/>
      <c r="BU437" s="408"/>
      <c r="BV437" s="408"/>
      <c r="BW437" s="408"/>
      <c r="BX437" s="408"/>
      <c r="BY437" s="408"/>
      <c r="BZ437" s="408"/>
      <c r="CA437" s="408"/>
      <c r="CB437" s="408"/>
      <c r="CC437" s="408"/>
      <c r="CD437" s="408"/>
      <c r="CE437" s="408"/>
      <c r="CF437" s="408"/>
      <c r="CG437" s="408"/>
      <c r="CH437" s="408"/>
      <c r="CI437" s="408"/>
      <c r="CJ437" s="408">
        <v>-0.03</v>
      </c>
      <c r="CK437" s="408"/>
      <c r="CL437" s="408"/>
      <c r="CM437" s="408"/>
      <c r="CN437" s="408"/>
      <c r="CO437" s="408">
        <v>0</v>
      </c>
      <c r="CP437" s="408">
        <v>0</v>
      </c>
      <c r="CQ437" s="408">
        <v>31</v>
      </c>
      <c r="CR437" s="408"/>
      <c r="CS437" s="408"/>
      <c r="CT437" s="408"/>
      <c r="CU437" s="408"/>
      <c r="CV437" s="408"/>
      <c r="CW437" s="408"/>
      <c r="CX437" s="408"/>
      <c r="CY437" s="408"/>
      <c r="CZ437" s="408"/>
      <c r="DA437" s="408"/>
      <c r="DB437" s="408"/>
      <c r="DC437" s="408"/>
      <c r="DD437" s="408"/>
      <c r="DE437" s="408"/>
      <c r="DF437" s="408"/>
      <c r="DG437" s="408"/>
      <c r="DH437" s="408"/>
      <c r="DI437" s="408"/>
      <c r="DJ437" s="408"/>
      <c r="DK437" s="408">
        <v>0</v>
      </c>
      <c r="DL437" s="408"/>
      <c r="DM437" s="408"/>
      <c r="DN437" s="408"/>
      <c r="DO437" s="408"/>
      <c r="DP437" s="408"/>
      <c r="DQ437" s="408"/>
      <c r="DR437" s="408"/>
      <c r="DS437" s="408"/>
      <c r="DT437" s="408"/>
      <c r="DU437" s="408"/>
      <c r="DV437" s="408"/>
      <c r="DW437" s="408"/>
      <c r="DX437" s="408"/>
      <c r="DY437" s="408"/>
      <c r="DZ437" s="408"/>
      <c r="EA437" s="408"/>
      <c r="EB437" s="408"/>
      <c r="EC437" s="408"/>
      <c r="ED437" s="408"/>
      <c r="EE437" s="408"/>
      <c r="EF437" s="408"/>
      <c r="EG437" s="408"/>
      <c r="EH437" s="408"/>
      <c r="EI437" s="408"/>
      <c r="EJ437" s="408"/>
      <c r="EK437" s="408"/>
      <c r="EL437" s="408"/>
      <c r="EM437" s="408"/>
      <c r="EN437" s="408"/>
      <c r="EO437" s="408"/>
      <c r="EP437" s="408"/>
      <c r="EQ437" s="408"/>
      <c r="ER437" s="408"/>
      <c r="ES437" s="408"/>
      <c r="ET437" s="408"/>
      <c r="EU437" s="408"/>
      <c r="EV437" s="408">
        <v>240</v>
      </c>
      <c r="EW437" s="408"/>
      <c r="EX437" s="408"/>
      <c r="EY437" s="408"/>
      <c r="EZ437" s="408"/>
      <c r="FA437" s="408">
        <v>0</v>
      </c>
      <c r="FB437" s="408"/>
      <c r="FC437" s="408"/>
      <c r="FD437" s="408"/>
      <c r="FE437" s="408"/>
      <c r="FF437" s="408">
        <v>0</v>
      </c>
      <c r="FG437" s="408">
        <v>0</v>
      </c>
      <c r="FH437" s="408">
        <v>0</v>
      </c>
      <c r="FI437" s="408">
        <v>0</v>
      </c>
    </row>
    <row r="438" spans="1:165">
      <c r="A438" s="408">
        <v>436</v>
      </c>
      <c r="B438" s="408" t="s">
        <v>1036</v>
      </c>
      <c r="C438" s="408" t="s">
        <v>2316</v>
      </c>
      <c r="D438" s="408" t="s">
        <v>1958</v>
      </c>
      <c r="E438" s="408" t="s">
        <v>970</v>
      </c>
      <c r="F438" s="408" t="s">
        <v>1322</v>
      </c>
      <c r="G438" s="408" t="s">
        <v>1322</v>
      </c>
      <c r="H438" s="408" t="s">
        <v>1322</v>
      </c>
      <c r="I438" s="408" t="s">
        <v>2317</v>
      </c>
      <c r="J438" s="408" t="s">
        <v>2236</v>
      </c>
      <c r="K438" s="826">
        <v>44562</v>
      </c>
      <c r="L438" s="408">
        <v>0</v>
      </c>
      <c r="M438" s="408">
        <v>0</v>
      </c>
      <c r="N438" s="408">
        <v>5.7000000000000002E-2</v>
      </c>
      <c r="O438" s="408">
        <v>5.7000000000000002E-2</v>
      </c>
      <c r="P438" s="408">
        <v>5.7000000000000002E-2</v>
      </c>
      <c r="Q438" s="408">
        <v>5.7000000000000002E-2</v>
      </c>
      <c r="R438" s="408"/>
      <c r="S438" s="408">
        <v>970.82</v>
      </c>
      <c r="T438" s="408">
        <v>173.25</v>
      </c>
      <c r="U438" s="408"/>
      <c r="V438" s="408">
        <v>65.211990000000014</v>
      </c>
      <c r="W438" s="408">
        <v>65.211990000000014</v>
      </c>
      <c r="X438" s="408">
        <v>62.650410000000001</v>
      </c>
      <c r="Y438" s="408">
        <v>0</v>
      </c>
      <c r="Z438" s="408">
        <v>3.5080754423641127</v>
      </c>
      <c r="AA438" s="408">
        <v>0</v>
      </c>
      <c r="AB438" s="408">
        <v>0</v>
      </c>
      <c r="AC438" s="408">
        <v>3.7089642149307651</v>
      </c>
      <c r="AD438" s="408">
        <v>0.25648724754630314</v>
      </c>
      <c r="AE438" s="408">
        <v>24.568872436139596</v>
      </c>
      <c r="AF438" s="408">
        <v>9.7094068233628406</v>
      </c>
      <c r="AG438" s="408">
        <v>0.16571231124085126</v>
      </c>
      <c r="AH438" s="408">
        <v>0</v>
      </c>
      <c r="AI438" s="408">
        <v>0</v>
      </c>
      <c r="AJ438" s="408">
        <v>0</v>
      </c>
      <c r="AK438" s="408">
        <v>0</v>
      </c>
      <c r="AL438" s="408">
        <v>0.54201472580754839</v>
      </c>
      <c r="AM438" s="408"/>
      <c r="AN438" s="408">
        <v>6.8847832718675034E-2</v>
      </c>
      <c r="AO438" s="408">
        <v>10.791945593432438</v>
      </c>
      <c r="AP438" s="408">
        <v>10.485928431277104</v>
      </c>
      <c r="AQ438" s="408">
        <v>0</v>
      </c>
      <c r="AR438" s="408">
        <v>0</v>
      </c>
      <c r="AS438" s="408">
        <v>0</v>
      </c>
      <c r="AT438" s="408">
        <v>0</v>
      </c>
      <c r="AU438" s="408">
        <v>0</v>
      </c>
      <c r="AV438" s="408">
        <v>0</v>
      </c>
      <c r="AW438" s="408">
        <v>0</v>
      </c>
      <c r="AX438" s="408">
        <v>0</v>
      </c>
      <c r="AY438" s="408">
        <v>0</v>
      </c>
      <c r="AZ438" s="408">
        <v>0</v>
      </c>
      <c r="BA438" s="408"/>
      <c r="BB438" s="408">
        <v>0</v>
      </c>
      <c r="BC438" s="408">
        <v>0</v>
      </c>
      <c r="BD438" s="408">
        <v>0</v>
      </c>
      <c r="BE438" s="408">
        <v>0</v>
      </c>
      <c r="BF438" s="408">
        <v>0</v>
      </c>
      <c r="BG438" s="408">
        <v>0.50956813402705092</v>
      </c>
      <c r="BH438" s="408">
        <v>0</v>
      </c>
      <c r="BI438" s="408">
        <v>0</v>
      </c>
      <c r="BJ438" s="408">
        <v>0</v>
      </c>
      <c r="BK438" s="408">
        <v>0</v>
      </c>
      <c r="BL438" s="408">
        <v>0</v>
      </c>
      <c r="BM438" s="408"/>
      <c r="BN438" s="408"/>
      <c r="BO438" s="408"/>
      <c r="BP438" s="408"/>
      <c r="BQ438" s="408"/>
      <c r="BR438" s="408"/>
      <c r="BS438" s="408"/>
      <c r="BT438" s="408"/>
      <c r="BU438" s="408"/>
      <c r="BV438" s="408">
        <v>10.218974957389891</v>
      </c>
      <c r="BW438" s="408"/>
      <c r="BX438" s="408"/>
      <c r="BY438" s="408"/>
      <c r="BZ438" s="408"/>
      <c r="CA438" s="408"/>
      <c r="CB438" s="408"/>
      <c r="CC438" s="408"/>
      <c r="CD438" s="408"/>
      <c r="CE438" s="408"/>
      <c r="CF438" s="408"/>
      <c r="CG438" s="408"/>
      <c r="CH438" s="408"/>
      <c r="CI438" s="408">
        <v>65.947800000000001</v>
      </c>
      <c r="CJ438" s="408">
        <v>0.7058099999999996</v>
      </c>
      <c r="CK438" s="408"/>
      <c r="CL438" s="408"/>
      <c r="CM438" s="408"/>
      <c r="CN438" s="408"/>
      <c r="CO438" s="408">
        <v>-3.7922100000000052</v>
      </c>
      <c r="CP438" s="408">
        <v>1.2306300000000003</v>
      </c>
      <c r="CQ438" s="408">
        <v>31</v>
      </c>
      <c r="CR438" s="408">
        <v>3.5420088216205556</v>
      </c>
      <c r="CS438" s="408">
        <v>1.0753943112210376</v>
      </c>
      <c r="CT438" s="408">
        <v>1.0449003551063267</v>
      </c>
      <c r="CU438" s="408">
        <v>0</v>
      </c>
      <c r="CV438" s="408">
        <v>0</v>
      </c>
      <c r="CW438" s="408">
        <v>0</v>
      </c>
      <c r="CX438" s="408">
        <v>0</v>
      </c>
      <c r="CY438" s="408">
        <v>0</v>
      </c>
      <c r="CZ438" s="408">
        <v>0.26409688124586106</v>
      </c>
      <c r="DA438" s="408">
        <v>0</v>
      </c>
      <c r="DB438" s="408">
        <v>0</v>
      </c>
      <c r="DC438" s="408">
        <v>1.2304910547564933</v>
      </c>
      <c r="DD438" s="408">
        <v>0</v>
      </c>
      <c r="DE438" s="408">
        <v>0</v>
      </c>
      <c r="DF438" s="408">
        <v>0</v>
      </c>
      <c r="DG438" s="408">
        <v>6.4578510522447563E-2</v>
      </c>
      <c r="DH438" s="408">
        <v>0</v>
      </c>
      <c r="DI438" s="408">
        <v>-0.11912314104099053</v>
      </c>
      <c r="DJ438" s="408"/>
      <c r="DK438" s="408">
        <v>0</v>
      </c>
      <c r="DL438" s="408">
        <v>0</v>
      </c>
      <c r="DM438" s="408">
        <v>0</v>
      </c>
      <c r="DN438" s="408">
        <v>0</v>
      </c>
      <c r="DO438" s="408">
        <v>-1.638134655936041E-2</v>
      </c>
      <c r="DP438" s="408">
        <v>-1.9478036312607222E-3</v>
      </c>
      <c r="DQ438" s="408">
        <v>0</v>
      </c>
      <c r="DR438" s="408">
        <v>0</v>
      </c>
      <c r="DS438" s="408"/>
      <c r="DT438" s="408"/>
      <c r="DU438" s="408"/>
      <c r="DV438" s="408">
        <v>24.568872436139596</v>
      </c>
      <c r="DW438" s="408">
        <v>0</v>
      </c>
      <c r="DX438" s="408">
        <v>0</v>
      </c>
      <c r="DY438" s="408">
        <v>-3.7922100000000043</v>
      </c>
      <c r="DZ438" s="408">
        <v>1.2306299999999997</v>
      </c>
      <c r="EA438" s="408">
        <v>0</v>
      </c>
      <c r="EB438" s="408">
        <v>0</v>
      </c>
      <c r="EC438" s="408">
        <v>-6.1033246642603984</v>
      </c>
      <c r="ED438" s="408">
        <v>0</v>
      </c>
      <c r="EE438" s="408">
        <v>0</v>
      </c>
      <c r="EF438" s="408">
        <v>0</v>
      </c>
      <c r="EG438" s="408">
        <v>0</v>
      </c>
      <c r="EH438" s="408">
        <v>0</v>
      </c>
      <c r="EI438" s="408">
        <v>0</v>
      </c>
      <c r="EJ438" s="408">
        <v>0</v>
      </c>
      <c r="EK438" s="408">
        <v>0</v>
      </c>
      <c r="EL438" s="408">
        <v>0</v>
      </c>
      <c r="EM438" s="408">
        <v>0</v>
      </c>
      <c r="EN438" s="408">
        <v>0</v>
      </c>
      <c r="EO438" s="408">
        <v>0</v>
      </c>
      <c r="EP438" s="408">
        <v>0.89589990120073593</v>
      </c>
      <c r="EQ438" s="408">
        <v>0</v>
      </c>
      <c r="ER438" s="408">
        <v>0</v>
      </c>
      <c r="ES438" s="408">
        <v>0</v>
      </c>
      <c r="ET438" s="408">
        <v>0</v>
      </c>
      <c r="EU438" s="408">
        <v>0</v>
      </c>
      <c r="EV438" s="408">
        <v>240</v>
      </c>
      <c r="EW438" s="408">
        <v>0</v>
      </c>
      <c r="EX438" s="408">
        <v>0</v>
      </c>
      <c r="EY438" s="408">
        <v>0</v>
      </c>
      <c r="EZ438" s="408"/>
      <c r="FA438" s="408">
        <v>0</v>
      </c>
      <c r="FB438" s="408"/>
      <c r="FC438" s="408"/>
      <c r="FD438" s="408"/>
      <c r="FE438" s="408"/>
      <c r="FF438" s="408">
        <v>0</v>
      </c>
      <c r="FG438" s="408">
        <v>0</v>
      </c>
      <c r="FH438" s="408">
        <v>0</v>
      </c>
      <c r="FI438" s="408">
        <v>0</v>
      </c>
    </row>
    <row r="439" spans="1:165">
      <c r="A439" s="408">
        <v>437</v>
      </c>
      <c r="B439" s="408" t="s">
        <v>1036</v>
      </c>
      <c r="C439" s="408" t="s">
        <v>2235</v>
      </c>
      <c r="D439" s="408" t="s">
        <v>1958</v>
      </c>
      <c r="E439" s="408" t="s">
        <v>998</v>
      </c>
      <c r="F439" s="408" t="s">
        <v>1322</v>
      </c>
      <c r="G439" s="408" t="s">
        <v>1322</v>
      </c>
      <c r="H439" s="408" t="s">
        <v>1322</v>
      </c>
      <c r="I439" s="408" t="s">
        <v>1322</v>
      </c>
      <c r="J439" s="408" t="s">
        <v>2236</v>
      </c>
      <c r="K439" s="826">
        <v>44562</v>
      </c>
      <c r="L439" s="408">
        <v>0</v>
      </c>
      <c r="M439" s="408">
        <v>0</v>
      </c>
      <c r="N439" s="408">
        <v>3491.576</v>
      </c>
      <c r="O439" s="408">
        <v>3491.576</v>
      </c>
      <c r="P439" s="408">
        <v>3491.576</v>
      </c>
      <c r="Q439" s="408">
        <v>3491.576</v>
      </c>
      <c r="R439" s="408"/>
      <c r="S439" s="408">
        <v>368.24</v>
      </c>
      <c r="T439" s="408">
        <v>173.25</v>
      </c>
      <c r="U439" s="408"/>
      <c r="V439" s="408">
        <v>1890653.4882399999</v>
      </c>
      <c r="W439" s="408">
        <v>1890653.4882399999</v>
      </c>
      <c r="X439" s="408">
        <v>1776828.1106400001</v>
      </c>
      <c r="Y439" s="408">
        <v>0</v>
      </c>
      <c r="Z439" s="408">
        <v>214889.6845745249</v>
      </c>
      <c r="AA439" s="408">
        <v>0</v>
      </c>
      <c r="AB439" s="408">
        <v>0</v>
      </c>
      <c r="AC439" s="408">
        <v>8936.819234321114</v>
      </c>
      <c r="AD439" s="408">
        <v>8586.2793093340988</v>
      </c>
      <c r="AE439" s="408">
        <v>822395.70569880679</v>
      </c>
      <c r="AF439" s="408">
        <v>594756.69892438478</v>
      </c>
      <c r="AG439" s="408">
        <v>10150.826821633096</v>
      </c>
      <c r="AH439" s="408">
        <v>0</v>
      </c>
      <c r="AI439" s="408">
        <v>0</v>
      </c>
      <c r="AJ439" s="408">
        <v>0</v>
      </c>
      <c r="AK439" s="408">
        <v>0</v>
      </c>
      <c r="AL439" s="408">
        <v>33201.501899582749</v>
      </c>
      <c r="AM439" s="408"/>
      <c r="AN439" s="408">
        <v>4217.3235153077285</v>
      </c>
      <c r="AO439" s="408">
        <v>18971.113493015564</v>
      </c>
      <c r="AP439" s="408">
        <v>88459.503467157061</v>
      </c>
      <c r="AQ439" s="408">
        <v>0</v>
      </c>
      <c r="AR439" s="408">
        <v>0</v>
      </c>
      <c r="AS439" s="408">
        <v>0</v>
      </c>
      <c r="AT439" s="408">
        <v>0</v>
      </c>
      <c r="AU439" s="408">
        <v>0</v>
      </c>
      <c r="AV439" s="408">
        <v>0</v>
      </c>
      <c r="AW439" s="408">
        <v>0</v>
      </c>
      <c r="AX439" s="408">
        <v>0</v>
      </c>
      <c r="AY439" s="408">
        <v>0</v>
      </c>
      <c r="AZ439" s="408">
        <v>0</v>
      </c>
      <c r="BA439" s="408"/>
      <c r="BB439" s="408">
        <v>0</v>
      </c>
      <c r="BC439" s="408">
        <v>0</v>
      </c>
      <c r="BD439" s="408">
        <v>0</v>
      </c>
      <c r="BE439" s="408">
        <v>0</v>
      </c>
      <c r="BF439" s="408">
        <v>0</v>
      </c>
      <c r="BG439" s="408">
        <v>31213.962581291828</v>
      </c>
      <c r="BH439" s="408">
        <v>0</v>
      </c>
      <c r="BI439" s="408">
        <v>1579.86</v>
      </c>
      <c r="BJ439" s="408">
        <v>13726.65</v>
      </c>
      <c r="BK439" s="408">
        <v>762611.77</v>
      </c>
      <c r="BL439" s="408">
        <v>4329</v>
      </c>
      <c r="BM439" s="408"/>
      <c r="BN439" s="408"/>
      <c r="BO439" s="408"/>
      <c r="BP439" s="408"/>
      <c r="BQ439" s="408"/>
      <c r="BR439" s="408"/>
      <c r="BS439" s="408"/>
      <c r="BT439" s="408"/>
      <c r="BU439" s="408"/>
      <c r="BV439" s="408">
        <v>625970.66150567657</v>
      </c>
      <c r="BW439" s="408"/>
      <c r="BX439" s="408"/>
      <c r="BY439" s="408"/>
      <c r="BZ439" s="408"/>
      <c r="CA439" s="408"/>
      <c r="CB439" s="408"/>
      <c r="CC439" s="408"/>
      <c r="CD439" s="408"/>
      <c r="CE439" s="408"/>
      <c r="CF439" s="408"/>
      <c r="CG439" s="408"/>
      <c r="CH439" s="408"/>
      <c r="CI439" s="408">
        <v>1776830.1462000001</v>
      </c>
      <c r="CJ439" s="408">
        <v>-113823.37203999981</v>
      </c>
      <c r="CK439" s="408"/>
      <c r="CL439" s="408"/>
      <c r="CM439" s="408"/>
      <c r="CN439" s="408"/>
      <c r="CO439" s="408">
        <v>-189208.50344</v>
      </c>
      <c r="CP439" s="408">
        <v>75383.125840000008</v>
      </c>
      <c r="CQ439" s="408">
        <v>31</v>
      </c>
      <c r="CR439" s="408">
        <v>90456.932883340167</v>
      </c>
      <c r="CS439" s="408">
        <v>1890.4309099123711</v>
      </c>
      <c r="CT439" s="408">
        <v>8814.8004433890019</v>
      </c>
      <c r="CU439" s="408">
        <v>0</v>
      </c>
      <c r="CV439" s="408">
        <v>0</v>
      </c>
      <c r="CW439" s="408">
        <v>0</v>
      </c>
      <c r="CX439" s="408">
        <v>0</v>
      </c>
      <c r="CY439" s="408">
        <v>0</v>
      </c>
      <c r="CZ439" s="408">
        <v>8841.0227361952348</v>
      </c>
      <c r="DA439" s="408">
        <v>0</v>
      </c>
      <c r="DB439" s="408">
        <v>0</v>
      </c>
      <c r="DC439" s="408">
        <v>75374.614649165887</v>
      </c>
      <c r="DD439" s="408">
        <v>0</v>
      </c>
      <c r="DE439" s="408">
        <v>0</v>
      </c>
      <c r="DF439" s="408">
        <v>0</v>
      </c>
      <c r="DG439" s="408">
        <v>3955.8031132618526</v>
      </c>
      <c r="DH439" s="408">
        <v>0</v>
      </c>
      <c r="DI439" s="408">
        <v>-7296.9736895322567</v>
      </c>
      <c r="DJ439" s="408"/>
      <c r="DK439" s="408">
        <v>0</v>
      </c>
      <c r="DL439" s="408">
        <v>0</v>
      </c>
      <c r="DM439" s="408">
        <v>0</v>
      </c>
      <c r="DN439" s="408">
        <v>0</v>
      </c>
      <c r="DO439" s="408">
        <v>-1003.4511665674654</v>
      </c>
      <c r="DP439" s="408">
        <v>-119.31411248461063</v>
      </c>
      <c r="DQ439" s="408">
        <v>0</v>
      </c>
      <c r="DR439" s="408">
        <v>0</v>
      </c>
      <c r="DS439" s="408"/>
      <c r="DT439" s="408"/>
      <c r="DU439" s="408"/>
      <c r="DV439" s="408">
        <v>822395.70569880679</v>
      </c>
      <c r="DW439" s="408">
        <v>0</v>
      </c>
      <c r="DX439" s="408">
        <v>0</v>
      </c>
      <c r="DY439" s="408">
        <v>-189208.50343999988</v>
      </c>
      <c r="DZ439" s="408">
        <v>75383.125839999993</v>
      </c>
      <c r="EA439" s="408">
        <v>0</v>
      </c>
      <c r="EB439" s="408">
        <v>0</v>
      </c>
      <c r="EC439" s="408">
        <v>-204297.04323712445</v>
      </c>
      <c r="ED439" s="408">
        <v>0</v>
      </c>
      <c r="EE439" s="408">
        <v>0</v>
      </c>
      <c r="EF439" s="408">
        <v>0</v>
      </c>
      <c r="EG439" s="408">
        <v>0</v>
      </c>
      <c r="EH439" s="408">
        <v>0</v>
      </c>
      <c r="EI439" s="408">
        <v>0</v>
      </c>
      <c r="EJ439" s="408">
        <v>0</v>
      </c>
      <c r="EK439" s="408">
        <v>0</v>
      </c>
      <c r="EL439" s="408">
        <v>0</v>
      </c>
      <c r="EM439" s="408">
        <v>0</v>
      </c>
      <c r="EN439" s="408">
        <v>0</v>
      </c>
      <c r="EO439" s="408">
        <v>0</v>
      </c>
      <c r="EP439" s="408">
        <v>54878.992867278255</v>
      </c>
      <c r="EQ439" s="408">
        <v>0</v>
      </c>
      <c r="ER439" s="408">
        <v>0</v>
      </c>
      <c r="ES439" s="408">
        <v>0</v>
      </c>
      <c r="ET439" s="408">
        <v>0</v>
      </c>
      <c r="EU439" s="408">
        <v>0</v>
      </c>
      <c r="EV439" s="408">
        <v>240</v>
      </c>
      <c r="EW439" s="408">
        <v>0</v>
      </c>
      <c r="EX439" s="408">
        <v>0</v>
      </c>
      <c r="EY439" s="408">
        <v>0</v>
      </c>
      <c r="EZ439" s="408"/>
      <c r="FA439" s="408">
        <v>0</v>
      </c>
      <c r="FB439" s="408"/>
      <c r="FC439" s="408"/>
      <c r="FD439" s="408"/>
      <c r="FE439" s="408"/>
      <c r="FF439" s="408">
        <v>0</v>
      </c>
      <c r="FG439" s="408">
        <v>0</v>
      </c>
      <c r="FH439" s="408">
        <v>0</v>
      </c>
      <c r="FI439" s="408">
        <v>0</v>
      </c>
    </row>
    <row r="440" spans="1:165">
      <c r="A440" s="408">
        <v>438</v>
      </c>
      <c r="B440" s="408" t="s">
        <v>2238</v>
      </c>
      <c r="C440" s="408" t="s">
        <v>2235</v>
      </c>
      <c r="D440" s="408" t="s">
        <v>1958</v>
      </c>
      <c r="E440" s="408" t="s">
        <v>998</v>
      </c>
      <c r="F440" s="408" t="s">
        <v>1322</v>
      </c>
      <c r="G440" s="408" t="s">
        <v>1322</v>
      </c>
      <c r="H440" s="408" t="s">
        <v>1322</v>
      </c>
      <c r="I440" s="408" t="s">
        <v>1322</v>
      </c>
      <c r="J440" s="408" t="s">
        <v>2236</v>
      </c>
      <c r="K440" s="826">
        <v>44562</v>
      </c>
      <c r="L440" s="408">
        <v>0</v>
      </c>
      <c r="M440" s="408">
        <v>0</v>
      </c>
      <c r="N440" s="408">
        <v>151.77199999999999</v>
      </c>
      <c r="O440" s="408">
        <v>151.77199999999999</v>
      </c>
      <c r="P440" s="408">
        <v>151.77199999999999</v>
      </c>
      <c r="Q440" s="408">
        <v>151.77199999999999</v>
      </c>
      <c r="R440" s="408"/>
      <c r="S440" s="408">
        <v>368.24</v>
      </c>
      <c r="T440" s="408">
        <v>173.25</v>
      </c>
      <c r="U440" s="408"/>
      <c r="V440" s="408">
        <v>82183.020279999997</v>
      </c>
      <c r="W440" s="408">
        <v>82183.020279999997</v>
      </c>
      <c r="X440" s="408">
        <v>77235.253079999995</v>
      </c>
      <c r="Y440" s="408">
        <v>0</v>
      </c>
      <c r="Z440" s="408">
        <v>9340.8355445348443</v>
      </c>
      <c r="AA440" s="408">
        <v>0</v>
      </c>
      <c r="AB440" s="408">
        <v>0</v>
      </c>
      <c r="AC440" s="408">
        <v>388.4661049426918</v>
      </c>
      <c r="AD440" s="408">
        <v>373.22881797109807</v>
      </c>
      <c r="AE440" s="408">
        <v>35747.937620524172</v>
      </c>
      <c r="AF440" s="408">
        <v>25852.913901674125</v>
      </c>
      <c r="AG440" s="408">
        <v>441.23664739730663</v>
      </c>
      <c r="AH440" s="408">
        <v>0</v>
      </c>
      <c r="AI440" s="408">
        <v>0</v>
      </c>
      <c r="AJ440" s="408">
        <v>0</v>
      </c>
      <c r="AK440" s="408">
        <v>0</v>
      </c>
      <c r="AL440" s="408">
        <v>1443.2045432502321</v>
      </c>
      <c r="AM440" s="408"/>
      <c r="AN440" s="408">
        <v>183.31882925225872</v>
      </c>
      <c r="AO440" s="408">
        <v>824.63730907245269</v>
      </c>
      <c r="AP440" s="408">
        <v>3845.1621159663605</v>
      </c>
      <c r="AQ440" s="408">
        <v>0</v>
      </c>
      <c r="AR440" s="408">
        <v>0</v>
      </c>
      <c r="AS440" s="408">
        <v>0</v>
      </c>
      <c r="AT440" s="408">
        <v>0</v>
      </c>
      <c r="AU440" s="408">
        <v>0</v>
      </c>
      <c r="AV440" s="408">
        <v>0</v>
      </c>
      <c r="AW440" s="408">
        <v>0</v>
      </c>
      <c r="AX440" s="408">
        <v>0</v>
      </c>
      <c r="AY440" s="408">
        <v>0</v>
      </c>
      <c r="AZ440" s="408">
        <v>0</v>
      </c>
      <c r="BA440" s="408"/>
      <c r="BB440" s="408">
        <v>0</v>
      </c>
      <c r="BC440" s="408">
        <v>0</v>
      </c>
      <c r="BD440" s="408">
        <v>0</v>
      </c>
      <c r="BE440" s="408">
        <v>0</v>
      </c>
      <c r="BF440" s="408">
        <v>0</v>
      </c>
      <c r="BG440" s="408">
        <v>1356.8100848693607</v>
      </c>
      <c r="BH440" s="408">
        <v>0</v>
      </c>
      <c r="BI440" s="408">
        <v>68.34</v>
      </c>
      <c r="BJ440" s="408">
        <v>597.95000000000005</v>
      </c>
      <c r="BK440" s="408">
        <v>79749.210000000006</v>
      </c>
      <c r="BL440" s="408">
        <v>271</v>
      </c>
      <c r="BM440" s="408"/>
      <c r="BN440" s="408"/>
      <c r="BO440" s="408"/>
      <c r="BP440" s="408"/>
      <c r="BQ440" s="408"/>
      <c r="BR440" s="408"/>
      <c r="BS440" s="408"/>
      <c r="BT440" s="408"/>
      <c r="BU440" s="408"/>
      <c r="BV440" s="408">
        <v>27209.723986543486</v>
      </c>
      <c r="BW440" s="408"/>
      <c r="BX440" s="408"/>
      <c r="BY440" s="408"/>
      <c r="BZ440" s="408"/>
      <c r="CA440" s="408"/>
      <c r="CB440" s="408"/>
      <c r="CC440" s="408"/>
      <c r="CD440" s="408"/>
      <c r="CE440" s="408"/>
      <c r="CF440" s="408"/>
      <c r="CG440" s="408"/>
      <c r="CH440" s="408"/>
      <c r="CI440" s="408">
        <v>77234.2353</v>
      </c>
      <c r="CJ440" s="408">
        <v>-4948.8149799999956</v>
      </c>
      <c r="CK440" s="408"/>
      <c r="CL440" s="408"/>
      <c r="CM440" s="408"/>
      <c r="CN440" s="408"/>
      <c r="CO440" s="408">
        <v>-8224.5246799999986</v>
      </c>
      <c r="CP440" s="408">
        <v>3276.7574800000002</v>
      </c>
      <c r="CQ440" s="408">
        <v>31</v>
      </c>
      <c r="CR440" s="408">
        <v>3931.9864776164904</v>
      </c>
      <c r="CS440" s="408">
        <v>82.173345234135127</v>
      </c>
      <c r="CT440" s="408">
        <v>383.16218604264532</v>
      </c>
      <c r="CU440" s="408">
        <v>0</v>
      </c>
      <c r="CV440" s="408">
        <v>0</v>
      </c>
      <c r="CW440" s="408">
        <v>0</v>
      </c>
      <c r="CX440" s="408">
        <v>0</v>
      </c>
      <c r="CY440" s="408">
        <v>0</v>
      </c>
      <c r="CZ440" s="408">
        <v>384.30201797635874</v>
      </c>
      <c r="DA440" s="408">
        <v>0</v>
      </c>
      <c r="DB440" s="408">
        <v>0</v>
      </c>
      <c r="DC440" s="408">
        <v>3276.3875151316206</v>
      </c>
      <c r="DD440" s="408">
        <v>0</v>
      </c>
      <c r="DE440" s="408">
        <v>0</v>
      </c>
      <c r="DF440" s="408">
        <v>0</v>
      </c>
      <c r="DG440" s="408">
        <v>171.95104735110363</v>
      </c>
      <c r="DH440" s="408">
        <v>0</v>
      </c>
      <c r="DI440" s="408">
        <v>-317.18521687847897</v>
      </c>
      <c r="DJ440" s="408"/>
      <c r="DK440" s="408">
        <v>0</v>
      </c>
      <c r="DL440" s="408">
        <v>0</v>
      </c>
      <c r="DM440" s="408">
        <v>0</v>
      </c>
      <c r="DN440" s="408">
        <v>0</v>
      </c>
      <c r="DO440" s="408">
        <v>-43.618065438723534</v>
      </c>
      <c r="DP440" s="408">
        <v>-5.1863518021702362</v>
      </c>
      <c r="DQ440" s="408">
        <v>0</v>
      </c>
      <c r="DR440" s="408">
        <v>0</v>
      </c>
      <c r="DS440" s="408"/>
      <c r="DT440" s="408"/>
      <c r="DU440" s="408"/>
      <c r="DV440" s="408">
        <v>35747.937620524172</v>
      </c>
      <c r="DW440" s="408">
        <v>0</v>
      </c>
      <c r="DX440" s="408">
        <v>0</v>
      </c>
      <c r="DY440" s="408">
        <v>-8224.5246800000023</v>
      </c>
      <c r="DZ440" s="408">
        <v>3276.7574800000002</v>
      </c>
      <c r="EA440" s="408">
        <v>0</v>
      </c>
      <c r="EB440" s="408">
        <v>0</v>
      </c>
      <c r="EC440" s="408">
        <v>-8880.3940816940121</v>
      </c>
      <c r="ED440" s="408">
        <v>0</v>
      </c>
      <c r="EE440" s="408">
        <v>0</v>
      </c>
      <c r="EF440" s="408">
        <v>0</v>
      </c>
      <c r="EG440" s="408">
        <v>0</v>
      </c>
      <c r="EH440" s="408">
        <v>0</v>
      </c>
      <c r="EI440" s="408">
        <v>0</v>
      </c>
      <c r="EJ440" s="408">
        <v>0</v>
      </c>
      <c r="EK440" s="408">
        <v>0</v>
      </c>
      <c r="EL440" s="408">
        <v>0</v>
      </c>
      <c r="EM440" s="408">
        <v>0</v>
      </c>
      <c r="EN440" s="408">
        <v>0</v>
      </c>
      <c r="EO440" s="408">
        <v>0</v>
      </c>
      <c r="EP440" s="408">
        <v>2385.4828035971595</v>
      </c>
      <c r="EQ440" s="408">
        <v>0</v>
      </c>
      <c r="ER440" s="408">
        <v>0</v>
      </c>
      <c r="ES440" s="408">
        <v>0</v>
      </c>
      <c r="ET440" s="408">
        <v>0</v>
      </c>
      <c r="EU440" s="408">
        <v>0</v>
      </c>
      <c r="EV440" s="408">
        <v>240</v>
      </c>
      <c r="EW440" s="408">
        <v>0</v>
      </c>
      <c r="EX440" s="408">
        <v>0</v>
      </c>
      <c r="EY440" s="408">
        <v>0</v>
      </c>
      <c r="EZ440" s="408"/>
      <c r="FA440" s="408">
        <v>0</v>
      </c>
      <c r="FB440" s="408"/>
      <c r="FC440" s="408"/>
      <c r="FD440" s="408"/>
      <c r="FE440" s="408"/>
      <c r="FF440" s="408">
        <v>0</v>
      </c>
      <c r="FG440" s="408">
        <v>0</v>
      </c>
      <c r="FH440" s="408">
        <v>0</v>
      </c>
      <c r="FI440" s="408">
        <v>0</v>
      </c>
    </row>
    <row r="441" spans="1:165">
      <c r="A441" s="408">
        <v>439</v>
      </c>
      <c r="B441" s="408" t="s">
        <v>1036</v>
      </c>
      <c r="C441" s="408" t="s">
        <v>2243</v>
      </c>
      <c r="D441" s="408" t="s">
        <v>597</v>
      </c>
      <c r="E441" s="408" t="s">
        <v>998</v>
      </c>
      <c r="F441" s="408" t="s">
        <v>1322</v>
      </c>
      <c r="G441" s="408" t="s">
        <v>1322</v>
      </c>
      <c r="H441" s="408" t="s">
        <v>1322</v>
      </c>
      <c r="I441" s="408" t="s">
        <v>973</v>
      </c>
      <c r="J441" s="408" t="s">
        <v>2236</v>
      </c>
      <c r="K441" s="826">
        <v>44562</v>
      </c>
      <c r="L441" s="408">
        <v>0</v>
      </c>
      <c r="M441" s="408">
        <v>0</v>
      </c>
      <c r="N441" s="408">
        <v>105.956</v>
      </c>
      <c r="O441" s="408">
        <v>105.956</v>
      </c>
      <c r="P441" s="408">
        <v>105.956</v>
      </c>
      <c r="Q441" s="408">
        <v>105.956</v>
      </c>
      <c r="R441" s="408"/>
      <c r="S441" s="408">
        <v>1358.36</v>
      </c>
      <c r="T441" s="408">
        <v>173.25</v>
      </c>
      <c r="U441" s="408"/>
      <c r="V441" s="408">
        <v>162283.26916</v>
      </c>
      <c r="W441" s="408">
        <v>162283.26916</v>
      </c>
      <c r="X441" s="408">
        <v>142290.43151999998</v>
      </c>
      <c r="Y441" s="408">
        <v>0</v>
      </c>
      <c r="Z441" s="408">
        <v>5673.3408450330617</v>
      </c>
      <c r="AA441" s="408">
        <v>0</v>
      </c>
      <c r="AB441" s="408">
        <v>0</v>
      </c>
      <c r="AC441" s="408">
        <v>2007.0279116801901</v>
      </c>
      <c r="AD441" s="408">
        <v>1928.3097195820974</v>
      </c>
      <c r="AE441" s="408">
        <v>106857.44364129895</v>
      </c>
      <c r="AF441" s="408">
        <v>18048.594901337423</v>
      </c>
      <c r="AG441" s="408">
        <v>308.03883596202871</v>
      </c>
      <c r="AH441" s="408">
        <v>0</v>
      </c>
      <c r="AI441" s="408">
        <v>0</v>
      </c>
      <c r="AJ441" s="408">
        <v>0</v>
      </c>
      <c r="AK441" s="408">
        <v>0</v>
      </c>
      <c r="AL441" s="408">
        <v>1007.5388120642912</v>
      </c>
      <c r="AM441" s="408"/>
      <c r="AN441" s="408">
        <v>84.851029889121989</v>
      </c>
      <c r="AO441" s="408">
        <v>4260.5778763228309</v>
      </c>
      <c r="AP441" s="408">
        <v>19866.336896472218</v>
      </c>
      <c r="AQ441" s="408">
        <v>0</v>
      </c>
      <c r="AR441" s="408">
        <v>0</v>
      </c>
      <c r="AS441" s="408">
        <v>0</v>
      </c>
      <c r="AT441" s="408">
        <v>0</v>
      </c>
      <c r="AU441" s="408">
        <v>0</v>
      </c>
      <c r="AV441" s="408">
        <v>0</v>
      </c>
      <c r="AW441" s="408">
        <v>0</v>
      </c>
      <c r="AX441" s="408">
        <v>0</v>
      </c>
      <c r="AY441" s="408">
        <v>0</v>
      </c>
      <c r="AZ441" s="408">
        <v>0</v>
      </c>
      <c r="BA441" s="408"/>
      <c r="BB441" s="408">
        <v>0</v>
      </c>
      <c r="BC441" s="408">
        <v>0</v>
      </c>
      <c r="BD441" s="408">
        <v>0</v>
      </c>
      <c r="BE441" s="408">
        <v>0</v>
      </c>
      <c r="BF441" s="408">
        <v>0</v>
      </c>
      <c r="BG441" s="408">
        <v>792.40853690889048</v>
      </c>
      <c r="BH441" s="408">
        <v>0</v>
      </c>
      <c r="BI441" s="408">
        <v>0</v>
      </c>
      <c r="BJ441" s="408">
        <v>0</v>
      </c>
      <c r="BK441" s="408">
        <v>0</v>
      </c>
      <c r="BL441" s="408">
        <v>0</v>
      </c>
      <c r="BM441" s="408"/>
      <c r="BN441" s="408"/>
      <c r="BO441" s="408"/>
      <c r="BP441" s="408"/>
      <c r="BQ441" s="408"/>
      <c r="BR441" s="408"/>
      <c r="BS441" s="408"/>
      <c r="BT441" s="408"/>
      <c r="BU441" s="408"/>
      <c r="BV441" s="408">
        <v>18841.003438246313</v>
      </c>
      <c r="BW441" s="408"/>
      <c r="BX441" s="408"/>
      <c r="BY441" s="408"/>
      <c r="BZ441" s="408"/>
      <c r="CA441" s="408"/>
      <c r="CB441" s="408"/>
      <c r="CC441" s="408"/>
      <c r="CD441" s="408"/>
      <c r="CE441" s="408"/>
      <c r="CF441" s="408"/>
      <c r="CG441" s="408"/>
      <c r="CH441" s="408"/>
      <c r="CI441" s="408">
        <v>142295.80319999999</v>
      </c>
      <c r="CJ441" s="408">
        <v>-19987.495960000029</v>
      </c>
      <c r="CK441" s="408"/>
      <c r="CL441" s="408"/>
      <c r="CM441" s="408"/>
      <c r="CN441" s="408"/>
      <c r="CO441" s="408">
        <v>-22280.427679999997</v>
      </c>
      <c r="CP441" s="408">
        <v>2287.5900400000005</v>
      </c>
      <c r="CQ441" s="408">
        <v>31</v>
      </c>
      <c r="CR441" s="408">
        <v>6551.9705620221066</v>
      </c>
      <c r="CS441" s="408">
        <v>424.55747863480337</v>
      </c>
      <c r="CT441" s="408">
        <v>1979.6380085782039</v>
      </c>
      <c r="CU441" s="408">
        <v>0</v>
      </c>
      <c r="CV441" s="408">
        <v>0</v>
      </c>
      <c r="CW441" s="408">
        <v>0</v>
      </c>
      <c r="CX441" s="408">
        <v>0</v>
      </c>
      <c r="CY441" s="408">
        <v>0</v>
      </c>
      <c r="CZ441" s="408">
        <v>1985.5200907241083</v>
      </c>
      <c r="DA441" s="408">
        <v>0</v>
      </c>
      <c r="DB441" s="408">
        <v>0</v>
      </c>
      <c r="DC441" s="408">
        <v>2287.3317578557726</v>
      </c>
      <c r="DD441" s="408">
        <v>0</v>
      </c>
      <c r="DE441" s="408">
        <v>0</v>
      </c>
      <c r="DF441" s="408">
        <v>0</v>
      </c>
      <c r="DG441" s="408">
        <v>100.42339703316236</v>
      </c>
      <c r="DH441" s="408">
        <v>0</v>
      </c>
      <c r="DI441" s="408">
        <v>-192.64870233264628</v>
      </c>
      <c r="DJ441" s="408"/>
      <c r="DK441" s="408">
        <v>0</v>
      </c>
      <c r="DL441" s="408">
        <v>0</v>
      </c>
      <c r="DM441" s="408">
        <v>0</v>
      </c>
      <c r="DN441" s="408">
        <v>0</v>
      </c>
      <c r="DO441" s="408">
        <v>-30.450911509536695</v>
      </c>
      <c r="DP441" s="408">
        <v>-2.4005569617505103</v>
      </c>
      <c r="DQ441" s="408">
        <v>0</v>
      </c>
      <c r="DR441" s="408">
        <v>0</v>
      </c>
      <c r="DS441" s="408"/>
      <c r="DT441" s="408"/>
      <c r="DU441" s="408"/>
      <c r="DV441" s="408">
        <v>106857.44364129895</v>
      </c>
      <c r="DW441" s="408">
        <v>0</v>
      </c>
      <c r="DX441" s="408">
        <v>0</v>
      </c>
      <c r="DY441" s="408">
        <v>-22280.427679999993</v>
      </c>
      <c r="DZ441" s="408">
        <v>2287.5900399999991</v>
      </c>
      <c r="EA441" s="408">
        <v>0</v>
      </c>
      <c r="EB441" s="408">
        <v>0</v>
      </c>
      <c r="EC441" s="408">
        <v>-26545.201576952561</v>
      </c>
      <c r="ED441" s="408">
        <v>0</v>
      </c>
      <c r="EE441" s="408">
        <v>0</v>
      </c>
      <c r="EF441" s="408">
        <v>0</v>
      </c>
      <c r="EG441" s="408">
        <v>0</v>
      </c>
      <c r="EH441" s="408">
        <v>0</v>
      </c>
      <c r="EI441" s="408">
        <v>0</v>
      </c>
      <c r="EJ441" s="408">
        <v>0</v>
      </c>
      <c r="EK441" s="408">
        <v>0</v>
      </c>
      <c r="EL441" s="408">
        <v>0</v>
      </c>
      <c r="EM441" s="408">
        <v>0</v>
      </c>
      <c r="EN441" s="408">
        <v>0</v>
      </c>
      <c r="EO441" s="408">
        <v>0</v>
      </c>
      <c r="EP441" s="408">
        <v>1448.8700673774401</v>
      </c>
      <c r="EQ441" s="408">
        <v>0</v>
      </c>
      <c r="ER441" s="408">
        <v>0</v>
      </c>
      <c r="ES441" s="408">
        <v>0</v>
      </c>
      <c r="ET441" s="408">
        <v>0</v>
      </c>
      <c r="EU441" s="408">
        <v>0</v>
      </c>
      <c r="EV441" s="408">
        <v>240</v>
      </c>
      <c r="EW441" s="408">
        <v>0</v>
      </c>
      <c r="EX441" s="408">
        <v>0</v>
      </c>
      <c r="EY441" s="408">
        <v>0</v>
      </c>
      <c r="EZ441" s="408"/>
      <c r="FA441" s="408">
        <v>0</v>
      </c>
      <c r="FB441" s="408"/>
      <c r="FC441" s="408"/>
      <c r="FD441" s="408"/>
      <c r="FE441" s="408"/>
      <c r="FF441" s="408">
        <v>0</v>
      </c>
      <c r="FG441" s="408">
        <v>0</v>
      </c>
      <c r="FH441" s="408">
        <v>0</v>
      </c>
      <c r="FI441" s="408">
        <v>0</v>
      </c>
    </row>
    <row r="442" spans="1:165">
      <c r="A442" s="408">
        <v>440</v>
      </c>
      <c r="B442" s="408" t="s">
        <v>2238</v>
      </c>
      <c r="C442" s="408" t="s">
        <v>2243</v>
      </c>
      <c r="D442" s="408" t="s">
        <v>597</v>
      </c>
      <c r="E442" s="408" t="s">
        <v>998</v>
      </c>
      <c r="F442" s="408" t="s">
        <v>1322</v>
      </c>
      <c r="G442" s="408" t="s">
        <v>1322</v>
      </c>
      <c r="H442" s="408" t="s">
        <v>1322</v>
      </c>
      <c r="I442" s="408" t="s">
        <v>973</v>
      </c>
      <c r="J442" s="408" t="s">
        <v>2236</v>
      </c>
      <c r="K442" s="826">
        <v>44562</v>
      </c>
      <c r="L442" s="408">
        <v>0</v>
      </c>
      <c r="M442" s="408">
        <v>0</v>
      </c>
      <c r="N442" s="408">
        <v>8.51</v>
      </c>
      <c r="O442" s="408">
        <v>8.51</v>
      </c>
      <c r="P442" s="408">
        <v>8.51</v>
      </c>
      <c r="Q442" s="408">
        <v>8.51</v>
      </c>
      <c r="R442" s="408"/>
      <c r="S442" s="408">
        <v>1358.36</v>
      </c>
      <c r="T442" s="408">
        <v>173.25</v>
      </c>
      <c r="U442" s="408"/>
      <c r="V442" s="408">
        <v>13034.001099999999</v>
      </c>
      <c r="W442" s="408">
        <v>13034.001099999999</v>
      </c>
      <c r="X442" s="408">
        <v>11428.2492</v>
      </c>
      <c r="Y442" s="408">
        <v>0</v>
      </c>
      <c r="Z442" s="408">
        <v>455.66207285317824</v>
      </c>
      <c r="AA442" s="408">
        <v>0</v>
      </c>
      <c r="AB442" s="408">
        <v>0</v>
      </c>
      <c r="AC442" s="408">
        <v>161.19717173542242</v>
      </c>
      <c r="AD442" s="408">
        <v>154.87481325874558</v>
      </c>
      <c r="AE442" s="408">
        <v>8582.4006699710626</v>
      </c>
      <c r="AF442" s="408">
        <v>1449.5974046810136</v>
      </c>
      <c r="AG442" s="408">
        <v>24.740557344906041</v>
      </c>
      <c r="AH442" s="408">
        <v>0</v>
      </c>
      <c r="AI442" s="408">
        <v>0</v>
      </c>
      <c r="AJ442" s="408">
        <v>0</v>
      </c>
      <c r="AK442" s="408">
        <v>0</v>
      </c>
      <c r="AL442" s="408">
        <v>80.921847660039234</v>
      </c>
      <c r="AM442" s="408"/>
      <c r="AN442" s="408">
        <v>6.8149256706220322</v>
      </c>
      <c r="AO442" s="408">
        <v>342.19409686574892</v>
      </c>
      <c r="AP442" s="408">
        <v>1595.5918210292816</v>
      </c>
      <c r="AQ442" s="408">
        <v>0</v>
      </c>
      <c r="AR442" s="408">
        <v>0</v>
      </c>
      <c r="AS442" s="408">
        <v>0</v>
      </c>
      <c r="AT442" s="408">
        <v>0</v>
      </c>
      <c r="AU442" s="408">
        <v>0</v>
      </c>
      <c r="AV442" s="408">
        <v>0</v>
      </c>
      <c r="AW442" s="408">
        <v>0</v>
      </c>
      <c r="AX442" s="408">
        <v>0</v>
      </c>
      <c r="AY442" s="408">
        <v>0</v>
      </c>
      <c r="AZ442" s="408">
        <v>0</v>
      </c>
      <c r="BA442" s="408"/>
      <c r="BB442" s="408">
        <v>0</v>
      </c>
      <c r="BC442" s="408">
        <v>0</v>
      </c>
      <c r="BD442" s="408">
        <v>0</v>
      </c>
      <c r="BE442" s="408">
        <v>0</v>
      </c>
      <c r="BF442" s="408">
        <v>0</v>
      </c>
      <c r="BG442" s="408">
        <v>63.64336752137357</v>
      </c>
      <c r="BH442" s="408">
        <v>0</v>
      </c>
      <c r="BI442" s="408">
        <v>0</v>
      </c>
      <c r="BJ442" s="408">
        <v>0</v>
      </c>
      <c r="BK442" s="408">
        <v>0</v>
      </c>
      <c r="BL442" s="408">
        <v>0</v>
      </c>
      <c r="BM442" s="408"/>
      <c r="BN442" s="408"/>
      <c r="BO442" s="408"/>
      <c r="BP442" s="408"/>
      <c r="BQ442" s="408"/>
      <c r="BR442" s="408"/>
      <c r="BS442" s="408"/>
      <c r="BT442" s="408"/>
      <c r="BU442" s="408"/>
      <c r="BV442" s="408">
        <v>1513.2407722023872</v>
      </c>
      <c r="BW442" s="408"/>
      <c r="BX442" s="408"/>
      <c r="BY442" s="408"/>
      <c r="BZ442" s="408"/>
      <c r="CA442" s="408"/>
      <c r="CB442" s="408"/>
      <c r="CC442" s="408"/>
      <c r="CD442" s="408"/>
      <c r="CE442" s="408"/>
      <c r="CF442" s="408"/>
      <c r="CG442" s="408"/>
      <c r="CH442" s="408"/>
      <c r="CI442" s="408">
        <v>11428.2492</v>
      </c>
      <c r="CJ442" s="408">
        <v>-1605.7819</v>
      </c>
      <c r="CK442" s="408"/>
      <c r="CL442" s="408"/>
      <c r="CM442" s="408"/>
      <c r="CN442" s="408"/>
      <c r="CO442" s="408">
        <v>-1789.4827999999998</v>
      </c>
      <c r="CP442" s="408">
        <v>183.73090000000002</v>
      </c>
      <c r="CQ442" s="408">
        <v>31</v>
      </c>
      <c r="CR442" s="408">
        <v>526.23041151806683</v>
      </c>
      <c r="CS442" s="408">
        <v>34.098910332422577</v>
      </c>
      <c r="CT442" s="408">
        <v>158.99731447960016</v>
      </c>
      <c r="CU442" s="408">
        <v>0</v>
      </c>
      <c r="CV442" s="408">
        <v>0</v>
      </c>
      <c r="CW442" s="408">
        <v>0</v>
      </c>
      <c r="CX442" s="408">
        <v>0</v>
      </c>
      <c r="CY442" s="408">
        <v>0</v>
      </c>
      <c r="CZ442" s="408">
        <v>159.46974189344786</v>
      </c>
      <c r="DA442" s="408">
        <v>0</v>
      </c>
      <c r="DB442" s="408">
        <v>0</v>
      </c>
      <c r="DC442" s="408">
        <v>183.71015571890803</v>
      </c>
      <c r="DD442" s="408">
        <v>0</v>
      </c>
      <c r="DE442" s="408">
        <v>0</v>
      </c>
      <c r="DF442" s="408">
        <v>0</v>
      </c>
      <c r="DG442" s="408">
        <v>8.0656414809185932</v>
      </c>
      <c r="DH442" s="408">
        <v>0</v>
      </c>
      <c r="DI442" s="408">
        <v>-15.472842093423935</v>
      </c>
      <c r="DJ442" s="408"/>
      <c r="DK442" s="408">
        <v>0</v>
      </c>
      <c r="DL442" s="408">
        <v>0</v>
      </c>
      <c r="DM442" s="408">
        <v>0</v>
      </c>
      <c r="DN442" s="408">
        <v>0</v>
      </c>
      <c r="DO442" s="408">
        <v>-2.4457063021080074</v>
      </c>
      <c r="DP442" s="408">
        <v>-0.19280399169935514</v>
      </c>
      <c r="DQ442" s="408">
        <v>0</v>
      </c>
      <c r="DR442" s="408">
        <v>0</v>
      </c>
      <c r="DS442" s="408"/>
      <c r="DT442" s="408"/>
      <c r="DU442" s="408"/>
      <c r="DV442" s="408">
        <v>8582.4006699710626</v>
      </c>
      <c r="DW442" s="408">
        <v>0</v>
      </c>
      <c r="DX442" s="408">
        <v>0</v>
      </c>
      <c r="DY442" s="408">
        <v>-1789.4827999999998</v>
      </c>
      <c r="DZ442" s="408">
        <v>183.73090000000002</v>
      </c>
      <c r="EA442" s="408">
        <v>0</v>
      </c>
      <c r="EB442" s="408">
        <v>0</v>
      </c>
      <c r="EC442" s="408">
        <v>-2132.0139059597022</v>
      </c>
      <c r="ED442" s="408">
        <v>0</v>
      </c>
      <c r="EE442" s="408">
        <v>0</v>
      </c>
      <c r="EF442" s="408">
        <v>0</v>
      </c>
      <c r="EG442" s="408">
        <v>0</v>
      </c>
      <c r="EH442" s="408">
        <v>0</v>
      </c>
      <c r="EI442" s="408">
        <v>0</v>
      </c>
      <c r="EJ442" s="408">
        <v>0</v>
      </c>
      <c r="EK442" s="408">
        <v>0</v>
      </c>
      <c r="EL442" s="408">
        <v>0</v>
      </c>
      <c r="EM442" s="408">
        <v>0</v>
      </c>
      <c r="EN442" s="408">
        <v>0</v>
      </c>
      <c r="EO442" s="408">
        <v>0</v>
      </c>
      <c r="EP442" s="408">
        <v>116.36796664070006</v>
      </c>
      <c r="EQ442" s="408">
        <v>0</v>
      </c>
      <c r="ER442" s="408">
        <v>0</v>
      </c>
      <c r="ES442" s="408">
        <v>0</v>
      </c>
      <c r="ET442" s="408">
        <v>0</v>
      </c>
      <c r="EU442" s="408">
        <v>0</v>
      </c>
      <c r="EV442" s="408">
        <v>240</v>
      </c>
      <c r="EW442" s="408">
        <v>0</v>
      </c>
      <c r="EX442" s="408">
        <v>0</v>
      </c>
      <c r="EY442" s="408">
        <v>0</v>
      </c>
      <c r="EZ442" s="408"/>
      <c r="FA442" s="408">
        <v>0</v>
      </c>
      <c r="FB442" s="408"/>
      <c r="FC442" s="408"/>
      <c r="FD442" s="408"/>
      <c r="FE442" s="408"/>
      <c r="FF442" s="408">
        <v>0</v>
      </c>
      <c r="FG442" s="408">
        <v>0</v>
      </c>
      <c r="FH442" s="408">
        <v>0</v>
      </c>
      <c r="FI442" s="408">
        <v>0</v>
      </c>
    </row>
    <row r="443" spans="1:165">
      <c r="A443" s="408">
        <v>441</v>
      </c>
      <c r="B443" s="408" t="s">
        <v>1036</v>
      </c>
      <c r="C443" s="408" t="s">
        <v>2243</v>
      </c>
      <c r="D443" s="408" t="s">
        <v>597</v>
      </c>
      <c r="E443" s="408" t="s">
        <v>998</v>
      </c>
      <c r="F443" s="408" t="s">
        <v>1322</v>
      </c>
      <c r="G443" s="408" t="s">
        <v>1322</v>
      </c>
      <c r="H443" s="408" t="s">
        <v>1322</v>
      </c>
      <c r="I443" s="408" t="s">
        <v>2244</v>
      </c>
      <c r="J443" s="408" t="s">
        <v>2236</v>
      </c>
      <c r="K443" s="826">
        <v>44562</v>
      </c>
      <c r="L443" s="408">
        <v>0</v>
      </c>
      <c r="M443" s="408">
        <v>0</v>
      </c>
      <c r="N443" s="408">
        <v>1193.3150000000001</v>
      </c>
      <c r="O443" s="408">
        <v>1193.3150000000001</v>
      </c>
      <c r="P443" s="408">
        <v>1193.3150000000001</v>
      </c>
      <c r="Q443" s="408">
        <v>1193.3150000000001</v>
      </c>
      <c r="R443" s="408"/>
      <c r="S443" s="408">
        <v>85.01</v>
      </c>
      <c r="T443" s="408">
        <v>173.25</v>
      </c>
      <c r="U443" s="408"/>
      <c r="V443" s="408">
        <v>308185.5319</v>
      </c>
      <c r="W443" s="408">
        <v>308185.5319</v>
      </c>
      <c r="X443" s="408">
        <v>332541.09104999999</v>
      </c>
      <c r="Y443" s="408">
        <v>0</v>
      </c>
      <c r="Z443" s="408">
        <v>63895.227551914264</v>
      </c>
      <c r="AA443" s="408">
        <v>0</v>
      </c>
      <c r="AB443" s="408">
        <v>0</v>
      </c>
      <c r="AC443" s="408">
        <v>0</v>
      </c>
      <c r="AD443" s="408">
        <v>0</v>
      </c>
      <c r="AE443" s="408">
        <v>0</v>
      </c>
      <c r="AF443" s="408">
        <v>203269.83865651279</v>
      </c>
      <c r="AG443" s="408">
        <v>3469.2453804978322</v>
      </c>
      <c r="AH443" s="408">
        <v>0</v>
      </c>
      <c r="AI443" s="408">
        <v>0</v>
      </c>
      <c r="AJ443" s="408">
        <v>0</v>
      </c>
      <c r="AK443" s="408">
        <v>0</v>
      </c>
      <c r="AL443" s="408">
        <v>11347.268465386573</v>
      </c>
      <c r="AM443" s="408"/>
      <c r="AN443" s="408">
        <v>955.62315236643133</v>
      </c>
      <c r="AO443" s="408">
        <v>0</v>
      </c>
      <c r="AP443" s="408">
        <v>0</v>
      </c>
      <c r="AQ443" s="408">
        <v>0</v>
      </c>
      <c r="AR443" s="408">
        <v>0</v>
      </c>
      <c r="AS443" s="408">
        <v>0</v>
      </c>
      <c r="AT443" s="408">
        <v>0</v>
      </c>
      <c r="AU443" s="408">
        <v>0</v>
      </c>
      <c r="AV443" s="408">
        <v>0</v>
      </c>
      <c r="AW443" s="408">
        <v>0</v>
      </c>
      <c r="AX443" s="408">
        <v>0</v>
      </c>
      <c r="AY443" s="408">
        <v>0</v>
      </c>
      <c r="AZ443" s="408">
        <v>0</v>
      </c>
      <c r="BA443" s="408"/>
      <c r="BB443" s="408">
        <v>0</v>
      </c>
      <c r="BC443" s="408">
        <v>0</v>
      </c>
      <c r="BD443" s="408">
        <v>0</v>
      </c>
      <c r="BE443" s="408">
        <v>0</v>
      </c>
      <c r="BF443" s="408">
        <v>0</v>
      </c>
      <c r="BG443" s="408">
        <v>8924.3930803487547</v>
      </c>
      <c r="BH443" s="408">
        <v>0</v>
      </c>
      <c r="BI443" s="408">
        <v>0</v>
      </c>
      <c r="BJ443" s="408">
        <v>0</v>
      </c>
      <c r="BK443" s="408">
        <v>0</v>
      </c>
      <c r="BL443" s="408">
        <v>0</v>
      </c>
      <c r="BM443" s="408"/>
      <c r="BN443" s="408"/>
      <c r="BO443" s="408"/>
      <c r="BP443" s="408"/>
      <c r="BQ443" s="408"/>
      <c r="BR443" s="408"/>
      <c r="BS443" s="408"/>
      <c r="BT443" s="408"/>
      <c r="BU443" s="408"/>
      <c r="BV443" s="408">
        <v>212194.23173686155</v>
      </c>
      <c r="BW443" s="408"/>
      <c r="BX443" s="408"/>
      <c r="BY443" s="408"/>
      <c r="BZ443" s="408"/>
      <c r="CA443" s="408"/>
      <c r="CB443" s="408"/>
      <c r="CC443" s="408"/>
      <c r="CD443" s="408"/>
      <c r="CE443" s="408"/>
      <c r="CF443" s="408"/>
      <c r="CG443" s="408"/>
      <c r="CH443" s="408"/>
      <c r="CI443" s="408">
        <v>332542.48440000002</v>
      </c>
      <c r="CJ443" s="408">
        <v>24356.922499999986</v>
      </c>
      <c r="CK443" s="408"/>
      <c r="CL443" s="408"/>
      <c r="CM443" s="408"/>
      <c r="CN443" s="408"/>
      <c r="CO443" s="408">
        <v>-1408.1117000000081</v>
      </c>
      <c r="CP443" s="408">
        <v>25763.670850000006</v>
      </c>
      <c r="CQ443" s="408">
        <v>31</v>
      </c>
      <c r="CR443" s="408">
        <v>24352.101875621884</v>
      </c>
      <c r="CS443" s="408">
        <v>0</v>
      </c>
      <c r="CT443" s="408">
        <v>0</v>
      </c>
      <c r="CU443" s="408">
        <v>0</v>
      </c>
      <c r="CV443" s="408">
        <v>0</v>
      </c>
      <c r="CW443" s="408">
        <v>0</v>
      </c>
      <c r="CX443" s="408">
        <v>0</v>
      </c>
      <c r="CY443" s="408">
        <v>0</v>
      </c>
      <c r="CZ443" s="408">
        <v>0</v>
      </c>
      <c r="DA443" s="408">
        <v>0</v>
      </c>
      <c r="DB443" s="408">
        <v>0</v>
      </c>
      <c r="DC443" s="408">
        <v>25760.761982574448</v>
      </c>
      <c r="DD443" s="408">
        <v>0</v>
      </c>
      <c r="DE443" s="408">
        <v>0</v>
      </c>
      <c r="DF443" s="408">
        <v>0</v>
      </c>
      <c r="DG443" s="408">
        <v>1131.0048136078003</v>
      </c>
      <c r="DH443" s="408">
        <v>0</v>
      </c>
      <c r="DI443" s="408">
        <v>-2169.6797370991917</v>
      </c>
      <c r="DJ443" s="408"/>
      <c r="DK443" s="408">
        <v>0</v>
      </c>
      <c r="DL443" s="408">
        <v>0</v>
      </c>
      <c r="DM443" s="408">
        <v>0</v>
      </c>
      <c r="DN443" s="408">
        <v>0</v>
      </c>
      <c r="DO443" s="408">
        <v>-342.94923806110819</v>
      </c>
      <c r="DP443" s="408">
        <v>-27.035945400084074</v>
      </c>
      <c r="DQ443" s="408">
        <v>0</v>
      </c>
      <c r="DR443" s="408">
        <v>0</v>
      </c>
      <c r="DS443" s="408"/>
      <c r="DT443" s="408"/>
      <c r="DU443" s="408"/>
      <c r="DV443" s="408">
        <v>0</v>
      </c>
      <c r="DW443" s="408">
        <v>0</v>
      </c>
      <c r="DX443" s="408">
        <v>0</v>
      </c>
      <c r="DY443" s="408">
        <v>-1408.1117000000086</v>
      </c>
      <c r="DZ443" s="408">
        <v>25763.670849999995</v>
      </c>
      <c r="EA443" s="408">
        <v>0</v>
      </c>
      <c r="EB443" s="408">
        <v>0</v>
      </c>
      <c r="EC443" s="408">
        <v>0</v>
      </c>
      <c r="ED443" s="408">
        <v>0</v>
      </c>
      <c r="EE443" s="408">
        <v>0</v>
      </c>
      <c r="EF443" s="408">
        <v>0</v>
      </c>
      <c r="EG443" s="408">
        <v>0</v>
      </c>
      <c r="EH443" s="408">
        <v>0</v>
      </c>
      <c r="EI443" s="408">
        <v>0</v>
      </c>
      <c r="EJ443" s="408">
        <v>0</v>
      </c>
      <c r="EK443" s="408">
        <v>0</v>
      </c>
      <c r="EL443" s="408">
        <v>0</v>
      </c>
      <c r="EM443" s="408">
        <v>0</v>
      </c>
      <c r="EN443" s="408">
        <v>0</v>
      </c>
      <c r="EO443" s="408">
        <v>0</v>
      </c>
      <c r="EP443" s="408">
        <v>16317.70154075758</v>
      </c>
      <c r="EQ443" s="408">
        <v>0</v>
      </c>
      <c r="ER443" s="408">
        <v>0</v>
      </c>
      <c r="ES443" s="408">
        <v>0</v>
      </c>
      <c r="ET443" s="408">
        <v>0</v>
      </c>
      <c r="EU443" s="408">
        <v>0</v>
      </c>
      <c r="EV443" s="408">
        <v>240</v>
      </c>
      <c r="EW443" s="408">
        <v>0</v>
      </c>
      <c r="EX443" s="408">
        <v>0</v>
      </c>
      <c r="EY443" s="408">
        <v>0</v>
      </c>
      <c r="EZ443" s="408"/>
      <c r="FA443" s="408">
        <v>0</v>
      </c>
      <c r="FB443" s="408"/>
      <c r="FC443" s="408"/>
      <c r="FD443" s="408"/>
      <c r="FE443" s="408"/>
      <c r="FF443" s="408">
        <v>0</v>
      </c>
      <c r="FG443" s="408">
        <v>0</v>
      </c>
      <c r="FH443" s="408">
        <v>0</v>
      </c>
      <c r="FI443" s="408">
        <v>0</v>
      </c>
    </row>
    <row r="444" spans="1:165">
      <c r="A444" s="408">
        <v>442</v>
      </c>
      <c r="B444" s="408" t="s">
        <v>2238</v>
      </c>
      <c r="C444" s="408" t="s">
        <v>2243</v>
      </c>
      <c r="D444" s="408" t="s">
        <v>597</v>
      </c>
      <c r="E444" s="408" t="s">
        <v>998</v>
      </c>
      <c r="F444" s="408" t="s">
        <v>1322</v>
      </c>
      <c r="G444" s="408" t="s">
        <v>1322</v>
      </c>
      <c r="H444" s="408" t="s">
        <v>1322</v>
      </c>
      <c r="I444" s="408" t="s">
        <v>2244</v>
      </c>
      <c r="J444" s="408" t="s">
        <v>2236</v>
      </c>
      <c r="K444" s="826">
        <v>44562</v>
      </c>
      <c r="L444" s="408">
        <v>0</v>
      </c>
      <c r="M444" s="408">
        <v>0</v>
      </c>
      <c r="N444" s="408">
        <v>35.86</v>
      </c>
      <c r="O444" s="408">
        <v>35.86</v>
      </c>
      <c r="P444" s="408">
        <v>35.86</v>
      </c>
      <c r="Q444" s="408">
        <v>35.86</v>
      </c>
      <c r="R444" s="408"/>
      <c r="S444" s="408">
        <v>85.01</v>
      </c>
      <c r="T444" s="408">
        <v>173.25</v>
      </c>
      <c r="U444" s="408"/>
      <c r="V444" s="408">
        <v>9261.2036000000007</v>
      </c>
      <c r="W444" s="408">
        <v>9261.2036000000007</v>
      </c>
      <c r="X444" s="408">
        <v>9993.1062000000002</v>
      </c>
      <c r="Y444" s="408">
        <v>0</v>
      </c>
      <c r="Z444" s="408">
        <v>1920.0989344905959</v>
      </c>
      <c r="AA444" s="408">
        <v>0</v>
      </c>
      <c r="AB444" s="408">
        <v>0</v>
      </c>
      <c r="AC444" s="408">
        <v>0</v>
      </c>
      <c r="AD444" s="408">
        <v>0</v>
      </c>
      <c r="AE444" s="408">
        <v>0</v>
      </c>
      <c r="AF444" s="408">
        <v>6108.409275189324</v>
      </c>
      <c r="AG444" s="408">
        <v>104.25339440520924</v>
      </c>
      <c r="AH444" s="408">
        <v>0</v>
      </c>
      <c r="AI444" s="408">
        <v>0</v>
      </c>
      <c r="AJ444" s="408">
        <v>0</v>
      </c>
      <c r="AK444" s="408">
        <v>0</v>
      </c>
      <c r="AL444" s="408">
        <v>340.99382574488919</v>
      </c>
      <c r="AM444" s="408"/>
      <c r="AN444" s="408">
        <v>28.717183848238083</v>
      </c>
      <c r="AO444" s="408">
        <v>0</v>
      </c>
      <c r="AP444" s="408">
        <v>0</v>
      </c>
      <c r="AQ444" s="408">
        <v>0</v>
      </c>
      <c r="AR444" s="408">
        <v>0</v>
      </c>
      <c r="AS444" s="408">
        <v>0</v>
      </c>
      <c r="AT444" s="408">
        <v>0</v>
      </c>
      <c r="AU444" s="408">
        <v>0</v>
      </c>
      <c r="AV444" s="408">
        <v>0</v>
      </c>
      <c r="AW444" s="408">
        <v>0</v>
      </c>
      <c r="AX444" s="408">
        <v>0</v>
      </c>
      <c r="AY444" s="408">
        <v>0</v>
      </c>
      <c r="AZ444" s="408">
        <v>0</v>
      </c>
      <c r="BA444" s="408"/>
      <c r="BB444" s="408">
        <v>0</v>
      </c>
      <c r="BC444" s="408">
        <v>0</v>
      </c>
      <c r="BD444" s="408">
        <v>0</v>
      </c>
      <c r="BE444" s="408">
        <v>0</v>
      </c>
      <c r="BF444" s="408">
        <v>0</v>
      </c>
      <c r="BG444" s="408">
        <v>268.18462506656357</v>
      </c>
      <c r="BH444" s="408">
        <v>0</v>
      </c>
      <c r="BI444" s="408">
        <v>0</v>
      </c>
      <c r="BJ444" s="408">
        <v>0</v>
      </c>
      <c r="BK444" s="408">
        <v>0</v>
      </c>
      <c r="BL444" s="408">
        <v>0</v>
      </c>
      <c r="BM444" s="408"/>
      <c r="BN444" s="408"/>
      <c r="BO444" s="408"/>
      <c r="BP444" s="408"/>
      <c r="BQ444" s="408"/>
      <c r="BR444" s="408"/>
      <c r="BS444" s="408"/>
      <c r="BT444" s="408"/>
      <c r="BU444" s="408"/>
      <c r="BV444" s="408">
        <v>6376.593900255888</v>
      </c>
      <c r="BW444" s="408"/>
      <c r="BX444" s="408"/>
      <c r="BY444" s="408"/>
      <c r="BZ444" s="408"/>
      <c r="CA444" s="408"/>
      <c r="CB444" s="408"/>
      <c r="CC444" s="408"/>
      <c r="CD444" s="408"/>
      <c r="CE444" s="408"/>
      <c r="CF444" s="408"/>
      <c r="CG444" s="408"/>
      <c r="CH444" s="408"/>
      <c r="CI444" s="408">
        <v>9993.1062000000002</v>
      </c>
      <c r="CJ444" s="408">
        <v>731.87259999999878</v>
      </c>
      <c r="CK444" s="408"/>
      <c r="CL444" s="408"/>
      <c r="CM444" s="408"/>
      <c r="CN444" s="408"/>
      <c r="CO444" s="408">
        <v>-42.314800000000247</v>
      </c>
      <c r="CP444" s="408">
        <v>774.21740000000011</v>
      </c>
      <c r="CQ444" s="408">
        <v>31</v>
      </c>
      <c r="CR444" s="408">
        <v>731.79870634308827</v>
      </c>
      <c r="CS444" s="408">
        <v>0</v>
      </c>
      <c r="CT444" s="408">
        <v>0</v>
      </c>
      <c r="CU444" s="408">
        <v>0</v>
      </c>
      <c r="CV444" s="408">
        <v>0</v>
      </c>
      <c r="CW444" s="408">
        <v>0</v>
      </c>
      <c r="CX444" s="408">
        <v>0</v>
      </c>
      <c r="CY444" s="408">
        <v>0</v>
      </c>
      <c r="CZ444" s="408">
        <v>0</v>
      </c>
      <c r="DA444" s="408">
        <v>0</v>
      </c>
      <c r="DB444" s="408">
        <v>0</v>
      </c>
      <c r="DC444" s="408">
        <v>774.12998637838336</v>
      </c>
      <c r="DD444" s="408">
        <v>0</v>
      </c>
      <c r="DE444" s="408">
        <v>0</v>
      </c>
      <c r="DF444" s="408">
        <v>0</v>
      </c>
      <c r="DG444" s="408">
        <v>33.987532726879124</v>
      </c>
      <c r="DH444" s="408">
        <v>0</v>
      </c>
      <c r="DI444" s="408">
        <v>-65.200483839034177</v>
      </c>
      <c r="DJ444" s="408"/>
      <c r="DK444" s="408">
        <v>0</v>
      </c>
      <c r="DL444" s="408">
        <v>0</v>
      </c>
      <c r="DM444" s="408">
        <v>0</v>
      </c>
      <c r="DN444" s="408">
        <v>0</v>
      </c>
      <c r="DO444" s="408">
        <v>-10.305878730152017</v>
      </c>
      <c r="DP444" s="408">
        <v>-0.81245019298929222</v>
      </c>
      <c r="DQ444" s="408">
        <v>0</v>
      </c>
      <c r="DR444" s="408">
        <v>0</v>
      </c>
      <c r="DS444" s="408"/>
      <c r="DT444" s="408"/>
      <c r="DU444" s="408"/>
      <c r="DV444" s="408">
        <v>0</v>
      </c>
      <c r="DW444" s="408">
        <v>0</v>
      </c>
      <c r="DX444" s="408">
        <v>0</v>
      </c>
      <c r="DY444" s="408">
        <v>-42.314800000000105</v>
      </c>
      <c r="DZ444" s="408">
        <v>774.21740000000045</v>
      </c>
      <c r="EA444" s="408">
        <v>0</v>
      </c>
      <c r="EB444" s="408">
        <v>0</v>
      </c>
      <c r="EC444" s="408">
        <v>0</v>
      </c>
      <c r="ED444" s="408">
        <v>0</v>
      </c>
      <c r="EE444" s="408">
        <v>0</v>
      </c>
      <c r="EF444" s="408">
        <v>0</v>
      </c>
      <c r="EG444" s="408">
        <v>0</v>
      </c>
      <c r="EH444" s="408">
        <v>0</v>
      </c>
      <c r="EI444" s="408">
        <v>0</v>
      </c>
      <c r="EJ444" s="408">
        <v>0</v>
      </c>
      <c r="EK444" s="408">
        <v>0</v>
      </c>
      <c r="EL444" s="408">
        <v>0</v>
      </c>
      <c r="EM444" s="408">
        <v>0</v>
      </c>
      <c r="EN444" s="408">
        <v>0</v>
      </c>
      <c r="EO444" s="408">
        <v>0</v>
      </c>
      <c r="EP444" s="408">
        <v>490.35902276562916</v>
      </c>
      <c r="EQ444" s="408">
        <v>0</v>
      </c>
      <c r="ER444" s="408">
        <v>0</v>
      </c>
      <c r="ES444" s="408">
        <v>0</v>
      </c>
      <c r="ET444" s="408">
        <v>0</v>
      </c>
      <c r="EU444" s="408">
        <v>0</v>
      </c>
      <c r="EV444" s="408">
        <v>240</v>
      </c>
      <c r="EW444" s="408">
        <v>0</v>
      </c>
      <c r="EX444" s="408">
        <v>0</v>
      </c>
      <c r="EY444" s="408">
        <v>0</v>
      </c>
      <c r="EZ444" s="408"/>
      <c r="FA444" s="408">
        <v>0</v>
      </c>
      <c r="FB444" s="408"/>
      <c r="FC444" s="408"/>
      <c r="FD444" s="408"/>
      <c r="FE444" s="408"/>
      <c r="FF444" s="408">
        <v>0</v>
      </c>
      <c r="FG444" s="408">
        <v>0</v>
      </c>
      <c r="FH444" s="408">
        <v>0</v>
      </c>
      <c r="FI444" s="408">
        <v>0</v>
      </c>
    </row>
    <row r="445" spans="1:165">
      <c r="A445" s="408">
        <v>443</v>
      </c>
      <c r="B445" s="408" t="s">
        <v>1036</v>
      </c>
      <c r="C445" s="408" t="s">
        <v>2243</v>
      </c>
      <c r="D445" s="408" t="s">
        <v>597</v>
      </c>
      <c r="E445" s="408" t="s">
        <v>998</v>
      </c>
      <c r="F445" s="408" t="s">
        <v>1322</v>
      </c>
      <c r="G445" s="408" t="s">
        <v>1322</v>
      </c>
      <c r="H445" s="408" t="s">
        <v>1322</v>
      </c>
      <c r="I445" s="408" t="s">
        <v>1322</v>
      </c>
      <c r="J445" s="408" t="s">
        <v>2236</v>
      </c>
      <c r="K445" s="826">
        <v>44562</v>
      </c>
      <c r="L445" s="408">
        <v>4599</v>
      </c>
      <c r="M445" s="408">
        <v>4599</v>
      </c>
      <c r="N445" s="408">
        <v>0</v>
      </c>
      <c r="O445" s="408">
        <v>0</v>
      </c>
      <c r="P445" s="408">
        <v>0</v>
      </c>
      <c r="Q445" s="408">
        <v>0</v>
      </c>
      <c r="R445" s="408">
        <v>27.19</v>
      </c>
      <c r="S445" s="408"/>
      <c r="T445" s="408"/>
      <c r="U445" s="408">
        <v>125046.81000000001</v>
      </c>
      <c r="V445" s="408"/>
      <c r="W445" s="408">
        <v>125046.81000000001</v>
      </c>
      <c r="X445" s="408">
        <v>100074.24000000001</v>
      </c>
      <c r="Y445" s="408">
        <v>0</v>
      </c>
      <c r="Z445" s="408">
        <v>0</v>
      </c>
      <c r="AA445" s="408">
        <v>0</v>
      </c>
      <c r="AB445" s="408">
        <v>0</v>
      </c>
      <c r="AC445" s="408">
        <v>1072.4896211533669</v>
      </c>
      <c r="AD445" s="408">
        <v>1030.3362262645801</v>
      </c>
      <c r="AE445" s="408">
        <v>110063.40708829054</v>
      </c>
      <c r="AF445" s="408"/>
      <c r="AG445" s="408"/>
      <c r="AH445" s="408"/>
      <c r="AI445" s="408">
        <v>0</v>
      </c>
      <c r="AJ445" s="408">
        <v>0</v>
      </c>
      <c r="AK445" s="408">
        <v>0</v>
      </c>
      <c r="AL445" s="408">
        <v>0</v>
      </c>
      <c r="AM445" s="408"/>
      <c r="AN445" s="408">
        <v>0</v>
      </c>
      <c r="AO445" s="408">
        <v>2275.9753381850437</v>
      </c>
      <c r="AP445" s="408">
        <v>10614.900589009843</v>
      </c>
      <c r="AQ445" s="408">
        <v>0</v>
      </c>
      <c r="AR445" s="408">
        <v>0</v>
      </c>
      <c r="AS445" s="408"/>
      <c r="AT445" s="408"/>
      <c r="AU445" s="408">
        <v>0</v>
      </c>
      <c r="AV445" s="408">
        <v>0</v>
      </c>
      <c r="AW445" s="408">
        <v>0</v>
      </c>
      <c r="AX445" s="408"/>
      <c r="AY445" s="408"/>
      <c r="AZ445" s="408">
        <v>0</v>
      </c>
      <c r="BA445" s="408"/>
      <c r="BB445" s="408">
        <v>0</v>
      </c>
      <c r="BC445" s="408">
        <v>0</v>
      </c>
      <c r="BD445" s="408">
        <v>0</v>
      </c>
      <c r="BE445" s="408">
        <v>0</v>
      </c>
      <c r="BF445" s="408"/>
      <c r="BG445" s="408">
        <v>0</v>
      </c>
      <c r="BH445" s="408">
        <v>0</v>
      </c>
      <c r="BI445" s="408">
        <v>541.22</v>
      </c>
      <c r="BJ445" s="408">
        <v>4640.79</v>
      </c>
      <c r="BK445" s="408">
        <v>253075.25</v>
      </c>
      <c r="BL445" s="408">
        <v>45</v>
      </c>
      <c r="BM445" s="408"/>
      <c r="BN445" s="408"/>
      <c r="BO445" s="408"/>
      <c r="BP445" s="408"/>
      <c r="BQ445" s="408"/>
      <c r="BR445" s="408"/>
      <c r="BS445" s="408"/>
      <c r="BT445" s="408"/>
      <c r="BU445" s="408"/>
      <c r="BV445" s="408">
        <v>0</v>
      </c>
      <c r="BW445" s="408"/>
      <c r="BX445" s="408"/>
      <c r="BY445" s="408"/>
      <c r="BZ445" s="408"/>
      <c r="CA445" s="408"/>
      <c r="CB445" s="408"/>
      <c r="CC445" s="408"/>
      <c r="CD445" s="408"/>
      <c r="CE445" s="408"/>
      <c r="CF445" s="408"/>
      <c r="CG445" s="408"/>
      <c r="CH445" s="408"/>
      <c r="CI445" s="408">
        <v>100074.24000000001</v>
      </c>
      <c r="CJ445" s="408">
        <v>-24972.599999999991</v>
      </c>
      <c r="CK445" s="408"/>
      <c r="CL445" s="408"/>
      <c r="CM445" s="408"/>
      <c r="CN445" s="408"/>
      <c r="CO445" s="408">
        <v>-24972.57</v>
      </c>
      <c r="CP445" s="408">
        <v>0</v>
      </c>
      <c r="CQ445" s="408">
        <v>31</v>
      </c>
      <c r="CR445" s="408">
        <v>2345.4531571286425</v>
      </c>
      <c r="CS445" s="408">
        <v>226.79607768343703</v>
      </c>
      <c r="CT445" s="408">
        <v>1057.7521549538524</v>
      </c>
      <c r="CU445" s="408">
        <v>0</v>
      </c>
      <c r="CV445" s="408">
        <v>0</v>
      </c>
      <c r="CW445" s="408"/>
      <c r="CX445" s="408"/>
      <c r="CY445" s="408"/>
      <c r="CZ445" s="408">
        <v>1060.904924491354</v>
      </c>
      <c r="DA445" s="408">
        <v>0</v>
      </c>
      <c r="DB445" s="408">
        <v>0</v>
      </c>
      <c r="DC445" s="408"/>
      <c r="DD445" s="408"/>
      <c r="DE445" s="408">
        <v>0</v>
      </c>
      <c r="DF445" s="408">
        <v>0</v>
      </c>
      <c r="DG445" s="408">
        <v>0</v>
      </c>
      <c r="DH445" s="408">
        <v>0</v>
      </c>
      <c r="DI445" s="408">
        <v>0</v>
      </c>
      <c r="DJ445" s="408"/>
      <c r="DK445" s="408">
        <v>0</v>
      </c>
      <c r="DL445" s="408">
        <v>0</v>
      </c>
      <c r="DM445" s="408"/>
      <c r="DN445" s="408">
        <v>0</v>
      </c>
      <c r="DO445" s="408">
        <v>0</v>
      </c>
      <c r="DP445" s="408">
        <v>0</v>
      </c>
      <c r="DQ445" s="408">
        <v>0</v>
      </c>
      <c r="DR445" s="408">
        <v>0</v>
      </c>
      <c r="DS445" s="408"/>
      <c r="DT445" s="408"/>
      <c r="DU445" s="408">
        <v>110063.40708829054</v>
      </c>
      <c r="DV445" s="408"/>
      <c r="DW445" s="408">
        <v>0</v>
      </c>
      <c r="DX445" s="408">
        <v>0</v>
      </c>
      <c r="DY445" s="408">
        <v>-24972.570000000007</v>
      </c>
      <c r="DZ445" s="408"/>
      <c r="EA445" s="408">
        <v>0</v>
      </c>
      <c r="EB445" s="408"/>
      <c r="EC445" s="408">
        <v>-27341.61727855193</v>
      </c>
      <c r="ED445" s="408"/>
      <c r="EE445" s="408">
        <v>0</v>
      </c>
      <c r="EF445" s="408">
        <v>0</v>
      </c>
      <c r="EG445" s="408"/>
      <c r="EH445" s="408">
        <v>0</v>
      </c>
      <c r="EI445" s="408">
        <v>0</v>
      </c>
      <c r="EJ445" s="408">
        <v>0</v>
      </c>
      <c r="EK445" s="408">
        <v>0</v>
      </c>
      <c r="EL445" s="408">
        <v>0</v>
      </c>
      <c r="EM445" s="408"/>
      <c r="EN445" s="408"/>
      <c r="EO445" s="408">
        <v>0</v>
      </c>
      <c r="EP445" s="408">
        <v>0</v>
      </c>
      <c r="EQ445" s="408"/>
      <c r="ER445" s="408">
        <v>0</v>
      </c>
      <c r="ES445" s="408"/>
      <c r="ET445" s="408">
        <v>0</v>
      </c>
      <c r="EU445" s="408"/>
      <c r="EV445" s="408">
        <v>240</v>
      </c>
      <c r="EW445" s="408"/>
      <c r="EX445" s="408"/>
      <c r="EY445" s="408"/>
      <c r="EZ445" s="408"/>
      <c r="FA445" s="408">
        <v>0</v>
      </c>
      <c r="FB445" s="408"/>
      <c r="FC445" s="408"/>
      <c r="FD445" s="408"/>
      <c r="FE445" s="408"/>
      <c r="FF445" s="408">
        <v>0</v>
      </c>
      <c r="FG445" s="408">
        <v>0</v>
      </c>
      <c r="FH445" s="408">
        <v>0</v>
      </c>
      <c r="FI445" s="408">
        <v>0</v>
      </c>
    </row>
    <row r="446" spans="1:165">
      <c r="A446" s="408">
        <v>444</v>
      </c>
      <c r="B446" s="408" t="s">
        <v>2238</v>
      </c>
      <c r="C446" s="408" t="s">
        <v>2243</v>
      </c>
      <c r="D446" s="408" t="s">
        <v>597</v>
      </c>
      <c r="E446" s="408" t="s">
        <v>998</v>
      </c>
      <c r="F446" s="408" t="s">
        <v>1322</v>
      </c>
      <c r="G446" s="408" t="s">
        <v>1322</v>
      </c>
      <c r="H446" s="408" t="s">
        <v>1322</v>
      </c>
      <c r="I446" s="408" t="s">
        <v>1322</v>
      </c>
      <c r="J446" s="408" t="s">
        <v>2236</v>
      </c>
      <c r="K446" s="826">
        <v>44562</v>
      </c>
      <c r="L446" s="408">
        <v>845</v>
      </c>
      <c r="M446" s="408">
        <v>845</v>
      </c>
      <c r="N446" s="408">
        <v>0</v>
      </c>
      <c r="O446" s="408">
        <v>0</v>
      </c>
      <c r="P446" s="408">
        <v>0</v>
      </c>
      <c r="Q446" s="408">
        <v>0</v>
      </c>
      <c r="R446" s="408">
        <v>27.19</v>
      </c>
      <c r="S446" s="408"/>
      <c r="T446" s="408"/>
      <c r="U446" s="408">
        <v>22975.55</v>
      </c>
      <c r="V446" s="408"/>
      <c r="W446" s="408">
        <v>22975.55</v>
      </c>
      <c r="X446" s="408">
        <v>18387.2</v>
      </c>
      <c r="Y446" s="408">
        <v>0</v>
      </c>
      <c r="Z446" s="408">
        <v>0</v>
      </c>
      <c r="AA446" s="408">
        <v>0</v>
      </c>
      <c r="AB446" s="408">
        <v>0</v>
      </c>
      <c r="AC446" s="408">
        <v>197.05451834629159</v>
      </c>
      <c r="AD446" s="408">
        <v>189.30943926800828</v>
      </c>
      <c r="AE446" s="408">
        <v>20222.565555469777</v>
      </c>
      <c r="AF446" s="408"/>
      <c r="AG446" s="408"/>
      <c r="AH446" s="408"/>
      <c r="AI446" s="408">
        <v>0</v>
      </c>
      <c r="AJ446" s="408">
        <v>0</v>
      </c>
      <c r="AK446" s="408">
        <v>0</v>
      </c>
      <c r="AL446" s="408">
        <v>0</v>
      </c>
      <c r="AM446" s="408"/>
      <c r="AN446" s="408">
        <v>0</v>
      </c>
      <c r="AO446" s="408">
        <v>418.17768227144205</v>
      </c>
      <c r="AP446" s="408">
        <v>1950.335072344709</v>
      </c>
      <c r="AQ446" s="408">
        <v>0</v>
      </c>
      <c r="AR446" s="408">
        <v>0</v>
      </c>
      <c r="AS446" s="408"/>
      <c r="AT446" s="408"/>
      <c r="AU446" s="408">
        <v>0</v>
      </c>
      <c r="AV446" s="408">
        <v>0</v>
      </c>
      <c r="AW446" s="408">
        <v>0</v>
      </c>
      <c r="AX446" s="408"/>
      <c r="AY446" s="408"/>
      <c r="AZ446" s="408">
        <v>0</v>
      </c>
      <c r="BA446" s="408"/>
      <c r="BB446" s="408">
        <v>0</v>
      </c>
      <c r="BC446" s="408">
        <v>0</v>
      </c>
      <c r="BD446" s="408">
        <v>0</v>
      </c>
      <c r="BE446" s="408">
        <v>0</v>
      </c>
      <c r="BF446" s="408"/>
      <c r="BG446" s="408">
        <v>0</v>
      </c>
      <c r="BH446" s="408">
        <v>0</v>
      </c>
      <c r="BI446" s="408">
        <v>33.04</v>
      </c>
      <c r="BJ446" s="408">
        <v>283.41000000000003</v>
      </c>
      <c r="BK446" s="408">
        <v>16828.599999999999</v>
      </c>
      <c r="BL446" s="408">
        <v>6</v>
      </c>
      <c r="BM446" s="408"/>
      <c r="BN446" s="408"/>
      <c r="BO446" s="408"/>
      <c r="BP446" s="408"/>
      <c r="BQ446" s="408"/>
      <c r="BR446" s="408"/>
      <c r="BS446" s="408"/>
      <c r="BT446" s="408"/>
      <c r="BU446" s="408"/>
      <c r="BV446" s="408">
        <v>0</v>
      </c>
      <c r="BW446" s="408"/>
      <c r="BX446" s="408"/>
      <c r="BY446" s="408"/>
      <c r="BZ446" s="408"/>
      <c r="CA446" s="408"/>
      <c r="CB446" s="408"/>
      <c r="CC446" s="408"/>
      <c r="CD446" s="408"/>
      <c r="CE446" s="408"/>
      <c r="CF446" s="408"/>
      <c r="CG446" s="408"/>
      <c r="CH446" s="408"/>
      <c r="CI446" s="408">
        <v>18387.2</v>
      </c>
      <c r="CJ446" s="408">
        <v>-4588.3799999999937</v>
      </c>
      <c r="CK446" s="408"/>
      <c r="CL446" s="408"/>
      <c r="CM446" s="408"/>
      <c r="CN446" s="408"/>
      <c r="CO446" s="408">
        <v>-4588.3499999999995</v>
      </c>
      <c r="CP446" s="408">
        <v>0</v>
      </c>
      <c r="CQ446" s="408">
        <v>31</v>
      </c>
      <c r="CR446" s="408">
        <v>430.94323065312165</v>
      </c>
      <c r="CS446" s="408">
        <v>41.670512207546039</v>
      </c>
      <c r="CT446" s="408">
        <v>194.34672122983397</v>
      </c>
      <c r="CU446" s="408">
        <v>0</v>
      </c>
      <c r="CV446" s="408">
        <v>0</v>
      </c>
      <c r="CW446" s="408"/>
      <c r="CX446" s="408"/>
      <c r="CY446" s="408"/>
      <c r="CZ446" s="408">
        <v>194.92599721574132</v>
      </c>
      <c r="DA446" s="408">
        <v>0</v>
      </c>
      <c r="DB446" s="408">
        <v>0</v>
      </c>
      <c r="DC446" s="408"/>
      <c r="DD446" s="408"/>
      <c r="DE446" s="408">
        <v>0</v>
      </c>
      <c r="DF446" s="408">
        <v>0</v>
      </c>
      <c r="DG446" s="408">
        <v>0</v>
      </c>
      <c r="DH446" s="408">
        <v>0</v>
      </c>
      <c r="DI446" s="408">
        <v>0</v>
      </c>
      <c r="DJ446" s="408"/>
      <c r="DK446" s="408">
        <v>0</v>
      </c>
      <c r="DL446" s="408">
        <v>0</v>
      </c>
      <c r="DM446" s="408"/>
      <c r="DN446" s="408">
        <v>0</v>
      </c>
      <c r="DO446" s="408">
        <v>0</v>
      </c>
      <c r="DP446" s="408">
        <v>0</v>
      </c>
      <c r="DQ446" s="408">
        <v>0</v>
      </c>
      <c r="DR446" s="408">
        <v>0</v>
      </c>
      <c r="DS446" s="408"/>
      <c r="DT446" s="408"/>
      <c r="DU446" s="408">
        <v>20222.565555469777</v>
      </c>
      <c r="DV446" s="408"/>
      <c r="DW446" s="408">
        <v>0</v>
      </c>
      <c r="DX446" s="408">
        <v>0</v>
      </c>
      <c r="DY446" s="408">
        <v>-4588.3499999999985</v>
      </c>
      <c r="DZ446" s="408"/>
      <c r="EA446" s="408">
        <v>0</v>
      </c>
      <c r="EB446" s="408"/>
      <c r="EC446" s="408">
        <v>-5023.6283105841248</v>
      </c>
      <c r="ED446" s="408"/>
      <c r="EE446" s="408">
        <v>0</v>
      </c>
      <c r="EF446" s="408">
        <v>0</v>
      </c>
      <c r="EG446" s="408"/>
      <c r="EH446" s="408">
        <v>0</v>
      </c>
      <c r="EI446" s="408">
        <v>0</v>
      </c>
      <c r="EJ446" s="408">
        <v>0</v>
      </c>
      <c r="EK446" s="408">
        <v>0</v>
      </c>
      <c r="EL446" s="408">
        <v>0</v>
      </c>
      <c r="EM446" s="408"/>
      <c r="EN446" s="408"/>
      <c r="EO446" s="408">
        <v>0</v>
      </c>
      <c r="EP446" s="408">
        <v>0</v>
      </c>
      <c r="EQ446" s="408"/>
      <c r="ER446" s="408">
        <v>0</v>
      </c>
      <c r="ES446" s="408"/>
      <c r="ET446" s="408">
        <v>0</v>
      </c>
      <c r="EU446" s="408"/>
      <c r="EV446" s="408">
        <v>240</v>
      </c>
      <c r="EW446" s="408"/>
      <c r="EX446" s="408"/>
      <c r="EY446" s="408"/>
      <c r="EZ446" s="408"/>
      <c r="FA446" s="408">
        <v>0</v>
      </c>
      <c r="FB446" s="408"/>
      <c r="FC446" s="408"/>
      <c r="FD446" s="408"/>
      <c r="FE446" s="408"/>
      <c r="FF446" s="408">
        <v>0</v>
      </c>
      <c r="FG446" s="408">
        <v>0</v>
      </c>
      <c r="FH446" s="408">
        <v>0</v>
      </c>
      <c r="FI446" s="408">
        <v>0</v>
      </c>
    </row>
    <row r="447" spans="1:165">
      <c r="A447" s="408">
        <v>445</v>
      </c>
      <c r="B447" s="408" t="s">
        <v>1036</v>
      </c>
      <c r="C447" s="408" t="s">
        <v>2316</v>
      </c>
      <c r="D447" s="408" t="s">
        <v>1958</v>
      </c>
      <c r="E447" s="408" t="s">
        <v>998</v>
      </c>
      <c r="F447" s="408" t="s">
        <v>1322</v>
      </c>
      <c r="G447" s="408" t="s">
        <v>1322</v>
      </c>
      <c r="H447" s="408" t="s">
        <v>1322</v>
      </c>
      <c r="I447" s="408" t="s">
        <v>973</v>
      </c>
      <c r="J447" s="408" t="s">
        <v>2236</v>
      </c>
      <c r="K447" s="826">
        <v>44562</v>
      </c>
      <c r="L447" s="408">
        <v>0</v>
      </c>
      <c r="M447" s="408">
        <v>0</v>
      </c>
      <c r="N447" s="408">
        <v>0.56799999999999995</v>
      </c>
      <c r="O447" s="408">
        <v>0.56799999999999995</v>
      </c>
      <c r="P447" s="408">
        <v>0.56799999999999995</v>
      </c>
      <c r="Q447" s="408">
        <v>0.56799999999999995</v>
      </c>
      <c r="R447" s="408"/>
      <c r="S447" s="408">
        <v>1553.42</v>
      </c>
      <c r="T447" s="408">
        <v>173.25</v>
      </c>
      <c r="U447" s="408"/>
      <c r="V447" s="408">
        <v>980.74855999999988</v>
      </c>
      <c r="W447" s="408">
        <v>980.74855999999988</v>
      </c>
      <c r="X447" s="408">
        <v>930.52031999999997</v>
      </c>
      <c r="Y447" s="408">
        <v>0</v>
      </c>
      <c r="Z447" s="408">
        <v>34.957664057242383</v>
      </c>
      <c r="AA447" s="408">
        <v>0</v>
      </c>
      <c r="AB447" s="408">
        <v>0</v>
      </c>
      <c r="AC447" s="408">
        <v>61.599171756744774</v>
      </c>
      <c r="AD447" s="408">
        <v>4.2597842191517756</v>
      </c>
      <c r="AE447" s="408">
        <v>408.04432915533943</v>
      </c>
      <c r="AF447" s="408">
        <v>96.753387292457774</v>
      </c>
      <c r="AG447" s="408">
        <v>1.6513086453474299</v>
      </c>
      <c r="AH447" s="408">
        <v>0</v>
      </c>
      <c r="AI447" s="408">
        <v>0</v>
      </c>
      <c r="AJ447" s="408">
        <v>0</v>
      </c>
      <c r="AK447" s="408">
        <v>0</v>
      </c>
      <c r="AL447" s="408">
        <v>5.4011291975208326</v>
      </c>
      <c r="AM447" s="408"/>
      <c r="AN447" s="408">
        <v>0.6860626137580248</v>
      </c>
      <c r="AO447" s="408">
        <v>179.23465196110027</v>
      </c>
      <c r="AP447" s="408">
        <v>174.15226166565444</v>
      </c>
      <c r="AQ447" s="408">
        <v>0</v>
      </c>
      <c r="AR447" s="408">
        <v>0</v>
      </c>
      <c r="AS447" s="408">
        <v>0</v>
      </c>
      <c r="AT447" s="408">
        <v>0</v>
      </c>
      <c r="AU447" s="408">
        <v>0</v>
      </c>
      <c r="AV447" s="408">
        <v>0</v>
      </c>
      <c r="AW447" s="408">
        <v>0</v>
      </c>
      <c r="AX447" s="408">
        <v>0</v>
      </c>
      <c r="AY447" s="408">
        <v>0</v>
      </c>
      <c r="AZ447" s="408">
        <v>0</v>
      </c>
      <c r="BA447" s="408"/>
      <c r="BB447" s="408">
        <v>0</v>
      </c>
      <c r="BC447" s="408">
        <v>0</v>
      </c>
      <c r="BD447" s="408">
        <v>0</v>
      </c>
      <c r="BE447" s="408">
        <v>0</v>
      </c>
      <c r="BF447" s="408">
        <v>0</v>
      </c>
      <c r="BG447" s="408">
        <v>5.0778017566204365</v>
      </c>
      <c r="BH447" s="408">
        <v>0</v>
      </c>
      <c r="BI447" s="408">
        <v>0</v>
      </c>
      <c r="BJ447" s="408">
        <v>0</v>
      </c>
      <c r="BK447" s="408">
        <v>0</v>
      </c>
      <c r="BL447" s="408">
        <v>0</v>
      </c>
      <c r="BM447" s="408"/>
      <c r="BN447" s="408"/>
      <c r="BO447" s="408"/>
      <c r="BP447" s="408"/>
      <c r="BQ447" s="408"/>
      <c r="BR447" s="408"/>
      <c r="BS447" s="408"/>
      <c r="BT447" s="408"/>
      <c r="BU447" s="408"/>
      <c r="BV447" s="408">
        <v>101.8311890490782</v>
      </c>
      <c r="BW447" s="408"/>
      <c r="BX447" s="408"/>
      <c r="BY447" s="408"/>
      <c r="BZ447" s="408"/>
      <c r="CA447" s="408"/>
      <c r="CB447" s="408"/>
      <c r="CC447" s="408"/>
      <c r="CD447" s="408"/>
      <c r="CE447" s="408"/>
      <c r="CF447" s="408"/>
      <c r="CG447" s="408"/>
      <c r="CH447" s="408"/>
      <c r="CI447" s="408">
        <v>933.79679999999996</v>
      </c>
      <c r="CJ447" s="408">
        <v>-46.981759999999895</v>
      </c>
      <c r="CK447" s="408"/>
      <c r="CL447" s="408"/>
      <c r="CM447" s="408"/>
      <c r="CN447" s="408"/>
      <c r="CO447" s="408">
        <v>-62.491359999999986</v>
      </c>
      <c r="CP447" s="408">
        <v>12.263120000000001</v>
      </c>
      <c r="CQ447" s="408">
        <v>31</v>
      </c>
      <c r="CR447" s="408">
        <v>51.13597151056922</v>
      </c>
      <c r="CS447" s="408">
        <v>17.86034996413872</v>
      </c>
      <c r="CT447" s="408">
        <v>17.353900634515384</v>
      </c>
      <c r="CU447" s="408">
        <v>0</v>
      </c>
      <c r="CV447" s="408">
        <v>0</v>
      </c>
      <c r="CW447" s="408">
        <v>0</v>
      </c>
      <c r="CX447" s="408">
        <v>0</v>
      </c>
      <c r="CY447" s="408">
        <v>0</v>
      </c>
      <c r="CZ447" s="408">
        <v>4.3861663214083251</v>
      </c>
      <c r="DA447" s="408">
        <v>0</v>
      </c>
      <c r="DB447" s="408">
        <v>0</v>
      </c>
      <c r="DC447" s="408">
        <v>12.261735422836622</v>
      </c>
      <c r="DD447" s="408">
        <v>0</v>
      </c>
      <c r="DE447" s="408">
        <v>0</v>
      </c>
      <c r="DF447" s="408">
        <v>0</v>
      </c>
      <c r="DG447" s="408">
        <v>0.64351919257456469</v>
      </c>
      <c r="DH447" s="408">
        <v>0</v>
      </c>
      <c r="DI447" s="408">
        <v>-1.1870516510751372</v>
      </c>
      <c r="DJ447" s="408"/>
      <c r="DK447" s="408">
        <v>0</v>
      </c>
      <c r="DL447" s="408">
        <v>0</v>
      </c>
      <c r="DM447" s="408">
        <v>0</v>
      </c>
      <c r="DN447" s="408">
        <v>0</v>
      </c>
      <c r="DO447" s="408">
        <v>-0.1632386815038025</v>
      </c>
      <c r="DP447" s="408">
        <v>-1.9409692325545458E-2</v>
      </c>
      <c r="DQ447" s="408">
        <v>0</v>
      </c>
      <c r="DR447" s="408">
        <v>0</v>
      </c>
      <c r="DS447" s="408"/>
      <c r="DT447" s="408"/>
      <c r="DU447" s="408"/>
      <c r="DV447" s="408">
        <v>408.04432915533943</v>
      </c>
      <c r="DW447" s="408">
        <v>0</v>
      </c>
      <c r="DX447" s="408">
        <v>0</v>
      </c>
      <c r="DY447" s="408">
        <v>-62.491359999999986</v>
      </c>
      <c r="DZ447" s="408">
        <v>12.263120000000001</v>
      </c>
      <c r="EA447" s="408">
        <v>0</v>
      </c>
      <c r="EB447" s="408">
        <v>0</v>
      </c>
      <c r="EC447" s="408">
        <v>-101.36513284110197</v>
      </c>
      <c r="ED447" s="408">
        <v>0</v>
      </c>
      <c r="EE447" s="408">
        <v>0</v>
      </c>
      <c r="EF447" s="408">
        <v>0</v>
      </c>
      <c r="EG447" s="408">
        <v>0</v>
      </c>
      <c r="EH447" s="408">
        <v>0</v>
      </c>
      <c r="EI447" s="408">
        <v>0</v>
      </c>
      <c r="EJ447" s="408">
        <v>0</v>
      </c>
      <c r="EK447" s="408">
        <v>0</v>
      </c>
      <c r="EL447" s="408">
        <v>0</v>
      </c>
      <c r="EM447" s="408">
        <v>0</v>
      </c>
      <c r="EN447" s="408">
        <v>0</v>
      </c>
      <c r="EO447" s="408">
        <v>0</v>
      </c>
      <c r="EP447" s="408">
        <v>8.9275639277547008</v>
      </c>
      <c r="EQ447" s="408">
        <v>0</v>
      </c>
      <c r="ER447" s="408">
        <v>0</v>
      </c>
      <c r="ES447" s="408">
        <v>0</v>
      </c>
      <c r="ET447" s="408">
        <v>0</v>
      </c>
      <c r="EU447" s="408">
        <v>0</v>
      </c>
      <c r="EV447" s="408">
        <v>240</v>
      </c>
      <c r="EW447" s="408">
        <v>0</v>
      </c>
      <c r="EX447" s="408">
        <v>0</v>
      </c>
      <c r="EY447" s="408">
        <v>0</v>
      </c>
      <c r="EZ447" s="408"/>
      <c r="FA447" s="408">
        <v>0</v>
      </c>
      <c r="FB447" s="408"/>
      <c r="FC447" s="408"/>
      <c r="FD447" s="408"/>
      <c r="FE447" s="408"/>
      <c r="FF447" s="408">
        <v>0</v>
      </c>
      <c r="FG447" s="408">
        <v>0</v>
      </c>
      <c r="FH447" s="408">
        <v>0</v>
      </c>
      <c r="FI447" s="408">
        <v>0</v>
      </c>
    </row>
    <row r="448" spans="1:165">
      <c r="A448" s="408">
        <v>446</v>
      </c>
      <c r="B448" s="408" t="s">
        <v>1036</v>
      </c>
      <c r="C448" s="408" t="s">
        <v>2316</v>
      </c>
      <c r="D448" s="408" t="s">
        <v>1958</v>
      </c>
      <c r="E448" s="408" t="s">
        <v>998</v>
      </c>
      <c r="F448" s="408" t="s">
        <v>1322</v>
      </c>
      <c r="G448" s="408" t="s">
        <v>1322</v>
      </c>
      <c r="H448" s="408" t="s">
        <v>1322</v>
      </c>
      <c r="I448" s="408" t="s">
        <v>2244</v>
      </c>
      <c r="J448" s="408" t="s">
        <v>2236</v>
      </c>
      <c r="K448" s="826">
        <v>44562</v>
      </c>
      <c r="L448" s="408">
        <v>0</v>
      </c>
      <c r="M448" s="408">
        <v>0</v>
      </c>
      <c r="N448" s="408">
        <v>13.516</v>
      </c>
      <c r="O448" s="408">
        <v>13.516</v>
      </c>
      <c r="P448" s="408">
        <v>13.516</v>
      </c>
      <c r="Q448" s="408">
        <v>13.516</v>
      </c>
      <c r="R448" s="408"/>
      <c r="S448" s="408">
        <v>388.22</v>
      </c>
      <c r="T448" s="408">
        <v>173.25</v>
      </c>
      <c r="U448" s="408"/>
      <c r="V448" s="408">
        <v>7588.82852</v>
      </c>
      <c r="W448" s="408">
        <v>7588.82852</v>
      </c>
      <c r="X448" s="408">
        <v>7569.3654800000004</v>
      </c>
      <c r="Y448" s="408">
        <v>0</v>
      </c>
      <c r="Z448" s="408">
        <v>831.84469612269027</v>
      </c>
      <c r="AA448" s="408">
        <v>0</v>
      </c>
      <c r="AB448" s="408">
        <v>0</v>
      </c>
      <c r="AC448" s="408">
        <v>293.16000192400088</v>
      </c>
      <c r="AD448" s="408">
        <v>20.272992034127725</v>
      </c>
      <c r="AE448" s="408">
        <v>1941.9476361418635</v>
      </c>
      <c r="AF448" s="408">
        <v>2302.3218004310907</v>
      </c>
      <c r="AG448" s="408">
        <v>39.294168398795541</v>
      </c>
      <c r="AH448" s="408">
        <v>0</v>
      </c>
      <c r="AI448" s="408">
        <v>0</v>
      </c>
      <c r="AJ448" s="408">
        <v>0</v>
      </c>
      <c r="AK448" s="408">
        <v>0</v>
      </c>
      <c r="AL448" s="408">
        <v>128.52405322833025</v>
      </c>
      <c r="AM448" s="408"/>
      <c r="AN448" s="408">
        <v>16.325391351326523</v>
      </c>
      <c r="AO448" s="408">
        <v>853.00547743177174</v>
      </c>
      <c r="AP448" s="408">
        <v>828.81759460316391</v>
      </c>
      <c r="AQ448" s="408">
        <v>0</v>
      </c>
      <c r="AR448" s="408">
        <v>0</v>
      </c>
      <c r="AS448" s="408">
        <v>0</v>
      </c>
      <c r="AT448" s="408">
        <v>0</v>
      </c>
      <c r="AU448" s="408">
        <v>0</v>
      </c>
      <c r="AV448" s="408">
        <v>0</v>
      </c>
      <c r="AW448" s="408">
        <v>0</v>
      </c>
      <c r="AX448" s="408">
        <v>0</v>
      </c>
      <c r="AY448" s="408">
        <v>0</v>
      </c>
      <c r="AZ448" s="408">
        <v>0</v>
      </c>
      <c r="BA448" s="408"/>
      <c r="BB448" s="408">
        <v>0</v>
      </c>
      <c r="BC448" s="408">
        <v>0</v>
      </c>
      <c r="BD448" s="408">
        <v>0</v>
      </c>
      <c r="BE448" s="408">
        <v>0</v>
      </c>
      <c r="BF448" s="408">
        <v>0</v>
      </c>
      <c r="BG448" s="408">
        <v>120.83022630718631</v>
      </c>
      <c r="BH448" s="408">
        <v>0</v>
      </c>
      <c r="BI448" s="408">
        <v>0</v>
      </c>
      <c r="BJ448" s="408">
        <v>0</v>
      </c>
      <c r="BK448" s="408">
        <v>0</v>
      </c>
      <c r="BL448" s="408">
        <v>0</v>
      </c>
      <c r="BM448" s="408"/>
      <c r="BN448" s="408"/>
      <c r="BO448" s="408"/>
      <c r="BP448" s="408"/>
      <c r="BQ448" s="408"/>
      <c r="BR448" s="408"/>
      <c r="BS448" s="408"/>
      <c r="BT448" s="408"/>
      <c r="BU448" s="408"/>
      <c r="BV448" s="408">
        <v>2423.1520267382771</v>
      </c>
      <c r="BW448" s="408"/>
      <c r="BX448" s="408"/>
      <c r="BY448" s="408"/>
      <c r="BZ448" s="408"/>
      <c r="CA448" s="408"/>
      <c r="CB448" s="408"/>
      <c r="CC448" s="408"/>
      <c r="CD448" s="408"/>
      <c r="CE448" s="408"/>
      <c r="CF448" s="408"/>
      <c r="CG448" s="408"/>
      <c r="CH448" s="408"/>
      <c r="CI448" s="408">
        <v>7571.6056000000008</v>
      </c>
      <c r="CJ448" s="408">
        <v>-17.252919999999904</v>
      </c>
      <c r="CK448" s="408"/>
      <c r="CL448" s="408"/>
      <c r="CM448" s="408"/>
      <c r="CN448" s="408"/>
      <c r="CO448" s="408">
        <v>-311.2734800000004</v>
      </c>
      <c r="CP448" s="408">
        <v>291.81044000000003</v>
      </c>
      <c r="CQ448" s="408">
        <v>31</v>
      </c>
      <c r="CR448" s="408">
        <v>462.96199640392297</v>
      </c>
      <c r="CS448" s="408">
        <v>85.000172575807937</v>
      </c>
      <c r="CT448" s="408">
        <v>82.589901752150013</v>
      </c>
      <c r="CU448" s="408">
        <v>0</v>
      </c>
      <c r="CV448" s="408">
        <v>0</v>
      </c>
      <c r="CW448" s="408">
        <v>0</v>
      </c>
      <c r="CX448" s="408">
        <v>0</v>
      </c>
      <c r="CY448" s="408">
        <v>0</v>
      </c>
      <c r="CZ448" s="408">
        <v>20.874464601865746</v>
      </c>
      <c r="DA448" s="408">
        <v>0</v>
      </c>
      <c r="DB448" s="408">
        <v>0</v>
      </c>
      <c r="DC448" s="408">
        <v>291.7774929138377</v>
      </c>
      <c r="DD448" s="408">
        <v>0</v>
      </c>
      <c r="DE448" s="408">
        <v>0</v>
      </c>
      <c r="DF448" s="408">
        <v>0</v>
      </c>
      <c r="DG448" s="408">
        <v>15.313037688094767</v>
      </c>
      <c r="DH448" s="408">
        <v>0</v>
      </c>
      <c r="DI448" s="408">
        <v>-28.246813584386473</v>
      </c>
      <c r="DJ448" s="408"/>
      <c r="DK448" s="408">
        <v>0</v>
      </c>
      <c r="DL448" s="408">
        <v>0</v>
      </c>
      <c r="DM448" s="408">
        <v>0</v>
      </c>
      <c r="DN448" s="408">
        <v>0</v>
      </c>
      <c r="DO448" s="408">
        <v>-3.8843908788827264</v>
      </c>
      <c r="DP448" s="408">
        <v>-0.46186866456350906</v>
      </c>
      <c r="DQ448" s="408">
        <v>0</v>
      </c>
      <c r="DR448" s="408">
        <v>0</v>
      </c>
      <c r="DS448" s="408"/>
      <c r="DT448" s="408"/>
      <c r="DU448" s="408"/>
      <c r="DV448" s="408">
        <v>1941.9476361418635</v>
      </c>
      <c r="DW448" s="408">
        <v>0</v>
      </c>
      <c r="DX448" s="408">
        <v>0</v>
      </c>
      <c r="DY448" s="408">
        <v>-311.27347999999984</v>
      </c>
      <c r="DZ448" s="408">
        <v>291.8104400000002</v>
      </c>
      <c r="EA448" s="408">
        <v>0</v>
      </c>
      <c r="EB448" s="408">
        <v>0</v>
      </c>
      <c r="EC448" s="408">
        <v>-482.41273323282712</v>
      </c>
      <c r="ED448" s="408">
        <v>0</v>
      </c>
      <c r="EE448" s="408">
        <v>0</v>
      </c>
      <c r="EF448" s="408">
        <v>0</v>
      </c>
      <c r="EG448" s="408">
        <v>0</v>
      </c>
      <c r="EH448" s="408">
        <v>0</v>
      </c>
      <c r="EI448" s="408">
        <v>0</v>
      </c>
      <c r="EJ448" s="408">
        <v>0</v>
      </c>
      <c r="EK448" s="408">
        <v>0</v>
      </c>
      <c r="EL448" s="408">
        <v>0</v>
      </c>
      <c r="EM448" s="408">
        <v>0</v>
      </c>
      <c r="EN448" s="408">
        <v>0</v>
      </c>
      <c r="EO448" s="408">
        <v>0</v>
      </c>
      <c r="EP448" s="408">
        <v>212.43829937945873</v>
      </c>
      <c r="EQ448" s="408">
        <v>0</v>
      </c>
      <c r="ER448" s="408">
        <v>0</v>
      </c>
      <c r="ES448" s="408">
        <v>0</v>
      </c>
      <c r="ET448" s="408">
        <v>0</v>
      </c>
      <c r="EU448" s="408">
        <v>0</v>
      </c>
      <c r="EV448" s="408">
        <v>240</v>
      </c>
      <c r="EW448" s="408">
        <v>0</v>
      </c>
      <c r="EX448" s="408">
        <v>0</v>
      </c>
      <c r="EY448" s="408">
        <v>0</v>
      </c>
      <c r="EZ448" s="408"/>
      <c r="FA448" s="408">
        <v>0</v>
      </c>
      <c r="FB448" s="408"/>
      <c r="FC448" s="408"/>
      <c r="FD448" s="408"/>
      <c r="FE448" s="408"/>
      <c r="FF448" s="408">
        <v>0</v>
      </c>
      <c r="FG448" s="408">
        <v>0</v>
      </c>
      <c r="FH448" s="408">
        <v>0</v>
      </c>
      <c r="FI448" s="408">
        <v>0</v>
      </c>
    </row>
    <row r="449" spans="1:165">
      <c r="A449" s="408">
        <v>447</v>
      </c>
      <c r="B449" s="408" t="s">
        <v>1036</v>
      </c>
      <c r="C449" s="408" t="s">
        <v>2316</v>
      </c>
      <c r="D449" s="408" t="s">
        <v>1958</v>
      </c>
      <c r="E449" s="408" t="s">
        <v>998</v>
      </c>
      <c r="F449" s="408" t="s">
        <v>1322</v>
      </c>
      <c r="G449" s="408" t="s">
        <v>1322</v>
      </c>
      <c r="H449" s="408" t="s">
        <v>1322</v>
      </c>
      <c r="I449" s="408" t="s">
        <v>1322</v>
      </c>
      <c r="J449" s="408" t="s">
        <v>2236</v>
      </c>
      <c r="K449" s="826">
        <v>44562</v>
      </c>
      <c r="L449" s="408">
        <v>0</v>
      </c>
      <c r="M449" s="408">
        <v>0</v>
      </c>
      <c r="N449" s="408">
        <v>0</v>
      </c>
      <c r="O449" s="408">
        <v>0</v>
      </c>
      <c r="P449" s="408">
        <v>0</v>
      </c>
      <c r="Q449" s="408">
        <v>0</v>
      </c>
      <c r="R449" s="408"/>
      <c r="S449" s="408"/>
      <c r="T449" s="408"/>
      <c r="U449" s="408"/>
      <c r="V449" s="408"/>
      <c r="W449" s="408"/>
      <c r="X449" s="408"/>
      <c r="Y449" s="408"/>
      <c r="Z449" s="408"/>
      <c r="AA449" s="408">
        <v>0</v>
      </c>
      <c r="AB449" s="408"/>
      <c r="AC449" s="408"/>
      <c r="AD449" s="408"/>
      <c r="AE449" s="408"/>
      <c r="AF449" s="408"/>
      <c r="AG449" s="408"/>
      <c r="AH449" s="408"/>
      <c r="AI449" s="408"/>
      <c r="AJ449" s="408"/>
      <c r="AK449" s="408"/>
      <c r="AL449" s="408"/>
      <c r="AM449" s="408"/>
      <c r="AN449" s="408"/>
      <c r="AO449" s="408"/>
      <c r="AP449" s="408"/>
      <c r="AQ449" s="408"/>
      <c r="AR449" s="408"/>
      <c r="AS449" s="408"/>
      <c r="AT449" s="408"/>
      <c r="AU449" s="408"/>
      <c r="AV449" s="408"/>
      <c r="AW449" s="408"/>
      <c r="AX449" s="408"/>
      <c r="AY449" s="408"/>
      <c r="AZ449" s="408">
        <v>0</v>
      </c>
      <c r="BA449" s="408"/>
      <c r="BB449" s="408"/>
      <c r="BC449" s="408"/>
      <c r="BD449" s="408"/>
      <c r="BE449" s="408"/>
      <c r="BF449" s="408"/>
      <c r="BG449" s="408"/>
      <c r="BH449" s="408"/>
      <c r="BI449" s="408">
        <v>7.86</v>
      </c>
      <c r="BJ449" s="408">
        <v>67.7</v>
      </c>
      <c r="BK449" s="408">
        <v>3760.45</v>
      </c>
      <c r="BL449" s="408">
        <v>6</v>
      </c>
      <c r="BM449" s="408"/>
      <c r="BN449" s="408"/>
      <c r="BO449" s="408"/>
      <c r="BP449" s="408"/>
      <c r="BQ449" s="408"/>
      <c r="BR449" s="408"/>
      <c r="BS449" s="408"/>
      <c r="BT449" s="408"/>
      <c r="BU449" s="408"/>
      <c r="BV449" s="408"/>
      <c r="BW449" s="408"/>
      <c r="BX449" s="408"/>
      <c r="BY449" s="408"/>
      <c r="BZ449" s="408"/>
      <c r="CA449" s="408"/>
      <c r="CB449" s="408"/>
      <c r="CC449" s="408"/>
      <c r="CD449" s="408"/>
      <c r="CE449" s="408"/>
      <c r="CF449" s="408"/>
      <c r="CG449" s="408"/>
      <c r="CH449" s="408"/>
      <c r="CI449" s="408"/>
      <c r="CJ449" s="408">
        <v>-0.03</v>
      </c>
      <c r="CK449" s="408"/>
      <c r="CL449" s="408"/>
      <c r="CM449" s="408"/>
      <c r="CN449" s="408"/>
      <c r="CO449" s="408">
        <v>0</v>
      </c>
      <c r="CP449" s="408">
        <v>0</v>
      </c>
      <c r="CQ449" s="408">
        <v>31</v>
      </c>
      <c r="CR449" s="408"/>
      <c r="CS449" s="408"/>
      <c r="CT449" s="408"/>
      <c r="CU449" s="408"/>
      <c r="CV449" s="408"/>
      <c r="CW449" s="408"/>
      <c r="CX449" s="408"/>
      <c r="CY449" s="408"/>
      <c r="CZ449" s="408"/>
      <c r="DA449" s="408"/>
      <c r="DB449" s="408"/>
      <c r="DC449" s="408"/>
      <c r="DD449" s="408"/>
      <c r="DE449" s="408"/>
      <c r="DF449" s="408"/>
      <c r="DG449" s="408"/>
      <c r="DH449" s="408"/>
      <c r="DI449" s="408"/>
      <c r="DJ449" s="408"/>
      <c r="DK449" s="408">
        <v>0</v>
      </c>
      <c r="DL449" s="408"/>
      <c r="DM449" s="408"/>
      <c r="DN449" s="408"/>
      <c r="DO449" s="408"/>
      <c r="DP449" s="408"/>
      <c r="DQ449" s="408"/>
      <c r="DR449" s="408"/>
      <c r="DS449" s="408"/>
      <c r="DT449" s="408"/>
      <c r="DU449" s="408"/>
      <c r="DV449" s="408"/>
      <c r="DW449" s="408"/>
      <c r="DX449" s="408"/>
      <c r="DY449" s="408"/>
      <c r="DZ449" s="408"/>
      <c r="EA449" s="408"/>
      <c r="EB449" s="408"/>
      <c r="EC449" s="408"/>
      <c r="ED449" s="408"/>
      <c r="EE449" s="408"/>
      <c r="EF449" s="408"/>
      <c r="EG449" s="408"/>
      <c r="EH449" s="408"/>
      <c r="EI449" s="408"/>
      <c r="EJ449" s="408"/>
      <c r="EK449" s="408"/>
      <c r="EL449" s="408"/>
      <c r="EM449" s="408"/>
      <c r="EN449" s="408"/>
      <c r="EO449" s="408"/>
      <c r="EP449" s="408"/>
      <c r="EQ449" s="408"/>
      <c r="ER449" s="408"/>
      <c r="ES449" s="408"/>
      <c r="ET449" s="408"/>
      <c r="EU449" s="408"/>
      <c r="EV449" s="408">
        <v>240</v>
      </c>
      <c r="EW449" s="408"/>
      <c r="EX449" s="408"/>
      <c r="EY449" s="408"/>
      <c r="EZ449" s="408"/>
      <c r="FA449" s="408">
        <v>0</v>
      </c>
      <c r="FB449" s="408"/>
      <c r="FC449" s="408"/>
      <c r="FD449" s="408"/>
      <c r="FE449" s="408"/>
      <c r="FF449" s="408">
        <v>0</v>
      </c>
      <c r="FG449" s="408">
        <v>0</v>
      </c>
      <c r="FH449" s="408">
        <v>0</v>
      </c>
      <c r="FI449" s="408">
        <v>0</v>
      </c>
    </row>
    <row r="450" spans="1:165">
      <c r="A450" s="408">
        <v>448</v>
      </c>
      <c r="B450" s="408" t="s">
        <v>1036</v>
      </c>
      <c r="C450" s="408" t="s">
        <v>2316</v>
      </c>
      <c r="D450" s="408" t="s">
        <v>1958</v>
      </c>
      <c r="E450" s="408" t="s">
        <v>998</v>
      </c>
      <c r="F450" s="408" t="s">
        <v>1322</v>
      </c>
      <c r="G450" s="408" t="s">
        <v>1322</v>
      </c>
      <c r="H450" s="408" t="s">
        <v>1322</v>
      </c>
      <c r="I450" s="408" t="s">
        <v>2317</v>
      </c>
      <c r="J450" s="408" t="s">
        <v>2236</v>
      </c>
      <c r="K450" s="826">
        <v>44562</v>
      </c>
      <c r="L450" s="408">
        <v>0</v>
      </c>
      <c r="M450" s="408">
        <v>0</v>
      </c>
      <c r="N450" s="408">
        <v>0.56899999999999995</v>
      </c>
      <c r="O450" s="408">
        <v>0.56899999999999995</v>
      </c>
      <c r="P450" s="408">
        <v>0.56899999999999995</v>
      </c>
      <c r="Q450" s="408">
        <v>0.56899999999999995</v>
      </c>
      <c r="R450" s="408"/>
      <c r="S450" s="408">
        <v>970.82</v>
      </c>
      <c r="T450" s="408">
        <v>173.25</v>
      </c>
      <c r="U450" s="408"/>
      <c r="V450" s="408">
        <v>650.97582999999997</v>
      </c>
      <c r="W450" s="408">
        <v>650.97582999999997</v>
      </c>
      <c r="X450" s="408">
        <v>625.40496999999993</v>
      </c>
      <c r="Y450" s="408">
        <v>0</v>
      </c>
      <c r="Z450" s="408">
        <v>35.019209240441754</v>
      </c>
      <c r="AA450" s="408">
        <v>0</v>
      </c>
      <c r="AB450" s="408">
        <v>0</v>
      </c>
      <c r="AC450" s="408">
        <v>37.024572601677285</v>
      </c>
      <c r="AD450" s="408">
        <v>2.5603726991902889</v>
      </c>
      <c r="AE450" s="408">
        <v>245.25769151163908</v>
      </c>
      <c r="AF450" s="408">
        <v>96.92372776304309</v>
      </c>
      <c r="AG450" s="408">
        <v>1.6542158788779713</v>
      </c>
      <c r="AH450" s="408">
        <v>0</v>
      </c>
      <c r="AI450" s="408">
        <v>0</v>
      </c>
      <c r="AJ450" s="408">
        <v>0</v>
      </c>
      <c r="AK450" s="408">
        <v>0</v>
      </c>
      <c r="AL450" s="408">
        <v>5.4106382277981577</v>
      </c>
      <c r="AM450" s="408"/>
      <c r="AN450" s="408">
        <v>0.68727047047238754</v>
      </c>
      <c r="AO450" s="408">
        <v>107.73012355549221</v>
      </c>
      <c r="AP450" s="408">
        <v>104.67532065608195</v>
      </c>
      <c r="AQ450" s="408">
        <v>0</v>
      </c>
      <c r="AR450" s="408">
        <v>0</v>
      </c>
      <c r="AS450" s="408">
        <v>0</v>
      </c>
      <c r="AT450" s="408">
        <v>0</v>
      </c>
      <c r="AU450" s="408">
        <v>0</v>
      </c>
      <c r="AV450" s="408">
        <v>0</v>
      </c>
      <c r="AW450" s="408">
        <v>0</v>
      </c>
      <c r="AX450" s="408">
        <v>0</v>
      </c>
      <c r="AY450" s="408">
        <v>0</v>
      </c>
      <c r="AZ450" s="408">
        <v>0</v>
      </c>
      <c r="BA450" s="408"/>
      <c r="BB450" s="408">
        <v>0</v>
      </c>
      <c r="BC450" s="408">
        <v>0</v>
      </c>
      <c r="BD450" s="408">
        <v>0</v>
      </c>
      <c r="BE450" s="408">
        <v>0</v>
      </c>
      <c r="BF450" s="408">
        <v>0</v>
      </c>
      <c r="BG450" s="408">
        <v>5.0867415484454721</v>
      </c>
      <c r="BH450" s="408">
        <v>0</v>
      </c>
      <c r="BI450" s="408">
        <v>0</v>
      </c>
      <c r="BJ450" s="408">
        <v>0</v>
      </c>
      <c r="BK450" s="408">
        <v>0</v>
      </c>
      <c r="BL450" s="408">
        <v>0</v>
      </c>
      <c r="BM450" s="408"/>
      <c r="BN450" s="408"/>
      <c r="BO450" s="408"/>
      <c r="BP450" s="408"/>
      <c r="BQ450" s="408"/>
      <c r="BR450" s="408"/>
      <c r="BS450" s="408"/>
      <c r="BT450" s="408"/>
      <c r="BU450" s="408"/>
      <c r="BV450" s="408">
        <v>102.01046931148856</v>
      </c>
      <c r="BW450" s="408"/>
      <c r="BX450" s="408"/>
      <c r="BY450" s="408"/>
      <c r="BZ450" s="408"/>
      <c r="CA450" s="408"/>
      <c r="CB450" s="408"/>
      <c r="CC450" s="408"/>
      <c r="CD450" s="408"/>
      <c r="CE450" s="408"/>
      <c r="CF450" s="408"/>
      <c r="CG450" s="408"/>
      <c r="CH450" s="408"/>
      <c r="CI450" s="408">
        <v>626.50409999999999</v>
      </c>
      <c r="CJ450" s="408">
        <v>-24.501729999999952</v>
      </c>
      <c r="CK450" s="408"/>
      <c r="CL450" s="408"/>
      <c r="CM450" s="408"/>
      <c r="CN450" s="408"/>
      <c r="CO450" s="408">
        <v>-37.855570000000043</v>
      </c>
      <c r="CP450" s="408">
        <v>12.28471</v>
      </c>
      <c r="CQ450" s="408">
        <v>31</v>
      </c>
      <c r="CR450" s="408">
        <v>35.35794771056311</v>
      </c>
      <c r="CS450" s="408">
        <v>10.735076545346857</v>
      </c>
      <c r="CT450" s="408">
        <v>10.430671965885978</v>
      </c>
      <c r="CU450" s="408">
        <v>0</v>
      </c>
      <c r="CV450" s="408">
        <v>0</v>
      </c>
      <c r="CW450" s="408">
        <v>0</v>
      </c>
      <c r="CX450" s="408">
        <v>0</v>
      </c>
      <c r="CY450" s="408">
        <v>0</v>
      </c>
      <c r="CZ450" s="408">
        <v>2.6363355338402616</v>
      </c>
      <c r="DA450" s="408">
        <v>0</v>
      </c>
      <c r="DB450" s="408">
        <v>0</v>
      </c>
      <c r="DC450" s="408">
        <v>12.283322985200769</v>
      </c>
      <c r="DD450" s="408">
        <v>0</v>
      </c>
      <c r="DE450" s="408">
        <v>0</v>
      </c>
      <c r="DF450" s="408">
        <v>0</v>
      </c>
      <c r="DG450" s="408">
        <v>0.64465214889952094</v>
      </c>
      <c r="DH450" s="408">
        <v>0</v>
      </c>
      <c r="DI450" s="408">
        <v>-1.1891415307425177</v>
      </c>
      <c r="DJ450" s="408"/>
      <c r="DK450" s="408">
        <v>0</v>
      </c>
      <c r="DL450" s="408">
        <v>0</v>
      </c>
      <c r="DM450" s="408">
        <v>0</v>
      </c>
      <c r="DN450" s="408">
        <v>0</v>
      </c>
      <c r="DO450" s="408">
        <v>-0.16352607354870319</v>
      </c>
      <c r="DP450" s="408">
        <v>-1.9443864319076409E-2</v>
      </c>
      <c r="DQ450" s="408">
        <v>0</v>
      </c>
      <c r="DR450" s="408">
        <v>0</v>
      </c>
      <c r="DS450" s="408"/>
      <c r="DT450" s="408"/>
      <c r="DU450" s="408"/>
      <c r="DV450" s="408">
        <v>245.25769151163908</v>
      </c>
      <c r="DW450" s="408">
        <v>0</v>
      </c>
      <c r="DX450" s="408">
        <v>0</v>
      </c>
      <c r="DY450" s="408">
        <v>-37.855570000000057</v>
      </c>
      <c r="DZ450" s="408">
        <v>12.284710000000004</v>
      </c>
      <c r="EA450" s="408">
        <v>0</v>
      </c>
      <c r="EB450" s="408">
        <v>0</v>
      </c>
      <c r="EC450" s="408">
        <v>-60.926170771301145</v>
      </c>
      <c r="ED450" s="408">
        <v>0</v>
      </c>
      <c r="EE450" s="408">
        <v>0</v>
      </c>
      <c r="EF450" s="408">
        <v>0</v>
      </c>
      <c r="EG450" s="408">
        <v>0</v>
      </c>
      <c r="EH450" s="408">
        <v>0</v>
      </c>
      <c r="EI450" s="408">
        <v>0</v>
      </c>
      <c r="EJ450" s="408">
        <v>0</v>
      </c>
      <c r="EK450" s="408">
        <v>0</v>
      </c>
      <c r="EL450" s="408">
        <v>0</v>
      </c>
      <c r="EM450" s="408">
        <v>0</v>
      </c>
      <c r="EN450" s="408">
        <v>0</v>
      </c>
      <c r="EO450" s="408">
        <v>0</v>
      </c>
      <c r="EP450" s="408">
        <v>8.943281469881029</v>
      </c>
      <c r="EQ450" s="408">
        <v>0</v>
      </c>
      <c r="ER450" s="408">
        <v>0</v>
      </c>
      <c r="ES450" s="408">
        <v>0</v>
      </c>
      <c r="ET450" s="408">
        <v>0</v>
      </c>
      <c r="EU450" s="408">
        <v>0</v>
      </c>
      <c r="EV450" s="408">
        <v>240</v>
      </c>
      <c r="EW450" s="408">
        <v>0</v>
      </c>
      <c r="EX450" s="408">
        <v>0</v>
      </c>
      <c r="EY450" s="408">
        <v>0</v>
      </c>
      <c r="EZ450" s="408"/>
      <c r="FA450" s="408">
        <v>0</v>
      </c>
      <c r="FB450" s="408"/>
      <c r="FC450" s="408"/>
      <c r="FD450" s="408"/>
      <c r="FE450" s="408"/>
      <c r="FF450" s="408">
        <v>0</v>
      </c>
      <c r="FG450" s="408">
        <v>0</v>
      </c>
      <c r="FH450" s="408">
        <v>0</v>
      </c>
      <c r="FI450" s="408">
        <v>0</v>
      </c>
    </row>
    <row r="451" spans="1:165">
      <c r="A451" s="408">
        <v>449</v>
      </c>
      <c r="B451" s="408" t="s">
        <v>1036</v>
      </c>
      <c r="C451" s="408" t="s">
        <v>2235</v>
      </c>
      <c r="D451" s="408" t="s">
        <v>2245</v>
      </c>
      <c r="E451" s="408" t="s">
        <v>974</v>
      </c>
      <c r="F451" s="408" t="s">
        <v>1322</v>
      </c>
      <c r="G451" s="408" t="s">
        <v>1322</v>
      </c>
      <c r="H451" s="408" t="s">
        <v>1322</v>
      </c>
      <c r="I451" s="408" t="s">
        <v>1322</v>
      </c>
      <c r="J451" s="408" t="s">
        <v>2236</v>
      </c>
      <c r="K451" s="826">
        <v>44562</v>
      </c>
      <c r="L451" s="408">
        <v>0</v>
      </c>
      <c r="M451" s="408">
        <v>0</v>
      </c>
      <c r="N451" s="408">
        <v>8477.7119999999995</v>
      </c>
      <c r="O451" s="408">
        <v>8477.7119999999995</v>
      </c>
      <c r="P451" s="408">
        <v>8477.7119999999995</v>
      </c>
      <c r="Q451" s="408">
        <v>8477.7119999999995</v>
      </c>
      <c r="R451" s="408"/>
      <c r="S451" s="408">
        <v>368.24</v>
      </c>
      <c r="T451" s="408">
        <v>173.25</v>
      </c>
      <c r="U451" s="408"/>
      <c r="V451" s="408">
        <v>4590596.2708799997</v>
      </c>
      <c r="W451" s="408">
        <v>4590596.2708799997</v>
      </c>
      <c r="X451" s="408">
        <v>4314222.8596799998</v>
      </c>
      <c r="Y451" s="408">
        <v>0</v>
      </c>
      <c r="Z451" s="408">
        <v>521762.33815150079</v>
      </c>
      <c r="AA451" s="408">
        <v>0</v>
      </c>
      <c r="AB451" s="408">
        <v>0</v>
      </c>
      <c r="AC451" s="408">
        <v>21699.020632698506</v>
      </c>
      <c r="AD451" s="408">
        <v>20847.89308211919</v>
      </c>
      <c r="AE451" s="408">
        <v>1996815.7482326727</v>
      </c>
      <c r="AF451" s="408">
        <v>1444097.4515667551</v>
      </c>
      <c r="AG451" s="408">
        <v>24646.688588671921</v>
      </c>
      <c r="AH451" s="408">
        <v>0</v>
      </c>
      <c r="AI451" s="408">
        <v>0</v>
      </c>
      <c r="AJ451" s="408">
        <v>0</v>
      </c>
      <c r="AK451" s="408">
        <v>0</v>
      </c>
      <c r="AL451" s="408">
        <v>80614.820090444948</v>
      </c>
      <c r="AM451" s="408"/>
      <c r="AN451" s="408">
        <v>10239.861361633402</v>
      </c>
      <c r="AO451" s="408">
        <v>46062.762635869862</v>
      </c>
      <c r="AP451" s="408">
        <v>214783.8666715429</v>
      </c>
      <c r="AQ451" s="408">
        <v>0</v>
      </c>
      <c r="AR451" s="408">
        <v>0</v>
      </c>
      <c r="AS451" s="408">
        <v>0</v>
      </c>
      <c r="AT451" s="408">
        <v>0</v>
      </c>
      <c r="AU451" s="408">
        <v>0</v>
      </c>
      <c r="AV451" s="408">
        <v>0</v>
      </c>
      <c r="AW451" s="408">
        <v>0</v>
      </c>
      <c r="AX451" s="408">
        <v>0</v>
      </c>
      <c r="AY451" s="408">
        <v>0</v>
      </c>
      <c r="AZ451" s="408">
        <v>0</v>
      </c>
      <c r="BA451" s="408"/>
      <c r="BB451" s="408">
        <v>0</v>
      </c>
      <c r="BC451" s="408">
        <v>0</v>
      </c>
      <c r="BD451" s="408">
        <v>0</v>
      </c>
      <c r="BE451" s="408">
        <v>0</v>
      </c>
      <c r="BF451" s="408">
        <v>0</v>
      </c>
      <c r="BG451" s="408">
        <v>75788.980432609431</v>
      </c>
      <c r="BH451" s="408">
        <v>0</v>
      </c>
      <c r="BI451" s="408">
        <v>3450.02</v>
      </c>
      <c r="BJ451" s="408">
        <v>30191.52</v>
      </c>
      <c r="BK451" s="408">
        <v>198278.92</v>
      </c>
      <c r="BL451" s="408">
        <v>15743</v>
      </c>
      <c r="BM451" s="408"/>
      <c r="BN451" s="408"/>
      <c r="BO451" s="408"/>
      <c r="BP451" s="408"/>
      <c r="BQ451" s="408"/>
      <c r="BR451" s="408">
        <v>517649.09471999994</v>
      </c>
      <c r="BS451" s="408"/>
      <c r="BT451" s="408"/>
      <c r="BU451" s="408"/>
      <c r="BV451" s="408">
        <v>1519886.4319993644</v>
      </c>
      <c r="BW451" s="408"/>
      <c r="BX451" s="408"/>
      <c r="BY451" s="408"/>
      <c r="BZ451" s="408"/>
      <c r="CA451" s="408"/>
      <c r="CB451" s="408"/>
      <c r="CC451" s="408"/>
      <c r="CD451" s="408"/>
      <c r="CE451" s="408"/>
      <c r="CF451" s="408"/>
      <c r="CG451" s="408"/>
      <c r="CH451" s="408"/>
      <c r="CI451" s="408">
        <v>3796572.8692999994</v>
      </c>
      <c r="CJ451" s="408">
        <v>-243141.7058199998</v>
      </c>
      <c r="CK451" s="408"/>
      <c r="CL451" s="408"/>
      <c r="CM451" s="408"/>
      <c r="CN451" s="408"/>
      <c r="CO451" s="408">
        <v>-459407.21327999997</v>
      </c>
      <c r="CP451" s="408">
        <v>183033.80208000002</v>
      </c>
      <c r="CQ451" s="408">
        <v>31</v>
      </c>
      <c r="CR451" s="408">
        <v>219633.71995576937</v>
      </c>
      <c r="CS451" s="408">
        <v>4590.0558401521412</v>
      </c>
      <c r="CT451" s="408">
        <v>21402.753225627675</v>
      </c>
      <c r="CU451" s="408">
        <v>0</v>
      </c>
      <c r="CV451" s="408">
        <v>0</v>
      </c>
      <c r="CW451" s="408">
        <v>0</v>
      </c>
      <c r="CX451" s="408">
        <v>0</v>
      </c>
      <c r="CY451" s="408">
        <v>0</v>
      </c>
      <c r="CZ451" s="408">
        <v>21466.42219528235</v>
      </c>
      <c r="DA451" s="408">
        <v>0</v>
      </c>
      <c r="DB451" s="408">
        <v>0</v>
      </c>
      <c r="DC451" s="408">
        <v>183013.13650529413</v>
      </c>
      <c r="DD451" s="408">
        <v>0</v>
      </c>
      <c r="DE451" s="408">
        <v>0</v>
      </c>
      <c r="DF451" s="408">
        <v>0</v>
      </c>
      <c r="DG451" s="408">
        <v>9604.8774315487681</v>
      </c>
      <c r="DH451" s="408">
        <v>0</v>
      </c>
      <c r="DI451" s="408">
        <v>-17717.397934752633</v>
      </c>
      <c r="DJ451" s="408"/>
      <c r="DK451" s="408">
        <v>0</v>
      </c>
      <c r="DL451" s="408">
        <v>0</v>
      </c>
      <c r="DM451" s="408">
        <v>0</v>
      </c>
      <c r="DN451" s="408">
        <v>0</v>
      </c>
      <c r="DO451" s="408">
        <v>-2436.4269877622428</v>
      </c>
      <c r="DP451" s="408">
        <v>-289.7003196207479</v>
      </c>
      <c r="DQ451" s="408">
        <v>0</v>
      </c>
      <c r="DR451" s="408">
        <v>0</v>
      </c>
      <c r="DS451" s="408"/>
      <c r="DT451" s="408"/>
      <c r="DU451" s="408"/>
      <c r="DV451" s="408">
        <v>1996815.7482326727</v>
      </c>
      <c r="DW451" s="408">
        <v>0</v>
      </c>
      <c r="DX451" s="408">
        <v>0</v>
      </c>
      <c r="DY451" s="408">
        <v>-459407.21327999979</v>
      </c>
      <c r="DZ451" s="408">
        <v>183033.80208000005</v>
      </c>
      <c r="EA451" s="408">
        <v>0</v>
      </c>
      <c r="EB451" s="408">
        <v>0</v>
      </c>
      <c r="EC451" s="408">
        <v>-496042.90298016951</v>
      </c>
      <c r="ED451" s="408">
        <v>0</v>
      </c>
      <c r="EE451" s="408">
        <v>0</v>
      </c>
      <c r="EF451" s="408">
        <v>0</v>
      </c>
      <c r="EG451" s="408">
        <v>0</v>
      </c>
      <c r="EH451" s="408">
        <v>0</v>
      </c>
      <c r="EI451" s="408">
        <v>0</v>
      </c>
      <c r="EJ451" s="408">
        <v>0</v>
      </c>
      <c r="EK451" s="408">
        <v>0</v>
      </c>
      <c r="EL451" s="408">
        <v>0</v>
      </c>
      <c r="EM451" s="408">
        <v>0</v>
      </c>
      <c r="EN451" s="408">
        <v>0</v>
      </c>
      <c r="EO451" s="408">
        <v>0</v>
      </c>
      <c r="EP451" s="408">
        <v>133248.79549488233</v>
      </c>
      <c r="EQ451" s="408">
        <v>0</v>
      </c>
      <c r="ER451" s="408">
        <v>0</v>
      </c>
      <c r="ES451" s="408">
        <v>0</v>
      </c>
      <c r="ET451" s="408">
        <v>0</v>
      </c>
      <c r="EU451" s="408">
        <v>0</v>
      </c>
      <c r="EV451" s="408">
        <v>240</v>
      </c>
      <c r="EW451" s="408">
        <v>0</v>
      </c>
      <c r="EX451" s="408">
        <v>0</v>
      </c>
      <c r="EY451" s="408">
        <v>0</v>
      </c>
      <c r="EZ451" s="408"/>
      <c r="FA451" s="408">
        <v>0</v>
      </c>
      <c r="FB451" s="408"/>
      <c r="FC451" s="408"/>
      <c r="FD451" s="408"/>
      <c r="FE451" s="408"/>
      <c r="FF451" s="408">
        <v>0</v>
      </c>
      <c r="FG451" s="408">
        <v>0</v>
      </c>
      <c r="FH451" s="408">
        <v>0</v>
      </c>
      <c r="FI451" s="408">
        <v>0</v>
      </c>
    </row>
    <row r="452" spans="1:165">
      <c r="A452" s="408">
        <v>450</v>
      </c>
      <c r="B452" s="408" t="s">
        <v>2237</v>
      </c>
      <c r="C452" s="408" t="s">
        <v>2235</v>
      </c>
      <c r="D452" s="408" t="s">
        <v>2245</v>
      </c>
      <c r="E452" s="408" t="s">
        <v>974</v>
      </c>
      <c r="F452" s="408" t="s">
        <v>1322</v>
      </c>
      <c r="G452" s="408" t="s">
        <v>1322</v>
      </c>
      <c r="H452" s="408" t="s">
        <v>1322</v>
      </c>
      <c r="I452" s="408" t="s">
        <v>1322</v>
      </c>
      <c r="J452" s="408" t="s">
        <v>2236</v>
      </c>
      <c r="K452" s="826">
        <v>44562</v>
      </c>
      <c r="L452" s="408">
        <v>0</v>
      </c>
      <c r="M452" s="408">
        <v>0</v>
      </c>
      <c r="N452" s="408">
        <v>-0.309</v>
      </c>
      <c r="O452" s="408">
        <v>-0.309</v>
      </c>
      <c r="P452" s="408">
        <v>-0.309</v>
      </c>
      <c r="Q452" s="408">
        <v>-0.309</v>
      </c>
      <c r="R452" s="408"/>
      <c r="S452" s="408">
        <v>368.24</v>
      </c>
      <c r="T452" s="408">
        <v>173.25</v>
      </c>
      <c r="U452" s="408"/>
      <c r="V452" s="408">
        <v>-167.32040999999998</v>
      </c>
      <c r="W452" s="408">
        <v>-167.32040999999998</v>
      </c>
      <c r="X452" s="408">
        <v>-157.24700999999999</v>
      </c>
      <c r="Y452" s="408">
        <v>0</v>
      </c>
      <c r="Z452" s="408">
        <v>-19.017461608605455</v>
      </c>
      <c r="AA452" s="408">
        <v>0</v>
      </c>
      <c r="AB452" s="408">
        <v>0</v>
      </c>
      <c r="AC452" s="408">
        <v>-0.79089704574817332</v>
      </c>
      <c r="AD452" s="408">
        <v>-0.75987471175888377</v>
      </c>
      <c r="AE452" s="408">
        <v>-72.780965690258867</v>
      </c>
      <c r="AF452" s="408">
        <v>-52.635205410861715</v>
      </c>
      <c r="AG452" s="408">
        <v>-0.8983351609372463</v>
      </c>
      <c r="AH452" s="408">
        <v>0</v>
      </c>
      <c r="AI452" s="408">
        <v>0</v>
      </c>
      <c r="AJ452" s="408">
        <v>0</v>
      </c>
      <c r="AK452" s="408">
        <v>0</v>
      </c>
      <c r="AL452" s="408">
        <v>-2.9382903556935518</v>
      </c>
      <c r="AM452" s="408"/>
      <c r="AN452" s="408">
        <v>-0.37322772473808047</v>
      </c>
      <c r="AO452" s="408">
        <v>-1.6789192242534057</v>
      </c>
      <c r="AP452" s="408">
        <v>-7.8285526568379247</v>
      </c>
      <c r="AQ452" s="408">
        <v>0</v>
      </c>
      <c r="AR452" s="408">
        <v>0</v>
      </c>
      <c r="AS452" s="408">
        <v>0</v>
      </c>
      <c r="AT452" s="408">
        <v>0</v>
      </c>
      <c r="AU452" s="408">
        <v>0</v>
      </c>
      <c r="AV452" s="408">
        <v>0</v>
      </c>
      <c r="AW452" s="408">
        <v>0</v>
      </c>
      <c r="AX452" s="408">
        <v>0</v>
      </c>
      <c r="AY452" s="408">
        <v>0</v>
      </c>
      <c r="AZ452" s="408">
        <v>0</v>
      </c>
      <c r="BA452" s="408"/>
      <c r="BB452" s="408">
        <v>0</v>
      </c>
      <c r="BC452" s="408">
        <v>0</v>
      </c>
      <c r="BD452" s="408">
        <v>0</v>
      </c>
      <c r="BE452" s="408">
        <v>0</v>
      </c>
      <c r="BF452" s="408">
        <v>0</v>
      </c>
      <c r="BG452" s="408">
        <v>-2.7623956739361177</v>
      </c>
      <c r="BH452" s="408">
        <v>0</v>
      </c>
      <c r="BI452" s="408">
        <v>-0.12</v>
      </c>
      <c r="BJ452" s="408">
        <v>-1.1100000000000001</v>
      </c>
      <c r="BK452" s="408">
        <v>0</v>
      </c>
      <c r="BL452" s="408">
        <v>0</v>
      </c>
      <c r="BM452" s="408"/>
      <c r="BN452" s="408"/>
      <c r="BO452" s="408"/>
      <c r="BP452" s="408"/>
      <c r="BQ452" s="408"/>
      <c r="BR452" s="408">
        <v>-18.867539999999998</v>
      </c>
      <c r="BS452" s="408"/>
      <c r="BT452" s="408"/>
      <c r="BU452" s="408"/>
      <c r="BV452" s="408">
        <v>-55.397601084797834</v>
      </c>
      <c r="BW452" s="408"/>
      <c r="BX452" s="408"/>
      <c r="BY452" s="408"/>
      <c r="BZ452" s="408"/>
      <c r="CA452" s="408"/>
      <c r="CB452" s="408"/>
      <c r="CC452" s="408"/>
      <c r="CD452" s="408"/>
      <c r="CE452" s="408"/>
      <c r="CF452" s="408"/>
      <c r="CG452" s="408"/>
      <c r="CH452" s="408"/>
      <c r="CI452" s="408">
        <v>-138.82730000000001</v>
      </c>
      <c r="CJ452" s="408">
        <v>8.3842899999999929</v>
      </c>
      <c r="CK452" s="408"/>
      <c r="CL452" s="408"/>
      <c r="CM452" s="408"/>
      <c r="CN452" s="408"/>
      <c r="CO452" s="408">
        <v>16.744709999999998</v>
      </c>
      <c r="CP452" s="408">
        <v>-6.671310000000001</v>
      </c>
      <c r="CQ452" s="408">
        <v>31</v>
      </c>
      <c r="CR452" s="408">
        <v>-8.0053225995802535</v>
      </c>
      <c r="CS452" s="408">
        <v>-0.16730071210333763</v>
      </c>
      <c r="CT452" s="408">
        <v>-0.78009853917176564</v>
      </c>
      <c r="CU452" s="408">
        <v>0</v>
      </c>
      <c r="CV452" s="408">
        <v>0</v>
      </c>
      <c r="CW452" s="408">
        <v>0</v>
      </c>
      <c r="CX452" s="408">
        <v>0</v>
      </c>
      <c r="CY452" s="408">
        <v>0</v>
      </c>
      <c r="CZ452" s="408">
        <v>-0.78241917846964437</v>
      </c>
      <c r="DA452" s="408">
        <v>0</v>
      </c>
      <c r="DB452" s="408">
        <v>0</v>
      </c>
      <c r="DC452" s="408">
        <v>-6.6705567705220403</v>
      </c>
      <c r="DD452" s="408">
        <v>0</v>
      </c>
      <c r="DE452" s="408">
        <v>0</v>
      </c>
      <c r="DF452" s="408">
        <v>0</v>
      </c>
      <c r="DG452" s="408">
        <v>-0.3500835044111632</v>
      </c>
      <c r="DH452" s="408">
        <v>0</v>
      </c>
      <c r="DI452" s="408">
        <v>0.64577281722221613</v>
      </c>
      <c r="DJ452" s="408"/>
      <c r="DK452" s="408">
        <v>0</v>
      </c>
      <c r="DL452" s="408">
        <v>0</v>
      </c>
      <c r="DM452" s="408">
        <v>0</v>
      </c>
      <c r="DN452" s="408">
        <v>0</v>
      </c>
      <c r="DO452" s="408">
        <v>8.8804141874427422E-2</v>
      </c>
      <c r="DP452" s="408">
        <v>1.0559146001045017E-2</v>
      </c>
      <c r="DQ452" s="408">
        <v>0</v>
      </c>
      <c r="DR452" s="408">
        <v>0</v>
      </c>
      <c r="DS452" s="408"/>
      <c r="DT452" s="408"/>
      <c r="DU452" s="408"/>
      <c r="DV452" s="408">
        <v>-72.780965690258867</v>
      </c>
      <c r="DW452" s="408">
        <v>0</v>
      </c>
      <c r="DX452" s="408">
        <v>0</v>
      </c>
      <c r="DY452" s="408">
        <v>16.744709999999998</v>
      </c>
      <c r="DZ452" s="408">
        <v>-6.6713099999999983</v>
      </c>
      <c r="EA452" s="408">
        <v>0</v>
      </c>
      <c r="EB452" s="408">
        <v>0</v>
      </c>
      <c r="EC452" s="408">
        <v>18.080026429403638</v>
      </c>
      <c r="ED452" s="408">
        <v>0</v>
      </c>
      <c r="EE452" s="408">
        <v>0</v>
      </c>
      <c r="EF452" s="408">
        <v>0</v>
      </c>
      <c r="EG452" s="408">
        <v>0</v>
      </c>
      <c r="EH452" s="408">
        <v>0</v>
      </c>
      <c r="EI452" s="408">
        <v>0</v>
      </c>
      <c r="EJ452" s="408">
        <v>0</v>
      </c>
      <c r="EK452" s="408">
        <v>0</v>
      </c>
      <c r="EL452" s="408">
        <v>0</v>
      </c>
      <c r="EM452" s="408">
        <v>0</v>
      </c>
      <c r="EN452" s="408">
        <v>0</v>
      </c>
      <c r="EO452" s="408">
        <v>0</v>
      </c>
      <c r="EP452" s="408">
        <v>-4.8567205170355683</v>
      </c>
      <c r="EQ452" s="408">
        <v>0</v>
      </c>
      <c r="ER452" s="408">
        <v>0</v>
      </c>
      <c r="ES452" s="408">
        <v>0</v>
      </c>
      <c r="ET452" s="408">
        <v>0</v>
      </c>
      <c r="EU452" s="408">
        <v>0</v>
      </c>
      <c r="EV452" s="408">
        <v>240</v>
      </c>
      <c r="EW452" s="408">
        <v>0</v>
      </c>
      <c r="EX452" s="408">
        <v>0</v>
      </c>
      <c r="EY452" s="408">
        <v>0</v>
      </c>
      <c r="EZ452" s="408"/>
      <c r="FA452" s="408">
        <v>0</v>
      </c>
      <c r="FB452" s="408"/>
      <c r="FC452" s="408"/>
      <c r="FD452" s="408"/>
      <c r="FE452" s="408"/>
      <c r="FF452" s="408">
        <v>0</v>
      </c>
      <c r="FG452" s="408">
        <v>0</v>
      </c>
      <c r="FH452" s="408">
        <v>0</v>
      </c>
      <c r="FI452" s="408">
        <v>0</v>
      </c>
    </row>
    <row r="453" spans="1:165">
      <c r="A453" s="408">
        <v>451</v>
      </c>
      <c r="B453" s="408" t="s">
        <v>2238</v>
      </c>
      <c r="C453" s="408" t="s">
        <v>2235</v>
      </c>
      <c r="D453" s="408" t="s">
        <v>2245</v>
      </c>
      <c r="E453" s="408" t="s">
        <v>974</v>
      </c>
      <c r="F453" s="408" t="s">
        <v>1322</v>
      </c>
      <c r="G453" s="408" t="s">
        <v>1322</v>
      </c>
      <c r="H453" s="408" t="s">
        <v>1322</v>
      </c>
      <c r="I453" s="408" t="s">
        <v>1322</v>
      </c>
      <c r="J453" s="408" t="s">
        <v>2236</v>
      </c>
      <c r="K453" s="826">
        <v>44562</v>
      </c>
      <c r="L453" s="408">
        <v>0</v>
      </c>
      <c r="M453" s="408">
        <v>0</v>
      </c>
      <c r="N453" s="408">
        <v>141.70099999999999</v>
      </c>
      <c r="O453" s="408">
        <v>141.70099999999999</v>
      </c>
      <c r="P453" s="408">
        <v>141.70099999999999</v>
      </c>
      <c r="Q453" s="408">
        <v>141.70099999999999</v>
      </c>
      <c r="R453" s="408"/>
      <c r="S453" s="408">
        <v>368.24</v>
      </c>
      <c r="T453" s="408">
        <v>173.25</v>
      </c>
      <c r="U453" s="408"/>
      <c r="V453" s="408">
        <v>76729.67448999999</v>
      </c>
      <c r="W453" s="408">
        <v>76729.67448999999</v>
      </c>
      <c r="X453" s="408">
        <v>72110.221890000001</v>
      </c>
      <c r="Y453" s="408">
        <v>0</v>
      </c>
      <c r="Z453" s="408">
        <v>8721.0140045339849</v>
      </c>
      <c r="AA453" s="408">
        <v>0</v>
      </c>
      <c r="AB453" s="408">
        <v>0</v>
      </c>
      <c r="AC453" s="408">
        <v>362.68900414097703</v>
      </c>
      <c r="AD453" s="408">
        <v>348.46280430726728</v>
      </c>
      <c r="AE453" s="408">
        <v>33375.843428075634</v>
      </c>
      <c r="AF453" s="408">
        <v>24137.415022409437</v>
      </c>
      <c r="AG453" s="408">
        <v>411.95789851122566</v>
      </c>
      <c r="AH453" s="408">
        <v>0</v>
      </c>
      <c r="AI453" s="408">
        <v>0</v>
      </c>
      <c r="AJ453" s="408">
        <v>0</v>
      </c>
      <c r="AK453" s="408">
        <v>0</v>
      </c>
      <c r="AL453" s="408">
        <v>1347.4390993272877</v>
      </c>
      <c r="AM453" s="408"/>
      <c r="AN453" s="408">
        <v>171.15450428191176</v>
      </c>
      <c r="AO453" s="408">
        <v>769.91758251110627</v>
      </c>
      <c r="AP453" s="408">
        <v>3590.0121036459245</v>
      </c>
      <c r="AQ453" s="408">
        <v>0</v>
      </c>
      <c r="AR453" s="408">
        <v>0</v>
      </c>
      <c r="AS453" s="408">
        <v>0</v>
      </c>
      <c r="AT453" s="408">
        <v>0</v>
      </c>
      <c r="AU453" s="408">
        <v>0</v>
      </c>
      <c r="AV453" s="408">
        <v>0</v>
      </c>
      <c r="AW453" s="408">
        <v>0</v>
      </c>
      <c r="AX453" s="408">
        <v>0</v>
      </c>
      <c r="AY453" s="408">
        <v>0</v>
      </c>
      <c r="AZ453" s="408">
        <v>0</v>
      </c>
      <c r="BA453" s="408"/>
      <c r="BB453" s="408">
        <v>0</v>
      </c>
      <c r="BC453" s="408">
        <v>0</v>
      </c>
      <c r="BD453" s="408">
        <v>0</v>
      </c>
      <c r="BE453" s="408">
        <v>0</v>
      </c>
      <c r="BF453" s="408">
        <v>0</v>
      </c>
      <c r="BG453" s="408">
        <v>1266.7774413994234</v>
      </c>
      <c r="BH453" s="408">
        <v>0</v>
      </c>
      <c r="BI453" s="408">
        <v>59.13</v>
      </c>
      <c r="BJ453" s="408">
        <v>511.79</v>
      </c>
      <c r="BK453" s="408">
        <v>3199.19</v>
      </c>
      <c r="BL453" s="408">
        <v>298</v>
      </c>
      <c r="BM453" s="408"/>
      <c r="BN453" s="408"/>
      <c r="BO453" s="408"/>
      <c r="BP453" s="408"/>
      <c r="BQ453" s="408"/>
      <c r="BR453" s="408">
        <v>8652.2630599999993</v>
      </c>
      <c r="BS453" s="408"/>
      <c r="BT453" s="408"/>
      <c r="BU453" s="408"/>
      <c r="BV453" s="408">
        <v>25404.19246380886</v>
      </c>
      <c r="BW453" s="408"/>
      <c r="BX453" s="408"/>
      <c r="BY453" s="408"/>
      <c r="BZ453" s="408"/>
      <c r="CA453" s="408"/>
      <c r="CB453" s="408"/>
      <c r="CC453" s="408"/>
      <c r="CD453" s="408"/>
      <c r="CE453" s="408"/>
      <c r="CF453" s="408"/>
      <c r="CG453" s="408"/>
      <c r="CH453" s="408"/>
      <c r="CI453" s="408">
        <v>63457.510999999999</v>
      </c>
      <c r="CJ453" s="408">
        <v>-4064.4625099999976</v>
      </c>
      <c r="CK453" s="408"/>
      <c r="CL453" s="408"/>
      <c r="CM453" s="408"/>
      <c r="CN453" s="408"/>
      <c r="CO453" s="408">
        <v>-7678.7771899999989</v>
      </c>
      <c r="CP453" s="408">
        <v>3059.3245900000002</v>
      </c>
      <c r="CQ453" s="408">
        <v>31</v>
      </c>
      <c r="CR453" s="408">
        <v>3671.0751381330701</v>
      </c>
      <c r="CS453" s="408">
        <v>76.720641442572969</v>
      </c>
      <c r="CT453" s="408">
        <v>357.73703268342524</v>
      </c>
      <c r="CU453" s="408">
        <v>0</v>
      </c>
      <c r="CV453" s="408">
        <v>0</v>
      </c>
      <c r="CW453" s="408">
        <v>0</v>
      </c>
      <c r="CX453" s="408">
        <v>0</v>
      </c>
      <c r="CY453" s="408">
        <v>0</v>
      </c>
      <c r="CZ453" s="408">
        <v>358.80122980041125</v>
      </c>
      <c r="DA453" s="408">
        <v>0</v>
      </c>
      <c r="DB453" s="408">
        <v>0</v>
      </c>
      <c r="DC453" s="408">
        <v>3058.9791745622751</v>
      </c>
      <c r="DD453" s="408">
        <v>0</v>
      </c>
      <c r="DE453" s="408">
        <v>0</v>
      </c>
      <c r="DF453" s="408">
        <v>0</v>
      </c>
      <c r="DG453" s="408">
        <v>160.54104420247972</v>
      </c>
      <c r="DH453" s="408">
        <v>0</v>
      </c>
      <c r="DI453" s="408">
        <v>-296.13803874823498</v>
      </c>
      <c r="DJ453" s="408"/>
      <c r="DK453" s="408">
        <v>0</v>
      </c>
      <c r="DL453" s="408">
        <v>0</v>
      </c>
      <c r="DM453" s="408">
        <v>0</v>
      </c>
      <c r="DN453" s="408">
        <v>0</v>
      </c>
      <c r="DO453" s="408">
        <v>-40.723740154524876</v>
      </c>
      <c r="DP453" s="408">
        <v>-4.8422056553206403</v>
      </c>
      <c r="DQ453" s="408">
        <v>0</v>
      </c>
      <c r="DR453" s="408">
        <v>0</v>
      </c>
      <c r="DS453" s="408"/>
      <c r="DT453" s="408"/>
      <c r="DU453" s="408"/>
      <c r="DV453" s="408">
        <v>33375.843428075634</v>
      </c>
      <c r="DW453" s="408">
        <v>0</v>
      </c>
      <c r="DX453" s="408">
        <v>0</v>
      </c>
      <c r="DY453" s="408">
        <v>-7678.7771899999934</v>
      </c>
      <c r="DZ453" s="408">
        <v>3059.3245900000002</v>
      </c>
      <c r="EA453" s="408">
        <v>0</v>
      </c>
      <c r="EB453" s="408">
        <v>0</v>
      </c>
      <c r="EC453" s="408">
        <v>-8291.1256474851907</v>
      </c>
      <c r="ED453" s="408">
        <v>0</v>
      </c>
      <c r="EE453" s="408">
        <v>0</v>
      </c>
      <c r="EF453" s="408">
        <v>0</v>
      </c>
      <c r="EG453" s="408">
        <v>0</v>
      </c>
      <c r="EH453" s="408">
        <v>0</v>
      </c>
      <c r="EI453" s="408">
        <v>0</v>
      </c>
      <c r="EJ453" s="408">
        <v>0</v>
      </c>
      <c r="EK453" s="408">
        <v>0</v>
      </c>
      <c r="EL453" s="408">
        <v>0</v>
      </c>
      <c r="EM453" s="408">
        <v>0</v>
      </c>
      <c r="EN453" s="408">
        <v>0</v>
      </c>
      <c r="EO453" s="408">
        <v>0</v>
      </c>
      <c r="EP453" s="408">
        <v>2227.1914368429029</v>
      </c>
      <c r="EQ453" s="408">
        <v>0</v>
      </c>
      <c r="ER453" s="408">
        <v>0</v>
      </c>
      <c r="ES453" s="408">
        <v>0</v>
      </c>
      <c r="ET453" s="408">
        <v>0</v>
      </c>
      <c r="EU453" s="408">
        <v>0</v>
      </c>
      <c r="EV453" s="408">
        <v>240</v>
      </c>
      <c r="EW453" s="408">
        <v>0</v>
      </c>
      <c r="EX453" s="408">
        <v>0</v>
      </c>
      <c r="EY453" s="408">
        <v>0</v>
      </c>
      <c r="EZ453" s="408"/>
      <c r="FA453" s="408">
        <v>0</v>
      </c>
      <c r="FB453" s="408"/>
      <c r="FC453" s="408"/>
      <c r="FD453" s="408"/>
      <c r="FE453" s="408"/>
      <c r="FF453" s="408">
        <v>0</v>
      </c>
      <c r="FG453" s="408">
        <v>0</v>
      </c>
      <c r="FH453" s="408">
        <v>0</v>
      </c>
      <c r="FI453" s="408">
        <v>0</v>
      </c>
    </row>
    <row r="454" spans="1:165">
      <c r="A454" s="408">
        <v>452</v>
      </c>
      <c r="B454" s="408" t="s">
        <v>2238</v>
      </c>
      <c r="C454" s="408" t="s">
        <v>2235</v>
      </c>
      <c r="D454" s="408" t="s">
        <v>2245</v>
      </c>
      <c r="E454" s="408" t="s">
        <v>974</v>
      </c>
      <c r="F454" s="408" t="s">
        <v>1322</v>
      </c>
      <c r="G454" s="408" t="s">
        <v>1322</v>
      </c>
      <c r="H454" s="408" t="s">
        <v>1322</v>
      </c>
      <c r="I454" s="408" t="s">
        <v>1322</v>
      </c>
      <c r="J454" s="408" t="s">
        <v>2236</v>
      </c>
      <c r="K454" s="826">
        <v>44562</v>
      </c>
      <c r="L454" s="408">
        <v>0</v>
      </c>
      <c r="M454" s="408">
        <v>0</v>
      </c>
      <c r="N454" s="408">
        <v>3.7050000000000001</v>
      </c>
      <c r="O454" s="408">
        <v>3.7050000000000001</v>
      </c>
      <c r="P454" s="408">
        <v>3.7050000000000001</v>
      </c>
      <c r="Q454" s="408">
        <v>3.7050000000000001</v>
      </c>
      <c r="R454" s="408"/>
      <c r="S454" s="408">
        <v>368.24</v>
      </c>
      <c r="T454" s="408">
        <v>173.25</v>
      </c>
      <c r="U454" s="408"/>
      <c r="V454" s="408">
        <v>2006.2204500000003</v>
      </c>
      <c r="W454" s="408">
        <v>2006.2204500000003</v>
      </c>
      <c r="X454" s="408">
        <v>1885.4374500000001</v>
      </c>
      <c r="Y454" s="408">
        <v>0</v>
      </c>
      <c r="Z454" s="408">
        <v>228.02490375366733</v>
      </c>
      <c r="AA454" s="408">
        <v>0</v>
      </c>
      <c r="AB454" s="408">
        <v>0</v>
      </c>
      <c r="AC454" s="408">
        <v>9.4830859368834375</v>
      </c>
      <c r="AD454" s="408">
        <v>9.111119116720598</v>
      </c>
      <c r="AE454" s="408">
        <v>872.66497696572526</v>
      </c>
      <c r="AF454" s="408">
        <v>631.11144351858468</v>
      </c>
      <c r="AG454" s="408">
        <v>10.771300230655333</v>
      </c>
      <c r="AH454" s="408">
        <v>0</v>
      </c>
      <c r="AI454" s="408">
        <v>0</v>
      </c>
      <c r="AJ454" s="408">
        <v>0</v>
      </c>
      <c r="AK454" s="408">
        <v>0</v>
      </c>
      <c r="AL454" s="408">
        <v>35.230957177490644</v>
      </c>
      <c r="AM454" s="408"/>
      <c r="AN454" s="408">
        <v>4.4751091267138774</v>
      </c>
      <c r="AO454" s="408">
        <v>20.130730504397633</v>
      </c>
      <c r="AP454" s="408">
        <v>93.86662651645473</v>
      </c>
      <c r="AQ454" s="408">
        <v>0</v>
      </c>
      <c r="AR454" s="408">
        <v>0</v>
      </c>
      <c r="AS454" s="408">
        <v>0</v>
      </c>
      <c r="AT454" s="408">
        <v>0</v>
      </c>
      <c r="AU454" s="408">
        <v>0</v>
      </c>
      <c r="AV454" s="408">
        <v>0</v>
      </c>
      <c r="AW454" s="408">
        <v>0</v>
      </c>
      <c r="AX454" s="408">
        <v>0</v>
      </c>
      <c r="AY454" s="408">
        <v>0</v>
      </c>
      <c r="AZ454" s="408">
        <v>0</v>
      </c>
      <c r="BA454" s="408"/>
      <c r="BB454" s="408">
        <v>0</v>
      </c>
      <c r="BC454" s="408">
        <v>0</v>
      </c>
      <c r="BD454" s="408">
        <v>0</v>
      </c>
      <c r="BE454" s="408">
        <v>0</v>
      </c>
      <c r="BF454" s="408">
        <v>0</v>
      </c>
      <c r="BG454" s="408">
        <v>33.121928711758308</v>
      </c>
      <c r="BH454" s="408">
        <v>0</v>
      </c>
      <c r="BI454" s="408">
        <v>1.54</v>
      </c>
      <c r="BJ454" s="408">
        <v>13.2</v>
      </c>
      <c r="BK454" s="408">
        <v>8.93</v>
      </c>
      <c r="BL454" s="408">
        <v>1</v>
      </c>
      <c r="BM454" s="408"/>
      <c r="BN454" s="408"/>
      <c r="BO454" s="408"/>
      <c r="BP454" s="408"/>
      <c r="BQ454" s="408"/>
      <c r="BR454" s="408">
        <v>226.22730000000001</v>
      </c>
      <c r="BS454" s="408"/>
      <c r="BT454" s="408"/>
      <c r="BU454" s="408"/>
      <c r="BV454" s="408">
        <v>664.23337223034298</v>
      </c>
      <c r="BW454" s="408"/>
      <c r="BX454" s="408"/>
      <c r="BY454" s="408"/>
      <c r="BZ454" s="408"/>
      <c r="CA454" s="408"/>
      <c r="CB454" s="408"/>
      <c r="CC454" s="408"/>
      <c r="CD454" s="408"/>
      <c r="CE454" s="408"/>
      <c r="CF454" s="408"/>
      <c r="CG454" s="408"/>
      <c r="CH454" s="408"/>
      <c r="CI454" s="408">
        <v>1661.4493</v>
      </c>
      <c r="CJ454" s="408">
        <v>-104.05025000000023</v>
      </c>
      <c r="CK454" s="408"/>
      <c r="CL454" s="408"/>
      <c r="CM454" s="408"/>
      <c r="CN454" s="408"/>
      <c r="CO454" s="408">
        <v>-200.77394999999999</v>
      </c>
      <c r="CP454" s="408">
        <v>79.990950000000012</v>
      </c>
      <c r="CQ454" s="408">
        <v>31</v>
      </c>
      <c r="CR454" s="408">
        <v>95.986149616326884</v>
      </c>
      <c r="CS454" s="408">
        <v>2.0059842664817644</v>
      </c>
      <c r="CT454" s="408">
        <v>9.3536086978362221</v>
      </c>
      <c r="CU454" s="408">
        <v>0</v>
      </c>
      <c r="CV454" s="408">
        <v>0</v>
      </c>
      <c r="CW454" s="408">
        <v>0</v>
      </c>
      <c r="CX454" s="408">
        <v>0</v>
      </c>
      <c r="CY454" s="408">
        <v>0</v>
      </c>
      <c r="CZ454" s="408">
        <v>9.3814338389321428</v>
      </c>
      <c r="DA454" s="408">
        <v>0</v>
      </c>
      <c r="DB454" s="408">
        <v>0</v>
      </c>
      <c r="DC454" s="408">
        <v>79.981918559172072</v>
      </c>
      <c r="DD454" s="408">
        <v>0</v>
      </c>
      <c r="DE454" s="408">
        <v>0</v>
      </c>
      <c r="DF454" s="408">
        <v>0</v>
      </c>
      <c r="DG454" s="408">
        <v>4.1976031839590888</v>
      </c>
      <c r="DH454" s="408">
        <v>0</v>
      </c>
      <c r="DI454" s="408">
        <v>-7.7430041676643953</v>
      </c>
      <c r="DJ454" s="408"/>
      <c r="DK454" s="408">
        <v>0</v>
      </c>
      <c r="DL454" s="408">
        <v>0</v>
      </c>
      <c r="DM454" s="408">
        <v>0</v>
      </c>
      <c r="DN454" s="408">
        <v>0</v>
      </c>
      <c r="DO454" s="408">
        <v>-1.0647875263584226</v>
      </c>
      <c r="DP454" s="408">
        <v>-0.12660723603194768</v>
      </c>
      <c r="DQ454" s="408">
        <v>0</v>
      </c>
      <c r="DR454" s="408">
        <v>0</v>
      </c>
      <c r="DS454" s="408"/>
      <c r="DT454" s="408"/>
      <c r="DU454" s="408"/>
      <c r="DV454" s="408">
        <v>872.66497696572526</v>
      </c>
      <c r="DW454" s="408">
        <v>0</v>
      </c>
      <c r="DX454" s="408">
        <v>0</v>
      </c>
      <c r="DY454" s="408">
        <v>-200.77395000000001</v>
      </c>
      <c r="DZ454" s="408">
        <v>79.990949999999998</v>
      </c>
      <c r="EA454" s="408">
        <v>0</v>
      </c>
      <c r="EB454" s="408">
        <v>0</v>
      </c>
      <c r="EC454" s="408">
        <v>-216.78478291566501</v>
      </c>
      <c r="ED454" s="408">
        <v>0</v>
      </c>
      <c r="EE454" s="408">
        <v>0</v>
      </c>
      <c r="EF454" s="408">
        <v>0</v>
      </c>
      <c r="EG454" s="408">
        <v>0</v>
      </c>
      <c r="EH454" s="408">
        <v>0</v>
      </c>
      <c r="EI454" s="408">
        <v>0</v>
      </c>
      <c r="EJ454" s="408">
        <v>0</v>
      </c>
      <c r="EK454" s="408">
        <v>0</v>
      </c>
      <c r="EL454" s="408">
        <v>0</v>
      </c>
      <c r="EM454" s="408">
        <v>0</v>
      </c>
      <c r="EN454" s="408">
        <v>0</v>
      </c>
      <c r="EO454" s="408">
        <v>0</v>
      </c>
      <c r="EP454" s="408">
        <v>58.233493578047835</v>
      </c>
      <c r="EQ454" s="408">
        <v>0</v>
      </c>
      <c r="ER454" s="408">
        <v>0</v>
      </c>
      <c r="ES454" s="408">
        <v>0</v>
      </c>
      <c r="ET454" s="408">
        <v>0</v>
      </c>
      <c r="EU454" s="408">
        <v>0</v>
      </c>
      <c r="EV454" s="408">
        <v>240</v>
      </c>
      <c r="EW454" s="408">
        <v>0</v>
      </c>
      <c r="EX454" s="408">
        <v>0</v>
      </c>
      <c r="EY454" s="408">
        <v>0</v>
      </c>
      <c r="EZ454" s="408"/>
      <c r="FA454" s="408">
        <v>0</v>
      </c>
      <c r="FB454" s="408"/>
      <c r="FC454" s="408"/>
      <c r="FD454" s="408"/>
      <c r="FE454" s="408"/>
      <c r="FF454" s="408">
        <v>0</v>
      </c>
      <c r="FG454" s="408">
        <v>0</v>
      </c>
      <c r="FH454" s="408">
        <v>0</v>
      </c>
      <c r="FI454" s="408">
        <v>0</v>
      </c>
    </row>
    <row r="455" spans="1:165">
      <c r="A455" s="408">
        <v>453</v>
      </c>
      <c r="B455" s="408" t="s">
        <v>1036</v>
      </c>
      <c r="C455" s="408" t="s">
        <v>2243</v>
      </c>
      <c r="D455" s="408" t="s">
        <v>597</v>
      </c>
      <c r="E455" s="408" t="s">
        <v>974</v>
      </c>
      <c r="F455" s="408" t="s">
        <v>1322</v>
      </c>
      <c r="G455" s="408" t="s">
        <v>1322</v>
      </c>
      <c r="H455" s="408" t="s">
        <v>1322</v>
      </c>
      <c r="I455" s="408" t="s">
        <v>973</v>
      </c>
      <c r="J455" s="408" t="s">
        <v>2236</v>
      </c>
      <c r="K455" s="826">
        <v>44562</v>
      </c>
      <c r="L455" s="408">
        <v>0</v>
      </c>
      <c r="M455" s="408">
        <v>0</v>
      </c>
      <c r="N455" s="408">
        <v>8.6080000000000005</v>
      </c>
      <c r="O455" s="408">
        <v>8.2636800000000008</v>
      </c>
      <c r="P455" s="408">
        <v>8.6080000000000005</v>
      </c>
      <c r="Q455" s="408">
        <v>8.2636800000000008</v>
      </c>
      <c r="R455" s="408"/>
      <c r="S455" s="408">
        <v>1358.36</v>
      </c>
      <c r="T455" s="408">
        <v>173.25</v>
      </c>
      <c r="U455" s="408"/>
      <c r="V455" s="408">
        <v>13184.09888</v>
      </c>
      <c r="W455" s="408">
        <v>13184.09888</v>
      </c>
      <c r="X455" s="408">
        <v>11559.855360000001</v>
      </c>
      <c r="Y455" s="408">
        <v>0</v>
      </c>
      <c r="Z455" s="408">
        <v>460.90941517275655</v>
      </c>
      <c r="AA455" s="408">
        <v>0</v>
      </c>
      <c r="AB455" s="408">
        <v>0</v>
      </c>
      <c r="AC455" s="408">
        <v>163.05349639230508</v>
      </c>
      <c r="AD455" s="408">
        <v>156.65833049721294</v>
      </c>
      <c r="AE455" s="408">
        <v>8681.2344262174993</v>
      </c>
      <c r="AF455" s="408">
        <v>1466.2907707983743</v>
      </c>
      <c r="AG455" s="408">
        <v>25.025466230899085</v>
      </c>
      <c r="AH455" s="408">
        <v>0</v>
      </c>
      <c r="AI455" s="408">
        <v>0</v>
      </c>
      <c r="AJ455" s="408">
        <v>0</v>
      </c>
      <c r="AK455" s="408">
        <v>0</v>
      </c>
      <c r="AL455" s="408">
        <v>81.853732627217127</v>
      </c>
      <c r="AM455" s="408"/>
      <c r="AN455" s="408">
        <v>6.8934054257008768</v>
      </c>
      <c r="AO455" s="408">
        <v>346.13475744070115</v>
      </c>
      <c r="AP455" s="408">
        <v>1613.9664389447776</v>
      </c>
      <c r="AQ455" s="408">
        <v>0</v>
      </c>
      <c r="AR455" s="408">
        <v>0</v>
      </c>
      <c r="AS455" s="408">
        <v>0</v>
      </c>
      <c r="AT455" s="408">
        <v>0</v>
      </c>
      <c r="AU455" s="408">
        <v>0</v>
      </c>
      <c r="AV455" s="408">
        <v>0</v>
      </c>
      <c r="AW455" s="408">
        <v>0</v>
      </c>
      <c r="AX455" s="408">
        <v>0</v>
      </c>
      <c r="AY455" s="408">
        <v>0</v>
      </c>
      <c r="AZ455" s="408">
        <v>0</v>
      </c>
      <c r="BA455" s="408"/>
      <c r="BB455" s="408">
        <v>0</v>
      </c>
      <c r="BC455" s="408">
        <v>0</v>
      </c>
      <c r="BD455" s="408">
        <v>0</v>
      </c>
      <c r="BE455" s="408">
        <v>0</v>
      </c>
      <c r="BF455" s="408">
        <v>0</v>
      </c>
      <c r="BG455" s="408">
        <v>64.376275866508081</v>
      </c>
      <c r="BH455" s="408">
        <v>0</v>
      </c>
      <c r="BI455" s="408">
        <v>0</v>
      </c>
      <c r="BJ455" s="408">
        <v>0</v>
      </c>
      <c r="BK455" s="408">
        <v>0</v>
      </c>
      <c r="BL455" s="408">
        <v>0</v>
      </c>
      <c r="BM455" s="408"/>
      <c r="BN455" s="408"/>
      <c r="BO455" s="408"/>
      <c r="BP455" s="408"/>
      <c r="BQ455" s="408"/>
      <c r="BR455" s="408">
        <v>462.39421439999961</v>
      </c>
      <c r="BS455" s="408"/>
      <c r="BT455" s="408"/>
      <c r="BU455" s="408"/>
      <c r="BV455" s="408">
        <v>1530.6670466648825</v>
      </c>
      <c r="BW455" s="408"/>
      <c r="BX455" s="408"/>
      <c r="BY455" s="408"/>
      <c r="BZ455" s="408"/>
      <c r="CA455" s="408"/>
      <c r="CB455" s="408"/>
      <c r="CC455" s="408"/>
      <c r="CD455" s="408"/>
      <c r="CE455" s="408"/>
      <c r="CF455" s="408"/>
      <c r="CG455" s="408"/>
      <c r="CH455" s="408"/>
      <c r="CI455" s="408">
        <v>11092.519199999999</v>
      </c>
      <c r="CJ455" s="408">
        <v>-1564.245724800001</v>
      </c>
      <c r="CK455" s="408"/>
      <c r="CL455" s="408"/>
      <c r="CM455" s="408"/>
      <c r="CN455" s="408"/>
      <c r="CO455" s="408">
        <v>-1810.0902399999998</v>
      </c>
      <c r="CP455" s="408">
        <v>185.84672000000003</v>
      </c>
      <c r="CQ455" s="408">
        <v>31</v>
      </c>
      <c r="CR455" s="408">
        <v>532.2904092065246</v>
      </c>
      <c r="CS455" s="408">
        <v>34.491588735780738</v>
      </c>
      <c r="CT455" s="408">
        <v>160.82830588018783</v>
      </c>
      <c r="CU455" s="408">
        <v>0</v>
      </c>
      <c r="CV455" s="408">
        <v>0</v>
      </c>
      <c r="CW455" s="408">
        <v>0</v>
      </c>
      <c r="CX455" s="408">
        <v>0</v>
      </c>
      <c r="CY455" s="408">
        <v>0</v>
      </c>
      <c r="CZ455" s="408">
        <v>161.3061737037367</v>
      </c>
      <c r="DA455" s="408">
        <v>0</v>
      </c>
      <c r="DB455" s="408">
        <v>0</v>
      </c>
      <c r="DC455" s="408">
        <v>185.82573683059468</v>
      </c>
      <c r="DD455" s="408">
        <v>0</v>
      </c>
      <c r="DE455" s="408">
        <v>0</v>
      </c>
      <c r="DF455" s="408">
        <v>0</v>
      </c>
      <c r="DG455" s="408">
        <v>8.1585243087834556</v>
      </c>
      <c r="DH455" s="408">
        <v>0</v>
      </c>
      <c r="DI455" s="408">
        <v>-15.651025233865198</v>
      </c>
      <c r="DJ455" s="408"/>
      <c r="DK455" s="408">
        <v>0</v>
      </c>
      <c r="DL455" s="408">
        <v>0</v>
      </c>
      <c r="DM455" s="408">
        <v>0</v>
      </c>
      <c r="DN455" s="408">
        <v>0</v>
      </c>
      <c r="DO455" s="408">
        <v>-2.473870722508309</v>
      </c>
      <c r="DP455" s="408">
        <v>-0.19502429618660955</v>
      </c>
      <c r="DQ455" s="408">
        <v>0</v>
      </c>
      <c r="DR455" s="408">
        <v>0</v>
      </c>
      <c r="DS455" s="408"/>
      <c r="DT455" s="408"/>
      <c r="DU455" s="408"/>
      <c r="DV455" s="408">
        <v>8681.2344262174993</v>
      </c>
      <c r="DW455" s="408">
        <v>0</v>
      </c>
      <c r="DX455" s="408">
        <v>0</v>
      </c>
      <c r="DY455" s="408">
        <v>-1810.0902399999995</v>
      </c>
      <c r="DZ455" s="408">
        <v>185.84672000000023</v>
      </c>
      <c r="EA455" s="408">
        <v>0</v>
      </c>
      <c r="EB455" s="408">
        <v>0</v>
      </c>
      <c r="EC455" s="408">
        <v>-2156.5658874854435</v>
      </c>
      <c r="ED455" s="408">
        <v>0</v>
      </c>
      <c r="EE455" s="408">
        <v>0</v>
      </c>
      <c r="EF455" s="408">
        <v>0</v>
      </c>
      <c r="EG455" s="408">
        <v>0</v>
      </c>
      <c r="EH455" s="408">
        <v>0</v>
      </c>
      <c r="EI455" s="408">
        <v>0</v>
      </c>
      <c r="EJ455" s="408">
        <v>0</v>
      </c>
      <c r="EK455" s="408">
        <v>0</v>
      </c>
      <c r="EL455" s="408">
        <v>0</v>
      </c>
      <c r="EM455" s="408">
        <v>0</v>
      </c>
      <c r="EN455" s="408">
        <v>0</v>
      </c>
      <c r="EO455" s="408">
        <v>0</v>
      </c>
      <c r="EP455" s="408">
        <v>117.70804428239086</v>
      </c>
      <c r="EQ455" s="408">
        <v>0</v>
      </c>
      <c r="ER455" s="408">
        <v>0</v>
      </c>
      <c r="ES455" s="408">
        <v>0</v>
      </c>
      <c r="ET455" s="408">
        <v>0</v>
      </c>
      <c r="EU455" s="408">
        <v>0</v>
      </c>
      <c r="EV455" s="408">
        <v>240</v>
      </c>
      <c r="EW455" s="408">
        <v>0</v>
      </c>
      <c r="EX455" s="408">
        <v>0</v>
      </c>
      <c r="EY455" s="408">
        <v>0</v>
      </c>
      <c r="EZ455" s="408"/>
      <c r="FA455" s="408">
        <v>0</v>
      </c>
      <c r="FB455" s="408"/>
      <c r="FC455" s="408"/>
      <c r="FD455" s="408"/>
      <c r="FE455" s="408"/>
      <c r="FF455" s="408">
        <v>0</v>
      </c>
      <c r="FG455" s="408">
        <v>0</v>
      </c>
      <c r="FH455" s="408">
        <v>0</v>
      </c>
      <c r="FI455" s="408">
        <v>0</v>
      </c>
    </row>
    <row r="456" spans="1:165">
      <c r="A456" s="408">
        <v>454</v>
      </c>
      <c r="B456" s="408" t="s">
        <v>1036</v>
      </c>
      <c r="C456" s="408" t="s">
        <v>2243</v>
      </c>
      <c r="D456" s="408" t="s">
        <v>597</v>
      </c>
      <c r="E456" s="408" t="s">
        <v>974</v>
      </c>
      <c r="F456" s="408" t="s">
        <v>1322</v>
      </c>
      <c r="G456" s="408" t="s">
        <v>1322</v>
      </c>
      <c r="H456" s="408" t="s">
        <v>1322</v>
      </c>
      <c r="I456" s="408" t="s">
        <v>2244</v>
      </c>
      <c r="J456" s="408" t="s">
        <v>2236</v>
      </c>
      <c r="K456" s="826">
        <v>44562</v>
      </c>
      <c r="L456" s="408">
        <v>0</v>
      </c>
      <c r="M456" s="408">
        <v>0</v>
      </c>
      <c r="N456" s="408">
        <v>95.438000000000002</v>
      </c>
      <c r="O456" s="408">
        <v>91.620480000000001</v>
      </c>
      <c r="P456" s="408">
        <v>95.438000000000002</v>
      </c>
      <c r="Q456" s="408">
        <v>91.620480000000001</v>
      </c>
      <c r="R456" s="408"/>
      <c r="S456" s="408">
        <v>85.01</v>
      </c>
      <c r="T456" s="408">
        <v>173.25</v>
      </c>
      <c r="U456" s="408"/>
      <c r="V456" s="408">
        <v>24647.817880000002</v>
      </c>
      <c r="W456" s="408">
        <v>24647.817880000002</v>
      </c>
      <c r="X456" s="408">
        <v>26595.707460000001</v>
      </c>
      <c r="Y456" s="408">
        <v>0</v>
      </c>
      <c r="Z456" s="408">
        <v>5110.161798937911</v>
      </c>
      <c r="AA456" s="408">
        <v>0</v>
      </c>
      <c r="AB456" s="408">
        <v>0</v>
      </c>
      <c r="AC456" s="408">
        <v>0</v>
      </c>
      <c r="AD456" s="408">
        <v>0</v>
      </c>
      <c r="AE456" s="408">
        <v>0</v>
      </c>
      <c r="AF456" s="408">
        <v>16256.953831721103</v>
      </c>
      <c r="AG456" s="408">
        <v>277.46055368779582</v>
      </c>
      <c r="AH456" s="408">
        <v>0</v>
      </c>
      <c r="AI456" s="408">
        <v>0</v>
      </c>
      <c r="AJ456" s="408">
        <v>0</v>
      </c>
      <c r="AK456" s="408">
        <v>0</v>
      </c>
      <c r="AL456" s="408">
        <v>907.5228316073825</v>
      </c>
      <c r="AM456" s="408"/>
      <c r="AN456" s="408">
        <v>76.428070053210988</v>
      </c>
      <c r="AO456" s="408">
        <v>0</v>
      </c>
      <c r="AP456" s="408">
        <v>0</v>
      </c>
      <c r="AQ456" s="408">
        <v>0</v>
      </c>
      <c r="AR456" s="408">
        <v>0</v>
      </c>
      <c r="AS456" s="408">
        <v>0</v>
      </c>
      <c r="AT456" s="408">
        <v>0</v>
      </c>
      <c r="AU456" s="408">
        <v>0</v>
      </c>
      <c r="AV456" s="408">
        <v>0</v>
      </c>
      <c r="AW456" s="408">
        <v>0</v>
      </c>
      <c r="AX456" s="408">
        <v>0</v>
      </c>
      <c r="AY456" s="408">
        <v>0</v>
      </c>
      <c r="AZ456" s="408">
        <v>0</v>
      </c>
      <c r="BA456" s="408"/>
      <c r="BB456" s="408">
        <v>0</v>
      </c>
      <c r="BC456" s="408">
        <v>0</v>
      </c>
      <c r="BD456" s="408">
        <v>0</v>
      </c>
      <c r="BE456" s="408">
        <v>0</v>
      </c>
      <c r="BF456" s="408">
        <v>0</v>
      </c>
      <c r="BG456" s="408">
        <v>713.74802696884262</v>
      </c>
      <c r="BH456" s="408">
        <v>0</v>
      </c>
      <c r="BI456" s="408">
        <v>0</v>
      </c>
      <c r="BJ456" s="408">
        <v>0</v>
      </c>
      <c r="BK456" s="408">
        <v>0</v>
      </c>
      <c r="BL456" s="408">
        <v>0</v>
      </c>
      <c r="BM456" s="408"/>
      <c r="BN456" s="408"/>
      <c r="BO456" s="408"/>
      <c r="BP456" s="408"/>
      <c r="BQ456" s="408"/>
      <c r="BR456" s="408">
        <v>1063.8282984000004</v>
      </c>
      <c r="BS456" s="408"/>
      <c r="BT456" s="408"/>
      <c r="BU456" s="408"/>
      <c r="BV456" s="408">
        <v>16970.701858689947</v>
      </c>
      <c r="BW456" s="408"/>
      <c r="BX456" s="408"/>
      <c r="BY456" s="408"/>
      <c r="BZ456" s="408"/>
      <c r="CA456" s="408"/>
      <c r="CB456" s="408"/>
      <c r="CC456" s="408"/>
      <c r="CD456" s="408"/>
      <c r="CE456" s="408"/>
      <c r="CF456" s="408"/>
      <c r="CG456" s="408"/>
      <c r="CH456" s="408"/>
      <c r="CI456" s="408">
        <v>25531.7454</v>
      </c>
      <c r="CJ456" s="408">
        <v>1869.8102351999987</v>
      </c>
      <c r="CK456" s="408"/>
      <c r="CL456" s="408"/>
      <c r="CM456" s="408"/>
      <c r="CN456" s="408"/>
      <c r="CO456" s="408">
        <v>-112.61684000000065</v>
      </c>
      <c r="CP456" s="408">
        <v>2060.5064200000002</v>
      </c>
      <c r="CQ456" s="408">
        <v>31</v>
      </c>
      <c r="CR456" s="408">
        <v>1947.6130768536423</v>
      </c>
      <c r="CS456" s="408">
        <v>0</v>
      </c>
      <c r="CT456" s="408">
        <v>0</v>
      </c>
      <c r="CU456" s="408">
        <v>0</v>
      </c>
      <c r="CV456" s="408">
        <v>0</v>
      </c>
      <c r="CW456" s="408">
        <v>0</v>
      </c>
      <c r="CX456" s="408">
        <v>0</v>
      </c>
      <c r="CY456" s="408">
        <v>0</v>
      </c>
      <c r="CZ456" s="408">
        <v>0</v>
      </c>
      <c r="DA456" s="408">
        <v>0</v>
      </c>
      <c r="DB456" s="408">
        <v>0</v>
      </c>
      <c r="DC456" s="408">
        <v>2060.2737769096511</v>
      </c>
      <c r="DD456" s="408">
        <v>0</v>
      </c>
      <c r="DE456" s="408">
        <v>0</v>
      </c>
      <c r="DF456" s="408">
        <v>0</v>
      </c>
      <c r="DG456" s="408">
        <v>90.454605364971712</v>
      </c>
      <c r="DH456" s="408">
        <v>0</v>
      </c>
      <c r="DI456" s="408">
        <v>-173.52492405548583</v>
      </c>
      <c r="DJ456" s="408"/>
      <c r="DK456" s="408">
        <v>0</v>
      </c>
      <c r="DL456" s="408">
        <v>0</v>
      </c>
      <c r="DM456" s="408">
        <v>0</v>
      </c>
      <c r="DN456" s="408">
        <v>0</v>
      </c>
      <c r="DO456" s="408">
        <v>-27.428121981267282</v>
      </c>
      <c r="DP456" s="408">
        <v>-2.1622593842306657</v>
      </c>
      <c r="DQ456" s="408">
        <v>0</v>
      </c>
      <c r="DR456" s="408">
        <v>0</v>
      </c>
      <c r="DS456" s="408"/>
      <c r="DT456" s="408"/>
      <c r="DU456" s="408"/>
      <c r="DV456" s="408">
        <v>0</v>
      </c>
      <c r="DW456" s="408">
        <v>0</v>
      </c>
      <c r="DX456" s="408">
        <v>0</v>
      </c>
      <c r="DY456" s="408">
        <v>-112.61684000000059</v>
      </c>
      <c r="DZ456" s="408">
        <v>2060.5064200000015</v>
      </c>
      <c r="EA456" s="408">
        <v>0</v>
      </c>
      <c r="EB456" s="408">
        <v>0</v>
      </c>
      <c r="EC456" s="408">
        <v>0</v>
      </c>
      <c r="ED456" s="408">
        <v>0</v>
      </c>
      <c r="EE456" s="408">
        <v>0</v>
      </c>
      <c r="EF456" s="408">
        <v>0</v>
      </c>
      <c r="EG456" s="408">
        <v>0</v>
      </c>
      <c r="EH456" s="408">
        <v>0</v>
      </c>
      <c r="EI456" s="408">
        <v>0</v>
      </c>
      <c r="EJ456" s="408">
        <v>0</v>
      </c>
      <c r="EK456" s="408">
        <v>0</v>
      </c>
      <c r="EL456" s="408">
        <v>0</v>
      </c>
      <c r="EM456" s="408">
        <v>0</v>
      </c>
      <c r="EN456" s="408">
        <v>0</v>
      </c>
      <c r="EO456" s="408">
        <v>0</v>
      </c>
      <c r="EP456" s="408">
        <v>1305.0441833437289</v>
      </c>
      <c r="EQ456" s="408">
        <v>0</v>
      </c>
      <c r="ER456" s="408">
        <v>0</v>
      </c>
      <c r="ES456" s="408">
        <v>0</v>
      </c>
      <c r="ET456" s="408">
        <v>0</v>
      </c>
      <c r="EU456" s="408">
        <v>0</v>
      </c>
      <c r="EV456" s="408">
        <v>240</v>
      </c>
      <c r="EW456" s="408">
        <v>0</v>
      </c>
      <c r="EX456" s="408">
        <v>0</v>
      </c>
      <c r="EY456" s="408">
        <v>0</v>
      </c>
      <c r="EZ456" s="408"/>
      <c r="FA456" s="408">
        <v>0</v>
      </c>
      <c r="FB456" s="408"/>
      <c r="FC456" s="408"/>
      <c r="FD456" s="408"/>
      <c r="FE456" s="408"/>
      <c r="FF456" s="408">
        <v>0</v>
      </c>
      <c r="FG456" s="408">
        <v>0</v>
      </c>
      <c r="FH456" s="408">
        <v>0</v>
      </c>
      <c r="FI456" s="408">
        <v>0</v>
      </c>
    </row>
    <row r="457" spans="1:165">
      <c r="A457" s="408">
        <v>455</v>
      </c>
      <c r="B457" s="408" t="s">
        <v>2238</v>
      </c>
      <c r="C457" s="408" t="s">
        <v>2243</v>
      </c>
      <c r="D457" s="408" t="s">
        <v>597</v>
      </c>
      <c r="E457" s="408" t="s">
        <v>974</v>
      </c>
      <c r="F457" s="408" t="s">
        <v>1322</v>
      </c>
      <c r="G457" s="408" t="s">
        <v>1322</v>
      </c>
      <c r="H457" s="408" t="s">
        <v>1322</v>
      </c>
      <c r="I457" s="408" t="s">
        <v>2244</v>
      </c>
      <c r="J457" s="408" t="s">
        <v>2236</v>
      </c>
      <c r="K457" s="826">
        <v>44562</v>
      </c>
      <c r="L457" s="408">
        <v>0</v>
      </c>
      <c r="M457" s="408">
        <v>0</v>
      </c>
      <c r="N457" s="408">
        <v>50.087000000000003</v>
      </c>
      <c r="O457" s="408">
        <v>48.08352</v>
      </c>
      <c r="P457" s="408">
        <v>50.087000000000003</v>
      </c>
      <c r="Q457" s="408">
        <v>48.08352</v>
      </c>
      <c r="R457" s="408"/>
      <c r="S457" s="408">
        <v>85.01</v>
      </c>
      <c r="T457" s="408">
        <v>173.25</v>
      </c>
      <c r="U457" s="408"/>
      <c r="V457" s="408">
        <v>12935.468620000001</v>
      </c>
      <c r="W457" s="408">
        <v>12935.468620000001</v>
      </c>
      <c r="X457" s="408">
        <v>13957.744290000001</v>
      </c>
      <c r="Y457" s="408">
        <v>0</v>
      </c>
      <c r="Z457" s="408">
        <v>2681.8738240889707</v>
      </c>
      <c r="AA457" s="408">
        <v>0</v>
      </c>
      <c r="AB457" s="408">
        <v>0</v>
      </c>
      <c r="AC457" s="408">
        <v>0</v>
      </c>
      <c r="AD457" s="408">
        <v>0</v>
      </c>
      <c r="AE457" s="408">
        <v>0</v>
      </c>
      <c r="AF457" s="408">
        <v>8531.8431502065723</v>
      </c>
      <c r="AG457" s="408">
        <v>145.6146058442196</v>
      </c>
      <c r="AH457" s="408">
        <v>0</v>
      </c>
      <c r="AI457" s="408">
        <v>0</v>
      </c>
      <c r="AJ457" s="408">
        <v>0</v>
      </c>
      <c r="AK457" s="408">
        <v>0</v>
      </c>
      <c r="AL457" s="408">
        <v>476.27879950039784</v>
      </c>
      <c r="AM457" s="408"/>
      <c r="AN457" s="408">
        <v>40.110362169735104</v>
      </c>
      <c r="AO457" s="408">
        <v>0</v>
      </c>
      <c r="AP457" s="408">
        <v>0</v>
      </c>
      <c r="AQ457" s="408">
        <v>0</v>
      </c>
      <c r="AR457" s="408">
        <v>0</v>
      </c>
      <c r="AS457" s="408">
        <v>0</v>
      </c>
      <c r="AT457" s="408">
        <v>0</v>
      </c>
      <c r="AU457" s="408">
        <v>0</v>
      </c>
      <c r="AV457" s="408">
        <v>0</v>
      </c>
      <c r="AW457" s="408">
        <v>0</v>
      </c>
      <c r="AX457" s="408">
        <v>0</v>
      </c>
      <c r="AY457" s="408">
        <v>0</v>
      </c>
      <c r="AZ457" s="408">
        <v>0</v>
      </c>
      <c r="BA457" s="408"/>
      <c r="BB457" s="408">
        <v>0</v>
      </c>
      <c r="BC457" s="408">
        <v>0</v>
      </c>
      <c r="BD457" s="408">
        <v>0</v>
      </c>
      <c r="BE457" s="408">
        <v>0</v>
      </c>
      <c r="BF457" s="408">
        <v>0</v>
      </c>
      <c r="BG457" s="408">
        <v>374.58347227297747</v>
      </c>
      <c r="BH457" s="408">
        <v>0</v>
      </c>
      <c r="BI457" s="408">
        <v>0</v>
      </c>
      <c r="BJ457" s="408">
        <v>0</v>
      </c>
      <c r="BK457" s="408">
        <v>0</v>
      </c>
      <c r="BL457" s="408">
        <v>0</v>
      </c>
      <c r="BM457" s="408"/>
      <c r="BN457" s="408"/>
      <c r="BO457" s="408"/>
      <c r="BP457" s="408"/>
      <c r="BQ457" s="408"/>
      <c r="BR457" s="408">
        <v>558.30977160000089</v>
      </c>
      <c r="BS457" s="408"/>
      <c r="BT457" s="408"/>
      <c r="BU457" s="408"/>
      <c r="BV457" s="408">
        <v>8906.4266224795501</v>
      </c>
      <c r="BW457" s="408"/>
      <c r="BX457" s="408"/>
      <c r="BY457" s="408"/>
      <c r="BZ457" s="408"/>
      <c r="CA457" s="408"/>
      <c r="CB457" s="408"/>
      <c r="CC457" s="408"/>
      <c r="CD457" s="408"/>
      <c r="CE457" s="408"/>
      <c r="CF457" s="408"/>
      <c r="CG457" s="408"/>
      <c r="CH457" s="408"/>
      <c r="CI457" s="408">
        <v>13398.453599999999</v>
      </c>
      <c r="CJ457" s="408">
        <v>980.37372479999794</v>
      </c>
      <c r="CK457" s="408"/>
      <c r="CL457" s="408"/>
      <c r="CM457" s="408"/>
      <c r="CN457" s="408"/>
      <c r="CO457" s="408">
        <v>-59.102660000000348</v>
      </c>
      <c r="CP457" s="408">
        <v>1081.3783300000002</v>
      </c>
      <c r="CQ457" s="408">
        <v>31</v>
      </c>
      <c r="CR457" s="408">
        <v>1022.1305578529318</v>
      </c>
      <c r="CS457" s="408">
        <v>0</v>
      </c>
      <c r="CT457" s="408">
        <v>0</v>
      </c>
      <c r="CU457" s="408">
        <v>0</v>
      </c>
      <c r="CV457" s="408">
        <v>0</v>
      </c>
      <c r="CW457" s="408">
        <v>0</v>
      </c>
      <c r="CX457" s="408">
        <v>0</v>
      </c>
      <c r="CY457" s="408">
        <v>0</v>
      </c>
      <c r="CZ457" s="408">
        <v>0</v>
      </c>
      <c r="DA457" s="408">
        <v>0</v>
      </c>
      <c r="DB457" s="408">
        <v>0</v>
      </c>
      <c r="DC457" s="408">
        <v>1081.2562361331311</v>
      </c>
      <c r="DD457" s="408">
        <v>0</v>
      </c>
      <c r="DE457" s="408">
        <v>0</v>
      </c>
      <c r="DF457" s="408">
        <v>0</v>
      </c>
      <c r="DG457" s="408">
        <v>47.471655094567552</v>
      </c>
      <c r="DH457" s="408">
        <v>0</v>
      </c>
      <c r="DI457" s="408">
        <v>-91.067948523304494</v>
      </c>
      <c r="DJ457" s="408"/>
      <c r="DK457" s="408">
        <v>0</v>
      </c>
      <c r="DL457" s="408">
        <v>0</v>
      </c>
      <c r="DM457" s="408">
        <v>0</v>
      </c>
      <c r="DN457" s="408">
        <v>0</v>
      </c>
      <c r="DO457" s="408">
        <v>-14.394605352959388</v>
      </c>
      <c r="DP457" s="408">
        <v>-1.1347794985012385</v>
      </c>
      <c r="DQ457" s="408">
        <v>0</v>
      </c>
      <c r="DR457" s="408">
        <v>0</v>
      </c>
      <c r="DS457" s="408"/>
      <c r="DT457" s="408"/>
      <c r="DU457" s="408"/>
      <c r="DV457" s="408">
        <v>0</v>
      </c>
      <c r="DW457" s="408">
        <v>0</v>
      </c>
      <c r="DX457" s="408">
        <v>0</v>
      </c>
      <c r="DY457" s="408">
        <v>-59.102660000000469</v>
      </c>
      <c r="DZ457" s="408">
        <v>1081.3783299999996</v>
      </c>
      <c r="EA457" s="408">
        <v>0</v>
      </c>
      <c r="EB457" s="408">
        <v>0</v>
      </c>
      <c r="EC457" s="408">
        <v>0</v>
      </c>
      <c r="ED457" s="408">
        <v>0</v>
      </c>
      <c r="EE457" s="408">
        <v>0</v>
      </c>
      <c r="EF457" s="408">
        <v>0</v>
      </c>
      <c r="EG457" s="408">
        <v>0</v>
      </c>
      <c r="EH457" s="408">
        <v>0</v>
      </c>
      <c r="EI457" s="408">
        <v>0</v>
      </c>
      <c r="EJ457" s="408">
        <v>0</v>
      </c>
      <c r="EK457" s="408">
        <v>0</v>
      </c>
      <c r="EL457" s="408">
        <v>0</v>
      </c>
      <c r="EM457" s="408">
        <v>0</v>
      </c>
      <c r="EN457" s="408">
        <v>0</v>
      </c>
      <c r="EO457" s="408">
        <v>0</v>
      </c>
      <c r="EP457" s="408">
        <v>684.90274325884195</v>
      </c>
      <c r="EQ457" s="408">
        <v>0</v>
      </c>
      <c r="ER457" s="408">
        <v>0</v>
      </c>
      <c r="ES457" s="408">
        <v>0</v>
      </c>
      <c r="ET457" s="408">
        <v>0</v>
      </c>
      <c r="EU457" s="408">
        <v>0</v>
      </c>
      <c r="EV457" s="408">
        <v>240</v>
      </c>
      <c r="EW457" s="408">
        <v>0</v>
      </c>
      <c r="EX457" s="408">
        <v>0</v>
      </c>
      <c r="EY457" s="408">
        <v>0</v>
      </c>
      <c r="EZ457" s="408"/>
      <c r="FA457" s="408">
        <v>0</v>
      </c>
      <c r="FB457" s="408"/>
      <c r="FC457" s="408"/>
      <c r="FD457" s="408"/>
      <c r="FE457" s="408"/>
      <c r="FF457" s="408">
        <v>0</v>
      </c>
      <c r="FG457" s="408">
        <v>0</v>
      </c>
      <c r="FH457" s="408">
        <v>0</v>
      </c>
      <c r="FI457" s="408">
        <v>0</v>
      </c>
    </row>
    <row r="458" spans="1:165">
      <c r="A458" s="408">
        <v>456</v>
      </c>
      <c r="B458" s="408" t="s">
        <v>1036</v>
      </c>
      <c r="C458" s="408" t="s">
        <v>2243</v>
      </c>
      <c r="D458" s="408" t="s">
        <v>597</v>
      </c>
      <c r="E458" s="408" t="s">
        <v>974</v>
      </c>
      <c r="F458" s="408" t="s">
        <v>1322</v>
      </c>
      <c r="G458" s="408" t="s">
        <v>1322</v>
      </c>
      <c r="H458" s="408" t="s">
        <v>1322</v>
      </c>
      <c r="I458" s="408" t="s">
        <v>1322</v>
      </c>
      <c r="J458" s="408" t="s">
        <v>2236</v>
      </c>
      <c r="K458" s="826">
        <v>44562</v>
      </c>
      <c r="L458" s="408">
        <v>663</v>
      </c>
      <c r="M458" s="408">
        <v>636.48</v>
      </c>
      <c r="N458" s="408">
        <v>0</v>
      </c>
      <c r="O458" s="408">
        <v>0</v>
      </c>
      <c r="P458" s="408">
        <v>0</v>
      </c>
      <c r="Q458" s="408">
        <v>0</v>
      </c>
      <c r="R458" s="408">
        <v>27.19</v>
      </c>
      <c r="S458" s="408"/>
      <c r="T458" s="408"/>
      <c r="U458" s="408">
        <v>18026.97</v>
      </c>
      <c r="V458" s="408"/>
      <c r="W458" s="408">
        <v>18026.97</v>
      </c>
      <c r="X458" s="408">
        <v>14426.880000000001</v>
      </c>
      <c r="Y458" s="408">
        <v>0</v>
      </c>
      <c r="Z458" s="408">
        <v>0</v>
      </c>
      <c r="AA458" s="408">
        <v>0</v>
      </c>
      <c r="AB458" s="408">
        <v>0</v>
      </c>
      <c r="AC458" s="408">
        <v>154.61200670247493</v>
      </c>
      <c r="AD458" s="408">
        <v>148.53509850259113</v>
      </c>
      <c r="AE458" s="408">
        <v>15866.936051214749</v>
      </c>
      <c r="AF458" s="408"/>
      <c r="AG458" s="408"/>
      <c r="AH458" s="408"/>
      <c r="AI458" s="408">
        <v>0</v>
      </c>
      <c r="AJ458" s="408">
        <v>0</v>
      </c>
      <c r="AK458" s="408">
        <v>0</v>
      </c>
      <c r="AL458" s="408">
        <v>0</v>
      </c>
      <c r="AM458" s="408"/>
      <c r="AN458" s="408">
        <v>0</v>
      </c>
      <c r="AO458" s="408">
        <v>328.10864301297761</v>
      </c>
      <c r="AP458" s="408">
        <v>1530.262902916618</v>
      </c>
      <c r="AQ458" s="408">
        <v>0</v>
      </c>
      <c r="AR458" s="408">
        <v>0</v>
      </c>
      <c r="AS458" s="408"/>
      <c r="AT458" s="408"/>
      <c r="AU458" s="408">
        <v>0</v>
      </c>
      <c r="AV458" s="408">
        <v>0</v>
      </c>
      <c r="AW458" s="408">
        <v>0</v>
      </c>
      <c r="AX458" s="408"/>
      <c r="AY458" s="408"/>
      <c r="AZ458" s="408">
        <v>0</v>
      </c>
      <c r="BA458" s="408"/>
      <c r="BB458" s="408">
        <v>0</v>
      </c>
      <c r="BC458" s="408">
        <v>0</v>
      </c>
      <c r="BD458" s="408">
        <v>0</v>
      </c>
      <c r="BE458" s="408">
        <v>0</v>
      </c>
      <c r="BF458" s="408"/>
      <c r="BG458" s="408">
        <v>0</v>
      </c>
      <c r="BH458" s="408">
        <v>0</v>
      </c>
      <c r="BI458" s="408">
        <v>46.19</v>
      </c>
      <c r="BJ458" s="408">
        <v>396.19</v>
      </c>
      <c r="BK458" s="408">
        <v>28.31</v>
      </c>
      <c r="BL458" s="408">
        <v>4</v>
      </c>
      <c r="BM458" s="408"/>
      <c r="BN458" s="408"/>
      <c r="BO458" s="408"/>
      <c r="BP458" s="408"/>
      <c r="BQ458" s="408"/>
      <c r="BR458" s="408">
        <v>577.07519999999965</v>
      </c>
      <c r="BS458" s="408"/>
      <c r="BT458" s="408"/>
      <c r="BU458" s="408"/>
      <c r="BV458" s="408">
        <v>0</v>
      </c>
      <c r="BW458" s="408"/>
      <c r="BX458" s="408"/>
      <c r="BY458" s="408"/>
      <c r="BZ458" s="408"/>
      <c r="CA458" s="408"/>
      <c r="CB458" s="408"/>
      <c r="CC458" s="408"/>
      <c r="CD458" s="408"/>
      <c r="CE458" s="408"/>
      <c r="CF458" s="408"/>
      <c r="CG458" s="408"/>
      <c r="CH458" s="408"/>
      <c r="CI458" s="408">
        <v>13849.804800000002</v>
      </c>
      <c r="CJ458" s="408">
        <v>-3456.1163999999953</v>
      </c>
      <c r="CK458" s="408"/>
      <c r="CL458" s="408"/>
      <c r="CM458" s="408"/>
      <c r="CN458" s="408"/>
      <c r="CO458" s="408">
        <v>-3600.0899999999997</v>
      </c>
      <c r="CP458" s="408">
        <v>0</v>
      </c>
      <c r="CQ458" s="408">
        <v>31</v>
      </c>
      <c r="CR458" s="408">
        <v>338.12468866629479</v>
      </c>
      <c r="CS458" s="408">
        <v>32.695324962843813</v>
      </c>
      <c r="CT458" s="408">
        <v>152.48742742648483</v>
      </c>
      <c r="CU458" s="408">
        <v>0</v>
      </c>
      <c r="CV458" s="408">
        <v>0</v>
      </c>
      <c r="CW458" s="408"/>
      <c r="CX458" s="408"/>
      <c r="CY458" s="408"/>
      <c r="CZ458" s="408">
        <v>152.94193627696623</v>
      </c>
      <c r="DA458" s="408">
        <v>0</v>
      </c>
      <c r="DB458" s="408">
        <v>0</v>
      </c>
      <c r="DC458" s="408"/>
      <c r="DD458" s="408"/>
      <c r="DE458" s="408">
        <v>0</v>
      </c>
      <c r="DF458" s="408">
        <v>0</v>
      </c>
      <c r="DG458" s="408">
        <v>0</v>
      </c>
      <c r="DH458" s="408">
        <v>0</v>
      </c>
      <c r="DI458" s="408">
        <v>0</v>
      </c>
      <c r="DJ458" s="408"/>
      <c r="DK458" s="408">
        <v>0</v>
      </c>
      <c r="DL458" s="408">
        <v>0</v>
      </c>
      <c r="DM458" s="408"/>
      <c r="DN458" s="408">
        <v>0</v>
      </c>
      <c r="DO458" s="408">
        <v>0</v>
      </c>
      <c r="DP458" s="408">
        <v>0</v>
      </c>
      <c r="DQ458" s="408">
        <v>0</v>
      </c>
      <c r="DR458" s="408">
        <v>0</v>
      </c>
      <c r="DS458" s="408"/>
      <c r="DT458" s="408"/>
      <c r="DU458" s="408">
        <v>15866.936051214749</v>
      </c>
      <c r="DV458" s="408"/>
      <c r="DW458" s="408">
        <v>0</v>
      </c>
      <c r="DX458" s="408">
        <v>0</v>
      </c>
      <c r="DY458" s="408">
        <v>-3600.09</v>
      </c>
      <c r="DZ458" s="408"/>
      <c r="EA458" s="408">
        <v>0</v>
      </c>
      <c r="EB458" s="408"/>
      <c r="EC458" s="408">
        <v>-3941.6160590736981</v>
      </c>
      <c r="ED458" s="408"/>
      <c r="EE458" s="408">
        <v>0</v>
      </c>
      <c r="EF458" s="408">
        <v>0</v>
      </c>
      <c r="EG458" s="408"/>
      <c r="EH458" s="408">
        <v>0</v>
      </c>
      <c r="EI458" s="408">
        <v>0</v>
      </c>
      <c r="EJ458" s="408">
        <v>0</v>
      </c>
      <c r="EK458" s="408">
        <v>0</v>
      </c>
      <c r="EL458" s="408">
        <v>0</v>
      </c>
      <c r="EM458" s="408"/>
      <c r="EN458" s="408"/>
      <c r="EO458" s="408">
        <v>0</v>
      </c>
      <c r="EP458" s="408">
        <v>0</v>
      </c>
      <c r="EQ458" s="408"/>
      <c r="ER458" s="408">
        <v>0</v>
      </c>
      <c r="ES458" s="408"/>
      <c r="ET458" s="408">
        <v>0</v>
      </c>
      <c r="EU458" s="408"/>
      <c r="EV458" s="408">
        <v>240</v>
      </c>
      <c r="EW458" s="408"/>
      <c r="EX458" s="408"/>
      <c r="EY458" s="408"/>
      <c r="EZ458" s="408"/>
      <c r="FA458" s="408">
        <v>0</v>
      </c>
      <c r="FB458" s="408"/>
      <c r="FC458" s="408"/>
      <c r="FD458" s="408"/>
      <c r="FE458" s="408"/>
      <c r="FF458" s="408">
        <v>0</v>
      </c>
      <c r="FG458" s="408">
        <v>0</v>
      </c>
      <c r="FH458" s="408">
        <v>0</v>
      </c>
      <c r="FI458" s="408">
        <v>0</v>
      </c>
    </row>
    <row r="459" spans="1:165">
      <c r="A459" s="408">
        <v>457</v>
      </c>
      <c r="B459" s="408" t="s">
        <v>2238</v>
      </c>
      <c r="C459" s="408" t="s">
        <v>2243</v>
      </c>
      <c r="D459" s="408" t="s">
        <v>597</v>
      </c>
      <c r="E459" s="408" t="s">
        <v>974</v>
      </c>
      <c r="F459" s="408" t="s">
        <v>1322</v>
      </c>
      <c r="G459" s="408" t="s">
        <v>1322</v>
      </c>
      <c r="H459" s="408" t="s">
        <v>1322</v>
      </c>
      <c r="I459" s="408" t="s">
        <v>1322</v>
      </c>
      <c r="J459" s="408" t="s">
        <v>2236</v>
      </c>
      <c r="K459" s="826">
        <v>44562</v>
      </c>
      <c r="L459" s="408">
        <v>165</v>
      </c>
      <c r="M459" s="408">
        <v>158.4</v>
      </c>
      <c r="N459" s="408">
        <v>0</v>
      </c>
      <c r="O459" s="408">
        <v>0</v>
      </c>
      <c r="P459" s="408">
        <v>0</v>
      </c>
      <c r="Q459" s="408">
        <v>0</v>
      </c>
      <c r="R459" s="408">
        <v>27.19</v>
      </c>
      <c r="S459" s="408"/>
      <c r="T459" s="408"/>
      <c r="U459" s="408">
        <v>4486.3500000000004</v>
      </c>
      <c r="V459" s="408"/>
      <c r="W459" s="408">
        <v>4486.3500000000004</v>
      </c>
      <c r="X459" s="408">
        <v>3590.4</v>
      </c>
      <c r="Y459" s="408">
        <v>0</v>
      </c>
      <c r="Z459" s="408">
        <v>0</v>
      </c>
      <c r="AA459" s="408">
        <v>0</v>
      </c>
      <c r="AB459" s="408">
        <v>0</v>
      </c>
      <c r="AC459" s="408">
        <v>38.478101215548065</v>
      </c>
      <c r="AD459" s="408">
        <v>36.965748496119964</v>
      </c>
      <c r="AE459" s="408">
        <v>3948.7849901213172</v>
      </c>
      <c r="AF459" s="408"/>
      <c r="AG459" s="408"/>
      <c r="AH459" s="408"/>
      <c r="AI459" s="408">
        <v>0</v>
      </c>
      <c r="AJ459" s="408">
        <v>0</v>
      </c>
      <c r="AK459" s="408">
        <v>0</v>
      </c>
      <c r="AL459" s="408">
        <v>0</v>
      </c>
      <c r="AM459" s="408"/>
      <c r="AN459" s="408">
        <v>0</v>
      </c>
      <c r="AO459" s="408">
        <v>81.655997129926561</v>
      </c>
      <c r="AP459" s="408">
        <v>380.83465909689585</v>
      </c>
      <c r="AQ459" s="408">
        <v>0</v>
      </c>
      <c r="AR459" s="408">
        <v>0</v>
      </c>
      <c r="AS459" s="408"/>
      <c r="AT459" s="408"/>
      <c r="AU459" s="408">
        <v>0</v>
      </c>
      <c r="AV459" s="408">
        <v>0</v>
      </c>
      <c r="AW459" s="408">
        <v>0</v>
      </c>
      <c r="AX459" s="408"/>
      <c r="AY459" s="408"/>
      <c r="AZ459" s="408">
        <v>0</v>
      </c>
      <c r="BA459" s="408"/>
      <c r="BB459" s="408">
        <v>0</v>
      </c>
      <c r="BC459" s="408">
        <v>0</v>
      </c>
      <c r="BD459" s="408">
        <v>0</v>
      </c>
      <c r="BE459" s="408">
        <v>0</v>
      </c>
      <c r="BF459" s="408"/>
      <c r="BG459" s="408">
        <v>0</v>
      </c>
      <c r="BH459" s="408">
        <v>0</v>
      </c>
      <c r="BI459" s="408">
        <v>17.399999999999999</v>
      </c>
      <c r="BJ459" s="408">
        <v>149.16</v>
      </c>
      <c r="BK459" s="408">
        <v>5.77</v>
      </c>
      <c r="BL459" s="408">
        <v>1</v>
      </c>
      <c r="BM459" s="408"/>
      <c r="BN459" s="408"/>
      <c r="BO459" s="408"/>
      <c r="BP459" s="408"/>
      <c r="BQ459" s="408"/>
      <c r="BR459" s="408">
        <v>143.6159999999999</v>
      </c>
      <c r="BS459" s="408"/>
      <c r="BT459" s="408"/>
      <c r="BU459" s="408"/>
      <c r="BV459" s="408">
        <v>0</v>
      </c>
      <c r="BW459" s="408"/>
      <c r="BX459" s="408"/>
      <c r="BY459" s="408"/>
      <c r="BZ459" s="408"/>
      <c r="CA459" s="408"/>
      <c r="CB459" s="408"/>
      <c r="CC459" s="408"/>
      <c r="CD459" s="408"/>
      <c r="CE459" s="408"/>
      <c r="CF459" s="408"/>
      <c r="CG459" s="408"/>
      <c r="CH459" s="408"/>
      <c r="CI459" s="408">
        <v>3446.7840000000006</v>
      </c>
      <c r="CJ459" s="408">
        <v>-860.14200000000073</v>
      </c>
      <c r="CK459" s="408"/>
      <c r="CL459" s="408"/>
      <c r="CM459" s="408"/>
      <c r="CN459" s="408"/>
      <c r="CO459" s="408">
        <v>-895.94999999999993</v>
      </c>
      <c r="CP459" s="408">
        <v>0</v>
      </c>
      <c r="CQ459" s="408">
        <v>31</v>
      </c>
      <c r="CR459" s="408">
        <v>84.148678174869701</v>
      </c>
      <c r="CS459" s="408">
        <v>8.1368455789882717</v>
      </c>
      <c r="CT459" s="408">
        <v>37.949359766772261</v>
      </c>
      <c r="CU459" s="408">
        <v>0</v>
      </c>
      <c r="CV459" s="408">
        <v>0</v>
      </c>
      <c r="CW459" s="408"/>
      <c r="CX459" s="408"/>
      <c r="CY459" s="408"/>
      <c r="CZ459" s="408">
        <v>38.062472829109247</v>
      </c>
      <c r="DA459" s="408">
        <v>0</v>
      </c>
      <c r="DB459" s="408">
        <v>0</v>
      </c>
      <c r="DC459" s="408"/>
      <c r="DD459" s="408"/>
      <c r="DE459" s="408">
        <v>0</v>
      </c>
      <c r="DF459" s="408">
        <v>0</v>
      </c>
      <c r="DG459" s="408">
        <v>0</v>
      </c>
      <c r="DH459" s="408">
        <v>0</v>
      </c>
      <c r="DI459" s="408">
        <v>0</v>
      </c>
      <c r="DJ459" s="408"/>
      <c r="DK459" s="408">
        <v>0</v>
      </c>
      <c r="DL459" s="408">
        <v>0</v>
      </c>
      <c r="DM459" s="408"/>
      <c r="DN459" s="408">
        <v>0</v>
      </c>
      <c r="DO459" s="408">
        <v>0</v>
      </c>
      <c r="DP459" s="408">
        <v>0</v>
      </c>
      <c r="DQ459" s="408">
        <v>0</v>
      </c>
      <c r="DR459" s="408">
        <v>0</v>
      </c>
      <c r="DS459" s="408"/>
      <c r="DT459" s="408"/>
      <c r="DU459" s="408">
        <v>3948.7849901213172</v>
      </c>
      <c r="DV459" s="408"/>
      <c r="DW459" s="408">
        <v>0</v>
      </c>
      <c r="DX459" s="408">
        <v>0</v>
      </c>
      <c r="DY459" s="408">
        <v>-895.95000000000027</v>
      </c>
      <c r="DZ459" s="408"/>
      <c r="EA459" s="408">
        <v>0</v>
      </c>
      <c r="EB459" s="408"/>
      <c r="EC459" s="408">
        <v>-980.94517307263959</v>
      </c>
      <c r="ED459" s="408"/>
      <c r="EE459" s="408">
        <v>0</v>
      </c>
      <c r="EF459" s="408">
        <v>0</v>
      </c>
      <c r="EG459" s="408"/>
      <c r="EH459" s="408">
        <v>0</v>
      </c>
      <c r="EI459" s="408">
        <v>0</v>
      </c>
      <c r="EJ459" s="408">
        <v>0</v>
      </c>
      <c r="EK459" s="408">
        <v>0</v>
      </c>
      <c r="EL459" s="408">
        <v>0</v>
      </c>
      <c r="EM459" s="408"/>
      <c r="EN459" s="408"/>
      <c r="EO459" s="408">
        <v>0</v>
      </c>
      <c r="EP459" s="408">
        <v>0</v>
      </c>
      <c r="EQ459" s="408"/>
      <c r="ER459" s="408">
        <v>0</v>
      </c>
      <c r="ES459" s="408"/>
      <c r="ET459" s="408">
        <v>0</v>
      </c>
      <c r="EU459" s="408"/>
      <c r="EV459" s="408">
        <v>240</v>
      </c>
      <c r="EW459" s="408"/>
      <c r="EX459" s="408"/>
      <c r="EY459" s="408"/>
      <c r="EZ459" s="408"/>
      <c r="FA459" s="408">
        <v>0</v>
      </c>
      <c r="FB459" s="408"/>
      <c r="FC459" s="408"/>
      <c r="FD459" s="408"/>
      <c r="FE459" s="408"/>
      <c r="FF459" s="408">
        <v>0</v>
      </c>
      <c r="FG459" s="408">
        <v>0</v>
      </c>
      <c r="FH459" s="408">
        <v>0</v>
      </c>
      <c r="FI459" s="408">
        <v>0</v>
      </c>
    </row>
    <row r="460" spans="1:165">
      <c r="A460" s="408">
        <v>458</v>
      </c>
      <c r="B460" s="408" t="s">
        <v>1036</v>
      </c>
      <c r="C460" s="408" t="s">
        <v>2235</v>
      </c>
      <c r="D460" s="408" t="s">
        <v>1958</v>
      </c>
      <c r="E460" s="408" t="s">
        <v>2246</v>
      </c>
      <c r="F460" s="408" t="s">
        <v>1322</v>
      </c>
      <c r="G460" s="408" t="s">
        <v>1322</v>
      </c>
      <c r="H460" s="408" t="s">
        <v>1322</v>
      </c>
      <c r="I460" s="408" t="s">
        <v>1322</v>
      </c>
      <c r="J460" s="408" t="s">
        <v>2236</v>
      </c>
      <c r="K460" s="826">
        <v>44562</v>
      </c>
      <c r="L460" s="408">
        <v>0</v>
      </c>
      <c r="M460" s="408">
        <v>0</v>
      </c>
      <c r="N460" s="408">
        <v>545.96500000000003</v>
      </c>
      <c r="O460" s="408">
        <v>545.96500000000003</v>
      </c>
      <c r="P460" s="408">
        <v>545.96500000000003</v>
      </c>
      <c r="Q460" s="408">
        <v>545.96500000000003</v>
      </c>
      <c r="R460" s="408"/>
      <c r="S460" s="408">
        <v>368.24</v>
      </c>
      <c r="T460" s="408">
        <v>173.25</v>
      </c>
      <c r="U460" s="408"/>
      <c r="V460" s="408">
        <v>295634.58785000001</v>
      </c>
      <c r="W460" s="408">
        <v>295634.58785000001</v>
      </c>
      <c r="X460" s="408">
        <v>277836.12884999998</v>
      </c>
      <c r="Y460" s="408">
        <v>0</v>
      </c>
      <c r="Z460" s="408">
        <v>33601.515945444262</v>
      </c>
      <c r="AA460" s="408">
        <v>0</v>
      </c>
      <c r="AB460" s="408">
        <v>0</v>
      </c>
      <c r="AC460" s="408">
        <v>1397.417817417157</v>
      </c>
      <c r="AD460" s="408">
        <v>1342.6051683023916</v>
      </c>
      <c r="AE460" s="408">
        <v>128595.01596466727</v>
      </c>
      <c r="AF460" s="408">
        <v>92999.935023110418</v>
      </c>
      <c r="AG460" s="408">
        <v>1587.2477545019538</v>
      </c>
      <c r="AH460" s="408">
        <v>0</v>
      </c>
      <c r="AI460" s="408">
        <v>0</v>
      </c>
      <c r="AJ460" s="408">
        <v>0</v>
      </c>
      <c r="AK460" s="408">
        <v>0</v>
      </c>
      <c r="AL460" s="408">
        <v>5191.5977153599679</v>
      </c>
      <c r="AM460" s="408"/>
      <c r="AN460" s="408">
        <v>659.44749105704238</v>
      </c>
      <c r="AO460" s="408">
        <v>2966.443800224954</v>
      </c>
      <c r="AP460" s="408">
        <v>13832.089810001677</v>
      </c>
      <c r="AQ460" s="408">
        <v>0</v>
      </c>
      <c r="AR460" s="408">
        <v>0</v>
      </c>
      <c r="AS460" s="408">
        <v>0</v>
      </c>
      <c r="AT460" s="408">
        <v>0</v>
      </c>
      <c r="AU460" s="408">
        <v>0</v>
      </c>
      <c r="AV460" s="408">
        <v>0</v>
      </c>
      <c r="AW460" s="408">
        <v>0</v>
      </c>
      <c r="AX460" s="408">
        <v>0</v>
      </c>
      <c r="AY460" s="408">
        <v>0</v>
      </c>
      <c r="AZ460" s="408">
        <v>0</v>
      </c>
      <c r="BA460" s="408"/>
      <c r="BB460" s="408">
        <v>0</v>
      </c>
      <c r="BC460" s="408">
        <v>0</v>
      </c>
      <c r="BD460" s="408">
        <v>0</v>
      </c>
      <c r="BE460" s="408">
        <v>0</v>
      </c>
      <c r="BF460" s="408">
        <v>0</v>
      </c>
      <c r="BG460" s="408">
        <v>4880.8134437557692</v>
      </c>
      <c r="BH460" s="408">
        <v>0</v>
      </c>
      <c r="BI460" s="408">
        <v>247.6</v>
      </c>
      <c r="BJ460" s="408">
        <v>2146.4</v>
      </c>
      <c r="BK460" s="408">
        <v>109587.76</v>
      </c>
      <c r="BL460" s="408">
        <v>580</v>
      </c>
      <c r="BM460" s="408"/>
      <c r="BN460" s="408"/>
      <c r="BO460" s="408"/>
      <c r="BP460" s="408"/>
      <c r="BQ460" s="408"/>
      <c r="BR460" s="408"/>
      <c r="BS460" s="408"/>
      <c r="BT460" s="408"/>
      <c r="BU460" s="408"/>
      <c r="BV460" s="408">
        <v>97880.748466866193</v>
      </c>
      <c r="BW460" s="408"/>
      <c r="BX460" s="408"/>
      <c r="BY460" s="408"/>
      <c r="BZ460" s="408"/>
      <c r="CA460" s="408"/>
      <c r="CB460" s="408"/>
      <c r="CC460" s="408"/>
      <c r="CD460" s="408"/>
      <c r="CE460" s="408"/>
      <c r="CF460" s="408"/>
      <c r="CG460" s="408"/>
      <c r="CH460" s="408"/>
      <c r="CI460" s="408">
        <v>277838.67330000002</v>
      </c>
      <c r="CJ460" s="408">
        <v>-17795.944550000015</v>
      </c>
      <c r="CK460" s="408"/>
      <c r="CL460" s="408"/>
      <c r="CM460" s="408"/>
      <c r="CN460" s="408"/>
      <c r="CO460" s="408">
        <v>-29585.843349999999</v>
      </c>
      <c r="CP460" s="408">
        <v>11787.384350000002</v>
      </c>
      <c r="CQ460" s="408">
        <v>31</v>
      </c>
      <c r="CR460" s="408">
        <v>14144.420560128929</v>
      </c>
      <c r="CS460" s="408">
        <v>295.59978408899224</v>
      </c>
      <c r="CT460" s="408">
        <v>1378.3381842683266</v>
      </c>
      <c r="CU460" s="408">
        <v>0</v>
      </c>
      <c r="CV460" s="408">
        <v>0</v>
      </c>
      <c r="CW460" s="408">
        <v>0</v>
      </c>
      <c r="CX460" s="408">
        <v>0</v>
      </c>
      <c r="CY460" s="408">
        <v>0</v>
      </c>
      <c r="CZ460" s="408">
        <v>1382.4384685216164</v>
      </c>
      <c r="DA460" s="408">
        <v>0</v>
      </c>
      <c r="DB460" s="408">
        <v>0</v>
      </c>
      <c r="DC460" s="408">
        <v>11786.053486142599</v>
      </c>
      <c r="DD460" s="408">
        <v>0</v>
      </c>
      <c r="DE460" s="408">
        <v>0</v>
      </c>
      <c r="DF460" s="408">
        <v>0</v>
      </c>
      <c r="DG460" s="408">
        <v>618.55449995417712</v>
      </c>
      <c r="DH460" s="408">
        <v>0</v>
      </c>
      <c r="DI460" s="408">
        <v>-1141.0011526042908</v>
      </c>
      <c r="DJ460" s="408"/>
      <c r="DK460" s="408">
        <v>0</v>
      </c>
      <c r="DL460" s="408">
        <v>0</v>
      </c>
      <c r="DM460" s="408">
        <v>0</v>
      </c>
      <c r="DN460" s="408">
        <v>0</v>
      </c>
      <c r="DO460" s="408">
        <v>-156.90599779440709</v>
      </c>
      <c r="DP460" s="408">
        <v>-18.656712448092321</v>
      </c>
      <c r="DQ460" s="408">
        <v>0</v>
      </c>
      <c r="DR460" s="408">
        <v>0</v>
      </c>
      <c r="DS460" s="408"/>
      <c r="DT460" s="408"/>
      <c r="DU460" s="408"/>
      <c r="DV460" s="408">
        <v>128595.01596466727</v>
      </c>
      <c r="DW460" s="408">
        <v>0</v>
      </c>
      <c r="DX460" s="408">
        <v>0</v>
      </c>
      <c r="DY460" s="408">
        <v>-29585.84335000001</v>
      </c>
      <c r="DZ460" s="408">
        <v>11787.384350000008</v>
      </c>
      <c r="EA460" s="408">
        <v>0</v>
      </c>
      <c r="EB460" s="408">
        <v>0</v>
      </c>
      <c r="EC460" s="408">
        <v>-31945.183267085304</v>
      </c>
      <c r="ED460" s="408">
        <v>0</v>
      </c>
      <c r="EE460" s="408">
        <v>0</v>
      </c>
      <c r="EF460" s="408">
        <v>0</v>
      </c>
      <c r="EG460" s="408">
        <v>0</v>
      </c>
      <c r="EH460" s="408">
        <v>0</v>
      </c>
      <c r="EI460" s="408">
        <v>0</v>
      </c>
      <c r="EJ460" s="408">
        <v>0</v>
      </c>
      <c r="EK460" s="408">
        <v>0</v>
      </c>
      <c r="EL460" s="408">
        <v>0</v>
      </c>
      <c r="EM460" s="408">
        <v>0</v>
      </c>
      <c r="EN460" s="408">
        <v>0</v>
      </c>
      <c r="EO460" s="408">
        <v>0</v>
      </c>
      <c r="EP460" s="408">
        <v>8581.2278870010487</v>
      </c>
      <c r="EQ460" s="408">
        <v>0</v>
      </c>
      <c r="ER460" s="408">
        <v>0</v>
      </c>
      <c r="ES460" s="408">
        <v>0</v>
      </c>
      <c r="ET460" s="408">
        <v>0</v>
      </c>
      <c r="EU460" s="408">
        <v>0</v>
      </c>
      <c r="EV460" s="408">
        <v>240</v>
      </c>
      <c r="EW460" s="408">
        <v>0</v>
      </c>
      <c r="EX460" s="408">
        <v>0</v>
      </c>
      <c r="EY460" s="408">
        <v>0</v>
      </c>
      <c r="EZ460" s="408"/>
      <c r="FA460" s="408">
        <v>0</v>
      </c>
      <c r="FB460" s="408"/>
      <c r="FC460" s="408"/>
      <c r="FD460" s="408"/>
      <c r="FE460" s="408"/>
      <c r="FF460" s="408">
        <v>0</v>
      </c>
      <c r="FG460" s="408">
        <v>0</v>
      </c>
      <c r="FH460" s="408">
        <v>0</v>
      </c>
      <c r="FI460" s="408">
        <v>0</v>
      </c>
    </row>
    <row r="461" spans="1:165">
      <c r="A461" s="408">
        <v>459</v>
      </c>
      <c r="B461" s="408" t="s">
        <v>2238</v>
      </c>
      <c r="C461" s="408" t="s">
        <v>2235</v>
      </c>
      <c r="D461" s="408" t="s">
        <v>1958</v>
      </c>
      <c r="E461" s="408" t="s">
        <v>2246</v>
      </c>
      <c r="F461" s="408" t="s">
        <v>1322</v>
      </c>
      <c r="G461" s="408" t="s">
        <v>1322</v>
      </c>
      <c r="H461" s="408" t="s">
        <v>1322</v>
      </c>
      <c r="I461" s="408" t="s">
        <v>1322</v>
      </c>
      <c r="J461" s="408" t="s">
        <v>2236</v>
      </c>
      <c r="K461" s="826">
        <v>44562</v>
      </c>
      <c r="L461" s="408">
        <v>0</v>
      </c>
      <c r="M461" s="408">
        <v>0</v>
      </c>
      <c r="N461" s="408">
        <v>1.665</v>
      </c>
      <c r="O461" s="408">
        <v>1.665</v>
      </c>
      <c r="P461" s="408">
        <v>1.665</v>
      </c>
      <c r="Q461" s="408">
        <v>1.665</v>
      </c>
      <c r="R461" s="408"/>
      <c r="S461" s="408">
        <v>368.24</v>
      </c>
      <c r="T461" s="408">
        <v>173.25</v>
      </c>
      <c r="U461" s="408"/>
      <c r="V461" s="408">
        <v>901.58085000000005</v>
      </c>
      <c r="W461" s="408">
        <v>901.58085000000005</v>
      </c>
      <c r="X461" s="408">
        <v>847.30185000000006</v>
      </c>
      <c r="Y461" s="408">
        <v>0</v>
      </c>
      <c r="Z461" s="408">
        <v>102.47273002695172</v>
      </c>
      <c r="AA461" s="408">
        <v>0</v>
      </c>
      <c r="AB461" s="408">
        <v>0</v>
      </c>
      <c r="AC461" s="408">
        <v>4.261629712526565</v>
      </c>
      <c r="AD461" s="408">
        <v>4.0944705342347625</v>
      </c>
      <c r="AE461" s="408">
        <v>392.16928114654053</v>
      </c>
      <c r="AF461" s="408">
        <v>283.61688352454615</v>
      </c>
      <c r="AG461" s="408">
        <v>4.8405438283511817</v>
      </c>
      <c r="AH461" s="408">
        <v>0</v>
      </c>
      <c r="AI461" s="408">
        <v>0</v>
      </c>
      <c r="AJ461" s="408">
        <v>0</v>
      </c>
      <c r="AK461" s="408">
        <v>0</v>
      </c>
      <c r="AL461" s="408">
        <v>15.832535411746807</v>
      </c>
      <c r="AM461" s="408"/>
      <c r="AN461" s="408">
        <v>2.0110814294139288</v>
      </c>
      <c r="AO461" s="408">
        <v>9.0466035869965076</v>
      </c>
      <c r="AP461" s="408">
        <v>42.18297790820435</v>
      </c>
      <c r="AQ461" s="408">
        <v>0</v>
      </c>
      <c r="AR461" s="408">
        <v>0</v>
      </c>
      <c r="AS461" s="408">
        <v>0</v>
      </c>
      <c r="AT461" s="408">
        <v>0</v>
      </c>
      <c r="AU461" s="408">
        <v>0</v>
      </c>
      <c r="AV461" s="408">
        <v>0</v>
      </c>
      <c r="AW461" s="408">
        <v>0</v>
      </c>
      <c r="AX461" s="408">
        <v>0</v>
      </c>
      <c r="AY461" s="408">
        <v>0</v>
      </c>
      <c r="AZ461" s="408">
        <v>0</v>
      </c>
      <c r="BA461" s="408"/>
      <c r="BB461" s="408">
        <v>0</v>
      </c>
      <c r="BC461" s="408">
        <v>0</v>
      </c>
      <c r="BD461" s="408">
        <v>0</v>
      </c>
      <c r="BE461" s="408">
        <v>0</v>
      </c>
      <c r="BF461" s="408">
        <v>0</v>
      </c>
      <c r="BG461" s="408">
        <v>14.884753388684908</v>
      </c>
      <c r="BH461" s="408">
        <v>0</v>
      </c>
      <c r="BI461" s="408">
        <v>0.75</v>
      </c>
      <c r="BJ461" s="408">
        <v>6.55</v>
      </c>
      <c r="BK461" s="408">
        <v>483.75</v>
      </c>
      <c r="BL461" s="408">
        <v>2</v>
      </c>
      <c r="BM461" s="408"/>
      <c r="BN461" s="408"/>
      <c r="BO461" s="408"/>
      <c r="BP461" s="408"/>
      <c r="BQ461" s="408"/>
      <c r="BR461" s="408"/>
      <c r="BS461" s="408"/>
      <c r="BT461" s="408"/>
      <c r="BU461" s="408"/>
      <c r="BV461" s="408">
        <v>298.50163691323104</v>
      </c>
      <c r="BW461" s="408"/>
      <c r="BX461" s="408"/>
      <c r="BY461" s="408"/>
      <c r="BZ461" s="408"/>
      <c r="CA461" s="408"/>
      <c r="CB461" s="408"/>
      <c r="CC461" s="408"/>
      <c r="CD461" s="408"/>
      <c r="CE461" s="408"/>
      <c r="CF461" s="408"/>
      <c r="CG461" s="408"/>
      <c r="CH461" s="408"/>
      <c r="CI461" s="408">
        <v>849.84629999999993</v>
      </c>
      <c r="CJ461" s="408">
        <v>-51.764550000000099</v>
      </c>
      <c r="CK461" s="408"/>
      <c r="CL461" s="408"/>
      <c r="CM461" s="408"/>
      <c r="CN461" s="408"/>
      <c r="CO461" s="408">
        <v>-90.226349999999996</v>
      </c>
      <c r="CP461" s="408">
        <v>35.947350000000007</v>
      </c>
      <c r="CQ461" s="408">
        <v>31</v>
      </c>
      <c r="CR461" s="408">
        <v>43.135476143369374</v>
      </c>
      <c r="CS461" s="408">
        <v>0.90147471084808117</v>
      </c>
      <c r="CT461" s="408">
        <v>4.203443584857574</v>
      </c>
      <c r="CU461" s="408">
        <v>0</v>
      </c>
      <c r="CV461" s="408">
        <v>0</v>
      </c>
      <c r="CW461" s="408">
        <v>0</v>
      </c>
      <c r="CX461" s="408">
        <v>0</v>
      </c>
      <c r="CY461" s="408">
        <v>0</v>
      </c>
      <c r="CZ461" s="408">
        <v>4.2159480004917729</v>
      </c>
      <c r="DA461" s="408">
        <v>0</v>
      </c>
      <c r="DB461" s="408">
        <v>0</v>
      </c>
      <c r="DC461" s="408">
        <v>35.94329133630805</v>
      </c>
      <c r="DD461" s="408">
        <v>0</v>
      </c>
      <c r="DE461" s="408">
        <v>0</v>
      </c>
      <c r="DF461" s="408">
        <v>0</v>
      </c>
      <c r="DG461" s="408">
        <v>1.8863722810504395</v>
      </c>
      <c r="DH461" s="408">
        <v>0</v>
      </c>
      <c r="DI461" s="408">
        <v>-3.4796496461973589</v>
      </c>
      <c r="DJ461" s="408"/>
      <c r="DK461" s="408">
        <v>0</v>
      </c>
      <c r="DL461" s="408">
        <v>0</v>
      </c>
      <c r="DM461" s="408">
        <v>0</v>
      </c>
      <c r="DN461" s="408">
        <v>0</v>
      </c>
      <c r="DO461" s="408">
        <v>-0.47850775476026364</v>
      </c>
      <c r="DP461" s="408">
        <v>-5.6896369228931931E-2</v>
      </c>
      <c r="DQ461" s="408">
        <v>0</v>
      </c>
      <c r="DR461" s="408">
        <v>0</v>
      </c>
      <c r="DS461" s="408"/>
      <c r="DT461" s="408"/>
      <c r="DU461" s="408"/>
      <c r="DV461" s="408">
        <v>392.16928114654053</v>
      </c>
      <c r="DW461" s="408">
        <v>0</v>
      </c>
      <c r="DX461" s="408">
        <v>0</v>
      </c>
      <c r="DY461" s="408">
        <v>-90.226349999999911</v>
      </c>
      <c r="DZ461" s="408">
        <v>35.947350000000029</v>
      </c>
      <c r="EA461" s="408">
        <v>0</v>
      </c>
      <c r="EB461" s="408">
        <v>0</v>
      </c>
      <c r="EC461" s="408">
        <v>-97.421501634165281</v>
      </c>
      <c r="ED461" s="408">
        <v>0</v>
      </c>
      <c r="EE461" s="408">
        <v>0</v>
      </c>
      <c r="EF461" s="408">
        <v>0</v>
      </c>
      <c r="EG461" s="408">
        <v>0</v>
      </c>
      <c r="EH461" s="408">
        <v>0</v>
      </c>
      <c r="EI461" s="408">
        <v>0</v>
      </c>
      <c r="EJ461" s="408">
        <v>0</v>
      </c>
      <c r="EK461" s="408">
        <v>0</v>
      </c>
      <c r="EL461" s="408">
        <v>0</v>
      </c>
      <c r="EM461" s="408">
        <v>0</v>
      </c>
      <c r="EN461" s="408">
        <v>0</v>
      </c>
      <c r="EO461" s="408">
        <v>0</v>
      </c>
      <c r="EP461" s="408">
        <v>26.169707640337286</v>
      </c>
      <c r="EQ461" s="408">
        <v>0</v>
      </c>
      <c r="ER461" s="408">
        <v>0</v>
      </c>
      <c r="ES461" s="408">
        <v>0</v>
      </c>
      <c r="ET461" s="408">
        <v>0</v>
      </c>
      <c r="EU461" s="408">
        <v>0</v>
      </c>
      <c r="EV461" s="408">
        <v>240</v>
      </c>
      <c r="EW461" s="408">
        <v>0</v>
      </c>
      <c r="EX461" s="408">
        <v>0</v>
      </c>
      <c r="EY461" s="408">
        <v>0</v>
      </c>
      <c r="EZ461" s="408"/>
      <c r="FA461" s="408">
        <v>0</v>
      </c>
      <c r="FB461" s="408"/>
      <c r="FC461" s="408"/>
      <c r="FD461" s="408"/>
      <c r="FE461" s="408"/>
      <c r="FF461" s="408">
        <v>0</v>
      </c>
      <c r="FG461" s="408">
        <v>0</v>
      </c>
      <c r="FH461" s="408">
        <v>0</v>
      </c>
      <c r="FI461" s="408">
        <v>0</v>
      </c>
    </row>
    <row r="462" spans="1:165">
      <c r="A462" s="408">
        <v>460</v>
      </c>
      <c r="B462" s="408" t="s">
        <v>1036</v>
      </c>
      <c r="C462" s="408" t="s">
        <v>2243</v>
      </c>
      <c r="D462" s="408" t="s">
        <v>597</v>
      </c>
      <c r="E462" s="408" t="s">
        <v>2246</v>
      </c>
      <c r="F462" s="408" t="s">
        <v>1322</v>
      </c>
      <c r="G462" s="408" t="s">
        <v>1322</v>
      </c>
      <c r="H462" s="408" t="s">
        <v>1322</v>
      </c>
      <c r="I462" s="408" t="s">
        <v>973</v>
      </c>
      <c r="J462" s="408" t="s">
        <v>2236</v>
      </c>
      <c r="K462" s="826">
        <v>44562</v>
      </c>
      <c r="L462" s="408">
        <v>0</v>
      </c>
      <c r="M462" s="408">
        <v>0</v>
      </c>
      <c r="N462" s="408">
        <v>4.3650000000000002</v>
      </c>
      <c r="O462" s="408">
        <v>4.3650000000000002</v>
      </c>
      <c r="P462" s="408">
        <v>4.3650000000000002</v>
      </c>
      <c r="Q462" s="408">
        <v>4.3650000000000002</v>
      </c>
      <c r="R462" s="408"/>
      <c r="S462" s="408">
        <v>1358.36</v>
      </c>
      <c r="T462" s="408">
        <v>173.25</v>
      </c>
      <c r="U462" s="408"/>
      <c r="V462" s="408">
        <v>6685.4776499999998</v>
      </c>
      <c r="W462" s="408">
        <v>6685.4776499999998</v>
      </c>
      <c r="X462" s="408">
        <v>5861.8458000000001</v>
      </c>
      <c r="Y462" s="408">
        <v>0</v>
      </c>
      <c r="Z462" s="408">
        <v>233.72091045876888</v>
      </c>
      <c r="AA462" s="408">
        <v>0</v>
      </c>
      <c r="AB462" s="408">
        <v>0</v>
      </c>
      <c r="AC462" s="408">
        <v>82.682215584620309</v>
      </c>
      <c r="AD462" s="408">
        <v>79.439313733774924</v>
      </c>
      <c r="AE462" s="408">
        <v>4402.1361838335715</v>
      </c>
      <c r="AF462" s="408">
        <v>743.53615410489124</v>
      </c>
      <c r="AG462" s="408">
        <v>12.690074360812558</v>
      </c>
      <c r="AH462" s="408">
        <v>0</v>
      </c>
      <c r="AI462" s="408">
        <v>0</v>
      </c>
      <c r="AJ462" s="408">
        <v>0</v>
      </c>
      <c r="AK462" s="408">
        <v>0</v>
      </c>
      <c r="AL462" s="408">
        <v>41.506917160525418</v>
      </c>
      <c r="AM462" s="408"/>
      <c r="AN462" s="408">
        <v>3.4955523563178819</v>
      </c>
      <c r="AO462" s="408">
        <v>175.52023887414737</v>
      </c>
      <c r="AP462" s="408">
        <v>818.42048164427911</v>
      </c>
      <c r="AQ462" s="408">
        <v>0</v>
      </c>
      <c r="AR462" s="408">
        <v>0</v>
      </c>
      <c r="AS462" s="408">
        <v>0</v>
      </c>
      <c r="AT462" s="408">
        <v>0</v>
      </c>
      <c r="AU462" s="408">
        <v>0</v>
      </c>
      <c r="AV462" s="408">
        <v>0</v>
      </c>
      <c r="AW462" s="408">
        <v>0</v>
      </c>
      <c r="AX462" s="408">
        <v>0</v>
      </c>
      <c r="AY462" s="408">
        <v>0</v>
      </c>
      <c r="AZ462" s="408">
        <v>0</v>
      </c>
      <c r="BA462" s="408"/>
      <c r="BB462" s="408">
        <v>0</v>
      </c>
      <c r="BC462" s="408">
        <v>0</v>
      </c>
      <c r="BD462" s="408">
        <v>0</v>
      </c>
      <c r="BE462" s="408">
        <v>0</v>
      </c>
      <c r="BF462" s="408">
        <v>0</v>
      </c>
      <c r="BG462" s="408">
        <v>32.644335984817346</v>
      </c>
      <c r="BH462" s="408">
        <v>0</v>
      </c>
      <c r="BI462" s="408">
        <v>0</v>
      </c>
      <c r="BJ462" s="408">
        <v>0</v>
      </c>
      <c r="BK462" s="408">
        <v>0</v>
      </c>
      <c r="BL462" s="408">
        <v>0</v>
      </c>
      <c r="BM462" s="408"/>
      <c r="BN462" s="408"/>
      <c r="BO462" s="408"/>
      <c r="BP462" s="408"/>
      <c r="BQ462" s="408"/>
      <c r="BR462" s="408"/>
      <c r="BS462" s="408"/>
      <c r="BT462" s="408"/>
      <c r="BU462" s="408"/>
      <c r="BV462" s="408">
        <v>776.18049008970854</v>
      </c>
      <c r="BW462" s="408"/>
      <c r="BX462" s="408"/>
      <c r="BY462" s="408"/>
      <c r="BZ462" s="408"/>
      <c r="CA462" s="408"/>
      <c r="CB462" s="408"/>
      <c r="CC462" s="408"/>
      <c r="CD462" s="408"/>
      <c r="CE462" s="408"/>
      <c r="CF462" s="408"/>
      <c r="CG462" s="408"/>
      <c r="CH462" s="408"/>
      <c r="CI462" s="408">
        <v>5868.5604000000003</v>
      </c>
      <c r="CJ462" s="408">
        <v>-816.94725000000017</v>
      </c>
      <c r="CK462" s="408"/>
      <c r="CL462" s="408"/>
      <c r="CM462" s="408"/>
      <c r="CN462" s="408"/>
      <c r="CO462" s="408">
        <v>-917.87219999999991</v>
      </c>
      <c r="CP462" s="408">
        <v>94.240350000000021</v>
      </c>
      <c r="CQ462" s="408">
        <v>31</v>
      </c>
      <c r="CR462" s="408">
        <v>269.91724398077076</v>
      </c>
      <c r="CS462" s="408">
        <v>17.490216639368356</v>
      </c>
      <c r="CT462" s="408">
        <v>81.553851669031019</v>
      </c>
      <c r="CU462" s="408">
        <v>0</v>
      </c>
      <c r="CV462" s="408">
        <v>0</v>
      </c>
      <c r="CW462" s="408">
        <v>0</v>
      </c>
      <c r="CX462" s="408">
        <v>0</v>
      </c>
      <c r="CY462" s="408">
        <v>0</v>
      </c>
      <c r="CZ462" s="408">
        <v>81.796171958272595</v>
      </c>
      <c r="DA462" s="408">
        <v>0</v>
      </c>
      <c r="DB462" s="408">
        <v>0</v>
      </c>
      <c r="DC462" s="408">
        <v>94.229709719510424</v>
      </c>
      <c r="DD462" s="408">
        <v>0</v>
      </c>
      <c r="DE462" s="408">
        <v>0</v>
      </c>
      <c r="DF462" s="408">
        <v>0</v>
      </c>
      <c r="DG462" s="408">
        <v>4.137076975817827</v>
      </c>
      <c r="DH462" s="408">
        <v>0</v>
      </c>
      <c r="DI462" s="408">
        <v>-7.9364225308807761</v>
      </c>
      <c r="DJ462" s="408"/>
      <c r="DK462" s="408">
        <v>0</v>
      </c>
      <c r="DL462" s="408">
        <v>0</v>
      </c>
      <c r="DM462" s="408">
        <v>0</v>
      </c>
      <c r="DN462" s="408">
        <v>0</v>
      </c>
      <c r="DO462" s="408">
        <v>-1.2544662759931242</v>
      </c>
      <c r="DP462" s="408">
        <v>-9.8894174355779629E-2</v>
      </c>
      <c r="DQ462" s="408">
        <v>0</v>
      </c>
      <c r="DR462" s="408">
        <v>0</v>
      </c>
      <c r="DS462" s="408"/>
      <c r="DT462" s="408"/>
      <c r="DU462" s="408"/>
      <c r="DV462" s="408">
        <v>4402.1361838335715</v>
      </c>
      <c r="DW462" s="408">
        <v>0</v>
      </c>
      <c r="DX462" s="408">
        <v>0</v>
      </c>
      <c r="DY462" s="408">
        <v>-917.87219999999979</v>
      </c>
      <c r="DZ462" s="408">
        <v>94.240350000000035</v>
      </c>
      <c r="EA462" s="408">
        <v>0</v>
      </c>
      <c r="EB462" s="408">
        <v>0</v>
      </c>
      <c r="EC462" s="408">
        <v>-1093.5652995903761</v>
      </c>
      <c r="ED462" s="408">
        <v>0</v>
      </c>
      <c r="EE462" s="408">
        <v>0</v>
      </c>
      <c r="EF462" s="408">
        <v>0</v>
      </c>
      <c r="EG462" s="408">
        <v>0</v>
      </c>
      <c r="EH462" s="408">
        <v>0</v>
      </c>
      <c r="EI462" s="408">
        <v>0</v>
      </c>
      <c r="EJ462" s="408">
        <v>0</v>
      </c>
      <c r="EK462" s="408">
        <v>0</v>
      </c>
      <c r="EL462" s="408">
        <v>0</v>
      </c>
      <c r="EM462" s="408">
        <v>0</v>
      </c>
      <c r="EN462" s="408">
        <v>0</v>
      </c>
      <c r="EO462" s="408">
        <v>0</v>
      </c>
      <c r="EP462" s="408">
        <v>59.688152101839698</v>
      </c>
      <c r="EQ462" s="408">
        <v>0</v>
      </c>
      <c r="ER462" s="408">
        <v>0</v>
      </c>
      <c r="ES462" s="408">
        <v>0</v>
      </c>
      <c r="ET462" s="408">
        <v>0</v>
      </c>
      <c r="EU462" s="408">
        <v>0</v>
      </c>
      <c r="EV462" s="408">
        <v>240</v>
      </c>
      <c r="EW462" s="408">
        <v>0</v>
      </c>
      <c r="EX462" s="408">
        <v>0</v>
      </c>
      <c r="EY462" s="408">
        <v>0</v>
      </c>
      <c r="EZ462" s="408"/>
      <c r="FA462" s="408">
        <v>0</v>
      </c>
      <c r="FB462" s="408"/>
      <c r="FC462" s="408"/>
      <c r="FD462" s="408"/>
      <c r="FE462" s="408"/>
      <c r="FF462" s="408">
        <v>0</v>
      </c>
      <c r="FG462" s="408">
        <v>0</v>
      </c>
      <c r="FH462" s="408">
        <v>0</v>
      </c>
      <c r="FI462" s="408">
        <v>0</v>
      </c>
    </row>
    <row r="463" spans="1:165">
      <c r="A463" s="408">
        <v>461</v>
      </c>
      <c r="B463" s="408" t="s">
        <v>2238</v>
      </c>
      <c r="C463" s="408" t="s">
        <v>2243</v>
      </c>
      <c r="D463" s="408" t="s">
        <v>597</v>
      </c>
      <c r="E463" s="408" t="s">
        <v>2246</v>
      </c>
      <c r="F463" s="408" t="s">
        <v>1322</v>
      </c>
      <c r="G463" s="408" t="s">
        <v>1322</v>
      </c>
      <c r="H463" s="408" t="s">
        <v>1322</v>
      </c>
      <c r="I463" s="408" t="s">
        <v>973</v>
      </c>
      <c r="J463" s="408" t="s">
        <v>2236</v>
      </c>
      <c r="K463" s="826">
        <v>44562</v>
      </c>
      <c r="L463" s="408">
        <v>0</v>
      </c>
      <c r="M463" s="408">
        <v>0</v>
      </c>
      <c r="N463" s="408">
        <v>0.6</v>
      </c>
      <c r="O463" s="408">
        <v>0.6</v>
      </c>
      <c r="P463" s="408">
        <v>0.6</v>
      </c>
      <c r="Q463" s="408">
        <v>0.6</v>
      </c>
      <c r="R463" s="408"/>
      <c r="S463" s="408">
        <v>1358.36</v>
      </c>
      <c r="T463" s="408">
        <v>173.25</v>
      </c>
      <c r="U463" s="408"/>
      <c r="V463" s="408">
        <v>918.96600000000001</v>
      </c>
      <c r="W463" s="408">
        <v>918.96600000000001</v>
      </c>
      <c r="X463" s="408">
        <v>805.75199999999995</v>
      </c>
      <c r="Y463" s="408">
        <v>0</v>
      </c>
      <c r="Z463" s="408">
        <v>32.126585630071318</v>
      </c>
      <c r="AA463" s="408">
        <v>0</v>
      </c>
      <c r="AB463" s="408">
        <v>0</v>
      </c>
      <c r="AC463" s="408">
        <v>11.36525300132238</v>
      </c>
      <c r="AD463" s="408">
        <v>10.919493296738819</v>
      </c>
      <c r="AE463" s="408">
        <v>605.104630080216</v>
      </c>
      <c r="AF463" s="408">
        <v>102.2042823511878</v>
      </c>
      <c r="AG463" s="408">
        <v>1.74434011832475</v>
      </c>
      <c r="AH463" s="408">
        <v>0</v>
      </c>
      <c r="AI463" s="408">
        <v>0</v>
      </c>
      <c r="AJ463" s="408">
        <v>0</v>
      </c>
      <c r="AK463" s="408">
        <v>0</v>
      </c>
      <c r="AL463" s="408">
        <v>5.7054181663952459</v>
      </c>
      <c r="AM463" s="408"/>
      <c r="AN463" s="408">
        <v>0.48048829640108337</v>
      </c>
      <c r="AO463" s="408">
        <v>24.126493316034001</v>
      </c>
      <c r="AP463" s="408">
        <v>112.49766070711739</v>
      </c>
      <c r="AQ463" s="408">
        <v>0</v>
      </c>
      <c r="AR463" s="408">
        <v>0</v>
      </c>
      <c r="AS463" s="408">
        <v>0</v>
      </c>
      <c r="AT463" s="408">
        <v>0</v>
      </c>
      <c r="AU463" s="408">
        <v>0</v>
      </c>
      <c r="AV463" s="408">
        <v>0</v>
      </c>
      <c r="AW463" s="408">
        <v>0</v>
      </c>
      <c r="AX463" s="408">
        <v>0</v>
      </c>
      <c r="AY463" s="408">
        <v>0</v>
      </c>
      <c r="AZ463" s="408">
        <v>0</v>
      </c>
      <c r="BA463" s="408"/>
      <c r="BB463" s="408">
        <v>0</v>
      </c>
      <c r="BC463" s="408">
        <v>0</v>
      </c>
      <c r="BD463" s="408">
        <v>0</v>
      </c>
      <c r="BE463" s="408">
        <v>0</v>
      </c>
      <c r="BF463" s="408">
        <v>0</v>
      </c>
      <c r="BG463" s="408">
        <v>4.4871939498030713</v>
      </c>
      <c r="BH463" s="408">
        <v>0</v>
      </c>
      <c r="BI463" s="408">
        <v>0</v>
      </c>
      <c r="BJ463" s="408">
        <v>0</v>
      </c>
      <c r="BK463" s="408">
        <v>0</v>
      </c>
      <c r="BL463" s="408">
        <v>0</v>
      </c>
      <c r="BM463" s="408"/>
      <c r="BN463" s="408"/>
      <c r="BO463" s="408"/>
      <c r="BP463" s="408"/>
      <c r="BQ463" s="408"/>
      <c r="BR463" s="408"/>
      <c r="BS463" s="408"/>
      <c r="BT463" s="408"/>
      <c r="BU463" s="408"/>
      <c r="BV463" s="408">
        <v>106.69147630099087</v>
      </c>
      <c r="BW463" s="408"/>
      <c r="BX463" s="408"/>
      <c r="BY463" s="408"/>
      <c r="BZ463" s="408"/>
      <c r="CA463" s="408"/>
      <c r="CB463" s="408"/>
      <c r="CC463" s="408"/>
      <c r="CD463" s="408"/>
      <c r="CE463" s="408"/>
      <c r="CF463" s="408"/>
      <c r="CG463" s="408"/>
      <c r="CH463" s="408"/>
      <c r="CI463" s="408">
        <v>805.75199999999995</v>
      </c>
      <c r="CJ463" s="408">
        <v>-113.24400000000003</v>
      </c>
      <c r="CK463" s="408"/>
      <c r="CL463" s="408"/>
      <c r="CM463" s="408"/>
      <c r="CN463" s="408"/>
      <c r="CO463" s="408">
        <v>-126.16799999999998</v>
      </c>
      <c r="CP463" s="408">
        <v>12.954000000000002</v>
      </c>
      <c r="CQ463" s="408">
        <v>31</v>
      </c>
      <c r="CR463" s="408">
        <v>37.102026664023356</v>
      </c>
      <c r="CS463" s="408">
        <v>2.4041534899475394</v>
      </c>
      <c r="CT463" s="408">
        <v>11.210151432169212</v>
      </c>
      <c r="CU463" s="408">
        <v>0</v>
      </c>
      <c r="CV463" s="408">
        <v>0</v>
      </c>
      <c r="CW463" s="408">
        <v>0</v>
      </c>
      <c r="CX463" s="408">
        <v>0</v>
      </c>
      <c r="CY463" s="408">
        <v>0</v>
      </c>
      <c r="CZ463" s="408">
        <v>11.243460062992797</v>
      </c>
      <c r="DA463" s="408">
        <v>0</v>
      </c>
      <c r="DB463" s="408">
        <v>0</v>
      </c>
      <c r="DC463" s="408">
        <v>12.952537418489399</v>
      </c>
      <c r="DD463" s="408">
        <v>0</v>
      </c>
      <c r="DE463" s="408">
        <v>0</v>
      </c>
      <c r="DF463" s="408">
        <v>0</v>
      </c>
      <c r="DG463" s="408">
        <v>0.56867037468286252</v>
      </c>
      <c r="DH463" s="408">
        <v>0</v>
      </c>
      <c r="DI463" s="408">
        <v>-1.0909171863753606</v>
      </c>
      <c r="DJ463" s="408"/>
      <c r="DK463" s="408">
        <v>0</v>
      </c>
      <c r="DL463" s="408">
        <v>0</v>
      </c>
      <c r="DM463" s="408">
        <v>0</v>
      </c>
      <c r="DN463" s="408">
        <v>0</v>
      </c>
      <c r="DO463" s="408">
        <v>-0.17243522694063618</v>
      </c>
      <c r="DP463" s="408">
        <v>-1.359370094237522E-2</v>
      </c>
      <c r="DQ463" s="408">
        <v>0</v>
      </c>
      <c r="DR463" s="408">
        <v>0</v>
      </c>
      <c r="DS463" s="408"/>
      <c r="DT463" s="408"/>
      <c r="DU463" s="408"/>
      <c r="DV463" s="408">
        <v>605.104630080216</v>
      </c>
      <c r="DW463" s="408">
        <v>0</v>
      </c>
      <c r="DX463" s="408">
        <v>0</v>
      </c>
      <c r="DY463" s="408">
        <v>-126.16800000000001</v>
      </c>
      <c r="DZ463" s="408">
        <v>12.953999999999994</v>
      </c>
      <c r="EA463" s="408">
        <v>0</v>
      </c>
      <c r="EB463" s="408">
        <v>0</v>
      </c>
      <c r="EC463" s="408">
        <v>-150.31825423922697</v>
      </c>
      <c r="ED463" s="408">
        <v>0</v>
      </c>
      <c r="EE463" s="408">
        <v>0</v>
      </c>
      <c r="EF463" s="408">
        <v>0</v>
      </c>
      <c r="EG463" s="408">
        <v>0</v>
      </c>
      <c r="EH463" s="408">
        <v>0</v>
      </c>
      <c r="EI463" s="408">
        <v>0</v>
      </c>
      <c r="EJ463" s="408">
        <v>0</v>
      </c>
      <c r="EK463" s="408">
        <v>0</v>
      </c>
      <c r="EL463" s="408">
        <v>0</v>
      </c>
      <c r="EM463" s="408">
        <v>0</v>
      </c>
      <c r="EN463" s="408">
        <v>0</v>
      </c>
      <c r="EO463" s="408">
        <v>0</v>
      </c>
      <c r="EP463" s="408">
        <v>8.2045569899435993</v>
      </c>
      <c r="EQ463" s="408">
        <v>0</v>
      </c>
      <c r="ER463" s="408">
        <v>0</v>
      </c>
      <c r="ES463" s="408">
        <v>0</v>
      </c>
      <c r="ET463" s="408">
        <v>0</v>
      </c>
      <c r="EU463" s="408">
        <v>0</v>
      </c>
      <c r="EV463" s="408">
        <v>240</v>
      </c>
      <c r="EW463" s="408">
        <v>0</v>
      </c>
      <c r="EX463" s="408">
        <v>0</v>
      </c>
      <c r="EY463" s="408">
        <v>0</v>
      </c>
      <c r="EZ463" s="408"/>
      <c r="FA463" s="408">
        <v>0</v>
      </c>
      <c r="FB463" s="408"/>
      <c r="FC463" s="408"/>
      <c r="FD463" s="408"/>
      <c r="FE463" s="408"/>
      <c r="FF463" s="408">
        <v>0</v>
      </c>
      <c r="FG463" s="408">
        <v>0</v>
      </c>
      <c r="FH463" s="408">
        <v>0</v>
      </c>
      <c r="FI463" s="408">
        <v>0</v>
      </c>
    </row>
    <row r="464" spans="1:165">
      <c r="A464" s="408">
        <v>462</v>
      </c>
      <c r="B464" s="408" t="s">
        <v>1036</v>
      </c>
      <c r="C464" s="408" t="s">
        <v>2243</v>
      </c>
      <c r="D464" s="408" t="s">
        <v>597</v>
      </c>
      <c r="E464" s="408" t="s">
        <v>2246</v>
      </c>
      <c r="F464" s="408" t="s">
        <v>1322</v>
      </c>
      <c r="G464" s="408" t="s">
        <v>1322</v>
      </c>
      <c r="H464" s="408" t="s">
        <v>1322</v>
      </c>
      <c r="I464" s="408" t="s">
        <v>2244</v>
      </c>
      <c r="J464" s="408" t="s">
        <v>2236</v>
      </c>
      <c r="K464" s="826">
        <v>44562</v>
      </c>
      <c r="L464" s="408">
        <v>0</v>
      </c>
      <c r="M464" s="408">
        <v>0</v>
      </c>
      <c r="N464" s="408">
        <v>37.384</v>
      </c>
      <c r="O464" s="408">
        <v>37.384</v>
      </c>
      <c r="P464" s="408">
        <v>37.384</v>
      </c>
      <c r="Q464" s="408">
        <v>37.384</v>
      </c>
      <c r="R464" s="408"/>
      <c r="S464" s="408">
        <v>85.01</v>
      </c>
      <c r="T464" s="408">
        <v>173.25</v>
      </c>
      <c r="U464" s="408"/>
      <c r="V464" s="408">
        <v>9654.7918399999999</v>
      </c>
      <c r="W464" s="408">
        <v>9654.7918399999999</v>
      </c>
      <c r="X464" s="408">
        <v>10417.799280000001</v>
      </c>
      <c r="Y464" s="408">
        <v>0</v>
      </c>
      <c r="Z464" s="408">
        <v>2001.7004619909771</v>
      </c>
      <c r="AA464" s="408">
        <v>0</v>
      </c>
      <c r="AB464" s="408">
        <v>0</v>
      </c>
      <c r="AC464" s="408">
        <v>0</v>
      </c>
      <c r="AD464" s="408">
        <v>0</v>
      </c>
      <c r="AE464" s="408">
        <v>0</v>
      </c>
      <c r="AF464" s="408">
        <v>6368.0081523613417</v>
      </c>
      <c r="AG464" s="408">
        <v>108.68401830575409</v>
      </c>
      <c r="AH464" s="408">
        <v>0</v>
      </c>
      <c r="AI464" s="408">
        <v>0</v>
      </c>
      <c r="AJ464" s="408">
        <v>0</v>
      </c>
      <c r="AK464" s="408">
        <v>0</v>
      </c>
      <c r="AL464" s="408">
        <v>355.48558788753314</v>
      </c>
      <c r="AM464" s="408"/>
      <c r="AN464" s="408">
        <v>29.937624121096835</v>
      </c>
      <c r="AO464" s="408">
        <v>0</v>
      </c>
      <c r="AP464" s="408">
        <v>0</v>
      </c>
      <c r="AQ464" s="408">
        <v>0</v>
      </c>
      <c r="AR464" s="408">
        <v>0</v>
      </c>
      <c r="AS464" s="408">
        <v>0</v>
      </c>
      <c r="AT464" s="408">
        <v>0</v>
      </c>
      <c r="AU464" s="408">
        <v>0</v>
      </c>
      <c r="AV464" s="408">
        <v>0</v>
      </c>
      <c r="AW464" s="408">
        <v>0</v>
      </c>
      <c r="AX464" s="408">
        <v>0</v>
      </c>
      <c r="AY464" s="408">
        <v>0</v>
      </c>
      <c r="AZ464" s="408">
        <v>0</v>
      </c>
      <c r="BA464" s="408"/>
      <c r="BB464" s="408">
        <v>0</v>
      </c>
      <c r="BC464" s="408">
        <v>0</v>
      </c>
      <c r="BD464" s="408">
        <v>0</v>
      </c>
      <c r="BE464" s="408">
        <v>0</v>
      </c>
      <c r="BF464" s="408">
        <v>0</v>
      </c>
      <c r="BG464" s="408">
        <v>279.58209769906341</v>
      </c>
      <c r="BH464" s="408">
        <v>0</v>
      </c>
      <c r="BI464" s="408">
        <v>0</v>
      </c>
      <c r="BJ464" s="408">
        <v>0</v>
      </c>
      <c r="BK464" s="408">
        <v>0</v>
      </c>
      <c r="BL464" s="408">
        <v>0</v>
      </c>
      <c r="BM464" s="408"/>
      <c r="BN464" s="408"/>
      <c r="BO464" s="408"/>
      <c r="BP464" s="408"/>
      <c r="BQ464" s="408"/>
      <c r="BR464" s="408"/>
      <c r="BS464" s="408"/>
      <c r="BT464" s="408"/>
      <c r="BU464" s="408"/>
      <c r="BV464" s="408">
        <v>6647.5902500604052</v>
      </c>
      <c r="BW464" s="408"/>
      <c r="BX464" s="408"/>
      <c r="BY464" s="408"/>
      <c r="BZ464" s="408"/>
      <c r="CA464" s="408"/>
      <c r="CB464" s="408"/>
      <c r="CC464" s="408"/>
      <c r="CD464" s="408"/>
      <c r="CE464" s="408"/>
      <c r="CF464" s="408"/>
      <c r="CG464" s="408"/>
      <c r="CH464" s="408"/>
      <c r="CI464" s="408">
        <v>10416.684600000001</v>
      </c>
      <c r="CJ464" s="408">
        <v>761.86275999999998</v>
      </c>
      <c r="CK464" s="408"/>
      <c r="CL464" s="408"/>
      <c r="CM464" s="408"/>
      <c r="CN464" s="408"/>
      <c r="CO464" s="408">
        <v>-44.113120000000258</v>
      </c>
      <c r="CP464" s="408">
        <v>807.12056000000018</v>
      </c>
      <c r="CQ464" s="408">
        <v>31</v>
      </c>
      <c r="CR464" s="408">
        <v>762.8991310075271</v>
      </c>
      <c r="CS464" s="408">
        <v>0</v>
      </c>
      <c r="CT464" s="408">
        <v>0</v>
      </c>
      <c r="CU464" s="408">
        <v>0</v>
      </c>
      <c r="CV464" s="408">
        <v>0</v>
      </c>
      <c r="CW464" s="408">
        <v>0</v>
      </c>
      <c r="CX464" s="408">
        <v>0</v>
      </c>
      <c r="CY464" s="408">
        <v>0</v>
      </c>
      <c r="CZ464" s="408">
        <v>0</v>
      </c>
      <c r="DA464" s="408">
        <v>0</v>
      </c>
      <c r="DB464" s="408">
        <v>0</v>
      </c>
      <c r="DC464" s="408">
        <v>807.02943142134518</v>
      </c>
      <c r="DD464" s="408">
        <v>0</v>
      </c>
      <c r="DE464" s="408">
        <v>0</v>
      </c>
      <c r="DF464" s="408">
        <v>0</v>
      </c>
      <c r="DG464" s="408">
        <v>35.431955478573514</v>
      </c>
      <c r="DH464" s="408">
        <v>0</v>
      </c>
      <c r="DI464" s="408">
        <v>-67.9714134924277</v>
      </c>
      <c r="DJ464" s="408"/>
      <c r="DK464" s="408">
        <v>0</v>
      </c>
      <c r="DL464" s="408">
        <v>0</v>
      </c>
      <c r="DM464" s="408">
        <v>0</v>
      </c>
      <c r="DN464" s="408">
        <v>0</v>
      </c>
      <c r="DO464" s="408">
        <v>-10.743864206581236</v>
      </c>
      <c r="DP464" s="408">
        <v>-0.84697819338292391</v>
      </c>
      <c r="DQ464" s="408">
        <v>0</v>
      </c>
      <c r="DR464" s="408">
        <v>0</v>
      </c>
      <c r="DS464" s="408"/>
      <c r="DT464" s="408"/>
      <c r="DU464" s="408"/>
      <c r="DV464" s="408">
        <v>0</v>
      </c>
      <c r="DW464" s="408">
        <v>0</v>
      </c>
      <c r="DX464" s="408">
        <v>0</v>
      </c>
      <c r="DY464" s="408">
        <v>-44.113119999999981</v>
      </c>
      <c r="DZ464" s="408">
        <v>807.1205600000003</v>
      </c>
      <c r="EA464" s="408">
        <v>0</v>
      </c>
      <c r="EB464" s="408">
        <v>0</v>
      </c>
      <c r="EC464" s="408">
        <v>0</v>
      </c>
      <c r="ED464" s="408">
        <v>0</v>
      </c>
      <c r="EE464" s="408">
        <v>0</v>
      </c>
      <c r="EF464" s="408">
        <v>0</v>
      </c>
      <c r="EG464" s="408">
        <v>0</v>
      </c>
      <c r="EH464" s="408">
        <v>0</v>
      </c>
      <c r="EI464" s="408">
        <v>0</v>
      </c>
      <c r="EJ464" s="408">
        <v>0</v>
      </c>
      <c r="EK464" s="408">
        <v>0</v>
      </c>
      <c r="EL464" s="408">
        <v>0</v>
      </c>
      <c r="EM464" s="408">
        <v>0</v>
      </c>
      <c r="EN464" s="408">
        <v>0</v>
      </c>
      <c r="EO464" s="408">
        <v>0</v>
      </c>
      <c r="EP464" s="408">
        <v>511.19859752008591</v>
      </c>
      <c r="EQ464" s="408">
        <v>0</v>
      </c>
      <c r="ER464" s="408">
        <v>0</v>
      </c>
      <c r="ES464" s="408">
        <v>0</v>
      </c>
      <c r="ET464" s="408">
        <v>0</v>
      </c>
      <c r="EU464" s="408">
        <v>0</v>
      </c>
      <c r="EV464" s="408">
        <v>240</v>
      </c>
      <c r="EW464" s="408">
        <v>0</v>
      </c>
      <c r="EX464" s="408">
        <v>0</v>
      </c>
      <c r="EY464" s="408">
        <v>0</v>
      </c>
      <c r="EZ464" s="408"/>
      <c r="FA464" s="408">
        <v>0</v>
      </c>
      <c r="FB464" s="408"/>
      <c r="FC464" s="408"/>
      <c r="FD464" s="408"/>
      <c r="FE464" s="408"/>
      <c r="FF464" s="408">
        <v>0</v>
      </c>
      <c r="FG464" s="408">
        <v>0</v>
      </c>
      <c r="FH464" s="408">
        <v>0</v>
      </c>
      <c r="FI464" s="408">
        <v>0</v>
      </c>
    </row>
    <row r="465" spans="1:165">
      <c r="A465" s="408">
        <v>463</v>
      </c>
      <c r="B465" s="408" t="s">
        <v>2238</v>
      </c>
      <c r="C465" s="408" t="s">
        <v>2243</v>
      </c>
      <c r="D465" s="408" t="s">
        <v>597</v>
      </c>
      <c r="E465" s="408" t="s">
        <v>2246</v>
      </c>
      <c r="F465" s="408" t="s">
        <v>1322</v>
      </c>
      <c r="G465" s="408" t="s">
        <v>1322</v>
      </c>
      <c r="H465" s="408" t="s">
        <v>1322</v>
      </c>
      <c r="I465" s="408" t="s">
        <v>2244</v>
      </c>
      <c r="J465" s="408" t="s">
        <v>2236</v>
      </c>
      <c r="K465" s="826">
        <v>44562</v>
      </c>
      <c r="L465" s="408">
        <v>0</v>
      </c>
      <c r="M465" s="408">
        <v>0</v>
      </c>
      <c r="N465" s="408">
        <v>1.256</v>
      </c>
      <c r="O465" s="408">
        <v>1.256</v>
      </c>
      <c r="P465" s="408">
        <v>1.256</v>
      </c>
      <c r="Q465" s="408">
        <v>1.256</v>
      </c>
      <c r="R465" s="408"/>
      <c r="S465" s="408">
        <v>85.01</v>
      </c>
      <c r="T465" s="408">
        <v>173.25</v>
      </c>
      <c r="U465" s="408"/>
      <c r="V465" s="408">
        <v>324.37456000000003</v>
      </c>
      <c r="W465" s="408">
        <v>324.37456000000003</v>
      </c>
      <c r="X465" s="408">
        <v>350.00952000000001</v>
      </c>
      <c r="Y465" s="408">
        <v>0</v>
      </c>
      <c r="Z465" s="408">
        <v>67.251652585615972</v>
      </c>
      <c r="AA465" s="408">
        <v>0</v>
      </c>
      <c r="AB465" s="408">
        <v>0</v>
      </c>
      <c r="AC465" s="408">
        <v>0</v>
      </c>
      <c r="AD465" s="408">
        <v>0</v>
      </c>
      <c r="AE465" s="408">
        <v>0</v>
      </c>
      <c r="AF465" s="408">
        <v>213.94763105515312</v>
      </c>
      <c r="AG465" s="408">
        <v>3.6514853143598103</v>
      </c>
      <c r="AH465" s="408">
        <v>0</v>
      </c>
      <c r="AI465" s="408">
        <v>0</v>
      </c>
      <c r="AJ465" s="408">
        <v>0</v>
      </c>
      <c r="AK465" s="408">
        <v>0</v>
      </c>
      <c r="AL465" s="408">
        <v>11.943342028320714</v>
      </c>
      <c r="AM465" s="408"/>
      <c r="AN465" s="408">
        <v>1.0058221671329346</v>
      </c>
      <c r="AO465" s="408">
        <v>0</v>
      </c>
      <c r="AP465" s="408">
        <v>0</v>
      </c>
      <c r="AQ465" s="408">
        <v>0</v>
      </c>
      <c r="AR465" s="408">
        <v>0</v>
      </c>
      <c r="AS465" s="408">
        <v>0</v>
      </c>
      <c r="AT465" s="408">
        <v>0</v>
      </c>
      <c r="AU465" s="408">
        <v>0</v>
      </c>
      <c r="AV465" s="408">
        <v>0</v>
      </c>
      <c r="AW465" s="408">
        <v>0</v>
      </c>
      <c r="AX465" s="408">
        <v>0</v>
      </c>
      <c r="AY465" s="408">
        <v>0</v>
      </c>
      <c r="AZ465" s="408">
        <v>0</v>
      </c>
      <c r="BA465" s="408"/>
      <c r="BB465" s="408">
        <v>0</v>
      </c>
      <c r="BC465" s="408">
        <v>0</v>
      </c>
      <c r="BD465" s="408">
        <v>0</v>
      </c>
      <c r="BE465" s="408">
        <v>0</v>
      </c>
      <c r="BF465" s="408">
        <v>0</v>
      </c>
      <c r="BG465" s="408">
        <v>9.3931926682544304</v>
      </c>
      <c r="BH465" s="408">
        <v>0</v>
      </c>
      <c r="BI465" s="408">
        <v>0</v>
      </c>
      <c r="BJ465" s="408">
        <v>0</v>
      </c>
      <c r="BK465" s="408">
        <v>0</v>
      </c>
      <c r="BL465" s="408">
        <v>0</v>
      </c>
      <c r="BM465" s="408"/>
      <c r="BN465" s="408"/>
      <c r="BO465" s="408"/>
      <c r="BP465" s="408"/>
      <c r="BQ465" s="408"/>
      <c r="BR465" s="408"/>
      <c r="BS465" s="408"/>
      <c r="BT465" s="408"/>
      <c r="BU465" s="408"/>
      <c r="BV465" s="408">
        <v>223.34082372340757</v>
      </c>
      <c r="BW465" s="408"/>
      <c r="BX465" s="408"/>
      <c r="BY465" s="408"/>
      <c r="BZ465" s="408"/>
      <c r="CA465" s="408"/>
      <c r="CB465" s="408"/>
      <c r="CC465" s="408"/>
      <c r="CD465" s="408"/>
      <c r="CE465" s="408"/>
      <c r="CF465" s="408"/>
      <c r="CG465" s="408"/>
      <c r="CH465" s="408"/>
      <c r="CI465" s="408">
        <v>351.12419999999997</v>
      </c>
      <c r="CJ465" s="408">
        <v>26.71963999999997</v>
      </c>
      <c r="CK465" s="408"/>
      <c r="CL465" s="408"/>
      <c r="CM465" s="408"/>
      <c r="CN465" s="408"/>
      <c r="CO465" s="408">
        <v>-1.4820800000000085</v>
      </c>
      <c r="CP465" s="408">
        <v>27.117040000000003</v>
      </c>
      <c r="CQ465" s="408">
        <v>31</v>
      </c>
      <c r="CR465" s="408">
        <v>25.631321114526429</v>
      </c>
      <c r="CS465" s="408">
        <v>0</v>
      </c>
      <c r="CT465" s="408">
        <v>0</v>
      </c>
      <c r="CU465" s="408">
        <v>0</v>
      </c>
      <c r="CV465" s="408">
        <v>0</v>
      </c>
      <c r="CW465" s="408">
        <v>0</v>
      </c>
      <c r="CX465" s="408">
        <v>0</v>
      </c>
      <c r="CY465" s="408">
        <v>0</v>
      </c>
      <c r="CZ465" s="408">
        <v>0</v>
      </c>
      <c r="DA465" s="408">
        <v>0</v>
      </c>
      <c r="DB465" s="408">
        <v>0</v>
      </c>
      <c r="DC465" s="408">
        <v>27.11397832937115</v>
      </c>
      <c r="DD465" s="408">
        <v>0</v>
      </c>
      <c r="DE465" s="408">
        <v>0</v>
      </c>
      <c r="DF465" s="408">
        <v>0</v>
      </c>
      <c r="DG465" s="408">
        <v>1.190416651002792</v>
      </c>
      <c r="DH465" s="408">
        <v>0</v>
      </c>
      <c r="DI465" s="408">
        <v>-2.2836533101457661</v>
      </c>
      <c r="DJ465" s="408"/>
      <c r="DK465" s="408">
        <v>0</v>
      </c>
      <c r="DL465" s="408">
        <v>0</v>
      </c>
      <c r="DM465" s="408">
        <v>0</v>
      </c>
      <c r="DN465" s="408">
        <v>0</v>
      </c>
      <c r="DO465" s="408">
        <v>-0.36096440839573063</v>
      </c>
      <c r="DP465" s="408">
        <v>-2.8456147306038848E-2</v>
      </c>
      <c r="DQ465" s="408">
        <v>0</v>
      </c>
      <c r="DR465" s="408">
        <v>0</v>
      </c>
      <c r="DS465" s="408"/>
      <c r="DT465" s="408"/>
      <c r="DU465" s="408"/>
      <c r="DV465" s="408">
        <v>0</v>
      </c>
      <c r="DW465" s="408">
        <v>0</v>
      </c>
      <c r="DX465" s="408">
        <v>0</v>
      </c>
      <c r="DY465" s="408">
        <v>-1.4820800000000105</v>
      </c>
      <c r="DZ465" s="408">
        <v>27.117040000000003</v>
      </c>
      <c r="EA465" s="408">
        <v>0</v>
      </c>
      <c r="EB465" s="408">
        <v>0</v>
      </c>
      <c r="EC465" s="408">
        <v>0</v>
      </c>
      <c r="ED465" s="408">
        <v>0</v>
      </c>
      <c r="EE465" s="408">
        <v>0</v>
      </c>
      <c r="EF465" s="408">
        <v>0</v>
      </c>
      <c r="EG465" s="408">
        <v>0</v>
      </c>
      <c r="EH465" s="408">
        <v>0</v>
      </c>
      <c r="EI465" s="408">
        <v>0</v>
      </c>
      <c r="EJ465" s="408">
        <v>0</v>
      </c>
      <c r="EK465" s="408">
        <v>0</v>
      </c>
      <c r="EL465" s="408">
        <v>0</v>
      </c>
      <c r="EM465" s="408">
        <v>0</v>
      </c>
      <c r="EN465" s="408">
        <v>0</v>
      </c>
      <c r="EO465" s="408">
        <v>0</v>
      </c>
      <c r="EP465" s="408">
        <v>17.174872632281936</v>
      </c>
      <c r="EQ465" s="408">
        <v>0</v>
      </c>
      <c r="ER465" s="408">
        <v>0</v>
      </c>
      <c r="ES465" s="408">
        <v>0</v>
      </c>
      <c r="ET465" s="408">
        <v>0</v>
      </c>
      <c r="EU465" s="408">
        <v>0</v>
      </c>
      <c r="EV465" s="408">
        <v>240</v>
      </c>
      <c r="EW465" s="408">
        <v>0</v>
      </c>
      <c r="EX465" s="408">
        <v>0</v>
      </c>
      <c r="EY465" s="408">
        <v>0</v>
      </c>
      <c r="EZ465" s="408"/>
      <c r="FA465" s="408">
        <v>0</v>
      </c>
      <c r="FB465" s="408"/>
      <c r="FC465" s="408"/>
      <c r="FD465" s="408"/>
      <c r="FE465" s="408"/>
      <c r="FF465" s="408">
        <v>0</v>
      </c>
      <c r="FG465" s="408">
        <v>0</v>
      </c>
      <c r="FH465" s="408">
        <v>0</v>
      </c>
      <c r="FI465" s="408">
        <v>0</v>
      </c>
    </row>
    <row r="466" spans="1:165">
      <c r="A466" s="408">
        <v>464</v>
      </c>
      <c r="B466" s="408" t="s">
        <v>1036</v>
      </c>
      <c r="C466" s="408" t="s">
        <v>2243</v>
      </c>
      <c r="D466" s="408" t="s">
        <v>597</v>
      </c>
      <c r="E466" s="408" t="s">
        <v>2246</v>
      </c>
      <c r="F466" s="408" t="s">
        <v>1322</v>
      </c>
      <c r="G466" s="408" t="s">
        <v>1322</v>
      </c>
      <c r="H466" s="408" t="s">
        <v>1322</v>
      </c>
      <c r="I466" s="408" t="s">
        <v>1322</v>
      </c>
      <c r="J466" s="408" t="s">
        <v>2236</v>
      </c>
      <c r="K466" s="826">
        <v>44562</v>
      </c>
      <c r="L466" s="408">
        <v>212</v>
      </c>
      <c r="M466" s="408">
        <v>212</v>
      </c>
      <c r="N466" s="408">
        <v>0</v>
      </c>
      <c r="O466" s="408">
        <v>0</v>
      </c>
      <c r="P466" s="408">
        <v>0</v>
      </c>
      <c r="Q466" s="408">
        <v>0</v>
      </c>
      <c r="R466" s="408">
        <v>27.19</v>
      </c>
      <c r="S466" s="408"/>
      <c r="T466" s="408"/>
      <c r="U466" s="408">
        <v>5764.2800000000007</v>
      </c>
      <c r="V466" s="408"/>
      <c r="W466" s="408">
        <v>5764.2800000000007</v>
      </c>
      <c r="X466" s="408">
        <v>4613.12</v>
      </c>
      <c r="Y466" s="408">
        <v>0</v>
      </c>
      <c r="Z466" s="408">
        <v>0</v>
      </c>
      <c r="AA466" s="408">
        <v>0</v>
      </c>
      <c r="AB466" s="408">
        <v>0</v>
      </c>
      <c r="AC466" s="408">
        <v>49.438530046643571</v>
      </c>
      <c r="AD466" s="408">
        <v>47.495385946529893</v>
      </c>
      <c r="AE466" s="408">
        <v>5073.5904115498133</v>
      </c>
      <c r="AF466" s="408"/>
      <c r="AG466" s="408"/>
      <c r="AH466" s="408"/>
      <c r="AI466" s="408">
        <v>0</v>
      </c>
      <c r="AJ466" s="408">
        <v>0</v>
      </c>
      <c r="AK466" s="408">
        <v>0</v>
      </c>
      <c r="AL466" s="408">
        <v>0</v>
      </c>
      <c r="AM466" s="408"/>
      <c r="AN466" s="408">
        <v>0</v>
      </c>
      <c r="AO466" s="408">
        <v>104.91558419117837</v>
      </c>
      <c r="AP466" s="408">
        <v>489.31483471843592</v>
      </c>
      <c r="AQ466" s="408">
        <v>0</v>
      </c>
      <c r="AR466" s="408">
        <v>0</v>
      </c>
      <c r="AS466" s="408"/>
      <c r="AT466" s="408"/>
      <c r="AU466" s="408">
        <v>0</v>
      </c>
      <c r="AV466" s="408">
        <v>0</v>
      </c>
      <c r="AW466" s="408">
        <v>0</v>
      </c>
      <c r="AX466" s="408"/>
      <c r="AY466" s="408"/>
      <c r="AZ466" s="408">
        <v>0</v>
      </c>
      <c r="BA466" s="408"/>
      <c r="BB466" s="408">
        <v>0</v>
      </c>
      <c r="BC466" s="408">
        <v>0</v>
      </c>
      <c r="BD466" s="408">
        <v>0</v>
      </c>
      <c r="BE466" s="408">
        <v>0</v>
      </c>
      <c r="BF466" s="408"/>
      <c r="BG466" s="408">
        <v>0</v>
      </c>
      <c r="BH466" s="408">
        <v>0</v>
      </c>
      <c r="BI466" s="408">
        <v>19.77</v>
      </c>
      <c r="BJ466" s="408">
        <v>169.62</v>
      </c>
      <c r="BK466" s="408">
        <v>9351.11</v>
      </c>
      <c r="BL466" s="408">
        <v>5</v>
      </c>
      <c r="BM466" s="408"/>
      <c r="BN466" s="408"/>
      <c r="BO466" s="408"/>
      <c r="BP466" s="408"/>
      <c r="BQ466" s="408"/>
      <c r="BR466" s="408"/>
      <c r="BS466" s="408"/>
      <c r="BT466" s="408"/>
      <c r="BU466" s="408"/>
      <c r="BV466" s="408">
        <v>0</v>
      </c>
      <c r="BW466" s="408"/>
      <c r="BX466" s="408"/>
      <c r="BY466" s="408"/>
      <c r="BZ466" s="408"/>
      <c r="CA466" s="408"/>
      <c r="CB466" s="408"/>
      <c r="CC466" s="408"/>
      <c r="CD466" s="408"/>
      <c r="CE466" s="408"/>
      <c r="CF466" s="408"/>
      <c r="CG466" s="408"/>
      <c r="CH466" s="408"/>
      <c r="CI466" s="408">
        <v>4613.12</v>
      </c>
      <c r="CJ466" s="408">
        <v>-1151.1900000000014</v>
      </c>
      <c r="CK466" s="408"/>
      <c r="CL466" s="408"/>
      <c r="CM466" s="408"/>
      <c r="CN466" s="408"/>
      <c r="CO466" s="408">
        <v>-1151.1599999999999</v>
      </c>
      <c r="CP466" s="408">
        <v>0</v>
      </c>
      <c r="CQ466" s="408">
        <v>31</v>
      </c>
      <c r="CR466" s="408">
        <v>108.11830165498418</v>
      </c>
      <c r="CS466" s="408">
        <v>10.454613713609177</v>
      </c>
      <c r="CT466" s="408">
        <v>48.759177397307326</v>
      </c>
      <c r="CU466" s="408">
        <v>0</v>
      </c>
      <c r="CV466" s="408">
        <v>0</v>
      </c>
      <c r="CW466" s="408"/>
      <c r="CX466" s="408"/>
      <c r="CY466" s="408"/>
      <c r="CZ466" s="408">
        <v>48.904510544067634</v>
      </c>
      <c r="DA466" s="408">
        <v>0</v>
      </c>
      <c r="DB466" s="408">
        <v>0</v>
      </c>
      <c r="DC466" s="408"/>
      <c r="DD466" s="408"/>
      <c r="DE466" s="408">
        <v>0</v>
      </c>
      <c r="DF466" s="408">
        <v>0</v>
      </c>
      <c r="DG466" s="408">
        <v>0</v>
      </c>
      <c r="DH466" s="408">
        <v>0</v>
      </c>
      <c r="DI466" s="408">
        <v>0</v>
      </c>
      <c r="DJ466" s="408"/>
      <c r="DK466" s="408">
        <v>0</v>
      </c>
      <c r="DL466" s="408">
        <v>0</v>
      </c>
      <c r="DM466" s="408"/>
      <c r="DN466" s="408">
        <v>0</v>
      </c>
      <c r="DO466" s="408">
        <v>0</v>
      </c>
      <c r="DP466" s="408">
        <v>0</v>
      </c>
      <c r="DQ466" s="408">
        <v>0</v>
      </c>
      <c r="DR466" s="408">
        <v>0</v>
      </c>
      <c r="DS466" s="408"/>
      <c r="DT466" s="408"/>
      <c r="DU466" s="408">
        <v>5073.5904115498133</v>
      </c>
      <c r="DV466" s="408"/>
      <c r="DW466" s="408">
        <v>0</v>
      </c>
      <c r="DX466" s="408">
        <v>0</v>
      </c>
      <c r="DY466" s="408">
        <v>-1151.1600000000008</v>
      </c>
      <c r="DZ466" s="408"/>
      <c r="EA466" s="408">
        <v>0</v>
      </c>
      <c r="EB466" s="408"/>
      <c r="EC466" s="408">
        <v>-1260.3659193418152</v>
      </c>
      <c r="ED466" s="408"/>
      <c r="EE466" s="408">
        <v>0</v>
      </c>
      <c r="EF466" s="408">
        <v>0</v>
      </c>
      <c r="EG466" s="408"/>
      <c r="EH466" s="408">
        <v>0</v>
      </c>
      <c r="EI466" s="408">
        <v>0</v>
      </c>
      <c r="EJ466" s="408">
        <v>0</v>
      </c>
      <c r="EK466" s="408">
        <v>0</v>
      </c>
      <c r="EL466" s="408">
        <v>0</v>
      </c>
      <c r="EM466" s="408"/>
      <c r="EN466" s="408"/>
      <c r="EO466" s="408">
        <v>0</v>
      </c>
      <c r="EP466" s="408">
        <v>0</v>
      </c>
      <c r="EQ466" s="408"/>
      <c r="ER466" s="408">
        <v>0</v>
      </c>
      <c r="ES466" s="408"/>
      <c r="ET466" s="408">
        <v>0</v>
      </c>
      <c r="EU466" s="408"/>
      <c r="EV466" s="408">
        <v>240</v>
      </c>
      <c r="EW466" s="408"/>
      <c r="EX466" s="408"/>
      <c r="EY466" s="408"/>
      <c r="EZ466" s="408"/>
      <c r="FA466" s="408">
        <v>0</v>
      </c>
      <c r="FB466" s="408"/>
      <c r="FC466" s="408"/>
      <c r="FD466" s="408"/>
      <c r="FE466" s="408"/>
      <c r="FF466" s="408">
        <v>0</v>
      </c>
      <c r="FG466" s="408">
        <v>0</v>
      </c>
      <c r="FH466" s="408">
        <v>0</v>
      </c>
      <c r="FI466" s="408">
        <v>0</v>
      </c>
    </row>
    <row r="467" spans="1:165">
      <c r="A467" s="408">
        <v>465</v>
      </c>
      <c r="B467" s="408" t="s">
        <v>2238</v>
      </c>
      <c r="C467" s="408" t="s">
        <v>2243</v>
      </c>
      <c r="D467" s="408" t="s">
        <v>597</v>
      </c>
      <c r="E467" s="408" t="s">
        <v>2246</v>
      </c>
      <c r="F467" s="408" t="s">
        <v>1322</v>
      </c>
      <c r="G467" s="408" t="s">
        <v>1322</v>
      </c>
      <c r="H467" s="408" t="s">
        <v>1322</v>
      </c>
      <c r="I467" s="408" t="s">
        <v>1322</v>
      </c>
      <c r="J467" s="408" t="s">
        <v>2236</v>
      </c>
      <c r="K467" s="826">
        <v>44562</v>
      </c>
      <c r="L467" s="408">
        <v>41</v>
      </c>
      <c r="M467" s="408">
        <v>41</v>
      </c>
      <c r="N467" s="408">
        <v>0</v>
      </c>
      <c r="O467" s="408">
        <v>0</v>
      </c>
      <c r="P467" s="408">
        <v>0</v>
      </c>
      <c r="Q467" s="408">
        <v>0</v>
      </c>
      <c r="R467" s="408">
        <v>27.19</v>
      </c>
      <c r="S467" s="408"/>
      <c r="T467" s="408"/>
      <c r="U467" s="408">
        <v>1114.79</v>
      </c>
      <c r="V467" s="408"/>
      <c r="W467" s="408">
        <v>1114.79</v>
      </c>
      <c r="X467" s="408">
        <v>892.16000000000008</v>
      </c>
      <c r="Y467" s="408">
        <v>0</v>
      </c>
      <c r="Z467" s="408">
        <v>0</v>
      </c>
      <c r="AA467" s="408">
        <v>0</v>
      </c>
      <c r="AB467" s="408">
        <v>0</v>
      </c>
      <c r="AC467" s="408">
        <v>9.5612251505301238</v>
      </c>
      <c r="AD467" s="408">
        <v>9.1854284141873848</v>
      </c>
      <c r="AE467" s="408">
        <v>981.21323996953947</v>
      </c>
      <c r="AF467" s="408"/>
      <c r="AG467" s="408"/>
      <c r="AH467" s="408"/>
      <c r="AI467" s="408">
        <v>0</v>
      </c>
      <c r="AJ467" s="408">
        <v>0</v>
      </c>
      <c r="AK467" s="408">
        <v>0</v>
      </c>
      <c r="AL467" s="408">
        <v>0</v>
      </c>
      <c r="AM467" s="408"/>
      <c r="AN467" s="408">
        <v>0</v>
      </c>
      <c r="AO467" s="408">
        <v>20.290278074709025</v>
      </c>
      <c r="AP467" s="408">
        <v>94.63164256347109</v>
      </c>
      <c r="AQ467" s="408">
        <v>0</v>
      </c>
      <c r="AR467" s="408">
        <v>0</v>
      </c>
      <c r="AS467" s="408"/>
      <c r="AT467" s="408"/>
      <c r="AU467" s="408">
        <v>0</v>
      </c>
      <c r="AV467" s="408">
        <v>0</v>
      </c>
      <c r="AW467" s="408">
        <v>0</v>
      </c>
      <c r="AX467" s="408"/>
      <c r="AY467" s="408"/>
      <c r="AZ467" s="408">
        <v>0</v>
      </c>
      <c r="BA467" s="408"/>
      <c r="BB467" s="408">
        <v>0</v>
      </c>
      <c r="BC467" s="408">
        <v>0</v>
      </c>
      <c r="BD467" s="408">
        <v>0</v>
      </c>
      <c r="BE467" s="408">
        <v>0</v>
      </c>
      <c r="BF467" s="408"/>
      <c r="BG467" s="408">
        <v>0</v>
      </c>
      <c r="BH467" s="408">
        <v>0</v>
      </c>
      <c r="BI467" s="408">
        <v>1.64</v>
      </c>
      <c r="BJ467" s="408">
        <v>14.14</v>
      </c>
      <c r="BK467" s="408">
        <v>871.62</v>
      </c>
      <c r="BL467" s="408">
        <v>1</v>
      </c>
      <c r="BM467" s="408"/>
      <c r="BN467" s="408"/>
      <c r="BO467" s="408"/>
      <c r="BP467" s="408"/>
      <c r="BQ467" s="408"/>
      <c r="BR467" s="408"/>
      <c r="BS467" s="408"/>
      <c r="BT467" s="408"/>
      <c r="BU467" s="408"/>
      <c r="BV467" s="408">
        <v>0</v>
      </c>
      <c r="BW467" s="408"/>
      <c r="BX467" s="408"/>
      <c r="BY467" s="408"/>
      <c r="BZ467" s="408"/>
      <c r="CA467" s="408"/>
      <c r="CB467" s="408"/>
      <c r="CC467" s="408"/>
      <c r="CD467" s="408"/>
      <c r="CE467" s="408"/>
      <c r="CF467" s="408"/>
      <c r="CG467" s="408"/>
      <c r="CH467" s="408"/>
      <c r="CI467" s="408">
        <v>892.16000000000008</v>
      </c>
      <c r="CJ467" s="408">
        <v>-222.65999999999985</v>
      </c>
      <c r="CK467" s="408"/>
      <c r="CL467" s="408"/>
      <c r="CM467" s="408"/>
      <c r="CN467" s="408"/>
      <c r="CO467" s="408">
        <v>-222.63</v>
      </c>
      <c r="CP467" s="408">
        <v>0</v>
      </c>
      <c r="CQ467" s="408">
        <v>31</v>
      </c>
      <c r="CR467" s="408">
        <v>20.909671546482798</v>
      </c>
      <c r="CS467" s="408">
        <v>2.0218828408395098</v>
      </c>
      <c r="CT467" s="408">
        <v>9.4298409117434119</v>
      </c>
      <c r="CU467" s="408">
        <v>0</v>
      </c>
      <c r="CV467" s="408">
        <v>0</v>
      </c>
      <c r="CW467" s="408"/>
      <c r="CX467" s="408"/>
      <c r="CY467" s="408"/>
      <c r="CZ467" s="408">
        <v>9.4579477938998728</v>
      </c>
      <c r="DA467" s="408">
        <v>0</v>
      </c>
      <c r="DB467" s="408">
        <v>0</v>
      </c>
      <c r="DC467" s="408"/>
      <c r="DD467" s="408"/>
      <c r="DE467" s="408">
        <v>0</v>
      </c>
      <c r="DF467" s="408">
        <v>0</v>
      </c>
      <c r="DG467" s="408">
        <v>0</v>
      </c>
      <c r="DH467" s="408">
        <v>0</v>
      </c>
      <c r="DI467" s="408">
        <v>0</v>
      </c>
      <c r="DJ467" s="408"/>
      <c r="DK467" s="408">
        <v>0</v>
      </c>
      <c r="DL467" s="408">
        <v>0</v>
      </c>
      <c r="DM467" s="408"/>
      <c r="DN467" s="408">
        <v>0</v>
      </c>
      <c r="DO467" s="408">
        <v>0</v>
      </c>
      <c r="DP467" s="408">
        <v>0</v>
      </c>
      <c r="DQ467" s="408">
        <v>0</v>
      </c>
      <c r="DR467" s="408">
        <v>0</v>
      </c>
      <c r="DS467" s="408"/>
      <c r="DT467" s="408"/>
      <c r="DU467" s="408">
        <v>981.21323996953947</v>
      </c>
      <c r="DV467" s="408"/>
      <c r="DW467" s="408">
        <v>0</v>
      </c>
      <c r="DX467" s="408">
        <v>0</v>
      </c>
      <c r="DY467" s="408">
        <v>-222.62999999999988</v>
      </c>
      <c r="DZ467" s="408"/>
      <c r="EA467" s="408">
        <v>0</v>
      </c>
      <c r="EB467" s="408"/>
      <c r="EC467" s="408">
        <v>-243.75001270289829</v>
      </c>
      <c r="ED467" s="408"/>
      <c r="EE467" s="408">
        <v>0</v>
      </c>
      <c r="EF467" s="408">
        <v>0</v>
      </c>
      <c r="EG467" s="408"/>
      <c r="EH467" s="408">
        <v>0</v>
      </c>
      <c r="EI467" s="408">
        <v>0</v>
      </c>
      <c r="EJ467" s="408">
        <v>0</v>
      </c>
      <c r="EK467" s="408">
        <v>0</v>
      </c>
      <c r="EL467" s="408">
        <v>0</v>
      </c>
      <c r="EM467" s="408"/>
      <c r="EN467" s="408"/>
      <c r="EO467" s="408">
        <v>0</v>
      </c>
      <c r="EP467" s="408">
        <v>0</v>
      </c>
      <c r="EQ467" s="408"/>
      <c r="ER467" s="408">
        <v>0</v>
      </c>
      <c r="ES467" s="408"/>
      <c r="ET467" s="408">
        <v>0</v>
      </c>
      <c r="EU467" s="408"/>
      <c r="EV467" s="408">
        <v>240</v>
      </c>
      <c r="EW467" s="408"/>
      <c r="EX467" s="408"/>
      <c r="EY467" s="408"/>
      <c r="EZ467" s="408"/>
      <c r="FA467" s="408">
        <v>0</v>
      </c>
      <c r="FB467" s="408"/>
      <c r="FC467" s="408"/>
      <c r="FD467" s="408"/>
      <c r="FE467" s="408"/>
      <c r="FF467" s="408">
        <v>0</v>
      </c>
      <c r="FG467" s="408">
        <v>0</v>
      </c>
      <c r="FH467" s="408">
        <v>0</v>
      </c>
      <c r="FI467" s="408">
        <v>0</v>
      </c>
    </row>
    <row r="468" spans="1:165">
      <c r="A468" s="408">
        <v>466</v>
      </c>
      <c r="B468" s="408" t="s">
        <v>1036</v>
      </c>
      <c r="C468" s="408" t="s">
        <v>2235</v>
      </c>
      <c r="D468" s="408" t="s">
        <v>2248</v>
      </c>
      <c r="E468" s="408" t="s">
        <v>2249</v>
      </c>
      <c r="F468" s="408" t="s">
        <v>2250</v>
      </c>
      <c r="G468" s="408" t="s">
        <v>1322</v>
      </c>
      <c r="H468" s="408" t="s">
        <v>1322</v>
      </c>
      <c r="I468" s="408" t="s">
        <v>1322</v>
      </c>
      <c r="J468" s="408" t="s">
        <v>2236</v>
      </c>
      <c r="K468" s="826">
        <v>44562</v>
      </c>
      <c r="L468" s="408">
        <v>0</v>
      </c>
      <c r="M468" s="408">
        <v>0</v>
      </c>
      <c r="N468" s="408">
        <v>1606.9760000000001</v>
      </c>
      <c r="O468" s="408">
        <v>1606.9760000000001</v>
      </c>
      <c r="P468" s="408">
        <v>1606.9760000000001</v>
      </c>
      <c r="Q468" s="408">
        <v>1606.9760000000001</v>
      </c>
      <c r="R468" s="408"/>
      <c r="S468" s="408">
        <v>199.07</v>
      </c>
      <c r="T468" s="408">
        <v>95.29</v>
      </c>
      <c r="U468" s="408"/>
      <c r="V468" s="408">
        <v>473029.45536000002</v>
      </c>
      <c r="W468" s="408">
        <v>473029.45536000002</v>
      </c>
      <c r="X468" s="408">
        <v>446530.42112000001</v>
      </c>
      <c r="Y468" s="408">
        <v>0</v>
      </c>
      <c r="Z468" s="408">
        <v>54395.897774345263</v>
      </c>
      <c r="AA468" s="408">
        <v>0</v>
      </c>
      <c r="AB468" s="408">
        <v>0</v>
      </c>
      <c r="AC468" s="408">
        <v>2262.2133140566948</v>
      </c>
      <c r="AD468" s="408">
        <v>2917.5980550885756</v>
      </c>
      <c r="AE468" s="408">
        <v>201860.87460514775</v>
      </c>
      <c r="AF468" s="408">
        <v>150553.1764326171</v>
      </c>
      <c r="AG468" s="408">
        <v>2569.519980486285</v>
      </c>
      <c r="AH468" s="408">
        <v>0</v>
      </c>
      <c r="AI468" s="408">
        <v>0</v>
      </c>
      <c r="AJ468" s="408">
        <v>0</v>
      </c>
      <c r="AK468" s="408">
        <v>0</v>
      </c>
      <c r="AL468" s="408">
        <v>8404.4308914144112</v>
      </c>
      <c r="AM468" s="408"/>
      <c r="AN468" s="408">
        <v>1067.5482132808588</v>
      </c>
      <c r="AO468" s="408">
        <v>4802.2349340537667</v>
      </c>
      <c r="AP468" s="408">
        <v>22392.113038353222</v>
      </c>
      <c r="AQ468" s="408">
        <v>0</v>
      </c>
      <c r="AR468" s="408">
        <v>0</v>
      </c>
      <c r="AS468" s="408">
        <v>0</v>
      </c>
      <c r="AT468" s="408">
        <v>0</v>
      </c>
      <c r="AU468" s="408">
        <v>0</v>
      </c>
      <c r="AV468" s="408">
        <v>0</v>
      </c>
      <c r="AW468" s="408">
        <v>0</v>
      </c>
      <c r="AX468" s="408">
        <v>0</v>
      </c>
      <c r="AY468" s="408">
        <v>0</v>
      </c>
      <c r="AZ468" s="408">
        <v>0</v>
      </c>
      <c r="BA468" s="408"/>
      <c r="BB468" s="408">
        <v>0</v>
      </c>
      <c r="BC468" s="408">
        <v>0</v>
      </c>
      <c r="BD468" s="408">
        <v>0</v>
      </c>
      <c r="BE468" s="408">
        <v>0</v>
      </c>
      <c r="BF468" s="408">
        <v>0</v>
      </c>
      <c r="BG468" s="408">
        <v>7901.3169993059628</v>
      </c>
      <c r="BH468" s="408">
        <v>0</v>
      </c>
      <c r="BI468" s="408">
        <v>475.2</v>
      </c>
      <c r="BJ468" s="408">
        <v>4075.57</v>
      </c>
      <c r="BK468" s="408">
        <v>169817.45</v>
      </c>
      <c r="BL468" s="408">
        <v>66</v>
      </c>
      <c r="BM468" s="408"/>
      <c r="BN468" s="408"/>
      <c r="BO468" s="408"/>
      <c r="BP468" s="408"/>
      <c r="BQ468" s="408"/>
      <c r="BR468" s="408"/>
      <c r="BS468" s="408"/>
      <c r="BT468" s="408"/>
      <c r="BU468" s="408"/>
      <c r="BV468" s="408">
        <v>158454.49343192307</v>
      </c>
      <c r="BW468" s="408"/>
      <c r="BX468" s="408"/>
      <c r="BY468" s="408"/>
      <c r="BZ468" s="408"/>
      <c r="CA468" s="408"/>
      <c r="CB468" s="408"/>
      <c r="CC468" s="408"/>
      <c r="CD468" s="408"/>
      <c r="CE468" s="408"/>
      <c r="CF468" s="408"/>
      <c r="CG468" s="408"/>
      <c r="CH468" s="408"/>
      <c r="CI468" s="408">
        <v>446531.53260000004</v>
      </c>
      <c r="CJ468" s="408">
        <v>-26497.952760000015</v>
      </c>
      <c r="CK468" s="408"/>
      <c r="CL468" s="408"/>
      <c r="CM468" s="408"/>
      <c r="CN468" s="408"/>
      <c r="CO468" s="408">
        <v>-45573.839359999976</v>
      </c>
      <c r="CP468" s="408">
        <v>19074.805119999986</v>
      </c>
      <c r="CQ468" s="408">
        <v>31</v>
      </c>
      <c r="CR468" s="408">
        <v>23663.925781701342</v>
      </c>
      <c r="CS468" s="408">
        <v>478.53244667681975</v>
      </c>
      <c r="CT468" s="408">
        <v>2231.3262024150245</v>
      </c>
      <c r="CU468" s="408">
        <v>0</v>
      </c>
      <c r="CV468" s="408">
        <v>0</v>
      </c>
      <c r="CW468" s="408">
        <v>0</v>
      </c>
      <c r="CX468" s="408">
        <v>0</v>
      </c>
      <c r="CY468" s="408">
        <v>0</v>
      </c>
      <c r="CZ468" s="408">
        <v>3004.1592884214647</v>
      </c>
      <c r="DA468" s="408">
        <v>0</v>
      </c>
      <c r="DB468" s="408">
        <v>0</v>
      </c>
      <c r="DC468" s="408">
        <v>19079.882039729797</v>
      </c>
      <c r="DD468" s="408">
        <v>0</v>
      </c>
      <c r="DE468" s="408">
        <v>0</v>
      </c>
      <c r="DF468" s="408">
        <v>0</v>
      </c>
      <c r="DG468" s="408">
        <v>1001.3484927881482</v>
      </c>
      <c r="DH468" s="408">
        <v>0</v>
      </c>
      <c r="DI468" s="408">
        <v>-1847.112557607179</v>
      </c>
      <c r="DJ468" s="408"/>
      <c r="DK468" s="408">
        <v>0</v>
      </c>
      <c r="DL468" s="408">
        <v>0</v>
      </c>
      <c r="DM468" s="408">
        <v>0</v>
      </c>
      <c r="DN468" s="408">
        <v>0</v>
      </c>
      <c r="DO468" s="408">
        <v>-254.00766531080444</v>
      </c>
      <c r="DP468" s="408">
        <v>-30.202465411961612</v>
      </c>
      <c r="DQ468" s="408">
        <v>0</v>
      </c>
      <c r="DR468" s="408">
        <v>0</v>
      </c>
      <c r="DS468" s="408"/>
      <c r="DT468" s="408"/>
      <c r="DU468" s="408"/>
      <c r="DV468" s="408">
        <v>201860.87460514775</v>
      </c>
      <c r="DW468" s="408">
        <v>0</v>
      </c>
      <c r="DX468" s="408">
        <v>0</v>
      </c>
      <c r="DY468" s="408">
        <v>-45573.839359999984</v>
      </c>
      <c r="DZ468" s="408">
        <v>19074.805119999975</v>
      </c>
      <c r="EA468" s="408">
        <v>0</v>
      </c>
      <c r="EB468" s="408">
        <v>0</v>
      </c>
      <c r="EC468" s="408">
        <v>-50145.665330352291</v>
      </c>
      <c r="ED468" s="408">
        <v>0</v>
      </c>
      <c r="EE468" s="408">
        <v>0</v>
      </c>
      <c r="EF468" s="408">
        <v>0</v>
      </c>
      <c r="EG468" s="408">
        <v>0</v>
      </c>
      <c r="EH468" s="408">
        <v>0</v>
      </c>
      <c r="EI468" s="408">
        <v>0</v>
      </c>
      <c r="EJ468" s="408">
        <v>0</v>
      </c>
      <c r="EK468" s="408">
        <v>0</v>
      </c>
      <c r="EL468" s="408">
        <v>0</v>
      </c>
      <c r="EM468" s="408">
        <v>0</v>
      </c>
      <c r="EN468" s="408">
        <v>0</v>
      </c>
      <c r="EO468" s="408">
        <v>0</v>
      </c>
      <c r="EP468" s="408">
        <v>13891.742136799578</v>
      </c>
      <c r="EQ468" s="408">
        <v>0</v>
      </c>
      <c r="ER468" s="408">
        <v>0</v>
      </c>
      <c r="ES468" s="408">
        <v>0</v>
      </c>
      <c r="ET468" s="408">
        <v>0</v>
      </c>
      <c r="EU468" s="408">
        <v>0</v>
      </c>
      <c r="EV468" s="408">
        <v>240</v>
      </c>
      <c r="EW468" s="408">
        <v>0</v>
      </c>
      <c r="EX468" s="408">
        <v>0</v>
      </c>
      <c r="EY468" s="408">
        <v>0</v>
      </c>
      <c r="EZ468" s="408"/>
      <c r="FA468" s="408">
        <v>0</v>
      </c>
      <c r="FB468" s="408"/>
      <c r="FC468" s="408"/>
      <c r="FD468" s="408"/>
      <c r="FE468" s="408"/>
      <c r="FF468" s="408">
        <v>0</v>
      </c>
      <c r="FG468" s="408">
        <v>0</v>
      </c>
      <c r="FH468" s="408">
        <v>0</v>
      </c>
      <c r="FI468" s="408">
        <v>0</v>
      </c>
    </row>
    <row r="469" spans="1:165">
      <c r="A469" s="408">
        <v>467</v>
      </c>
      <c r="B469" s="408" t="s">
        <v>1036</v>
      </c>
      <c r="C469" s="408" t="s">
        <v>2235</v>
      </c>
      <c r="D469" s="408" t="s">
        <v>1958</v>
      </c>
      <c r="E469" s="408" t="s">
        <v>1001</v>
      </c>
      <c r="F469" s="408" t="s">
        <v>2251</v>
      </c>
      <c r="G469" s="408" t="s">
        <v>1322</v>
      </c>
      <c r="H469" s="408" t="s">
        <v>1322</v>
      </c>
      <c r="I469" s="408" t="s">
        <v>1322</v>
      </c>
      <c r="J469" s="408" t="s">
        <v>2236</v>
      </c>
      <c r="K469" s="826">
        <v>44562</v>
      </c>
      <c r="L469" s="408">
        <v>0</v>
      </c>
      <c r="M469" s="408">
        <v>0</v>
      </c>
      <c r="N469" s="408">
        <v>737.51</v>
      </c>
      <c r="O469" s="408">
        <v>693.25940000000003</v>
      </c>
      <c r="P469" s="408">
        <v>737.51</v>
      </c>
      <c r="Q469" s="408">
        <v>693.25940000000003</v>
      </c>
      <c r="R469" s="408"/>
      <c r="S469" s="408">
        <v>368.24</v>
      </c>
      <c r="T469" s="408">
        <v>173.25</v>
      </c>
      <c r="U469" s="408"/>
      <c r="V469" s="408">
        <v>399354.28989999997</v>
      </c>
      <c r="W469" s="408">
        <v>399354.28989999997</v>
      </c>
      <c r="X469" s="408">
        <v>375311.46389999997</v>
      </c>
      <c r="Y469" s="408">
        <v>0</v>
      </c>
      <c r="Z469" s="408">
        <v>45390.188061367662</v>
      </c>
      <c r="AA469" s="408">
        <v>0</v>
      </c>
      <c r="AB469" s="408">
        <v>0</v>
      </c>
      <c r="AC469" s="408">
        <v>1887.6844019732534</v>
      </c>
      <c r="AD469" s="408">
        <v>1813.6414196417295</v>
      </c>
      <c r="AE469" s="408">
        <v>173710.97089392497</v>
      </c>
      <c r="AF469" s="408">
        <v>125627.80046137419</v>
      </c>
      <c r="AG469" s="408">
        <v>2144.1138011094772</v>
      </c>
      <c r="AH469" s="408">
        <v>0</v>
      </c>
      <c r="AI469" s="408">
        <v>0</v>
      </c>
      <c r="AJ469" s="408">
        <v>0</v>
      </c>
      <c r="AK469" s="408">
        <v>0</v>
      </c>
      <c r="AL469" s="408">
        <v>7013.0049198302631</v>
      </c>
      <c r="AM469" s="408"/>
      <c r="AN469" s="408">
        <v>890.80640540964953</v>
      </c>
      <c r="AO469" s="408">
        <v>4007.1835504178939</v>
      </c>
      <c r="AP469" s="408">
        <v>18684.905727975849</v>
      </c>
      <c r="AQ469" s="408">
        <v>0</v>
      </c>
      <c r="AR469" s="408">
        <v>0</v>
      </c>
      <c r="AS469" s="408">
        <v>0</v>
      </c>
      <c r="AT469" s="408">
        <v>0</v>
      </c>
      <c r="AU469" s="408">
        <v>0</v>
      </c>
      <c r="AV469" s="408">
        <v>0</v>
      </c>
      <c r="AW469" s="408">
        <v>0</v>
      </c>
      <c r="AX469" s="408">
        <v>0</v>
      </c>
      <c r="AY469" s="408">
        <v>0</v>
      </c>
      <c r="AZ469" s="408">
        <v>0</v>
      </c>
      <c r="BA469" s="408"/>
      <c r="BB469" s="408">
        <v>0</v>
      </c>
      <c r="BC469" s="408">
        <v>0</v>
      </c>
      <c r="BD469" s="408">
        <v>0</v>
      </c>
      <c r="BE469" s="408">
        <v>0</v>
      </c>
      <c r="BF469" s="408">
        <v>0</v>
      </c>
      <c r="BG469" s="408">
        <v>6593.1858688822858</v>
      </c>
      <c r="BH469" s="408">
        <v>0</v>
      </c>
      <c r="BI469" s="408">
        <v>321.5</v>
      </c>
      <c r="BJ469" s="408">
        <v>2763.44</v>
      </c>
      <c r="BK469" s="408">
        <v>161089.88</v>
      </c>
      <c r="BL469" s="408">
        <v>200</v>
      </c>
      <c r="BM469" s="408"/>
      <c r="BN469" s="408"/>
      <c r="BO469" s="408"/>
      <c r="BP469" s="408"/>
      <c r="BQ469" s="408">
        <v>22518.687833999982</v>
      </c>
      <c r="BR469" s="408"/>
      <c r="BS469" s="408"/>
      <c r="BT469" s="408"/>
      <c r="BU469" s="408"/>
      <c r="BV469" s="408">
        <v>132220.98633025648</v>
      </c>
      <c r="BW469" s="408"/>
      <c r="BX469" s="408"/>
      <c r="BY469" s="408"/>
      <c r="BZ469" s="408"/>
      <c r="CA469" s="408"/>
      <c r="CB469" s="408"/>
      <c r="CC469" s="408"/>
      <c r="CD469" s="408"/>
      <c r="CE469" s="408"/>
      <c r="CF469" s="408"/>
      <c r="CG469" s="408"/>
      <c r="CH469" s="408"/>
      <c r="CI469" s="408">
        <v>352793.08140000002</v>
      </c>
      <c r="CJ469" s="408">
        <v>-22599.981106000021</v>
      </c>
      <c r="CK469" s="408"/>
      <c r="CL469" s="408"/>
      <c r="CM469" s="408"/>
      <c r="CN469" s="408"/>
      <c r="CO469" s="408">
        <v>-39965.666899999997</v>
      </c>
      <c r="CP469" s="408">
        <v>15922.840900000003</v>
      </c>
      <c r="CQ469" s="408">
        <v>31</v>
      </c>
      <c r="CR469" s="408">
        <v>19106.813820117852</v>
      </c>
      <c r="CS469" s="408">
        <v>399.30727567421536</v>
      </c>
      <c r="CT469" s="408">
        <v>1861.9109178788676</v>
      </c>
      <c r="CU469" s="408">
        <v>0</v>
      </c>
      <c r="CV469" s="408">
        <v>0</v>
      </c>
      <c r="CW469" s="408">
        <v>0</v>
      </c>
      <c r="CX469" s="408">
        <v>0</v>
      </c>
      <c r="CY469" s="408">
        <v>0</v>
      </c>
      <c r="CZ469" s="408">
        <v>1867.4497356412535</v>
      </c>
      <c r="DA469" s="408">
        <v>0</v>
      </c>
      <c r="DB469" s="408">
        <v>0</v>
      </c>
      <c r="DC469" s="408">
        <v>15921.043119183509</v>
      </c>
      <c r="DD469" s="408">
        <v>0</v>
      </c>
      <c r="DE469" s="408">
        <v>0</v>
      </c>
      <c r="DF469" s="408">
        <v>0</v>
      </c>
      <c r="DG469" s="408">
        <v>835.56661921772411</v>
      </c>
      <c r="DH469" s="408">
        <v>0</v>
      </c>
      <c r="DI469" s="408">
        <v>-1541.3071534937044</v>
      </c>
      <c r="DJ469" s="408"/>
      <c r="DK469" s="408">
        <v>0</v>
      </c>
      <c r="DL469" s="408">
        <v>0</v>
      </c>
      <c r="DM469" s="408">
        <v>0</v>
      </c>
      <c r="DN469" s="408">
        <v>0</v>
      </c>
      <c r="DO469" s="408">
        <v>-211.95450703498045</v>
      </c>
      <c r="DP469" s="408">
        <v>-25.202186948966641</v>
      </c>
      <c r="DQ469" s="408">
        <v>0</v>
      </c>
      <c r="DR469" s="408">
        <v>0</v>
      </c>
      <c r="DS469" s="408"/>
      <c r="DT469" s="408"/>
      <c r="DU469" s="408"/>
      <c r="DV469" s="408">
        <v>173710.97089392497</v>
      </c>
      <c r="DW469" s="408">
        <v>0</v>
      </c>
      <c r="DX469" s="408">
        <v>0</v>
      </c>
      <c r="DY469" s="408">
        <v>-39965.666899999982</v>
      </c>
      <c r="DZ469" s="408">
        <v>15922.840899999996</v>
      </c>
      <c r="EA469" s="408">
        <v>0</v>
      </c>
      <c r="EB469" s="408">
        <v>0</v>
      </c>
      <c r="EC469" s="408">
        <v>-43152.751753881792</v>
      </c>
      <c r="ED469" s="408">
        <v>0</v>
      </c>
      <c r="EE469" s="408">
        <v>0</v>
      </c>
      <c r="EF469" s="408">
        <v>0</v>
      </c>
      <c r="EG469" s="408">
        <v>0</v>
      </c>
      <c r="EH469" s="408">
        <v>0</v>
      </c>
      <c r="EI469" s="408">
        <v>0</v>
      </c>
      <c r="EJ469" s="408">
        <v>0</v>
      </c>
      <c r="EK469" s="408">
        <v>0</v>
      </c>
      <c r="EL469" s="408">
        <v>0</v>
      </c>
      <c r="EM469" s="408">
        <v>0</v>
      </c>
      <c r="EN469" s="408">
        <v>0</v>
      </c>
      <c r="EO469" s="408">
        <v>0</v>
      </c>
      <c r="EP469" s="408">
        <v>11591.84449358868</v>
      </c>
      <c r="EQ469" s="408">
        <v>0</v>
      </c>
      <c r="ER469" s="408">
        <v>0</v>
      </c>
      <c r="ES469" s="408">
        <v>0</v>
      </c>
      <c r="ET469" s="408">
        <v>0</v>
      </c>
      <c r="EU469" s="408">
        <v>0</v>
      </c>
      <c r="EV469" s="408">
        <v>240</v>
      </c>
      <c r="EW469" s="408">
        <v>0</v>
      </c>
      <c r="EX469" s="408">
        <v>0</v>
      </c>
      <c r="EY469" s="408">
        <v>0</v>
      </c>
      <c r="EZ469" s="408"/>
      <c r="FA469" s="408">
        <v>0</v>
      </c>
      <c r="FB469" s="408"/>
      <c r="FC469" s="408"/>
      <c r="FD469" s="408"/>
      <c r="FE469" s="408"/>
      <c r="FF469" s="408">
        <v>0</v>
      </c>
      <c r="FG469" s="408">
        <v>0</v>
      </c>
      <c r="FH469" s="408">
        <v>0</v>
      </c>
      <c r="FI469" s="408">
        <v>0</v>
      </c>
    </row>
    <row r="470" spans="1:165">
      <c r="A470" s="408">
        <v>468</v>
      </c>
      <c r="B470" s="408" t="s">
        <v>1036</v>
      </c>
      <c r="C470" s="408" t="s">
        <v>2247</v>
      </c>
      <c r="D470" s="408" t="s">
        <v>597</v>
      </c>
      <c r="E470" s="408" t="s">
        <v>1001</v>
      </c>
      <c r="F470" s="408" t="s">
        <v>2251</v>
      </c>
      <c r="G470" s="408" t="s">
        <v>1322</v>
      </c>
      <c r="H470" s="408" t="s">
        <v>1322</v>
      </c>
      <c r="I470" s="408" t="s">
        <v>973</v>
      </c>
      <c r="J470" s="408" t="s">
        <v>2236</v>
      </c>
      <c r="K470" s="826">
        <v>44562</v>
      </c>
      <c r="L470" s="408">
        <v>77</v>
      </c>
      <c r="M470" s="408">
        <v>72.38</v>
      </c>
      <c r="N470" s="408">
        <v>3.32</v>
      </c>
      <c r="O470" s="408">
        <v>3.1208</v>
      </c>
      <c r="P470" s="408">
        <v>3.32</v>
      </c>
      <c r="Q470" s="408">
        <v>3.1208</v>
      </c>
      <c r="R470" s="408">
        <v>52.95</v>
      </c>
      <c r="S470" s="408">
        <v>85.01</v>
      </c>
      <c r="T470" s="408">
        <v>173.25</v>
      </c>
      <c r="U470" s="408">
        <v>4077.15</v>
      </c>
      <c r="V470" s="408">
        <v>857.42319999999995</v>
      </c>
      <c r="W470" s="408">
        <v>4934.5731999999998</v>
      </c>
      <c r="X470" s="408">
        <v>4332.4344000000001</v>
      </c>
      <c r="Y470" s="408">
        <v>0</v>
      </c>
      <c r="Z470" s="408">
        <v>177.76710715306129</v>
      </c>
      <c r="AA470" s="408">
        <v>0</v>
      </c>
      <c r="AB470" s="408">
        <v>0</v>
      </c>
      <c r="AC470" s="408">
        <v>60.650301516198319</v>
      </c>
      <c r="AD470" s="408">
        <v>58.269884978667896</v>
      </c>
      <c r="AE470" s="408">
        <v>3228.8959771446453</v>
      </c>
      <c r="AF470" s="408">
        <v>565.53036234323918</v>
      </c>
      <c r="AG470" s="408">
        <v>9.6520153213969504</v>
      </c>
      <c r="AH470" s="408">
        <v>0</v>
      </c>
      <c r="AI470" s="408">
        <v>0</v>
      </c>
      <c r="AJ470" s="408">
        <v>0</v>
      </c>
      <c r="AK470" s="408">
        <v>0</v>
      </c>
      <c r="AL470" s="408">
        <v>31.56998052072036</v>
      </c>
      <c r="AM470" s="408"/>
      <c r="AN470" s="408">
        <v>2.6587019067526612</v>
      </c>
      <c r="AO470" s="408">
        <v>128.74791796361185</v>
      </c>
      <c r="AP470" s="408">
        <v>600.32471845430166</v>
      </c>
      <c r="AQ470" s="408">
        <v>0</v>
      </c>
      <c r="AR470" s="408">
        <v>0</v>
      </c>
      <c r="AS470" s="408">
        <v>0</v>
      </c>
      <c r="AT470" s="408">
        <v>0</v>
      </c>
      <c r="AU470" s="408">
        <v>0</v>
      </c>
      <c r="AV470" s="408">
        <v>0</v>
      </c>
      <c r="AW470" s="408">
        <v>0</v>
      </c>
      <c r="AX470" s="408">
        <v>0</v>
      </c>
      <c r="AY470" s="408">
        <v>0</v>
      </c>
      <c r="AZ470" s="408">
        <v>0</v>
      </c>
      <c r="BA470" s="408"/>
      <c r="BB470" s="408">
        <v>0</v>
      </c>
      <c r="BC470" s="408">
        <v>0</v>
      </c>
      <c r="BD470" s="408">
        <v>0</v>
      </c>
      <c r="BE470" s="408">
        <v>0</v>
      </c>
      <c r="BF470" s="408">
        <v>0</v>
      </c>
      <c r="BG470" s="408">
        <v>24.829139855576997</v>
      </c>
      <c r="BH470" s="408">
        <v>0</v>
      </c>
      <c r="BI470" s="408">
        <v>0</v>
      </c>
      <c r="BJ470" s="408">
        <v>0</v>
      </c>
      <c r="BK470" s="408">
        <v>0</v>
      </c>
      <c r="BL470" s="408">
        <v>0</v>
      </c>
      <c r="BM470" s="408"/>
      <c r="BN470" s="408"/>
      <c r="BO470" s="408"/>
      <c r="BP470" s="408"/>
      <c r="BQ470" s="408">
        <v>259.94606400000015</v>
      </c>
      <c r="BR470" s="408"/>
      <c r="BS470" s="408"/>
      <c r="BT470" s="408"/>
      <c r="BU470" s="408"/>
      <c r="BV470" s="408">
        <v>590.35950219881613</v>
      </c>
      <c r="BW470" s="408"/>
      <c r="BX470" s="408"/>
      <c r="BY470" s="408"/>
      <c r="BZ470" s="408"/>
      <c r="CA470" s="408"/>
      <c r="CB470" s="408"/>
      <c r="CC470" s="408"/>
      <c r="CD470" s="408"/>
      <c r="CE470" s="408"/>
      <c r="CF470" s="408"/>
      <c r="CG470" s="408"/>
      <c r="CH470" s="408"/>
      <c r="CI470" s="408">
        <v>4072.2653999999993</v>
      </c>
      <c r="CJ470" s="408">
        <v>-566.26340800000162</v>
      </c>
      <c r="CK470" s="408"/>
      <c r="CL470" s="408"/>
      <c r="CM470" s="408"/>
      <c r="CN470" s="408"/>
      <c r="CO470" s="408">
        <v>-673.8176000000002</v>
      </c>
      <c r="CP470" s="408">
        <v>71.67880000000001</v>
      </c>
      <c r="CQ470" s="408">
        <v>31</v>
      </c>
      <c r="CR470" s="408">
        <v>200.40078571459844</v>
      </c>
      <c r="CS470" s="408">
        <v>12.829454833786372</v>
      </c>
      <c r="CT470" s="408">
        <v>59.821075034329056</v>
      </c>
      <c r="CU470" s="408">
        <v>0</v>
      </c>
      <c r="CV470" s="408">
        <v>0</v>
      </c>
      <c r="CW470" s="408">
        <v>0</v>
      </c>
      <c r="CX470" s="408">
        <v>0</v>
      </c>
      <c r="CY470" s="408">
        <v>0</v>
      </c>
      <c r="CZ470" s="408">
        <v>59.998674556492752</v>
      </c>
      <c r="DA470" s="408">
        <v>0</v>
      </c>
      <c r="DB470" s="408">
        <v>0</v>
      </c>
      <c r="DC470" s="408">
        <v>71.670707048974577</v>
      </c>
      <c r="DD470" s="408">
        <v>0</v>
      </c>
      <c r="DE470" s="408">
        <v>0</v>
      </c>
      <c r="DF470" s="408">
        <v>0</v>
      </c>
      <c r="DG470" s="408">
        <v>3.1466427399118366</v>
      </c>
      <c r="DH470" s="408">
        <v>0</v>
      </c>
      <c r="DI470" s="408">
        <v>-6.0364084312769819</v>
      </c>
      <c r="DJ470" s="408"/>
      <c r="DK470" s="408">
        <v>0</v>
      </c>
      <c r="DL470" s="408">
        <v>0</v>
      </c>
      <c r="DM470" s="408">
        <v>0</v>
      </c>
      <c r="DN470" s="408">
        <v>0</v>
      </c>
      <c r="DO470" s="408">
        <v>-0.95414158907151858</v>
      </c>
      <c r="DP470" s="408">
        <v>-7.5218478547809386E-2</v>
      </c>
      <c r="DQ470" s="408">
        <v>0</v>
      </c>
      <c r="DR470" s="408">
        <v>0</v>
      </c>
      <c r="DS470" s="408"/>
      <c r="DT470" s="408"/>
      <c r="DU470" s="408">
        <v>3228.8959771446453</v>
      </c>
      <c r="DV470" s="408">
        <v>0</v>
      </c>
      <c r="DW470" s="408">
        <v>0</v>
      </c>
      <c r="DX470" s="408">
        <v>0</v>
      </c>
      <c r="DY470" s="408">
        <v>-673.81760000000031</v>
      </c>
      <c r="DZ470" s="408">
        <v>71.678800000000024</v>
      </c>
      <c r="EA470" s="408">
        <v>0</v>
      </c>
      <c r="EB470" s="408">
        <v>0</v>
      </c>
      <c r="EC470" s="408">
        <v>-802.11253108424853</v>
      </c>
      <c r="ED470" s="408">
        <v>0</v>
      </c>
      <c r="EE470" s="408">
        <v>0</v>
      </c>
      <c r="EF470" s="408">
        <v>0</v>
      </c>
      <c r="EG470" s="408">
        <v>0</v>
      </c>
      <c r="EH470" s="408">
        <v>0</v>
      </c>
      <c r="EI470" s="408">
        <v>0</v>
      </c>
      <c r="EJ470" s="408">
        <v>0</v>
      </c>
      <c r="EK470" s="408">
        <v>0</v>
      </c>
      <c r="EL470" s="408">
        <v>0</v>
      </c>
      <c r="EM470" s="408">
        <v>0</v>
      </c>
      <c r="EN470" s="408">
        <v>0</v>
      </c>
      <c r="EO470" s="408">
        <v>0</v>
      </c>
      <c r="EP470" s="408">
        <v>45.39854867768792</v>
      </c>
      <c r="EQ470" s="408">
        <v>0</v>
      </c>
      <c r="ER470" s="408">
        <v>0</v>
      </c>
      <c r="ES470" s="408">
        <v>0</v>
      </c>
      <c r="ET470" s="408">
        <v>0</v>
      </c>
      <c r="EU470" s="408">
        <v>0</v>
      </c>
      <c r="EV470" s="408">
        <v>240</v>
      </c>
      <c r="EW470" s="408">
        <v>0</v>
      </c>
      <c r="EX470" s="408">
        <v>0</v>
      </c>
      <c r="EY470" s="408">
        <v>0</v>
      </c>
      <c r="EZ470" s="408"/>
      <c r="FA470" s="408">
        <v>0</v>
      </c>
      <c r="FB470" s="408"/>
      <c r="FC470" s="408"/>
      <c r="FD470" s="408"/>
      <c r="FE470" s="408"/>
      <c r="FF470" s="408">
        <v>0</v>
      </c>
      <c r="FG470" s="408">
        <v>0</v>
      </c>
      <c r="FH470" s="408">
        <v>0</v>
      </c>
      <c r="FI470" s="408">
        <v>0</v>
      </c>
    </row>
    <row r="471" spans="1:165">
      <c r="A471" s="408">
        <v>469</v>
      </c>
      <c r="B471" s="408" t="s">
        <v>1036</v>
      </c>
      <c r="C471" s="408" t="s">
        <v>2247</v>
      </c>
      <c r="D471" s="408" t="s">
        <v>597</v>
      </c>
      <c r="E471" s="408" t="s">
        <v>1001</v>
      </c>
      <c r="F471" s="408" t="s">
        <v>2251</v>
      </c>
      <c r="G471" s="408" t="s">
        <v>1322</v>
      </c>
      <c r="H471" s="408" t="s">
        <v>1322</v>
      </c>
      <c r="I471" s="408" t="s">
        <v>2244</v>
      </c>
      <c r="J471" s="408" t="s">
        <v>2236</v>
      </c>
      <c r="K471" s="826">
        <v>44562</v>
      </c>
      <c r="L471" s="408">
        <v>77</v>
      </c>
      <c r="M471" s="408">
        <v>72.38</v>
      </c>
      <c r="N471" s="408">
        <v>25.353999999999999</v>
      </c>
      <c r="O471" s="408">
        <v>23.83276</v>
      </c>
      <c r="P471" s="408">
        <v>25.353999999999999</v>
      </c>
      <c r="Q471" s="408">
        <v>23.83276</v>
      </c>
      <c r="R471" s="408">
        <v>27.19</v>
      </c>
      <c r="S471" s="408">
        <v>85.01</v>
      </c>
      <c r="T471" s="408">
        <v>173.25</v>
      </c>
      <c r="U471" s="408">
        <v>2093.63</v>
      </c>
      <c r="V471" s="408">
        <v>6547.9240399999999</v>
      </c>
      <c r="W471" s="408">
        <v>8641.5540399999991</v>
      </c>
      <c r="X471" s="408">
        <v>8740.9191800000008</v>
      </c>
      <c r="Y471" s="408">
        <v>0</v>
      </c>
      <c r="Z471" s="408">
        <v>1357.562420108047</v>
      </c>
      <c r="AA471" s="408">
        <v>0</v>
      </c>
      <c r="AB471" s="408">
        <v>0</v>
      </c>
      <c r="AC471" s="408">
        <v>17.956447233922429</v>
      </c>
      <c r="AD471" s="408">
        <v>17.25068263152265</v>
      </c>
      <c r="AE471" s="408">
        <v>1842.7663287232815</v>
      </c>
      <c r="AF471" s="408">
        <v>4318.8122912200261</v>
      </c>
      <c r="AG471" s="408">
        <v>73.70999893334286</v>
      </c>
      <c r="AH471" s="408">
        <v>0</v>
      </c>
      <c r="AI471" s="408">
        <v>0</v>
      </c>
      <c r="AJ471" s="408">
        <v>0</v>
      </c>
      <c r="AK471" s="408">
        <v>0</v>
      </c>
      <c r="AL471" s="408">
        <v>241.09195365130844</v>
      </c>
      <c r="AM471" s="408"/>
      <c r="AN471" s="408">
        <v>20.303833778255111</v>
      </c>
      <c r="AO471" s="408">
        <v>38.106131993965725</v>
      </c>
      <c r="AP471" s="408">
        <v>177.72284091188473</v>
      </c>
      <c r="AQ471" s="408">
        <v>0</v>
      </c>
      <c r="AR471" s="408">
        <v>0</v>
      </c>
      <c r="AS471" s="408">
        <v>0</v>
      </c>
      <c r="AT471" s="408">
        <v>0</v>
      </c>
      <c r="AU471" s="408">
        <v>0</v>
      </c>
      <c r="AV471" s="408">
        <v>0</v>
      </c>
      <c r="AW471" s="408">
        <v>0</v>
      </c>
      <c r="AX471" s="408">
        <v>0</v>
      </c>
      <c r="AY471" s="408">
        <v>0</v>
      </c>
      <c r="AZ471" s="408">
        <v>0</v>
      </c>
      <c r="BA471" s="408"/>
      <c r="BB471" s="408">
        <v>0</v>
      </c>
      <c r="BC471" s="408">
        <v>0</v>
      </c>
      <c r="BD471" s="408">
        <v>0</v>
      </c>
      <c r="BE471" s="408">
        <v>0</v>
      </c>
      <c r="BF471" s="408">
        <v>0</v>
      </c>
      <c r="BG471" s="408">
        <v>189.61385900551181</v>
      </c>
      <c r="BH471" s="408">
        <v>0</v>
      </c>
      <c r="BI471" s="408">
        <v>0</v>
      </c>
      <c r="BJ471" s="408">
        <v>0</v>
      </c>
      <c r="BK471" s="408">
        <v>0</v>
      </c>
      <c r="BL471" s="408">
        <v>0</v>
      </c>
      <c r="BM471" s="408"/>
      <c r="BN471" s="408"/>
      <c r="BO471" s="408"/>
      <c r="BP471" s="408"/>
      <c r="BQ471" s="408">
        <v>524.45515079999984</v>
      </c>
      <c r="BR471" s="408"/>
      <c r="BS471" s="408"/>
      <c r="BT471" s="408"/>
      <c r="BU471" s="408"/>
      <c r="BV471" s="408">
        <v>4508.4261502255376</v>
      </c>
      <c r="BW471" s="408"/>
      <c r="BX471" s="408"/>
      <c r="BY471" s="408"/>
      <c r="BZ471" s="408"/>
      <c r="CA471" s="408"/>
      <c r="CB471" s="408"/>
      <c r="CC471" s="408"/>
      <c r="CD471" s="408"/>
      <c r="CE471" s="408"/>
      <c r="CF471" s="408"/>
      <c r="CG471" s="408"/>
      <c r="CH471" s="408"/>
      <c r="CI471" s="408">
        <v>8215.6948999999986</v>
      </c>
      <c r="CJ471" s="408">
        <v>92.604102399997828</v>
      </c>
      <c r="CK471" s="408"/>
      <c r="CL471" s="408"/>
      <c r="CM471" s="408"/>
      <c r="CN471" s="408"/>
      <c r="CO471" s="408">
        <v>-448.02772000000016</v>
      </c>
      <c r="CP471" s="408">
        <v>547.39286000000004</v>
      </c>
      <c r="CQ471" s="408">
        <v>31</v>
      </c>
      <c r="CR471" s="408">
        <v>556.67106749357663</v>
      </c>
      <c r="CS471" s="408">
        <v>3.7971946035278634</v>
      </c>
      <c r="CT471" s="408">
        <v>17.709701224493728</v>
      </c>
      <c r="CU471" s="408">
        <v>0</v>
      </c>
      <c r="CV471" s="408">
        <v>0</v>
      </c>
      <c r="CW471" s="408">
        <v>0</v>
      </c>
      <c r="CX471" s="408">
        <v>0</v>
      </c>
      <c r="CY471" s="408">
        <v>0</v>
      </c>
      <c r="CZ471" s="408">
        <v>17.762487320250983</v>
      </c>
      <c r="DA471" s="408">
        <v>0</v>
      </c>
      <c r="DB471" s="408">
        <v>0</v>
      </c>
      <c r="DC471" s="408">
        <v>547.33105618063291</v>
      </c>
      <c r="DD471" s="408">
        <v>0</v>
      </c>
      <c r="DE471" s="408">
        <v>0</v>
      </c>
      <c r="DF471" s="408">
        <v>0</v>
      </c>
      <c r="DG471" s="408">
        <v>24.030114466182141</v>
      </c>
      <c r="DH471" s="408">
        <v>0</v>
      </c>
      <c r="DI471" s="408">
        <v>-46.098523905601496</v>
      </c>
      <c r="DJ471" s="408"/>
      <c r="DK471" s="408">
        <v>0</v>
      </c>
      <c r="DL471" s="408">
        <v>0</v>
      </c>
      <c r="DM471" s="408">
        <v>0</v>
      </c>
      <c r="DN471" s="408">
        <v>0</v>
      </c>
      <c r="DO471" s="408">
        <v>-7.2865379064214721</v>
      </c>
      <c r="DP471" s="408">
        <v>-0.57442448948830105</v>
      </c>
      <c r="DQ471" s="408">
        <v>0</v>
      </c>
      <c r="DR471" s="408">
        <v>0</v>
      </c>
      <c r="DS471" s="408"/>
      <c r="DT471" s="408"/>
      <c r="DU471" s="408">
        <v>1842.7663287232815</v>
      </c>
      <c r="DV471" s="408">
        <v>0</v>
      </c>
      <c r="DW471" s="408">
        <v>0</v>
      </c>
      <c r="DX471" s="408">
        <v>0</v>
      </c>
      <c r="DY471" s="408">
        <v>-448.02772000000004</v>
      </c>
      <c r="DZ471" s="408">
        <v>547.39285999999993</v>
      </c>
      <c r="EA471" s="408">
        <v>0</v>
      </c>
      <c r="EB471" s="408">
        <v>0</v>
      </c>
      <c r="EC471" s="408">
        <v>-457.77441410056531</v>
      </c>
      <c r="ED471" s="408">
        <v>0</v>
      </c>
      <c r="EE471" s="408">
        <v>0</v>
      </c>
      <c r="EF471" s="408">
        <v>0</v>
      </c>
      <c r="EG471" s="408">
        <v>0</v>
      </c>
      <c r="EH471" s="408">
        <v>0</v>
      </c>
      <c r="EI471" s="408">
        <v>0</v>
      </c>
      <c r="EJ471" s="408">
        <v>0</v>
      </c>
      <c r="EK471" s="408">
        <v>0</v>
      </c>
      <c r="EL471" s="408">
        <v>0</v>
      </c>
      <c r="EM471" s="408">
        <v>0</v>
      </c>
      <c r="EN471" s="408">
        <v>0</v>
      </c>
      <c r="EO471" s="408">
        <v>0</v>
      </c>
      <c r="EP471" s="408">
        <v>346.69722987171673</v>
      </c>
      <c r="EQ471" s="408">
        <v>0</v>
      </c>
      <c r="ER471" s="408">
        <v>0</v>
      </c>
      <c r="ES471" s="408">
        <v>0</v>
      </c>
      <c r="ET471" s="408">
        <v>0</v>
      </c>
      <c r="EU471" s="408">
        <v>0</v>
      </c>
      <c r="EV471" s="408">
        <v>240</v>
      </c>
      <c r="EW471" s="408">
        <v>0</v>
      </c>
      <c r="EX471" s="408">
        <v>0</v>
      </c>
      <c r="EY471" s="408">
        <v>0</v>
      </c>
      <c r="EZ471" s="408"/>
      <c r="FA471" s="408">
        <v>0</v>
      </c>
      <c r="FB471" s="408"/>
      <c r="FC471" s="408"/>
      <c r="FD471" s="408"/>
      <c r="FE471" s="408"/>
      <c r="FF471" s="408">
        <v>0</v>
      </c>
      <c r="FG471" s="408">
        <v>0</v>
      </c>
      <c r="FH471" s="408">
        <v>0</v>
      </c>
      <c r="FI471" s="408">
        <v>0</v>
      </c>
    </row>
    <row r="472" spans="1:165">
      <c r="A472" s="408">
        <v>470</v>
      </c>
      <c r="B472" s="408" t="s">
        <v>1036</v>
      </c>
      <c r="C472" s="408" t="s">
        <v>2247</v>
      </c>
      <c r="D472" s="408" t="s">
        <v>597</v>
      </c>
      <c r="E472" s="408" t="s">
        <v>1001</v>
      </c>
      <c r="F472" s="408" t="s">
        <v>2251</v>
      </c>
      <c r="G472" s="408" t="s">
        <v>1322</v>
      </c>
      <c r="H472" s="408" t="s">
        <v>1322</v>
      </c>
      <c r="I472" s="408" t="s">
        <v>1322</v>
      </c>
      <c r="J472" s="408" t="s">
        <v>2236</v>
      </c>
      <c r="K472" s="826">
        <v>44562</v>
      </c>
      <c r="L472" s="408">
        <v>0</v>
      </c>
      <c r="M472" s="408">
        <v>0</v>
      </c>
      <c r="N472" s="408">
        <v>0</v>
      </c>
      <c r="O472" s="408">
        <v>0</v>
      </c>
      <c r="P472" s="408">
        <v>0</v>
      </c>
      <c r="Q472" s="408">
        <v>0</v>
      </c>
      <c r="R472" s="408"/>
      <c r="S472" s="408"/>
      <c r="T472" s="408"/>
      <c r="U472" s="408"/>
      <c r="V472" s="408"/>
      <c r="W472" s="408"/>
      <c r="X472" s="408"/>
      <c r="Y472" s="408"/>
      <c r="Z472" s="408"/>
      <c r="AA472" s="408">
        <v>0</v>
      </c>
      <c r="AB472" s="408"/>
      <c r="AC472" s="408"/>
      <c r="AD472" s="408"/>
      <c r="AE472" s="408"/>
      <c r="AF472" s="408"/>
      <c r="AG472" s="408"/>
      <c r="AH472" s="408"/>
      <c r="AI472" s="408"/>
      <c r="AJ472" s="408"/>
      <c r="AK472" s="408"/>
      <c r="AL472" s="408"/>
      <c r="AM472" s="408"/>
      <c r="AN472" s="408"/>
      <c r="AO472" s="408"/>
      <c r="AP472" s="408"/>
      <c r="AQ472" s="408"/>
      <c r="AR472" s="408"/>
      <c r="AS472" s="408"/>
      <c r="AT472" s="408"/>
      <c r="AU472" s="408"/>
      <c r="AV472" s="408"/>
      <c r="AW472" s="408"/>
      <c r="AX472" s="408"/>
      <c r="AY472" s="408"/>
      <c r="AZ472" s="408">
        <v>0</v>
      </c>
      <c r="BA472" s="408"/>
      <c r="BB472" s="408"/>
      <c r="BC472" s="408"/>
      <c r="BD472" s="408"/>
      <c r="BE472" s="408"/>
      <c r="BF472" s="408"/>
      <c r="BG472" s="408"/>
      <c r="BH472" s="408"/>
      <c r="BI472" s="408">
        <v>12.58</v>
      </c>
      <c r="BJ472" s="408">
        <v>107.82</v>
      </c>
      <c r="BK472" s="408">
        <v>6285.2</v>
      </c>
      <c r="BL472" s="408">
        <v>1</v>
      </c>
      <c r="BM472" s="408"/>
      <c r="BN472" s="408"/>
      <c r="BO472" s="408"/>
      <c r="BP472" s="408"/>
      <c r="BQ472" s="408"/>
      <c r="BR472" s="408"/>
      <c r="BS472" s="408"/>
      <c r="BT472" s="408"/>
      <c r="BU472" s="408"/>
      <c r="BV472" s="408"/>
      <c r="BW472" s="408"/>
      <c r="BX472" s="408"/>
      <c r="BY472" s="408"/>
      <c r="BZ472" s="408"/>
      <c r="CA472" s="408"/>
      <c r="CB472" s="408"/>
      <c r="CC472" s="408"/>
      <c r="CD472" s="408"/>
      <c r="CE472" s="408"/>
      <c r="CF472" s="408"/>
      <c r="CG472" s="408"/>
      <c r="CH472" s="408"/>
      <c r="CI472" s="408"/>
      <c r="CJ472" s="408">
        <v>-0.03</v>
      </c>
      <c r="CK472" s="408"/>
      <c r="CL472" s="408"/>
      <c r="CM472" s="408"/>
      <c r="CN472" s="408"/>
      <c r="CO472" s="408">
        <v>0</v>
      </c>
      <c r="CP472" s="408">
        <v>0</v>
      </c>
      <c r="CQ472" s="408">
        <v>31</v>
      </c>
      <c r="CR472" s="408"/>
      <c r="CS472" s="408"/>
      <c r="CT472" s="408"/>
      <c r="CU472" s="408"/>
      <c r="CV472" s="408"/>
      <c r="CW472" s="408"/>
      <c r="CX472" s="408"/>
      <c r="CY472" s="408"/>
      <c r="CZ472" s="408"/>
      <c r="DA472" s="408"/>
      <c r="DB472" s="408"/>
      <c r="DC472" s="408"/>
      <c r="DD472" s="408"/>
      <c r="DE472" s="408"/>
      <c r="DF472" s="408"/>
      <c r="DG472" s="408"/>
      <c r="DH472" s="408"/>
      <c r="DI472" s="408"/>
      <c r="DJ472" s="408"/>
      <c r="DK472" s="408">
        <v>0</v>
      </c>
      <c r="DL472" s="408"/>
      <c r="DM472" s="408"/>
      <c r="DN472" s="408"/>
      <c r="DO472" s="408"/>
      <c r="DP472" s="408"/>
      <c r="DQ472" s="408"/>
      <c r="DR472" s="408"/>
      <c r="DS472" s="408"/>
      <c r="DT472" s="408"/>
      <c r="DU472" s="408"/>
      <c r="DV472" s="408"/>
      <c r="DW472" s="408"/>
      <c r="DX472" s="408"/>
      <c r="DY472" s="408"/>
      <c r="DZ472" s="408"/>
      <c r="EA472" s="408"/>
      <c r="EB472" s="408"/>
      <c r="EC472" s="408"/>
      <c r="ED472" s="408"/>
      <c r="EE472" s="408"/>
      <c r="EF472" s="408"/>
      <c r="EG472" s="408"/>
      <c r="EH472" s="408"/>
      <c r="EI472" s="408"/>
      <c r="EJ472" s="408"/>
      <c r="EK472" s="408"/>
      <c r="EL472" s="408"/>
      <c r="EM472" s="408"/>
      <c r="EN472" s="408"/>
      <c r="EO472" s="408"/>
      <c r="EP472" s="408"/>
      <c r="EQ472" s="408"/>
      <c r="ER472" s="408"/>
      <c r="ES472" s="408"/>
      <c r="ET472" s="408"/>
      <c r="EU472" s="408"/>
      <c r="EV472" s="408">
        <v>240</v>
      </c>
      <c r="EW472" s="408"/>
      <c r="EX472" s="408"/>
      <c r="EY472" s="408"/>
      <c r="EZ472" s="408"/>
      <c r="FA472" s="408">
        <v>0</v>
      </c>
      <c r="FB472" s="408"/>
      <c r="FC472" s="408"/>
      <c r="FD472" s="408"/>
      <c r="FE472" s="408"/>
      <c r="FF472" s="408">
        <v>0</v>
      </c>
      <c r="FG472" s="408">
        <v>0</v>
      </c>
      <c r="FH472" s="408">
        <v>0</v>
      </c>
      <c r="FI472" s="408">
        <v>0</v>
      </c>
    </row>
    <row r="473" spans="1:165">
      <c r="A473" s="408">
        <v>471</v>
      </c>
      <c r="B473" s="408" t="s">
        <v>1036</v>
      </c>
      <c r="C473" s="408" t="s">
        <v>2235</v>
      </c>
      <c r="D473" s="408" t="s">
        <v>1958</v>
      </c>
      <c r="E473" s="408" t="s">
        <v>2252</v>
      </c>
      <c r="F473" s="408" t="s">
        <v>1322</v>
      </c>
      <c r="G473" s="408" t="s">
        <v>1322</v>
      </c>
      <c r="H473" s="408" t="s">
        <v>1322</v>
      </c>
      <c r="I473" s="408" t="s">
        <v>1322</v>
      </c>
      <c r="J473" s="408" t="s">
        <v>2236</v>
      </c>
      <c r="K473" s="826">
        <v>44562</v>
      </c>
      <c r="L473" s="408">
        <v>0</v>
      </c>
      <c r="M473" s="408">
        <v>0</v>
      </c>
      <c r="N473" s="408">
        <v>8.77</v>
      </c>
      <c r="O473" s="408">
        <v>8.77</v>
      </c>
      <c r="P473" s="408">
        <v>8.77</v>
      </c>
      <c r="Q473" s="408">
        <v>8.77</v>
      </c>
      <c r="R473" s="408"/>
      <c r="S473" s="408">
        <v>368.24</v>
      </c>
      <c r="T473" s="408">
        <v>173.25</v>
      </c>
      <c r="U473" s="408"/>
      <c r="V473" s="408">
        <v>4748.8672999999999</v>
      </c>
      <c r="W473" s="408">
        <v>4748.8672999999999</v>
      </c>
      <c r="X473" s="408">
        <v>4462.9652999999998</v>
      </c>
      <c r="Y473" s="408">
        <v>0</v>
      </c>
      <c r="Z473" s="408">
        <v>539.75125665847838</v>
      </c>
      <c r="AA473" s="408">
        <v>0</v>
      </c>
      <c r="AB473" s="408">
        <v>0</v>
      </c>
      <c r="AC473" s="408">
        <v>22.447142690004789</v>
      </c>
      <c r="AD473" s="408">
        <v>21.566670621765084</v>
      </c>
      <c r="AE473" s="408">
        <v>2065.6604178109069</v>
      </c>
      <c r="AF473" s="408">
        <v>1493.885927033195</v>
      </c>
      <c r="AG473" s="408">
        <v>25.496438062846764</v>
      </c>
      <c r="AH473" s="408">
        <v>0</v>
      </c>
      <c r="AI473" s="408">
        <v>0</v>
      </c>
      <c r="AJ473" s="408">
        <v>0</v>
      </c>
      <c r="AK473" s="408">
        <v>0</v>
      </c>
      <c r="AL473" s="408">
        <v>83.39419553214384</v>
      </c>
      <c r="AM473" s="408"/>
      <c r="AN473" s="408">
        <v>10.592903384961053</v>
      </c>
      <c r="AO473" s="408">
        <v>47.650878953729347</v>
      </c>
      <c r="AP473" s="408">
        <v>222.18901877174304</v>
      </c>
      <c r="AQ473" s="408">
        <v>0</v>
      </c>
      <c r="AR473" s="408">
        <v>0</v>
      </c>
      <c r="AS473" s="408">
        <v>0</v>
      </c>
      <c r="AT473" s="408">
        <v>0</v>
      </c>
      <c r="AU473" s="408">
        <v>0</v>
      </c>
      <c r="AV473" s="408">
        <v>0</v>
      </c>
      <c r="AW473" s="408">
        <v>0</v>
      </c>
      <c r="AX473" s="408">
        <v>0</v>
      </c>
      <c r="AY473" s="408">
        <v>0</v>
      </c>
      <c r="AZ473" s="408">
        <v>0</v>
      </c>
      <c r="BA473" s="408"/>
      <c r="BB473" s="408">
        <v>0</v>
      </c>
      <c r="BC473" s="408">
        <v>0</v>
      </c>
      <c r="BD473" s="408">
        <v>0</v>
      </c>
      <c r="BE473" s="408">
        <v>0</v>
      </c>
      <c r="BF473" s="408">
        <v>0</v>
      </c>
      <c r="BG473" s="408">
        <v>78.401974305565545</v>
      </c>
      <c r="BH473" s="408">
        <v>0</v>
      </c>
      <c r="BI473" s="408">
        <v>4.01</v>
      </c>
      <c r="BJ473" s="408">
        <v>34.46</v>
      </c>
      <c r="BK473" s="408">
        <v>1915.55</v>
      </c>
      <c r="BL473" s="408">
        <v>5</v>
      </c>
      <c r="BM473" s="408"/>
      <c r="BN473" s="408"/>
      <c r="BO473" s="408"/>
      <c r="BP473" s="408"/>
      <c r="BQ473" s="408"/>
      <c r="BR473" s="408"/>
      <c r="BS473" s="408"/>
      <c r="BT473" s="408"/>
      <c r="BU473" s="408"/>
      <c r="BV473" s="408">
        <v>1572.2879013387605</v>
      </c>
      <c r="BW473" s="408"/>
      <c r="BX473" s="408"/>
      <c r="BY473" s="408"/>
      <c r="BZ473" s="408"/>
      <c r="CA473" s="408"/>
      <c r="CB473" s="408"/>
      <c r="CC473" s="408"/>
      <c r="CD473" s="408"/>
      <c r="CE473" s="408"/>
      <c r="CF473" s="408"/>
      <c r="CG473" s="408"/>
      <c r="CH473" s="408"/>
      <c r="CI473" s="408">
        <v>4462.9652999999998</v>
      </c>
      <c r="CJ473" s="408">
        <v>-285.9320000000007</v>
      </c>
      <c r="CK473" s="408"/>
      <c r="CL473" s="408"/>
      <c r="CM473" s="408"/>
      <c r="CN473" s="408"/>
      <c r="CO473" s="408">
        <v>-475.24629999999996</v>
      </c>
      <c r="CP473" s="408">
        <v>189.34430000000003</v>
      </c>
      <c r="CQ473" s="408">
        <v>31</v>
      </c>
      <c r="CR473" s="408">
        <v>227.20608154795718</v>
      </c>
      <c r="CS473" s="408">
        <v>4.7483082367193177</v>
      </c>
      <c r="CT473" s="408">
        <v>22.140660804324881</v>
      </c>
      <c r="CU473" s="408">
        <v>0</v>
      </c>
      <c r="CV473" s="408">
        <v>0</v>
      </c>
      <c r="CW473" s="408">
        <v>0</v>
      </c>
      <c r="CX473" s="408">
        <v>0</v>
      </c>
      <c r="CY473" s="408">
        <v>0</v>
      </c>
      <c r="CZ473" s="408">
        <v>22.2065249034912</v>
      </c>
      <c r="DA473" s="408">
        <v>0</v>
      </c>
      <c r="DB473" s="408">
        <v>0</v>
      </c>
      <c r="DC473" s="408">
        <v>189.32292193358649</v>
      </c>
      <c r="DD473" s="408">
        <v>0</v>
      </c>
      <c r="DE473" s="408">
        <v>0</v>
      </c>
      <c r="DF473" s="408">
        <v>0</v>
      </c>
      <c r="DG473" s="408">
        <v>9.9360269698572807</v>
      </c>
      <c r="DH473" s="408">
        <v>0</v>
      </c>
      <c r="DI473" s="408">
        <v>-18.328244682973491</v>
      </c>
      <c r="DJ473" s="408"/>
      <c r="DK473" s="408">
        <v>0</v>
      </c>
      <c r="DL473" s="408">
        <v>0</v>
      </c>
      <c r="DM473" s="408">
        <v>0</v>
      </c>
      <c r="DN473" s="408">
        <v>0</v>
      </c>
      <c r="DO473" s="408">
        <v>-2.5204282337822974</v>
      </c>
      <c r="DP473" s="408">
        <v>-0.29968838326590408</v>
      </c>
      <c r="DQ473" s="408">
        <v>0</v>
      </c>
      <c r="DR473" s="408">
        <v>0</v>
      </c>
      <c r="DS473" s="408"/>
      <c r="DT473" s="408"/>
      <c r="DU473" s="408"/>
      <c r="DV473" s="408">
        <v>2065.6604178109069</v>
      </c>
      <c r="DW473" s="408">
        <v>0</v>
      </c>
      <c r="DX473" s="408">
        <v>0</v>
      </c>
      <c r="DY473" s="408">
        <v>-475.24629999999979</v>
      </c>
      <c r="DZ473" s="408">
        <v>189.34429999999998</v>
      </c>
      <c r="EA473" s="408">
        <v>0</v>
      </c>
      <c r="EB473" s="408">
        <v>0</v>
      </c>
      <c r="EC473" s="408">
        <v>-513.14508668566305</v>
      </c>
      <c r="ED473" s="408">
        <v>0</v>
      </c>
      <c r="EE473" s="408">
        <v>0</v>
      </c>
      <c r="EF473" s="408">
        <v>0</v>
      </c>
      <c r="EG473" s="408">
        <v>0</v>
      </c>
      <c r="EH473" s="408">
        <v>0</v>
      </c>
      <c r="EI473" s="408">
        <v>0</v>
      </c>
      <c r="EJ473" s="408">
        <v>0</v>
      </c>
      <c r="EK473" s="408">
        <v>0</v>
      </c>
      <c r="EL473" s="408">
        <v>0</v>
      </c>
      <c r="EM473" s="408">
        <v>0</v>
      </c>
      <c r="EN473" s="408">
        <v>0</v>
      </c>
      <c r="EO473" s="408">
        <v>0</v>
      </c>
      <c r="EP473" s="408">
        <v>137.84284444790271</v>
      </c>
      <c r="EQ473" s="408">
        <v>0</v>
      </c>
      <c r="ER473" s="408">
        <v>0</v>
      </c>
      <c r="ES473" s="408">
        <v>0</v>
      </c>
      <c r="ET473" s="408">
        <v>0</v>
      </c>
      <c r="EU473" s="408">
        <v>0</v>
      </c>
      <c r="EV473" s="408">
        <v>240</v>
      </c>
      <c r="EW473" s="408">
        <v>0</v>
      </c>
      <c r="EX473" s="408">
        <v>0</v>
      </c>
      <c r="EY473" s="408">
        <v>0</v>
      </c>
      <c r="EZ473" s="408"/>
      <c r="FA473" s="408">
        <v>0</v>
      </c>
      <c r="FB473" s="408"/>
      <c r="FC473" s="408"/>
      <c r="FD473" s="408"/>
      <c r="FE473" s="408"/>
      <c r="FF473" s="408">
        <v>0</v>
      </c>
      <c r="FG473" s="408">
        <v>0</v>
      </c>
      <c r="FH473" s="408">
        <v>0</v>
      </c>
      <c r="FI473" s="408">
        <v>0</v>
      </c>
    </row>
    <row r="474" spans="1:165">
      <c r="A474" s="408">
        <v>472</v>
      </c>
      <c r="B474" s="408" t="s">
        <v>2238</v>
      </c>
      <c r="C474" s="408" t="s">
        <v>2235</v>
      </c>
      <c r="D474" s="408" t="s">
        <v>1958</v>
      </c>
      <c r="E474" s="408" t="s">
        <v>2252</v>
      </c>
      <c r="F474" s="408" t="s">
        <v>1322</v>
      </c>
      <c r="G474" s="408" t="s">
        <v>1322</v>
      </c>
      <c r="H474" s="408" t="s">
        <v>1322</v>
      </c>
      <c r="I474" s="408" t="s">
        <v>1322</v>
      </c>
      <c r="J474" s="408" t="s">
        <v>2236</v>
      </c>
      <c r="K474" s="826">
        <v>44562</v>
      </c>
      <c r="L474" s="408">
        <v>0</v>
      </c>
      <c r="M474" s="408">
        <v>0</v>
      </c>
      <c r="N474" s="408">
        <v>6.2549999999999999</v>
      </c>
      <c r="O474" s="408">
        <v>6.2549999999999999</v>
      </c>
      <c r="P474" s="408">
        <v>6.2549999999999999</v>
      </c>
      <c r="Q474" s="408">
        <v>6.2549999999999999</v>
      </c>
      <c r="R474" s="408"/>
      <c r="S474" s="408">
        <v>368.24</v>
      </c>
      <c r="T474" s="408">
        <v>173.25</v>
      </c>
      <c r="U474" s="408"/>
      <c r="V474" s="408">
        <v>3387.0199499999999</v>
      </c>
      <c r="W474" s="408">
        <v>3387.0199499999999</v>
      </c>
      <c r="X474" s="408">
        <v>3183.1069500000003</v>
      </c>
      <c r="Y474" s="408">
        <v>0</v>
      </c>
      <c r="Z474" s="408">
        <v>384.96512091206182</v>
      </c>
      <c r="AA474" s="408">
        <v>0</v>
      </c>
      <c r="AB474" s="408">
        <v>0</v>
      </c>
      <c r="AC474" s="408">
        <v>16.009906217329529</v>
      </c>
      <c r="AD474" s="408">
        <v>15.381929844827891</v>
      </c>
      <c r="AE474" s="408">
        <v>1473.2845967397061</v>
      </c>
      <c r="AF474" s="408">
        <v>1065.4796435111327</v>
      </c>
      <c r="AG474" s="408">
        <v>18.184745733535522</v>
      </c>
      <c r="AH474" s="408">
        <v>0</v>
      </c>
      <c r="AI474" s="408">
        <v>0</v>
      </c>
      <c r="AJ474" s="408">
        <v>0</v>
      </c>
      <c r="AK474" s="408">
        <v>0</v>
      </c>
      <c r="AL474" s="408">
        <v>59.47898438467044</v>
      </c>
      <c r="AM474" s="408"/>
      <c r="AN474" s="408">
        <v>7.5551437483388133</v>
      </c>
      <c r="AO474" s="408">
        <v>33.985889151149038</v>
      </c>
      <c r="AP474" s="408">
        <v>158.47118727676769</v>
      </c>
      <c r="AQ474" s="408">
        <v>0</v>
      </c>
      <c r="AR474" s="408">
        <v>0</v>
      </c>
      <c r="AS474" s="408">
        <v>0</v>
      </c>
      <c r="AT474" s="408">
        <v>0</v>
      </c>
      <c r="AU474" s="408">
        <v>0</v>
      </c>
      <c r="AV474" s="408">
        <v>0</v>
      </c>
      <c r="AW474" s="408">
        <v>0</v>
      </c>
      <c r="AX474" s="408">
        <v>0</v>
      </c>
      <c r="AY474" s="408">
        <v>0</v>
      </c>
      <c r="AZ474" s="408">
        <v>0</v>
      </c>
      <c r="BA474" s="408"/>
      <c r="BB474" s="408">
        <v>0</v>
      </c>
      <c r="BC474" s="408">
        <v>0</v>
      </c>
      <c r="BD474" s="408">
        <v>0</v>
      </c>
      <c r="BE474" s="408">
        <v>0</v>
      </c>
      <c r="BF474" s="408">
        <v>0</v>
      </c>
      <c r="BG474" s="408">
        <v>55.918397865600056</v>
      </c>
      <c r="BH474" s="408">
        <v>0</v>
      </c>
      <c r="BI474" s="408">
        <v>2.86</v>
      </c>
      <c r="BJ474" s="408">
        <v>24.6</v>
      </c>
      <c r="BK474" s="408">
        <v>1471.34</v>
      </c>
      <c r="BL474" s="408">
        <v>1</v>
      </c>
      <c r="BM474" s="408"/>
      <c r="BN474" s="408"/>
      <c r="BO474" s="408"/>
      <c r="BP474" s="408"/>
      <c r="BQ474" s="408"/>
      <c r="BR474" s="408"/>
      <c r="BS474" s="408"/>
      <c r="BT474" s="408"/>
      <c r="BU474" s="408"/>
      <c r="BV474" s="408">
        <v>1121.3980413767329</v>
      </c>
      <c r="BW474" s="408"/>
      <c r="BX474" s="408"/>
      <c r="BY474" s="408"/>
      <c r="BZ474" s="408"/>
      <c r="CA474" s="408"/>
      <c r="CB474" s="408"/>
      <c r="CC474" s="408"/>
      <c r="CD474" s="408"/>
      <c r="CE474" s="408"/>
      <c r="CF474" s="408"/>
      <c r="CG474" s="408"/>
      <c r="CH474" s="408"/>
      <c r="CI474" s="408">
        <v>3185.6513999999997</v>
      </c>
      <c r="CJ474" s="408">
        <v>-201.3985500000008</v>
      </c>
      <c r="CK474" s="408"/>
      <c r="CL474" s="408"/>
      <c r="CM474" s="408"/>
      <c r="CN474" s="408"/>
      <c r="CO474" s="408">
        <v>-338.95844999999997</v>
      </c>
      <c r="CP474" s="408">
        <v>135.04545000000002</v>
      </c>
      <c r="CQ474" s="408">
        <v>31</v>
      </c>
      <c r="CR474" s="408">
        <v>162.04949145752312</v>
      </c>
      <c r="CS474" s="408">
        <v>3.386621211023872</v>
      </c>
      <c r="CT474" s="408">
        <v>15.791315089059538</v>
      </c>
      <c r="CU474" s="408">
        <v>0</v>
      </c>
      <c r="CV474" s="408">
        <v>0</v>
      </c>
      <c r="CW474" s="408">
        <v>0</v>
      </c>
      <c r="CX474" s="408">
        <v>0</v>
      </c>
      <c r="CY474" s="408">
        <v>0</v>
      </c>
      <c r="CZ474" s="408">
        <v>15.838291136982605</v>
      </c>
      <c r="DA474" s="408">
        <v>0</v>
      </c>
      <c r="DB474" s="408">
        <v>0</v>
      </c>
      <c r="DC474" s="408">
        <v>135.030202587752</v>
      </c>
      <c r="DD474" s="408">
        <v>0</v>
      </c>
      <c r="DE474" s="408">
        <v>0</v>
      </c>
      <c r="DF474" s="408">
        <v>0</v>
      </c>
      <c r="DG474" s="408">
        <v>7.0866418125949053</v>
      </c>
      <c r="DH474" s="408">
        <v>0</v>
      </c>
      <c r="DI474" s="408">
        <v>-13.072197319498173</v>
      </c>
      <c r="DJ474" s="408"/>
      <c r="DK474" s="408">
        <v>0</v>
      </c>
      <c r="DL474" s="408">
        <v>0</v>
      </c>
      <c r="DM474" s="408">
        <v>0</v>
      </c>
      <c r="DN474" s="408">
        <v>0</v>
      </c>
      <c r="DO474" s="408">
        <v>-1.7976372408561261</v>
      </c>
      <c r="DP474" s="408">
        <v>-0.21374581953571692</v>
      </c>
      <c r="DQ474" s="408">
        <v>0</v>
      </c>
      <c r="DR474" s="408">
        <v>0</v>
      </c>
      <c r="DS474" s="408"/>
      <c r="DT474" s="408"/>
      <c r="DU474" s="408"/>
      <c r="DV474" s="408">
        <v>1473.2845967397061</v>
      </c>
      <c r="DW474" s="408">
        <v>0</v>
      </c>
      <c r="DX474" s="408">
        <v>0</v>
      </c>
      <c r="DY474" s="408">
        <v>-338.95844999999986</v>
      </c>
      <c r="DZ474" s="408">
        <v>135.04545000000007</v>
      </c>
      <c r="EA474" s="408">
        <v>0</v>
      </c>
      <c r="EB474" s="408">
        <v>0</v>
      </c>
      <c r="EC474" s="408">
        <v>-365.98888451753965</v>
      </c>
      <c r="ED474" s="408">
        <v>0</v>
      </c>
      <c r="EE474" s="408">
        <v>0</v>
      </c>
      <c r="EF474" s="408">
        <v>0</v>
      </c>
      <c r="EG474" s="408">
        <v>0</v>
      </c>
      <c r="EH474" s="408">
        <v>0</v>
      </c>
      <c r="EI474" s="408">
        <v>0</v>
      </c>
      <c r="EJ474" s="408">
        <v>0</v>
      </c>
      <c r="EK474" s="408">
        <v>0</v>
      </c>
      <c r="EL474" s="408">
        <v>0</v>
      </c>
      <c r="EM474" s="408">
        <v>0</v>
      </c>
      <c r="EN474" s="408">
        <v>0</v>
      </c>
      <c r="EO474" s="408">
        <v>0</v>
      </c>
      <c r="EP474" s="408">
        <v>98.31322600018602</v>
      </c>
      <c r="EQ474" s="408">
        <v>0</v>
      </c>
      <c r="ER474" s="408">
        <v>0</v>
      </c>
      <c r="ES474" s="408">
        <v>0</v>
      </c>
      <c r="ET474" s="408">
        <v>0</v>
      </c>
      <c r="EU474" s="408">
        <v>0</v>
      </c>
      <c r="EV474" s="408">
        <v>240</v>
      </c>
      <c r="EW474" s="408">
        <v>0</v>
      </c>
      <c r="EX474" s="408">
        <v>0</v>
      </c>
      <c r="EY474" s="408">
        <v>0</v>
      </c>
      <c r="EZ474" s="408"/>
      <c r="FA474" s="408">
        <v>0</v>
      </c>
      <c r="FB474" s="408"/>
      <c r="FC474" s="408"/>
      <c r="FD474" s="408"/>
      <c r="FE474" s="408"/>
      <c r="FF474" s="408">
        <v>0</v>
      </c>
      <c r="FG474" s="408">
        <v>0</v>
      </c>
      <c r="FH474" s="408">
        <v>0</v>
      </c>
      <c r="FI474" s="408">
        <v>0</v>
      </c>
    </row>
    <row r="475" spans="1:165">
      <c r="A475" s="408">
        <v>473</v>
      </c>
      <c r="B475" s="408" t="s">
        <v>1036</v>
      </c>
      <c r="C475" s="408" t="s">
        <v>2235</v>
      </c>
      <c r="D475" s="408" t="s">
        <v>2245</v>
      </c>
      <c r="E475" s="408" t="s">
        <v>974</v>
      </c>
      <c r="F475" s="408" t="s">
        <v>2253</v>
      </c>
      <c r="G475" s="408" t="s">
        <v>2254</v>
      </c>
      <c r="H475" s="408" t="s">
        <v>1322</v>
      </c>
      <c r="I475" s="408" t="s">
        <v>1322</v>
      </c>
      <c r="J475" s="408" t="s">
        <v>2236</v>
      </c>
      <c r="K475" s="826">
        <v>44562</v>
      </c>
      <c r="L475" s="408">
        <v>0</v>
      </c>
      <c r="M475" s="408">
        <v>0</v>
      </c>
      <c r="N475" s="408">
        <v>0</v>
      </c>
      <c r="O475" s="408">
        <v>0</v>
      </c>
      <c r="P475" s="408">
        <v>0</v>
      </c>
      <c r="Q475" s="408">
        <v>0</v>
      </c>
      <c r="R475" s="408"/>
      <c r="S475" s="408"/>
      <c r="T475" s="408"/>
      <c r="U475" s="408"/>
      <c r="V475" s="408"/>
      <c r="W475" s="408"/>
      <c r="X475" s="408"/>
      <c r="Y475" s="408"/>
      <c r="Z475" s="408"/>
      <c r="AA475" s="408">
        <v>0</v>
      </c>
      <c r="AB475" s="408"/>
      <c r="AC475" s="408"/>
      <c r="AD475" s="408"/>
      <c r="AE475" s="408"/>
      <c r="AF475" s="408"/>
      <c r="AG475" s="408"/>
      <c r="AH475" s="408"/>
      <c r="AI475" s="408"/>
      <c r="AJ475" s="408"/>
      <c r="AK475" s="408"/>
      <c r="AL475" s="408"/>
      <c r="AM475" s="408"/>
      <c r="AN475" s="408"/>
      <c r="AO475" s="408"/>
      <c r="AP475" s="408"/>
      <c r="AQ475" s="408"/>
      <c r="AR475" s="408"/>
      <c r="AS475" s="408"/>
      <c r="AT475" s="408"/>
      <c r="AU475" s="408"/>
      <c r="AV475" s="408"/>
      <c r="AW475" s="408"/>
      <c r="AX475" s="408"/>
      <c r="AY475" s="408"/>
      <c r="AZ475" s="408">
        <v>0</v>
      </c>
      <c r="BA475" s="408"/>
      <c r="BB475" s="408"/>
      <c r="BC475" s="408"/>
      <c r="BD475" s="408"/>
      <c r="BE475" s="408"/>
      <c r="BF475" s="408"/>
      <c r="BG475" s="408"/>
      <c r="BH475" s="408"/>
      <c r="BI475" s="408">
        <v>0.55000000000000004</v>
      </c>
      <c r="BJ475" s="408">
        <v>4.83</v>
      </c>
      <c r="BK475" s="408">
        <v>35.72</v>
      </c>
      <c r="BL475" s="408">
        <v>4</v>
      </c>
      <c r="BM475" s="408"/>
      <c r="BN475" s="408"/>
      <c r="BO475" s="408"/>
      <c r="BP475" s="408"/>
      <c r="BQ475" s="408"/>
      <c r="BR475" s="408"/>
      <c r="BS475" s="408"/>
      <c r="BT475" s="408"/>
      <c r="BU475" s="408"/>
      <c r="BV475" s="408"/>
      <c r="BW475" s="408"/>
      <c r="BX475" s="408"/>
      <c r="BY475" s="408"/>
      <c r="BZ475" s="408"/>
      <c r="CA475" s="408"/>
      <c r="CB475" s="408"/>
      <c r="CC475" s="408"/>
      <c r="CD475" s="408"/>
      <c r="CE475" s="408"/>
      <c r="CF475" s="408"/>
      <c r="CG475" s="408"/>
      <c r="CH475" s="408"/>
      <c r="CI475" s="408"/>
      <c r="CJ475" s="408">
        <v>-0.03</v>
      </c>
      <c r="CK475" s="408"/>
      <c r="CL475" s="408"/>
      <c r="CM475" s="408"/>
      <c r="CN475" s="408"/>
      <c r="CO475" s="408">
        <v>0</v>
      </c>
      <c r="CP475" s="408">
        <v>0</v>
      </c>
      <c r="CQ475" s="408">
        <v>31</v>
      </c>
      <c r="CR475" s="408"/>
      <c r="CS475" s="408"/>
      <c r="CT475" s="408"/>
      <c r="CU475" s="408"/>
      <c r="CV475" s="408"/>
      <c r="CW475" s="408"/>
      <c r="CX475" s="408"/>
      <c r="CY475" s="408"/>
      <c r="CZ475" s="408"/>
      <c r="DA475" s="408"/>
      <c r="DB475" s="408"/>
      <c r="DC475" s="408"/>
      <c r="DD475" s="408"/>
      <c r="DE475" s="408"/>
      <c r="DF475" s="408"/>
      <c r="DG475" s="408"/>
      <c r="DH475" s="408"/>
      <c r="DI475" s="408"/>
      <c r="DJ475" s="408"/>
      <c r="DK475" s="408">
        <v>0</v>
      </c>
      <c r="DL475" s="408"/>
      <c r="DM475" s="408"/>
      <c r="DN475" s="408"/>
      <c r="DO475" s="408"/>
      <c r="DP475" s="408"/>
      <c r="DQ475" s="408"/>
      <c r="DR475" s="408"/>
      <c r="DS475" s="408"/>
      <c r="DT475" s="408"/>
      <c r="DU475" s="408"/>
      <c r="DV475" s="408"/>
      <c r="DW475" s="408"/>
      <c r="DX475" s="408"/>
      <c r="DY475" s="408"/>
      <c r="DZ475" s="408"/>
      <c r="EA475" s="408"/>
      <c r="EB475" s="408"/>
      <c r="EC475" s="408"/>
      <c r="ED475" s="408"/>
      <c r="EE475" s="408"/>
      <c r="EF475" s="408"/>
      <c r="EG475" s="408"/>
      <c r="EH475" s="408"/>
      <c r="EI475" s="408"/>
      <c r="EJ475" s="408"/>
      <c r="EK475" s="408"/>
      <c r="EL475" s="408"/>
      <c r="EM475" s="408"/>
      <c r="EN475" s="408"/>
      <c r="EO475" s="408"/>
      <c r="EP475" s="408"/>
      <c r="EQ475" s="408"/>
      <c r="ER475" s="408"/>
      <c r="ES475" s="408"/>
      <c r="ET475" s="408"/>
      <c r="EU475" s="408"/>
      <c r="EV475" s="408">
        <v>240</v>
      </c>
      <c r="EW475" s="408"/>
      <c r="EX475" s="408"/>
      <c r="EY475" s="408"/>
      <c r="EZ475" s="408"/>
      <c r="FA475" s="408">
        <v>0</v>
      </c>
      <c r="FB475" s="408"/>
      <c r="FC475" s="408"/>
      <c r="FD475" s="408"/>
      <c r="FE475" s="408"/>
      <c r="FF475" s="408">
        <v>0</v>
      </c>
      <c r="FG475" s="408">
        <v>0</v>
      </c>
      <c r="FH475" s="408">
        <v>0</v>
      </c>
      <c r="FI475" s="408">
        <v>0</v>
      </c>
    </row>
    <row r="476" spans="1:165">
      <c r="A476" s="408">
        <v>474</v>
      </c>
      <c r="B476" s="408" t="s">
        <v>1036</v>
      </c>
      <c r="C476" s="408" t="s">
        <v>2235</v>
      </c>
      <c r="D476" s="408" t="s">
        <v>2245</v>
      </c>
      <c r="E476" s="408" t="s">
        <v>974</v>
      </c>
      <c r="F476" s="408" t="s">
        <v>2253</v>
      </c>
      <c r="G476" s="408" t="s">
        <v>2254</v>
      </c>
      <c r="H476" s="408" t="s">
        <v>1322</v>
      </c>
      <c r="I476" s="408" t="s">
        <v>1322</v>
      </c>
      <c r="J476" s="408" t="s">
        <v>2236</v>
      </c>
      <c r="K476" s="826">
        <v>44562</v>
      </c>
      <c r="L476" s="408">
        <v>0</v>
      </c>
      <c r="M476" s="408">
        <v>0</v>
      </c>
      <c r="N476" s="408">
        <v>0.91</v>
      </c>
      <c r="O476" s="408">
        <v>0.91</v>
      </c>
      <c r="P476" s="408">
        <v>0.91</v>
      </c>
      <c r="Q476" s="408">
        <v>0.91</v>
      </c>
      <c r="R476" s="408"/>
      <c r="S476" s="408">
        <v>368.24</v>
      </c>
      <c r="T476" s="408">
        <v>173.25</v>
      </c>
      <c r="U476" s="408"/>
      <c r="V476" s="408">
        <v>492.7559</v>
      </c>
      <c r="W476" s="408">
        <v>492.7559</v>
      </c>
      <c r="X476" s="408">
        <v>463.08990000000006</v>
      </c>
      <c r="Y476" s="408">
        <v>0</v>
      </c>
      <c r="Z476" s="408">
        <v>56.006116711427062</v>
      </c>
      <c r="AA476" s="408">
        <v>0</v>
      </c>
      <c r="AB476" s="408">
        <v>0</v>
      </c>
      <c r="AC476" s="408">
        <v>2.3291790020415464</v>
      </c>
      <c r="AD476" s="408">
        <v>2.2378187304226027</v>
      </c>
      <c r="AE476" s="408">
        <v>214.33876627228341</v>
      </c>
      <c r="AF476" s="408">
        <v>155.00982823263485</v>
      </c>
      <c r="AG476" s="408">
        <v>2.6455825127925379</v>
      </c>
      <c r="AH476" s="408">
        <v>0</v>
      </c>
      <c r="AI476" s="408">
        <v>0</v>
      </c>
      <c r="AJ476" s="408">
        <v>0</v>
      </c>
      <c r="AK476" s="408">
        <v>0</v>
      </c>
      <c r="AL476" s="408">
        <v>8.6532175523661241</v>
      </c>
      <c r="AM476" s="408"/>
      <c r="AN476" s="408">
        <v>1.0991496100700751</v>
      </c>
      <c r="AO476" s="408">
        <v>4.9443899484485412</v>
      </c>
      <c r="AP476" s="408">
        <v>23.054960898778354</v>
      </c>
      <c r="AQ476" s="408">
        <v>0</v>
      </c>
      <c r="AR476" s="408">
        <v>0</v>
      </c>
      <c r="AS476" s="408">
        <v>0</v>
      </c>
      <c r="AT476" s="408">
        <v>0</v>
      </c>
      <c r="AU476" s="408">
        <v>0</v>
      </c>
      <c r="AV476" s="408">
        <v>0</v>
      </c>
      <c r="AW476" s="408">
        <v>0</v>
      </c>
      <c r="AX476" s="408">
        <v>0</v>
      </c>
      <c r="AY476" s="408">
        <v>0</v>
      </c>
      <c r="AZ476" s="408">
        <v>0</v>
      </c>
      <c r="BA476" s="408"/>
      <c r="BB476" s="408">
        <v>0</v>
      </c>
      <c r="BC476" s="408">
        <v>0</v>
      </c>
      <c r="BD476" s="408">
        <v>0</v>
      </c>
      <c r="BE476" s="408">
        <v>0</v>
      </c>
      <c r="BF476" s="408">
        <v>0</v>
      </c>
      <c r="BG476" s="408">
        <v>8.1352105607827419</v>
      </c>
      <c r="BH476" s="408">
        <v>0</v>
      </c>
      <c r="BI476" s="408">
        <v>0</v>
      </c>
      <c r="BJ476" s="408">
        <v>0</v>
      </c>
      <c r="BK476" s="408">
        <v>0</v>
      </c>
      <c r="BL476" s="408">
        <v>0</v>
      </c>
      <c r="BM476" s="408"/>
      <c r="BN476" s="408"/>
      <c r="BO476" s="408"/>
      <c r="BP476" s="408"/>
      <c r="BQ476" s="408"/>
      <c r="BR476" s="408">
        <v>55.564600000000006</v>
      </c>
      <c r="BS476" s="408"/>
      <c r="BT476" s="408"/>
      <c r="BU476" s="408"/>
      <c r="BV476" s="408">
        <v>163.1450387934176</v>
      </c>
      <c r="BW476" s="408"/>
      <c r="BX476" s="408"/>
      <c r="BY476" s="408"/>
      <c r="BZ476" s="408"/>
      <c r="CA476" s="408"/>
      <c r="CB476" s="408"/>
      <c r="CC476" s="408"/>
      <c r="CD476" s="408"/>
      <c r="CE476" s="408"/>
      <c r="CF476" s="408"/>
      <c r="CG476" s="408"/>
      <c r="CH476" s="408"/>
      <c r="CI476" s="408">
        <v>407.52530000000002</v>
      </c>
      <c r="CJ476" s="408">
        <v>-26.128800000000012</v>
      </c>
      <c r="CK476" s="408"/>
      <c r="CL476" s="408"/>
      <c r="CM476" s="408"/>
      <c r="CN476" s="408"/>
      <c r="CO476" s="408">
        <v>-49.312899999999999</v>
      </c>
      <c r="CP476" s="408">
        <v>19.646900000000002</v>
      </c>
      <c r="CQ476" s="408">
        <v>31</v>
      </c>
      <c r="CR476" s="408">
        <v>23.575545519799448</v>
      </c>
      <c r="CS476" s="408">
        <v>0.49269789001306563</v>
      </c>
      <c r="CT476" s="408">
        <v>2.297377574907145</v>
      </c>
      <c r="CU476" s="408">
        <v>0</v>
      </c>
      <c r="CV476" s="408">
        <v>0</v>
      </c>
      <c r="CW476" s="408">
        <v>0</v>
      </c>
      <c r="CX476" s="408">
        <v>0</v>
      </c>
      <c r="CY476" s="408">
        <v>0</v>
      </c>
      <c r="CZ476" s="408">
        <v>2.304211820088597</v>
      </c>
      <c r="DA476" s="408">
        <v>0</v>
      </c>
      <c r="DB476" s="408">
        <v>0</v>
      </c>
      <c r="DC476" s="408">
        <v>19.644681751375572</v>
      </c>
      <c r="DD476" s="408">
        <v>0</v>
      </c>
      <c r="DE476" s="408">
        <v>0</v>
      </c>
      <c r="DF476" s="408">
        <v>0</v>
      </c>
      <c r="DG476" s="408">
        <v>1.0309902557092503</v>
      </c>
      <c r="DH476" s="408">
        <v>0</v>
      </c>
      <c r="DI476" s="408">
        <v>-1.9017904973210733</v>
      </c>
      <c r="DJ476" s="408"/>
      <c r="DK476" s="408">
        <v>0</v>
      </c>
      <c r="DL476" s="408">
        <v>0</v>
      </c>
      <c r="DM476" s="408">
        <v>0</v>
      </c>
      <c r="DN476" s="408">
        <v>0</v>
      </c>
      <c r="DO476" s="408">
        <v>-0.26152676085996518</v>
      </c>
      <c r="DP476" s="408">
        <v>-3.1096514113109652E-2</v>
      </c>
      <c r="DQ476" s="408">
        <v>0</v>
      </c>
      <c r="DR476" s="408">
        <v>0</v>
      </c>
      <c r="DS476" s="408"/>
      <c r="DT476" s="408"/>
      <c r="DU476" s="408"/>
      <c r="DV476" s="408">
        <v>214.33876627228341</v>
      </c>
      <c r="DW476" s="408">
        <v>0</v>
      </c>
      <c r="DX476" s="408">
        <v>0</v>
      </c>
      <c r="DY476" s="408">
        <v>-49.312900000000013</v>
      </c>
      <c r="DZ476" s="408">
        <v>19.646900000000016</v>
      </c>
      <c r="EA476" s="408">
        <v>0</v>
      </c>
      <c r="EB476" s="408">
        <v>0</v>
      </c>
      <c r="EC476" s="408">
        <v>-53.245385277531767</v>
      </c>
      <c r="ED476" s="408">
        <v>0</v>
      </c>
      <c r="EE476" s="408">
        <v>0</v>
      </c>
      <c r="EF476" s="408">
        <v>0</v>
      </c>
      <c r="EG476" s="408">
        <v>0</v>
      </c>
      <c r="EH476" s="408">
        <v>0</v>
      </c>
      <c r="EI476" s="408">
        <v>0</v>
      </c>
      <c r="EJ476" s="408">
        <v>0</v>
      </c>
      <c r="EK476" s="408">
        <v>0</v>
      </c>
      <c r="EL476" s="408">
        <v>0</v>
      </c>
      <c r="EM476" s="408">
        <v>0</v>
      </c>
      <c r="EN476" s="408">
        <v>0</v>
      </c>
      <c r="EO476" s="408">
        <v>0</v>
      </c>
      <c r="EP476" s="408">
        <v>14.302963334959118</v>
      </c>
      <c r="EQ476" s="408">
        <v>0</v>
      </c>
      <c r="ER476" s="408">
        <v>0</v>
      </c>
      <c r="ES476" s="408">
        <v>0</v>
      </c>
      <c r="ET476" s="408">
        <v>0</v>
      </c>
      <c r="EU476" s="408">
        <v>0</v>
      </c>
      <c r="EV476" s="408">
        <v>240</v>
      </c>
      <c r="EW476" s="408">
        <v>0</v>
      </c>
      <c r="EX476" s="408">
        <v>0</v>
      </c>
      <c r="EY476" s="408">
        <v>0</v>
      </c>
      <c r="EZ476" s="408"/>
      <c r="FA476" s="408">
        <v>0</v>
      </c>
      <c r="FB476" s="408"/>
      <c r="FC476" s="408"/>
      <c r="FD476" s="408"/>
      <c r="FE476" s="408"/>
      <c r="FF476" s="408">
        <v>0</v>
      </c>
      <c r="FG476" s="408">
        <v>0</v>
      </c>
      <c r="FH476" s="408">
        <v>0</v>
      </c>
      <c r="FI476" s="408">
        <v>0</v>
      </c>
    </row>
    <row r="477" spans="1:165">
      <c r="A477" s="408">
        <v>475</v>
      </c>
      <c r="B477" s="408" t="s">
        <v>1036</v>
      </c>
      <c r="C477" s="408" t="s">
        <v>2235</v>
      </c>
      <c r="D477" s="408" t="s">
        <v>2245</v>
      </c>
      <c r="E477" s="408" t="s">
        <v>974</v>
      </c>
      <c r="F477" s="408" t="s">
        <v>2253</v>
      </c>
      <c r="G477" s="408" t="s">
        <v>2255</v>
      </c>
      <c r="H477" s="408" t="s">
        <v>1322</v>
      </c>
      <c r="I477" s="408" t="s">
        <v>1322</v>
      </c>
      <c r="J477" s="408" t="s">
        <v>2236</v>
      </c>
      <c r="K477" s="826">
        <v>44562</v>
      </c>
      <c r="L477" s="408">
        <v>0</v>
      </c>
      <c r="M477" s="408">
        <v>0</v>
      </c>
      <c r="N477" s="408">
        <v>1.1240000000000001</v>
      </c>
      <c r="O477" s="408">
        <v>0.4496</v>
      </c>
      <c r="P477" s="408">
        <v>1.1240000000000001</v>
      </c>
      <c r="Q477" s="408">
        <v>0.4496</v>
      </c>
      <c r="R477" s="408"/>
      <c r="S477" s="408">
        <v>368.24</v>
      </c>
      <c r="T477" s="408">
        <v>173.25</v>
      </c>
      <c r="U477" s="408"/>
      <c r="V477" s="408">
        <v>608.63476000000003</v>
      </c>
      <c r="W477" s="408">
        <v>608.63476000000003</v>
      </c>
      <c r="X477" s="408">
        <v>571.99236000000008</v>
      </c>
      <c r="Y477" s="408">
        <v>0</v>
      </c>
      <c r="Z477" s="408">
        <v>69.176785916092342</v>
      </c>
      <c r="AA477" s="408">
        <v>0</v>
      </c>
      <c r="AB477" s="408">
        <v>0</v>
      </c>
      <c r="AC477" s="408">
        <v>2.8769199981260418</v>
      </c>
      <c r="AD477" s="408">
        <v>2.7640750032912154</v>
      </c>
      <c r="AE477" s="408">
        <v>264.74370691213909</v>
      </c>
      <c r="AF477" s="408">
        <v>191.46268893789184</v>
      </c>
      <c r="AG477" s="408">
        <v>3.2677304883283655</v>
      </c>
      <c r="AH477" s="408">
        <v>0</v>
      </c>
      <c r="AI477" s="408">
        <v>0</v>
      </c>
      <c r="AJ477" s="408">
        <v>0</v>
      </c>
      <c r="AK477" s="408">
        <v>0</v>
      </c>
      <c r="AL477" s="408">
        <v>10.688150031713763</v>
      </c>
      <c r="AM477" s="408"/>
      <c r="AN477" s="408">
        <v>1.3576309469436973</v>
      </c>
      <c r="AO477" s="408">
        <v>6.1071365956661108</v>
      </c>
      <c r="AP477" s="408">
        <v>28.476676978271289</v>
      </c>
      <c r="AQ477" s="408">
        <v>0</v>
      </c>
      <c r="AR477" s="408">
        <v>0</v>
      </c>
      <c r="AS477" s="408">
        <v>0</v>
      </c>
      <c r="AT477" s="408">
        <v>0</v>
      </c>
      <c r="AU477" s="408">
        <v>0</v>
      </c>
      <c r="AV477" s="408">
        <v>0</v>
      </c>
      <c r="AW477" s="408">
        <v>0</v>
      </c>
      <c r="AX477" s="408">
        <v>0</v>
      </c>
      <c r="AY477" s="408">
        <v>0</v>
      </c>
      <c r="AZ477" s="408">
        <v>0</v>
      </c>
      <c r="BA477" s="408"/>
      <c r="BB477" s="408">
        <v>0</v>
      </c>
      <c r="BC477" s="408">
        <v>0</v>
      </c>
      <c r="BD477" s="408">
        <v>0</v>
      </c>
      <c r="BE477" s="408">
        <v>0</v>
      </c>
      <c r="BF477" s="408">
        <v>0</v>
      </c>
      <c r="BG477" s="408">
        <v>10.048326011340443</v>
      </c>
      <c r="BH477" s="408">
        <v>0</v>
      </c>
      <c r="BI477" s="408">
        <v>0</v>
      </c>
      <c r="BJ477" s="408">
        <v>0</v>
      </c>
      <c r="BK477" s="408">
        <v>0</v>
      </c>
      <c r="BL477" s="408">
        <v>0</v>
      </c>
      <c r="BM477" s="408"/>
      <c r="BN477" s="408"/>
      <c r="BO477" s="408"/>
      <c r="BP477" s="408"/>
      <c r="BQ477" s="408"/>
      <c r="BR477" s="408"/>
      <c r="BS477" s="408">
        <v>370.64799200000004</v>
      </c>
      <c r="BT477" s="408"/>
      <c r="BU477" s="408"/>
      <c r="BV477" s="408">
        <v>201.51101494923228</v>
      </c>
      <c r="BW477" s="408"/>
      <c r="BX477" s="408"/>
      <c r="BY477" s="408"/>
      <c r="BZ477" s="408"/>
      <c r="CA477" s="408"/>
      <c r="CB477" s="408"/>
      <c r="CC477" s="408"/>
      <c r="CD477" s="408"/>
      <c r="CE477" s="408"/>
      <c r="CF477" s="408"/>
      <c r="CG477" s="408"/>
      <c r="CH477" s="408"/>
      <c r="CI477" s="408">
        <v>201.52350000000001</v>
      </c>
      <c r="CJ477" s="408">
        <v>-12.745395999999971</v>
      </c>
      <c r="CK477" s="408"/>
      <c r="CL477" s="408"/>
      <c r="CM477" s="408"/>
      <c r="CN477" s="408"/>
      <c r="CO477" s="408">
        <v>-60.909560000000006</v>
      </c>
      <c r="CP477" s="408">
        <v>24.267160000000008</v>
      </c>
      <c r="CQ477" s="408">
        <v>31</v>
      </c>
      <c r="CR477" s="408">
        <v>29.119684795884154</v>
      </c>
      <c r="CS477" s="408">
        <v>0.60856310810405034</v>
      </c>
      <c r="CT477" s="408">
        <v>2.8376399936215684</v>
      </c>
      <c r="CU477" s="408">
        <v>0</v>
      </c>
      <c r="CV477" s="408">
        <v>0</v>
      </c>
      <c r="CW477" s="408">
        <v>0</v>
      </c>
      <c r="CX477" s="408">
        <v>0</v>
      </c>
      <c r="CY477" s="408">
        <v>0</v>
      </c>
      <c r="CZ477" s="408">
        <v>2.8460814129445966</v>
      </c>
      <c r="DA477" s="408">
        <v>0</v>
      </c>
      <c r="DB477" s="408">
        <v>0</v>
      </c>
      <c r="DC477" s="408">
        <v>24.264420097303457</v>
      </c>
      <c r="DD477" s="408">
        <v>0</v>
      </c>
      <c r="DE477" s="408">
        <v>0</v>
      </c>
      <c r="DF477" s="408">
        <v>0</v>
      </c>
      <c r="DG477" s="408">
        <v>1.2734429092496686</v>
      </c>
      <c r="DH477" s="408">
        <v>0</v>
      </c>
      <c r="DI477" s="408">
        <v>-2.3490247461416516</v>
      </c>
      <c r="DJ477" s="408"/>
      <c r="DK477" s="408">
        <v>0</v>
      </c>
      <c r="DL477" s="408">
        <v>0</v>
      </c>
      <c r="DM477" s="408">
        <v>0</v>
      </c>
      <c r="DN477" s="408">
        <v>0</v>
      </c>
      <c r="DO477" s="408">
        <v>-0.32302865846879136</v>
      </c>
      <c r="DP477" s="408">
        <v>-3.8409320728720386E-2</v>
      </c>
      <c r="DQ477" s="408">
        <v>0</v>
      </c>
      <c r="DR477" s="408">
        <v>0</v>
      </c>
      <c r="DS477" s="408"/>
      <c r="DT477" s="408"/>
      <c r="DU477" s="408"/>
      <c r="DV477" s="408">
        <v>264.74370691213909</v>
      </c>
      <c r="DW477" s="408">
        <v>0</v>
      </c>
      <c r="DX477" s="408">
        <v>0</v>
      </c>
      <c r="DY477" s="408">
        <v>-60.909559999999999</v>
      </c>
      <c r="DZ477" s="408">
        <v>24.26715999999999</v>
      </c>
      <c r="EA477" s="408">
        <v>0</v>
      </c>
      <c r="EB477" s="408">
        <v>0</v>
      </c>
      <c r="EC477" s="408">
        <v>-65.766827529610651</v>
      </c>
      <c r="ED477" s="408">
        <v>0</v>
      </c>
      <c r="EE477" s="408">
        <v>0</v>
      </c>
      <c r="EF477" s="408">
        <v>0</v>
      </c>
      <c r="EG477" s="408">
        <v>0</v>
      </c>
      <c r="EH477" s="408">
        <v>0</v>
      </c>
      <c r="EI477" s="408">
        <v>0</v>
      </c>
      <c r="EJ477" s="408">
        <v>0</v>
      </c>
      <c r="EK477" s="408">
        <v>0</v>
      </c>
      <c r="EL477" s="408">
        <v>0</v>
      </c>
      <c r="EM477" s="408">
        <v>0</v>
      </c>
      <c r="EN477" s="408">
        <v>0</v>
      </c>
      <c r="EO477" s="408">
        <v>0</v>
      </c>
      <c r="EP477" s="408">
        <v>17.666517349993462</v>
      </c>
      <c r="EQ477" s="408">
        <v>0</v>
      </c>
      <c r="ER477" s="408">
        <v>0</v>
      </c>
      <c r="ES477" s="408">
        <v>0</v>
      </c>
      <c r="ET477" s="408">
        <v>0</v>
      </c>
      <c r="EU477" s="408">
        <v>0</v>
      </c>
      <c r="EV477" s="408">
        <v>240</v>
      </c>
      <c r="EW477" s="408">
        <v>0</v>
      </c>
      <c r="EX477" s="408">
        <v>0</v>
      </c>
      <c r="EY477" s="408">
        <v>0</v>
      </c>
      <c r="EZ477" s="408"/>
      <c r="FA477" s="408">
        <v>0</v>
      </c>
      <c r="FB477" s="408"/>
      <c r="FC477" s="408"/>
      <c r="FD477" s="408"/>
      <c r="FE477" s="408"/>
      <c r="FF477" s="408">
        <v>0</v>
      </c>
      <c r="FG477" s="408">
        <v>0</v>
      </c>
      <c r="FH477" s="408">
        <v>0</v>
      </c>
      <c r="FI477" s="408">
        <v>0</v>
      </c>
    </row>
    <row r="478" spans="1:165">
      <c r="A478" s="408">
        <v>476</v>
      </c>
      <c r="B478" s="408" t="s">
        <v>1036</v>
      </c>
      <c r="C478" s="408" t="s">
        <v>2235</v>
      </c>
      <c r="D478" s="408" t="s">
        <v>1955</v>
      </c>
      <c r="E478" s="408" t="s">
        <v>969</v>
      </c>
      <c r="F478" s="408" t="s">
        <v>969</v>
      </c>
      <c r="G478" s="408" t="s">
        <v>1322</v>
      </c>
      <c r="H478" s="408" t="s">
        <v>1322</v>
      </c>
      <c r="I478" s="408" t="s">
        <v>1322</v>
      </c>
      <c r="J478" s="408" t="s">
        <v>2236</v>
      </c>
      <c r="K478" s="826">
        <v>44593</v>
      </c>
      <c r="L478" s="408">
        <v>0</v>
      </c>
      <c r="M478" s="408">
        <v>0</v>
      </c>
      <c r="N478" s="408">
        <v>12374.672</v>
      </c>
      <c r="O478" s="408">
        <v>12374.672</v>
      </c>
      <c r="P478" s="408">
        <v>12374.672</v>
      </c>
      <c r="Q478" s="408">
        <v>12374.672</v>
      </c>
      <c r="R478" s="408"/>
      <c r="S478" s="408">
        <v>368.24</v>
      </c>
      <c r="T478" s="408">
        <v>173.25</v>
      </c>
      <c r="U478" s="408"/>
      <c r="V478" s="408">
        <v>6700761.141280001</v>
      </c>
      <c r="W478" s="408">
        <v>6700761.141280001</v>
      </c>
      <c r="X478" s="408">
        <v>6297346.8340800004</v>
      </c>
      <c r="Y478" s="408">
        <v>0</v>
      </c>
      <c r="Z478" s="408">
        <v>761601.45527211938</v>
      </c>
      <c r="AA478" s="408">
        <v>0</v>
      </c>
      <c r="AB478" s="408">
        <v>0</v>
      </c>
      <c r="AC478" s="408">
        <v>31673.435362144468</v>
      </c>
      <c r="AD478" s="408">
        <v>30431.06899388586</v>
      </c>
      <c r="AE478" s="408">
        <v>2914694.4280265602</v>
      </c>
      <c r="AF478" s="408">
        <v>2107907.4518188965</v>
      </c>
      <c r="AG478" s="408">
        <v>35976.061367849958</v>
      </c>
      <c r="AH478" s="408">
        <v>0</v>
      </c>
      <c r="AI478" s="408">
        <v>0</v>
      </c>
      <c r="AJ478" s="408">
        <v>0</v>
      </c>
      <c r="AK478" s="408">
        <v>0</v>
      </c>
      <c r="AL478" s="408">
        <v>117671.13071997098</v>
      </c>
      <c r="AM478" s="408"/>
      <c r="AN478" s="408">
        <v>14946.830663236349</v>
      </c>
      <c r="AO478" s="408">
        <v>67236.487749612759</v>
      </c>
      <c r="AP478" s="408">
        <v>313513.82318154653</v>
      </c>
      <c r="AQ478" s="408">
        <v>0</v>
      </c>
      <c r="AR478" s="408">
        <v>0</v>
      </c>
      <c r="AS478" s="408">
        <v>0</v>
      </c>
      <c r="AT478" s="408">
        <v>0</v>
      </c>
      <c r="AU478" s="408">
        <v>0</v>
      </c>
      <c r="AV478" s="408">
        <v>0</v>
      </c>
      <c r="AW478" s="408">
        <v>0</v>
      </c>
      <c r="AX478" s="408">
        <v>0</v>
      </c>
      <c r="AY478" s="408">
        <v>0</v>
      </c>
      <c r="AZ478" s="408">
        <v>0</v>
      </c>
      <c r="BA478" s="408"/>
      <c r="BB478" s="408">
        <v>0</v>
      </c>
      <c r="BC478" s="408">
        <v>0</v>
      </c>
      <c r="BD478" s="408">
        <v>0</v>
      </c>
      <c r="BE478" s="408">
        <v>0</v>
      </c>
      <c r="BF478" s="408">
        <v>0</v>
      </c>
      <c r="BG478" s="408">
        <v>110626.99158310166</v>
      </c>
      <c r="BH478" s="408">
        <v>0</v>
      </c>
      <c r="BI478" s="408">
        <v>5449.46</v>
      </c>
      <c r="BJ478" s="408">
        <v>48648.86</v>
      </c>
      <c r="BK478" s="408">
        <v>2685682.41</v>
      </c>
      <c r="BL478" s="408">
        <v>45731</v>
      </c>
      <c r="BM478" s="408"/>
      <c r="BN478" s="408"/>
      <c r="BO478" s="408"/>
      <c r="BP478" s="408"/>
      <c r="BQ478" s="408"/>
      <c r="BR478" s="408"/>
      <c r="BS478" s="408"/>
      <c r="BT478" s="408"/>
      <c r="BU478" s="408"/>
      <c r="BV478" s="408">
        <v>2218534.4434019979</v>
      </c>
      <c r="BW478" s="408"/>
      <c r="BX478" s="408"/>
      <c r="BY478" s="408"/>
      <c r="BZ478" s="408"/>
      <c r="CA478" s="408"/>
      <c r="CB478" s="408"/>
      <c r="CC478" s="408"/>
      <c r="CD478" s="408"/>
      <c r="CE478" s="408"/>
      <c r="CF478" s="408"/>
      <c r="CG478" s="408"/>
      <c r="CH478" s="408"/>
      <c r="CI478" s="408">
        <v>6297345.8163000001</v>
      </c>
      <c r="CJ478" s="408">
        <v>-403415.35498000029</v>
      </c>
      <c r="CK478" s="408"/>
      <c r="CL478" s="408"/>
      <c r="CM478" s="408"/>
      <c r="CN478" s="408"/>
      <c r="CO478" s="408">
        <v>-670583.47568000003</v>
      </c>
      <c r="CP478" s="408">
        <v>267169.16848000005</v>
      </c>
      <c r="CQ478" s="408">
        <v>29</v>
      </c>
      <c r="CR478" s="408">
        <v>320593.01431712927</v>
      </c>
      <c r="CS478" s="408">
        <v>6699.9722901140194</v>
      </c>
      <c r="CT478" s="408">
        <v>31240.982362232229</v>
      </c>
      <c r="CU478" s="408">
        <v>0</v>
      </c>
      <c r="CV478" s="408">
        <v>0</v>
      </c>
      <c r="CW478" s="408">
        <v>0</v>
      </c>
      <c r="CX478" s="408">
        <v>0</v>
      </c>
      <c r="CY478" s="408">
        <v>0</v>
      </c>
      <c r="CZ478" s="408">
        <v>31333.918123208128</v>
      </c>
      <c r="DA478" s="408">
        <v>0</v>
      </c>
      <c r="DB478" s="408">
        <v>0</v>
      </c>
      <c r="DC478" s="408">
        <v>267139.00353588816</v>
      </c>
      <c r="DD478" s="408">
        <v>0</v>
      </c>
      <c r="DE478" s="408">
        <v>0</v>
      </c>
      <c r="DF478" s="408">
        <v>0</v>
      </c>
      <c r="DG478" s="408">
        <v>14019.96291164626</v>
      </c>
      <c r="DH478" s="408">
        <v>0</v>
      </c>
      <c r="DI478" s="408">
        <v>-25861.57540336845</v>
      </c>
      <c r="DJ478" s="408"/>
      <c r="DK478" s="408">
        <v>0</v>
      </c>
      <c r="DL478" s="408">
        <v>0</v>
      </c>
      <c r="DM478" s="408">
        <v>0</v>
      </c>
      <c r="DN478" s="408">
        <v>0</v>
      </c>
      <c r="DO478" s="408">
        <v>-3556.3822910598828</v>
      </c>
      <c r="DP478" s="408">
        <v>-422.86721153088547</v>
      </c>
      <c r="DQ478" s="408">
        <v>0</v>
      </c>
      <c r="DR478" s="408">
        <v>0</v>
      </c>
      <c r="DS478" s="408"/>
      <c r="DT478" s="408"/>
      <c r="DU478" s="408"/>
      <c r="DV478" s="408">
        <v>2914694.4280265602</v>
      </c>
      <c r="DW478" s="408">
        <v>0</v>
      </c>
      <c r="DX478" s="408">
        <v>0</v>
      </c>
      <c r="DY478" s="408">
        <v>-670583.47568000015</v>
      </c>
      <c r="DZ478" s="408">
        <v>267169.16847999999</v>
      </c>
      <c r="EA478" s="408">
        <v>0</v>
      </c>
      <c r="EB478" s="408">
        <v>0</v>
      </c>
      <c r="EC478" s="408">
        <v>-724059.53661877383</v>
      </c>
      <c r="ED478" s="408">
        <v>0</v>
      </c>
      <c r="EE478" s="408">
        <v>0</v>
      </c>
      <c r="EF478" s="408">
        <v>0</v>
      </c>
      <c r="EG478" s="408">
        <v>0</v>
      </c>
      <c r="EH478" s="408">
        <v>0</v>
      </c>
      <c r="EI478" s="408">
        <v>0</v>
      </c>
      <c r="EJ478" s="408">
        <v>0</v>
      </c>
      <c r="EK478" s="408">
        <v>0</v>
      </c>
      <c r="EL478" s="408">
        <v>0</v>
      </c>
      <c r="EM478" s="408">
        <v>0</v>
      </c>
      <c r="EN478" s="408">
        <v>0</v>
      </c>
      <c r="EO478" s="408">
        <v>0</v>
      </c>
      <c r="EP478" s="408">
        <v>194499.42845950022</v>
      </c>
      <c r="EQ478" s="408">
        <v>0</v>
      </c>
      <c r="ER478" s="408">
        <v>0</v>
      </c>
      <c r="ES478" s="408">
        <v>0</v>
      </c>
      <c r="ET478" s="408">
        <v>0</v>
      </c>
      <c r="EU478" s="408">
        <v>0</v>
      </c>
      <c r="EV478" s="408">
        <v>240</v>
      </c>
      <c r="EW478" s="408">
        <v>0</v>
      </c>
      <c r="EX478" s="408">
        <v>0</v>
      </c>
      <c r="EY478" s="408">
        <v>0</v>
      </c>
      <c r="EZ478" s="408"/>
      <c r="FA478" s="408">
        <v>0</v>
      </c>
      <c r="FB478" s="408"/>
      <c r="FC478" s="408"/>
      <c r="FD478" s="408"/>
      <c r="FE478" s="408"/>
      <c r="FF478" s="408">
        <v>0</v>
      </c>
      <c r="FG478" s="408">
        <v>0</v>
      </c>
      <c r="FH478" s="408">
        <v>0</v>
      </c>
      <c r="FI478" s="408">
        <v>0</v>
      </c>
    </row>
    <row r="479" spans="1:165">
      <c r="A479" s="408">
        <v>477</v>
      </c>
      <c r="B479" s="408" t="s">
        <v>2237</v>
      </c>
      <c r="C479" s="408" t="s">
        <v>2235</v>
      </c>
      <c r="D479" s="408" t="s">
        <v>1955</v>
      </c>
      <c r="E479" s="408" t="s">
        <v>969</v>
      </c>
      <c r="F479" s="408" t="s">
        <v>969</v>
      </c>
      <c r="G479" s="408" t="s">
        <v>1322</v>
      </c>
      <c r="H479" s="408" t="s">
        <v>1322</v>
      </c>
      <c r="I479" s="408" t="s">
        <v>1322</v>
      </c>
      <c r="J479" s="408" t="s">
        <v>2236</v>
      </c>
      <c r="K479" s="826">
        <v>44593</v>
      </c>
      <c r="L479" s="408">
        <v>0</v>
      </c>
      <c r="M479" s="408">
        <v>0</v>
      </c>
      <c r="N479" s="408">
        <v>-5.6040000000000001</v>
      </c>
      <c r="O479" s="408">
        <v>-5.6040000000000001</v>
      </c>
      <c r="P479" s="408">
        <v>-5.6040000000000001</v>
      </c>
      <c r="Q479" s="408">
        <v>-5.6040000000000001</v>
      </c>
      <c r="R479" s="408"/>
      <c r="S479" s="408">
        <v>368.24</v>
      </c>
      <c r="T479" s="408">
        <v>173.25</v>
      </c>
      <c r="U479" s="408"/>
      <c r="V479" s="408">
        <v>-3034.5099600000003</v>
      </c>
      <c r="W479" s="408">
        <v>-3034.5099600000003</v>
      </c>
      <c r="X479" s="408">
        <v>-2851.8195599999999</v>
      </c>
      <c r="Y479" s="408">
        <v>0</v>
      </c>
      <c r="Z479" s="408">
        <v>-344.89920664927172</v>
      </c>
      <c r="AA479" s="408">
        <v>0</v>
      </c>
      <c r="AB479" s="408">
        <v>0</v>
      </c>
      <c r="AC479" s="408">
        <v>-14.343647392792116</v>
      </c>
      <c r="AD479" s="408">
        <v>-13.781028753064028</v>
      </c>
      <c r="AE479" s="408">
        <v>-1319.9499408679958</v>
      </c>
      <c r="AF479" s="408">
        <v>-954.58799716009412</v>
      </c>
      <c r="AG479" s="408">
        <v>-16.292136705153165</v>
      </c>
      <c r="AH479" s="408">
        <v>0</v>
      </c>
      <c r="AI479" s="408">
        <v>0</v>
      </c>
      <c r="AJ479" s="408">
        <v>0</v>
      </c>
      <c r="AK479" s="408">
        <v>0</v>
      </c>
      <c r="AL479" s="408">
        <v>-53.288605674131595</v>
      </c>
      <c r="AM479" s="408"/>
      <c r="AN479" s="408">
        <v>-6.7688290272886826</v>
      </c>
      <c r="AO479" s="408">
        <v>-30.448748649566621</v>
      </c>
      <c r="AP479" s="408">
        <v>-141.97802294148781</v>
      </c>
      <c r="AQ479" s="408">
        <v>0</v>
      </c>
      <c r="AR479" s="408">
        <v>0</v>
      </c>
      <c r="AS479" s="408">
        <v>0</v>
      </c>
      <c r="AT479" s="408">
        <v>0</v>
      </c>
      <c r="AU479" s="408">
        <v>0</v>
      </c>
      <c r="AV479" s="408">
        <v>0</v>
      </c>
      <c r="AW479" s="408">
        <v>0</v>
      </c>
      <c r="AX479" s="408">
        <v>0</v>
      </c>
      <c r="AY479" s="408">
        <v>0</v>
      </c>
      <c r="AZ479" s="408">
        <v>0</v>
      </c>
      <c r="BA479" s="408"/>
      <c r="BB479" s="408">
        <v>0</v>
      </c>
      <c r="BC479" s="408">
        <v>0</v>
      </c>
      <c r="BD479" s="408">
        <v>0</v>
      </c>
      <c r="BE479" s="408">
        <v>0</v>
      </c>
      <c r="BF479" s="408">
        <v>0</v>
      </c>
      <c r="BG479" s="408">
        <v>-50.098593387501637</v>
      </c>
      <c r="BH479" s="408">
        <v>0</v>
      </c>
      <c r="BI479" s="408">
        <v>-2.56</v>
      </c>
      <c r="BJ479" s="408">
        <v>-22.04</v>
      </c>
      <c r="BK479" s="408">
        <v>-1255.46</v>
      </c>
      <c r="BL479" s="408">
        <v>0</v>
      </c>
      <c r="BM479" s="408"/>
      <c r="BN479" s="408"/>
      <c r="BO479" s="408"/>
      <c r="BP479" s="408"/>
      <c r="BQ479" s="408"/>
      <c r="BR479" s="408"/>
      <c r="BS479" s="408"/>
      <c r="BT479" s="408"/>
      <c r="BU479" s="408"/>
      <c r="BV479" s="408">
        <v>-1004.6865905475958</v>
      </c>
      <c r="BW479" s="408"/>
      <c r="BX479" s="408"/>
      <c r="BY479" s="408"/>
      <c r="BZ479" s="408"/>
      <c r="CA479" s="408"/>
      <c r="CB479" s="408"/>
      <c r="CC479" s="408"/>
      <c r="CD479" s="408"/>
      <c r="CE479" s="408"/>
      <c r="CF479" s="408"/>
      <c r="CG479" s="408"/>
      <c r="CH479" s="408"/>
      <c r="CI479" s="408">
        <v>-2849.7840000000001</v>
      </c>
      <c r="CJ479" s="408">
        <v>184.69595999999956</v>
      </c>
      <c r="CK479" s="408"/>
      <c r="CL479" s="408"/>
      <c r="CM479" s="408"/>
      <c r="CN479" s="408"/>
      <c r="CO479" s="408">
        <v>303.68076000000002</v>
      </c>
      <c r="CP479" s="408">
        <v>-120.99036000000002</v>
      </c>
      <c r="CQ479" s="408">
        <v>29</v>
      </c>
      <c r="CR479" s="408">
        <v>-145.18390889335842</v>
      </c>
      <c r="CS479" s="408">
        <v>-3.0341527204760617</v>
      </c>
      <c r="CT479" s="408">
        <v>-14.147806516241332</v>
      </c>
      <c r="CU479" s="408">
        <v>0</v>
      </c>
      <c r="CV479" s="408">
        <v>0</v>
      </c>
      <c r="CW479" s="408">
        <v>0</v>
      </c>
      <c r="CX479" s="408">
        <v>0</v>
      </c>
      <c r="CY479" s="408">
        <v>0</v>
      </c>
      <c r="CZ479" s="408">
        <v>-14.189893450303842</v>
      </c>
      <c r="DA479" s="408">
        <v>0</v>
      </c>
      <c r="DB479" s="408">
        <v>0</v>
      </c>
      <c r="DC479" s="408">
        <v>-120.97669948869088</v>
      </c>
      <c r="DD479" s="408">
        <v>0</v>
      </c>
      <c r="DE479" s="408">
        <v>0</v>
      </c>
      <c r="DF479" s="408">
        <v>0</v>
      </c>
      <c r="DG479" s="408">
        <v>-6.3490872450490485</v>
      </c>
      <c r="DH479" s="408">
        <v>0</v>
      </c>
      <c r="DI479" s="408">
        <v>11.711685656030056</v>
      </c>
      <c r="DJ479" s="408"/>
      <c r="DK479" s="408">
        <v>0</v>
      </c>
      <c r="DL479" s="408">
        <v>0</v>
      </c>
      <c r="DM479" s="408">
        <v>0</v>
      </c>
      <c r="DN479" s="408">
        <v>0</v>
      </c>
      <c r="DO479" s="408">
        <v>1.6105450196255333</v>
      </c>
      <c r="DP479" s="408">
        <v>0.19149985174710782</v>
      </c>
      <c r="DQ479" s="408">
        <v>0</v>
      </c>
      <c r="DR479" s="408">
        <v>0</v>
      </c>
      <c r="DS479" s="408"/>
      <c r="DT479" s="408"/>
      <c r="DU479" s="408"/>
      <c r="DV479" s="408">
        <v>-1319.9499408679958</v>
      </c>
      <c r="DW479" s="408">
        <v>0</v>
      </c>
      <c r="DX479" s="408">
        <v>0</v>
      </c>
      <c r="DY479" s="408">
        <v>303.68076000000019</v>
      </c>
      <c r="DZ479" s="408">
        <v>-120.99036000000001</v>
      </c>
      <c r="EA479" s="408">
        <v>0</v>
      </c>
      <c r="EB479" s="408">
        <v>0</v>
      </c>
      <c r="EC479" s="408">
        <v>327.89795504976701</v>
      </c>
      <c r="ED479" s="408">
        <v>0</v>
      </c>
      <c r="EE479" s="408">
        <v>0</v>
      </c>
      <c r="EF479" s="408">
        <v>0</v>
      </c>
      <c r="EG479" s="408">
        <v>0</v>
      </c>
      <c r="EH479" s="408">
        <v>0</v>
      </c>
      <c r="EI479" s="408">
        <v>0</v>
      </c>
      <c r="EJ479" s="408">
        <v>0</v>
      </c>
      <c r="EK479" s="408">
        <v>0</v>
      </c>
      <c r="EL479" s="408">
        <v>0</v>
      </c>
      <c r="EM479" s="408">
        <v>0</v>
      </c>
      <c r="EN479" s="408">
        <v>0</v>
      </c>
      <c r="EO479" s="408">
        <v>0</v>
      </c>
      <c r="EP479" s="408">
        <v>-88.081106075946039</v>
      </c>
      <c r="EQ479" s="408">
        <v>0</v>
      </c>
      <c r="ER479" s="408">
        <v>0</v>
      </c>
      <c r="ES479" s="408">
        <v>0</v>
      </c>
      <c r="ET479" s="408">
        <v>0</v>
      </c>
      <c r="EU479" s="408">
        <v>0</v>
      </c>
      <c r="EV479" s="408">
        <v>240</v>
      </c>
      <c r="EW479" s="408">
        <v>0</v>
      </c>
      <c r="EX479" s="408">
        <v>0</v>
      </c>
      <c r="EY479" s="408">
        <v>0</v>
      </c>
      <c r="EZ479" s="408"/>
      <c r="FA479" s="408">
        <v>0</v>
      </c>
      <c r="FB479" s="408"/>
      <c r="FC479" s="408"/>
      <c r="FD479" s="408"/>
      <c r="FE479" s="408"/>
      <c r="FF479" s="408">
        <v>0</v>
      </c>
      <c r="FG479" s="408">
        <v>0</v>
      </c>
      <c r="FH479" s="408">
        <v>0</v>
      </c>
      <c r="FI479" s="408">
        <v>0</v>
      </c>
    </row>
    <row r="480" spans="1:165">
      <c r="A480" s="408">
        <v>478</v>
      </c>
      <c r="B480" s="408" t="s">
        <v>2238</v>
      </c>
      <c r="C480" s="408" t="s">
        <v>2235</v>
      </c>
      <c r="D480" s="408" t="s">
        <v>1955</v>
      </c>
      <c r="E480" s="408" t="s">
        <v>969</v>
      </c>
      <c r="F480" s="408" t="s">
        <v>969</v>
      </c>
      <c r="G480" s="408" t="s">
        <v>1322</v>
      </c>
      <c r="H480" s="408" t="s">
        <v>1322</v>
      </c>
      <c r="I480" s="408" t="s">
        <v>1322</v>
      </c>
      <c r="J480" s="408" t="s">
        <v>2236</v>
      </c>
      <c r="K480" s="826">
        <v>44593</v>
      </c>
      <c r="L480" s="408">
        <v>0</v>
      </c>
      <c r="M480" s="408">
        <v>0</v>
      </c>
      <c r="N480" s="408">
        <v>193.273</v>
      </c>
      <c r="O480" s="408">
        <v>193.273</v>
      </c>
      <c r="P480" s="408">
        <v>193.273</v>
      </c>
      <c r="Q480" s="408">
        <v>193.273</v>
      </c>
      <c r="R480" s="408"/>
      <c r="S480" s="408">
        <v>368.24</v>
      </c>
      <c r="T480" s="408">
        <v>173.25</v>
      </c>
      <c r="U480" s="408"/>
      <c r="V480" s="408">
        <v>104655.39676999999</v>
      </c>
      <c r="W480" s="408">
        <v>104655.39676999999</v>
      </c>
      <c r="X480" s="408">
        <v>98354.696970000005</v>
      </c>
      <c r="Y480" s="408">
        <v>0</v>
      </c>
      <c r="Z480" s="408">
        <v>11895.022192491915</v>
      </c>
      <c r="AA480" s="408">
        <v>0</v>
      </c>
      <c r="AB480" s="408">
        <v>0</v>
      </c>
      <c r="AC480" s="408">
        <v>494.68946512261073</v>
      </c>
      <c r="AD480" s="408">
        <v>475.2856477856788</v>
      </c>
      <c r="AE480" s="408">
        <v>45522.963048069258</v>
      </c>
      <c r="AF480" s="408">
        <v>32922.213771435199</v>
      </c>
      <c r="AG480" s="408">
        <v>561.88974614829908</v>
      </c>
      <c r="AH480" s="408">
        <v>0</v>
      </c>
      <c r="AI480" s="408">
        <v>0</v>
      </c>
      <c r="AJ480" s="408">
        <v>0</v>
      </c>
      <c r="AK480" s="408">
        <v>0</v>
      </c>
      <c r="AL480" s="408">
        <v>1837.8388087895139</v>
      </c>
      <c r="AM480" s="408"/>
      <c r="AN480" s="408">
        <v>233.44609075502595</v>
      </c>
      <c r="AO480" s="408">
        <v>1050.1286576994448</v>
      </c>
      <c r="AP480" s="408">
        <v>4896.5950085599879</v>
      </c>
      <c r="AQ480" s="408">
        <v>0</v>
      </c>
      <c r="AR480" s="408">
        <v>0</v>
      </c>
      <c r="AS480" s="408">
        <v>0</v>
      </c>
      <c r="AT480" s="408">
        <v>0</v>
      </c>
      <c r="AU480" s="408">
        <v>0</v>
      </c>
      <c r="AV480" s="408">
        <v>0</v>
      </c>
      <c r="AW480" s="408">
        <v>0</v>
      </c>
      <c r="AX480" s="408">
        <v>0</v>
      </c>
      <c r="AY480" s="408">
        <v>0</v>
      </c>
      <c r="AZ480" s="408">
        <v>0</v>
      </c>
      <c r="BA480" s="408"/>
      <c r="BB480" s="408">
        <v>0</v>
      </c>
      <c r="BC480" s="408">
        <v>0</v>
      </c>
      <c r="BD480" s="408">
        <v>0</v>
      </c>
      <c r="BE480" s="408">
        <v>0</v>
      </c>
      <c r="BF480" s="408">
        <v>0</v>
      </c>
      <c r="BG480" s="408">
        <v>1727.820385400179</v>
      </c>
      <c r="BH480" s="408">
        <v>0</v>
      </c>
      <c r="BI480" s="408">
        <v>82.14</v>
      </c>
      <c r="BJ480" s="408">
        <v>759.62</v>
      </c>
      <c r="BK480" s="408">
        <v>100669.11</v>
      </c>
      <c r="BL480" s="408">
        <v>1434</v>
      </c>
      <c r="BM480" s="408"/>
      <c r="BN480" s="408"/>
      <c r="BO480" s="408"/>
      <c r="BP480" s="408"/>
      <c r="BQ480" s="408"/>
      <c r="BR480" s="408"/>
      <c r="BS480" s="408"/>
      <c r="BT480" s="408"/>
      <c r="BU480" s="408"/>
      <c r="BV480" s="408">
        <v>34650.034156835376</v>
      </c>
      <c r="BW480" s="408"/>
      <c r="BX480" s="408"/>
      <c r="BY480" s="408"/>
      <c r="BZ480" s="408"/>
      <c r="CA480" s="408"/>
      <c r="CB480" s="408"/>
      <c r="CC480" s="408"/>
      <c r="CD480" s="408"/>
      <c r="CE480" s="408"/>
      <c r="CF480" s="408"/>
      <c r="CG480" s="408"/>
      <c r="CH480" s="408"/>
      <c r="CI480" s="408">
        <v>98353.170300000013</v>
      </c>
      <c r="CJ480" s="408">
        <v>-6302.2564699999639</v>
      </c>
      <c r="CK480" s="408"/>
      <c r="CL480" s="408"/>
      <c r="CM480" s="408"/>
      <c r="CN480" s="408"/>
      <c r="CO480" s="408">
        <v>-10473.46387</v>
      </c>
      <c r="CP480" s="408">
        <v>4172.7640700000002</v>
      </c>
      <c r="CQ480" s="408">
        <v>29</v>
      </c>
      <c r="CR480" s="408">
        <v>5007.1608892837321</v>
      </c>
      <c r="CS480" s="408">
        <v>104.64307614999484</v>
      </c>
      <c r="CT480" s="408">
        <v>487.93522641211894</v>
      </c>
      <c r="CU480" s="408">
        <v>0</v>
      </c>
      <c r="CV480" s="408">
        <v>0</v>
      </c>
      <c r="CW480" s="408">
        <v>0</v>
      </c>
      <c r="CX480" s="408">
        <v>0</v>
      </c>
      <c r="CY480" s="408">
        <v>0</v>
      </c>
      <c r="CZ480" s="408">
        <v>489.38673747690478</v>
      </c>
      <c r="DA480" s="408">
        <v>0</v>
      </c>
      <c r="DB480" s="408">
        <v>0</v>
      </c>
      <c r="DC480" s="408">
        <v>4172.2929408061682</v>
      </c>
      <c r="DD480" s="408">
        <v>0</v>
      </c>
      <c r="DE480" s="408">
        <v>0</v>
      </c>
      <c r="DF480" s="408">
        <v>0</v>
      </c>
      <c r="DG480" s="408">
        <v>218.96986779307031</v>
      </c>
      <c r="DH480" s="408">
        <v>0</v>
      </c>
      <c r="DI480" s="408">
        <v>-403.91731295465615</v>
      </c>
      <c r="DJ480" s="408"/>
      <c r="DK480" s="408">
        <v>0</v>
      </c>
      <c r="DL480" s="408">
        <v>0</v>
      </c>
      <c r="DM480" s="408">
        <v>0</v>
      </c>
      <c r="DN480" s="408">
        <v>0</v>
      </c>
      <c r="DO480" s="408">
        <v>-55.545122694162501</v>
      </c>
      <c r="DP480" s="408">
        <v>-6.6045237056956694</v>
      </c>
      <c r="DQ480" s="408">
        <v>0</v>
      </c>
      <c r="DR480" s="408">
        <v>0</v>
      </c>
      <c r="DS480" s="408"/>
      <c r="DT480" s="408"/>
      <c r="DU480" s="408"/>
      <c r="DV480" s="408">
        <v>45522.963048069258</v>
      </c>
      <c r="DW480" s="408">
        <v>0</v>
      </c>
      <c r="DX480" s="408">
        <v>0</v>
      </c>
      <c r="DY480" s="408">
        <v>-10473.46387</v>
      </c>
      <c r="DZ480" s="408">
        <v>4172.7640700000047</v>
      </c>
      <c r="EA480" s="408">
        <v>0</v>
      </c>
      <c r="EB480" s="408">
        <v>0</v>
      </c>
      <c r="EC480" s="408">
        <v>-11308.676207411416</v>
      </c>
      <c r="ED480" s="408">
        <v>0</v>
      </c>
      <c r="EE480" s="408">
        <v>0</v>
      </c>
      <c r="EF480" s="408">
        <v>0</v>
      </c>
      <c r="EG480" s="408">
        <v>0</v>
      </c>
      <c r="EH480" s="408">
        <v>0</v>
      </c>
      <c r="EI480" s="408">
        <v>0</v>
      </c>
      <c r="EJ480" s="408">
        <v>0</v>
      </c>
      <c r="EK480" s="408">
        <v>0</v>
      </c>
      <c r="EL480" s="408">
        <v>0</v>
      </c>
      <c r="EM480" s="408">
        <v>0</v>
      </c>
      <c r="EN480" s="408">
        <v>0</v>
      </c>
      <c r="EO480" s="408">
        <v>0</v>
      </c>
      <c r="EP480" s="408">
        <v>3037.7765193819268</v>
      </c>
      <c r="EQ480" s="408">
        <v>0</v>
      </c>
      <c r="ER480" s="408">
        <v>0</v>
      </c>
      <c r="ES480" s="408">
        <v>0</v>
      </c>
      <c r="ET480" s="408">
        <v>0</v>
      </c>
      <c r="EU480" s="408">
        <v>0</v>
      </c>
      <c r="EV480" s="408">
        <v>240</v>
      </c>
      <c r="EW480" s="408">
        <v>0</v>
      </c>
      <c r="EX480" s="408">
        <v>0</v>
      </c>
      <c r="EY480" s="408">
        <v>0</v>
      </c>
      <c r="EZ480" s="408"/>
      <c r="FA480" s="408">
        <v>0</v>
      </c>
      <c r="FB480" s="408"/>
      <c r="FC480" s="408"/>
      <c r="FD480" s="408"/>
      <c r="FE480" s="408"/>
      <c r="FF480" s="408">
        <v>0</v>
      </c>
      <c r="FG480" s="408">
        <v>0</v>
      </c>
      <c r="FH480" s="408">
        <v>0</v>
      </c>
      <c r="FI480" s="408">
        <v>0</v>
      </c>
    </row>
    <row r="481" spans="1:165">
      <c r="A481" s="408">
        <v>479</v>
      </c>
      <c r="B481" s="408" t="s">
        <v>1036</v>
      </c>
      <c r="C481" s="408" t="s">
        <v>2235</v>
      </c>
      <c r="D481" s="408" t="s">
        <v>1955</v>
      </c>
      <c r="E481" s="408" t="s">
        <v>969</v>
      </c>
      <c r="F481" s="408" t="s">
        <v>2239</v>
      </c>
      <c r="G481" s="408" t="s">
        <v>1322</v>
      </c>
      <c r="H481" s="408" t="s">
        <v>1322</v>
      </c>
      <c r="I481" s="408" t="s">
        <v>1322</v>
      </c>
      <c r="J481" s="408" t="s">
        <v>2236</v>
      </c>
      <c r="K481" s="826">
        <v>44593</v>
      </c>
      <c r="L481" s="408">
        <v>0</v>
      </c>
      <c r="M481" s="408">
        <v>0</v>
      </c>
      <c r="N481" s="408">
        <v>54.814</v>
      </c>
      <c r="O481" s="408">
        <v>54.814</v>
      </c>
      <c r="P481" s="408">
        <v>54.814</v>
      </c>
      <c r="Q481" s="408">
        <v>54.814</v>
      </c>
      <c r="R481" s="408"/>
      <c r="S481" s="408">
        <v>281.47000000000003</v>
      </c>
      <c r="T481" s="408">
        <v>173.25</v>
      </c>
      <c r="U481" s="408"/>
      <c r="V481" s="408">
        <v>24925.022080000002</v>
      </c>
      <c r="W481" s="408">
        <v>24925.022080000002</v>
      </c>
      <c r="X481" s="408">
        <v>23268.542999999998</v>
      </c>
      <c r="Y481" s="408">
        <v>0</v>
      </c>
      <c r="Z481" s="408">
        <v>0</v>
      </c>
      <c r="AA481" s="408">
        <v>0</v>
      </c>
      <c r="AB481" s="408">
        <v>0</v>
      </c>
      <c r="AC481" s="408">
        <v>140.29848111857726</v>
      </c>
      <c r="AD481" s="408">
        <v>134.79538009822477</v>
      </c>
      <c r="AE481" s="408">
        <v>12910.73091697686</v>
      </c>
      <c r="AF481" s="408">
        <v>9337.0425546633469</v>
      </c>
      <c r="AG481" s="408">
        <v>159.3570987430881</v>
      </c>
      <c r="AH481" s="408">
        <v>0</v>
      </c>
      <c r="AI481" s="408">
        <v>0</v>
      </c>
      <c r="AJ481" s="408">
        <v>0</v>
      </c>
      <c r="AK481" s="408">
        <v>0</v>
      </c>
      <c r="AL481" s="408">
        <v>0</v>
      </c>
      <c r="AM481" s="408"/>
      <c r="AN481" s="408">
        <v>66.207457941078133</v>
      </c>
      <c r="AO481" s="408">
        <v>297.82614355413006</v>
      </c>
      <c r="AP481" s="408">
        <v>1388.7193700061941</v>
      </c>
      <c r="AQ481" s="408">
        <v>0</v>
      </c>
      <c r="AR481" s="408">
        <v>0</v>
      </c>
      <c r="AS481" s="408">
        <v>0</v>
      </c>
      <c r="AT481" s="408">
        <v>0</v>
      </c>
      <c r="AU481" s="408">
        <v>0</v>
      </c>
      <c r="AV481" s="408">
        <v>0</v>
      </c>
      <c r="AW481" s="408">
        <v>0</v>
      </c>
      <c r="AX481" s="408">
        <v>0</v>
      </c>
      <c r="AY481" s="408">
        <v>0</v>
      </c>
      <c r="AZ481" s="408">
        <v>0</v>
      </c>
      <c r="BA481" s="408"/>
      <c r="BB481" s="408">
        <v>0</v>
      </c>
      <c r="BC481" s="408">
        <v>0</v>
      </c>
      <c r="BD481" s="408">
        <v>0</v>
      </c>
      <c r="BE481" s="408">
        <v>0</v>
      </c>
      <c r="BF481" s="408">
        <v>0</v>
      </c>
      <c r="BG481" s="408">
        <v>490.02574909752224</v>
      </c>
      <c r="BH481" s="408">
        <v>0</v>
      </c>
      <c r="BI481" s="408">
        <v>0</v>
      </c>
      <c r="BJ481" s="408">
        <v>54.74</v>
      </c>
      <c r="BK481" s="408">
        <v>2597</v>
      </c>
      <c r="BL481" s="408">
        <v>105</v>
      </c>
      <c r="BM481" s="408"/>
      <c r="BN481" s="408"/>
      <c r="BO481" s="408"/>
      <c r="BP481" s="408"/>
      <c r="BQ481" s="408"/>
      <c r="BR481" s="408"/>
      <c r="BS481" s="408"/>
      <c r="BT481" s="408">
        <v>15124.827020000001</v>
      </c>
      <c r="BU481" s="408"/>
      <c r="BV481" s="408">
        <v>9827.0683037608687</v>
      </c>
      <c r="BW481" s="408"/>
      <c r="BX481" s="408"/>
      <c r="BY481" s="408"/>
      <c r="BZ481" s="408"/>
      <c r="CA481" s="408"/>
      <c r="CB481" s="408"/>
      <c r="CC481" s="408"/>
      <c r="CD481" s="408"/>
      <c r="CE481" s="408"/>
      <c r="CF481" s="408"/>
      <c r="CG481" s="408"/>
      <c r="CH481" s="408"/>
      <c r="CI481" s="408">
        <v>8143.1216999999997</v>
      </c>
      <c r="CJ481" s="408">
        <v>-581.10454000000027</v>
      </c>
      <c r="CK481" s="408"/>
      <c r="CL481" s="408"/>
      <c r="CM481" s="408"/>
      <c r="CN481" s="408"/>
      <c r="CO481" s="408">
        <v>-2839.9133400000019</v>
      </c>
      <c r="CP481" s="408">
        <v>1183.4342600000002</v>
      </c>
      <c r="CQ481" s="408">
        <v>29</v>
      </c>
      <c r="CR481" s="408">
        <v>1550.3846421013459</v>
      </c>
      <c r="CS481" s="408">
        <v>29.677738618874912</v>
      </c>
      <c r="CT481" s="408">
        <v>138.38291691314316</v>
      </c>
      <c r="CU481" s="408">
        <v>0</v>
      </c>
      <c r="CV481" s="408">
        <v>0</v>
      </c>
      <c r="CW481" s="408">
        <v>0</v>
      </c>
      <c r="CX481" s="408">
        <v>0</v>
      </c>
      <c r="CY481" s="408">
        <v>0</v>
      </c>
      <c r="CZ481" s="408">
        <v>138.79457879817181</v>
      </c>
      <c r="DA481" s="408">
        <v>0</v>
      </c>
      <c r="DB481" s="408">
        <v>0</v>
      </c>
      <c r="DC481" s="408">
        <v>1183.3006434284634</v>
      </c>
      <c r="DD481" s="408">
        <v>0</v>
      </c>
      <c r="DE481" s="408">
        <v>0</v>
      </c>
      <c r="DF481" s="408">
        <v>0</v>
      </c>
      <c r="DG481" s="408">
        <v>62.10186799609545</v>
      </c>
      <c r="DH481" s="408">
        <v>0</v>
      </c>
      <c r="DI481" s="408">
        <v>0</v>
      </c>
      <c r="DJ481" s="408"/>
      <c r="DK481" s="408">
        <v>0</v>
      </c>
      <c r="DL481" s="408">
        <v>0</v>
      </c>
      <c r="DM481" s="408">
        <v>0</v>
      </c>
      <c r="DN481" s="408">
        <v>0</v>
      </c>
      <c r="DO481" s="408">
        <v>0</v>
      </c>
      <c r="DP481" s="408">
        <v>-1.873103653402211</v>
      </c>
      <c r="DQ481" s="408">
        <v>0</v>
      </c>
      <c r="DR481" s="408">
        <v>0</v>
      </c>
      <c r="DS481" s="408"/>
      <c r="DT481" s="408"/>
      <c r="DU481" s="408"/>
      <c r="DV481" s="408">
        <v>12910.73091697686</v>
      </c>
      <c r="DW481" s="408">
        <v>0</v>
      </c>
      <c r="DX481" s="408">
        <v>0</v>
      </c>
      <c r="DY481" s="408">
        <v>-2839.913340000001</v>
      </c>
      <c r="DZ481" s="408">
        <v>1183.43426</v>
      </c>
      <c r="EA481" s="408">
        <v>0</v>
      </c>
      <c r="EB481" s="408">
        <v>0</v>
      </c>
      <c r="EC481" s="408">
        <v>-3207.2445589039835</v>
      </c>
      <c r="ED481" s="408">
        <v>0</v>
      </c>
      <c r="EE481" s="408">
        <v>0</v>
      </c>
      <c r="EF481" s="408">
        <v>0</v>
      </c>
      <c r="EG481" s="408">
        <v>0</v>
      </c>
      <c r="EH481" s="408">
        <v>0</v>
      </c>
      <c r="EI481" s="408">
        <v>0</v>
      </c>
      <c r="EJ481" s="408">
        <v>0</v>
      </c>
      <c r="EK481" s="408">
        <v>0</v>
      </c>
      <c r="EL481" s="408">
        <v>0</v>
      </c>
      <c r="EM481" s="408">
        <v>0</v>
      </c>
      <c r="EN481" s="408">
        <v>0</v>
      </c>
      <c r="EO481" s="408">
        <v>0</v>
      </c>
      <c r="EP481" s="408">
        <v>0</v>
      </c>
      <c r="EQ481" s="408">
        <v>0</v>
      </c>
      <c r="ER481" s="408">
        <v>0</v>
      </c>
      <c r="ES481" s="408">
        <v>0</v>
      </c>
      <c r="ET481" s="408">
        <v>0</v>
      </c>
      <c r="EU481" s="408">
        <v>0</v>
      </c>
      <c r="EV481" s="408">
        <v>240</v>
      </c>
      <c r="EW481" s="408">
        <v>0</v>
      </c>
      <c r="EX481" s="408">
        <v>0</v>
      </c>
      <c r="EY481" s="408">
        <v>0</v>
      </c>
      <c r="EZ481" s="408"/>
      <c r="FA481" s="408">
        <v>0</v>
      </c>
      <c r="FB481" s="408"/>
      <c r="FC481" s="408"/>
      <c r="FD481" s="408"/>
      <c r="FE481" s="408"/>
      <c r="FF481" s="408">
        <v>0</v>
      </c>
      <c r="FG481" s="408">
        <v>0</v>
      </c>
      <c r="FH481" s="408">
        <v>0</v>
      </c>
      <c r="FI481" s="408">
        <v>0</v>
      </c>
    </row>
    <row r="482" spans="1:165">
      <c r="A482" s="408">
        <v>480</v>
      </c>
      <c r="B482" s="408" t="s">
        <v>2238</v>
      </c>
      <c r="C482" s="408" t="s">
        <v>2235</v>
      </c>
      <c r="D482" s="408" t="s">
        <v>1955</v>
      </c>
      <c r="E482" s="408" t="s">
        <v>969</v>
      </c>
      <c r="F482" s="408" t="s">
        <v>2239</v>
      </c>
      <c r="G482" s="408" t="s">
        <v>1322</v>
      </c>
      <c r="H482" s="408" t="s">
        <v>1322</v>
      </c>
      <c r="I482" s="408" t="s">
        <v>1322</v>
      </c>
      <c r="J482" s="408" t="s">
        <v>2236</v>
      </c>
      <c r="K482" s="826">
        <v>44593</v>
      </c>
      <c r="L482" s="408">
        <v>0</v>
      </c>
      <c r="M482" s="408">
        <v>0</v>
      </c>
      <c r="N482" s="408">
        <v>0.17199999999999999</v>
      </c>
      <c r="O482" s="408">
        <v>-0.94599999999999995</v>
      </c>
      <c r="P482" s="408">
        <v>0.17199999999999999</v>
      </c>
      <c r="Q482" s="408">
        <v>-0.94599999999999995</v>
      </c>
      <c r="R482" s="408"/>
      <c r="S482" s="408">
        <v>281.47000000000003</v>
      </c>
      <c r="T482" s="408">
        <v>173.25</v>
      </c>
      <c r="U482" s="408"/>
      <c r="V482" s="408">
        <v>78.211839999999995</v>
      </c>
      <c r="W482" s="408">
        <v>78.211839999999995</v>
      </c>
      <c r="X482" s="408">
        <v>73.013999999999996</v>
      </c>
      <c r="Y482" s="408">
        <v>0</v>
      </c>
      <c r="Z482" s="408">
        <v>0</v>
      </c>
      <c r="AA482" s="408">
        <v>0</v>
      </c>
      <c r="AB482" s="408">
        <v>0</v>
      </c>
      <c r="AC482" s="408">
        <v>0.44024042675950098</v>
      </c>
      <c r="AD482" s="408">
        <v>0.42297233146449192</v>
      </c>
      <c r="AE482" s="408">
        <v>40.512382196519496</v>
      </c>
      <c r="AF482" s="408">
        <v>29.298560940673834</v>
      </c>
      <c r="AG482" s="408">
        <v>0.50004416725309497</v>
      </c>
      <c r="AH482" s="408">
        <v>0</v>
      </c>
      <c r="AI482" s="408">
        <v>0</v>
      </c>
      <c r="AJ482" s="408">
        <v>0</v>
      </c>
      <c r="AK482" s="408">
        <v>0</v>
      </c>
      <c r="AL482" s="408">
        <v>0</v>
      </c>
      <c r="AM482" s="408"/>
      <c r="AN482" s="408">
        <v>0.20775135487038782</v>
      </c>
      <c r="AO482" s="408">
        <v>0.93454403421225163</v>
      </c>
      <c r="AP482" s="408">
        <v>4.3576409610877764</v>
      </c>
      <c r="AQ482" s="408">
        <v>0</v>
      </c>
      <c r="AR482" s="408">
        <v>0</v>
      </c>
      <c r="AS482" s="408">
        <v>0</v>
      </c>
      <c r="AT482" s="408">
        <v>0</v>
      </c>
      <c r="AU482" s="408">
        <v>0</v>
      </c>
      <c r="AV482" s="408">
        <v>0</v>
      </c>
      <c r="AW482" s="408">
        <v>0</v>
      </c>
      <c r="AX482" s="408">
        <v>0</v>
      </c>
      <c r="AY482" s="408">
        <v>0</v>
      </c>
      <c r="AZ482" s="408">
        <v>0</v>
      </c>
      <c r="BA482" s="408"/>
      <c r="BB482" s="408">
        <v>0</v>
      </c>
      <c r="BC482" s="408">
        <v>0</v>
      </c>
      <c r="BD482" s="408">
        <v>0</v>
      </c>
      <c r="BE482" s="408">
        <v>0</v>
      </c>
      <c r="BF482" s="408">
        <v>0</v>
      </c>
      <c r="BG482" s="408">
        <v>1.5376441939061885</v>
      </c>
      <c r="BH482" s="408">
        <v>0</v>
      </c>
      <c r="BI482" s="408">
        <v>0</v>
      </c>
      <c r="BJ482" s="408">
        <v>0.17</v>
      </c>
      <c r="BK482" s="408">
        <v>11.95</v>
      </c>
      <c r="BL482" s="408">
        <v>0</v>
      </c>
      <c r="BM482" s="408"/>
      <c r="BN482" s="408"/>
      <c r="BO482" s="408"/>
      <c r="BP482" s="408"/>
      <c r="BQ482" s="408"/>
      <c r="BR482" s="408"/>
      <c r="BS482" s="408"/>
      <c r="BT482" s="408">
        <v>213.56121999999999</v>
      </c>
      <c r="BU482" s="408"/>
      <c r="BV482" s="408">
        <v>30.836205134580023</v>
      </c>
      <c r="BW482" s="408"/>
      <c r="BX482" s="408"/>
      <c r="BY482" s="408"/>
      <c r="BZ482" s="408"/>
      <c r="CA482" s="408"/>
      <c r="CB482" s="408"/>
      <c r="CC482" s="408"/>
      <c r="CD482" s="408"/>
      <c r="CE482" s="408"/>
      <c r="CF482" s="408"/>
      <c r="CG482" s="408"/>
      <c r="CH482" s="408"/>
      <c r="CI482" s="408">
        <v>-141.14149999999998</v>
      </c>
      <c r="CJ482" s="408">
        <v>9.3938600000000179</v>
      </c>
      <c r="CK482" s="408"/>
      <c r="CL482" s="408"/>
      <c r="CM482" s="408"/>
      <c r="CN482" s="408"/>
      <c r="CO482" s="408">
        <v>-8.9113200000000052</v>
      </c>
      <c r="CP482" s="408">
        <v>3.7134800000000001</v>
      </c>
      <c r="CQ482" s="408">
        <v>29</v>
      </c>
      <c r="CR482" s="408">
        <v>4.8649279096842264</v>
      </c>
      <c r="CS482" s="408">
        <v>9.3125315474997028E-2</v>
      </c>
      <c r="CT482" s="408">
        <v>0.43422960756486706</v>
      </c>
      <c r="CU482" s="408">
        <v>0</v>
      </c>
      <c r="CV482" s="408">
        <v>0</v>
      </c>
      <c r="CW482" s="408">
        <v>0</v>
      </c>
      <c r="CX482" s="408">
        <v>0</v>
      </c>
      <c r="CY482" s="408">
        <v>0</v>
      </c>
      <c r="CZ482" s="408">
        <v>0.43552135500575667</v>
      </c>
      <c r="DA482" s="408">
        <v>0</v>
      </c>
      <c r="DB482" s="408">
        <v>0</v>
      </c>
      <c r="DC482" s="408">
        <v>3.7130607266336249</v>
      </c>
      <c r="DD482" s="408">
        <v>0</v>
      </c>
      <c r="DE482" s="408">
        <v>0</v>
      </c>
      <c r="DF482" s="408">
        <v>0</v>
      </c>
      <c r="DG482" s="408">
        <v>0.19486848789229794</v>
      </c>
      <c r="DH482" s="408">
        <v>0</v>
      </c>
      <c r="DI482" s="408">
        <v>0</v>
      </c>
      <c r="DJ482" s="408"/>
      <c r="DK482" s="408">
        <v>0</v>
      </c>
      <c r="DL482" s="408">
        <v>0</v>
      </c>
      <c r="DM482" s="408">
        <v>0</v>
      </c>
      <c r="DN482" s="408">
        <v>0</v>
      </c>
      <c r="DO482" s="408">
        <v>0</v>
      </c>
      <c r="DP482" s="408">
        <v>-5.8775828873130764E-3</v>
      </c>
      <c r="DQ482" s="408">
        <v>0</v>
      </c>
      <c r="DR482" s="408">
        <v>0</v>
      </c>
      <c r="DS482" s="408"/>
      <c r="DT482" s="408"/>
      <c r="DU482" s="408"/>
      <c r="DV482" s="408">
        <v>40.512382196519496</v>
      </c>
      <c r="DW482" s="408">
        <v>0</v>
      </c>
      <c r="DX482" s="408">
        <v>0</v>
      </c>
      <c r="DY482" s="408">
        <v>-8.9113200000000035</v>
      </c>
      <c r="DZ482" s="408">
        <v>3.7134800000000006</v>
      </c>
      <c r="EA482" s="408">
        <v>0</v>
      </c>
      <c r="EB482" s="408">
        <v>0</v>
      </c>
      <c r="EC482" s="408">
        <v>-10.063962931577429</v>
      </c>
      <c r="ED482" s="408">
        <v>0</v>
      </c>
      <c r="EE482" s="408">
        <v>0</v>
      </c>
      <c r="EF482" s="408">
        <v>0</v>
      </c>
      <c r="EG482" s="408">
        <v>0</v>
      </c>
      <c r="EH482" s="408">
        <v>0</v>
      </c>
      <c r="EI482" s="408">
        <v>0</v>
      </c>
      <c r="EJ482" s="408">
        <v>0</v>
      </c>
      <c r="EK482" s="408">
        <v>0</v>
      </c>
      <c r="EL482" s="408">
        <v>0</v>
      </c>
      <c r="EM482" s="408">
        <v>0</v>
      </c>
      <c r="EN482" s="408">
        <v>0</v>
      </c>
      <c r="EO482" s="408">
        <v>0</v>
      </c>
      <c r="EP482" s="408">
        <v>0</v>
      </c>
      <c r="EQ482" s="408">
        <v>0</v>
      </c>
      <c r="ER482" s="408">
        <v>0</v>
      </c>
      <c r="ES482" s="408">
        <v>0</v>
      </c>
      <c r="ET482" s="408">
        <v>0</v>
      </c>
      <c r="EU482" s="408">
        <v>0</v>
      </c>
      <c r="EV482" s="408">
        <v>240</v>
      </c>
      <c r="EW482" s="408">
        <v>0</v>
      </c>
      <c r="EX482" s="408">
        <v>0</v>
      </c>
      <c r="EY482" s="408">
        <v>0</v>
      </c>
      <c r="EZ482" s="408"/>
      <c r="FA482" s="408">
        <v>0</v>
      </c>
      <c r="FB482" s="408"/>
      <c r="FC482" s="408"/>
      <c r="FD482" s="408"/>
      <c r="FE482" s="408"/>
      <c r="FF482" s="408">
        <v>0</v>
      </c>
      <c r="FG482" s="408">
        <v>0</v>
      </c>
      <c r="FH482" s="408">
        <v>0</v>
      </c>
      <c r="FI482" s="408">
        <v>0</v>
      </c>
    </row>
    <row r="483" spans="1:165">
      <c r="A483" s="408">
        <v>481</v>
      </c>
      <c r="B483" s="408" t="s">
        <v>1036</v>
      </c>
      <c r="C483" s="408" t="s">
        <v>2235</v>
      </c>
      <c r="D483" s="408" t="s">
        <v>1955</v>
      </c>
      <c r="E483" s="408" t="s">
        <v>969</v>
      </c>
      <c r="F483" s="408" t="s">
        <v>2240</v>
      </c>
      <c r="G483" s="408" t="s">
        <v>1322</v>
      </c>
      <c r="H483" s="408" t="s">
        <v>1322</v>
      </c>
      <c r="I483" s="408" t="s">
        <v>1322</v>
      </c>
      <c r="J483" s="408" t="s">
        <v>2236</v>
      </c>
      <c r="K483" s="826">
        <v>44593</v>
      </c>
      <c r="L483" s="408">
        <v>0</v>
      </c>
      <c r="M483" s="408">
        <v>0</v>
      </c>
      <c r="N483" s="408">
        <v>115.078</v>
      </c>
      <c r="O483" s="408">
        <v>115.078</v>
      </c>
      <c r="P483" s="408">
        <v>115.078</v>
      </c>
      <c r="Q483" s="408">
        <v>115.078</v>
      </c>
      <c r="R483" s="408"/>
      <c r="S483" s="408">
        <v>281.47000000000003</v>
      </c>
      <c r="T483" s="408">
        <v>173.25</v>
      </c>
      <c r="U483" s="408"/>
      <c r="V483" s="408">
        <v>52328.268160000007</v>
      </c>
      <c r="W483" s="408">
        <v>52328.268160000007</v>
      </c>
      <c r="X483" s="408">
        <v>48850.611000000004</v>
      </c>
      <c r="Y483" s="408">
        <v>0</v>
      </c>
      <c r="Z483" s="408">
        <v>0</v>
      </c>
      <c r="AA483" s="408">
        <v>0</v>
      </c>
      <c r="AB483" s="408">
        <v>0</v>
      </c>
      <c r="AC483" s="408">
        <v>294.54644087575502</v>
      </c>
      <c r="AD483" s="408">
        <v>282.99308116436515</v>
      </c>
      <c r="AE483" s="408">
        <v>27105.139060529484</v>
      </c>
      <c r="AF483" s="408">
        <v>19602.440674016649</v>
      </c>
      <c r="AG483" s="408">
        <v>334.55862022762602</v>
      </c>
      <c r="AH483" s="408">
        <v>0</v>
      </c>
      <c r="AI483" s="408">
        <v>0</v>
      </c>
      <c r="AJ483" s="408">
        <v>0</v>
      </c>
      <c r="AK483" s="408">
        <v>0</v>
      </c>
      <c r="AL483" s="408">
        <v>0</v>
      </c>
      <c r="AM483" s="408"/>
      <c r="AN483" s="408">
        <v>138.99773497543308</v>
      </c>
      <c r="AO483" s="408">
        <v>625.26429284347387</v>
      </c>
      <c r="AP483" s="408">
        <v>2915.5151541863906</v>
      </c>
      <c r="AQ483" s="408">
        <v>0</v>
      </c>
      <c r="AR483" s="408">
        <v>0</v>
      </c>
      <c r="AS483" s="408">
        <v>0</v>
      </c>
      <c r="AT483" s="408">
        <v>0</v>
      </c>
      <c r="AU483" s="408">
        <v>0</v>
      </c>
      <c r="AV483" s="408">
        <v>0</v>
      </c>
      <c r="AW483" s="408">
        <v>0</v>
      </c>
      <c r="AX483" s="408">
        <v>0</v>
      </c>
      <c r="AY483" s="408">
        <v>0</v>
      </c>
      <c r="AZ483" s="408">
        <v>0</v>
      </c>
      <c r="BA483" s="408"/>
      <c r="BB483" s="408">
        <v>0</v>
      </c>
      <c r="BC483" s="408">
        <v>0</v>
      </c>
      <c r="BD483" s="408">
        <v>0</v>
      </c>
      <c r="BE483" s="408">
        <v>0</v>
      </c>
      <c r="BF483" s="408">
        <v>0</v>
      </c>
      <c r="BG483" s="408">
        <v>1028.7733636414905</v>
      </c>
      <c r="BH483" s="408">
        <v>0</v>
      </c>
      <c r="BI483" s="408">
        <v>16.45</v>
      </c>
      <c r="BJ483" s="408">
        <v>179.79</v>
      </c>
      <c r="BK483" s="408">
        <v>9804.67</v>
      </c>
      <c r="BL483" s="408">
        <v>207</v>
      </c>
      <c r="BM483" s="408"/>
      <c r="BN483" s="408"/>
      <c r="BO483" s="408"/>
      <c r="BP483" s="408"/>
      <c r="BQ483" s="408"/>
      <c r="BR483" s="408"/>
      <c r="BS483" s="408"/>
      <c r="BT483" s="408">
        <v>19541.39518</v>
      </c>
      <c r="BU483" s="408"/>
      <c r="BV483" s="408">
        <v>20631.214037658137</v>
      </c>
      <c r="BW483" s="408"/>
      <c r="BX483" s="408"/>
      <c r="BY483" s="408"/>
      <c r="BZ483" s="408"/>
      <c r="CA483" s="408"/>
      <c r="CB483" s="408"/>
      <c r="CC483" s="408"/>
      <c r="CD483" s="408"/>
      <c r="CE483" s="408"/>
      <c r="CF483" s="408"/>
      <c r="CG483" s="408"/>
      <c r="CH483" s="408"/>
      <c r="CI483" s="408">
        <v>29309.725200000001</v>
      </c>
      <c r="CJ483" s="408">
        <v>-2087.0355399999971</v>
      </c>
      <c r="CK483" s="408"/>
      <c r="CL483" s="408"/>
      <c r="CM483" s="408"/>
      <c r="CN483" s="408"/>
      <c r="CO483" s="408">
        <v>-5962.1911800000034</v>
      </c>
      <c r="CP483" s="408">
        <v>2484.5340200000005</v>
      </c>
      <c r="CQ483" s="408">
        <v>29</v>
      </c>
      <c r="CR483" s="408">
        <v>3254.9196162246735</v>
      </c>
      <c r="CS483" s="408">
        <v>62.306250315300645</v>
      </c>
      <c r="CT483" s="408">
        <v>290.52485336831251</v>
      </c>
      <c r="CU483" s="408">
        <v>0</v>
      </c>
      <c r="CV483" s="408">
        <v>0</v>
      </c>
      <c r="CW483" s="408">
        <v>0</v>
      </c>
      <c r="CX483" s="408">
        <v>0</v>
      </c>
      <c r="CY483" s="408">
        <v>0</v>
      </c>
      <c r="CZ483" s="408">
        <v>291.38910750786323</v>
      </c>
      <c r="DA483" s="408">
        <v>0</v>
      </c>
      <c r="DB483" s="408">
        <v>0</v>
      </c>
      <c r="DC483" s="408">
        <v>2484.2535017415394</v>
      </c>
      <c r="DD483" s="408">
        <v>0</v>
      </c>
      <c r="DE483" s="408">
        <v>0</v>
      </c>
      <c r="DF483" s="408">
        <v>0</v>
      </c>
      <c r="DG483" s="408">
        <v>130.3783479631968</v>
      </c>
      <c r="DH483" s="408">
        <v>0</v>
      </c>
      <c r="DI483" s="408">
        <v>0</v>
      </c>
      <c r="DJ483" s="408"/>
      <c r="DK483" s="408">
        <v>0</v>
      </c>
      <c r="DL483" s="408">
        <v>0</v>
      </c>
      <c r="DM483" s="408">
        <v>0</v>
      </c>
      <c r="DN483" s="408">
        <v>0</v>
      </c>
      <c r="DO483" s="408">
        <v>0</v>
      </c>
      <c r="DP483" s="408">
        <v>-3.9324446715477563</v>
      </c>
      <c r="DQ483" s="408">
        <v>0</v>
      </c>
      <c r="DR483" s="408">
        <v>0</v>
      </c>
      <c r="DS483" s="408"/>
      <c r="DT483" s="408"/>
      <c r="DU483" s="408"/>
      <c r="DV483" s="408">
        <v>27105.139060529484</v>
      </c>
      <c r="DW483" s="408">
        <v>0</v>
      </c>
      <c r="DX483" s="408">
        <v>0</v>
      </c>
      <c r="DY483" s="408">
        <v>-5962.1911800000016</v>
      </c>
      <c r="DZ483" s="408">
        <v>2484.5340199999991</v>
      </c>
      <c r="EA483" s="408">
        <v>0</v>
      </c>
      <c r="EB483" s="408">
        <v>0</v>
      </c>
      <c r="EC483" s="408">
        <v>-6733.3763153492291</v>
      </c>
      <c r="ED483" s="408">
        <v>0</v>
      </c>
      <c r="EE483" s="408">
        <v>0</v>
      </c>
      <c r="EF483" s="408">
        <v>0</v>
      </c>
      <c r="EG483" s="408">
        <v>0</v>
      </c>
      <c r="EH483" s="408">
        <v>0</v>
      </c>
      <c r="EI483" s="408">
        <v>0</v>
      </c>
      <c r="EJ483" s="408">
        <v>0</v>
      </c>
      <c r="EK483" s="408">
        <v>0</v>
      </c>
      <c r="EL483" s="408">
        <v>0</v>
      </c>
      <c r="EM483" s="408">
        <v>0</v>
      </c>
      <c r="EN483" s="408">
        <v>0</v>
      </c>
      <c r="EO483" s="408">
        <v>0</v>
      </c>
      <c r="EP483" s="408">
        <v>0</v>
      </c>
      <c r="EQ483" s="408">
        <v>0</v>
      </c>
      <c r="ER483" s="408">
        <v>0</v>
      </c>
      <c r="ES483" s="408">
        <v>0</v>
      </c>
      <c r="ET483" s="408">
        <v>0</v>
      </c>
      <c r="EU483" s="408">
        <v>0</v>
      </c>
      <c r="EV483" s="408">
        <v>240</v>
      </c>
      <c r="EW483" s="408">
        <v>0</v>
      </c>
      <c r="EX483" s="408">
        <v>0</v>
      </c>
      <c r="EY483" s="408">
        <v>0</v>
      </c>
      <c r="EZ483" s="408"/>
      <c r="FA483" s="408">
        <v>0</v>
      </c>
      <c r="FB483" s="408"/>
      <c r="FC483" s="408"/>
      <c r="FD483" s="408"/>
      <c r="FE483" s="408"/>
      <c r="FF483" s="408">
        <v>0</v>
      </c>
      <c r="FG483" s="408">
        <v>0</v>
      </c>
      <c r="FH483" s="408">
        <v>0</v>
      </c>
      <c r="FI483" s="408">
        <v>0</v>
      </c>
    </row>
    <row r="484" spans="1:165">
      <c r="A484" s="408">
        <v>482</v>
      </c>
      <c r="B484" s="408" t="s">
        <v>2238</v>
      </c>
      <c r="C484" s="408" t="s">
        <v>2235</v>
      </c>
      <c r="D484" s="408" t="s">
        <v>1955</v>
      </c>
      <c r="E484" s="408" t="s">
        <v>969</v>
      </c>
      <c r="F484" s="408" t="s">
        <v>2240</v>
      </c>
      <c r="G484" s="408" t="s">
        <v>1322</v>
      </c>
      <c r="H484" s="408" t="s">
        <v>1322</v>
      </c>
      <c r="I484" s="408" t="s">
        <v>1322</v>
      </c>
      <c r="J484" s="408" t="s">
        <v>2236</v>
      </c>
      <c r="K484" s="826">
        <v>44593</v>
      </c>
      <c r="L484" s="408">
        <v>0</v>
      </c>
      <c r="M484" s="408">
        <v>0</v>
      </c>
      <c r="N484" s="408">
        <v>0.14000000000000001</v>
      </c>
      <c r="O484" s="408">
        <v>-0.42</v>
      </c>
      <c r="P484" s="408">
        <v>0.14000000000000001</v>
      </c>
      <c r="Q484" s="408">
        <v>-0.42</v>
      </c>
      <c r="R484" s="408"/>
      <c r="S484" s="408">
        <v>281.47000000000003</v>
      </c>
      <c r="T484" s="408">
        <v>173.25</v>
      </c>
      <c r="U484" s="408"/>
      <c r="V484" s="408">
        <v>63.660800000000009</v>
      </c>
      <c r="W484" s="408">
        <v>63.660800000000009</v>
      </c>
      <c r="X484" s="408">
        <v>59.430000000000007</v>
      </c>
      <c r="Y484" s="408">
        <v>0</v>
      </c>
      <c r="Z484" s="408">
        <v>0</v>
      </c>
      <c r="AA484" s="408">
        <v>0</v>
      </c>
      <c r="AB484" s="408">
        <v>0</v>
      </c>
      <c r="AC484" s="408">
        <v>0.35833523108331483</v>
      </c>
      <c r="AD484" s="408">
        <v>0.34427980468040048</v>
      </c>
      <c r="AE484" s="408">
        <v>32.975194811120524</v>
      </c>
      <c r="AF484" s="408">
        <v>23.847665881943822</v>
      </c>
      <c r="AG484" s="408">
        <v>0.40701269427577508</v>
      </c>
      <c r="AH484" s="408">
        <v>0</v>
      </c>
      <c r="AI484" s="408">
        <v>0</v>
      </c>
      <c r="AJ484" s="408">
        <v>0</v>
      </c>
      <c r="AK484" s="408">
        <v>0</v>
      </c>
      <c r="AL484" s="408">
        <v>0</v>
      </c>
      <c r="AM484" s="408"/>
      <c r="AN484" s="408">
        <v>0.1690999400107808</v>
      </c>
      <c r="AO484" s="408">
        <v>0.760675376684391</v>
      </c>
      <c r="AP484" s="408">
        <v>3.5469170613505163</v>
      </c>
      <c r="AQ484" s="408">
        <v>0</v>
      </c>
      <c r="AR484" s="408">
        <v>0</v>
      </c>
      <c r="AS484" s="408">
        <v>0</v>
      </c>
      <c r="AT484" s="408">
        <v>0</v>
      </c>
      <c r="AU484" s="408">
        <v>0</v>
      </c>
      <c r="AV484" s="408">
        <v>0</v>
      </c>
      <c r="AW484" s="408">
        <v>0</v>
      </c>
      <c r="AX484" s="408">
        <v>0</v>
      </c>
      <c r="AY484" s="408">
        <v>0</v>
      </c>
      <c r="AZ484" s="408">
        <v>0</v>
      </c>
      <c r="BA484" s="408"/>
      <c r="BB484" s="408">
        <v>0</v>
      </c>
      <c r="BC484" s="408">
        <v>0</v>
      </c>
      <c r="BD484" s="408">
        <v>0</v>
      </c>
      <c r="BE484" s="408">
        <v>0</v>
      </c>
      <c r="BF484" s="408">
        <v>0</v>
      </c>
      <c r="BG484" s="408">
        <v>1.2515708555050373</v>
      </c>
      <c r="BH484" s="408">
        <v>0</v>
      </c>
      <c r="BI484" s="408">
        <v>0.02</v>
      </c>
      <c r="BJ484" s="408">
        <v>0.22</v>
      </c>
      <c r="BK484" s="408">
        <v>35.93</v>
      </c>
      <c r="BL484" s="408">
        <v>0</v>
      </c>
      <c r="BM484" s="408"/>
      <c r="BN484" s="408"/>
      <c r="BO484" s="408"/>
      <c r="BP484" s="408"/>
      <c r="BQ484" s="408"/>
      <c r="BR484" s="408"/>
      <c r="BS484" s="408"/>
      <c r="BT484" s="408">
        <v>166.3998</v>
      </c>
      <c r="BU484" s="408"/>
      <c r="BV484" s="408">
        <v>25.099236737448859</v>
      </c>
      <c r="BW484" s="408"/>
      <c r="BX484" s="408"/>
      <c r="BY484" s="408"/>
      <c r="BZ484" s="408"/>
      <c r="CA484" s="408"/>
      <c r="CB484" s="408"/>
      <c r="CC484" s="408"/>
      <c r="CD484" s="408"/>
      <c r="CE484" s="408"/>
      <c r="CF484" s="408"/>
      <c r="CG484" s="408"/>
      <c r="CH484" s="408"/>
      <c r="CI484" s="408">
        <v>-106.96979999999999</v>
      </c>
      <c r="CJ484" s="408">
        <v>7.5887999999999778</v>
      </c>
      <c r="CK484" s="408"/>
      <c r="CL484" s="408"/>
      <c r="CM484" s="408"/>
      <c r="CN484" s="408"/>
      <c r="CO484" s="408">
        <v>-7.2534000000000054</v>
      </c>
      <c r="CP484" s="408">
        <v>3.0226000000000006</v>
      </c>
      <c r="CQ484" s="408">
        <v>29</v>
      </c>
      <c r="CR484" s="408">
        <v>3.9598250427662407</v>
      </c>
      <c r="CS484" s="408">
        <v>7.5799675386625465E-2</v>
      </c>
      <c r="CT484" s="408">
        <v>0.35344270383186815</v>
      </c>
      <c r="CU484" s="408">
        <v>0</v>
      </c>
      <c r="CV484" s="408">
        <v>0</v>
      </c>
      <c r="CW484" s="408">
        <v>0</v>
      </c>
      <c r="CX484" s="408">
        <v>0</v>
      </c>
      <c r="CY484" s="408">
        <v>0</v>
      </c>
      <c r="CZ484" s="408">
        <v>0.35449412616747639</v>
      </c>
      <c r="DA484" s="408">
        <v>0</v>
      </c>
      <c r="DB484" s="408">
        <v>0</v>
      </c>
      <c r="DC484" s="408">
        <v>3.0222587309808588</v>
      </c>
      <c r="DD484" s="408">
        <v>0</v>
      </c>
      <c r="DE484" s="408">
        <v>0</v>
      </c>
      <c r="DF484" s="408">
        <v>0</v>
      </c>
      <c r="DG484" s="408">
        <v>0.1586138854937309</v>
      </c>
      <c r="DH484" s="408">
        <v>0</v>
      </c>
      <c r="DI484" s="408">
        <v>0</v>
      </c>
      <c r="DJ484" s="408"/>
      <c r="DK484" s="408">
        <v>0</v>
      </c>
      <c r="DL484" s="408">
        <v>0</v>
      </c>
      <c r="DM484" s="408">
        <v>0</v>
      </c>
      <c r="DN484" s="408">
        <v>0</v>
      </c>
      <c r="DO484" s="408">
        <v>0</v>
      </c>
      <c r="DP484" s="408">
        <v>-4.7840790943246003E-3</v>
      </c>
      <c r="DQ484" s="408">
        <v>0</v>
      </c>
      <c r="DR484" s="408">
        <v>0</v>
      </c>
      <c r="DS484" s="408"/>
      <c r="DT484" s="408"/>
      <c r="DU484" s="408"/>
      <c r="DV484" s="408">
        <v>32.975194811120524</v>
      </c>
      <c r="DW484" s="408">
        <v>0</v>
      </c>
      <c r="DX484" s="408">
        <v>0</v>
      </c>
      <c r="DY484" s="408">
        <v>-7.2534000000000063</v>
      </c>
      <c r="DZ484" s="408">
        <v>3.0226000000000006</v>
      </c>
      <c r="EA484" s="408">
        <v>0</v>
      </c>
      <c r="EB484" s="408">
        <v>0</v>
      </c>
      <c r="EC484" s="408">
        <v>-8.1915977350048834</v>
      </c>
      <c r="ED484" s="408">
        <v>0</v>
      </c>
      <c r="EE484" s="408">
        <v>0</v>
      </c>
      <c r="EF484" s="408">
        <v>0</v>
      </c>
      <c r="EG484" s="408">
        <v>0</v>
      </c>
      <c r="EH484" s="408">
        <v>0</v>
      </c>
      <c r="EI484" s="408">
        <v>0</v>
      </c>
      <c r="EJ484" s="408">
        <v>0</v>
      </c>
      <c r="EK484" s="408">
        <v>0</v>
      </c>
      <c r="EL484" s="408">
        <v>0</v>
      </c>
      <c r="EM484" s="408">
        <v>0</v>
      </c>
      <c r="EN484" s="408">
        <v>0</v>
      </c>
      <c r="EO484" s="408">
        <v>0</v>
      </c>
      <c r="EP484" s="408">
        <v>0</v>
      </c>
      <c r="EQ484" s="408">
        <v>0</v>
      </c>
      <c r="ER484" s="408">
        <v>0</v>
      </c>
      <c r="ES484" s="408">
        <v>0</v>
      </c>
      <c r="ET484" s="408">
        <v>0</v>
      </c>
      <c r="EU484" s="408">
        <v>0</v>
      </c>
      <c r="EV484" s="408">
        <v>240</v>
      </c>
      <c r="EW484" s="408">
        <v>0</v>
      </c>
      <c r="EX484" s="408">
        <v>0</v>
      </c>
      <c r="EY484" s="408">
        <v>0</v>
      </c>
      <c r="EZ484" s="408"/>
      <c r="FA484" s="408">
        <v>0</v>
      </c>
      <c r="FB484" s="408"/>
      <c r="FC484" s="408"/>
      <c r="FD484" s="408"/>
      <c r="FE484" s="408"/>
      <c r="FF484" s="408">
        <v>0</v>
      </c>
      <c r="FG484" s="408">
        <v>0</v>
      </c>
      <c r="FH484" s="408">
        <v>0</v>
      </c>
      <c r="FI484" s="408">
        <v>0</v>
      </c>
    </row>
    <row r="485" spans="1:165">
      <c r="A485" s="408">
        <v>483</v>
      </c>
      <c r="B485" s="408" t="s">
        <v>1036</v>
      </c>
      <c r="C485" s="408" t="s">
        <v>2235</v>
      </c>
      <c r="D485" s="408" t="s">
        <v>1955</v>
      </c>
      <c r="E485" s="408" t="s">
        <v>969</v>
      </c>
      <c r="F485" s="408" t="s">
        <v>2241</v>
      </c>
      <c r="G485" s="408" t="s">
        <v>1322</v>
      </c>
      <c r="H485" s="408" t="s">
        <v>1322</v>
      </c>
      <c r="I485" s="408" t="s">
        <v>1322</v>
      </c>
      <c r="J485" s="408" t="s">
        <v>2236</v>
      </c>
      <c r="K485" s="826">
        <v>44593</v>
      </c>
      <c r="L485" s="408">
        <v>0</v>
      </c>
      <c r="M485" s="408">
        <v>0</v>
      </c>
      <c r="N485" s="408">
        <v>140.626</v>
      </c>
      <c r="O485" s="408">
        <v>140.626</v>
      </c>
      <c r="P485" s="408">
        <v>140.626</v>
      </c>
      <c r="Q485" s="408">
        <v>140.626</v>
      </c>
      <c r="R485" s="408"/>
      <c r="S485" s="408">
        <v>281.47000000000003</v>
      </c>
      <c r="T485" s="408">
        <v>173.25</v>
      </c>
      <c r="U485" s="408"/>
      <c r="V485" s="408">
        <v>63945.454720000002</v>
      </c>
      <c r="W485" s="408">
        <v>63945.454720000002</v>
      </c>
      <c r="X485" s="408">
        <v>59695.737000000001</v>
      </c>
      <c r="Y485" s="408">
        <v>0</v>
      </c>
      <c r="Z485" s="408">
        <v>0</v>
      </c>
      <c r="AA485" s="408">
        <v>0</v>
      </c>
      <c r="AB485" s="408">
        <v>0</v>
      </c>
      <c r="AC485" s="408">
        <v>359.93750147373021</v>
      </c>
      <c r="AD485" s="408">
        <v>345.81922723561422</v>
      </c>
      <c r="AE485" s="408">
        <v>33122.641039347393</v>
      </c>
      <c r="AF485" s="408">
        <v>23954.299016530225</v>
      </c>
      <c r="AG485" s="408">
        <v>408.83262246589385</v>
      </c>
      <c r="AH485" s="408">
        <v>0</v>
      </c>
      <c r="AI485" s="408">
        <v>0</v>
      </c>
      <c r="AJ485" s="408">
        <v>0</v>
      </c>
      <c r="AK485" s="408">
        <v>0</v>
      </c>
      <c r="AL485" s="408">
        <v>0</v>
      </c>
      <c r="AM485" s="408"/>
      <c r="AN485" s="408">
        <v>169.85605831397186</v>
      </c>
      <c r="AO485" s="408">
        <v>764.07668229727972</v>
      </c>
      <c r="AP485" s="408">
        <v>3562.7768476391261</v>
      </c>
      <c r="AQ485" s="408">
        <v>0</v>
      </c>
      <c r="AR485" s="408">
        <v>0</v>
      </c>
      <c r="AS485" s="408">
        <v>0</v>
      </c>
      <c r="AT485" s="408">
        <v>0</v>
      </c>
      <c r="AU485" s="408">
        <v>0</v>
      </c>
      <c r="AV485" s="408">
        <v>0</v>
      </c>
      <c r="AW485" s="408">
        <v>0</v>
      </c>
      <c r="AX485" s="408">
        <v>0</v>
      </c>
      <c r="AY485" s="408">
        <v>0</v>
      </c>
      <c r="AZ485" s="408">
        <v>0</v>
      </c>
      <c r="BA485" s="408"/>
      <c r="BB485" s="408">
        <v>0</v>
      </c>
      <c r="BC485" s="408">
        <v>0</v>
      </c>
      <c r="BD485" s="408">
        <v>0</v>
      </c>
      <c r="BE485" s="408">
        <v>0</v>
      </c>
      <c r="BF485" s="408">
        <v>0</v>
      </c>
      <c r="BG485" s="408">
        <v>1257.1671651875099</v>
      </c>
      <c r="BH485" s="408">
        <v>0</v>
      </c>
      <c r="BI485" s="408">
        <v>36.32</v>
      </c>
      <c r="BJ485" s="408">
        <v>315.29000000000002</v>
      </c>
      <c r="BK485" s="408">
        <v>18020.8</v>
      </c>
      <c r="BL485" s="408">
        <v>706</v>
      </c>
      <c r="BM485" s="408"/>
      <c r="BN485" s="408"/>
      <c r="BO485" s="408"/>
      <c r="BP485" s="408"/>
      <c r="BQ485" s="408"/>
      <c r="BR485" s="408"/>
      <c r="BS485" s="408"/>
      <c r="BT485" s="408">
        <v>5970.9799600000015</v>
      </c>
      <c r="BU485" s="408"/>
      <c r="BV485" s="408">
        <v>25211.466181717737</v>
      </c>
      <c r="BW485" s="408"/>
      <c r="BX485" s="408"/>
      <c r="BY485" s="408"/>
      <c r="BZ485" s="408"/>
      <c r="CA485" s="408"/>
      <c r="CB485" s="408"/>
      <c r="CC485" s="408"/>
      <c r="CD485" s="408"/>
      <c r="CE485" s="408"/>
      <c r="CF485" s="408"/>
      <c r="CG485" s="408"/>
      <c r="CH485" s="408"/>
      <c r="CI485" s="408">
        <v>53726.285199999998</v>
      </c>
      <c r="CJ485" s="408">
        <v>-3823.5290400000085</v>
      </c>
      <c r="CK485" s="408"/>
      <c r="CL485" s="408"/>
      <c r="CM485" s="408"/>
      <c r="CN485" s="408"/>
      <c r="CO485" s="408">
        <v>-7285.8330600000045</v>
      </c>
      <c r="CP485" s="408">
        <v>3036.1153400000007</v>
      </c>
      <c r="CQ485" s="408">
        <v>29</v>
      </c>
      <c r="CR485" s="408">
        <v>3977.5311176003197</v>
      </c>
      <c r="CS485" s="408">
        <v>76.13860822085428</v>
      </c>
      <c r="CT485" s="408">
        <v>355.02309763614539</v>
      </c>
      <c r="CU485" s="408">
        <v>0</v>
      </c>
      <c r="CV485" s="408">
        <v>0</v>
      </c>
      <c r="CW485" s="408">
        <v>0</v>
      </c>
      <c r="CX485" s="408">
        <v>0</v>
      </c>
      <c r="CY485" s="408">
        <v>0</v>
      </c>
      <c r="CZ485" s="408">
        <v>356.07922133162526</v>
      </c>
      <c r="DA485" s="408">
        <v>0</v>
      </c>
      <c r="DB485" s="408">
        <v>0</v>
      </c>
      <c r="DC485" s="408">
        <v>3035.7725450208163</v>
      </c>
      <c r="DD485" s="408">
        <v>0</v>
      </c>
      <c r="DE485" s="408">
        <v>0</v>
      </c>
      <c r="DF485" s="408">
        <v>0</v>
      </c>
      <c r="DG485" s="408">
        <v>159.3231161531528</v>
      </c>
      <c r="DH485" s="408">
        <v>0</v>
      </c>
      <c r="DI485" s="408">
        <v>0</v>
      </c>
      <c r="DJ485" s="408"/>
      <c r="DK485" s="408">
        <v>0</v>
      </c>
      <c r="DL485" s="408">
        <v>0</v>
      </c>
      <c r="DM485" s="408">
        <v>0</v>
      </c>
      <c r="DN485" s="408">
        <v>0</v>
      </c>
      <c r="DO485" s="408">
        <v>0</v>
      </c>
      <c r="DP485" s="408">
        <v>-4.805470762274922</v>
      </c>
      <c r="DQ485" s="408">
        <v>0</v>
      </c>
      <c r="DR485" s="408">
        <v>0</v>
      </c>
      <c r="DS485" s="408"/>
      <c r="DT485" s="408"/>
      <c r="DU485" s="408"/>
      <c r="DV485" s="408">
        <v>33122.641039347393</v>
      </c>
      <c r="DW485" s="408">
        <v>0</v>
      </c>
      <c r="DX485" s="408">
        <v>0</v>
      </c>
      <c r="DY485" s="408">
        <v>-7285.8330600000008</v>
      </c>
      <c r="DZ485" s="408">
        <v>3036.1153400000003</v>
      </c>
      <c r="EA485" s="408">
        <v>0</v>
      </c>
      <c r="EB485" s="408">
        <v>0</v>
      </c>
      <c r="EC485" s="408">
        <v>-8228.2258791628374</v>
      </c>
      <c r="ED485" s="408">
        <v>0</v>
      </c>
      <c r="EE485" s="408">
        <v>0</v>
      </c>
      <c r="EF485" s="408">
        <v>0</v>
      </c>
      <c r="EG485" s="408">
        <v>0</v>
      </c>
      <c r="EH485" s="408">
        <v>0</v>
      </c>
      <c r="EI485" s="408">
        <v>0</v>
      </c>
      <c r="EJ485" s="408">
        <v>0</v>
      </c>
      <c r="EK485" s="408">
        <v>0</v>
      </c>
      <c r="EL485" s="408">
        <v>0</v>
      </c>
      <c r="EM485" s="408">
        <v>0</v>
      </c>
      <c r="EN485" s="408">
        <v>0</v>
      </c>
      <c r="EO485" s="408">
        <v>0</v>
      </c>
      <c r="EP485" s="408">
        <v>0</v>
      </c>
      <c r="EQ485" s="408">
        <v>0</v>
      </c>
      <c r="ER485" s="408">
        <v>0</v>
      </c>
      <c r="ES485" s="408">
        <v>0</v>
      </c>
      <c r="ET485" s="408">
        <v>0</v>
      </c>
      <c r="EU485" s="408">
        <v>0</v>
      </c>
      <c r="EV485" s="408">
        <v>240</v>
      </c>
      <c r="EW485" s="408">
        <v>0</v>
      </c>
      <c r="EX485" s="408">
        <v>0</v>
      </c>
      <c r="EY485" s="408">
        <v>0</v>
      </c>
      <c r="EZ485" s="408"/>
      <c r="FA485" s="408">
        <v>0</v>
      </c>
      <c r="FB485" s="408"/>
      <c r="FC485" s="408"/>
      <c r="FD485" s="408"/>
      <c r="FE485" s="408"/>
      <c r="FF485" s="408">
        <v>0</v>
      </c>
      <c r="FG485" s="408">
        <v>0</v>
      </c>
      <c r="FH485" s="408">
        <v>0</v>
      </c>
      <c r="FI485" s="408">
        <v>0</v>
      </c>
    </row>
    <row r="486" spans="1:165">
      <c r="A486" s="408">
        <v>484</v>
      </c>
      <c r="B486" s="408" t="s">
        <v>2238</v>
      </c>
      <c r="C486" s="408" t="s">
        <v>2235</v>
      </c>
      <c r="D486" s="408" t="s">
        <v>1955</v>
      </c>
      <c r="E486" s="408" t="s">
        <v>969</v>
      </c>
      <c r="F486" s="408" t="s">
        <v>2241</v>
      </c>
      <c r="G486" s="408" t="s">
        <v>1322</v>
      </c>
      <c r="H486" s="408" t="s">
        <v>1322</v>
      </c>
      <c r="I486" s="408" t="s">
        <v>1322</v>
      </c>
      <c r="J486" s="408" t="s">
        <v>2236</v>
      </c>
      <c r="K486" s="826">
        <v>44593</v>
      </c>
      <c r="L486" s="408">
        <v>0</v>
      </c>
      <c r="M486" s="408">
        <v>0</v>
      </c>
      <c r="N486" s="408">
        <v>0.161</v>
      </c>
      <c r="O486" s="408">
        <v>0</v>
      </c>
      <c r="P486" s="408">
        <v>0.161</v>
      </c>
      <c r="Q486" s="408">
        <v>0</v>
      </c>
      <c r="R486" s="408"/>
      <c r="S486" s="408">
        <v>281.47000000000003</v>
      </c>
      <c r="T486" s="408">
        <v>173.25</v>
      </c>
      <c r="U486" s="408"/>
      <c r="V486" s="408">
        <v>73.209920000000011</v>
      </c>
      <c r="W486" s="408">
        <v>73.209920000000011</v>
      </c>
      <c r="X486" s="408">
        <v>68.344499999999996</v>
      </c>
      <c r="Y486" s="408">
        <v>0</v>
      </c>
      <c r="Z486" s="408">
        <v>0</v>
      </c>
      <c r="AA486" s="408">
        <v>0</v>
      </c>
      <c r="AB486" s="408">
        <v>0</v>
      </c>
      <c r="AC486" s="408">
        <v>0.41208551574581204</v>
      </c>
      <c r="AD486" s="408">
        <v>0.39592177538246048</v>
      </c>
      <c r="AE486" s="408">
        <v>37.921474032788602</v>
      </c>
      <c r="AF486" s="408">
        <v>27.424815764235394</v>
      </c>
      <c r="AG486" s="408">
        <v>0.46806459841714132</v>
      </c>
      <c r="AH486" s="408">
        <v>0</v>
      </c>
      <c r="AI486" s="408">
        <v>0</v>
      </c>
      <c r="AJ486" s="408">
        <v>0</v>
      </c>
      <c r="AK486" s="408">
        <v>0</v>
      </c>
      <c r="AL486" s="408">
        <v>0</v>
      </c>
      <c r="AM486" s="408"/>
      <c r="AN486" s="408">
        <v>0.19446493101239792</v>
      </c>
      <c r="AO486" s="408">
        <v>0.8747766831870496</v>
      </c>
      <c r="AP486" s="408">
        <v>4.0789546205530938</v>
      </c>
      <c r="AQ486" s="408">
        <v>0</v>
      </c>
      <c r="AR486" s="408">
        <v>0</v>
      </c>
      <c r="AS486" s="408">
        <v>0</v>
      </c>
      <c r="AT486" s="408">
        <v>0</v>
      </c>
      <c r="AU486" s="408">
        <v>0</v>
      </c>
      <c r="AV486" s="408">
        <v>0</v>
      </c>
      <c r="AW486" s="408">
        <v>0</v>
      </c>
      <c r="AX486" s="408">
        <v>0</v>
      </c>
      <c r="AY486" s="408">
        <v>0</v>
      </c>
      <c r="AZ486" s="408">
        <v>0</v>
      </c>
      <c r="BA486" s="408"/>
      <c r="BB486" s="408">
        <v>0</v>
      </c>
      <c r="BC486" s="408">
        <v>0</v>
      </c>
      <c r="BD486" s="408">
        <v>0</v>
      </c>
      <c r="BE486" s="408">
        <v>0</v>
      </c>
      <c r="BF486" s="408">
        <v>0</v>
      </c>
      <c r="BG486" s="408">
        <v>1.439306483830793</v>
      </c>
      <c r="BH486" s="408">
        <v>0</v>
      </c>
      <c r="BI486" s="408">
        <v>0.04</v>
      </c>
      <c r="BJ486" s="408">
        <v>0.36</v>
      </c>
      <c r="BK486" s="408">
        <v>92.2</v>
      </c>
      <c r="BL486" s="408">
        <v>1</v>
      </c>
      <c r="BM486" s="408"/>
      <c r="BN486" s="408"/>
      <c r="BO486" s="408"/>
      <c r="BP486" s="408"/>
      <c r="BQ486" s="408"/>
      <c r="BR486" s="408"/>
      <c r="BS486" s="408"/>
      <c r="BT486" s="408">
        <v>68.344499999999996</v>
      </c>
      <c r="BU486" s="408"/>
      <c r="BV486" s="408">
        <v>28.864122248066188</v>
      </c>
      <c r="BW486" s="408"/>
      <c r="BX486" s="408"/>
      <c r="BY486" s="408"/>
      <c r="BZ486" s="408"/>
      <c r="CA486" s="408"/>
      <c r="CB486" s="408"/>
      <c r="CC486" s="408"/>
      <c r="CD486" s="408"/>
      <c r="CE486" s="408"/>
      <c r="CF486" s="408"/>
      <c r="CG486" s="408"/>
      <c r="CH486" s="408"/>
      <c r="CI486" s="408">
        <v>0</v>
      </c>
      <c r="CJ486" s="408">
        <v>-0.03</v>
      </c>
      <c r="CK486" s="408"/>
      <c r="CL486" s="408"/>
      <c r="CM486" s="408"/>
      <c r="CN486" s="408"/>
      <c r="CO486" s="408">
        <v>-8.3414100000000051</v>
      </c>
      <c r="CP486" s="408">
        <v>3.4759900000000008</v>
      </c>
      <c r="CQ486" s="408">
        <v>29</v>
      </c>
      <c r="CR486" s="408">
        <v>4.5537987991811733</v>
      </c>
      <c r="CS486" s="408">
        <v>8.7169626694619251E-2</v>
      </c>
      <c r="CT486" s="408">
        <v>0.40645910940664809</v>
      </c>
      <c r="CU486" s="408">
        <v>0</v>
      </c>
      <c r="CV486" s="408">
        <v>0</v>
      </c>
      <c r="CW486" s="408">
        <v>0</v>
      </c>
      <c r="CX486" s="408">
        <v>0</v>
      </c>
      <c r="CY486" s="408">
        <v>0</v>
      </c>
      <c r="CZ486" s="408">
        <v>0.40766824509259786</v>
      </c>
      <c r="DA486" s="408">
        <v>0</v>
      </c>
      <c r="DB486" s="408">
        <v>0</v>
      </c>
      <c r="DC486" s="408">
        <v>3.4755975406279873</v>
      </c>
      <c r="DD486" s="408">
        <v>0</v>
      </c>
      <c r="DE486" s="408">
        <v>0</v>
      </c>
      <c r="DF486" s="408">
        <v>0</v>
      </c>
      <c r="DG486" s="408">
        <v>0.18240596831779032</v>
      </c>
      <c r="DH486" s="408">
        <v>0</v>
      </c>
      <c r="DI486" s="408">
        <v>0</v>
      </c>
      <c r="DJ486" s="408"/>
      <c r="DK486" s="408">
        <v>0</v>
      </c>
      <c r="DL486" s="408">
        <v>0</v>
      </c>
      <c r="DM486" s="408">
        <v>0</v>
      </c>
      <c r="DN486" s="408">
        <v>0</v>
      </c>
      <c r="DO486" s="408">
        <v>0</v>
      </c>
      <c r="DP486" s="408">
        <v>-5.5016909584733042E-3</v>
      </c>
      <c r="DQ486" s="408">
        <v>0</v>
      </c>
      <c r="DR486" s="408">
        <v>0</v>
      </c>
      <c r="DS486" s="408"/>
      <c r="DT486" s="408"/>
      <c r="DU486" s="408"/>
      <c r="DV486" s="408">
        <v>37.921474032788602</v>
      </c>
      <c r="DW486" s="408">
        <v>0</v>
      </c>
      <c r="DX486" s="408">
        <v>0</v>
      </c>
      <c r="DY486" s="408">
        <v>-8.3414100000000104</v>
      </c>
      <c r="DZ486" s="408">
        <v>3.4759899999999995</v>
      </c>
      <c r="EA486" s="408">
        <v>0</v>
      </c>
      <c r="EB486" s="408">
        <v>0</v>
      </c>
      <c r="EC486" s="408">
        <v>-9.4203373952556184</v>
      </c>
      <c r="ED486" s="408">
        <v>0</v>
      </c>
      <c r="EE486" s="408">
        <v>0</v>
      </c>
      <c r="EF486" s="408">
        <v>0</v>
      </c>
      <c r="EG486" s="408">
        <v>0</v>
      </c>
      <c r="EH486" s="408">
        <v>0</v>
      </c>
      <c r="EI486" s="408">
        <v>0</v>
      </c>
      <c r="EJ486" s="408">
        <v>0</v>
      </c>
      <c r="EK486" s="408">
        <v>0</v>
      </c>
      <c r="EL486" s="408">
        <v>0</v>
      </c>
      <c r="EM486" s="408">
        <v>0</v>
      </c>
      <c r="EN486" s="408">
        <v>0</v>
      </c>
      <c r="EO486" s="408">
        <v>0</v>
      </c>
      <c r="EP486" s="408">
        <v>0</v>
      </c>
      <c r="EQ486" s="408">
        <v>0</v>
      </c>
      <c r="ER486" s="408">
        <v>0</v>
      </c>
      <c r="ES486" s="408">
        <v>0</v>
      </c>
      <c r="ET486" s="408">
        <v>0</v>
      </c>
      <c r="EU486" s="408">
        <v>0</v>
      </c>
      <c r="EV486" s="408">
        <v>240</v>
      </c>
      <c r="EW486" s="408">
        <v>0</v>
      </c>
      <c r="EX486" s="408">
        <v>0</v>
      </c>
      <c r="EY486" s="408">
        <v>0</v>
      </c>
      <c r="EZ486" s="408"/>
      <c r="FA486" s="408">
        <v>0</v>
      </c>
      <c r="FB486" s="408"/>
      <c r="FC486" s="408"/>
      <c r="FD486" s="408"/>
      <c r="FE486" s="408"/>
      <c r="FF486" s="408">
        <v>0</v>
      </c>
      <c r="FG486" s="408">
        <v>0</v>
      </c>
      <c r="FH486" s="408">
        <v>0</v>
      </c>
      <c r="FI486" s="408">
        <v>0</v>
      </c>
    </row>
    <row r="487" spans="1:165">
      <c r="A487" s="408">
        <v>485</v>
      </c>
      <c r="B487" s="408" t="s">
        <v>1036</v>
      </c>
      <c r="C487" s="408" t="s">
        <v>2235</v>
      </c>
      <c r="D487" s="408" t="s">
        <v>1955</v>
      </c>
      <c r="E487" s="408" t="s">
        <v>969</v>
      </c>
      <c r="F487" s="408" t="s">
        <v>2242</v>
      </c>
      <c r="G487" s="408" t="s">
        <v>1322</v>
      </c>
      <c r="H487" s="408" t="s">
        <v>1322</v>
      </c>
      <c r="I487" s="408" t="s">
        <v>1322</v>
      </c>
      <c r="J487" s="408" t="s">
        <v>2236</v>
      </c>
      <c r="K487" s="826">
        <v>44593</v>
      </c>
      <c r="L487" s="408">
        <v>0</v>
      </c>
      <c r="M487" s="408">
        <v>0</v>
      </c>
      <c r="N487" s="408">
        <v>108.628</v>
      </c>
      <c r="O487" s="408">
        <v>108.628</v>
      </c>
      <c r="P487" s="408">
        <v>108.628</v>
      </c>
      <c r="Q487" s="408">
        <v>108.628</v>
      </c>
      <c r="R487" s="408"/>
      <c r="S487" s="408">
        <v>281.47000000000003</v>
      </c>
      <c r="T487" s="408">
        <v>173.25</v>
      </c>
      <c r="U487" s="408"/>
      <c r="V487" s="408">
        <v>49395.324160000004</v>
      </c>
      <c r="W487" s="408">
        <v>49395.324160000004</v>
      </c>
      <c r="X487" s="408">
        <v>46112.585999999996</v>
      </c>
      <c r="Y487" s="408">
        <v>0</v>
      </c>
      <c r="Z487" s="408">
        <v>0</v>
      </c>
      <c r="AA487" s="408">
        <v>0</v>
      </c>
      <c r="AB487" s="408">
        <v>0</v>
      </c>
      <c r="AC487" s="408">
        <v>278.03742487227373</v>
      </c>
      <c r="AD487" s="408">
        <v>267.1316187344467</v>
      </c>
      <c r="AE487" s="408">
        <v>25585.92472816</v>
      </c>
      <c r="AF487" s="408">
        <v>18503.74463874138</v>
      </c>
      <c r="AG487" s="408">
        <v>315.80696395563496</v>
      </c>
      <c r="AH487" s="408">
        <v>0</v>
      </c>
      <c r="AI487" s="408">
        <v>0</v>
      </c>
      <c r="AJ487" s="408">
        <v>0</v>
      </c>
      <c r="AK487" s="408">
        <v>0</v>
      </c>
      <c r="AL487" s="408">
        <v>0</v>
      </c>
      <c r="AM487" s="408"/>
      <c r="AN487" s="408">
        <v>131.20705916779355</v>
      </c>
      <c r="AO487" s="408">
        <v>590.21889156051441</v>
      </c>
      <c r="AP487" s="408">
        <v>2752.1036181455988</v>
      </c>
      <c r="AQ487" s="408">
        <v>0</v>
      </c>
      <c r="AR487" s="408">
        <v>0</v>
      </c>
      <c r="AS487" s="408">
        <v>0</v>
      </c>
      <c r="AT487" s="408">
        <v>0</v>
      </c>
      <c r="AU487" s="408">
        <v>0</v>
      </c>
      <c r="AV487" s="408">
        <v>0</v>
      </c>
      <c r="AW487" s="408">
        <v>0</v>
      </c>
      <c r="AX487" s="408">
        <v>0</v>
      </c>
      <c r="AY487" s="408">
        <v>0</v>
      </c>
      <c r="AZ487" s="408">
        <v>0</v>
      </c>
      <c r="BA487" s="408"/>
      <c r="BB487" s="408">
        <v>0</v>
      </c>
      <c r="BC487" s="408">
        <v>0</v>
      </c>
      <c r="BD487" s="408">
        <v>0</v>
      </c>
      <c r="BE487" s="408">
        <v>0</v>
      </c>
      <c r="BF487" s="408">
        <v>0</v>
      </c>
      <c r="BG487" s="408">
        <v>971.11170637000851</v>
      </c>
      <c r="BH487" s="408">
        <v>0</v>
      </c>
      <c r="BI487" s="408">
        <v>34.89</v>
      </c>
      <c r="BJ487" s="408">
        <v>279.55</v>
      </c>
      <c r="BK487" s="408">
        <v>15471.82</v>
      </c>
      <c r="BL487" s="408">
        <v>807</v>
      </c>
      <c r="BM487" s="408"/>
      <c r="BN487" s="408"/>
      <c r="BO487" s="408"/>
      <c r="BP487" s="408"/>
      <c r="BQ487" s="408"/>
      <c r="BR487" s="408"/>
      <c r="BS487" s="408"/>
      <c r="BT487" s="408"/>
      <c r="BU487" s="408"/>
      <c r="BV487" s="408">
        <v>19474.856345111388</v>
      </c>
      <c r="BW487" s="408"/>
      <c r="BX487" s="408"/>
      <c r="BY487" s="408"/>
      <c r="BZ487" s="408"/>
      <c r="CA487" s="408"/>
      <c r="CB487" s="408"/>
      <c r="CC487" s="408"/>
      <c r="CD487" s="408"/>
      <c r="CE487" s="408"/>
      <c r="CF487" s="408"/>
      <c r="CG487" s="408"/>
      <c r="CH487" s="408"/>
      <c r="CI487" s="408">
        <v>46113.434999999998</v>
      </c>
      <c r="CJ487" s="408">
        <v>-3281.9191600000049</v>
      </c>
      <c r="CK487" s="408"/>
      <c r="CL487" s="408"/>
      <c r="CM487" s="408"/>
      <c r="CN487" s="408"/>
      <c r="CO487" s="408">
        <v>-5628.0166800000034</v>
      </c>
      <c r="CP487" s="408">
        <v>2345.2785200000003</v>
      </c>
      <c r="CQ487" s="408">
        <v>29</v>
      </c>
      <c r="CR487" s="408">
        <v>3072.4848196115017</v>
      </c>
      <c r="CS487" s="408">
        <v>58.814050984988285</v>
      </c>
      <c r="CT487" s="408">
        <v>274.24124308462979</v>
      </c>
      <c r="CU487" s="408">
        <v>0</v>
      </c>
      <c r="CV487" s="408">
        <v>0</v>
      </c>
      <c r="CW487" s="408">
        <v>0</v>
      </c>
      <c r="CX487" s="408">
        <v>0</v>
      </c>
      <c r="CY487" s="408">
        <v>0</v>
      </c>
      <c r="CZ487" s="408">
        <v>275.05705669514731</v>
      </c>
      <c r="DA487" s="408">
        <v>0</v>
      </c>
      <c r="DB487" s="408">
        <v>0</v>
      </c>
      <c r="DC487" s="408">
        <v>2345.0137244927755</v>
      </c>
      <c r="DD487" s="408">
        <v>0</v>
      </c>
      <c r="DE487" s="408">
        <v>0</v>
      </c>
      <c r="DF487" s="408">
        <v>0</v>
      </c>
      <c r="DG487" s="408">
        <v>123.07077966723568</v>
      </c>
      <c r="DH487" s="408">
        <v>0</v>
      </c>
      <c r="DI487" s="408">
        <v>0</v>
      </c>
      <c r="DJ487" s="408"/>
      <c r="DK487" s="408">
        <v>0</v>
      </c>
      <c r="DL487" s="408">
        <v>0</v>
      </c>
      <c r="DM487" s="408">
        <v>0</v>
      </c>
      <c r="DN487" s="408">
        <v>0</v>
      </c>
      <c r="DO487" s="408">
        <v>0</v>
      </c>
      <c r="DP487" s="408">
        <v>-3.7120353132735175</v>
      </c>
      <c r="DQ487" s="408">
        <v>0</v>
      </c>
      <c r="DR487" s="408">
        <v>0</v>
      </c>
      <c r="DS487" s="408"/>
      <c r="DT487" s="408"/>
      <c r="DU487" s="408"/>
      <c r="DV487" s="408">
        <v>25585.92472816</v>
      </c>
      <c r="DW487" s="408">
        <v>0</v>
      </c>
      <c r="DX487" s="408">
        <v>0</v>
      </c>
      <c r="DY487" s="408">
        <v>-5628.0166800000043</v>
      </c>
      <c r="DZ487" s="408">
        <v>2345.2785199999998</v>
      </c>
      <c r="EA487" s="408">
        <v>0</v>
      </c>
      <c r="EB487" s="408">
        <v>0</v>
      </c>
      <c r="EC487" s="408">
        <v>-6355.9777054150763</v>
      </c>
      <c r="ED487" s="408">
        <v>0</v>
      </c>
      <c r="EE487" s="408">
        <v>0</v>
      </c>
      <c r="EF487" s="408">
        <v>0</v>
      </c>
      <c r="EG487" s="408">
        <v>0</v>
      </c>
      <c r="EH487" s="408">
        <v>0</v>
      </c>
      <c r="EI487" s="408">
        <v>0</v>
      </c>
      <c r="EJ487" s="408">
        <v>0</v>
      </c>
      <c r="EK487" s="408">
        <v>0</v>
      </c>
      <c r="EL487" s="408">
        <v>0</v>
      </c>
      <c r="EM487" s="408">
        <v>0</v>
      </c>
      <c r="EN487" s="408">
        <v>0</v>
      </c>
      <c r="EO487" s="408">
        <v>0</v>
      </c>
      <c r="EP487" s="408">
        <v>0</v>
      </c>
      <c r="EQ487" s="408">
        <v>0</v>
      </c>
      <c r="ER487" s="408">
        <v>0</v>
      </c>
      <c r="ES487" s="408">
        <v>0</v>
      </c>
      <c r="ET487" s="408">
        <v>0</v>
      </c>
      <c r="EU487" s="408">
        <v>0</v>
      </c>
      <c r="EV487" s="408">
        <v>240</v>
      </c>
      <c r="EW487" s="408">
        <v>0</v>
      </c>
      <c r="EX487" s="408">
        <v>0</v>
      </c>
      <c r="EY487" s="408">
        <v>0</v>
      </c>
      <c r="EZ487" s="408"/>
      <c r="FA487" s="408">
        <v>0</v>
      </c>
      <c r="FB487" s="408"/>
      <c r="FC487" s="408"/>
      <c r="FD487" s="408"/>
      <c r="FE487" s="408"/>
      <c r="FF487" s="408">
        <v>0</v>
      </c>
      <c r="FG487" s="408">
        <v>0</v>
      </c>
      <c r="FH487" s="408">
        <v>0</v>
      </c>
      <c r="FI487" s="408">
        <v>0</v>
      </c>
    </row>
    <row r="488" spans="1:165">
      <c r="A488" s="408">
        <v>486</v>
      </c>
      <c r="B488" s="408" t="s">
        <v>2238</v>
      </c>
      <c r="C488" s="408" t="s">
        <v>2235</v>
      </c>
      <c r="D488" s="408" t="s">
        <v>1955</v>
      </c>
      <c r="E488" s="408" t="s">
        <v>969</v>
      </c>
      <c r="F488" s="408" t="s">
        <v>2242</v>
      </c>
      <c r="G488" s="408" t="s">
        <v>1322</v>
      </c>
      <c r="H488" s="408" t="s">
        <v>1322</v>
      </c>
      <c r="I488" s="408" t="s">
        <v>1322</v>
      </c>
      <c r="J488" s="408" t="s">
        <v>2236</v>
      </c>
      <c r="K488" s="826">
        <v>44593</v>
      </c>
      <c r="L488" s="408">
        <v>0</v>
      </c>
      <c r="M488" s="408">
        <v>0</v>
      </c>
      <c r="N488" s="408">
        <v>6.9000000000000006E-2</v>
      </c>
      <c r="O488" s="408">
        <v>6.9000000000000006E-2</v>
      </c>
      <c r="P488" s="408">
        <v>6.9000000000000006E-2</v>
      </c>
      <c r="Q488" s="408">
        <v>6.9000000000000006E-2</v>
      </c>
      <c r="R488" s="408"/>
      <c r="S488" s="408">
        <v>281.47000000000003</v>
      </c>
      <c r="T488" s="408">
        <v>173.25</v>
      </c>
      <c r="U488" s="408"/>
      <c r="V488" s="408">
        <v>31.375680000000006</v>
      </c>
      <c r="W488" s="408">
        <v>31.375680000000006</v>
      </c>
      <c r="X488" s="408">
        <v>29.290500000000002</v>
      </c>
      <c r="Y488" s="408">
        <v>0</v>
      </c>
      <c r="Z488" s="408">
        <v>0</v>
      </c>
      <c r="AA488" s="408">
        <v>0</v>
      </c>
      <c r="AB488" s="408">
        <v>0</v>
      </c>
      <c r="AC488" s="408">
        <v>0.1766080781767766</v>
      </c>
      <c r="AD488" s="408">
        <v>0.16968076087819736</v>
      </c>
      <c r="AE488" s="408">
        <v>16.252060299766544</v>
      </c>
      <c r="AF488" s="408">
        <v>11.753492470386599</v>
      </c>
      <c r="AG488" s="408">
        <v>0.20059911360734628</v>
      </c>
      <c r="AH488" s="408">
        <v>0</v>
      </c>
      <c r="AI488" s="408">
        <v>0</v>
      </c>
      <c r="AJ488" s="408">
        <v>0</v>
      </c>
      <c r="AK488" s="408">
        <v>0</v>
      </c>
      <c r="AL488" s="408">
        <v>0</v>
      </c>
      <c r="AM488" s="408"/>
      <c r="AN488" s="408">
        <v>8.3342113291027684E-2</v>
      </c>
      <c r="AO488" s="408">
        <v>0.37490429279444987</v>
      </c>
      <c r="AP488" s="408">
        <v>1.7481234088084687</v>
      </c>
      <c r="AQ488" s="408">
        <v>0</v>
      </c>
      <c r="AR488" s="408">
        <v>0</v>
      </c>
      <c r="AS488" s="408">
        <v>0</v>
      </c>
      <c r="AT488" s="408">
        <v>0</v>
      </c>
      <c r="AU488" s="408">
        <v>0</v>
      </c>
      <c r="AV488" s="408">
        <v>0</v>
      </c>
      <c r="AW488" s="408">
        <v>0</v>
      </c>
      <c r="AX488" s="408">
        <v>0</v>
      </c>
      <c r="AY488" s="408">
        <v>0</v>
      </c>
      <c r="AZ488" s="408">
        <v>0</v>
      </c>
      <c r="BA488" s="408"/>
      <c r="BB488" s="408">
        <v>0</v>
      </c>
      <c r="BC488" s="408">
        <v>0</v>
      </c>
      <c r="BD488" s="408">
        <v>0</v>
      </c>
      <c r="BE488" s="408">
        <v>0</v>
      </c>
      <c r="BF488" s="408">
        <v>0</v>
      </c>
      <c r="BG488" s="408">
        <v>0.61684563592748265</v>
      </c>
      <c r="BH488" s="408">
        <v>0</v>
      </c>
      <c r="BI488" s="408">
        <v>0.02</v>
      </c>
      <c r="BJ488" s="408">
        <v>0.18</v>
      </c>
      <c r="BK488" s="408">
        <v>174.94</v>
      </c>
      <c r="BL488" s="408">
        <v>9</v>
      </c>
      <c r="BM488" s="408"/>
      <c r="BN488" s="408"/>
      <c r="BO488" s="408"/>
      <c r="BP488" s="408"/>
      <c r="BQ488" s="408"/>
      <c r="BR488" s="408"/>
      <c r="BS488" s="408"/>
      <c r="BT488" s="408"/>
      <c r="BU488" s="408"/>
      <c r="BV488" s="408">
        <v>12.370338106314081</v>
      </c>
      <c r="BW488" s="408"/>
      <c r="BX488" s="408"/>
      <c r="BY488" s="408"/>
      <c r="BZ488" s="408"/>
      <c r="CA488" s="408"/>
      <c r="CB488" s="408"/>
      <c r="CC488" s="408"/>
      <c r="CD488" s="408"/>
      <c r="CE488" s="408"/>
      <c r="CF488" s="408"/>
      <c r="CG488" s="408"/>
      <c r="CH488" s="408"/>
      <c r="CI488" s="408">
        <v>29.715000000000003</v>
      </c>
      <c r="CJ488" s="408">
        <v>-1.6906800000000075</v>
      </c>
      <c r="CK488" s="408"/>
      <c r="CL488" s="408"/>
      <c r="CM488" s="408"/>
      <c r="CN488" s="408"/>
      <c r="CO488" s="408">
        <v>-3.5748900000000026</v>
      </c>
      <c r="CP488" s="408">
        <v>1.4897100000000003</v>
      </c>
      <c r="CQ488" s="408">
        <v>29</v>
      </c>
      <c r="CR488" s="408">
        <v>1.9516280567919271</v>
      </c>
      <c r="CS488" s="408">
        <v>3.7358411440551131E-2</v>
      </c>
      <c r="CT488" s="408">
        <v>0.17419676117427785</v>
      </c>
      <c r="CU488" s="408">
        <v>0</v>
      </c>
      <c r="CV488" s="408">
        <v>0</v>
      </c>
      <c r="CW488" s="408">
        <v>0</v>
      </c>
      <c r="CX488" s="408">
        <v>0</v>
      </c>
      <c r="CY488" s="408">
        <v>0</v>
      </c>
      <c r="CZ488" s="408">
        <v>0.17471496218254198</v>
      </c>
      <c r="DA488" s="408">
        <v>0</v>
      </c>
      <c r="DB488" s="408">
        <v>0</v>
      </c>
      <c r="DC488" s="408">
        <v>1.4895418031262793</v>
      </c>
      <c r="DD488" s="408">
        <v>0</v>
      </c>
      <c r="DE488" s="408">
        <v>0</v>
      </c>
      <c r="DF488" s="408">
        <v>0</v>
      </c>
      <c r="DG488" s="408">
        <v>7.8173986421910202E-2</v>
      </c>
      <c r="DH488" s="408">
        <v>0</v>
      </c>
      <c r="DI488" s="408">
        <v>0</v>
      </c>
      <c r="DJ488" s="408"/>
      <c r="DK488" s="408">
        <v>0</v>
      </c>
      <c r="DL488" s="408">
        <v>0</v>
      </c>
      <c r="DM488" s="408">
        <v>0</v>
      </c>
      <c r="DN488" s="408">
        <v>0</v>
      </c>
      <c r="DO488" s="408">
        <v>0</v>
      </c>
      <c r="DP488" s="408">
        <v>-2.3578675536314042E-3</v>
      </c>
      <c r="DQ488" s="408">
        <v>0</v>
      </c>
      <c r="DR488" s="408">
        <v>0</v>
      </c>
      <c r="DS488" s="408"/>
      <c r="DT488" s="408"/>
      <c r="DU488" s="408"/>
      <c r="DV488" s="408">
        <v>16.252060299766544</v>
      </c>
      <c r="DW488" s="408">
        <v>0</v>
      </c>
      <c r="DX488" s="408">
        <v>0</v>
      </c>
      <c r="DY488" s="408">
        <v>-3.5748900000000035</v>
      </c>
      <c r="DZ488" s="408">
        <v>1.4897099999999988</v>
      </c>
      <c r="EA488" s="408">
        <v>0</v>
      </c>
      <c r="EB488" s="408">
        <v>0</v>
      </c>
      <c r="EC488" s="408">
        <v>-4.037287455109551</v>
      </c>
      <c r="ED488" s="408">
        <v>0</v>
      </c>
      <c r="EE488" s="408">
        <v>0</v>
      </c>
      <c r="EF488" s="408">
        <v>0</v>
      </c>
      <c r="EG488" s="408">
        <v>0</v>
      </c>
      <c r="EH488" s="408">
        <v>0</v>
      </c>
      <c r="EI488" s="408">
        <v>0</v>
      </c>
      <c r="EJ488" s="408">
        <v>0</v>
      </c>
      <c r="EK488" s="408">
        <v>0</v>
      </c>
      <c r="EL488" s="408">
        <v>0</v>
      </c>
      <c r="EM488" s="408">
        <v>0</v>
      </c>
      <c r="EN488" s="408">
        <v>0</v>
      </c>
      <c r="EO488" s="408">
        <v>0</v>
      </c>
      <c r="EP488" s="408">
        <v>0</v>
      </c>
      <c r="EQ488" s="408">
        <v>0</v>
      </c>
      <c r="ER488" s="408">
        <v>0</v>
      </c>
      <c r="ES488" s="408">
        <v>0</v>
      </c>
      <c r="ET488" s="408">
        <v>0</v>
      </c>
      <c r="EU488" s="408">
        <v>0</v>
      </c>
      <c r="EV488" s="408">
        <v>240</v>
      </c>
      <c r="EW488" s="408">
        <v>0</v>
      </c>
      <c r="EX488" s="408">
        <v>0</v>
      </c>
      <c r="EY488" s="408">
        <v>0</v>
      </c>
      <c r="EZ488" s="408"/>
      <c r="FA488" s="408">
        <v>0</v>
      </c>
      <c r="FB488" s="408"/>
      <c r="FC488" s="408"/>
      <c r="FD488" s="408"/>
      <c r="FE488" s="408"/>
      <c r="FF488" s="408">
        <v>0</v>
      </c>
      <c r="FG488" s="408">
        <v>0</v>
      </c>
      <c r="FH488" s="408">
        <v>0</v>
      </c>
      <c r="FI488" s="408">
        <v>0</v>
      </c>
    </row>
    <row r="489" spans="1:165">
      <c r="A489" s="408">
        <v>487</v>
      </c>
      <c r="B489" s="408" t="s">
        <v>1036</v>
      </c>
      <c r="C489" s="408" t="s">
        <v>2316</v>
      </c>
      <c r="D489" s="408" t="s">
        <v>1955</v>
      </c>
      <c r="E489" s="408" t="s">
        <v>969</v>
      </c>
      <c r="F489" s="408" t="s">
        <v>969</v>
      </c>
      <c r="G489" s="408" t="s">
        <v>1322</v>
      </c>
      <c r="H489" s="408" t="s">
        <v>1322</v>
      </c>
      <c r="I489" s="408" t="s">
        <v>973</v>
      </c>
      <c r="J489" s="408" t="s">
        <v>2236</v>
      </c>
      <c r="K489" s="826">
        <v>44593</v>
      </c>
      <c r="L489" s="408">
        <v>0</v>
      </c>
      <c r="M489" s="408">
        <v>0</v>
      </c>
      <c r="N489" s="408">
        <v>0.60899999999999999</v>
      </c>
      <c r="O489" s="408">
        <v>0.60899999999999999</v>
      </c>
      <c r="P489" s="408">
        <v>0.60899999999999999</v>
      </c>
      <c r="Q489" s="408">
        <v>0.60899999999999999</v>
      </c>
      <c r="R489" s="408"/>
      <c r="S489" s="408">
        <v>775.22</v>
      </c>
      <c r="T489" s="408">
        <v>173.25</v>
      </c>
      <c r="U489" s="408"/>
      <c r="V489" s="408">
        <v>577.61823000000004</v>
      </c>
      <c r="W489" s="408">
        <v>577.61823000000004</v>
      </c>
      <c r="X489" s="408">
        <v>509.42849999999999</v>
      </c>
      <c r="Y489" s="408">
        <v>0</v>
      </c>
      <c r="Z489" s="408">
        <v>37.481016568416571</v>
      </c>
      <c r="AA489" s="408">
        <v>0</v>
      </c>
      <c r="AB489" s="408">
        <v>0</v>
      </c>
      <c r="AC489" s="408">
        <v>3.8966194256999365</v>
      </c>
      <c r="AD489" s="408">
        <v>3.7437950180174209</v>
      </c>
      <c r="AE489" s="408">
        <v>358.60517798691143</v>
      </c>
      <c r="AF489" s="408">
        <v>103.73734658645562</v>
      </c>
      <c r="AG489" s="408">
        <v>1.7705052200996214</v>
      </c>
      <c r="AH489" s="408">
        <v>0</v>
      </c>
      <c r="AI489" s="408">
        <v>0</v>
      </c>
      <c r="AJ489" s="408">
        <v>0</v>
      </c>
      <c r="AK489" s="408">
        <v>0</v>
      </c>
      <c r="AL489" s="408">
        <v>5.7909994388911743</v>
      </c>
      <c r="AM489" s="408"/>
      <c r="AN489" s="408">
        <v>0.73558473904689636</v>
      </c>
      <c r="AO489" s="408">
        <v>8.2718759005461227</v>
      </c>
      <c r="AP489" s="408">
        <v>38.570250181445928</v>
      </c>
      <c r="AQ489" s="408">
        <v>0</v>
      </c>
      <c r="AR489" s="408">
        <v>0</v>
      </c>
      <c r="AS489" s="408">
        <v>0</v>
      </c>
      <c r="AT489" s="408">
        <v>0</v>
      </c>
      <c r="AU489" s="408">
        <v>0</v>
      </c>
      <c r="AV489" s="408">
        <v>0</v>
      </c>
      <c r="AW489" s="408">
        <v>0</v>
      </c>
      <c r="AX489" s="408">
        <v>0</v>
      </c>
      <c r="AY489" s="408">
        <v>0</v>
      </c>
      <c r="AZ489" s="408">
        <v>0</v>
      </c>
      <c r="BA489" s="408"/>
      <c r="BB489" s="408">
        <v>0</v>
      </c>
      <c r="BC489" s="408">
        <v>0</v>
      </c>
      <c r="BD489" s="408">
        <v>0</v>
      </c>
      <c r="BE489" s="408">
        <v>0</v>
      </c>
      <c r="BF489" s="408">
        <v>0</v>
      </c>
      <c r="BG489" s="408">
        <v>5.4443332214469118</v>
      </c>
      <c r="BH489" s="408">
        <v>0</v>
      </c>
      <c r="BI489" s="408">
        <v>0</v>
      </c>
      <c r="BJ489" s="408">
        <v>0</v>
      </c>
      <c r="BK489" s="408">
        <v>0</v>
      </c>
      <c r="BL489" s="408">
        <v>0</v>
      </c>
      <c r="BM489" s="408"/>
      <c r="BN489" s="408"/>
      <c r="BO489" s="408"/>
      <c r="BP489" s="408"/>
      <c r="BQ489" s="408"/>
      <c r="BR489" s="408"/>
      <c r="BS489" s="408"/>
      <c r="BT489" s="408"/>
      <c r="BU489" s="408"/>
      <c r="BV489" s="408">
        <v>109.18167980790253</v>
      </c>
      <c r="BW489" s="408"/>
      <c r="BX489" s="408"/>
      <c r="BY489" s="408"/>
      <c r="BZ489" s="408"/>
      <c r="CA489" s="408"/>
      <c r="CB489" s="408"/>
      <c r="CC489" s="408"/>
      <c r="CD489" s="408"/>
      <c r="CE489" s="408"/>
      <c r="CF489" s="408"/>
      <c r="CG489" s="408"/>
      <c r="CH489" s="408"/>
      <c r="CI489" s="408">
        <v>510.26499999999999</v>
      </c>
      <c r="CJ489" s="408">
        <v>-67.383230000000026</v>
      </c>
      <c r="CK489" s="408"/>
      <c r="CL489" s="408"/>
      <c r="CM489" s="408"/>
      <c r="CN489" s="408"/>
      <c r="CO489" s="408">
        <v>-81.338040000000035</v>
      </c>
      <c r="CP489" s="408">
        <v>13.148310000000002</v>
      </c>
      <c r="CQ489" s="408">
        <v>29</v>
      </c>
      <c r="CR489" s="408">
        <v>20.890812817112419</v>
      </c>
      <c r="CS489" s="408">
        <v>0.82427475282925577</v>
      </c>
      <c r="CT489" s="408">
        <v>3.8434429888842985</v>
      </c>
      <c r="CU489" s="408">
        <v>0</v>
      </c>
      <c r="CV489" s="408">
        <v>0</v>
      </c>
      <c r="CW489" s="408">
        <v>0</v>
      </c>
      <c r="CX489" s="408">
        <v>0</v>
      </c>
      <c r="CY489" s="408">
        <v>0</v>
      </c>
      <c r="CZ489" s="408">
        <v>3.8548684105774038</v>
      </c>
      <c r="DA489" s="408">
        <v>0</v>
      </c>
      <c r="DB489" s="408">
        <v>0</v>
      </c>
      <c r="DC489" s="408">
        <v>13.146825479766733</v>
      </c>
      <c r="DD489" s="408">
        <v>0</v>
      </c>
      <c r="DE489" s="408">
        <v>0</v>
      </c>
      <c r="DF489" s="408">
        <v>0</v>
      </c>
      <c r="DG489" s="408">
        <v>0.68997040189772907</v>
      </c>
      <c r="DH489" s="408">
        <v>0</v>
      </c>
      <c r="DI489" s="408">
        <v>-1.2727367174379509</v>
      </c>
      <c r="DJ489" s="408"/>
      <c r="DK489" s="408">
        <v>0</v>
      </c>
      <c r="DL489" s="408">
        <v>0</v>
      </c>
      <c r="DM489" s="408">
        <v>0</v>
      </c>
      <c r="DN489" s="408">
        <v>0</v>
      </c>
      <c r="DO489" s="408">
        <v>-0.17502175534474507</v>
      </c>
      <c r="DP489" s="408">
        <v>-2.0810744060311914E-2</v>
      </c>
      <c r="DQ489" s="408">
        <v>0</v>
      </c>
      <c r="DR489" s="408">
        <v>0</v>
      </c>
      <c r="DS489" s="408"/>
      <c r="DT489" s="408"/>
      <c r="DU489" s="408"/>
      <c r="DV489" s="408">
        <v>358.60517798691143</v>
      </c>
      <c r="DW489" s="408">
        <v>0</v>
      </c>
      <c r="DX489" s="408">
        <v>0</v>
      </c>
      <c r="DY489" s="408">
        <v>-81.338040000000035</v>
      </c>
      <c r="DZ489" s="408">
        <v>13.148310000000009</v>
      </c>
      <c r="EA489" s="408">
        <v>0</v>
      </c>
      <c r="EB489" s="408">
        <v>0</v>
      </c>
      <c r="EC489" s="408">
        <v>-89.083609075993252</v>
      </c>
      <c r="ED489" s="408">
        <v>0</v>
      </c>
      <c r="EE489" s="408">
        <v>0</v>
      </c>
      <c r="EF489" s="408">
        <v>0</v>
      </c>
      <c r="EG489" s="408">
        <v>0</v>
      </c>
      <c r="EH489" s="408">
        <v>0</v>
      </c>
      <c r="EI489" s="408">
        <v>0</v>
      </c>
      <c r="EJ489" s="408">
        <v>0</v>
      </c>
      <c r="EK489" s="408">
        <v>0</v>
      </c>
      <c r="EL489" s="408">
        <v>0</v>
      </c>
      <c r="EM489" s="408">
        <v>0</v>
      </c>
      <c r="EN489" s="408">
        <v>0</v>
      </c>
      <c r="EO489" s="408">
        <v>0</v>
      </c>
      <c r="EP489" s="408">
        <v>9.5719831549341787</v>
      </c>
      <c r="EQ489" s="408">
        <v>0</v>
      </c>
      <c r="ER489" s="408">
        <v>0</v>
      </c>
      <c r="ES489" s="408">
        <v>0</v>
      </c>
      <c r="ET489" s="408">
        <v>0</v>
      </c>
      <c r="EU489" s="408">
        <v>0</v>
      </c>
      <c r="EV489" s="408">
        <v>240</v>
      </c>
      <c r="EW489" s="408">
        <v>0</v>
      </c>
      <c r="EX489" s="408">
        <v>0</v>
      </c>
      <c r="EY489" s="408">
        <v>0</v>
      </c>
      <c r="EZ489" s="408"/>
      <c r="FA489" s="408">
        <v>0</v>
      </c>
      <c r="FB489" s="408"/>
      <c r="FC489" s="408"/>
      <c r="FD489" s="408"/>
      <c r="FE489" s="408"/>
      <c r="FF489" s="408">
        <v>0</v>
      </c>
      <c r="FG489" s="408">
        <v>0</v>
      </c>
      <c r="FH489" s="408">
        <v>0</v>
      </c>
      <c r="FI489" s="408">
        <v>0</v>
      </c>
    </row>
    <row r="490" spans="1:165">
      <c r="A490" s="408">
        <v>488</v>
      </c>
      <c r="B490" s="408" t="s">
        <v>1036</v>
      </c>
      <c r="C490" s="408" t="s">
        <v>2316</v>
      </c>
      <c r="D490" s="408" t="s">
        <v>1955</v>
      </c>
      <c r="E490" s="408" t="s">
        <v>969</v>
      </c>
      <c r="F490" s="408" t="s">
        <v>969</v>
      </c>
      <c r="G490" s="408" t="s">
        <v>1322</v>
      </c>
      <c r="H490" s="408" t="s">
        <v>1322</v>
      </c>
      <c r="I490" s="408" t="s">
        <v>2244</v>
      </c>
      <c r="J490" s="408" t="s">
        <v>2236</v>
      </c>
      <c r="K490" s="826">
        <v>44593</v>
      </c>
      <c r="L490" s="408">
        <v>0</v>
      </c>
      <c r="M490" s="408">
        <v>0</v>
      </c>
      <c r="N490" s="408">
        <v>5.3319999999999999</v>
      </c>
      <c r="O490" s="408">
        <v>5.3319999999999999</v>
      </c>
      <c r="P490" s="408">
        <v>5.3319999999999999</v>
      </c>
      <c r="Q490" s="408">
        <v>5.3319999999999999</v>
      </c>
      <c r="R490" s="408"/>
      <c r="S490" s="408">
        <v>232.58</v>
      </c>
      <c r="T490" s="408">
        <v>173.25</v>
      </c>
      <c r="U490" s="408"/>
      <c r="V490" s="408">
        <v>2163.8855599999997</v>
      </c>
      <c r="W490" s="408">
        <v>2163.8855599999997</v>
      </c>
      <c r="X490" s="408">
        <v>2131.1470799999997</v>
      </c>
      <c r="Y490" s="408">
        <v>0</v>
      </c>
      <c r="Z490" s="408">
        <v>328.15891681904299</v>
      </c>
      <c r="AA490" s="408">
        <v>0</v>
      </c>
      <c r="AB490" s="408">
        <v>0</v>
      </c>
      <c r="AC490" s="408">
        <v>6.8237266147722657</v>
      </c>
      <c r="AD490" s="408">
        <v>6.5560711376996252</v>
      </c>
      <c r="AE490" s="408">
        <v>627.94192404605224</v>
      </c>
      <c r="AF490" s="408">
        <v>908.25538916088885</v>
      </c>
      <c r="AG490" s="408">
        <v>15.501369184845945</v>
      </c>
      <c r="AH490" s="408">
        <v>0</v>
      </c>
      <c r="AI490" s="408">
        <v>0</v>
      </c>
      <c r="AJ490" s="408">
        <v>0</v>
      </c>
      <c r="AK490" s="408">
        <v>0</v>
      </c>
      <c r="AL490" s="408">
        <v>50.702149438699081</v>
      </c>
      <c r="AM490" s="408"/>
      <c r="AN490" s="408">
        <v>6.4402920009820219</v>
      </c>
      <c r="AO490" s="408">
        <v>14.486018913827573</v>
      </c>
      <c r="AP490" s="408">
        <v>67.543434896860546</v>
      </c>
      <c r="AQ490" s="408">
        <v>0</v>
      </c>
      <c r="AR490" s="408">
        <v>0</v>
      </c>
      <c r="AS490" s="408">
        <v>0</v>
      </c>
      <c r="AT490" s="408">
        <v>0</v>
      </c>
      <c r="AU490" s="408">
        <v>0</v>
      </c>
      <c r="AV490" s="408">
        <v>0</v>
      </c>
      <c r="AW490" s="408">
        <v>0</v>
      </c>
      <c r="AX490" s="408">
        <v>0</v>
      </c>
      <c r="AY490" s="408">
        <v>0</v>
      </c>
      <c r="AZ490" s="408">
        <v>0</v>
      </c>
      <c r="BA490" s="408"/>
      <c r="BB490" s="408">
        <v>0</v>
      </c>
      <c r="BC490" s="408">
        <v>0</v>
      </c>
      <c r="BD490" s="408">
        <v>0</v>
      </c>
      <c r="BE490" s="408">
        <v>0</v>
      </c>
      <c r="BF490" s="408">
        <v>0</v>
      </c>
      <c r="BG490" s="408">
        <v>47.666970011091848</v>
      </c>
      <c r="BH490" s="408">
        <v>0</v>
      </c>
      <c r="BI490" s="408">
        <v>0</v>
      </c>
      <c r="BJ490" s="408">
        <v>0</v>
      </c>
      <c r="BK490" s="408">
        <v>0</v>
      </c>
      <c r="BL490" s="408">
        <v>0</v>
      </c>
      <c r="BM490" s="408"/>
      <c r="BN490" s="408"/>
      <c r="BO490" s="408"/>
      <c r="BP490" s="408"/>
      <c r="BQ490" s="408"/>
      <c r="BR490" s="408"/>
      <c r="BS490" s="408"/>
      <c r="BT490" s="408"/>
      <c r="BU490" s="408"/>
      <c r="BV490" s="408">
        <v>955.9223591719807</v>
      </c>
      <c r="BW490" s="408"/>
      <c r="BX490" s="408"/>
      <c r="BY490" s="408"/>
      <c r="BZ490" s="408"/>
      <c r="CA490" s="408"/>
      <c r="CB490" s="408"/>
      <c r="CC490" s="408"/>
      <c r="CD490" s="408"/>
      <c r="CE490" s="408"/>
      <c r="CF490" s="408"/>
      <c r="CG490" s="408"/>
      <c r="CH490" s="408"/>
      <c r="CI490" s="408">
        <v>2130.3477000000003</v>
      </c>
      <c r="CJ490" s="408">
        <v>-33.56786000000011</v>
      </c>
      <c r="CK490" s="408"/>
      <c r="CL490" s="408"/>
      <c r="CM490" s="408"/>
      <c r="CN490" s="408"/>
      <c r="CO490" s="408">
        <v>-147.85636000000008</v>
      </c>
      <c r="CP490" s="408">
        <v>115.11788000000001</v>
      </c>
      <c r="CQ490" s="408">
        <v>29</v>
      </c>
      <c r="CR490" s="408">
        <v>123.21262855245686</v>
      </c>
      <c r="CS490" s="408">
        <v>1.4435008217286196</v>
      </c>
      <c r="CT490" s="408">
        <v>6.7305589172554221</v>
      </c>
      <c r="CU490" s="408">
        <v>0</v>
      </c>
      <c r="CV490" s="408">
        <v>0</v>
      </c>
      <c r="CW490" s="408">
        <v>0</v>
      </c>
      <c r="CX490" s="408">
        <v>0</v>
      </c>
      <c r="CY490" s="408">
        <v>0</v>
      </c>
      <c r="CZ490" s="408">
        <v>6.7505810025892288</v>
      </c>
      <c r="DA490" s="408">
        <v>0</v>
      </c>
      <c r="DB490" s="408">
        <v>0</v>
      </c>
      <c r="DC490" s="408">
        <v>115.10488252564244</v>
      </c>
      <c r="DD490" s="408">
        <v>0</v>
      </c>
      <c r="DE490" s="408">
        <v>0</v>
      </c>
      <c r="DF490" s="408">
        <v>0</v>
      </c>
      <c r="DG490" s="408">
        <v>6.0409231246612336</v>
      </c>
      <c r="DH490" s="408">
        <v>0</v>
      </c>
      <c r="DI490" s="408">
        <v>-11.143238386501139</v>
      </c>
      <c r="DJ490" s="408"/>
      <c r="DK490" s="408">
        <v>0</v>
      </c>
      <c r="DL490" s="408">
        <v>0</v>
      </c>
      <c r="DM490" s="408">
        <v>0</v>
      </c>
      <c r="DN490" s="408">
        <v>0</v>
      </c>
      <c r="DO490" s="408">
        <v>-1.5323743834124457</v>
      </c>
      <c r="DP490" s="408">
        <v>-0.18220506950670501</v>
      </c>
      <c r="DQ490" s="408">
        <v>0</v>
      </c>
      <c r="DR490" s="408">
        <v>0</v>
      </c>
      <c r="DS490" s="408"/>
      <c r="DT490" s="408"/>
      <c r="DU490" s="408"/>
      <c r="DV490" s="408">
        <v>627.94192404605224</v>
      </c>
      <c r="DW490" s="408">
        <v>0</v>
      </c>
      <c r="DX490" s="408">
        <v>0</v>
      </c>
      <c r="DY490" s="408">
        <v>-147.85636</v>
      </c>
      <c r="DZ490" s="408">
        <v>115.11788000000001</v>
      </c>
      <c r="EA490" s="408">
        <v>0</v>
      </c>
      <c r="EB490" s="408">
        <v>0</v>
      </c>
      <c r="EC490" s="408">
        <v>-155.99142543944959</v>
      </c>
      <c r="ED490" s="408">
        <v>0</v>
      </c>
      <c r="EE490" s="408">
        <v>0</v>
      </c>
      <c r="EF490" s="408">
        <v>0</v>
      </c>
      <c r="EG490" s="408">
        <v>0</v>
      </c>
      <c r="EH490" s="408">
        <v>0</v>
      </c>
      <c r="EI490" s="408">
        <v>0</v>
      </c>
      <c r="EJ490" s="408">
        <v>0</v>
      </c>
      <c r="EK490" s="408">
        <v>0</v>
      </c>
      <c r="EL490" s="408">
        <v>0</v>
      </c>
      <c r="EM490" s="408">
        <v>0</v>
      </c>
      <c r="EN490" s="408">
        <v>0</v>
      </c>
      <c r="EO490" s="408">
        <v>0</v>
      </c>
      <c r="EP490" s="408">
        <v>83.805934617584626</v>
      </c>
      <c r="EQ490" s="408">
        <v>0</v>
      </c>
      <c r="ER490" s="408">
        <v>0</v>
      </c>
      <c r="ES490" s="408">
        <v>0</v>
      </c>
      <c r="ET490" s="408">
        <v>0</v>
      </c>
      <c r="EU490" s="408">
        <v>0</v>
      </c>
      <c r="EV490" s="408">
        <v>240</v>
      </c>
      <c r="EW490" s="408">
        <v>0</v>
      </c>
      <c r="EX490" s="408">
        <v>0</v>
      </c>
      <c r="EY490" s="408">
        <v>0</v>
      </c>
      <c r="EZ490" s="408"/>
      <c r="FA490" s="408">
        <v>0</v>
      </c>
      <c r="FB490" s="408"/>
      <c r="FC490" s="408"/>
      <c r="FD490" s="408"/>
      <c r="FE490" s="408"/>
      <c r="FF490" s="408">
        <v>0</v>
      </c>
      <c r="FG490" s="408">
        <v>0</v>
      </c>
      <c r="FH490" s="408">
        <v>0</v>
      </c>
      <c r="FI490" s="408">
        <v>0</v>
      </c>
    </row>
    <row r="491" spans="1:165">
      <c r="A491" s="408">
        <v>489</v>
      </c>
      <c r="B491" s="408" t="s">
        <v>1036</v>
      </c>
      <c r="C491" s="408" t="s">
        <v>2316</v>
      </c>
      <c r="D491" s="408" t="s">
        <v>1955</v>
      </c>
      <c r="E491" s="408" t="s">
        <v>969</v>
      </c>
      <c r="F491" s="408" t="s">
        <v>969</v>
      </c>
      <c r="G491" s="408" t="s">
        <v>1322</v>
      </c>
      <c r="H491" s="408" t="s">
        <v>1322</v>
      </c>
      <c r="I491" s="408" t="s">
        <v>1322</v>
      </c>
      <c r="J491" s="408" t="s">
        <v>2236</v>
      </c>
      <c r="K491" s="826">
        <v>44593</v>
      </c>
      <c r="L491" s="408">
        <v>0</v>
      </c>
      <c r="M491" s="408">
        <v>0</v>
      </c>
      <c r="N491" s="408">
        <v>0</v>
      </c>
      <c r="O491" s="408">
        <v>0</v>
      </c>
      <c r="P491" s="408">
        <v>0</v>
      </c>
      <c r="Q491" s="408">
        <v>0</v>
      </c>
      <c r="R491" s="408"/>
      <c r="S491" s="408"/>
      <c r="T491" s="408"/>
      <c r="U491" s="408"/>
      <c r="V491" s="408"/>
      <c r="W491" s="408"/>
      <c r="X491" s="408"/>
      <c r="Y491" s="408"/>
      <c r="Z491" s="408"/>
      <c r="AA491" s="408">
        <v>0</v>
      </c>
      <c r="AB491" s="408"/>
      <c r="AC491" s="408"/>
      <c r="AD491" s="408"/>
      <c r="AE491" s="408"/>
      <c r="AF491" s="408"/>
      <c r="AG491" s="408"/>
      <c r="AH491" s="408"/>
      <c r="AI491" s="408"/>
      <c r="AJ491" s="408"/>
      <c r="AK491" s="408"/>
      <c r="AL491" s="408"/>
      <c r="AM491" s="408"/>
      <c r="AN491" s="408"/>
      <c r="AO491" s="408"/>
      <c r="AP491" s="408"/>
      <c r="AQ491" s="408"/>
      <c r="AR491" s="408"/>
      <c r="AS491" s="408"/>
      <c r="AT491" s="408"/>
      <c r="AU491" s="408"/>
      <c r="AV491" s="408"/>
      <c r="AW491" s="408"/>
      <c r="AX491" s="408"/>
      <c r="AY491" s="408"/>
      <c r="AZ491" s="408">
        <v>0</v>
      </c>
      <c r="BA491" s="408"/>
      <c r="BB491" s="408"/>
      <c r="BC491" s="408"/>
      <c r="BD491" s="408"/>
      <c r="BE491" s="408"/>
      <c r="BF491" s="408"/>
      <c r="BG491" s="408"/>
      <c r="BH491" s="408"/>
      <c r="BI491" s="408">
        <v>2.61</v>
      </c>
      <c r="BJ491" s="408">
        <v>23.09</v>
      </c>
      <c r="BK491" s="408">
        <v>1281.71</v>
      </c>
      <c r="BL491" s="408">
        <v>15</v>
      </c>
      <c r="BM491" s="408"/>
      <c r="BN491" s="408"/>
      <c r="BO491" s="408"/>
      <c r="BP491" s="408"/>
      <c r="BQ491" s="408"/>
      <c r="BR491" s="408"/>
      <c r="BS491" s="408"/>
      <c r="BT491" s="408"/>
      <c r="BU491" s="408"/>
      <c r="BV491" s="408"/>
      <c r="BW491" s="408"/>
      <c r="BX491" s="408"/>
      <c r="BY491" s="408"/>
      <c r="BZ491" s="408"/>
      <c r="CA491" s="408"/>
      <c r="CB491" s="408"/>
      <c r="CC491" s="408"/>
      <c r="CD491" s="408"/>
      <c r="CE491" s="408"/>
      <c r="CF491" s="408"/>
      <c r="CG491" s="408"/>
      <c r="CH491" s="408"/>
      <c r="CI491" s="408"/>
      <c r="CJ491" s="408">
        <v>-0.03</v>
      </c>
      <c r="CK491" s="408"/>
      <c r="CL491" s="408"/>
      <c r="CM491" s="408"/>
      <c r="CN491" s="408"/>
      <c r="CO491" s="408">
        <v>0</v>
      </c>
      <c r="CP491" s="408">
        <v>0</v>
      </c>
      <c r="CQ491" s="408">
        <v>29</v>
      </c>
      <c r="CR491" s="408"/>
      <c r="CS491" s="408"/>
      <c r="CT491" s="408"/>
      <c r="CU491" s="408"/>
      <c r="CV491" s="408"/>
      <c r="CW491" s="408"/>
      <c r="CX491" s="408"/>
      <c r="CY491" s="408"/>
      <c r="CZ491" s="408"/>
      <c r="DA491" s="408"/>
      <c r="DB491" s="408"/>
      <c r="DC491" s="408"/>
      <c r="DD491" s="408"/>
      <c r="DE491" s="408"/>
      <c r="DF491" s="408"/>
      <c r="DG491" s="408"/>
      <c r="DH491" s="408"/>
      <c r="DI491" s="408"/>
      <c r="DJ491" s="408"/>
      <c r="DK491" s="408">
        <v>0</v>
      </c>
      <c r="DL491" s="408"/>
      <c r="DM491" s="408"/>
      <c r="DN491" s="408"/>
      <c r="DO491" s="408"/>
      <c r="DP491" s="408"/>
      <c r="DQ491" s="408"/>
      <c r="DR491" s="408"/>
      <c r="DS491" s="408"/>
      <c r="DT491" s="408"/>
      <c r="DU491" s="408"/>
      <c r="DV491" s="408"/>
      <c r="DW491" s="408"/>
      <c r="DX491" s="408"/>
      <c r="DY491" s="408"/>
      <c r="DZ491" s="408"/>
      <c r="EA491" s="408"/>
      <c r="EB491" s="408"/>
      <c r="EC491" s="408"/>
      <c r="ED491" s="408"/>
      <c r="EE491" s="408"/>
      <c r="EF491" s="408"/>
      <c r="EG491" s="408"/>
      <c r="EH491" s="408"/>
      <c r="EI491" s="408"/>
      <c r="EJ491" s="408"/>
      <c r="EK491" s="408"/>
      <c r="EL491" s="408"/>
      <c r="EM491" s="408"/>
      <c r="EN491" s="408"/>
      <c r="EO491" s="408"/>
      <c r="EP491" s="408"/>
      <c r="EQ491" s="408"/>
      <c r="ER491" s="408"/>
      <c r="ES491" s="408"/>
      <c r="ET491" s="408"/>
      <c r="EU491" s="408"/>
      <c r="EV491" s="408">
        <v>240</v>
      </c>
      <c r="EW491" s="408"/>
      <c r="EX491" s="408"/>
      <c r="EY491" s="408"/>
      <c r="EZ491" s="408"/>
      <c r="FA491" s="408">
        <v>0</v>
      </c>
      <c r="FB491" s="408"/>
      <c r="FC491" s="408"/>
      <c r="FD491" s="408"/>
      <c r="FE491" s="408"/>
      <c r="FF491" s="408">
        <v>0</v>
      </c>
      <c r="FG491" s="408">
        <v>0</v>
      </c>
      <c r="FH491" s="408">
        <v>0</v>
      </c>
      <c r="FI491" s="408">
        <v>0</v>
      </c>
    </row>
    <row r="492" spans="1:165">
      <c r="A492" s="408">
        <v>490</v>
      </c>
      <c r="B492" s="408" t="s">
        <v>1036</v>
      </c>
      <c r="C492" s="408" t="s">
        <v>2316</v>
      </c>
      <c r="D492" s="408" t="s">
        <v>1955</v>
      </c>
      <c r="E492" s="408" t="s">
        <v>969</v>
      </c>
      <c r="F492" s="408" t="s">
        <v>969</v>
      </c>
      <c r="G492" s="408" t="s">
        <v>1322</v>
      </c>
      <c r="H492" s="408" t="s">
        <v>1322</v>
      </c>
      <c r="I492" s="408" t="s">
        <v>2317</v>
      </c>
      <c r="J492" s="408" t="s">
        <v>2236</v>
      </c>
      <c r="K492" s="826">
        <v>44593</v>
      </c>
      <c r="L492" s="408">
        <v>0</v>
      </c>
      <c r="M492" s="408">
        <v>0</v>
      </c>
      <c r="N492" s="408">
        <v>0.442</v>
      </c>
      <c r="O492" s="408">
        <v>0.442</v>
      </c>
      <c r="P492" s="408">
        <v>0.442</v>
      </c>
      <c r="Q492" s="408">
        <v>0.442</v>
      </c>
      <c r="R492" s="408"/>
      <c r="S492" s="408">
        <v>503.9</v>
      </c>
      <c r="T492" s="408">
        <v>173.25</v>
      </c>
      <c r="U492" s="408"/>
      <c r="V492" s="408">
        <v>299.30029999999999</v>
      </c>
      <c r="W492" s="408">
        <v>299.30029999999999</v>
      </c>
      <c r="X492" s="408">
        <v>273.19578000000001</v>
      </c>
      <c r="Y492" s="408">
        <v>0</v>
      </c>
      <c r="Z492" s="408">
        <v>27.202970974121715</v>
      </c>
      <c r="AA492" s="408">
        <v>0</v>
      </c>
      <c r="AB492" s="408">
        <v>0</v>
      </c>
      <c r="AC492" s="408">
        <v>1.6967728035393801</v>
      </c>
      <c r="AD492" s="408">
        <v>1.6302340005791349</v>
      </c>
      <c r="AE492" s="408">
        <v>156.16100594209357</v>
      </c>
      <c r="AF492" s="408">
        <v>75.290487998708343</v>
      </c>
      <c r="AG492" s="408">
        <v>1.2849972204992326</v>
      </c>
      <c r="AH492" s="408">
        <v>0</v>
      </c>
      <c r="AI492" s="408">
        <v>0</v>
      </c>
      <c r="AJ492" s="408">
        <v>0</v>
      </c>
      <c r="AK492" s="408">
        <v>0</v>
      </c>
      <c r="AL492" s="408">
        <v>4.2029913825778316</v>
      </c>
      <c r="AM492" s="408"/>
      <c r="AN492" s="408">
        <v>0.5338726677483222</v>
      </c>
      <c r="AO492" s="408">
        <v>3.6020009873403929</v>
      </c>
      <c r="AP492" s="408">
        <v>16.795391044894028</v>
      </c>
      <c r="AQ492" s="408">
        <v>0</v>
      </c>
      <c r="AR492" s="408">
        <v>0</v>
      </c>
      <c r="AS492" s="408">
        <v>0</v>
      </c>
      <c r="AT492" s="408">
        <v>0</v>
      </c>
      <c r="AU492" s="408">
        <v>0</v>
      </c>
      <c r="AV492" s="408">
        <v>0</v>
      </c>
      <c r="AW492" s="408">
        <v>0</v>
      </c>
      <c r="AX492" s="408">
        <v>0</v>
      </c>
      <c r="AY492" s="408">
        <v>0</v>
      </c>
      <c r="AZ492" s="408">
        <v>0</v>
      </c>
      <c r="BA492" s="408"/>
      <c r="BB492" s="408">
        <v>0</v>
      </c>
      <c r="BC492" s="408">
        <v>0</v>
      </c>
      <c r="BD492" s="408">
        <v>0</v>
      </c>
      <c r="BE492" s="408">
        <v>0</v>
      </c>
      <c r="BF492" s="408">
        <v>0</v>
      </c>
      <c r="BG492" s="408">
        <v>3.9513879866659032</v>
      </c>
      <c r="BH492" s="408">
        <v>0</v>
      </c>
      <c r="BI492" s="408">
        <v>0</v>
      </c>
      <c r="BJ492" s="408">
        <v>0</v>
      </c>
      <c r="BK492" s="408">
        <v>0</v>
      </c>
      <c r="BL492" s="408">
        <v>0</v>
      </c>
      <c r="BM492" s="408"/>
      <c r="BN492" s="408"/>
      <c r="BO492" s="408"/>
      <c r="BP492" s="408"/>
      <c r="BQ492" s="408"/>
      <c r="BR492" s="408"/>
      <c r="BS492" s="408"/>
      <c r="BT492" s="408"/>
      <c r="BU492" s="408"/>
      <c r="BV492" s="408">
        <v>79.24187598537425</v>
      </c>
      <c r="BW492" s="408"/>
      <c r="BX492" s="408"/>
      <c r="BY492" s="408"/>
      <c r="BZ492" s="408"/>
      <c r="CA492" s="408"/>
      <c r="CB492" s="408"/>
      <c r="CC492" s="408"/>
      <c r="CD492" s="408"/>
      <c r="CE492" s="408"/>
      <c r="CF492" s="408"/>
      <c r="CG492" s="408"/>
      <c r="CH492" s="408"/>
      <c r="CI492" s="408">
        <v>271.95960000000002</v>
      </c>
      <c r="CJ492" s="408">
        <v>-27.370699999999943</v>
      </c>
      <c r="CK492" s="408"/>
      <c r="CL492" s="408"/>
      <c r="CM492" s="408"/>
      <c r="CN492" s="408"/>
      <c r="CO492" s="408">
        <v>-35.647299999999987</v>
      </c>
      <c r="CP492" s="408">
        <v>9.5427800000000023</v>
      </c>
      <c r="CQ492" s="408">
        <v>29</v>
      </c>
      <c r="CR492" s="408">
        <v>12.687768524048749</v>
      </c>
      <c r="CS492" s="408">
        <v>0.35893169931802182</v>
      </c>
      <c r="CT492" s="408">
        <v>1.6736248184389595</v>
      </c>
      <c r="CU492" s="408">
        <v>0</v>
      </c>
      <c r="CV492" s="408">
        <v>0</v>
      </c>
      <c r="CW492" s="408">
        <v>0</v>
      </c>
      <c r="CX492" s="408">
        <v>0</v>
      </c>
      <c r="CY492" s="408">
        <v>0</v>
      </c>
      <c r="CZ492" s="408">
        <v>1.6786008636791532</v>
      </c>
      <c r="DA492" s="408">
        <v>0</v>
      </c>
      <c r="DB492" s="408">
        <v>0</v>
      </c>
      <c r="DC492" s="408">
        <v>9.5417025649538516</v>
      </c>
      <c r="DD492" s="408">
        <v>0</v>
      </c>
      <c r="DE492" s="408">
        <v>0</v>
      </c>
      <c r="DF492" s="408">
        <v>0</v>
      </c>
      <c r="DG492" s="408">
        <v>0.50076669563020726</v>
      </c>
      <c r="DH492" s="408">
        <v>0</v>
      </c>
      <c r="DI492" s="408">
        <v>-0.92372681298452264</v>
      </c>
      <c r="DJ492" s="408"/>
      <c r="DK492" s="408">
        <v>0</v>
      </c>
      <c r="DL492" s="408">
        <v>0</v>
      </c>
      <c r="DM492" s="408">
        <v>0</v>
      </c>
      <c r="DN492" s="408">
        <v>0</v>
      </c>
      <c r="DO492" s="408">
        <v>-0.12702728384626827</v>
      </c>
      <c r="DP492" s="408">
        <v>-1.5104021140653345E-2</v>
      </c>
      <c r="DQ492" s="408">
        <v>0</v>
      </c>
      <c r="DR492" s="408">
        <v>0</v>
      </c>
      <c r="DS492" s="408"/>
      <c r="DT492" s="408"/>
      <c r="DU492" s="408"/>
      <c r="DV492" s="408">
        <v>156.16100594209357</v>
      </c>
      <c r="DW492" s="408">
        <v>0</v>
      </c>
      <c r="DX492" s="408">
        <v>0</v>
      </c>
      <c r="DY492" s="408">
        <v>-35.647299999999973</v>
      </c>
      <c r="DZ492" s="408">
        <v>9.5427800000000076</v>
      </c>
      <c r="EA492" s="408">
        <v>0</v>
      </c>
      <c r="EB492" s="408">
        <v>0</v>
      </c>
      <c r="EC492" s="408">
        <v>-38.793042767405566</v>
      </c>
      <c r="ED492" s="408">
        <v>0</v>
      </c>
      <c r="EE492" s="408">
        <v>0</v>
      </c>
      <c r="EF492" s="408">
        <v>0</v>
      </c>
      <c r="EG492" s="408">
        <v>0</v>
      </c>
      <c r="EH492" s="408">
        <v>0</v>
      </c>
      <c r="EI492" s="408">
        <v>0</v>
      </c>
      <c r="EJ492" s="408">
        <v>0</v>
      </c>
      <c r="EK492" s="408">
        <v>0</v>
      </c>
      <c r="EL492" s="408">
        <v>0</v>
      </c>
      <c r="EM492" s="408">
        <v>0</v>
      </c>
      <c r="EN492" s="408">
        <v>0</v>
      </c>
      <c r="EO492" s="408">
        <v>0</v>
      </c>
      <c r="EP492" s="408">
        <v>6.9471536198372856</v>
      </c>
      <c r="EQ492" s="408">
        <v>0</v>
      </c>
      <c r="ER492" s="408">
        <v>0</v>
      </c>
      <c r="ES492" s="408">
        <v>0</v>
      </c>
      <c r="ET492" s="408">
        <v>0</v>
      </c>
      <c r="EU492" s="408">
        <v>0</v>
      </c>
      <c r="EV492" s="408">
        <v>240</v>
      </c>
      <c r="EW492" s="408">
        <v>0</v>
      </c>
      <c r="EX492" s="408">
        <v>0</v>
      </c>
      <c r="EY492" s="408">
        <v>0</v>
      </c>
      <c r="EZ492" s="408"/>
      <c r="FA492" s="408">
        <v>0</v>
      </c>
      <c r="FB492" s="408"/>
      <c r="FC492" s="408"/>
      <c r="FD492" s="408"/>
      <c r="FE492" s="408"/>
      <c r="FF492" s="408">
        <v>0</v>
      </c>
      <c r="FG492" s="408">
        <v>0</v>
      </c>
      <c r="FH492" s="408">
        <v>0</v>
      </c>
      <c r="FI492" s="408">
        <v>0</v>
      </c>
    </row>
    <row r="493" spans="1:165">
      <c r="A493" s="408">
        <v>491</v>
      </c>
      <c r="B493" s="408" t="s">
        <v>1036</v>
      </c>
      <c r="C493" s="408" t="s">
        <v>2235</v>
      </c>
      <c r="D493" s="408" t="s">
        <v>1958</v>
      </c>
      <c r="E493" s="408" t="s">
        <v>970</v>
      </c>
      <c r="F493" s="408" t="s">
        <v>1322</v>
      </c>
      <c r="G493" s="408" t="s">
        <v>1322</v>
      </c>
      <c r="H493" s="408" t="s">
        <v>1322</v>
      </c>
      <c r="I493" s="408" t="s">
        <v>1322</v>
      </c>
      <c r="J493" s="408" t="s">
        <v>2236</v>
      </c>
      <c r="K493" s="826">
        <v>44593</v>
      </c>
      <c r="L493" s="408">
        <v>0</v>
      </c>
      <c r="M493" s="408">
        <v>0</v>
      </c>
      <c r="N493" s="408">
        <v>544.46900000000005</v>
      </c>
      <c r="O493" s="408">
        <v>544.46900000000005</v>
      </c>
      <c r="P493" s="408">
        <v>544.46900000000005</v>
      </c>
      <c r="Q493" s="408">
        <v>544.46900000000005</v>
      </c>
      <c r="R493" s="408"/>
      <c r="S493" s="408">
        <v>368.24</v>
      </c>
      <c r="T493" s="408">
        <v>173.25</v>
      </c>
      <c r="U493" s="408"/>
      <c r="V493" s="408">
        <v>294824.51881000004</v>
      </c>
      <c r="W493" s="408">
        <v>294824.51881000004</v>
      </c>
      <c r="X493" s="408">
        <v>277074.82941000001</v>
      </c>
      <c r="Y493" s="408">
        <v>0</v>
      </c>
      <c r="Z493" s="408">
        <v>33509.444351378006</v>
      </c>
      <c r="AA493" s="408">
        <v>0</v>
      </c>
      <c r="AB493" s="408">
        <v>0</v>
      </c>
      <c r="AC493" s="408">
        <v>1393.5887495192953</v>
      </c>
      <c r="AD493" s="408">
        <v>1338.9262926752353</v>
      </c>
      <c r="AE493" s="408">
        <v>128242.65245439987</v>
      </c>
      <c r="AF493" s="408">
        <v>92745.105679114786</v>
      </c>
      <c r="AG493" s="408">
        <v>1582.8985331402641</v>
      </c>
      <c r="AH493" s="408">
        <v>0</v>
      </c>
      <c r="AI493" s="408">
        <v>0</v>
      </c>
      <c r="AJ493" s="408">
        <v>0</v>
      </c>
      <c r="AK493" s="408">
        <v>0</v>
      </c>
      <c r="AL493" s="408">
        <v>5177.3722060650889</v>
      </c>
      <c r="AM493" s="408"/>
      <c r="AN493" s="408">
        <v>657.6405374123558</v>
      </c>
      <c r="AO493" s="408">
        <v>2958.3154404855263</v>
      </c>
      <c r="AP493" s="408">
        <v>13794.188467688959</v>
      </c>
      <c r="AQ493" s="408">
        <v>0</v>
      </c>
      <c r="AR493" s="408">
        <v>0</v>
      </c>
      <c r="AS493" s="408">
        <v>0</v>
      </c>
      <c r="AT493" s="408">
        <v>0</v>
      </c>
      <c r="AU493" s="408">
        <v>0</v>
      </c>
      <c r="AV493" s="408">
        <v>0</v>
      </c>
      <c r="AW493" s="408">
        <v>0</v>
      </c>
      <c r="AX493" s="408">
        <v>0</v>
      </c>
      <c r="AY493" s="408">
        <v>0</v>
      </c>
      <c r="AZ493" s="408">
        <v>0</v>
      </c>
      <c r="BA493" s="408"/>
      <c r="BB493" s="408">
        <v>0</v>
      </c>
      <c r="BC493" s="408">
        <v>0</v>
      </c>
      <c r="BD493" s="408">
        <v>0</v>
      </c>
      <c r="BE493" s="408">
        <v>0</v>
      </c>
      <c r="BF493" s="408">
        <v>0</v>
      </c>
      <c r="BG493" s="408">
        <v>4867.439515185516</v>
      </c>
      <c r="BH493" s="408">
        <v>0</v>
      </c>
      <c r="BI493" s="408">
        <v>248.28</v>
      </c>
      <c r="BJ493" s="408">
        <v>2140.6</v>
      </c>
      <c r="BK493" s="408">
        <v>73642.48</v>
      </c>
      <c r="BL493" s="408">
        <v>291</v>
      </c>
      <c r="BM493" s="408"/>
      <c r="BN493" s="408"/>
      <c r="BO493" s="408"/>
      <c r="BP493" s="408"/>
      <c r="BQ493" s="408"/>
      <c r="BR493" s="408"/>
      <c r="BS493" s="408"/>
      <c r="BT493" s="408"/>
      <c r="BU493" s="408"/>
      <c r="BV493" s="408">
        <v>97612.545194300299</v>
      </c>
      <c r="BW493" s="408"/>
      <c r="BX493" s="408"/>
      <c r="BY493" s="408"/>
      <c r="BZ493" s="408"/>
      <c r="CA493" s="408"/>
      <c r="CB493" s="408"/>
      <c r="CC493" s="408"/>
      <c r="CD493" s="408"/>
      <c r="CE493" s="408"/>
      <c r="CF493" s="408"/>
      <c r="CG493" s="408"/>
      <c r="CH493" s="408"/>
      <c r="CI493" s="408">
        <v>277075.3383</v>
      </c>
      <c r="CJ493" s="408">
        <v>-17749.210510000063</v>
      </c>
      <c r="CK493" s="408"/>
      <c r="CL493" s="408"/>
      <c r="CM493" s="408"/>
      <c r="CN493" s="408"/>
      <c r="CO493" s="408">
        <v>-29504.775110000002</v>
      </c>
      <c r="CP493" s="408">
        <v>11755.085710000003</v>
      </c>
      <c r="CQ493" s="408">
        <v>29</v>
      </c>
      <c r="CR493" s="408">
        <v>14105.663399582205</v>
      </c>
      <c r="CS493" s="408">
        <v>294.78981041486122</v>
      </c>
      <c r="CT493" s="408">
        <v>1374.5613965188113</v>
      </c>
      <c r="CU493" s="408">
        <v>0</v>
      </c>
      <c r="CV493" s="408">
        <v>0</v>
      </c>
      <c r="CW493" s="408">
        <v>0</v>
      </c>
      <c r="CX493" s="408">
        <v>0</v>
      </c>
      <c r="CY493" s="408">
        <v>0</v>
      </c>
      <c r="CZ493" s="408">
        <v>1378.6504455734266</v>
      </c>
      <c r="DA493" s="408">
        <v>0</v>
      </c>
      <c r="DB493" s="408">
        <v>0</v>
      </c>
      <c r="DC493" s="408">
        <v>11753.758492845853</v>
      </c>
      <c r="DD493" s="408">
        <v>0</v>
      </c>
      <c r="DE493" s="408">
        <v>0</v>
      </c>
      <c r="DF493" s="408">
        <v>0</v>
      </c>
      <c r="DG493" s="408">
        <v>616.85959729204387</v>
      </c>
      <c r="DH493" s="408">
        <v>0</v>
      </c>
      <c r="DI493" s="408">
        <v>-1137.874692621881</v>
      </c>
      <c r="DJ493" s="408"/>
      <c r="DK493" s="408">
        <v>0</v>
      </c>
      <c r="DL493" s="408">
        <v>0</v>
      </c>
      <c r="DM493" s="408">
        <v>0</v>
      </c>
      <c r="DN493" s="408">
        <v>0</v>
      </c>
      <c r="DO493" s="408">
        <v>-156.47605929523434</v>
      </c>
      <c r="DP493" s="408">
        <v>-18.605591145770063</v>
      </c>
      <c r="DQ493" s="408">
        <v>0</v>
      </c>
      <c r="DR493" s="408">
        <v>0</v>
      </c>
      <c r="DS493" s="408"/>
      <c r="DT493" s="408"/>
      <c r="DU493" s="408"/>
      <c r="DV493" s="408">
        <v>128242.65245439987</v>
      </c>
      <c r="DW493" s="408">
        <v>0</v>
      </c>
      <c r="DX493" s="408">
        <v>0</v>
      </c>
      <c r="DY493" s="408">
        <v>-29504.775109999988</v>
      </c>
      <c r="DZ493" s="408">
        <v>11755.085709999999</v>
      </c>
      <c r="EA493" s="408">
        <v>0</v>
      </c>
      <c r="EB493" s="408">
        <v>0</v>
      </c>
      <c r="EC493" s="408">
        <v>-31857.650194145535</v>
      </c>
      <c r="ED493" s="408">
        <v>0</v>
      </c>
      <c r="EE493" s="408">
        <v>0</v>
      </c>
      <c r="EF493" s="408">
        <v>0</v>
      </c>
      <c r="EG493" s="408">
        <v>0</v>
      </c>
      <c r="EH493" s="408">
        <v>0</v>
      </c>
      <c r="EI493" s="408">
        <v>0</v>
      </c>
      <c r="EJ493" s="408">
        <v>0</v>
      </c>
      <c r="EK493" s="408">
        <v>0</v>
      </c>
      <c r="EL493" s="408">
        <v>0</v>
      </c>
      <c r="EM493" s="408">
        <v>0</v>
      </c>
      <c r="EN493" s="408">
        <v>0</v>
      </c>
      <c r="EO493" s="408">
        <v>0</v>
      </c>
      <c r="EP493" s="408">
        <v>8557.7144439800613</v>
      </c>
      <c r="EQ493" s="408">
        <v>0</v>
      </c>
      <c r="ER493" s="408">
        <v>0</v>
      </c>
      <c r="ES493" s="408">
        <v>0</v>
      </c>
      <c r="ET493" s="408">
        <v>0</v>
      </c>
      <c r="EU493" s="408">
        <v>0</v>
      </c>
      <c r="EV493" s="408">
        <v>240</v>
      </c>
      <c r="EW493" s="408">
        <v>0</v>
      </c>
      <c r="EX493" s="408">
        <v>0</v>
      </c>
      <c r="EY493" s="408">
        <v>0</v>
      </c>
      <c r="EZ493" s="408"/>
      <c r="FA493" s="408">
        <v>0</v>
      </c>
      <c r="FB493" s="408"/>
      <c r="FC493" s="408"/>
      <c r="FD493" s="408"/>
      <c r="FE493" s="408"/>
      <c r="FF493" s="408">
        <v>0</v>
      </c>
      <c r="FG493" s="408">
        <v>0</v>
      </c>
      <c r="FH493" s="408">
        <v>0</v>
      </c>
      <c r="FI493" s="408">
        <v>0</v>
      </c>
    </row>
    <row r="494" spans="1:165">
      <c r="A494" s="408">
        <v>492</v>
      </c>
      <c r="B494" s="408" t="s">
        <v>2238</v>
      </c>
      <c r="C494" s="408" t="s">
        <v>2235</v>
      </c>
      <c r="D494" s="408" t="s">
        <v>1958</v>
      </c>
      <c r="E494" s="408" t="s">
        <v>970</v>
      </c>
      <c r="F494" s="408" t="s">
        <v>1322</v>
      </c>
      <c r="G494" s="408" t="s">
        <v>1322</v>
      </c>
      <c r="H494" s="408" t="s">
        <v>1322</v>
      </c>
      <c r="I494" s="408" t="s">
        <v>1322</v>
      </c>
      <c r="J494" s="408" t="s">
        <v>2236</v>
      </c>
      <c r="K494" s="826">
        <v>44593</v>
      </c>
      <c r="L494" s="408">
        <v>0</v>
      </c>
      <c r="M494" s="408">
        <v>0</v>
      </c>
      <c r="N494" s="408">
        <v>37.426000000000002</v>
      </c>
      <c r="O494" s="408">
        <v>37.426000000000002</v>
      </c>
      <c r="P494" s="408">
        <v>37.426000000000002</v>
      </c>
      <c r="Q494" s="408">
        <v>37.426000000000002</v>
      </c>
      <c r="R494" s="408"/>
      <c r="S494" s="408">
        <v>368.24</v>
      </c>
      <c r="T494" s="408">
        <v>173.25</v>
      </c>
      <c r="U494" s="408"/>
      <c r="V494" s="408">
        <v>20265.80474</v>
      </c>
      <c r="W494" s="408">
        <v>20265.80474</v>
      </c>
      <c r="X494" s="408">
        <v>19045.717140000001</v>
      </c>
      <c r="Y494" s="408">
        <v>0</v>
      </c>
      <c r="Z494" s="408">
        <v>2303.3900264196368</v>
      </c>
      <c r="AA494" s="408">
        <v>0</v>
      </c>
      <c r="AB494" s="408">
        <v>0</v>
      </c>
      <c r="AC494" s="408">
        <v>95.793245418029571</v>
      </c>
      <c r="AD494" s="408">
        <v>92.035828356919055</v>
      </c>
      <c r="AE494" s="408">
        <v>8815.2117214356913</v>
      </c>
      <c r="AF494" s="408">
        <v>6375.1624521259246</v>
      </c>
      <c r="AG494" s="408">
        <v>108.80612211403684</v>
      </c>
      <c r="AH494" s="408">
        <v>0</v>
      </c>
      <c r="AI494" s="408">
        <v>0</v>
      </c>
      <c r="AJ494" s="408">
        <v>0</v>
      </c>
      <c r="AK494" s="408">
        <v>0</v>
      </c>
      <c r="AL494" s="408">
        <v>355.8849671591808</v>
      </c>
      <c r="AM494" s="408"/>
      <c r="AN494" s="408">
        <v>45.205245391739155</v>
      </c>
      <c r="AO494" s="408">
        <v>203.35026176992869</v>
      </c>
      <c r="AP494" s="408">
        <v>948.19227098646013</v>
      </c>
      <c r="AQ494" s="408">
        <v>0</v>
      </c>
      <c r="AR494" s="408">
        <v>0</v>
      </c>
      <c r="AS494" s="408">
        <v>0</v>
      </c>
      <c r="AT494" s="408">
        <v>0</v>
      </c>
      <c r="AU494" s="408">
        <v>0</v>
      </c>
      <c r="AV494" s="408">
        <v>0</v>
      </c>
      <c r="AW494" s="408">
        <v>0</v>
      </c>
      <c r="AX494" s="408">
        <v>0</v>
      </c>
      <c r="AY494" s="408">
        <v>0</v>
      </c>
      <c r="AZ494" s="408">
        <v>0</v>
      </c>
      <c r="BA494" s="408"/>
      <c r="BB494" s="408">
        <v>0</v>
      </c>
      <c r="BC494" s="408">
        <v>0</v>
      </c>
      <c r="BD494" s="408">
        <v>0</v>
      </c>
      <c r="BE494" s="408">
        <v>0</v>
      </c>
      <c r="BF494" s="408">
        <v>0</v>
      </c>
      <c r="BG494" s="408">
        <v>334.58064884379661</v>
      </c>
      <c r="BH494" s="408">
        <v>0</v>
      </c>
      <c r="BI494" s="408">
        <v>17.670000000000002</v>
      </c>
      <c r="BJ494" s="408">
        <v>153.88999999999999</v>
      </c>
      <c r="BK494" s="408">
        <v>11224.55</v>
      </c>
      <c r="BL494" s="408">
        <v>53</v>
      </c>
      <c r="BM494" s="408"/>
      <c r="BN494" s="408"/>
      <c r="BO494" s="408"/>
      <c r="BP494" s="408"/>
      <c r="BQ494" s="408"/>
      <c r="BR494" s="408"/>
      <c r="BS494" s="408"/>
      <c r="BT494" s="408"/>
      <c r="BU494" s="408"/>
      <c r="BV494" s="408">
        <v>6709.7431009697211</v>
      </c>
      <c r="BW494" s="408"/>
      <c r="BX494" s="408"/>
      <c r="BY494" s="408"/>
      <c r="BZ494" s="408"/>
      <c r="CA494" s="408"/>
      <c r="CB494" s="408"/>
      <c r="CC494" s="408"/>
      <c r="CD494" s="408"/>
      <c r="CE494" s="408"/>
      <c r="CF494" s="408"/>
      <c r="CG494" s="408"/>
      <c r="CH494" s="408"/>
      <c r="CI494" s="408">
        <v>19047.752700000001</v>
      </c>
      <c r="CJ494" s="408">
        <v>-1218.0820400000011</v>
      </c>
      <c r="CK494" s="408"/>
      <c r="CL494" s="408"/>
      <c r="CM494" s="408"/>
      <c r="CN494" s="408"/>
      <c r="CO494" s="408">
        <v>-2028.1149399999999</v>
      </c>
      <c r="CP494" s="408">
        <v>808.02734000000021</v>
      </c>
      <c r="CQ494" s="408">
        <v>29</v>
      </c>
      <c r="CR494" s="408">
        <v>969.60260068573007</v>
      </c>
      <c r="CS494" s="408">
        <v>20.263418935856038</v>
      </c>
      <c r="CT494" s="408">
        <v>94.485333097224952</v>
      </c>
      <c r="CU494" s="408">
        <v>0</v>
      </c>
      <c r="CV494" s="408">
        <v>0</v>
      </c>
      <c r="CW494" s="408">
        <v>0</v>
      </c>
      <c r="CX494" s="408">
        <v>0</v>
      </c>
      <c r="CY494" s="408">
        <v>0</v>
      </c>
      <c r="CZ494" s="408">
        <v>94.766408328171238</v>
      </c>
      <c r="DA494" s="408">
        <v>0</v>
      </c>
      <c r="DB494" s="408">
        <v>0</v>
      </c>
      <c r="DC494" s="408">
        <v>807.93610904064008</v>
      </c>
      <c r="DD494" s="408">
        <v>0</v>
      </c>
      <c r="DE494" s="408">
        <v>0</v>
      </c>
      <c r="DF494" s="408">
        <v>0</v>
      </c>
      <c r="DG494" s="408">
        <v>42.402023417774103</v>
      </c>
      <c r="DH494" s="408">
        <v>0</v>
      </c>
      <c r="DI494" s="408">
        <v>-78.21583643158101</v>
      </c>
      <c r="DJ494" s="408"/>
      <c r="DK494" s="408">
        <v>0</v>
      </c>
      <c r="DL494" s="408">
        <v>0</v>
      </c>
      <c r="DM494" s="408">
        <v>0</v>
      </c>
      <c r="DN494" s="408">
        <v>0</v>
      </c>
      <c r="DO494" s="408">
        <v>-10.755934672467049</v>
      </c>
      <c r="DP494" s="408">
        <v>-1.278921029887087</v>
      </c>
      <c r="DQ494" s="408">
        <v>0</v>
      </c>
      <c r="DR494" s="408">
        <v>0</v>
      </c>
      <c r="DS494" s="408"/>
      <c r="DT494" s="408"/>
      <c r="DU494" s="408"/>
      <c r="DV494" s="408">
        <v>8815.2117214356913</v>
      </c>
      <c r="DW494" s="408">
        <v>0</v>
      </c>
      <c r="DX494" s="408">
        <v>0</v>
      </c>
      <c r="DY494" s="408">
        <v>-2028.1149399999995</v>
      </c>
      <c r="DZ494" s="408">
        <v>808.02734000000055</v>
      </c>
      <c r="EA494" s="408">
        <v>0</v>
      </c>
      <c r="EB494" s="408">
        <v>0</v>
      </c>
      <c r="EC494" s="408">
        <v>-2189.8481202163775</v>
      </c>
      <c r="ED494" s="408">
        <v>0</v>
      </c>
      <c r="EE494" s="408">
        <v>0</v>
      </c>
      <c r="EF494" s="408">
        <v>0</v>
      </c>
      <c r="EG494" s="408">
        <v>0</v>
      </c>
      <c r="EH494" s="408">
        <v>0</v>
      </c>
      <c r="EI494" s="408">
        <v>0</v>
      </c>
      <c r="EJ494" s="408">
        <v>0</v>
      </c>
      <c r="EK494" s="408">
        <v>0</v>
      </c>
      <c r="EL494" s="408">
        <v>0</v>
      </c>
      <c r="EM494" s="408">
        <v>0</v>
      </c>
      <c r="EN494" s="408">
        <v>0</v>
      </c>
      <c r="EO494" s="408">
        <v>0</v>
      </c>
      <c r="EP494" s="408">
        <v>588.24473161997798</v>
      </c>
      <c r="EQ494" s="408">
        <v>0</v>
      </c>
      <c r="ER494" s="408">
        <v>0</v>
      </c>
      <c r="ES494" s="408">
        <v>0</v>
      </c>
      <c r="ET494" s="408">
        <v>0</v>
      </c>
      <c r="EU494" s="408">
        <v>0</v>
      </c>
      <c r="EV494" s="408">
        <v>240</v>
      </c>
      <c r="EW494" s="408">
        <v>0</v>
      </c>
      <c r="EX494" s="408">
        <v>0</v>
      </c>
      <c r="EY494" s="408">
        <v>0</v>
      </c>
      <c r="EZ494" s="408"/>
      <c r="FA494" s="408">
        <v>0</v>
      </c>
      <c r="FB494" s="408"/>
      <c r="FC494" s="408"/>
      <c r="FD494" s="408"/>
      <c r="FE494" s="408"/>
      <c r="FF494" s="408">
        <v>0</v>
      </c>
      <c r="FG494" s="408">
        <v>0</v>
      </c>
      <c r="FH494" s="408">
        <v>0</v>
      </c>
      <c r="FI494" s="408">
        <v>0</v>
      </c>
    </row>
    <row r="495" spans="1:165">
      <c r="A495" s="408">
        <v>493</v>
      </c>
      <c r="B495" s="408" t="s">
        <v>1036</v>
      </c>
      <c r="C495" s="408" t="s">
        <v>2247</v>
      </c>
      <c r="D495" s="408" t="s">
        <v>597</v>
      </c>
      <c r="E495" s="408" t="s">
        <v>970</v>
      </c>
      <c r="F495" s="408" t="s">
        <v>1322</v>
      </c>
      <c r="G495" s="408" t="s">
        <v>1322</v>
      </c>
      <c r="H495" s="408" t="s">
        <v>1322</v>
      </c>
      <c r="I495" s="408" t="s">
        <v>973</v>
      </c>
      <c r="J495" s="408" t="s">
        <v>2236</v>
      </c>
      <c r="K495" s="826">
        <v>44593</v>
      </c>
      <c r="L495" s="408">
        <v>10623</v>
      </c>
      <c r="M495" s="408">
        <v>10623</v>
      </c>
      <c r="N495" s="408">
        <v>508.399</v>
      </c>
      <c r="O495" s="408">
        <v>508.399</v>
      </c>
      <c r="P495" s="408">
        <v>508.399</v>
      </c>
      <c r="Q495" s="408">
        <v>508.399</v>
      </c>
      <c r="R495" s="408">
        <v>52.95</v>
      </c>
      <c r="S495" s="408">
        <v>85.01</v>
      </c>
      <c r="T495" s="408">
        <v>173.25</v>
      </c>
      <c r="U495" s="408">
        <v>562487.85</v>
      </c>
      <c r="V495" s="408">
        <v>131299.12573999999</v>
      </c>
      <c r="W495" s="408">
        <v>693786.97573999991</v>
      </c>
      <c r="X495" s="408">
        <v>611743.29933000007</v>
      </c>
      <c r="Y495" s="408">
        <v>0</v>
      </c>
      <c r="Z495" s="408">
        <v>27221.873346237717</v>
      </c>
      <c r="AA495" s="408">
        <v>0</v>
      </c>
      <c r="AB495" s="408">
        <v>0</v>
      </c>
      <c r="AC495" s="408">
        <v>8367.3786104749961</v>
      </c>
      <c r="AD495" s="408">
        <v>8038.9738717972614</v>
      </c>
      <c r="AE495" s="408">
        <v>445461.84370399435</v>
      </c>
      <c r="AF495" s="408">
        <v>86600.92490510254</v>
      </c>
      <c r="AG495" s="408">
        <v>1478.0346196936412</v>
      </c>
      <c r="AH495" s="408">
        <v>0</v>
      </c>
      <c r="AI495" s="408">
        <v>0</v>
      </c>
      <c r="AJ495" s="408">
        <v>0</v>
      </c>
      <c r="AK495" s="408">
        <v>0</v>
      </c>
      <c r="AL495" s="408">
        <v>4834.3814839619608</v>
      </c>
      <c r="AM495" s="408"/>
      <c r="AN495" s="408">
        <v>407.13294900335728</v>
      </c>
      <c r="AO495" s="408">
        <v>17762.196526330503</v>
      </c>
      <c r="AP495" s="408">
        <v>82821.421871948653</v>
      </c>
      <c r="AQ495" s="408">
        <v>0</v>
      </c>
      <c r="AR495" s="408">
        <v>0</v>
      </c>
      <c r="AS495" s="408">
        <v>0</v>
      </c>
      <c r="AT495" s="408">
        <v>0</v>
      </c>
      <c r="AU495" s="408">
        <v>0</v>
      </c>
      <c r="AV495" s="408">
        <v>0</v>
      </c>
      <c r="AW495" s="408">
        <v>0</v>
      </c>
      <c r="AX495" s="408">
        <v>0</v>
      </c>
      <c r="AY495" s="408">
        <v>0</v>
      </c>
      <c r="AZ495" s="408">
        <v>0</v>
      </c>
      <c r="BA495" s="408"/>
      <c r="BB495" s="408">
        <v>0</v>
      </c>
      <c r="BC495" s="408">
        <v>0</v>
      </c>
      <c r="BD495" s="408">
        <v>0</v>
      </c>
      <c r="BE495" s="408">
        <v>0</v>
      </c>
      <c r="BF495" s="408">
        <v>0</v>
      </c>
      <c r="BG495" s="408">
        <v>3802.1415281432201</v>
      </c>
      <c r="BH495" s="408">
        <v>0</v>
      </c>
      <c r="BI495" s="408">
        <v>0</v>
      </c>
      <c r="BJ495" s="408">
        <v>0</v>
      </c>
      <c r="BK495" s="408">
        <v>0</v>
      </c>
      <c r="BL495" s="408">
        <v>0</v>
      </c>
      <c r="BM495" s="408"/>
      <c r="BN495" s="408"/>
      <c r="BO495" s="408"/>
      <c r="BP495" s="408"/>
      <c r="BQ495" s="408"/>
      <c r="BR495" s="408"/>
      <c r="BS495" s="408"/>
      <c r="BT495" s="408"/>
      <c r="BU495" s="408"/>
      <c r="BV495" s="408">
        <v>90403.066433245753</v>
      </c>
      <c r="BW495" s="408"/>
      <c r="BX495" s="408"/>
      <c r="BY495" s="408"/>
      <c r="BZ495" s="408"/>
      <c r="CA495" s="408"/>
      <c r="CB495" s="408"/>
      <c r="CC495" s="408"/>
      <c r="CD495" s="408"/>
      <c r="CE495" s="408"/>
      <c r="CF495" s="408"/>
      <c r="CG495" s="408"/>
      <c r="CH495" s="408"/>
      <c r="CI495" s="408">
        <v>611743.57799999998</v>
      </c>
      <c r="CJ495" s="408">
        <v>-82043.427739999956</v>
      </c>
      <c r="CK495" s="408"/>
      <c r="CL495" s="408"/>
      <c r="CM495" s="408"/>
      <c r="CN495" s="408"/>
      <c r="CO495" s="408">
        <v>-93020.01082000004</v>
      </c>
      <c r="CP495" s="408">
        <v>10976.334410000001</v>
      </c>
      <c r="CQ495" s="408">
        <v>29</v>
      </c>
      <c r="CR495" s="408">
        <v>28675.372715271136</v>
      </c>
      <c r="CS495" s="408">
        <v>1769.9649181728928</v>
      </c>
      <c r="CT495" s="408">
        <v>8252.9776635023154</v>
      </c>
      <c r="CU495" s="408">
        <v>0</v>
      </c>
      <c r="CV495" s="408">
        <v>0</v>
      </c>
      <c r="CW495" s="408">
        <v>0</v>
      </c>
      <c r="CX495" s="408">
        <v>0</v>
      </c>
      <c r="CY495" s="408">
        <v>0</v>
      </c>
      <c r="CZ495" s="408">
        <v>8277.4794780989942</v>
      </c>
      <c r="DA495" s="408">
        <v>0</v>
      </c>
      <c r="DB495" s="408">
        <v>0</v>
      </c>
      <c r="DC495" s="408">
        <v>10975.095118370984</v>
      </c>
      <c r="DD495" s="408">
        <v>0</v>
      </c>
      <c r="DE495" s="408">
        <v>0</v>
      </c>
      <c r="DF495" s="408">
        <v>0</v>
      </c>
      <c r="DG495" s="408">
        <v>481.85241636398769</v>
      </c>
      <c r="DH495" s="408">
        <v>0</v>
      </c>
      <c r="DI495" s="408">
        <v>-924.36867772674668</v>
      </c>
      <c r="DJ495" s="408"/>
      <c r="DK495" s="408">
        <v>0</v>
      </c>
      <c r="DL495" s="408">
        <v>0</v>
      </c>
      <c r="DM495" s="408">
        <v>0</v>
      </c>
      <c r="DN495" s="408">
        <v>0</v>
      </c>
      <c r="DO495" s="408">
        <v>-146.10982823565337</v>
      </c>
      <c r="DP495" s="408">
        <v>-11.518373275670967</v>
      </c>
      <c r="DQ495" s="408">
        <v>0</v>
      </c>
      <c r="DR495" s="408">
        <v>0</v>
      </c>
      <c r="DS495" s="408"/>
      <c r="DT495" s="408"/>
      <c r="DU495" s="408">
        <v>445461.84370399435</v>
      </c>
      <c r="DV495" s="408">
        <v>0</v>
      </c>
      <c r="DW495" s="408">
        <v>0</v>
      </c>
      <c r="DX495" s="408">
        <v>0</v>
      </c>
      <c r="DY495" s="408">
        <v>-93020.010819999967</v>
      </c>
      <c r="DZ495" s="408">
        <v>10976.33441000001</v>
      </c>
      <c r="EA495" s="408">
        <v>0</v>
      </c>
      <c r="EB495" s="408">
        <v>0</v>
      </c>
      <c r="EC495" s="408">
        <v>-110660.27815205156</v>
      </c>
      <c r="ED495" s="408">
        <v>0</v>
      </c>
      <c r="EE495" s="408">
        <v>0</v>
      </c>
      <c r="EF495" s="408">
        <v>0</v>
      </c>
      <c r="EG495" s="408">
        <v>0</v>
      </c>
      <c r="EH495" s="408">
        <v>0</v>
      </c>
      <c r="EI495" s="408">
        <v>0</v>
      </c>
      <c r="EJ495" s="408">
        <v>0</v>
      </c>
      <c r="EK495" s="408">
        <v>0</v>
      </c>
      <c r="EL495" s="408">
        <v>0</v>
      </c>
      <c r="EM495" s="408">
        <v>0</v>
      </c>
      <c r="EN495" s="408">
        <v>0</v>
      </c>
      <c r="EO495" s="408">
        <v>0</v>
      </c>
      <c r="EP495" s="408">
        <v>6951.9809485505612</v>
      </c>
      <c r="EQ495" s="408">
        <v>0</v>
      </c>
      <c r="ER495" s="408">
        <v>0</v>
      </c>
      <c r="ES495" s="408">
        <v>0</v>
      </c>
      <c r="ET495" s="408">
        <v>0</v>
      </c>
      <c r="EU495" s="408">
        <v>0</v>
      </c>
      <c r="EV495" s="408">
        <v>240</v>
      </c>
      <c r="EW495" s="408">
        <v>0</v>
      </c>
      <c r="EX495" s="408">
        <v>0</v>
      </c>
      <c r="EY495" s="408">
        <v>0</v>
      </c>
      <c r="EZ495" s="408"/>
      <c r="FA495" s="408">
        <v>0</v>
      </c>
      <c r="FB495" s="408"/>
      <c r="FC495" s="408"/>
      <c r="FD495" s="408"/>
      <c r="FE495" s="408"/>
      <c r="FF495" s="408">
        <v>0</v>
      </c>
      <c r="FG495" s="408">
        <v>0</v>
      </c>
      <c r="FH495" s="408">
        <v>0</v>
      </c>
      <c r="FI495" s="408">
        <v>0</v>
      </c>
    </row>
    <row r="496" spans="1:165">
      <c r="A496" s="408">
        <v>494</v>
      </c>
      <c r="B496" s="408" t="s">
        <v>1036</v>
      </c>
      <c r="C496" s="408" t="s">
        <v>2247</v>
      </c>
      <c r="D496" s="408" t="s">
        <v>597</v>
      </c>
      <c r="E496" s="408" t="s">
        <v>970</v>
      </c>
      <c r="F496" s="408" t="s">
        <v>1322</v>
      </c>
      <c r="G496" s="408" t="s">
        <v>1322</v>
      </c>
      <c r="H496" s="408" t="s">
        <v>1322</v>
      </c>
      <c r="I496" s="408" t="s">
        <v>2244</v>
      </c>
      <c r="J496" s="408" t="s">
        <v>2236</v>
      </c>
      <c r="K496" s="826">
        <v>44593</v>
      </c>
      <c r="L496" s="408">
        <v>11260</v>
      </c>
      <c r="M496" s="408">
        <v>11260</v>
      </c>
      <c r="N496" s="408">
        <v>4317.4359999999997</v>
      </c>
      <c r="O496" s="408">
        <v>4317.4359999999997</v>
      </c>
      <c r="P496" s="408">
        <v>4317.4359999999997</v>
      </c>
      <c r="Q496" s="408">
        <v>4317.4359999999997</v>
      </c>
      <c r="R496" s="408">
        <v>27.19</v>
      </c>
      <c r="S496" s="408">
        <v>85.01</v>
      </c>
      <c r="T496" s="408">
        <v>173.25</v>
      </c>
      <c r="U496" s="408">
        <v>306159.40000000002</v>
      </c>
      <c r="V496" s="408">
        <v>1115021.0213599999</v>
      </c>
      <c r="W496" s="408">
        <v>1421180.42136</v>
      </c>
      <c r="X496" s="408">
        <v>1448157.49012</v>
      </c>
      <c r="Y496" s="408">
        <v>0</v>
      </c>
      <c r="Z496" s="408">
        <v>231174.12892725432</v>
      </c>
      <c r="AA496" s="408">
        <v>0</v>
      </c>
      <c r="AB496" s="408">
        <v>0</v>
      </c>
      <c r="AC496" s="408">
        <v>2625.8389071943707</v>
      </c>
      <c r="AD496" s="408">
        <v>2522.6322913109743</v>
      </c>
      <c r="AE496" s="408">
        <v>269474.66053797596</v>
      </c>
      <c r="AF496" s="408">
        <v>735434.07996197138</v>
      </c>
      <c r="AG496" s="408">
        <v>12551.794705165892</v>
      </c>
      <c r="AH496" s="408">
        <v>0</v>
      </c>
      <c r="AI496" s="408">
        <v>0</v>
      </c>
      <c r="AJ496" s="408">
        <v>0</v>
      </c>
      <c r="AK496" s="408">
        <v>0</v>
      </c>
      <c r="AL496" s="408">
        <v>41054.629644414708</v>
      </c>
      <c r="AM496" s="408"/>
      <c r="AN496" s="408">
        <v>3457.4624474345128</v>
      </c>
      <c r="AO496" s="408">
        <v>5572.4031980786249</v>
      </c>
      <c r="AP496" s="408">
        <v>25989.080372309378</v>
      </c>
      <c r="AQ496" s="408">
        <v>0</v>
      </c>
      <c r="AR496" s="408">
        <v>0</v>
      </c>
      <c r="AS496" s="408">
        <v>0</v>
      </c>
      <c r="AT496" s="408">
        <v>0</v>
      </c>
      <c r="AU496" s="408">
        <v>0</v>
      </c>
      <c r="AV496" s="408">
        <v>0</v>
      </c>
      <c r="AW496" s="408">
        <v>0</v>
      </c>
      <c r="AX496" s="408">
        <v>0</v>
      </c>
      <c r="AY496" s="408">
        <v>0</v>
      </c>
      <c r="AZ496" s="408">
        <v>0</v>
      </c>
      <c r="BA496" s="408"/>
      <c r="BB496" s="408">
        <v>0</v>
      </c>
      <c r="BC496" s="408">
        <v>0</v>
      </c>
      <c r="BD496" s="408">
        <v>0</v>
      </c>
      <c r="BE496" s="408">
        <v>0</v>
      </c>
      <c r="BF496" s="408">
        <v>0</v>
      </c>
      <c r="BG496" s="408">
        <v>32288.621163103289</v>
      </c>
      <c r="BH496" s="408">
        <v>0</v>
      </c>
      <c r="BI496" s="408">
        <v>0</v>
      </c>
      <c r="BJ496" s="408">
        <v>0</v>
      </c>
      <c r="BK496" s="408">
        <v>0</v>
      </c>
      <c r="BL496" s="408">
        <v>0</v>
      </c>
      <c r="BM496" s="408"/>
      <c r="BN496" s="408"/>
      <c r="BO496" s="408"/>
      <c r="BP496" s="408"/>
      <c r="BQ496" s="408"/>
      <c r="BR496" s="408"/>
      <c r="BS496" s="408"/>
      <c r="BT496" s="408"/>
      <c r="BU496" s="408"/>
      <c r="BV496" s="408">
        <v>767722.70112507464</v>
      </c>
      <c r="BW496" s="408"/>
      <c r="BX496" s="408"/>
      <c r="BY496" s="408"/>
      <c r="BZ496" s="408"/>
      <c r="CA496" s="408"/>
      <c r="CB496" s="408"/>
      <c r="CC496" s="408"/>
      <c r="CD496" s="408"/>
      <c r="CE496" s="408"/>
      <c r="CF496" s="408"/>
      <c r="CG496" s="408"/>
      <c r="CH496" s="408"/>
      <c r="CI496" s="408">
        <v>1448158.6047999999</v>
      </c>
      <c r="CJ496" s="408">
        <v>26978.153439999791</v>
      </c>
      <c r="CK496" s="408"/>
      <c r="CL496" s="408"/>
      <c r="CM496" s="408"/>
      <c r="CN496" s="408"/>
      <c r="CO496" s="408">
        <v>-66236.374480000028</v>
      </c>
      <c r="CP496" s="408">
        <v>93213.443240000008</v>
      </c>
      <c r="CQ496" s="408">
        <v>29</v>
      </c>
      <c r="CR496" s="408">
        <v>93848.870072054211</v>
      </c>
      <c r="CS496" s="408">
        <v>555.27806799641166</v>
      </c>
      <c r="CT496" s="408">
        <v>2589.7563089324576</v>
      </c>
      <c r="CU496" s="408">
        <v>0</v>
      </c>
      <c r="CV496" s="408">
        <v>0</v>
      </c>
      <c r="CW496" s="408">
        <v>0</v>
      </c>
      <c r="CX496" s="408">
        <v>0</v>
      </c>
      <c r="CY496" s="408">
        <v>0</v>
      </c>
      <c r="CZ496" s="408">
        <v>2597.475418519819</v>
      </c>
      <c r="DA496" s="408">
        <v>0</v>
      </c>
      <c r="DB496" s="408">
        <v>0</v>
      </c>
      <c r="DC496" s="408">
        <v>93202.918903221958</v>
      </c>
      <c r="DD496" s="408">
        <v>0</v>
      </c>
      <c r="DE496" s="408">
        <v>0</v>
      </c>
      <c r="DF496" s="408">
        <v>0</v>
      </c>
      <c r="DG496" s="408">
        <v>4091.9965796487995</v>
      </c>
      <c r="DH496" s="408">
        <v>0</v>
      </c>
      <c r="DI496" s="408">
        <v>-7849.9418891261739</v>
      </c>
      <c r="DJ496" s="408"/>
      <c r="DK496" s="408">
        <v>0</v>
      </c>
      <c r="DL496" s="408">
        <v>0</v>
      </c>
      <c r="DM496" s="408">
        <v>0</v>
      </c>
      <c r="DN496" s="408">
        <v>0</v>
      </c>
      <c r="DO496" s="408">
        <v>-1240.7967607694518</v>
      </c>
      <c r="DP496" s="408">
        <v>-97.816556369741193</v>
      </c>
      <c r="DQ496" s="408">
        <v>0</v>
      </c>
      <c r="DR496" s="408">
        <v>0</v>
      </c>
      <c r="DS496" s="408"/>
      <c r="DT496" s="408"/>
      <c r="DU496" s="408">
        <v>269474.66053797596</v>
      </c>
      <c r="DV496" s="408">
        <v>0</v>
      </c>
      <c r="DW496" s="408">
        <v>0</v>
      </c>
      <c r="DX496" s="408">
        <v>0</v>
      </c>
      <c r="DY496" s="408">
        <v>-66236.374479999999</v>
      </c>
      <c r="DZ496" s="408">
        <v>93213.443240000051</v>
      </c>
      <c r="EA496" s="408">
        <v>0</v>
      </c>
      <c r="EB496" s="408">
        <v>0</v>
      </c>
      <c r="EC496" s="408">
        <v>-66942.076659381331</v>
      </c>
      <c r="ED496" s="408">
        <v>0</v>
      </c>
      <c r="EE496" s="408">
        <v>0</v>
      </c>
      <c r="EF496" s="408">
        <v>0</v>
      </c>
      <c r="EG496" s="408">
        <v>0</v>
      </c>
      <c r="EH496" s="408">
        <v>0</v>
      </c>
      <c r="EI496" s="408">
        <v>0</v>
      </c>
      <c r="EJ496" s="408">
        <v>0</v>
      </c>
      <c r="EK496" s="408">
        <v>0</v>
      </c>
      <c r="EL496" s="408">
        <v>0</v>
      </c>
      <c r="EM496" s="408">
        <v>0</v>
      </c>
      <c r="EN496" s="408">
        <v>0</v>
      </c>
      <c r="EO496" s="408">
        <v>0</v>
      </c>
      <c r="EP496" s="408">
        <v>59037.749520723562</v>
      </c>
      <c r="EQ496" s="408">
        <v>0</v>
      </c>
      <c r="ER496" s="408">
        <v>0</v>
      </c>
      <c r="ES496" s="408">
        <v>0</v>
      </c>
      <c r="ET496" s="408">
        <v>0</v>
      </c>
      <c r="EU496" s="408">
        <v>0</v>
      </c>
      <c r="EV496" s="408">
        <v>240</v>
      </c>
      <c r="EW496" s="408">
        <v>0</v>
      </c>
      <c r="EX496" s="408">
        <v>0</v>
      </c>
      <c r="EY496" s="408">
        <v>0</v>
      </c>
      <c r="EZ496" s="408"/>
      <c r="FA496" s="408">
        <v>0</v>
      </c>
      <c r="FB496" s="408"/>
      <c r="FC496" s="408"/>
      <c r="FD496" s="408"/>
      <c r="FE496" s="408"/>
      <c r="FF496" s="408">
        <v>0</v>
      </c>
      <c r="FG496" s="408">
        <v>0</v>
      </c>
      <c r="FH496" s="408">
        <v>0</v>
      </c>
      <c r="FI496" s="408">
        <v>0</v>
      </c>
    </row>
    <row r="497" spans="1:165">
      <c r="A497" s="408">
        <v>495</v>
      </c>
      <c r="B497" s="408" t="s">
        <v>1036</v>
      </c>
      <c r="C497" s="408" t="s">
        <v>2247</v>
      </c>
      <c r="D497" s="408" t="s">
        <v>597</v>
      </c>
      <c r="E497" s="408" t="s">
        <v>970</v>
      </c>
      <c r="F497" s="408" t="s">
        <v>1322</v>
      </c>
      <c r="G497" s="408" t="s">
        <v>1322</v>
      </c>
      <c r="H497" s="408" t="s">
        <v>1322</v>
      </c>
      <c r="I497" s="408" t="s">
        <v>1322</v>
      </c>
      <c r="J497" s="408" t="s">
        <v>2236</v>
      </c>
      <c r="K497" s="826">
        <v>44593</v>
      </c>
      <c r="L497" s="408">
        <v>0</v>
      </c>
      <c r="M497" s="408">
        <v>0</v>
      </c>
      <c r="N497" s="408">
        <v>0</v>
      </c>
      <c r="O497" s="408">
        <v>0</v>
      </c>
      <c r="P497" s="408">
        <v>0</v>
      </c>
      <c r="Q497" s="408">
        <v>0</v>
      </c>
      <c r="R497" s="408"/>
      <c r="S497" s="408"/>
      <c r="T497" s="408"/>
      <c r="U497" s="408"/>
      <c r="V497" s="408"/>
      <c r="W497" s="408"/>
      <c r="X497" s="408"/>
      <c r="Y497" s="408"/>
      <c r="Z497" s="408"/>
      <c r="AA497" s="408">
        <v>0</v>
      </c>
      <c r="AB497" s="408"/>
      <c r="AC497" s="408"/>
      <c r="AD497" s="408"/>
      <c r="AE497" s="408"/>
      <c r="AF497" s="408"/>
      <c r="AG497" s="408"/>
      <c r="AH497" s="408"/>
      <c r="AI497" s="408"/>
      <c r="AJ497" s="408"/>
      <c r="AK497" s="408"/>
      <c r="AL497" s="408"/>
      <c r="AM497" s="408"/>
      <c r="AN497" s="408"/>
      <c r="AO497" s="408"/>
      <c r="AP497" s="408"/>
      <c r="AQ497" s="408"/>
      <c r="AR497" s="408"/>
      <c r="AS497" s="408"/>
      <c r="AT497" s="408"/>
      <c r="AU497" s="408"/>
      <c r="AV497" s="408"/>
      <c r="AW497" s="408"/>
      <c r="AX497" s="408"/>
      <c r="AY497" s="408"/>
      <c r="AZ497" s="408">
        <v>0</v>
      </c>
      <c r="BA497" s="408"/>
      <c r="BB497" s="408"/>
      <c r="BC497" s="408"/>
      <c r="BD497" s="408"/>
      <c r="BE497" s="408"/>
      <c r="BF497" s="408"/>
      <c r="BG497" s="408"/>
      <c r="BH497" s="408"/>
      <c r="BI497" s="408">
        <v>1947.99</v>
      </c>
      <c r="BJ497" s="408">
        <v>16697.189999999999</v>
      </c>
      <c r="BK497" s="408">
        <v>561773.49</v>
      </c>
      <c r="BL497" s="408">
        <v>5</v>
      </c>
      <c r="BM497" s="408"/>
      <c r="BN497" s="408"/>
      <c r="BO497" s="408"/>
      <c r="BP497" s="408"/>
      <c r="BQ497" s="408"/>
      <c r="BR497" s="408"/>
      <c r="BS497" s="408"/>
      <c r="BT497" s="408"/>
      <c r="BU497" s="408"/>
      <c r="BV497" s="408"/>
      <c r="BW497" s="408"/>
      <c r="BX497" s="408"/>
      <c r="BY497" s="408"/>
      <c r="BZ497" s="408"/>
      <c r="CA497" s="408"/>
      <c r="CB497" s="408"/>
      <c r="CC497" s="408"/>
      <c r="CD497" s="408"/>
      <c r="CE497" s="408"/>
      <c r="CF497" s="408"/>
      <c r="CG497" s="408"/>
      <c r="CH497" s="408"/>
      <c r="CI497" s="408"/>
      <c r="CJ497" s="408">
        <v>-0.03</v>
      </c>
      <c r="CK497" s="408"/>
      <c r="CL497" s="408"/>
      <c r="CM497" s="408"/>
      <c r="CN497" s="408"/>
      <c r="CO497" s="408">
        <v>0</v>
      </c>
      <c r="CP497" s="408">
        <v>0</v>
      </c>
      <c r="CQ497" s="408">
        <v>29</v>
      </c>
      <c r="CR497" s="408"/>
      <c r="CS497" s="408"/>
      <c r="CT497" s="408"/>
      <c r="CU497" s="408"/>
      <c r="CV497" s="408"/>
      <c r="CW497" s="408"/>
      <c r="CX497" s="408"/>
      <c r="CY497" s="408"/>
      <c r="CZ497" s="408"/>
      <c r="DA497" s="408"/>
      <c r="DB497" s="408"/>
      <c r="DC497" s="408"/>
      <c r="DD497" s="408"/>
      <c r="DE497" s="408"/>
      <c r="DF497" s="408"/>
      <c r="DG497" s="408"/>
      <c r="DH497" s="408"/>
      <c r="DI497" s="408"/>
      <c r="DJ497" s="408"/>
      <c r="DK497" s="408">
        <v>0</v>
      </c>
      <c r="DL497" s="408"/>
      <c r="DM497" s="408"/>
      <c r="DN497" s="408"/>
      <c r="DO497" s="408"/>
      <c r="DP497" s="408"/>
      <c r="DQ497" s="408"/>
      <c r="DR497" s="408"/>
      <c r="DS497" s="408"/>
      <c r="DT497" s="408"/>
      <c r="DU497" s="408"/>
      <c r="DV497" s="408"/>
      <c r="DW497" s="408"/>
      <c r="DX497" s="408"/>
      <c r="DY497" s="408"/>
      <c r="DZ497" s="408"/>
      <c r="EA497" s="408"/>
      <c r="EB497" s="408"/>
      <c r="EC497" s="408"/>
      <c r="ED497" s="408"/>
      <c r="EE497" s="408"/>
      <c r="EF497" s="408"/>
      <c r="EG497" s="408"/>
      <c r="EH497" s="408"/>
      <c r="EI497" s="408"/>
      <c r="EJ497" s="408"/>
      <c r="EK497" s="408"/>
      <c r="EL497" s="408"/>
      <c r="EM497" s="408"/>
      <c r="EN497" s="408"/>
      <c r="EO497" s="408"/>
      <c r="EP497" s="408"/>
      <c r="EQ497" s="408"/>
      <c r="ER497" s="408"/>
      <c r="ES497" s="408"/>
      <c r="ET497" s="408"/>
      <c r="EU497" s="408"/>
      <c r="EV497" s="408">
        <v>240</v>
      </c>
      <c r="EW497" s="408"/>
      <c r="EX497" s="408"/>
      <c r="EY497" s="408"/>
      <c r="EZ497" s="408"/>
      <c r="FA497" s="408">
        <v>0</v>
      </c>
      <c r="FB497" s="408"/>
      <c r="FC497" s="408"/>
      <c r="FD497" s="408"/>
      <c r="FE497" s="408"/>
      <c r="FF497" s="408">
        <v>0</v>
      </c>
      <c r="FG497" s="408">
        <v>0</v>
      </c>
      <c r="FH497" s="408">
        <v>0</v>
      </c>
      <c r="FI497" s="408">
        <v>0</v>
      </c>
    </row>
    <row r="498" spans="1:165">
      <c r="A498" s="408">
        <v>496</v>
      </c>
      <c r="B498" s="408" t="s">
        <v>1036</v>
      </c>
      <c r="C498" s="408" t="s">
        <v>2243</v>
      </c>
      <c r="D498" s="408" t="s">
        <v>597</v>
      </c>
      <c r="E498" s="408" t="s">
        <v>970</v>
      </c>
      <c r="F498" s="408" t="s">
        <v>1322</v>
      </c>
      <c r="G498" s="408" t="s">
        <v>1322</v>
      </c>
      <c r="H498" s="408" t="s">
        <v>1322</v>
      </c>
      <c r="I498" s="408" t="s">
        <v>973</v>
      </c>
      <c r="J498" s="408" t="s">
        <v>2236</v>
      </c>
      <c r="K498" s="826">
        <v>44593</v>
      </c>
      <c r="L498" s="408">
        <v>0</v>
      </c>
      <c r="M498" s="408">
        <v>0</v>
      </c>
      <c r="N498" s="408">
        <v>172.44499999999999</v>
      </c>
      <c r="O498" s="408">
        <v>172.44499999999999</v>
      </c>
      <c r="P498" s="408">
        <v>172.44499999999999</v>
      </c>
      <c r="Q498" s="408">
        <v>172.44499999999999</v>
      </c>
      <c r="R498" s="408"/>
      <c r="S498" s="408">
        <v>1358.36</v>
      </c>
      <c r="T498" s="408">
        <v>173.25</v>
      </c>
      <c r="U498" s="408"/>
      <c r="V498" s="408">
        <v>264118.48644999997</v>
      </c>
      <c r="W498" s="408">
        <v>264118.48644999997</v>
      </c>
      <c r="X498" s="408">
        <v>231579.83939999997</v>
      </c>
      <c r="Y498" s="408">
        <v>0</v>
      </c>
      <c r="Z498" s="408">
        <v>9233.4484316294147</v>
      </c>
      <c r="AA498" s="408">
        <v>0</v>
      </c>
      <c r="AB498" s="408">
        <v>0</v>
      </c>
      <c r="AC498" s="408">
        <v>3266.4684230217294</v>
      </c>
      <c r="AD498" s="408">
        <v>3138.3533692602095</v>
      </c>
      <c r="AE498" s="408">
        <v>173912.11322363807</v>
      </c>
      <c r="AF498" s="408">
        <v>29374.3624500843</v>
      </c>
      <c r="AG498" s="408">
        <v>501.33788617418588</v>
      </c>
      <c r="AH498" s="408">
        <v>0</v>
      </c>
      <c r="AI498" s="408">
        <v>0</v>
      </c>
      <c r="AJ498" s="408">
        <v>0</v>
      </c>
      <c r="AK498" s="408">
        <v>0</v>
      </c>
      <c r="AL498" s="408">
        <v>1639.7847261733802</v>
      </c>
      <c r="AM498" s="408"/>
      <c r="AN498" s="408">
        <v>138.09634045480803</v>
      </c>
      <c r="AO498" s="408">
        <v>6934.1552331391385</v>
      </c>
      <c r="AP498" s="408">
        <v>32332.765167731432</v>
      </c>
      <c r="AQ498" s="408">
        <v>0</v>
      </c>
      <c r="AR498" s="408">
        <v>0</v>
      </c>
      <c r="AS498" s="408">
        <v>0</v>
      </c>
      <c r="AT498" s="408">
        <v>0</v>
      </c>
      <c r="AU498" s="408">
        <v>0</v>
      </c>
      <c r="AV498" s="408">
        <v>0</v>
      </c>
      <c r="AW498" s="408">
        <v>0</v>
      </c>
      <c r="AX498" s="408">
        <v>0</v>
      </c>
      <c r="AY498" s="408">
        <v>0</v>
      </c>
      <c r="AZ498" s="408">
        <v>0</v>
      </c>
      <c r="BA498" s="408"/>
      <c r="BB498" s="408">
        <v>0</v>
      </c>
      <c r="BC498" s="408">
        <v>0</v>
      </c>
      <c r="BD498" s="408">
        <v>0</v>
      </c>
      <c r="BE498" s="408">
        <v>0</v>
      </c>
      <c r="BF498" s="408">
        <v>0</v>
      </c>
      <c r="BG498" s="408">
        <v>1289.6569344563179</v>
      </c>
      <c r="BH498" s="408">
        <v>0</v>
      </c>
      <c r="BI498" s="408">
        <v>0</v>
      </c>
      <c r="BJ498" s="408">
        <v>0</v>
      </c>
      <c r="BK498" s="408">
        <v>0</v>
      </c>
      <c r="BL498" s="408">
        <v>0</v>
      </c>
      <c r="BM498" s="408"/>
      <c r="BN498" s="408"/>
      <c r="BO498" s="408"/>
      <c r="BP498" s="408"/>
      <c r="BQ498" s="408"/>
      <c r="BR498" s="408"/>
      <c r="BS498" s="408"/>
      <c r="BT498" s="408"/>
      <c r="BU498" s="408"/>
      <c r="BV498" s="408">
        <v>30664.019384540617</v>
      </c>
      <c r="BW498" s="408"/>
      <c r="BX498" s="408"/>
      <c r="BY498" s="408"/>
      <c r="BZ498" s="408"/>
      <c r="CA498" s="408"/>
      <c r="CB498" s="408"/>
      <c r="CC498" s="408"/>
      <c r="CD498" s="408"/>
      <c r="CE498" s="408"/>
      <c r="CF498" s="408"/>
      <c r="CG498" s="408"/>
      <c r="CH498" s="408"/>
      <c r="CI498" s="408">
        <v>231586.55399999997</v>
      </c>
      <c r="CJ498" s="408">
        <v>-32531.962450000021</v>
      </c>
      <c r="CK498" s="408"/>
      <c r="CL498" s="408"/>
      <c r="CM498" s="408"/>
      <c r="CN498" s="408"/>
      <c r="CO498" s="408">
        <v>-36261.734599999996</v>
      </c>
      <c r="CP498" s="408">
        <v>3723.0875500000006</v>
      </c>
      <c r="CQ498" s="408">
        <v>29</v>
      </c>
      <c r="CR498" s="408">
        <v>10663.431646795885</v>
      </c>
      <c r="CS498" s="408">
        <v>690.97374762333948</v>
      </c>
      <c r="CT498" s="408">
        <v>3221.8909395340343</v>
      </c>
      <c r="CU498" s="408">
        <v>0</v>
      </c>
      <c r="CV498" s="408">
        <v>0</v>
      </c>
      <c r="CW498" s="408">
        <v>0</v>
      </c>
      <c r="CX498" s="408">
        <v>0</v>
      </c>
      <c r="CY498" s="408">
        <v>0</v>
      </c>
      <c r="CZ498" s="408">
        <v>3231.4641176046553</v>
      </c>
      <c r="DA498" s="408">
        <v>0</v>
      </c>
      <c r="DB498" s="408">
        <v>0</v>
      </c>
      <c r="DC498" s="408">
        <v>3722.6671918856737</v>
      </c>
      <c r="DD498" s="408">
        <v>0</v>
      </c>
      <c r="DE498" s="408">
        <v>0</v>
      </c>
      <c r="DF498" s="408">
        <v>0</v>
      </c>
      <c r="DG498" s="408">
        <v>163.44060460364358</v>
      </c>
      <c r="DH498" s="408">
        <v>0</v>
      </c>
      <c r="DI498" s="408">
        <v>-313.53869034083255</v>
      </c>
      <c r="DJ498" s="408"/>
      <c r="DK498" s="408">
        <v>0</v>
      </c>
      <c r="DL498" s="408">
        <v>0</v>
      </c>
      <c r="DM498" s="408">
        <v>0</v>
      </c>
      <c r="DN498" s="408">
        <v>0</v>
      </c>
      <c r="DO498" s="408">
        <v>-49.559321182963231</v>
      </c>
      <c r="DP498" s="408">
        <v>-3.9069429316798221</v>
      </c>
      <c r="DQ498" s="408">
        <v>0</v>
      </c>
      <c r="DR498" s="408">
        <v>0</v>
      </c>
      <c r="DS498" s="408"/>
      <c r="DT498" s="408"/>
      <c r="DU498" s="408"/>
      <c r="DV498" s="408">
        <v>173912.11322363807</v>
      </c>
      <c r="DW498" s="408">
        <v>0</v>
      </c>
      <c r="DX498" s="408">
        <v>0</v>
      </c>
      <c r="DY498" s="408">
        <v>-36261.734599999996</v>
      </c>
      <c r="DZ498" s="408">
        <v>3723.0875500000002</v>
      </c>
      <c r="EA498" s="408">
        <v>0</v>
      </c>
      <c r="EB498" s="408">
        <v>0</v>
      </c>
      <c r="EC498" s="408">
        <v>-43202.718920472485</v>
      </c>
      <c r="ED498" s="408">
        <v>0</v>
      </c>
      <c r="EE498" s="408">
        <v>0</v>
      </c>
      <c r="EF498" s="408">
        <v>0</v>
      </c>
      <c r="EG498" s="408">
        <v>0</v>
      </c>
      <c r="EH498" s="408">
        <v>0</v>
      </c>
      <c r="EI498" s="408">
        <v>0</v>
      </c>
      <c r="EJ498" s="408">
        <v>0</v>
      </c>
      <c r="EK498" s="408">
        <v>0</v>
      </c>
      <c r="EL498" s="408">
        <v>0</v>
      </c>
      <c r="EM498" s="408">
        <v>0</v>
      </c>
      <c r="EN498" s="408">
        <v>0</v>
      </c>
      <c r="EO498" s="408">
        <v>0</v>
      </c>
      <c r="EP498" s="408">
        <v>2358.0580502180401</v>
      </c>
      <c r="EQ498" s="408">
        <v>0</v>
      </c>
      <c r="ER498" s="408">
        <v>0</v>
      </c>
      <c r="ES498" s="408">
        <v>0</v>
      </c>
      <c r="ET498" s="408">
        <v>0</v>
      </c>
      <c r="EU498" s="408">
        <v>0</v>
      </c>
      <c r="EV498" s="408">
        <v>240</v>
      </c>
      <c r="EW498" s="408">
        <v>0</v>
      </c>
      <c r="EX498" s="408">
        <v>0</v>
      </c>
      <c r="EY498" s="408">
        <v>0</v>
      </c>
      <c r="EZ498" s="408"/>
      <c r="FA498" s="408">
        <v>0</v>
      </c>
      <c r="FB498" s="408"/>
      <c r="FC498" s="408"/>
      <c r="FD498" s="408"/>
      <c r="FE498" s="408"/>
      <c r="FF498" s="408">
        <v>0</v>
      </c>
      <c r="FG498" s="408">
        <v>0</v>
      </c>
      <c r="FH498" s="408">
        <v>0</v>
      </c>
      <c r="FI498" s="408">
        <v>0</v>
      </c>
    </row>
    <row r="499" spans="1:165">
      <c r="A499" s="408">
        <v>497</v>
      </c>
      <c r="B499" s="408" t="s">
        <v>2238</v>
      </c>
      <c r="C499" s="408" t="s">
        <v>2243</v>
      </c>
      <c r="D499" s="408" t="s">
        <v>597</v>
      </c>
      <c r="E499" s="408" t="s">
        <v>970</v>
      </c>
      <c r="F499" s="408" t="s">
        <v>1322</v>
      </c>
      <c r="G499" s="408" t="s">
        <v>1322</v>
      </c>
      <c r="H499" s="408" t="s">
        <v>1322</v>
      </c>
      <c r="I499" s="408" t="s">
        <v>973</v>
      </c>
      <c r="J499" s="408" t="s">
        <v>2236</v>
      </c>
      <c r="K499" s="826">
        <v>44593</v>
      </c>
      <c r="L499" s="408">
        <v>0</v>
      </c>
      <c r="M499" s="408">
        <v>0</v>
      </c>
      <c r="N499" s="408">
        <v>8.5999999999999993E-2</v>
      </c>
      <c r="O499" s="408">
        <v>8.5999999999999993E-2</v>
      </c>
      <c r="P499" s="408">
        <v>8.5999999999999993E-2</v>
      </c>
      <c r="Q499" s="408">
        <v>8.5999999999999993E-2</v>
      </c>
      <c r="R499" s="408"/>
      <c r="S499" s="408">
        <v>1358.36</v>
      </c>
      <c r="T499" s="408">
        <v>173.25</v>
      </c>
      <c r="U499" s="408"/>
      <c r="V499" s="408">
        <v>131.71845999999996</v>
      </c>
      <c r="W499" s="408">
        <v>131.71845999999996</v>
      </c>
      <c r="X499" s="408">
        <v>115.49112</v>
      </c>
      <c r="Y499" s="408">
        <v>0</v>
      </c>
      <c r="Z499" s="408">
        <v>4.6048106069768888</v>
      </c>
      <c r="AA499" s="408">
        <v>0</v>
      </c>
      <c r="AB499" s="408">
        <v>0</v>
      </c>
      <c r="AC499" s="408">
        <v>1.6290195968562076</v>
      </c>
      <c r="AD499" s="408">
        <v>1.5651273725325641</v>
      </c>
      <c r="AE499" s="408">
        <v>86.731663644830945</v>
      </c>
      <c r="AF499" s="408">
        <v>14.649280470336917</v>
      </c>
      <c r="AG499" s="408">
        <v>0.25002208362654749</v>
      </c>
      <c r="AH499" s="408">
        <v>0</v>
      </c>
      <c r="AI499" s="408">
        <v>0</v>
      </c>
      <c r="AJ499" s="408">
        <v>0</v>
      </c>
      <c r="AK499" s="408">
        <v>0</v>
      </c>
      <c r="AL499" s="408">
        <v>0.81777660384998518</v>
      </c>
      <c r="AM499" s="408"/>
      <c r="AN499" s="408">
        <v>6.8869989150821945E-2</v>
      </c>
      <c r="AO499" s="408">
        <v>3.4581307086315398</v>
      </c>
      <c r="AP499" s="408">
        <v>16.124664701353492</v>
      </c>
      <c r="AQ499" s="408">
        <v>0</v>
      </c>
      <c r="AR499" s="408">
        <v>0</v>
      </c>
      <c r="AS499" s="408">
        <v>0</v>
      </c>
      <c r="AT499" s="408">
        <v>0</v>
      </c>
      <c r="AU499" s="408">
        <v>0</v>
      </c>
      <c r="AV499" s="408">
        <v>0</v>
      </c>
      <c r="AW499" s="408">
        <v>0</v>
      </c>
      <c r="AX499" s="408">
        <v>0</v>
      </c>
      <c r="AY499" s="408">
        <v>0</v>
      </c>
      <c r="AZ499" s="408">
        <v>0</v>
      </c>
      <c r="BA499" s="408"/>
      <c r="BB499" s="408">
        <v>0</v>
      </c>
      <c r="BC499" s="408">
        <v>0</v>
      </c>
      <c r="BD499" s="408">
        <v>0</v>
      </c>
      <c r="BE499" s="408">
        <v>0</v>
      </c>
      <c r="BF499" s="408">
        <v>0</v>
      </c>
      <c r="BG499" s="408">
        <v>0.64316446613844025</v>
      </c>
      <c r="BH499" s="408">
        <v>0</v>
      </c>
      <c r="BI499" s="408">
        <v>0</v>
      </c>
      <c r="BJ499" s="408">
        <v>0</v>
      </c>
      <c r="BK499" s="408">
        <v>0</v>
      </c>
      <c r="BL499" s="408">
        <v>0</v>
      </c>
      <c r="BM499" s="408"/>
      <c r="BN499" s="408"/>
      <c r="BO499" s="408"/>
      <c r="BP499" s="408"/>
      <c r="BQ499" s="408"/>
      <c r="BR499" s="408"/>
      <c r="BS499" s="408"/>
      <c r="BT499" s="408"/>
      <c r="BU499" s="408"/>
      <c r="BV499" s="408">
        <v>15.292444936475357</v>
      </c>
      <c r="BW499" s="408"/>
      <c r="BX499" s="408"/>
      <c r="BY499" s="408"/>
      <c r="BZ499" s="408"/>
      <c r="CA499" s="408"/>
      <c r="CB499" s="408"/>
      <c r="CC499" s="408"/>
      <c r="CD499" s="408"/>
      <c r="CE499" s="408"/>
      <c r="CF499" s="408"/>
      <c r="CG499" s="408"/>
      <c r="CH499" s="408"/>
      <c r="CI499" s="408">
        <v>120.86279999999999</v>
      </c>
      <c r="CJ499" s="408">
        <v>-10.885659999999973</v>
      </c>
      <c r="CK499" s="408"/>
      <c r="CL499" s="408"/>
      <c r="CM499" s="408"/>
      <c r="CN499" s="408"/>
      <c r="CO499" s="408">
        <v>-18.084079999999997</v>
      </c>
      <c r="CP499" s="408">
        <v>1.8567400000000001</v>
      </c>
      <c r="CQ499" s="408">
        <v>29</v>
      </c>
      <c r="CR499" s="408">
        <v>5.3179571551766927</v>
      </c>
      <c r="CS499" s="408">
        <v>0.3445953335591474</v>
      </c>
      <c r="CT499" s="408">
        <v>1.6067883719442548</v>
      </c>
      <c r="CU499" s="408">
        <v>0</v>
      </c>
      <c r="CV499" s="408">
        <v>0</v>
      </c>
      <c r="CW499" s="408">
        <v>0</v>
      </c>
      <c r="CX499" s="408">
        <v>0</v>
      </c>
      <c r="CY499" s="408">
        <v>0</v>
      </c>
      <c r="CZ499" s="408">
        <v>1.6115626090289676</v>
      </c>
      <c r="DA499" s="408">
        <v>0</v>
      </c>
      <c r="DB499" s="408">
        <v>0</v>
      </c>
      <c r="DC499" s="408">
        <v>1.8565303633168124</v>
      </c>
      <c r="DD499" s="408">
        <v>0</v>
      </c>
      <c r="DE499" s="408">
        <v>0</v>
      </c>
      <c r="DF499" s="408">
        <v>0</v>
      </c>
      <c r="DG499" s="408">
        <v>8.1509420371210228E-2</v>
      </c>
      <c r="DH499" s="408">
        <v>0</v>
      </c>
      <c r="DI499" s="408">
        <v>-0.15636479671380155</v>
      </c>
      <c r="DJ499" s="408"/>
      <c r="DK499" s="408">
        <v>0</v>
      </c>
      <c r="DL499" s="408">
        <v>0</v>
      </c>
      <c r="DM499" s="408">
        <v>0</v>
      </c>
      <c r="DN499" s="408">
        <v>0</v>
      </c>
      <c r="DO499" s="408">
        <v>-2.4715715861491128E-2</v>
      </c>
      <c r="DP499" s="408">
        <v>-1.9484304684071058E-3</v>
      </c>
      <c r="DQ499" s="408">
        <v>0</v>
      </c>
      <c r="DR499" s="408">
        <v>0</v>
      </c>
      <c r="DS499" s="408"/>
      <c r="DT499" s="408"/>
      <c r="DU499" s="408"/>
      <c r="DV499" s="408">
        <v>86.731663644830945</v>
      </c>
      <c r="DW499" s="408">
        <v>0</v>
      </c>
      <c r="DX499" s="408">
        <v>0</v>
      </c>
      <c r="DY499" s="408">
        <v>-18.084079999999986</v>
      </c>
      <c r="DZ499" s="408">
        <v>1.8567400000000003</v>
      </c>
      <c r="EA499" s="408">
        <v>0</v>
      </c>
      <c r="EB499" s="408">
        <v>0</v>
      </c>
      <c r="EC499" s="408">
        <v>-21.545616440955854</v>
      </c>
      <c r="ED499" s="408">
        <v>0</v>
      </c>
      <c r="EE499" s="408">
        <v>0</v>
      </c>
      <c r="EF499" s="408">
        <v>0</v>
      </c>
      <c r="EG499" s="408">
        <v>0</v>
      </c>
      <c r="EH499" s="408">
        <v>0</v>
      </c>
      <c r="EI499" s="408">
        <v>0</v>
      </c>
      <c r="EJ499" s="408">
        <v>0</v>
      </c>
      <c r="EK499" s="408">
        <v>0</v>
      </c>
      <c r="EL499" s="408">
        <v>0</v>
      </c>
      <c r="EM499" s="408">
        <v>0</v>
      </c>
      <c r="EN499" s="408">
        <v>0</v>
      </c>
      <c r="EO499" s="408">
        <v>0</v>
      </c>
      <c r="EP499" s="408">
        <v>1.175986501891916</v>
      </c>
      <c r="EQ499" s="408">
        <v>0</v>
      </c>
      <c r="ER499" s="408">
        <v>0</v>
      </c>
      <c r="ES499" s="408">
        <v>0</v>
      </c>
      <c r="ET499" s="408">
        <v>0</v>
      </c>
      <c r="EU499" s="408">
        <v>0</v>
      </c>
      <c r="EV499" s="408">
        <v>240</v>
      </c>
      <c r="EW499" s="408">
        <v>0</v>
      </c>
      <c r="EX499" s="408">
        <v>0</v>
      </c>
      <c r="EY499" s="408">
        <v>0</v>
      </c>
      <c r="EZ499" s="408"/>
      <c r="FA499" s="408">
        <v>0</v>
      </c>
      <c r="FB499" s="408"/>
      <c r="FC499" s="408"/>
      <c r="FD499" s="408"/>
      <c r="FE499" s="408"/>
      <c r="FF499" s="408">
        <v>0</v>
      </c>
      <c r="FG499" s="408">
        <v>0</v>
      </c>
      <c r="FH499" s="408">
        <v>0</v>
      </c>
      <c r="FI499" s="408">
        <v>0</v>
      </c>
    </row>
    <row r="500" spans="1:165">
      <c r="A500" s="408">
        <v>498</v>
      </c>
      <c r="B500" s="408" t="s">
        <v>1036</v>
      </c>
      <c r="C500" s="408" t="s">
        <v>2243</v>
      </c>
      <c r="D500" s="408" t="s">
        <v>597</v>
      </c>
      <c r="E500" s="408" t="s">
        <v>970</v>
      </c>
      <c r="F500" s="408" t="s">
        <v>1322</v>
      </c>
      <c r="G500" s="408" t="s">
        <v>1322</v>
      </c>
      <c r="H500" s="408" t="s">
        <v>1322</v>
      </c>
      <c r="I500" s="408" t="s">
        <v>2244</v>
      </c>
      <c r="J500" s="408" t="s">
        <v>2236</v>
      </c>
      <c r="K500" s="826">
        <v>44593</v>
      </c>
      <c r="L500" s="408">
        <v>0</v>
      </c>
      <c r="M500" s="408">
        <v>0</v>
      </c>
      <c r="N500" s="408">
        <v>3027.4589999999998</v>
      </c>
      <c r="O500" s="408">
        <v>3027.4589999999998</v>
      </c>
      <c r="P500" s="408">
        <v>3027.4589999999998</v>
      </c>
      <c r="Q500" s="408">
        <v>3027.4589999999998</v>
      </c>
      <c r="R500" s="408"/>
      <c r="S500" s="408">
        <v>85.01</v>
      </c>
      <c r="T500" s="408">
        <v>173.25</v>
      </c>
      <c r="U500" s="408"/>
      <c r="V500" s="408">
        <v>781871.56134000001</v>
      </c>
      <c r="W500" s="408">
        <v>781871.56134000001</v>
      </c>
      <c r="X500" s="408">
        <v>843661.99952999991</v>
      </c>
      <c r="Y500" s="408">
        <v>0</v>
      </c>
      <c r="Z500" s="408">
        <v>162103.20134171681</v>
      </c>
      <c r="AA500" s="408">
        <v>0</v>
      </c>
      <c r="AB500" s="408">
        <v>0</v>
      </c>
      <c r="AC500" s="408">
        <v>0</v>
      </c>
      <c r="AD500" s="408">
        <v>0</v>
      </c>
      <c r="AE500" s="408">
        <v>0</v>
      </c>
      <c r="AF500" s="408">
        <v>515698.7907377411</v>
      </c>
      <c r="AG500" s="408">
        <v>8801.5303171388823</v>
      </c>
      <c r="AH500" s="408">
        <v>0</v>
      </c>
      <c r="AI500" s="408">
        <v>0</v>
      </c>
      <c r="AJ500" s="408">
        <v>0</v>
      </c>
      <c r="AK500" s="408">
        <v>0</v>
      </c>
      <c r="AL500" s="408">
        <v>28788.199294361308</v>
      </c>
      <c r="AM500" s="408"/>
      <c r="AN500" s="408">
        <v>2424.4310288902125</v>
      </c>
      <c r="AO500" s="408">
        <v>0</v>
      </c>
      <c r="AP500" s="408">
        <v>0</v>
      </c>
      <c r="AQ500" s="408">
        <v>0</v>
      </c>
      <c r="AR500" s="408">
        <v>0</v>
      </c>
      <c r="AS500" s="408">
        <v>0</v>
      </c>
      <c r="AT500" s="408">
        <v>0</v>
      </c>
      <c r="AU500" s="408">
        <v>0</v>
      </c>
      <c r="AV500" s="408">
        <v>0</v>
      </c>
      <c r="AW500" s="408">
        <v>0</v>
      </c>
      <c r="AX500" s="408">
        <v>0</v>
      </c>
      <c r="AY500" s="408">
        <v>0</v>
      </c>
      <c r="AZ500" s="408">
        <v>0</v>
      </c>
      <c r="BA500" s="408"/>
      <c r="BB500" s="408">
        <v>0</v>
      </c>
      <c r="BC500" s="408">
        <v>0</v>
      </c>
      <c r="BD500" s="408">
        <v>0</v>
      </c>
      <c r="BE500" s="408">
        <v>0</v>
      </c>
      <c r="BF500" s="408">
        <v>0</v>
      </c>
      <c r="BG500" s="408">
        <v>22641.326180128097</v>
      </c>
      <c r="BH500" s="408">
        <v>0</v>
      </c>
      <c r="BI500" s="408">
        <v>0</v>
      </c>
      <c r="BJ500" s="408">
        <v>0</v>
      </c>
      <c r="BK500" s="408">
        <v>0</v>
      </c>
      <c r="BL500" s="408">
        <v>0</v>
      </c>
      <c r="BM500" s="408"/>
      <c r="BN500" s="408"/>
      <c r="BO500" s="408"/>
      <c r="BP500" s="408"/>
      <c r="BQ500" s="408"/>
      <c r="BR500" s="408"/>
      <c r="BS500" s="408"/>
      <c r="BT500" s="408"/>
      <c r="BU500" s="408"/>
      <c r="BV500" s="408">
        <v>538340.11691786919</v>
      </c>
      <c r="BW500" s="408"/>
      <c r="BX500" s="408"/>
      <c r="BY500" s="408"/>
      <c r="BZ500" s="408"/>
      <c r="CA500" s="408"/>
      <c r="CB500" s="408"/>
      <c r="CC500" s="408"/>
      <c r="CD500" s="408"/>
      <c r="CE500" s="408"/>
      <c r="CF500" s="408"/>
      <c r="CG500" s="408"/>
      <c r="CH500" s="408"/>
      <c r="CI500" s="408">
        <v>843662.27820000006</v>
      </c>
      <c r="CJ500" s="408">
        <v>61790.686860000016</v>
      </c>
      <c r="CK500" s="408"/>
      <c r="CL500" s="408"/>
      <c r="CM500" s="408"/>
      <c r="CN500" s="408"/>
      <c r="CO500" s="408">
        <v>-3572.4016200000206</v>
      </c>
      <c r="CP500" s="408">
        <v>65362.839810000005</v>
      </c>
      <c r="CQ500" s="408">
        <v>29</v>
      </c>
      <c r="CR500" s="408">
        <v>61781.667030304787</v>
      </c>
      <c r="CS500" s="408">
        <v>0</v>
      </c>
      <c r="CT500" s="408">
        <v>0</v>
      </c>
      <c r="CU500" s="408">
        <v>0</v>
      </c>
      <c r="CV500" s="408">
        <v>0</v>
      </c>
      <c r="CW500" s="408">
        <v>0</v>
      </c>
      <c r="CX500" s="408">
        <v>0</v>
      </c>
      <c r="CY500" s="408">
        <v>0</v>
      </c>
      <c r="CZ500" s="408">
        <v>0</v>
      </c>
      <c r="DA500" s="408">
        <v>0</v>
      </c>
      <c r="DB500" s="408">
        <v>0</v>
      </c>
      <c r="DC500" s="408">
        <v>65355.45996740408</v>
      </c>
      <c r="DD500" s="408">
        <v>0</v>
      </c>
      <c r="DE500" s="408">
        <v>0</v>
      </c>
      <c r="DF500" s="408">
        <v>0</v>
      </c>
      <c r="DG500" s="408">
        <v>2869.3770731116711</v>
      </c>
      <c r="DH500" s="408">
        <v>0</v>
      </c>
      <c r="DI500" s="408">
        <v>-5504.5117569112917</v>
      </c>
      <c r="DJ500" s="408"/>
      <c r="DK500" s="408">
        <v>0</v>
      </c>
      <c r="DL500" s="408">
        <v>0</v>
      </c>
      <c r="DM500" s="408">
        <v>0</v>
      </c>
      <c r="DN500" s="408">
        <v>0</v>
      </c>
      <c r="DO500" s="408">
        <v>-870.0676328641166</v>
      </c>
      <c r="DP500" s="408">
        <v>-68.590620435503752</v>
      </c>
      <c r="DQ500" s="408">
        <v>0</v>
      </c>
      <c r="DR500" s="408">
        <v>0</v>
      </c>
      <c r="DS500" s="408"/>
      <c r="DT500" s="408"/>
      <c r="DU500" s="408"/>
      <c r="DV500" s="408">
        <v>0</v>
      </c>
      <c r="DW500" s="408">
        <v>0</v>
      </c>
      <c r="DX500" s="408">
        <v>0</v>
      </c>
      <c r="DY500" s="408">
        <v>-3572.4016200000187</v>
      </c>
      <c r="DZ500" s="408">
        <v>65362.839810000034</v>
      </c>
      <c r="EA500" s="408">
        <v>0</v>
      </c>
      <c r="EB500" s="408">
        <v>0</v>
      </c>
      <c r="EC500" s="408">
        <v>0</v>
      </c>
      <c r="ED500" s="408">
        <v>0</v>
      </c>
      <c r="EE500" s="408">
        <v>0</v>
      </c>
      <c r="EF500" s="408">
        <v>0</v>
      </c>
      <c r="EG500" s="408">
        <v>0</v>
      </c>
      <c r="EH500" s="408">
        <v>0</v>
      </c>
      <c r="EI500" s="408">
        <v>0</v>
      </c>
      <c r="EJ500" s="408">
        <v>0</v>
      </c>
      <c r="EK500" s="408">
        <v>0</v>
      </c>
      <c r="EL500" s="408">
        <v>0</v>
      </c>
      <c r="EM500" s="408">
        <v>0</v>
      </c>
      <c r="EN500" s="408">
        <v>0</v>
      </c>
      <c r="EO500" s="408">
        <v>0</v>
      </c>
      <c r="EP500" s="408">
        <v>41398.26650036277</v>
      </c>
      <c r="EQ500" s="408">
        <v>0</v>
      </c>
      <c r="ER500" s="408">
        <v>0</v>
      </c>
      <c r="ES500" s="408">
        <v>0</v>
      </c>
      <c r="ET500" s="408">
        <v>0</v>
      </c>
      <c r="EU500" s="408">
        <v>0</v>
      </c>
      <c r="EV500" s="408">
        <v>240</v>
      </c>
      <c r="EW500" s="408">
        <v>0</v>
      </c>
      <c r="EX500" s="408">
        <v>0</v>
      </c>
      <c r="EY500" s="408">
        <v>0</v>
      </c>
      <c r="EZ500" s="408"/>
      <c r="FA500" s="408">
        <v>0</v>
      </c>
      <c r="FB500" s="408"/>
      <c r="FC500" s="408"/>
      <c r="FD500" s="408"/>
      <c r="FE500" s="408"/>
      <c r="FF500" s="408">
        <v>0</v>
      </c>
      <c r="FG500" s="408">
        <v>0</v>
      </c>
      <c r="FH500" s="408">
        <v>0</v>
      </c>
      <c r="FI500" s="408">
        <v>0</v>
      </c>
    </row>
    <row r="501" spans="1:165">
      <c r="A501" s="408">
        <v>499</v>
      </c>
      <c r="B501" s="408" t="s">
        <v>1036</v>
      </c>
      <c r="C501" s="408" t="s">
        <v>2243</v>
      </c>
      <c r="D501" s="408" t="s">
        <v>597</v>
      </c>
      <c r="E501" s="408" t="s">
        <v>970</v>
      </c>
      <c r="F501" s="408" t="s">
        <v>1322</v>
      </c>
      <c r="G501" s="408" t="s">
        <v>1322</v>
      </c>
      <c r="H501" s="408" t="s">
        <v>1322</v>
      </c>
      <c r="I501" s="408" t="s">
        <v>1322</v>
      </c>
      <c r="J501" s="408" t="s">
        <v>2236</v>
      </c>
      <c r="K501" s="826">
        <v>44593</v>
      </c>
      <c r="L501" s="408">
        <v>17732</v>
      </c>
      <c r="M501" s="408">
        <v>17732</v>
      </c>
      <c r="N501" s="408">
        <v>0</v>
      </c>
      <c r="O501" s="408">
        <v>0</v>
      </c>
      <c r="P501" s="408">
        <v>0</v>
      </c>
      <c r="Q501" s="408">
        <v>0</v>
      </c>
      <c r="R501" s="408">
        <v>27.19</v>
      </c>
      <c r="S501" s="408"/>
      <c r="T501" s="408"/>
      <c r="U501" s="408">
        <v>482133.08</v>
      </c>
      <c r="V501" s="408"/>
      <c r="W501" s="408">
        <v>482133.08</v>
      </c>
      <c r="X501" s="408">
        <v>385848.32000000001</v>
      </c>
      <c r="Y501" s="408">
        <v>0</v>
      </c>
      <c r="Z501" s="408">
        <v>0</v>
      </c>
      <c r="AA501" s="408">
        <v>0</v>
      </c>
      <c r="AB501" s="408">
        <v>0</v>
      </c>
      <c r="AC501" s="408">
        <v>4135.1132772975652</v>
      </c>
      <c r="AD501" s="408">
        <v>3972.5857717163585</v>
      </c>
      <c r="AE501" s="408">
        <v>424362.76027170423</v>
      </c>
      <c r="AF501" s="408"/>
      <c r="AG501" s="408"/>
      <c r="AH501" s="408"/>
      <c r="AI501" s="408">
        <v>0</v>
      </c>
      <c r="AJ501" s="408">
        <v>0</v>
      </c>
      <c r="AK501" s="408">
        <v>0</v>
      </c>
      <c r="AL501" s="408">
        <v>0</v>
      </c>
      <c r="AM501" s="408"/>
      <c r="AN501" s="408">
        <v>0</v>
      </c>
      <c r="AO501" s="408">
        <v>8775.2978248961081</v>
      </c>
      <c r="AP501" s="408">
        <v>40927.031364279741</v>
      </c>
      <c r="AQ501" s="408">
        <v>0</v>
      </c>
      <c r="AR501" s="408">
        <v>0</v>
      </c>
      <c r="AS501" s="408"/>
      <c r="AT501" s="408"/>
      <c r="AU501" s="408">
        <v>0</v>
      </c>
      <c r="AV501" s="408">
        <v>0</v>
      </c>
      <c r="AW501" s="408">
        <v>0</v>
      </c>
      <c r="AX501" s="408"/>
      <c r="AY501" s="408"/>
      <c r="AZ501" s="408">
        <v>0</v>
      </c>
      <c r="BA501" s="408"/>
      <c r="BB501" s="408">
        <v>0</v>
      </c>
      <c r="BC501" s="408">
        <v>0</v>
      </c>
      <c r="BD501" s="408">
        <v>0</v>
      </c>
      <c r="BE501" s="408">
        <v>0</v>
      </c>
      <c r="BF501" s="408"/>
      <c r="BG501" s="408">
        <v>0</v>
      </c>
      <c r="BH501" s="408">
        <v>0</v>
      </c>
      <c r="BI501" s="408">
        <v>1373.16</v>
      </c>
      <c r="BJ501" s="408">
        <v>11774.39</v>
      </c>
      <c r="BK501" s="408">
        <v>403210.7</v>
      </c>
      <c r="BL501" s="408">
        <v>100</v>
      </c>
      <c r="BM501" s="408"/>
      <c r="BN501" s="408"/>
      <c r="BO501" s="408"/>
      <c r="BP501" s="408"/>
      <c r="BQ501" s="408"/>
      <c r="BR501" s="408"/>
      <c r="BS501" s="408"/>
      <c r="BT501" s="408"/>
      <c r="BU501" s="408"/>
      <c r="BV501" s="408">
        <v>0</v>
      </c>
      <c r="BW501" s="408"/>
      <c r="BX501" s="408"/>
      <c r="BY501" s="408"/>
      <c r="BZ501" s="408"/>
      <c r="CA501" s="408"/>
      <c r="CB501" s="408"/>
      <c r="CC501" s="408"/>
      <c r="CD501" s="408"/>
      <c r="CE501" s="408"/>
      <c r="CF501" s="408"/>
      <c r="CG501" s="408"/>
      <c r="CH501" s="408"/>
      <c r="CI501" s="408">
        <v>385848.32000000001</v>
      </c>
      <c r="CJ501" s="408">
        <v>-96284.790000000037</v>
      </c>
      <c r="CK501" s="408"/>
      <c r="CL501" s="408"/>
      <c r="CM501" s="408"/>
      <c r="CN501" s="408"/>
      <c r="CO501" s="408">
        <v>-96284.76</v>
      </c>
      <c r="CP501" s="408">
        <v>0</v>
      </c>
      <c r="CQ501" s="408">
        <v>29</v>
      </c>
      <c r="CR501" s="408">
        <v>9043.1779478593526</v>
      </c>
      <c r="CS501" s="408">
        <v>874.43967155527207</v>
      </c>
      <c r="CT501" s="408">
        <v>4078.2911962691287</v>
      </c>
      <c r="CU501" s="408">
        <v>0</v>
      </c>
      <c r="CV501" s="408">
        <v>0</v>
      </c>
      <c r="CW501" s="408"/>
      <c r="CX501" s="408"/>
      <c r="CY501" s="408"/>
      <c r="CZ501" s="408">
        <v>4090.4470800349404</v>
      </c>
      <c r="DA501" s="408">
        <v>0</v>
      </c>
      <c r="DB501" s="408">
        <v>0</v>
      </c>
      <c r="DC501" s="408"/>
      <c r="DD501" s="408"/>
      <c r="DE501" s="408">
        <v>0</v>
      </c>
      <c r="DF501" s="408">
        <v>0</v>
      </c>
      <c r="DG501" s="408">
        <v>0</v>
      </c>
      <c r="DH501" s="408">
        <v>0</v>
      </c>
      <c r="DI501" s="408">
        <v>0</v>
      </c>
      <c r="DJ501" s="408"/>
      <c r="DK501" s="408">
        <v>0</v>
      </c>
      <c r="DL501" s="408">
        <v>0</v>
      </c>
      <c r="DM501" s="408"/>
      <c r="DN501" s="408">
        <v>0</v>
      </c>
      <c r="DO501" s="408">
        <v>0</v>
      </c>
      <c r="DP501" s="408">
        <v>0</v>
      </c>
      <c r="DQ501" s="408">
        <v>0</v>
      </c>
      <c r="DR501" s="408">
        <v>0</v>
      </c>
      <c r="DS501" s="408"/>
      <c r="DT501" s="408"/>
      <c r="DU501" s="408">
        <v>424362.76027170423</v>
      </c>
      <c r="DV501" s="408"/>
      <c r="DW501" s="408">
        <v>0</v>
      </c>
      <c r="DX501" s="408">
        <v>0</v>
      </c>
      <c r="DY501" s="408">
        <v>-96284.760000000009</v>
      </c>
      <c r="DZ501" s="408"/>
      <c r="EA501" s="408">
        <v>0</v>
      </c>
      <c r="EB501" s="408"/>
      <c r="EC501" s="408">
        <v>-105418.907932873</v>
      </c>
      <c r="ED501" s="408"/>
      <c r="EE501" s="408">
        <v>0</v>
      </c>
      <c r="EF501" s="408">
        <v>0</v>
      </c>
      <c r="EG501" s="408"/>
      <c r="EH501" s="408">
        <v>0</v>
      </c>
      <c r="EI501" s="408">
        <v>0</v>
      </c>
      <c r="EJ501" s="408">
        <v>0</v>
      </c>
      <c r="EK501" s="408">
        <v>0</v>
      </c>
      <c r="EL501" s="408">
        <v>0</v>
      </c>
      <c r="EM501" s="408"/>
      <c r="EN501" s="408"/>
      <c r="EO501" s="408">
        <v>0</v>
      </c>
      <c r="EP501" s="408">
        <v>0</v>
      </c>
      <c r="EQ501" s="408"/>
      <c r="ER501" s="408">
        <v>0</v>
      </c>
      <c r="ES501" s="408"/>
      <c r="ET501" s="408">
        <v>0</v>
      </c>
      <c r="EU501" s="408"/>
      <c r="EV501" s="408">
        <v>240</v>
      </c>
      <c r="EW501" s="408"/>
      <c r="EX501" s="408"/>
      <c r="EY501" s="408"/>
      <c r="EZ501" s="408"/>
      <c r="FA501" s="408">
        <v>0</v>
      </c>
      <c r="FB501" s="408"/>
      <c r="FC501" s="408"/>
      <c r="FD501" s="408"/>
      <c r="FE501" s="408"/>
      <c r="FF501" s="408">
        <v>0</v>
      </c>
      <c r="FG501" s="408">
        <v>0</v>
      </c>
      <c r="FH501" s="408">
        <v>0</v>
      </c>
      <c r="FI501" s="408">
        <v>0</v>
      </c>
    </row>
    <row r="502" spans="1:165">
      <c r="A502" s="408">
        <v>500</v>
      </c>
      <c r="B502" s="408" t="s">
        <v>2238</v>
      </c>
      <c r="C502" s="408" t="s">
        <v>2243</v>
      </c>
      <c r="D502" s="408" t="s">
        <v>597</v>
      </c>
      <c r="E502" s="408" t="s">
        <v>970</v>
      </c>
      <c r="F502" s="408" t="s">
        <v>1322</v>
      </c>
      <c r="G502" s="408" t="s">
        <v>1322</v>
      </c>
      <c r="H502" s="408" t="s">
        <v>1322</v>
      </c>
      <c r="I502" s="408" t="s">
        <v>1322</v>
      </c>
      <c r="J502" s="408" t="s">
        <v>2236</v>
      </c>
      <c r="K502" s="826">
        <v>44593</v>
      </c>
      <c r="L502" s="408">
        <v>566</v>
      </c>
      <c r="M502" s="408">
        <v>566</v>
      </c>
      <c r="N502" s="408">
        <v>0</v>
      </c>
      <c r="O502" s="408">
        <v>0</v>
      </c>
      <c r="P502" s="408">
        <v>0</v>
      </c>
      <c r="Q502" s="408">
        <v>0</v>
      </c>
      <c r="R502" s="408">
        <v>27.19</v>
      </c>
      <c r="S502" s="408"/>
      <c r="T502" s="408"/>
      <c r="U502" s="408">
        <v>15389.54</v>
      </c>
      <c r="V502" s="408"/>
      <c r="W502" s="408">
        <v>15389.54</v>
      </c>
      <c r="X502" s="408">
        <v>12316.160000000002</v>
      </c>
      <c r="Y502" s="408">
        <v>0</v>
      </c>
      <c r="Z502" s="408">
        <v>0</v>
      </c>
      <c r="AA502" s="408">
        <v>0</v>
      </c>
      <c r="AB502" s="408">
        <v>0</v>
      </c>
      <c r="AC502" s="408">
        <v>131.99154720000124</v>
      </c>
      <c r="AD502" s="408">
        <v>126.80371908365998</v>
      </c>
      <c r="AE502" s="408">
        <v>13545.529117628277</v>
      </c>
      <c r="AF502" s="408"/>
      <c r="AG502" s="408"/>
      <c r="AH502" s="408"/>
      <c r="AI502" s="408">
        <v>0</v>
      </c>
      <c r="AJ502" s="408">
        <v>0</v>
      </c>
      <c r="AK502" s="408">
        <v>0</v>
      </c>
      <c r="AL502" s="408">
        <v>0</v>
      </c>
      <c r="AM502" s="408"/>
      <c r="AN502" s="408">
        <v>0</v>
      </c>
      <c r="AO502" s="408">
        <v>280.10481439720263</v>
      </c>
      <c r="AP502" s="408">
        <v>1306.3782851445035</v>
      </c>
      <c r="AQ502" s="408">
        <v>0</v>
      </c>
      <c r="AR502" s="408">
        <v>0</v>
      </c>
      <c r="AS502" s="408"/>
      <c r="AT502" s="408"/>
      <c r="AU502" s="408">
        <v>0</v>
      </c>
      <c r="AV502" s="408">
        <v>0</v>
      </c>
      <c r="AW502" s="408">
        <v>0</v>
      </c>
      <c r="AX502" s="408"/>
      <c r="AY502" s="408"/>
      <c r="AZ502" s="408">
        <v>0</v>
      </c>
      <c r="BA502" s="408"/>
      <c r="BB502" s="408">
        <v>0</v>
      </c>
      <c r="BC502" s="408">
        <v>0</v>
      </c>
      <c r="BD502" s="408">
        <v>0</v>
      </c>
      <c r="BE502" s="408">
        <v>0</v>
      </c>
      <c r="BF502" s="408"/>
      <c r="BG502" s="408">
        <v>0</v>
      </c>
      <c r="BH502" s="408">
        <v>0</v>
      </c>
      <c r="BI502" s="408">
        <v>10.220000000000001</v>
      </c>
      <c r="BJ502" s="408">
        <v>87.78</v>
      </c>
      <c r="BK502" s="408">
        <v>3383.66</v>
      </c>
      <c r="BL502" s="408">
        <v>5</v>
      </c>
      <c r="BM502" s="408"/>
      <c r="BN502" s="408"/>
      <c r="BO502" s="408"/>
      <c r="BP502" s="408"/>
      <c r="BQ502" s="408"/>
      <c r="BR502" s="408"/>
      <c r="BS502" s="408"/>
      <c r="BT502" s="408"/>
      <c r="BU502" s="408"/>
      <c r="BV502" s="408">
        <v>0</v>
      </c>
      <c r="BW502" s="408"/>
      <c r="BX502" s="408"/>
      <c r="BY502" s="408"/>
      <c r="BZ502" s="408"/>
      <c r="CA502" s="408"/>
      <c r="CB502" s="408"/>
      <c r="CC502" s="408"/>
      <c r="CD502" s="408"/>
      <c r="CE502" s="408"/>
      <c r="CF502" s="408"/>
      <c r="CG502" s="408"/>
      <c r="CH502" s="408"/>
      <c r="CI502" s="408">
        <v>12316.160000000002</v>
      </c>
      <c r="CJ502" s="408">
        <v>-3073.41</v>
      </c>
      <c r="CK502" s="408"/>
      <c r="CL502" s="408"/>
      <c r="CM502" s="408"/>
      <c r="CN502" s="408"/>
      <c r="CO502" s="408">
        <v>-3073.3799999999997</v>
      </c>
      <c r="CP502" s="408">
        <v>0</v>
      </c>
      <c r="CQ502" s="408">
        <v>29</v>
      </c>
      <c r="CR502" s="408">
        <v>288.6554657392503</v>
      </c>
      <c r="CS502" s="408">
        <v>27.911846046711275</v>
      </c>
      <c r="CT502" s="408">
        <v>130.1778038060188</v>
      </c>
      <c r="CU502" s="408">
        <v>0</v>
      </c>
      <c r="CV502" s="408">
        <v>0</v>
      </c>
      <c r="CW502" s="408"/>
      <c r="CX502" s="408"/>
      <c r="CY502" s="408"/>
      <c r="CZ502" s="408">
        <v>130.56581588652023</v>
      </c>
      <c r="DA502" s="408">
        <v>0</v>
      </c>
      <c r="DB502" s="408">
        <v>0</v>
      </c>
      <c r="DC502" s="408"/>
      <c r="DD502" s="408"/>
      <c r="DE502" s="408">
        <v>0</v>
      </c>
      <c r="DF502" s="408">
        <v>0</v>
      </c>
      <c r="DG502" s="408">
        <v>0</v>
      </c>
      <c r="DH502" s="408">
        <v>0</v>
      </c>
      <c r="DI502" s="408">
        <v>0</v>
      </c>
      <c r="DJ502" s="408"/>
      <c r="DK502" s="408">
        <v>0</v>
      </c>
      <c r="DL502" s="408">
        <v>0</v>
      </c>
      <c r="DM502" s="408"/>
      <c r="DN502" s="408">
        <v>0</v>
      </c>
      <c r="DO502" s="408">
        <v>0</v>
      </c>
      <c r="DP502" s="408">
        <v>0</v>
      </c>
      <c r="DQ502" s="408">
        <v>0</v>
      </c>
      <c r="DR502" s="408">
        <v>0</v>
      </c>
      <c r="DS502" s="408"/>
      <c r="DT502" s="408"/>
      <c r="DU502" s="408">
        <v>13545.529117628277</v>
      </c>
      <c r="DV502" s="408"/>
      <c r="DW502" s="408">
        <v>0</v>
      </c>
      <c r="DX502" s="408">
        <v>0</v>
      </c>
      <c r="DY502" s="408">
        <v>-3073.3799999999992</v>
      </c>
      <c r="DZ502" s="408"/>
      <c r="EA502" s="408">
        <v>0</v>
      </c>
      <c r="EB502" s="408"/>
      <c r="EC502" s="408">
        <v>-3364.9391997522071</v>
      </c>
      <c r="ED502" s="408"/>
      <c r="EE502" s="408">
        <v>0</v>
      </c>
      <c r="EF502" s="408">
        <v>0</v>
      </c>
      <c r="EG502" s="408"/>
      <c r="EH502" s="408">
        <v>0</v>
      </c>
      <c r="EI502" s="408">
        <v>0</v>
      </c>
      <c r="EJ502" s="408">
        <v>0</v>
      </c>
      <c r="EK502" s="408">
        <v>0</v>
      </c>
      <c r="EL502" s="408">
        <v>0</v>
      </c>
      <c r="EM502" s="408"/>
      <c r="EN502" s="408"/>
      <c r="EO502" s="408">
        <v>0</v>
      </c>
      <c r="EP502" s="408">
        <v>0</v>
      </c>
      <c r="EQ502" s="408"/>
      <c r="ER502" s="408">
        <v>0</v>
      </c>
      <c r="ES502" s="408"/>
      <c r="ET502" s="408">
        <v>0</v>
      </c>
      <c r="EU502" s="408"/>
      <c r="EV502" s="408">
        <v>240</v>
      </c>
      <c r="EW502" s="408"/>
      <c r="EX502" s="408"/>
      <c r="EY502" s="408"/>
      <c r="EZ502" s="408"/>
      <c r="FA502" s="408">
        <v>0</v>
      </c>
      <c r="FB502" s="408"/>
      <c r="FC502" s="408"/>
      <c r="FD502" s="408"/>
      <c r="FE502" s="408"/>
      <c r="FF502" s="408">
        <v>0</v>
      </c>
      <c r="FG502" s="408">
        <v>0</v>
      </c>
      <c r="FH502" s="408">
        <v>0</v>
      </c>
      <c r="FI502" s="408">
        <v>0</v>
      </c>
    </row>
    <row r="503" spans="1:165">
      <c r="A503" s="408">
        <v>501</v>
      </c>
      <c r="B503" s="408" t="s">
        <v>1036</v>
      </c>
      <c r="C503" s="408" t="s">
        <v>2316</v>
      </c>
      <c r="D503" s="408" t="s">
        <v>1958</v>
      </c>
      <c r="E503" s="408" t="s">
        <v>970</v>
      </c>
      <c r="F503" s="408" t="s">
        <v>1322</v>
      </c>
      <c r="G503" s="408" t="s">
        <v>1322</v>
      </c>
      <c r="H503" s="408" t="s">
        <v>1322</v>
      </c>
      <c r="I503" s="408" t="s">
        <v>973</v>
      </c>
      <c r="J503" s="408" t="s">
        <v>2236</v>
      </c>
      <c r="K503" s="826">
        <v>44593</v>
      </c>
      <c r="L503" s="408">
        <v>0</v>
      </c>
      <c r="M503" s="408">
        <v>0</v>
      </c>
      <c r="N503" s="408">
        <v>1.7999999999999999E-2</v>
      </c>
      <c r="O503" s="408">
        <v>1.7999999999999999E-2</v>
      </c>
      <c r="P503" s="408">
        <v>1.7999999999999999E-2</v>
      </c>
      <c r="Q503" s="408">
        <v>1.7999999999999999E-2</v>
      </c>
      <c r="R503" s="408"/>
      <c r="S503" s="408">
        <v>1553.42</v>
      </c>
      <c r="T503" s="408">
        <v>173.25</v>
      </c>
      <c r="U503" s="408"/>
      <c r="V503" s="408">
        <v>31.08006</v>
      </c>
      <c r="W503" s="408">
        <v>31.08006</v>
      </c>
      <c r="X503" s="408">
        <v>29.488320000000002</v>
      </c>
      <c r="Y503" s="408">
        <v>0</v>
      </c>
      <c r="Z503" s="408">
        <v>1.1078132975886672</v>
      </c>
      <c r="AA503" s="408">
        <v>0</v>
      </c>
      <c r="AB503" s="408">
        <v>0</v>
      </c>
      <c r="AC503" s="408">
        <v>1.9520864289109259</v>
      </c>
      <c r="AD503" s="408">
        <v>0.13499316187452809</v>
      </c>
      <c r="AE503" s="408">
        <v>12.930982261964981</v>
      </c>
      <c r="AF503" s="408">
        <v>3.066128470535634</v>
      </c>
      <c r="AG503" s="408">
        <v>5.23302035497425E-2</v>
      </c>
      <c r="AH503" s="408">
        <v>0</v>
      </c>
      <c r="AI503" s="408">
        <v>0</v>
      </c>
      <c r="AJ503" s="408">
        <v>0</v>
      </c>
      <c r="AK503" s="408">
        <v>0</v>
      </c>
      <c r="AL503" s="408">
        <v>0.17116254499185737</v>
      </c>
      <c r="AM503" s="408"/>
      <c r="AN503" s="408">
        <v>2.1741420858528957E-2</v>
      </c>
      <c r="AO503" s="408">
        <v>5.6799713649644454</v>
      </c>
      <c r="AP503" s="408">
        <v>5.5189097006721477</v>
      </c>
      <c r="AQ503" s="408">
        <v>0</v>
      </c>
      <c r="AR503" s="408">
        <v>0</v>
      </c>
      <c r="AS503" s="408">
        <v>0</v>
      </c>
      <c r="AT503" s="408">
        <v>0</v>
      </c>
      <c r="AU503" s="408">
        <v>0</v>
      </c>
      <c r="AV503" s="408">
        <v>0</v>
      </c>
      <c r="AW503" s="408">
        <v>0</v>
      </c>
      <c r="AX503" s="408">
        <v>0</v>
      </c>
      <c r="AY503" s="408">
        <v>0</v>
      </c>
      <c r="AZ503" s="408">
        <v>0</v>
      </c>
      <c r="BA503" s="408"/>
      <c r="BB503" s="408">
        <v>0</v>
      </c>
      <c r="BC503" s="408">
        <v>0</v>
      </c>
      <c r="BD503" s="408">
        <v>0</v>
      </c>
      <c r="BE503" s="408">
        <v>0</v>
      </c>
      <c r="BF503" s="408">
        <v>0</v>
      </c>
      <c r="BG503" s="408">
        <v>0.16091625285064765</v>
      </c>
      <c r="BH503" s="408">
        <v>0</v>
      </c>
      <c r="BI503" s="408">
        <v>0</v>
      </c>
      <c r="BJ503" s="408">
        <v>0</v>
      </c>
      <c r="BK503" s="408">
        <v>0</v>
      </c>
      <c r="BL503" s="408">
        <v>0</v>
      </c>
      <c r="BM503" s="408"/>
      <c r="BN503" s="408"/>
      <c r="BO503" s="408"/>
      <c r="BP503" s="408"/>
      <c r="BQ503" s="408"/>
      <c r="BR503" s="408"/>
      <c r="BS503" s="408"/>
      <c r="BT503" s="408"/>
      <c r="BU503" s="408"/>
      <c r="BV503" s="408">
        <v>3.2270447233862818</v>
      </c>
      <c r="BW503" s="408"/>
      <c r="BX503" s="408"/>
      <c r="BY503" s="408"/>
      <c r="BZ503" s="408"/>
      <c r="CA503" s="408"/>
      <c r="CB503" s="408"/>
      <c r="CC503" s="408"/>
      <c r="CD503" s="408"/>
      <c r="CE503" s="408"/>
      <c r="CF503" s="408"/>
      <c r="CG503" s="408"/>
      <c r="CH503" s="408"/>
      <c r="CI503" s="408">
        <v>32.764800000000001</v>
      </c>
      <c r="CJ503" s="408">
        <v>1.6547399999999968</v>
      </c>
      <c r="CK503" s="408"/>
      <c r="CL503" s="408"/>
      <c r="CM503" s="408"/>
      <c r="CN503" s="408"/>
      <c r="CO503" s="408">
        <v>-1.9803599999999995</v>
      </c>
      <c r="CP503" s="408">
        <v>0.38862000000000002</v>
      </c>
      <c r="CQ503" s="408">
        <v>29</v>
      </c>
      <c r="CR503" s="408">
        <v>1.6205061394194438</v>
      </c>
      <c r="CS503" s="408">
        <v>0.56599700590580415</v>
      </c>
      <c r="CT503" s="408">
        <v>0.54994755531915018</v>
      </c>
      <c r="CU503" s="408">
        <v>0</v>
      </c>
      <c r="CV503" s="408">
        <v>0</v>
      </c>
      <c r="CW503" s="408">
        <v>0</v>
      </c>
      <c r="CX503" s="408">
        <v>0</v>
      </c>
      <c r="CY503" s="408">
        <v>0</v>
      </c>
      <c r="CZ503" s="408">
        <v>0.13899822849533428</v>
      </c>
      <c r="DA503" s="408">
        <v>0</v>
      </c>
      <c r="DB503" s="408">
        <v>0</v>
      </c>
      <c r="DC503" s="408">
        <v>0.38857612255468155</v>
      </c>
      <c r="DD503" s="408">
        <v>0</v>
      </c>
      <c r="DE503" s="408">
        <v>0</v>
      </c>
      <c r="DF503" s="408">
        <v>0</v>
      </c>
      <c r="DG503" s="408">
        <v>2.0393213849193959E-2</v>
      </c>
      <c r="DH503" s="408">
        <v>0</v>
      </c>
      <c r="DI503" s="408">
        <v>-3.7617834012944495E-2</v>
      </c>
      <c r="DJ503" s="408"/>
      <c r="DK503" s="408">
        <v>0</v>
      </c>
      <c r="DL503" s="408">
        <v>0</v>
      </c>
      <c r="DM503" s="408">
        <v>0</v>
      </c>
      <c r="DN503" s="408">
        <v>0</v>
      </c>
      <c r="DO503" s="408">
        <v>-5.1730568082190842E-3</v>
      </c>
      <c r="DP503" s="408">
        <v>-6.1509588355601955E-4</v>
      </c>
      <c r="DQ503" s="408">
        <v>0</v>
      </c>
      <c r="DR503" s="408">
        <v>0</v>
      </c>
      <c r="DS503" s="408"/>
      <c r="DT503" s="408"/>
      <c r="DU503" s="408"/>
      <c r="DV503" s="408">
        <v>12.930982261964981</v>
      </c>
      <c r="DW503" s="408">
        <v>0</v>
      </c>
      <c r="DX503" s="408">
        <v>0</v>
      </c>
      <c r="DY503" s="408">
        <v>-1.9803599999999975</v>
      </c>
      <c r="DZ503" s="408">
        <v>0.38862000000000041</v>
      </c>
      <c r="EA503" s="408">
        <v>0</v>
      </c>
      <c r="EB503" s="408">
        <v>0</v>
      </c>
      <c r="EC503" s="408">
        <v>-3.2122753365137946</v>
      </c>
      <c r="ED503" s="408">
        <v>0</v>
      </c>
      <c r="EE503" s="408">
        <v>0</v>
      </c>
      <c r="EF503" s="408">
        <v>0</v>
      </c>
      <c r="EG503" s="408">
        <v>0</v>
      </c>
      <c r="EH503" s="408">
        <v>0</v>
      </c>
      <c r="EI503" s="408">
        <v>0</v>
      </c>
      <c r="EJ503" s="408">
        <v>0</v>
      </c>
      <c r="EK503" s="408">
        <v>0</v>
      </c>
      <c r="EL503" s="408">
        <v>0</v>
      </c>
      <c r="EM503" s="408">
        <v>0</v>
      </c>
      <c r="EN503" s="408">
        <v>0</v>
      </c>
      <c r="EO503" s="408">
        <v>0</v>
      </c>
      <c r="EP503" s="408">
        <v>0.28291575827391657</v>
      </c>
      <c r="EQ503" s="408">
        <v>0</v>
      </c>
      <c r="ER503" s="408">
        <v>0</v>
      </c>
      <c r="ES503" s="408">
        <v>0</v>
      </c>
      <c r="ET503" s="408">
        <v>0</v>
      </c>
      <c r="EU503" s="408">
        <v>0</v>
      </c>
      <c r="EV503" s="408">
        <v>240</v>
      </c>
      <c r="EW503" s="408">
        <v>0</v>
      </c>
      <c r="EX503" s="408">
        <v>0</v>
      </c>
      <c r="EY503" s="408">
        <v>0</v>
      </c>
      <c r="EZ503" s="408"/>
      <c r="FA503" s="408">
        <v>0</v>
      </c>
      <c r="FB503" s="408"/>
      <c r="FC503" s="408"/>
      <c r="FD503" s="408"/>
      <c r="FE503" s="408"/>
      <c r="FF503" s="408">
        <v>0</v>
      </c>
      <c r="FG503" s="408">
        <v>0</v>
      </c>
      <c r="FH503" s="408">
        <v>0</v>
      </c>
      <c r="FI503" s="408">
        <v>0</v>
      </c>
    </row>
    <row r="504" spans="1:165">
      <c r="A504" s="408">
        <v>502</v>
      </c>
      <c r="B504" s="408" t="s">
        <v>1036</v>
      </c>
      <c r="C504" s="408" t="s">
        <v>2316</v>
      </c>
      <c r="D504" s="408" t="s">
        <v>1958</v>
      </c>
      <c r="E504" s="408" t="s">
        <v>970</v>
      </c>
      <c r="F504" s="408" t="s">
        <v>1322</v>
      </c>
      <c r="G504" s="408" t="s">
        <v>1322</v>
      </c>
      <c r="H504" s="408" t="s">
        <v>1322</v>
      </c>
      <c r="I504" s="408" t="s">
        <v>2244</v>
      </c>
      <c r="J504" s="408" t="s">
        <v>2236</v>
      </c>
      <c r="K504" s="826">
        <v>44593</v>
      </c>
      <c r="L504" s="408">
        <v>0</v>
      </c>
      <c r="M504" s="408">
        <v>0</v>
      </c>
      <c r="N504" s="408">
        <v>2.7469999999999999</v>
      </c>
      <c r="O504" s="408">
        <v>2.7469999999999999</v>
      </c>
      <c r="P504" s="408">
        <v>2.7469999999999999</v>
      </c>
      <c r="Q504" s="408">
        <v>2.7469999999999999</v>
      </c>
      <c r="R504" s="408"/>
      <c r="S504" s="408">
        <v>388.22</v>
      </c>
      <c r="T504" s="408">
        <v>173.25</v>
      </c>
      <c r="U504" s="408"/>
      <c r="V504" s="408">
        <v>1542.3580900000002</v>
      </c>
      <c r="W504" s="408">
        <v>1542.3580900000002</v>
      </c>
      <c r="X504" s="408">
        <v>1538.4024099999999</v>
      </c>
      <c r="Y504" s="408">
        <v>0</v>
      </c>
      <c r="Z504" s="408">
        <v>169.06461824867048</v>
      </c>
      <c r="AA504" s="408">
        <v>0</v>
      </c>
      <c r="AB504" s="408">
        <v>0</v>
      </c>
      <c r="AC504" s="408">
        <v>59.582015780203491</v>
      </c>
      <c r="AD504" s="408">
        <v>4.1202951404075803</v>
      </c>
      <c r="AE504" s="408">
        <v>394.68260997940951</v>
      </c>
      <c r="AF504" s="408">
        <v>467.92527269785478</v>
      </c>
      <c r="AG504" s="408">
        <v>7.986170508396814</v>
      </c>
      <c r="AH504" s="408">
        <v>0</v>
      </c>
      <c r="AI504" s="408">
        <v>0</v>
      </c>
      <c r="AJ504" s="408">
        <v>0</v>
      </c>
      <c r="AK504" s="408">
        <v>0</v>
      </c>
      <c r="AL504" s="408">
        <v>26.1213061718129</v>
      </c>
      <c r="AM504" s="408"/>
      <c r="AN504" s="408">
        <v>3.3179823943543916</v>
      </c>
      <c r="AO504" s="408">
        <v>173.3653482173037</v>
      </c>
      <c r="AP504" s="408">
        <v>168.44938830829324</v>
      </c>
      <c r="AQ504" s="408">
        <v>0</v>
      </c>
      <c r="AR504" s="408">
        <v>0</v>
      </c>
      <c r="AS504" s="408">
        <v>0</v>
      </c>
      <c r="AT504" s="408">
        <v>0</v>
      </c>
      <c r="AU504" s="408">
        <v>0</v>
      </c>
      <c r="AV504" s="408">
        <v>0</v>
      </c>
      <c r="AW504" s="408">
        <v>0</v>
      </c>
      <c r="AX504" s="408">
        <v>0</v>
      </c>
      <c r="AY504" s="408">
        <v>0</v>
      </c>
      <c r="AZ504" s="408">
        <v>0</v>
      </c>
      <c r="BA504" s="408"/>
      <c r="BB504" s="408">
        <v>0</v>
      </c>
      <c r="BC504" s="408">
        <v>0</v>
      </c>
      <c r="BD504" s="408">
        <v>0</v>
      </c>
      <c r="BE504" s="408">
        <v>0</v>
      </c>
      <c r="BF504" s="408">
        <v>0</v>
      </c>
      <c r="BG504" s="408">
        <v>24.557608143373837</v>
      </c>
      <c r="BH504" s="408">
        <v>0</v>
      </c>
      <c r="BI504" s="408">
        <v>0</v>
      </c>
      <c r="BJ504" s="408">
        <v>0</v>
      </c>
      <c r="BK504" s="408">
        <v>0</v>
      </c>
      <c r="BL504" s="408">
        <v>0</v>
      </c>
      <c r="BM504" s="408"/>
      <c r="BN504" s="408"/>
      <c r="BO504" s="408"/>
      <c r="BP504" s="408"/>
      <c r="BQ504" s="408"/>
      <c r="BR504" s="408"/>
      <c r="BS504" s="408"/>
      <c r="BT504" s="408"/>
      <c r="BU504" s="408"/>
      <c r="BV504" s="408">
        <v>492.48288084122862</v>
      </c>
      <c r="BW504" s="408"/>
      <c r="BX504" s="408"/>
      <c r="BY504" s="408"/>
      <c r="BZ504" s="408"/>
      <c r="CA504" s="408"/>
      <c r="CB504" s="408"/>
      <c r="CC504" s="408"/>
      <c r="CD504" s="408"/>
      <c r="CE504" s="408"/>
      <c r="CF504" s="408"/>
      <c r="CG504" s="408"/>
      <c r="CH504" s="408"/>
      <c r="CI504" s="408">
        <v>1540.0825</v>
      </c>
      <c r="CJ504" s="408">
        <v>-2.3055900000001657</v>
      </c>
      <c r="CK504" s="408"/>
      <c r="CL504" s="408"/>
      <c r="CM504" s="408"/>
      <c r="CN504" s="408"/>
      <c r="CO504" s="408">
        <v>-63.263410000000079</v>
      </c>
      <c r="CP504" s="408">
        <v>59.307730000000006</v>
      </c>
      <c r="CQ504" s="408">
        <v>29</v>
      </c>
      <c r="CR504" s="408">
        <v>94.092675652676917</v>
      </c>
      <c r="CS504" s="408">
        <v>17.275486391369071</v>
      </c>
      <c r="CT504" s="408">
        <v>16.785621494018642</v>
      </c>
      <c r="CU504" s="408">
        <v>0</v>
      </c>
      <c r="CV504" s="408">
        <v>0</v>
      </c>
      <c r="CW504" s="408">
        <v>0</v>
      </c>
      <c r="CX504" s="408">
        <v>0</v>
      </c>
      <c r="CY504" s="408">
        <v>0</v>
      </c>
      <c r="CZ504" s="408">
        <v>4.2425387882010357</v>
      </c>
      <c r="DA504" s="408">
        <v>0</v>
      </c>
      <c r="DB504" s="408">
        <v>0</v>
      </c>
      <c r="DC504" s="408">
        <v>59.301033814317293</v>
      </c>
      <c r="DD504" s="408">
        <v>0</v>
      </c>
      <c r="DE504" s="408">
        <v>0</v>
      </c>
      <c r="DF504" s="408">
        <v>0</v>
      </c>
      <c r="DG504" s="408">
        <v>3.1122310246519902</v>
      </c>
      <c r="DH504" s="408">
        <v>0</v>
      </c>
      <c r="DI504" s="408">
        <v>-5.7408994463087879</v>
      </c>
      <c r="DJ504" s="408"/>
      <c r="DK504" s="408">
        <v>0</v>
      </c>
      <c r="DL504" s="408">
        <v>0</v>
      </c>
      <c r="DM504" s="408">
        <v>0</v>
      </c>
      <c r="DN504" s="408">
        <v>0</v>
      </c>
      <c r="DO504" s="408">
        <v>-0.78946594734320996</v>
      </c>
      <c r="DP504" s="408">
        <v>-9.3870466229355021E-2</v>
      </c>
      <c r="DQ504" s="408">
        <v>0</v>
      </c>
      <c r="DR504" s="408">
        <v>0</v>
      </c>
      <c r="DS504" s="408"/>
      <c r="DT504" s="408"/>
      <c r="DU504" s="408"/>
      <c r="DV504" s="408">
        <v>394.68260997940951</v>
      </c>
      <c r="DW504" s="408">
        <v>0</v>
      </c>
      <c r="DX504" s="408">
        <v>0</v>
      </c>
      <c r="DY504" s="408">
        <v>-63.263410000000135</v>
      </c>
      <c r="DZ504" s="408">
        <v>59.307729999999992</v>
      </c>
      <c r="EA504" s="408">
        <v>0</v>
      </c>
      <c r="EB504" s="408">
        <v>0</v>
      </c>
      <c r="EC504" s="408">
        <v>-98.045855148755265</v>
      </c>
      <c r="ED504" s="408">
        <v>0</v>
      </c>
      <c r="EE504" s="408">
        <v>0</v>
      </c>
      <c r="EF504" s="408">
        <v>0</v>
      </c>
      <c r="EG504" s="408">
        <v>0</v>
      </c>
      <c r="EH504" s="408">
        <v>0</v>
      </c>
      <c r="EI504" s="408">
        <v>0</v>
      </c>
      <c r="EJ504" s="408">
        <v>0</v>
      </c>
      <c r="EK504" s="408">
        <v>0</v>
      </c>
      <c r="EL504" s="408">
        <v>0</v>
      </c>
      <c r="EM504" s="408">
        <v>0</v>
      </c>
      <c r="EN504" s="408">
        <v>0</v>
      </c>
      <c r="EO504" s="408">
        <v>0</v>
      </c>
      <c r="EP504" s="408">
        <v>43.176088221024941</v>
      </c>
      <c r="EQ504" s="408">
        <v>0</v>
      </c>
      <c r="ER504" s="408">
        <v>0</v>
      </c>
      <c r="ES504" s="408">
        <v>0</v>
      </c>
      <c r="ET504" s="408">
        <v>0</v>
      </c>
      <c r="EU504" s="408">
        <v>0</v>
      </c>
      <c r="EV504" s="408">
        <v>240</v>
      </c>
      <c r="EW504" s="408">
        <v>0</v>
      </c>
      <c r="EX504" s="408">
        <v>0</v>
      </c>
      <c r="EY504" s="408">
        <v>0</v>
      </c>
      <c r="EZ504" s="408"/>
      <c r="FA504" s="408">
        <v>0</v>
      </c>
      <c r="FB504" s="408"/>
      <c r="FC504" s="408"/>
      <c r="FD504" s="408"/>
      <c r="FE504" s="408"/>
      <c r="FF504" s="408">
        <v>0</v>
      </c>
      <c r="FG504" s="408">
        <v>0</v>
      </c>
      <c r="FH504" s="408">
        <v>0</v>
      </c>
      <c r="FI504" s="408">
        <v>0</v>
      </c>
    </row>
    <row r="505" spans="1:165">
      <c r="A505" s="408">
        <v>503</v>
      </c>
      <c r="B505" s="408" t="s">
        <v>1036</v>
      </c>
      <c r="C505" s="408" t="s">
        <v>2316</v>
      </c>
      <c r="D505" s="408" t="s">
        <v>1958</v>
      </c>
      <c r="E505" s="408" t="s">
        <v>970</v>
      </c>
      <c r="F505" s="408" t="s">
        <v>1322</v>
      </c>
      <c r="G505" s="408" t="s">
        <v>1322</v>
      </c>
      <c r="H505" s="408" t="s">
        <v>1322</v>
      </c>
      <c r="I505" s="408" t="s">
        <v>1322</v>
      </c>
      <c r="J505" s="408" t="s">
        <v>2236</v>
      </c>
      <c r="K505" s="826">
        <v>44593</v>
      </c>
      <c r="L505" s="408">
        <v>0</v>
      </c>
      <c r="M505" s="408">
        <v>0</v>
      </c>
      <c r="N505" s="408">
        <v>0</v>
      </c>
      <c r="O505" s="408">
        <v>0</v>
      </c>
      <c r="P505" s="408">
        <v>0</v>
      </c>
      <c r="Q505" s="408">
        <v>0</v>
      </c>
      <c r="R505" s="408"/>
      <c r="S505" s="408"/>
      <c r="T505" s="408"/>
      <c r="U505" s="408"/>
      <c r="V505" s="408"/>
      <c r="W505" s="408"/>
      <c r="X505" s="408"/>
      <c r="Y505" s="408"/>
      <c r="Z505" s="408"/>
      <c r="AA505" s="408">
        <v>0</v>
      </c>
      <c r="AB505" s="408"/>
      <c r="AC505" s="408"/>
      <c r="AD505" s="408"/>
      <c r="AE505" s="408"/>
      <c r="AF505" s="408"/>
      <c r="AG505" s="408"/>
      <c r="AH505" s="408"/>
      <c r="AI505" s="408"/>
      <c r="AJ505" s="408"/>
      <c r="AK505" s="408"/>
      <c r="AL505" s="408"/>
      <c r="AM505" s="408"/>
      <c r="AN505" s="408"/>
      <c r="AO505" s="408"/>
      <c r="AP505" s="408"/>
      <c r="AQ505" s="408"/>
      <c r="AR505" s="408"/>
      <c r="AS505" s="408"/>
      <c r="AT505" s="408"/>
      <c r="AU505" s="408"/>
      <c r="AV505" s="408"/>
      <c r="AW505" s="408"/>
      <c r="AX505" s="408"/>
      <c r="AY505" s="408"/>
      <c r="AZ505" s="408">
        <v>0</v>
      </c>
      <c r="BA505" s="408"/>
      <c r="BB505" s="408"/>
      <c r="BC505" s="408"/>
      <c r="BD505" s="408"/>
      <c r="BE505" s="408"/>
      <c r="BF505" s="408"/>
      <c r="BG505" s="408"/>
      <c r="BH505" s="408"/>
      <c r="BI505" s="408">
        <v>1.5</v>
      </c>
      <c r="BJ505" s="408">
        <v>12.89</v>
      </c>
      <c r="BK505" s="408">
        <v>440.08</v>
      </c>
      <c r="BL505" s="408">
        <v>1</v>
      </c>
      <c r="BM505" s="408"/>
      <c r="BN505" s="408"/>
      <c r="BO505" s="408"/>
      <c r="BP505" s="408"/>
      <c r="BQ505" s="408"/>
      <c r="BR505" s="408"/>
      <c r="BS505" s="408"/>
      <c r="BT505" s="408"/>
      <c r="BU505" s="408"/>
      <c r="BV505" s="408"/>
      <c r="BW505" s="408"/>
      <c r="BX505" s="408"/>
      <c r="BY505" s="408"/>
      <c r="BZ505" s="408"/>
      <c r="CA505" s="408"/>
      <c r="CB505" s="408"/>
      <c r="CC505" s="408"/>
      <c r="CD505" s="408"/>
      <c r="CE505" s="408"/>
      <c r="CF505" s="408"/>
      <c r="CG505" s="408"/>
      <c r="CH505" s="408"/>
      <c r="CI505" s="408"/>
      <c r="CJ505" s="408">
        <v>-0.03</v>
      </c>
      <c r="CK505" s="408"/>
      <c r="CL505" s="408"/>
      <c r="CM505" s="408"/>
      <c r="CN505" s="408"/>
      <c r="CO505" s="408">
        <v>0</v>
      </c>
      <c r="CP505" s="408">
        <v>0</v>
      </c>
      <c r="CQ505" s="408">
        <v>29</v>
      </c>
      <c r="CR505" s="408"/>
      <c r="CS505" s="408"/>
      <c r="CT505" s="408"/>
      <c r="CU505" s="408"/>
      <c r="CV505" s="408"/>
      <c r="CW505" s="408"/>
      <c r="CX505" s="408"/>
      <c r="CY505" s="408"/>
      <c r="CZ505" s="408"/>
      <c r="DA505" s="408"/>
      <c r="DB505" s="408"/>
      <c r="DC505" s="408"/>
      <c r="DD505" s="408"/>
      <c r="DE505" s="408"/>
      <c r="DF505" s="408"/>
      <c r="DG505" s="408"/>
      <c r="DH505" s="408"/>
      <c r="DI505" s="408"/>
      <c r="DJ505" s="408"/>
      <c r="DK505" s="408">
        <v>0</v>
      </c>
      <c r="DL505" s="408"/>
      <c r="DM505" s="408"/>
      <c r="DN505" s="408"/>
      <c r="DO505" s="408"/>
      <c r="DP505" s="408"/>
      <c r="DQ505" s="408"/>
      <c r="DR505" s="408"/>
      <c r="DS505" s="408"/>
      <c r="DT505" s="408"/>
      <c r="DU505" s="408"/>
      <c r="DV505" s="408"/>
      <c r="DW505" s="408"/>
      <c r="DX505" s="408"/>
      <c r="DY505" s="408"/>
      <c r="DZ505" s="408"/>
      <c r="EA505" s="408"/>
      <c r="EB505" s="408"/>
      <c r="EC505" s="408"/>
      <c r="ED505" s="408"/>
      <c r="EE505" s="408"/>
      <c r="EF505" s="408"/>
      <c r="EG505" s="408"/>
      <c r="EH505" s="408"/>
      <c r="EI505" s="408"/>
      <c r="EJ505" s="408"/>
      <c r="EK505" s="408"/>
      <c r="EL505" s="408"/>
      <c r="EM505" s="408"/>
      <c r="EN505" s="408"/>
      <c r="EO505" s="408"/>
      <c r="EP505" s="408"/>
      <c r="EQ505" s="408"/>
      <c r="ER505" s="408"/>
      <c r="ES505" s="408"/>
      <c r="ET505" s="408"/>
      <c r="EU505" s="408"/>
      <c r="EV505" s="408">
        <v>240</v>
      </c>
      <c r="EW505" s="408"/>
      <c r="EX505" s="408"/>
      <c r="EY505" s="408"/>
      <c r="EZ505" s="408"/>
      <c r="FA505" s="408">
        <v>0</v>
      </c>
      <c r="FB505" s="408"/>
      <c r="FC505" s="408"/>
      <c r="FD505" s="408"/>
      <c r="FE505" s="408"/>
      <c r="FF505" s="408">
        <v>0</v>
      </c>
      <c r="FG505" s="408">
        <v>0</v>
      </c>
      <c r="FH505" s="408">
        <v>0</v>
      </c>
      <c r="FI505" s="408">
        <v>0</v>
      </c>
    </row>
    <row r="506" spans="1:165">
      <c r="A506" s="408">
        <v>504</v>
      </c>
      <c r="B506" s="408" t="s">
        <v>1036</v>
      </c>
      <c r="C506" s="408" t="s">
        <v>2316</v>
      </c>
      <c r="D506" s="408" t="s">
        <v>1958</v>
      </c>
      <c r="E506" s="408" t="s">
        <v>970</v>
      </c>
      <c r="F506" s="408" t="s">
        <v>1322</v>
      </c>
      <c r="G506" s="408" t="s">
        <v>1322</v>
      </c>
      <c r="H506" s="408" t="s">
        <v>1322</v>
      </c>
      <c r="I506" s="408" t="s">
        <v>2317</v>
      </c>
      <c r="J506" s="408" t="s">
        <v>2236</v>
      </c>
      <c r="K506" s="826">
        <v>44593</v>
      </c>
      <c r="L506" s="408">
        <v>0</v>
      </c>
      <c r="M506" s="408">
        <v>0</v>
      </c>
      <c r="N506" s="408">
        <v>0.14000000000000001</v>
      </c>
      <c r="O506" s="408">
        <v>0.14000000000000001</v>
      </c>
      <c r="P506" s="408">
        <v>0.14000000000000001</v>
      </c>
      <c r="Q506" s="408">
        <v>0.14000000000000001</v>
      </c>
      <c r="R506" s="408"/>
      <c r="S506" s="408">
        <v>970.82</v>
      </c>
      <c r="T506" s="408">
        <v>173.25</v>
      </c>
      <c r="U506" s="408"/>
      <c r="V506" s="408">
        <v>160.16980000000001</v>
      </c>
      <c r="W506" s="408">
        <v>160.16980000000001</v>
      </c>
      <c r="X506" s="408">
        <v>153.87819999999999</v>
      </c>
      <c r="Y506" s="408">
        <v>0</v>
      </c>
      <c r="Z506" s="408">
        <v>8.6163256479118573</v>
      </c>
      <c r="AA506" s="408">
        <v>0</v>
      </c>
      <c r="AB506" s="408">
        <v>0</v>
      </c>
      <c r="AC506" s="408">
        <v>9.1097366682510028</v>
      </c>
      <c r="AD506" s="408">
        <v>0.62996867818390245</v>
      </c>
      <c r="AE506" s="408">
        <v>60.344598965956905</v>
      </c>
      <c r="AF506" s="408">
        <v>23.847665881943822</v>
      </c>
      <c r="AG506" s="408">
        <v>0.40701269427577508</v>
      </c>
      <c r="AH506" s="408">
        <v>0</v>
      </c>
      <c r="AI506" s="408">
        <v>0</v>
      </c>
      <c r="AJ506" s="408">
        <v>0</v>
      </c>
      <c r="AK506" s="408">
        <v>0</v>
      </c>
      <c r="AL506" s="408">
        <v>1.3312642388255576</v>
      </c>
      <c r="AM506" s="408"/>
      <c r="AN506" s="408">
        <v>0.1690999400107808</v>
      </c>
      <c r="AO506" s="408">
        <v>26.506533036500723</v>
      </c>
      <c r="AP506" s="408">
        <v>25.754911936470084</v>
      </c>
      <c r="AQ506" s="408">
        <v>0</v>
      </c>
      <c r="AR506" s="408">
        <v>0</v>
      </c>
      <c r="AS506" s="408">
        <v>0</v>
      </c>
      <c r="AT506" s="408">
        <v>0</v>
      </c>
      <c r="AU506" s="408">
        <v>0</v>
      </c>
      <c r="AV506" s="408">
        <v>0</v>
      </c>
      <c r="AW506" s="408">
        <v>0</v>
      </c>
      <c r="AX506" s="408">
        <v>0</v>
      </c>
      <c r="AY506" s="408">
        <v>0</v>
      </c>
      <c r="AZ506" s="408">
        <v>0</v>
      </c>
      <c r="BA506" s="408"/>
      <c r="BB506" s="408">
        <v>0</v>
      </c>
      <c r="BC506" s="408">
        <v>0</v>
      </c>
      <c r="BD506" s="408">
        <v>0</v>
      </c>
      <c r="BE506" s="408">
        <v>0</v>
      </c>
      <c r="BF506" s="408">
        <v>0</v>
      </c>
      <c r="BG506" s="408">
        <v>1.2515708555050373</v>
      </c>
      <c r="BH506" s="408">
        <v>0</v>
      </c>
      <c r="BI506" s="408">
        <v>0</v>
      </c>
      <c r="BJ506" s="408">
        <v>0</v>
      </c>
      <c r="BK506" s="408">
        <v>0</v>
      </c>
      <c r="BL506" s="408">
        <v>0</v>
      </c>
      <c r="BM506" s="408"/>
      <c r="BN506" s="408"/>
      <c r="BO506" s="408"/>
      <c r="BP506" s="408"/>
      <c r="BQ506" s="408"/>
      <c r="BR506" s="408"/>
      <c r="BS506" s="408"/>
      <c r="BT506" s="408"/>
      <c r="BU506" s="408"/>
      <c r="BV506" s="408">
        <v>25.099236737448859</v>
      </c>
      <c r="BW506" s="408"/>
      <c r="BX506" s="408"/>
      <c r="BY506" s="408"/>
      <c r="BZ506" s="408"/>
      <c r="CA506" s="408"/>
      <c r="CB506" s="408"/>
      <c r="CC506" s="408"/>
      <c r="CD506" s="408"/>
      <c r="CE506" s="408"/>
      <c r="CF506" s="408"/>
      <c r="CG506" s="408"/>
      <c r="CH506" s="408"/>
      <c r="CI506" s="408">
        <v>153.87819999999999</v>
      </c>
      <c r="CJ506" s="408">
        <v>-6.3215999999999894</v>
      </c>
      <c r="CK506" s="408"/>
      <c r="CL506" s="408"/>
      <c r="CM506" s="408"/>
      <c r="CN506" s="408"/>
      <c r="CO506" s="408">
        <v>-9.3142000000000138</v>
      </c>
      <c r="CP506" s="408">
        <v>3.0226000000000006</v>
      </c>
      <c r="CQ506" s="408">
        <v>29</v>
      </c>
      <c r="CR506" s="408">
        <v>8.6996707899452304</v>
      </c>
      <c r="CS506" s="408">
        <v>2.6413193608937817</v>
      </c>
      <c r="CT506" s="408">
        <v>2.5664219248225564</v>
      </c>
      <c r="CU506" s="408">
        <v>0</v>
      </c>
      <c r="CV506" s="408">
        <v>0</v>
      </c>
      <c r="CW506" s="408">
        <v>0</v>
      </c>
      <c r="CX506" s="408">
        <v>0</v>
      </c>
      <c r="CY506" s="408">
        <v>0</v>
      </c>
      <c r="CZ506" s="408">
        <v>0.64865900656878162</v>
      </c>
      <c r="DA506" s="408">
        <v>0</v>
      </c>
      <c r="DB506" s="408">
        <v>0</v>
      </c>
      <c r="DC506" s="408">
        <v>3.0222587309808588</v>
      </c>
      <c r="DD506" s="408">
        <v>0</v>
      </c>
      <c r="DE506" s="408">
        <v>0</v>
      </c>
      <c r="DF506" s="408">
        <v>0</v>
      </c>
      <c r="DG506" s="408">
        <v>0.1586138854937309</v>
      </c>
      <c r="DH506" s="408">
        <v>0</v>
      </c>
      <c r="DI506" s="408">
        <v>-0.29258315343401264</v>
      </c>
      <c r="DJ506" s="408"/>
      <c r="DK506" s="408">
        <v>0</v>
      </c>
      <c r="DL506" s="408">
        <v>0</v>
      </c>
      <c r="DM506" s="408">
        <v>0</v>
      </c>
      <c r="DN506" s="408">
        <v>0</v>
      </c>
      <c r="DO506" s="408">
        <v>-4.0234886286148352E-2</v>
      </c>
      <c r="DP506" s="408">
        <v>-4.7840790943246003E-3</v>
      </c>
      <c r="DQ506" s="408">
        <v>0</v>
      </c>
      <c r="DR506" s="408">
        <v>0</v>
      </c>
      <c r="DS506" s="408"/>
      <c r="DT506" s="408"/>
      <c r="DU506" s="408"/>
      <c r="DV506" s="408">
        <v>60.344598965956905</v>
      </c>
      <c r="DW506" s="408">
        <v>0</v>
      </c>
      <c r="DX506" s="408">
        <v>0</v>
      </c>
      <c r="DY506" s="408">
        <v>-9.3142000000000138</v>
      </c>
      <c r="DZ506" s="408">
        <v>3.0226000000000006</v>
      </c>
      <c r="EA506" s="408">
        <v>0</v>
      </c>
      <c r="EB506" s="408">
        <v>0</v>
      </c>
      <c r="EC506" s="408">
        <v>-14.990621982393961</v>
      </c>
      <c r="ED506" s="408">
        <v>0</v>
      </c>
      <c r="EE506" s="408">
        <v>0</v>
      </c>
      <c r="EF506" s="408">
        <v>0</v>
      </c>
      <c r="EG506" s="408">
        <v>0</v>
      </c>
      <c r="EH506" s="408">
        <v>0</v>
      </c>
      <c r="EI506" s="408">
        <v>0</v>
      </c>
      <c r="EJ506" s="408">
        <v>0</v>
      </c>
      <c r="EK506" s="408">
        <v>0</v>
      </c>
      <c r="EL506" s="408">
        <v>0</v>
      </c>
      <c r="EM506" s="408">
        <v>0</v>
      </c>
      <c r="EN506" s="408">
        <v>0</v>
      </c>
      <c r="EO506" s="408">
        <v>0</v>
      </c>
      <c r="EP506" s="408">
        <v>2.2004558976860182</v>
      </c>
      <c r="EQ506" s="408">
        <v>0</v>
      </c>
      <c r="ER506" s="408">
        <v>0</v>
      </c>
      <c r="ES506" s="408">
        <v>0</v>
      </c>
      <c r="ET506" s="408">
        <v>0</v>
      </c>
      <c r="EU506" s="408">
        <v>0</v>
      </c>
      <c r="EV506" s="408">
        <v>240</v>
      </c>
      <c r="EW506" s="408">
        <v>0</v>
      </c>
      <c r="EX506" s="408">
        <v>0</v>
      </c>
      <c r="EY506" s="408">
        <v>0</v>
      </c>
      <c r="EZ506" s="408"/>
      <c r="FA506" s="408">
        <v>0</v>
      </c>
      <c r="FB506" s="408"/>
      <c r="FC506" s="408"/>
      <c r="FD506" s="408"/>
      <c r="FE506" s="408"/>
      <c r="FF506" s="408">
        <v>0</v>
      </c>
      <c r="FG506" s="408">
        <v>0</v>
      </c>
      <c r="FH506" s="408">
        <v>0</v>
      </c>
      <c r="FI506" s="408">
        <v>0</v>
      </c>
    </row>
    <row r="507" spans="1:165">
      <c r="A507" s="408">
        <v>505</v>
      </c>
      <c r="B507" s="408" t="s">
        <v>1036</v>
      </c>
      <c r="C507" s="408" t="s">
        <v>2235</v>
      </c>
      <c r="D507" s="408" t="s">
        <v>1958</v>
      </c>
      <c r="E507" s="408" t="s">
        <v>998</v>
      </c>
      <c r="F507" s="408" t="s">
        <v>1322</v>
      </c>
      <c r="G507" s="408" t="s">
        <v>1322</v>
      </c>
      <c r="H507" s="408" t="s">
        <v>1322</v>
      </c>
      <c r="I507" s="408" t="s">
        <v>1322</v>
      </c>
      <c r="J507" s="408" t="s">
        <v>2236</v>
      </c>
      <c r="K507" s="826">
        <v>44593</v>
      </c>
      <c r="L507" s="408">
        <v>0</v>
      </c>
      <c r="M507" s="408">
        <v>0</v>
      </c>
      <c r="N507" s="408">
        <v>3529.6120000000001</v>
      </c>
      <c r="O507" s="408">
        <v>3529.6120000000001</v>
      </c>
      <c r="P507" s="408">
        <v>3529.6120000000001</v>
      </c>
      <c r="Q507" s="408">
        <v>3529.6120000000001</v>
      </c>
      <c r="R507" s="408"/>
      <c r="S507" s="408">
        <v>368.24</v>
      </c>
      <c r="T507" s="408">
        <v>173.25</v>
      </c>
      <c r="U507" s="408"/>
      <c r="V507" s="408">
        <v>1911249.60188</v>
      </c>
      <c r="W507" s="408">
        <v>1911249.60188</v>
      </c>
      <c r="X507" s="408">
        <v>1796184.2506800001</v>
      </c>
      <c r="Y507" s="408">
        <v>0</v>
      </c>
      <c r="Z507" s="408">
        <v>217230.61716269614</v>
      </c>
      <c r="AA507" s="408">
        <v>0</v>
      </c>
      <c r="AB507" s="408">
        <v>0</v>
      </c>
      <c r="AC507" s="408">
        <v>9034.173797531721</v>
      </c>
      <c r="AD507" s="408">
        <v>8679.8152139828399</v>
      </c>
      <c r="AE507" s="408">
        <v>831354.59505477664</v>
      </c>
      <c r="AF507" s="408">
        <v>601235.76906356786</v>
      </c>
      <c r="AG507" s="408">
        <v>10261.406356200763</v>
      </c>
      <c r="AH507" s="408">
        <v>0</v>
      </c>
      <c r="AI507" s="408">
        <v>0</v>
      </c>
      <c r="AJ507" s="408">
        <v>0</v>
      </c>
      <c r="AK507" s="408">
        <v>0</v>
      </c>
      <c r="AL507" s="408">
        <v>33563.187375211099</v>
      </c>
      <c r="AM507" s="408"/>
      <c r="AN507" s="408">
        <v>4263.2655532952285</v>
      </c>
      <c r="AO507" s="408">
        <v>19177.778126069617</v>
      </c>
      <c r="AP507" s="408">
        <v>89423.15016248227</v>
      </c>
      <c r="AQ507" s="408">
        <v>0</v>
      </c>
      <c r="AR507" s="408">
        <v>0</v>
      </c>
      <c r="AS507" s="408">
        <v>0</v>
      </c>
      <c r="AT507" s="408">
        <v>0</v>
      </c>
      <c r="AU507" s="408">
        <v>0</v>
      </c>
      <c r="AV507" s="408">
        <v>0</v>
      </c>
      <c r="AW507" s="408">
        <v>0</v>
      </c>
      <c r="AX507" s="408">
        <v>0</v>
      </c>
      <c r="AY507" s="408">
        <v>0</v>
      </c>
      <c r="AZ507" s="408">
        <v>0</v>
      </c>
      <c r="BA507" s="408"/>
      <c r="BB507" s="408">
        <v>0</v>
      </c>
      <c r="BC507" s="408">
        <v>0</v>
      </c>
      <c r="BD507" s="408">
        <v>0</v>
      </c>
      <c r="BE507" s="408">
        <v>0</v>
      </c>
      <c r="BF507" s="408">
        <v>0</v>
      </c>
      <c r="BG507" s="408">
        <v>31553.996503148897</v>
      </c>
      <c r="BH507" s="408">
        <v>0</v>
      </c>
      <c r="BI507" s="408">
        <v>1597.27</v>
      </c>
      <c r="BJ507" s="408">
        <v>13876.06</v>
      </c>
      <c r="BK507" s="408">
        <v>770918.89</v>
      </c>
      <c r="BL507" s="408">
        <v>4328</v>
      </c>
      <c r="BM507" s="408"/>
      <c r="BN507" s="408"/>
      <c r="BO507" s="408"/>
      <c r="BP507" s="408"/>
      <c r="BQ507" s="408"/>
      <c r="BR507" s="408"/>
      <c r="BS507" s="408"/>
      <c r="BT507" s="408"/>
      <c r="BU507" s="408"/>
      <c r="BV507" s="408">
        <v>632789.76556671679</v>
      </c>
      <c r="BW507" s="408"/>
      <c r="BX507" s="408"/>
      <c r="BY507" s="408"/>
      <c r="BZ507" s="408"/>
      <c r="CA507" s="408"/>
      <c r="CB507" s="408"/>
      <c r="CC507" s="408"/>
      <c r="CD507" s="408"/>
      <c r="CE507" s="408"/>
      <c r="CF507" s="408"/>
      <c r="CG507" s="408"/>
      <c r="CH507" s="408"/>
      <c r="CI507" s="408">
        <v>1796183.2329000002</v>
      </c>
      <c r="CJ507" s="408">
        <v>-115066.39897999982</v>
      </c>
      <c r="CK507" s="408"/>
      <c r="CL507" s="408"/>
      <c r="CM507" s="408"/>
      <c r="CN507" s="408"/>
      <c r="CO507" s="408">
        <v>-191269.67428000001</v>
      </c>
      <c r="CP507" s="408">
        <v>76204.323080000016</v>
      </c>
      <c r="CQ507" s="408">
        <v>29</v>
      </c>
      <c r="CR507" s="408">
        <v>91442.338871682063</v>
      </c>
      <c r="CS507" s="408">
        <v>1911.0245988624156</v>
      </c>
      <c r="CT507" s="408">
        <v>8910.8257768386247</v>
      </c>
      <c r="CU507" s="408">
        <v>0</v>
      </c>
      <c r="CV507" s="408">
        <v>0</v>
      </c>
      <c r="CW507" s="408">
        <v>0</v>
      </c>
      <c r="CX507" s="408">
        <v>0</v>
      </c>
      <c r="CY507" s="408">
        <v>0</v>
      </c>
      <c r="CZ507" s="408">
        <v>8937.3337260731332</v>
      </c>
      <c r="DA507" s="408">
        <v>0</v>
      </c>
      <c r="DB507" s="408">
        <v>0</v>
      </c>
      <c r="DC507" s="408">
        <v>76195.719171248609</v>
      </c>
      <c r="DD507" s="408">
        <v>0</v>
      </c>
      <c r="DE507" s="408">
        <v>0</v>
      </c>
      <c r="DF507" s="408">
        <v>0</v>
      </c>
      <c r="DG507" s="408">
        <v>3998.8962400378441</v>
      </c>
      <c r="DH507" s="408">
        <v>0</v>
      </c>
      <c r="DI507" s="408">
        <v>-7376.4643525609281</v>
      </c>
      <c r="DJ507" s="408"/>
      <c r="DK507" s="408">
        <v>0</v>
      </c>
      <c r="DL507" s="408">
        <v>0</v>
      </c>
      <c r="DM507" s="408">
        <v>0</v>
      </c>
      <c r="DN507" s="408">
        <v>0</v>
      </c>
      <c r="DO507" s="408">
        <v>-1014.382410387323</v>
      </c>
      <c r="DP507" s="408">
        <v>-120.61387843055127</v>
      </c>
      <c r="DQ507" s="408">
        <v>0</v>
      </c>
      <c r="DR507" s="408">
        <v>0</v>
      </c>
      <c r="DS507" s="408"/>
      <c r="DT507" s="408"/>
      <c r="DU507" s="408"/>
      <c r="DV507" s="408">
        <v>831354.59505477664</v>
      </c>
      <c r="DW507" s="408">
        <v>0</v>
      </c>
      <c r="DX507" s="408">
        <v>0</v>
      </c>
      <c r="DY507" s="408">
        <v>-191269.67428000015</v>
      </c>
      <c r="DZ507" s="408">
        <v>76204.323080000002</v>
      </c>
      <c r="EA507" s="408">
        <v>0</v>
      </c>
      <c r="EB507" s="408">
        <v>0</v>
      </c>
      <c r="EC507" s="408">
        <v>-206522.58331890043</v>
      </c>
      <c r="ED507" s="408">
        <v>0</v>
      </c>
      <c r="EE507" s="408">
        <v>0</v>
      </c>
      <c r="EF507" s="408">
        <v>0</v>
      </c>
      <c r="EG507" s="408">
        <v>0</v>
      </c>
      <c r="EH507" s="408">
        <v>0</v>
      </c>
      <c r="EI507" s="408">
        <v>0</v>
      </c>
      <c r="EJ507" s="408">
        <v>0</v>
      </c>
      <c r="EK507" s="408">
        <v>0</v>
      </c>
      <c r="EL507" s="408">
        <v>0</v>
      </c>
      <c r="EM507" s="408">
        <v>0</v>
      </c>
      <c r="EN507" s="408">
        <v>0</v>
      </c>
      <c r="EO507" s="408">
        <v>0</v>
      </c>
      <c r="EP507" s="408">
        <v>55476.825299595301</v>
      </c>
      <c r="EQ507" s="408">
        <v>0</v>
      </c>
      <c r="ER507" s="408">
        <v>0</v>
      </c>
      <c r="ES507" s="408">
        <v>0</v>
      </c>
      <c r="ET507" s="408">
        <v>0</v>
      </c>
      <c r="EU507" s="408">
        <v>0</v>
      </c>
      <c r="EV507" s="408">
        <v>240</v>
      </c>
      <c r="EW507" s="408">
        <v>0</v>
      </c>
      <c r="EX507" s="408">
        <v>0</v>
      </c>
      <c r="EY507" s="408">
        <v>0</v>
      </c>
      <c r="EZ507" s="408"/>
      <c r="FA507" s="408">
        <v>0</v>
      </c>
      <c r="FB507" s="408"/>
      <c r="FC507" s="408"/>
      <c r="FD507" s="408"/>
      <c r="FE507" s="408"/>
      <c r="FF507" s="408">
        <v>0</v>
      </c>
      <c r="FG507" s="408">
        <v>0</v>
      </c>
      <c r="FH507" s="408">
        <v>0</v>
      </c>
      <c r="FI507" s="408">
        <v>0</v>
      </c>
    </row>
    <row r="508" spans="1:165">
      <c r="A508" s="408">
        <v>506</v>
      </c>
      <c r="B508" s="408" t="s">
        <v>2238</v>
      </c>
      <c r="C508" s="408" t="s">
        <v>2235</v>
      </c>
      <c r="D508" s="408" t="s">
        <v>1958</v>
      </c>
      <c r="E508" s="408" t="s">
        <v>998</v>
      </c>
      <c r="F508" s="408" t="s">
        <v>1322</v>
      </c>
      <c r="G508" s="408" t="s">
        <v>1322</v>
      </c>
      <c r="H508" s="408" t="s">
        <v>1322</v>
      </c>
      <c r="I508" s="408" t="s">
        <v>1322</v>
      </c>
      <c r="J508" s="408" t="s">
        <v>2236</v>
      </c>
      <c r="K508" s="826">
        <v>44593</v>
      </c>
      <c r="L508" s="408">
        <v>0</v>
      </c>
      <c r="M508" s="408">
        <v>0</v>
      </c>
      <c r="N508" s="408">
        <v>191.34899999999999</v>
      </c>
      <c r="O508" s="408">
        <v>191.34899999999999</v>
      </c>
      <c r="P508" s="408">
        <v>191.34899999999999</v>
      </c>
      <c r="Q508" s="408">
        <v>191.34899999999999</v>
      </c>
      <c r="R508" s="408"/>
      <c r="S508" s="408">
        <v>368.24</v>
      </c>
      <c r="T508" s="408">
        <v>173.25</v>
      </c>
      <c r="U508" s="408"/>
      <c r="V508" s="408">
        <v>103613.57001</v>
      </c>
      <c r="W508" s="408">
        <v>103613.57001</v>
      </c>
      <c r="X508" s="408">
        <v>97375.592609999992</v>
      </c>
      <c r="Y508" s="408">
        <v>0</v>
      </c>
      <c r="Z508" s="408">
        <v>11776.609260016327</v>
      </c>
      <c r="AA508" s="408">
        <v>0</v>
      </c>
      <c r="AB508" s="408">
        <v>0</v>
      </c>
      <c r="AC508" s="408">
        <v>489.76491523257999</v>
      </c>
      <c r="AD508" s="408">
        <v>470.55425961278524</v>
      </c>
      <c r="AE508" s="408">
        <v>45069.789656522145</v>
      </c>
      <c r="AF508" s="408">
        <v>32594.478706029055</v>
      </c>
      <c r="AG508" s="408">
        <v>556.2962288355377</v>
      </c>
      <c r="AH508" s="408">
        <v>0</v>
      </c>
      <c r="AI508" s="408">
        <v>0</v>
      </c>
      <c r="AJ508" s="408">
        <v>0</v>
      </c>
      <c r="AK508" s="408">
        <v>0</v>
      </c>
      <c r="AL508" s="408">
        <v>1819.5434345359397</v>
      </c>
      <c r="AM508" s="408"/>
      <c r="AN508" s="408">
        <v>231.12217443659208</v>
      </c>
      <c r="AO508" s="408">
        <v>1039.6748046655823</v>
      </c>
      <c r="AP508" s="408">
        <v>4847.8502340882851</v>
      </c>
      <c r="AQ508" s="408">
        <v>0</v>
      </c>
      <c r="AR508" s="408">
        <v>0</v>
      </c>
      <c r="AS508" s="408">
        <v>0</v>
      </c>
      <c r="AT508" s="408">
        <v>0</v>
      </c>
      <c r="AU508" s="408">
        <v>0</v>
      </c>
      <c r="AV508" s="408">
        <v>0</v>
      </c>
      <c r="AW508" s="408">
        <v>0</v>
      </c>
      <c r="AX508" s="408">
        <v>0</v>
      </c>
      <c r="AY508" s="408">
        <v>0</v>
      </c>
      <c r="AZ508" s="408">
        <v>0</v>
      </c>
      <c r="BA508" s="408"/>
      <c r="BB508" s="408">
        <v>0</v>
      </c>
      <c r="BC508" s="408">
        <v>0</v>
      </c>
      <c r="BD508" s="408">
        <v>0</v>
      </c>
      <c r="BE508" s="408">
        <v>0</v>
      </c>
      <c r="BF508" s="408">
        <v>0</v>
      </c>
      <c r="BG508" s="408">
        <v>1710.6202259288098</v>
      </c>
      <c r="BH508" s="408">
        <v>0</v>
      </c>
      <c r="BI508" s="408">
        <v>86.42</v>
      </c>
      <c r="BJ508" s="408">
        <v>753.58</v>
      </c>
      <c r="BK508" s="408">
        <v>77346.66</v>
      </c>
      <c r="BL508" s="408">
        <v>290</v>
      </c>
      <c r="BM508" s="408"/>
      <c r="BN508" s="408"/>
      <c r="BO508" s="408"/>
      <c r="BP508" s="408"/>
      <c r="BQ508" s="408"/>
      <c r="BR508" s="408"/>
      <c r="BS508" s="408"/>
      <c r="BT508" s="408"/>
      <c r="BU508" s="408"/>
      <c r="BV508" s="408">
        <v>34305.098931957866</v>
      </c>
      <c r="BW508" s="408"/>
      <c r="BX508" s="408"/>
      <c r="BY508" s="408"/>
      <c r="BZ508" s="408"/>
      <c r="CA508" s="408"/>
      <c r="CB508" s="408"/>
      <c r="CC508" s="408"/>
      <c r="CD508" s="408"/>
      <c r="CE508" s="408"/>
      <c r="CF508" s="408"/>
      <c r="CG508" s="408"/>
      <c r="CH508" s="408"/>
      <c r="CI508" s="408">
        <v>97376.10149999999</v>
      </c>
      <c r="CJ508" s="408">
        <v>-6237.4985099999903</v>
      </c>
      <c r="CK508" s="408"/>
      <c r="CL508" s="408"/>
      <c r="CM508" s="408"/>
      <c r="CN508" s="408"/>
      <c r="CO508" s="408">
        <v>-10369.202309999999</v>
      </c>
      <c r="CP508" s="408">
        <v>4131.2249100000008</v>
      </c>
      <c r="CQ508" s="408">
        <v>29</v>
      </c>
      <c r="CR508" s="408">
        <v>4957.3154501847457</v>
      </c>
      <c r="CS508" s="408">
        <v>103.60137203968134</v>
      </c>
      <c r="CT508" s="408">
        <v>483.07791382517189</v>
      </c>
      <c r="CU508" s="408">
        <v>0</v>
      </c>
      <c r="CV508" s="408">
        <v>0</v>
      </c>
      <c r="CW508" s="408">
        <v>0</v>
      </c>
      <c r="CX508" s="408">
        <v>0</v>
      </c>
      <c r="CY508" s="408">
        <v>0</v>
      </c>
      <c r="CZ508" s="408">
        <v>484.51497534300313</v>
      </c>
      <c r="DA508" s="408">
        <v>0</v>
      </c>
      <c r="DB508" s="408">
        <v>0</v>
      </c>
      <c r="DC508" s="408">
        <v>4130.7584708175491</v>
      </c>
      <c r="DD508" s="408">
        <v>0</v>
      </c>
      <c r="DE508" s="408">
        <v>0</v>
      </c>
      <c r="DF508" s="408">
        <v>0</v>
      </c>
      <c r="DG508" s="408">
        <v>216.79005982385638</v>
      </c>
      <c r="DH508" s="408">
        <v>0</v>
      </c>
      <c r="DI508" s="408">
        <v>-399.89638447460675</v>
      </c>
      <c r="DJ508" s="408"/>
      <c r="DK508" s="408">
        <v>0</v>
      </c>
      <c r="DL508" s="408">
        <v>0</v>
      </c>
      <c r="DM508" s="408">
        <v>0</v>
      </c>
      <c r="DN508" s="408">
        <v>0</v>
      </c>
      <c r="DO508" s="408">
        <v>-54.992180399772678</v>
      </c>
      <c r="DP508" s="408">
        <v>-6.5387767901422649</v>
      </c>
      <c r="DQ508" s="408">
        <v>0</v>
      </c>
      <c r="DR508" s="408">
        <v>0</v>
      </c>
      <c r="DS508" s="408"/>
      <c r="DT508" s="408"/>
      <c r="DU508" s="408"/>
      <c r="DV508" s="408">
        <v>45069.789656522145</v>
      </c>
      <c r="DW508" s="408">
        <v>0</v>
      </c>
      <c r="DX508" s="408">
        <v>0</v>
      </c>
      <c r="DY508" s="408">
        <v>-10369.202309999993</v>
      </c>
      <c r="DZ508" s="408">
        <v>4131.2249100000045</v>
      </c>
      <c r="EA508" s="408">
        <v>0</v>
      </c>
      <c r="EB508" s="408">
        <v>0</v>
      </c>
      <c r="EC508" s="408">
        <v>-11196.100249967494</v>
      </c>
      <c r="ED508" s="408">
        <v>0</v>
      </c>
      <c r="EE508" s="408">
        <v>0</v>
      </c>
      <c r="EF508" s="408">
        <v>0</v>
      </c>
      <c r="EG508" s="408">
        <v>0</v>
      </c>
      <c r="EH508" s="408">
        <v>0</v>
      </c>
      <c r="EI508" s="408">
        <v>0</v>
      </c>
      <c r="EJ508" s="408">
        <v>0</v>
      </c>
      <c r="EK508" s="408">
        <v>0</v>
      </c>
      <c r="EL508" s="408">
        <v>0</v>
      </c>
      <c r="EM508" s="408">
        <v>0</v>
      </c>
      <c r="EN508" s="408">
        <v>0</v>
      </c>
      <c r="EO508" s="408">
        <v>0</v>
      </c>
      <c r="EP508" s="408">
        <v>3007.5359683308702</v>
      </c>
      <c r="EQ508" s="408">
        <v>0</v>
      </c>
      <c r="ER508" s="408">
        <v>0</v>
      </c>
      <c r="ES508" s="408">
        <v>0</v>
      </c>
      <c r="ET508" s="408">
        <v>0</v>
      </c>
      <c r="EU508" s="408">
        <v>0</v>
      </c>
      <c r="EV508" s="408">
        <v>240</v>
      </c>
      <c r="EW508" s="408">
        <v>0</v>
      </c>
      <c r="EX508" s="408">
        <v>0</v>
      </c>
      <c r="EY508" s="408">
        <v>0</v>
      </c>
      <c r="EZ508" s="408"/>
      <c r="FA508" s="408">
        <v>0</v>
      </c>
      <c r="FB508" s="408"/>
      <c r="FC508" s="408"/>
      <c r="FD508" s="408"/>
      <c r="FE508" s="408"/>
      <c r="FF508" s="408">
        <v>0</v>
      </c>
      <c r="FG508" s="408">
        <v>0</v>
      </c>
      <c r="FH508" s="408">
        <v>0</v>
      </c>
      <c r="FI508" s="408">
        <v>0</v>
      </c>
    </row>
    <row r="509" spans="1:165">
      <c r="A509" s="408">
        <v>507</v>
      </c>
      <c r="B509" s="408" t="s">
        <v>1036</v>
      </c>
      <c r="C509" s="408" t="s">
        <v>2243</v>
      </c>
      <c r="D509" s="408" t="s">
        <v>597</v>
      </c>
      <c r="E509" s="408" t="s">
        <v>998</v>
      </c>
      <c r="F509" s="408" t="s">
        <v>1322</v>
      </c>
      <c r="G509" s="408" t="s">
        <v>1322</v>
      </c>
      <c r="H509" s="408" t="s">
        <v>1322</v>
      </c>
      <c r="I509" s="408" t="s">
        <v>973</v>
      </c>
      <c r="J509" s="408" t="s">
        <v>2236</v>
      </c>
      <c r="K509" s="826">
        <v>44593</v>
      </c>
      <c r="L509" s="408">
        <v>0</v>
      </c>
      <c r="M509" s="408">
        <v>0</v>
      </c>
      <c r="N509" s="408">
        <v>94.203999999999994</v>
      </c>
      <c r="O509" s="408">
        <v>94.203999999999994</v>
      </c>
      <c r="P509" s="408">
        <v>94.203999999999994</v>
      </c>
      <c r="Q509" s="408">
        <v>94.203999999999994</v>
      </c>
      <c r="R509" s="408"/>
      <c r="S509" s="408">
        <v>1358.36</v>
      </c>
      <c r="T509" s="408">
        <v>173.25</v>
      </c>
      <c r="U509" s="408"/>
      <c r="V509" s="408">
        <v>144283.78843999997</v>
      </c>
      <c r="W509" s="408">
        <v>144283.78843999997</v>
      </c>
      <c r="X509" s="408">
        <v>126508.43567999998</v>
      </c>
      <c r="Y509" s="408">
        <v>0</v>
      </c>
      <c r="Z509" s="408">
        <v>5044.0881211587312</v>
      </c>
      <c r="AA509" s="408">
        <v>0</v>
      </c>
      <c r="AB509" s="408">
        <v>0</v>
      </c>
      <c r="AC509" s="408">
        <v>1784.4204895609557</v>
      </c>
      <c r="AD509" s="408">
        <v>1714.4332442099728</v>
      </c>
      <c r="AE509" s="408">
        <v>95005.460953461108</v>
      </c>
      <c r="AF509" s="408">
        <v>16046.753691018825</v>
      </c>
      <c r="AG509" s="408">
        <v>273.87302751110792</v>
      </c>
      <c r="AH509" s="408">
        <v>0</v>
      </c>
      <c r="AI509" s="408">
        <v>0</v>
      </c>
      <c r="AJ509" s="408">
        <v>0</v>
      </c>
      <c r="AK509" s="408">
        <v>0</v>
      </c>
      <c r="AL509" s="408">
        <v>895.7886882451628</v>
      </c>
      <c r="AM509" s="408"/>
      <c r="AN509" s="408">
        <v>75.439865790279427</v>
      </c>
      <c r="AO509" s="408">
        <v>3788.0202939061114</v>
      </c>
      <c r="AP509" s="408">
        <v>17662.882715422144</v>
      </c>
      <c r="AQ509" s="408">
        <v>0</v>
      </c>
      <c r="AR509" s="408">
        <v>0</v>
      </c>
      <c r="AS509" s="408">
        <v>0</v>
      </c>
      <c r="AT509" s="408">
        <v>0</v>
      </c>
      <c r="AU509" s="408">
        <v>0</v>
      </c>
      <c r="AV509" s="408">
        <v>0</v>
      </c>
      <c r="AW509" s="408">
        <v>0</v>
      </c>
      <c r="AX509" s="408">
        <v>0</v>
      </c>
      <c r="AY509" s="408">
        <v>0</v>
      </c>
      <c r="AZ509" s="408">
        <v>0</v>
      </c>
      <c r="BA509" s="408"/>
      <c r="BB509" s="408">
        <v>0</v>
      </c>
      <c r="BC509" s="408">
        <v>0</v>
      </c>
      <c r="BD509" s="408">
        <v>0</v>
      </c>
      <c r="BE509" s="408">
        <v>0</v>
      </c>
      <c r="BF509" s="408">
        <v>0</v>
      </c>
      <c r="BG509" s="408">
        <v>704.51936474541424</v>
      </c>
      <c r="BH509" s="408">
        <v>0</v>
      </c>
      <c r="BI509" s="408">
        <v>0</v>
      </c>
      <c r="BJ509" s="408">
        <v>0</v>
      </c>
      <c r="BK509" s="408">
        <v>0</v>
      </c>
      <c r="BL509" s="408">
        <v>0</v>
      </c>
      <c r="BM509" s="408"/>
      <c r="BN509" s="408"/>
      <c r="BO509" s="408"/>
      <c r="BP509" s="408"/>
      <c r="BQ509" s="408"/>
      <c r="BR509" s="408"/>
      <c r="BS509" s="408"/>
      <c r="BT509" s="408"/>
      <c r="BU509" s="408"/>
      <c r="BV509" s="408">
        <v>16751.273055764239</v>
      </c>
      <c r="BW509" s="408"/>
      <c r="BX509" s="408"/>
      <c r="BY509" s="408"/>
      <c r="BZ509" s="408"/>
      <c r="CA509" s="408"/>
      <c r="CB509" s="408"/>
      <c r="CC509" s="408"/>
      <c r="CD509" s="408"/>
      <c r="CE509" s="408"/>
      <c r="CF509" s="408"/>
      <c r="CG509" s="408"/>
      <c r="CH509" s="408"/>
      <c r="CI509" s="408">
        <v>126503.064</v>
      </c>
      <c r="CJ509" s="408">
        <v>-17780.754439999975</v>
      </c>
      <c r="CK509" s="408"/>
      <c r="CL509" s="408"/>
      <c r="CM509" s="408"/>
      <c r="CN509" s="408"/>
      <c r="CO509" s="408">
        <v>-19809.217119999998</v>
      </c>
      <c r="CP509" s="408">
        <v>2033.8643600000003</v>
      </c>
      <c r="CQ509" s="408">
        <v>29</v>
      </c>
      <c r="CR509" s="408">
        <v>5825.2655330960988</v>
      </c>
      <c r="CS509" s="408">
        <v>377.46812561169691</v>
      </c>
      <c r="CT509" s="408">
        <v>1760.0685091934465</v>
      </c>
      <c r="CU509" s="408">
        <v>0</v>
      </c>
      <c r="CV509" s="408">
        <v>0</v>
      </c>
      <c r="CW509" s="408">
        <v>0</v>
      </c>
      <c r="CX509" s="408">
        <v>0</v>
      </c>
      <c r="CY509" s="408">
        <v>0</v>
      </c>
      <c r="CZ509" s="408">
        <v>1765.2981862902891</v>
      </c>
      <c r="DA509" s="408">
        <v>0</v>
      </c>
      <c r="DB509" s="408">
        <v>0</v>
      </c>
      <c r="DC509" s="408">
        <v>2033.6347249522914</v>
      </c>
      <c r="DD509" s="408">
        <v>0</v>
      </c>
      <c r="DE509" s="408">
        <v>0</v>
      </c>
      <c r="DF509" s="408">
        <v>0</v>
      </c>
      <c r="DG509" s="408">
        <v>89.285039961040638</v>
      </c>
      <c r="DH509" s="408">
        <v>0</v>
      </c>
      <c r="DI509" s="408">
        <v>-171.28127104217492</v>
      </c>
      <c r="DJ509" s="408"/>
      <c r="DK509" s="408">
        <v>0</v>
      </c>
      <c r="DL509" s="408">
        <v>0</v>
      </c>
      <c r="DM509" s="408">
        <v>0</v>
      </c>
      <c r="DN509" s="408">
        <v>0</v>
      </c>
      <c r="DO509" s="408">
        <v>-27.07348019785934</v>
      </c>
      <c r="DP509" s="408">
        <v>-2.1343016726258526</v>
      </c>
      <c r="DQ509" s="408">
        <v>0</v>
      </c>
      <c r="DR509" s="408">
        <v>0</v>
      </c>
      <c r="DS509" s="408"/>
      <c r="DT509" s="408"/>
      <c r="DU509" s="408"/>
      <c r="DV509" s="408">
        <v>95005.460953461108</v>
      </c>
      <c r="DW509" s="408">
        <v>0</v>
      </c>
      <c r="DX509" s="408">
        <v>0</v>
      </c>
      <c r="DY509" s="408">
        <v>-19809.217120000001</v>
      </c>
      <c r="DZ509" s="408">
        <v>2033.8643600000014</v>
      </c>
      <c r="EA509" s="408">
        <v>0</v>
      </c>
      <c r="EB509" s="408">
        <v>0</v>
      </c>
      <c r="EC509" s="408">
        <v>-23600.968037253566</v>
      </c>
      <c r="ED509" s="408">
        <v>0</v>
      </c>
      <c r="EE509" s="408">
        <v>0</v>
      </c>
      <c r="EF509" s="408">
        <v>0</v>
      </c>
      <c r="EG509" s="408">
        <v>0</v>
      </c>
      <c r="EH509" s="408">
        <v>0</v>
      </c>
      <c r="EI509" s="408">
        <v>0</v>
      </c>
      <c r="EJ509" s="408">
        <v>0</v>
      </c>
      <c r="EK509" s="408">
        <v>0</v>
      </c>
      <c r="EL509" s="408">
        <v>0</v>
      </c>
      <c r="EM509" s="408">
        <v>0</v>
      </c>
      <c r="EN509" s="408">
        <v>0</v>
      </c>
      <c r="EO509" s="408">
        <v>0</v>
      </c>
      <c r="EP509" s="408">
        <v>1288.1701444677449</v>
      </c>
      <c r="EQ509" s="408">
        <v>0</v>
      </c>
      <c r="ER509" s="408">
        <v>0</v>
      </c>
      <c r="ES509" s="408">
        <v>0</v>
      </c>
      <c r="ET509" s="408">
        <v>0</v>
      </c>
      <c r="EU509" s="408">
        <v>0</v>
      </c>
      <c r="EV509" s="408">
        <v>240</v>
      </c>
      <c r="EW509" s="408">
        <v>0</v>
      </c>
      <c r="EX509" s="408">
        <v>0</v>
      </c>
      <c r="EY509" s="408">
        <v>0</v>
      </c>
      <c r="EZ509" s="408"/>
      <c r="FA509" s="408">
        <v>0</v>
      </c>
      <c r="FB509" s="408"/>
      <c r="FC509" s="408"/>
      <c r="FD509" s="408"/>
      <c r="FE509" s="408"/>
      <c r="FF509" s="408">
        <v>0</v>
      </c>
      <c r="FG509" s="408">
        <v>0</v>
      </c>
      <c r="FH509" s="408">
        <v>0</v>
      </c>
      <c r="FI509" s="408">
        <v>0</v>
      </c>
    </row>
    <row r="510" spans="1:165">
      <c r="A510" s="408">
        <v>508</v>
      </c>
      <c r="B510" s="408" t="s">
        <v>2238</v>
      </c>
      <c r="C510" s="408" t="s">
        <v>2243</v>
      </c>
      <c r="D510" s="408" t="s">
        <v>597</v>
      </c>
      <c r="E510" s="408" t="s">
        <v>998</v>
      </c>
      <c r="F510" s="408" t="s">
        <v>1322</v>
      </c>
      <c r="G510" s="408" t="s">
        <v>1322</v>
      </c>
      <c r="H510" s="408" t="s">
        <v>1322</v>
      </c>
      <c r="I510" s="408" t="s">
        <v>973</v>
      </c>
      <c r="J510" s="408" t="s">
        <v>2236</v>
      </c>
      <c r="K510" s="826">
        <v>44593</v>
      </c>
      <c r="L510" s="408">
        <v>0</v>
      </c>
      <c r="M510" s="408">
        <v>0</v>
      </c>
      <c r="N510" s="408">
        <v>6.226</v>
      </c>
      <c r="O510" s="408">
        <v>6.226</v>
      </c>
      <c r="P510" s="408">
        <v>6.226</v>
      </c>
      <c r="Q510" s="408">
        <v>6.226</v>
      </c>
      <c r="R510" s="408"/>
      <c r="S510" s="408">
        <v>1358.36</v>
      </c>
      <c r="T510" s="408">
        <v>173.25</v>
      </c>
      <c r="U510" s="408"/>
      <c r="V510" s="408">
        <v>9535.80386</v>
      </c>
      <c r="W510" s="408">
        <v>9535.80386</v>
      </c>
      <c r="X510" s="408">
        <v>8361.0199199999988</v>
      </c>
      <c r="Y510" s="408">
        <v>0</v>
      </c>
      <c r="Z510" s="408">
        <v>333.3668702213734</v>
      </c>
      <c r="AA510" s="408">
        <v>0</v>
      </c>
      <c r="AB510" s="408">
        <v>0</v>
      </c>
      <c r="AC510" s="408">
        <v>117.93344197705522</v>
      </c>
      <c r="AD510" s="408">
        <v>113.30794210915982</v>
      </c>
      <c r="AE510" s="408">
        <v>6278.9690447990415</v>
      </c>
      <c r="AF510" s="408">
        <v>1060.5397698641586</v>
      </c>
      <c r="AG510" s="408">
        <v>18.100435961149824</v>
      </c>
      <c r="AH510" s="408">
        <v>0</v>
      </c>
      <c r="AI510" s="408">
        <v>0</v>
      </c>
      <c r="AJ510" s="408">
        <v>0</v>
      </c>
      <c r="AK510" s="408">
        <v>0</v>
      </c>
      <c r="AL510" s="408">
        <v>59.203222506628002</v>
      </c>
      <c r="AM510" s="408"/>
      <c r="AN510" s="408">
        <v>4.9858668889885749</v>
      </c>
      <c r="AO510" s="408">
        <v>250.35257897604615</v>
      </c>
      <c r="AP510" s="408">
        <v>1167.3507259375215</v>
      </c>
      <c r="AQ510" s="408">
        <v>0</v>
      </c>
      <c r="AR510" s="408">
        <v>0</v>
      </c>
      <c r="AS510" s="408">
        <v>0</v>
      </c>
      <c r="AT510" s="408">
        <v>0</v>
      </c>
      <c r="AU510" s="408">
        <v>0</v>
      </c>
      <c r="AV510" s="408">
        <v>0</v>
      </c>
      <c r="AW510" s="408">
        <v>0</v>
      </c>
      <c r="AX510" s="408">
        <v>0</v>
      </c>
      <c r="AY510" s="408">
        <v>0</v>
      </c>
      <c r="AZ510" s="408">
        <v>0</v>
      </c>
      <c r="BA510" s="408"/>
      <c r="BB510" s="408">
        <v>0</v>
      </c>
      <c r="BC510" s="408">
        <v>0</v>
      </c>
      <c r="BD510" s="408">
        <v>0</v>
      </c>
      <c r="BE510" s="408">
        <v>0</v>
      </c>
      <c r="BF510" s="408">
        <v>0</v>
      </c>
      <c r="BG510" s="408">
        <v>46.562115885789872</v>
      </c>
      <c r="BH510" s="408">
        <v>0</v>
      </c>
      <c r="BI510" s="408">
        <v>0</v>
      </c>
      <c r="BJ510" s="408">
        <v>0</v>
      </c>
      <c r="BK510" s="408">
        <v>0</v>
      </c>
      <c r="BL510" s="408">
        <v>0</v>
      </c>
      <c r="BM510" s="408"/>
      <c r="BN510" s="408"/>
      <c r="BO510" s="408"/>
      <c r="BP510" s="408"/>
      <c r="BQ510" s="408"/>
      <c r="BR510" s="408"/>
      <c r="BS510" s="408"/>
      <c r="BT510" s="408"/>
      <c r="BU510" s="408"/>
      <c r="BV510" s="408">
        <v>1107.1018857499485</v>
      </c>
      <c r="BW510" s="408"/>
      <c r="BX510" s="408"/>
      <c r="BY510" s="408"/>
      <c r="BZ510" s="408"/>
      <c r="CA510" s="408"/>
      <c r="CB510" s="408"/>
      <c r="CC510" s="408"/>
      <c r="CD510" s="408"/>
      <c r="CE510" s="408"/>
      <c r="CF510" s="408"/>
      <c r="CG510" s="408"/>
      <c r="CH510" s="408"/>
      <c r="CI510" s="408">
        <v>8366.3916000000008</v>
      </c>
      <c r="CJ510" s="408">
        <v>-1169.4422599999998</v>
      </c>
      <c r="CK510" s="408"/>
      <c r="CL510" s="408"/>
      <c r="CM510" s="408"/>
      <c r="CN510" s="408"/>
      <c r="CO510" s="408">
        <v>-1309.2032799999997</v>
      </c>
      <c r="CP510" s="408">
        <v>134.41934000000003</v>
      </c>
      <c r="CQ510" s="408">
        <v>29</v>
      </c>
      <c r="CR510" s="408">
        <v>384.995363350351</v>
      </c>
      <c r="CS510" s="408">
        <v>24.947099380688968</v>
      </c>
      <c r="CT510" s="408">
        <v>116.32400469447589</v>
      </c>
      <c r="CU510" s="408">
        <v>0</v>
      </c>
      <c r="CV510" s="408">
        <v>0</v>
      </c>
      <c r="CW510" s="408">
        <v>0</v>
      </c>
      <c r="CX510" s="408">
        <v>0</v>
      </c>
      <c r="CY510" s="408">
        <v>0</v>
      </c>
      <c r="CZ510" s="408">
        <v>116.66963725365525</v>
      </c>
      <c r="DA510" s="408">
        <v>0</v>
      </c>
      <c r="DB510" s="408">
        <v>0</v>
      </c>
      <c r="DC510" s="408">
        <v>134.40416327919183</v>
      </c>
      <c r="DD510" s="408">
        <v>0</v>
      </c>
      <c r="DE510" s="408">
        <v>0</v>
      </c>
      <c r="DF510" s="408">
        <v>0</v>
      </c>
      <c r="DG510" s="408">
        <v>5.9009029212925057</v>
      </c>
      <c r="DH510" s="408">
        <v>0</v>
      </c>
      <c r="DI510" s="408">
        <v>-11.320084003955003</v>
      </c>
      <c r="DJ510" s="408"/>
      <c r="DK510" s="408">
        <v>0</v>
      </c>
      <c r="DL510" s="408">
        <v>0</v>
      </c>
      <c r="DM510" s="408">
        <v>0</v>
      </c>
      <c r="DN510" s="408">
        <v>0</v>
      </c>
      <c r="DO510" s="408">
        <v>-1.7893028715539998</v>
      </c>
      <c r="DP510" s="408">
        <v>-0.14105730344537992</v>
      </c>
      <c r="DQ510" s="408">
        <v>0</v>
      </c>
      <c r="DR510" s="408">
        <v>0</v>
      </c>
      <c r="DS510" s="408"/>
      <c r="DT510" s="408"/>
      <c r="DU510" s="408"/>
      <c r="DV510" s="408">
        <v>6278.9690447990415</v>
      </c>
      <c r="DW510" s="408">
        <v>0</v>
      </c>
      <c r="DX510" s="408">
        <v>0</v>
      </c>
      <c r="DY510" s="408">
        <v>-1309.2032799999997</v>
      </c>
      <c r="DZ510" s="408">
        <v>134.41933999999992</v>
      </c>
      <c r="EA510" s="408">
        <v>0</v>
      </c>
      <c r="EB510" s="408">
        <v>0</v>
      </c>
      <c r="EC510" s="408">
        <v>-1559.8024181557121</v>
      </c>
      <c r="ED510" s="408">
        <v>0</v>
      </c>
      <c r="EE510" s="408">
        <v>0</v>
      </c>
      <c r="EF510" s="408">
        <v>0</v>
      </c>
      <c r="EG510" s="408">
        <v>0</v>
      </c>
      <c r="EH510" s="408">
        <v>0</v>
      </c>
      <c r="EI510" s="408">
        <v>0</v>
      </c>
      <c r="EJ510" s="408">
        <v>0</v>
      </c>
      <c r="EK510" s="408">
        <v>0</v>
      </c>
      <c r="EL510" s="408">
        <v>0</v>
      </c>
      <c r="EM510" s="408">
        <v>0</v>
      </c>
      <c r="EN510" s="408">
        <v>0</v>
      </c>
      <c r="EO510" s="408">
        <v>0</v>
      </c>
      <c r="EP510" s="408">
        <v>85.13595303231476</v>
      </c>
      <c r="EQ510" s="408">
        <v>0</v>
      </c>
      <c r="ER510" s="408">
        <v>0</v>
      </c>
      <c r="ES510" s="408">
        <v>0</v>
      </c>
      <c r="ET510" s="408">
        <v>0</v>
      </c>
      <c r="EU510" s="408">
        <v>0</v>
      </c>
      <c r="EV510" s="408">
        <v>240</v>
      </c>
      <c r="EW510" s="408">
        <v>0</v>
      </c>
      <c r="EX510" s="408">
        <v>0</v>
      </c>
      <c r="EY510" s="408">
        <v>0</v>
      </c>
      <c r="EZ510" s="408"/>
      <c r="FA510" s="408">
        <v>0</v>
      </c>
      <c r="FB510" s="408"/>
      <c r="FC510" s="408"/>
      <c r="FD510" s="408"/>
      <c r="FE510" s="408"/>
      <c r="FF510" s="408">
        <v>0</v>
      </c>
      <c r="FG510" s="408">
        <v>0</v>
      </c>
      <c r="FH510" s="408">
        <v>0</v>
      </c>
      <c r="FI510" s="408">
        <v>0</v>
      </c>
    </row>
    <row r="511" spans="1:165">
      <c r="A511" s="408">
        <v>509</v>
      </c>
      <c r="B511" s="408" t="s">
        <v>1036</v>
      </c>
      <c r="C511" s="408" t="s">
        <v>2243</v>
      </c>
      <c r="D511" s="408" t="s">
        <v>597</v>
      </c>
      <c r="E511" s="408" t="s">
        <v>998</v>
      </c>
      <c r="F511" s="408" t="s">
        <v>1322</v>
      </c>
      <c r="G511" s="408" t="s">
        <v>1322</v>
      </c>
      <c r="H511" s="408" t="s">
        <v>1322</v>
      </c>
      <c r="I511" s="408" t="s">
        <v>2244</v>
      </c>
      <c r="J511" s="408" t="s">
        <v>2236</v>
      </c>
      <c r="K511" s="826">
        <v>44593</v>
      </c>
      <c r="L511" s="408">
        <v>0</v>
      </c>
      <c r="M511" s="408">
        <v>0</v>
      </c>
      <c r="N511" s="408">
        <v>1025.373</v>
      </c>
      <c r="O511" s="408">
        <v>1025.373</v>
      </c>
      <c r="P511" s="408">
        <v>1025.373</v>
      </c>
      <c r="Q511" s="408">
        <v>1025.373</v>
      </c>
      <c r="R511" s="408"/>
      <c r="S511" s="408">
        <v>85.01</v>
      </c>
      <c r="T511" s="408">
        <v>173.25</v>
      </c>
      <c r="U511" s="408"/>
      <c r="V511" s="408">
        <v>264812.83098000003</v>
      </c>
      <c r="W511" s="408">
        <v>264812.83098000003</v>
      </c>
      <c r="X511" s="408">
        <v>285740.69391000003</v>
      </c>
      <c r="Y511" s="408">
        <v>0</v>
      </c>
      <c r="Z511" s="408">
        <v>54902.889145438538</v>
      </c>
      <c r="AA511" s="408">
        <v>0</v>
      </c>
      <c r="AB511" s="408">
        <v>0</v>
      </c>
      <c r="AC511" s="408">
        <v>0</v>
      </c>
      <c r="AD511" s="408">
        <v>0</v>
      </c>
      <c r="AE511" s="408">
        <v>0</v>
      </c>
      <c r="AF511" s="408">
        <v>174662.51934547417</v>
      </c>
      <c r="AG511" s="408">
        <v>2980.9987669116736</v>
      </c>
      <c r="AH511" s="408">
        <v>0</v>
      </c>
      <c r="AI511" s="408">
        <v>0</v>
      </c>
      <c r="AJ511" s="408">
        <v>0</v>
      </c>
      <c r="AK511" s="408">
        <v>0</v>
      </c>
      <c r="AL511" s="408">
        <v>9750.3029025519882</v>
      </c>
      <c r="AM511" s="408"/>
      <c r="AN511" s="408">
        <v>821.13287657611352</v>
      </c>
      <c r="AO511" s="408">
        <v>0</v>
      </c>
      <c r="AP511" s="408">
        <v>0</v>
      </c>
      <c r="AQ511" s="408">
        <v>0</v>
      </c>
      <c r="AR511" s="408">
        <v>0</v>
      </c>
      <c r="AS511" s="408">
        <v>0</v>
      </c>
      <c r="AT511" s="408">
        <v>0</v>
      </c>
      <c r="AU511" s="408">
        <v>0</v>
      </c>
      <c r="AV511" s="408">
        <v>0</v>
      </c>
      <c r="AW511" s="408">
        <v>0</v>
      </c>
      <c r="AX511" s="408">
        <v>0</v>
      </c>
      <c r="AY511" s="408">
        <v>0</v>
      </c>
      <c r="AZ511" s="408">
        <v>0</v>
      </c>
      <c r="BA511" s="408"/>
      <c r="BB511" s="408">
        <v>0</v>
      </c>
      <c r="BC511" s="408">
        <v>0</v>
      </c>
      <c r="BD511" s="408">
        <v>0</v>
      </c>
      <c r="BE511" s="408">
        <v>0</v>
      </c>
      <c r="BF511" s="408">
        <v>0</v>
      </c>
      <c r="BG511" s="408">
        <v>7668.4125364857091</v>
      </c>
      <c r="BH511" s="408">
        <v>0</v>
      </c>
      <c r="BI511" s="408">
        <v>0</v>
      </c>
      <c r="BJ511" s="408">
        <v>0</v>
      </c>
      <c r="BK511" s="408">
        <v>0</v>
      </c>
      <c r="BL511" s="408">
        <v>0</v>
      </c>
      <c r="BM511" s="408"/>
      <c r="BN511" s="408"/>
      <c r="BO511" s="408"/>
      <c r="BP511" s="408"/>
      <c r="BQ511" s="408"/>
      <c r="BR511" s="408"/>
      <c r="BS511" s="408"/>
      <c r="BT511" s="408"/>
      <c r="BU511" s="408"/>
      <c r="BV511" s="408">
        <v>182330.93188195987</v>
      </c>
      <c r="BW511" s="408"/>
      <c r="BX511" s="408"/>
      <c r="BY511" s="408"/>
      <c r="BZ511" s="408"/>
      <c r="CA511" s="408"/>
      <c r="CB511" s="408"/>
      <c r="CC511" s="408"/>
      <c r="CD511" s="408"/>
      <c r="CE511" s="408"/>
      <c r="CF511" s="408"/>
      <c r="CG511" s="408"/>
      <c r="CH511" s="408"/>
      <c r="CI511" s="408">
        <v>285739.85789999994</v>
      </c>
      <c r="CJ511" s="408">
        <v>20926.996919999947</v>
      </c>
      <c r="CK511" s="408"/>
      <c r="CL511" s="408"/>
      <c r="CM511" s="408"/>
      <c r="CN511" s="408"/>
      <c r="CO511" s="408">
        <v>-1209.940140000007</v>
      </c>
      <c r="CP511" s="408">
        <v>22137.803070000005</v>
      </c>
      <c r="CQ511" s="408">
        <v>29</v>
      </c>
      <c r="CR511" s="408">
        <v>20924.892217488319</v>
      </c>
      <c r="CS511" s="408">
        <v>0</v>
      </c>
      <c r="CT511" s="408">
        <v>0</v>
      </c>
      <c r="CU511" s="408">
        <v>0</v>
      </c>
      <c r="CV511" s="408">
        <v>0</v>
      </c>
      <c r="CW511" s="408">
        <v>0</v>
      </c>
      <c r="CX511" s="408">
        <v>0</v>
      </c>
      <c r="CY511" s="408">
        <v>0</v>
      </c>
      <c r="CZ511" s="408">
        <v>0</v>
      </c>
      <c r="DA511" s="408">
        <v>0</v>
      </c>
      <c r="DB511" s="408">
        <v>0</v>
      </c>
      <c r="DC511" s="408">
        <v>22135.303584014531</v>
      </c>
      <c r="DD511" s="408">
        <v>0</v>
      </c>
      <c r="DE511" s="408">
        <v>0</v>
      </c>
      <c r="DF511" s="408">
        <v>0</v>
      </c>
      <c r="DG511" s="408">
        <v>971.83208016615117</v>
      </c>
      <c r="DH511" s="408">
        <v>0</v>
      </c>
      <c r="DI511" s="408">
        <v>-1864.3283802421065</v>
      </c>
      <c r="DJ511" s="408"/>
      <c r="DK511" s="408">
        <v>0</v>
      </c>
      <c r="DL511" s="408">
        <v>0</v>
      </c>
      <c r="DM511" s="408">
        <v>0</v>
      </c>
      <c r="DN511" s="408">
        <v>0</v>
      </c>
      <c r="DO511" s="408">
        <v>-294.68404325633492</v>
      </c>
      <c r="DP511" s="408">
        <v>-23.231023193976853</v>
      </c>
      <c r="DQ511" s="408">
        <v>0</v>
      </c>
      <c r="DR511" s="408">
        <v>0</v>
      </c>
      <c r="DS511" s="408"/>
      <c r="DT511" s="408"/>
      <c r="DU511" s="408"/>
      <c r="DV511" s="408">
        <v>0</v>
      </c>
      <c r="DW511" s="408">
        <v>0</v>
      </c>
      <c r="DX511" s="408">
        <v>0</v>
      </c>
      <c r="DY511" s="408">
        <v>-1209.9401400000061</v>
      </c>
      <c r="DZ511" s="408">
        <v>22137.803069999994</v>
      </c>
      <c r="EA511" s="408">
        <v>0</v>
      </c>
      <c r="EB511" s="408">
        <v>0</v>
      </c>
      <c r="EC511" s="408">
        <v>0</v>
      </c>
      <c r="ED511" s="408">
        <v>0</v>
      </c>
      <c r="EE511" s="408">
        <v>0</v>
      </c>
      <c r="EF511" s="408">
        <v>0</v>
      </c>
      <c r="EG511" s="408">
        <v>0</v>
      </c>
      <c r="EH511" s="408">
        <v>0</v>
      </c>
      <c r="EI511" s="408">
        <v>0</v>
      </c>
      <c r="EJ511" s="408">
        <v>0</v>
      </c>
      <c r="EK511" s="408">
        <v>0</v>
      </c>
      <c r="EL511" s="408">
        <v>0</v>
      </c>
      <c r="EM511" s="408">
        <v>0</v>
      </c>
      <c r="EN511" s="408">
        <v>0</v>
      </c>
      <c r="EO511" s="408">
        <v>0</v>
      </c>
      <c r="EP511" s="408">
        <v>14021.218690749067</v>
      </c>
      <c r="EQ511" s="408">
        <v>0</v>
      </c>
      <c r="ER511" s="408">
        <v>0</v>
      </c>
      <c r="ES511" s="408">
        <v>0</v>
      </c>
      <c r="ET511" s="408">
        <v>0</v>
      </c>
      <c r="EU511" s="408">
        <v>0</v>
      </c>
      <c r="EV511" s="408">
        <v>240</v>
      </c>
      <c r="EW511" s="408">
        <v>0</v>
      </c>
      <c r="EX511" s="408">
        <v>0</v>
      </c>
      <c r="EY511" s="408">
        <v>0</v>
      </c>
      <c r="EZ511" s="408"/>
      <c r="FA511" s="408">
        <v>0</v>
      </c>
      <c r="FB511" s="408"/>
      <c r="FC511" s="408"/>
      <c r="FD511" s="408"/>
      <c r="FE511" s="408"/>
      <c r="FF511" s="408">
        <v>0</v>
      </c>
      <c r="FG511" s="408">
        <v>0</v>
      </c>
      <c r="FH511" s="408">
        <v>0</v>
      </c>
      <c r="FI511" s="408">
        <v>0</v>
      </c>
    </row>
    <row r="512" spans="1:165">
      <c r="A512" s="408">
        <v>510</v>
      </c>
      <c r="B512" s="408" t="s">
        <v>2238</v>
      </c>
      <c r="C512" s="408" t="s">
        <v>2243</v>
      </c>
      <c r="D512" s="408" t="s">
        <v>597</v>
      </c>
      <c r="E512" s="408" t="s">
        <v>998</v>
      </c>
      <c r="F512" s="408" t="s">
        <v>1322</v>
      </c>
      <c r="G512" s="408" t="s">
        <v>1322</v>
      </c>
      <c r="H512" s="408" t="s">
        <v>1322</v>
      </c>
      <c r="I512" s="408" t="s">
        <v>2244</v>
      </c>
      <c r="J512" s="408" t="s">
        <v>2236</v>
      </c>
      <c r="K512" s="826">
        <v>44593</v>
      </c>
      <c r="L512" s="408">
        <v>0</v>
      </c>
      <c r="M512" s="408">
        <v>0</v>
      </c>
      <c r="N512" s="408">
        <v>43.808</v>
      </c>
      <c r="O512" s="408">
        <v>43.808</v>
      </c>
      <c r="P512" s="408">
        <v>43.808</v>
      </c>
      <c r="Q512" s="408">
        <v>43.808</v>
      </c>
      <c r="R512" s="408"/>
      <c r="S512" s="408">
        <v>85.01</v>
      </c>
      <c r="T512" s="408">
        <v>173.25</v>
      </c>
      <c r="U512" s="408"/>
      <c r="V512" s="408">
        <v>11313.854080000001</v>
      </c>
      <c r="W512" s="408">
        <v>11313.854080000001</v>
      </c>
      <c r="X512" s="408">
        <v>12207.975359999999</v>
      </c>
      <c r="Y512" s="408">
        <v>0</v>
      </c>
      <c r="Z512" s="408">
        <v>2345.6691054702742</v>
      </c>
      <c r="AA512" s="408">
        <v>0</v>
      </c>
      <c r="AB512" s="408">
        <v>0</v>
      </c>
      <c r="AC512" s="408">
        <v>0</v>
      </c>
      <c r="AD512" s="408">
        <v>0</v>
      </c>
      <c r="AE512" s="408">
        <v>0</v>
      </c>
      <c r="AF512" s="408">
        <v>7462.2753354013921</v>
      </c>
      <c r="AG512" s="408">
        <v>127.36008650595109</v>
      </c>
      <c r="AH512" s="408">
        <v>0</v>
      </c>
      <c r="AI512" s="408">
        <v>0</v>
      </c>
      <c r="AJ512" s="408">
        <v>0</v>
      </c>
      <c r="AK512" s="408">
        <v>0</v>
      </c>
      <c r="AL512" s="408">
        <v>416.57159838907154</v>
      </c>
      <c r="AM512" s="408"/>
      <c r="AN512" s="408">
        <v>35.08205214789777</v>
      </c>
      <c r="AO512" s="408">
        <v>0</v>
      </c>
      <c r="AP512" s="408">
        <v>0</v>
      </c>
      <c r="AQ512" s="408">
        <v>0</v>
      </c>
      <c r="AR512" s="408">
        <v>0</v>
      </c>
      <c r="AS512" s="408">
        <v>0</v>
      </c>
      <c r="AT512" s="408">
        <v>0</v>
      </c>
      <c r="AU512" s="408">
        <v>0</v>
      </c>
      <c r="AV512" s="408">
        <v>0</v>
      </c>
      <c r="AW512" s="408">
        <v>0</v>
      </c>
      <c r="AX512" s="408">
        <v>0</v>
      </c>
      <c r="AY512" s="408">
        <v>0</v>
      </c>
      <c r="AZ512" s="408">
        <v>0</v>
      </c>
      <c r="BA512" s="408"/>
      <c r="BB512" s="408">
        <v>0</v>
      </c>
      <c r="BC512" s="408">
        <v>0</v>
      </c>
      <c r="BD512" s="408">
        <v>0</v>
      </c>
      <c r="BE512" s="408">
        <v>0</v>
      </c>
      <c r="BF512" s="408">
        <v>0</v>
      </c>
      <c r="BG512" s="408">
        <v>327.62498758828826</v>
      </c>
      <c r="BH512" s="408">
        <v>0</v>
      </c>
      <c r="BI512" s="408">
        <v>0</v>
      </c>
      <c r="BJ512" s="408">
        <v>0</v>
      </c>
      <c r="BK512" s="408">
        <v>0</v>
      </c>
      <c r="BL512" s="408">
        <v>0</v>
      </c>
      <c r="BM512" s="408"/>
      <c r="BN512" s="408"/>
      <c r="BO512" s="408"/>
      <c r="BP512" s="408"/>
      <c r="BQ512" s="408"/>
      <c r="BR512" s="408"/>
      <c r="BS512" s="408"/>
      <c r="BT512" s="408"/>
      <c r="BU512" s="408"/>
      <c r="BV512" s="408">
        <v>7789.9003229896807</v>
      </c>
      <c r="BW512" s="408"/>
      <c r="BX512" s="408"/>
      <c r="BY512" s="408"/>
      <c r="BZ512" s="408"/>
      <c r="CA512" s="408"/>
      <c r="CB512" s="408"/>
      <c r="CC512" s="408"/>
      <c r="CD512" s="408"/>
      <c r="CE512" s="408"/>
      <c r="CF512" s="408"/>
      <c r="CG512" s="408"/>
      <c r="CH512" s="408"/>
      <c r="CI512" s="408">
        <v>12208.532700000002</v>
      </c>
      <c r="CJ512" s="408">
        <v>894.64861999999994</v>
      </c>
      <c r="CK512" s="408"/>
      <c r="CL512" s="408"/>
      <c r="CM512" s="408"/>
      <c r="CN512" s="408"/>
      <c r="CO512" s="408">
        <v>-51.693440000000301</v>
      </c>
      <c r="CP512" s="408">
        <v>945.81472000000019</v>
      </c>
      <c r="CQ512" s="408">
        <v>29</v>
      </c>
      <c r="CR512" s="408">
        <v>893.99435938309944</v>
      </c>
      <c r="CS512" s="408">
        <v>0</v>
      </c>
      <c r="CT512" s="408">
        <v>0</v>
      </c>
      <c r="CU512" s="408">
        <v>0</v>
      </c>
      <c r="CV512" s="408">
        <v>0</v>
      </c>
      <c r="CW512" s="408">
        <v>0</v>
      </c>
      <c r="CX512" s="408">
        <v>0</v>
      </c>
      <c r="CY512" s="408">
        <v>0</v>
      </c>
      <c r="CZ512" s="408">
        <v>0</v>
      </c>
      <c r="DA512" s="408">
        <v>0</v>
      </c>
      <c r="DB512" s="408">
        <v>0</v>
      </c>
      <c r="DC512" s="408">
        <v>945.70793204863821</v>
      </c>
      <c r="DD512" s="408">
        <v>0</v>
      </c>
      <c r="DE512" s="408">
        <v>0</v>
      </c>
      <c r="DF512" s="408">
        <v>0</v>
      </c>
      <c r="DG512" s="408">
        <v>41.520519623511404</v>
      </c>
      <c r="DH512" s="408">
        <v>0</v>
      </c>
      <c r="DI512" s="408">
        <v>-79.651500167886752</v>
      </c>
      <c r="DJ512" s="408"/>
      <c r="DK512" s="408">
        <v>0</v>
      </c>
      <c r="DL512" s="408">
        <v>0</v>
      </c>
      <c r="DM512" s="408">
        <v>0</v>
      </c>
      <c r="DN512" s="408">
        <v>0</v>
      </c>
      <c r="DO512" s="408">
        <v>-12.590070703025617</v>
      </c>
      <c r="DP512" s="408">
        <v>-0.99252141813929029</v>
      </c>
      <c r="DQ512" s="408">
        <v>0</v>
      </c>
      <c r="DR512" s="408">
        <v>0</v>
      </c>
      <c r="DS512" s="408"/>
      <c r="DT512" s="408"/>
      <c r="DU512" s="408"/>
      <c r="DV512" s="408">
        <v>0</v>
      </c>
      <c r="DW512" s="408">
        <v>0</v>
      </c>
      <c r="DX512" s="408">
        <v>0</v>
      </c>
      <c r="DY512" s="408">
        <v>-51.693440000000464</v>
      </c>
      <c r="DZ512" s="408">
        <v>945.8147199999994</v>
      </c>
      <c r="EA512" s="408">
        <v>0</v>
      </c>
      <c r="EB512" s="408">
        <v>0</v>
      </c>
      <c r="EC512" s="408">
        <v>0</v>
      </c>
      <c r="ED512" s="408">
        <v>0</v>
      </c>
      <c r="EE512" s="408">
        <v>0</v>
      </c>
      <c r="EF512" s="408">
        <v>0</v>
      </c>
      <c r="EG512" s="408">
        <v>0</v>
      </c>
      <c r="EH512" s="408">
        <v>0</v>
      </c>
      <c r="EI512" s="408">
        <v>0</v>
      </c>
      <c r="EJ512" s="408">
        <v>0</v>
      </c>
      <c r="EK512" s="408">
        <v>0</v>
      </c>
      <c r="EL512" s="408">
        <v>0</v>
      </c>
      <c r="EM512" s="408">
        <v>0</v>
      </c>
      <c r="EN512" s="408">
        <v>0</v>
      </c>
      <c r="EO512" s="408">
        <v>0</v>
      </c>
      <c r="EP512" s="408">
        <v>599.04205435908204</v>
      </c>
      <c r="EQ512" s="408">
        <v>0</v>
      </c>
      <c r="ER512" s="408">
        <v>0</v>
      </c>
      <c r="ES512" s="408">
        <v>0</v>
      </c>
      <c r="ET512" s="408">
        <v>0</v>
      </c>
      <c r="EU512" s="408">
        <v>0</v>
      </c>
      <c r="EV512" s="408">
        <v>240</v>
      </c>
      <c r="EW512" s="408">
        <v>0</v>
      </c>
      <c r="EX512" s="408">
        <v>0</v>
      </c>
      <c r="EY512" s="408">
        <v>0</v>
      </c>
      <c r="EZ512" s="408"/>
      <c r="FA512" s="408">
        <v>0</v>
      </c>
      <c r="FB512" s="408"/>
      <c r="FC512" s="408"/>
      <c r="FD512" s="408"/>
      <c r="FE512" s="408"/>
      <c r="FF512" s="408">
        <v>0</v>
      </c>
      <c r="FG512" s="408">
        <v>0</v>
      </c>
      <c r="FH512" s="408">
        <v>0</v>
      </c>
      <c r="FI512" s="408">
        <v>0</v>
      </c>
    </row>
    <row r="513" spans="1:165">
      <c r="A513" s="408">
        <v>511</v>
      </c>
      <c r="B513" s="408" t="s">
        <v>1036</v>
      </c>
      <c r="C513" s="408" t="s">
        <v>2243</v>
      </c>
      <c r="D513" s="408" t="s">
        <v>597</v>
      </c>
      <c r="E513" s="408" t="s">
        <v>998</v>
      </c>
      <c r="F513" s="408" t="s">
        <v>1322</v>
      </c>
      <c r="G513" s="408" t="s">
        <v>1322</v>
      </c>
      <c r="H513" s="408" t="s">
        <v>1322</v>
      </c>
      <c r="I513" s="408" t="s">
        <v>1322</v>
      </c>
      <c r="J513" s="408" t="s">
        <v>2236</v>
      </c>
      <c r="K513" s="826">
        <v>44593</v>
      </c>
      <c r="L513" s="408">
        <v>4541</v>
      </c>
      <c r="M513" s="408">
        <v>4541</v>
      </c>
      <c r="N513" s="408">
        <v>0</v>
      </c>
      <c r="O513" s="408">
        <v>0</v>
      </c>
      <c r="P513" s="408">
        <v>0</v>
      </c>
      <c r="Q513" s="408">
        <v>0</v>
      </c>
      <c r="R513" s="408">
        <v>27.19</v>
      </c>
      <c r="S513" s="408"/>
      <c r="T513" s="408"/>
      <c r="U513" s="408">
        <v>123469.79000000001</v>
      </c>
      <c r="V513" s="408"/>
      <c r="W513" s="408">
        <v>123469.79000000001</v>
      </c>
      <c r="X513" s="408">
        <v>98812.160000000003</v>
      </c>
      <c r="Y513" s="408">
        <v>0</v>
      </c>
      <c r="Z513" s="408">
        <v>0</v>
      </c>
      <c r="AA513" s="408">
        <v>0</v>
      </c>
      <c r="AB513" s="408">
        <v>0</v>
      </c>
      <c r="AC513" s="408">
        <v>1058.9639855745681</v>
      </c>
      <c r="AD513" s="408">
        <v>1017.3422055810954</v>
      </c>
      <c r="AE513" s="408">
        <v>108675.34933418728</v>
      </c>
      <c r="AF513" s="408"/>
      <c r="AG513" s="408"/>
      <c r="AH513" s="408"/>
      <c r="AI513" s="408">
        <v>0</v>
      </c>
      <c r="AJ513" s="408">
        <v>0</v>
      </c>
      <c r="AK513" s="408">
        <v>0</v>
      </c>
      <c r="AL513" s="408">
        <v>0</v>
      </c>
      <c r="AM513" s="408"/>
      <c r="AN513" s="408">
        <v>0</v>
      </c>
      <c r="AO513" s="408">
        <v>2247.272017981797</v>
      </c>
      <c r="AP513" s="408">
        <v>10481.031436115176</v>
      </c>
      <c r="AQ513" s="408">
        <v>0</v>
      </c>
      <c r="AR513" s="408">
        <v>0</v>
      </c>
      <c r="AS513" s="408"/>
      <c r="AT513" s="408"/>
      <c r="AU513" s="408">
        <v>0</v>
      </c>
      <c r="AV513" s="408">
        <v>0</v>
      </c>
      <c r="AW513" s="408">
        <v>0</v>
      </c>
      <c r="AX513" s="408"/>
      <c r="AY513" s="408"/>
      <c r="AZ513" s="408">
        <v>0</v>
      </c>
      <c r="BA513" s="408"/>
      <c r="BB513" s="408">
        <v>0</v>
      </c>
      <c r="BC513" s="408">
        <v>0</v>
      </c>
      <c r="BD513" s="408">
        <v>0</v>
      </c>
      <c r="BE513" s="408">
        <v>0</v>
      </c>
      <c r="BF513" s="408"/>
      <c r="BG513" s="408">
        <v>0</v>
      </c>
      <c r="BH513" s="408">
        <v>0</v>
      </c>
      <c r="BI513" s="408">
        <v>479.18</v>
      </c>
      <c r="BJ513" s="408">
        <v>4109.12</v>
      </c>
      <c r="BK513" s="408">
        <v>223500.24</v>
      </c>
      <c r="BL513" s="408">
        <v>44</v>
      </c>
      <c r="BM513" s="408"/>
      <c r="BN513" s="408"/>
      <c r="BO513" s="408"/>
      <c r="BP513" s="408"/>
      <c r="BQ513" s="408"/>
      <c r="BR513" s="408"/>
      <c r="BS513" s="408"/>
      <c r="BT513" s="408"/>
      <c r="BU513" s="408"/>
      <c r="BV513" s="408">
        <v>0</v>
      </c>
      <c r="BW513" s="408"/>
      <c r="BX513" s="408"/>
      <c r="BY513" s="408"/>
      <c r="BZ513" s="408"/>
      <c r="CA513" s="408"/>
      <c r="CB513" s="408"/>
      <c r="CC513" s="408"/>
      <c r="CD513" s="408"/>
      <c r="CE513" s="408"/>
      <c r="CF513" s="408"/>
      <c r="CG513" s="408"/>
      <c r="CH513" s="408"/>
      <c r="CI513" s="408">
        <v>98812.160000000003</v>
      </c>
      <c r="CJ513" s="408">
        <v>-24657.659999999989</v>
      </c>
      <c r="CK513" s="408"/>
      <c r="CL513" s="408"/>
      <c r="CM513" s="408"/>
      <c r="CN513" s="408"/>
      <c r="CO513" s="408">
        <v>-24657.629999999997</v>
      </c>
      <c r="CP513" s="408">
        <v>0</v>
      </c>
      <c r="CQ513" s="408">
        <v>29</v>
      </c>
      <c r="CR513" s="408">
        <v>2315.8736217702062</v>
      </c>
      <c r="CS513" s="408">
        <v>223.93585317688348</v>
      </c>
      <c r="CT513" s="408">
        <v>1044.4123800055331</v>
      </c>
      <c r="CU513" s="408">
        <v>0</v>
      </c>
      <c r="CV513" s="408">
        <v>0</v>
      </c>
      <c r="CW513" s="408"/>
      <c r="CX513" s="408"/>
      <c r="CY513" s="408"/>
      <c r="CZ513" s="408">
        <v>1047.5253885877885</v>
      </c>
      <c r="DA513" s="408">
        <v>0</v>
      </c>
      <c r="DB513" s="408">
        <v>0</v>
      </c>
      <c r="DC513" s="408"/>
      <c r="DD513" s="408"/>
      <c r="DE513" s="408">
        <v>0</v>
      </c>
      <c r="DF513" s="408">
        <v>0</v>
      </c>
      <c r="DG513" s="408">
        <v>0</v>
      </c>
      <c r="DH513" s="408">
        <v>0</v>
      </c>
      <c r="DI513" s="408">
        <v>0</v>
      </c>
      <c r="DJ513" s="408"/>
      <c r="DK513" s="408">
        <v>0</v>
      </c>
      <c r="DL513" s="408">
        <v>0</v>
      </c>
      <c r="DM513" s="408"/>
      <c r="DN513" s="408">
        <v>0</v>
      </c>
      <c r="DO513" s="408">
        <v>0</v>
      </c>
      <c r="DP513" s="408">
        <v>0</v>
      </c>
      <c r="DQ513" s="408">
        <v>0</v>
      </c>
      <c r="DR513" s="408">
        <v>0</v>
      </c>
      <c r="DS513" s="408"/>
      <c r="DT513" s="408"/>
      <c r="DU513" s="408">
        <v>108675.34933418728</v>
      </c>
      <c r="DV513" s="408"/>
      <c r="DW513" s="408">
        <v>0</v>
      </c>
      <c r="DX513" s="408">
        <v>0</v>
      </c>
      <c r="DY513" s="408">
        <v>-24657.630000000005</v>
      </c>
      <c r="DZ513" s="408"/>
      <c r="EA513" s="408">
        <v>0</v>
      </c>
      <c r="EB513" s="408"/>
      <c r="EC513" s="408">
        <v>-26996.800187411252</v>
      </c>
      <c r="ED513" s="408"/>
      <c r="EE513" s="408">
        <v>0</v>
      </c>
      <c r="EF513" s="408">
        <v>0</v>
      </c>
      <c r="EG513" s="408"/>
      <c r="EH513" s="408">
        <v>0</v>
      </c>
      <c r="EI513" s="408">
        <v>0</v>
      </c>
      <c r="EJ513" s="408">
        <v>0</v>
      </c>
      <c r="EK513" s="408">
        <v>0</v>
      </c>
      <c r="EL513" s="408">
        <v>0</v>
      </c>
      <c r="EM513" s="408"/>
      <c r="EN513" s="408"/>
      <c r="EO513" s="408">
        <v>0</v>
      </c>
      <c r="EP513" s="408">
        <v>0</v>
      </c>
      <c r="EQ513" s="408"/>
      <c r="ER513" s="408">
        <v>0</v>
      </c>
      <c r="ES513" s="408"/>
      <c r="ET513" s="408">
        <v>0</v>
      </c>
      <c r="EU513" s="408"/>
      <c r="EV513" s="408">
        <v>240</v>
      </c>
      <c r="EW513" s="408"/>
      <c r="EX513" s="408"/>
      <c r="EY513" s="408"/>
      <c r="EZ513" s="408"/>
      <c r="FA513" s="408">
        <v>0</v>
      </c>
      <c r="FB513" s="408"/>
      <c r="FC513" s="408"/>
      <c r="FD513" s="408"/>
      <c r="FE513" s="408"/>
      <c r="FF513" s="408">
        <v>0</v>
      </c>
      <c r="FG513" s="408">
        <v>0</v>
      </c>
      <c r="FH513" s="408">
        <v>0</v>
      </c>
      <c r="FI513" s="408">
        <v>0</v>
      </c>
    </row>
    <row r="514" spans="1:165">
      <c r="A514" s="408">
        <v>512</v>
      </c>
      <c r="B514" s="408" t="s">
        <v>2238</v>
      </c>
      <c r="C514" s="408" t="s">
        <v>2243</v>
      </c>
      <c r="D514" s="408" t="s">
        <v>597</v>
      </c>
      <c r="E514" s="408" t="s">
        <v>998</v>
      </c>
      <c r="F514" s="408" t="s">
        <v>1322</v>
      </c>
      <c r="G514" s="408" t="s">
        <v>1322</v>
      </c>
      <c r="H514" s="408" t="s">
        <v>1322</v>
      </c>
      <c r="I514" s="408" t="s">
        <v>1322</v>
      </c>
      <c r="J514" s="408" t="s">
        <v>2236</v>
      </c>
      <c r="K514" s="826">
        <v>44593</v>
      </c>
      <c r="L514" s="408">
        <v>837</v>
      </c>
      <c r="M514" s="408">
        <v>837</v>
      </c>
      <c r="N514" s="408">
        <v>0</v>
      </c>
      <c r="O514" s="408">
        <v>0</v>
      </c>
      <c r="P514" s="408">
        <v>0</v>
      </c>
      <c r="Q514" s="408">
        <v>0</v>
      </c>
      <c r="R514" s="408">
        <v>27.19</v>
      </c>
      <c r="S514" s="408"/>
      <c r="T514" s="408"/>
      <c r="U514" s="408">
        <v>22758.030000000002</v>
      </c>
      <c r="V514" s="408"/>
      <c r="W514" s="408">
        <v>22758.030000000002</v>
      </c>
      <c r="X514" s="408">
        <v>18213.120000000003</v>
      </c>
      <c r="Y514" s="408">
        <v>0</v>
      </c>
      <c r="Z514" s="408">
        <v>0</v>
      </c>
      <c r="AA514" s="408">
        <v>0</v>
      </c>
      <c r="AB514" s="408">
        <v>0</v>
      </c>
      <c r="AC514" s="408">
        <v>195.18891343887108</v>
      </c>
      <c r="AD514" s="408">
        <v>187.5171605530449</v>
      </c>
      <c r="AE514" s="408">
        <v>20031.109313524499</v>
      </c>
      <c r="AF514" s="408"/>
      <c r="AG514" s="408"/>
      <c r="AH514" s="408"/>
      <c r="AI514" s="408">
        <v>0</v>
      </c>
      <c r="AJ514" s="408">
        <v>0</v>
      </c>
      <c r="AK514" s="408">
        <v>0</v>
      </c>
      <c r="AL514" s="408">
        <v>0</v>
      </c>
      <c r="AM514" s="408"/>
      <c r="AN514" s="408">
        <v>0</v>
      </c>
      <c r="AO514" s="408">
        <v>414.21860362271838</v>
      </c>
      <c r="AP514" s="408">
        <v>1931.8703616006171</v>
      </c>
      <c r="AQ514" s="408">
        <v>0</v>
      </c>
      <c r="AR514" s="408">
        <v>0</v>
      </c>
      <c r="AS514" s="408"/>
      <c r="AT514" s="408"/>
      <c r="AU514" s="408">
        <v>0</v>
      </c>
      <c r="AV514" s="408">
        <v>0</v>
      </c>
      <c r="AW514" s="408">
        <v>0</v>
      </c>
      <c r="AX514" s="408"/>
      <c r="AY514" s="408"/>
      <c r="AZ514" s="408">
        <v>0</v>
      </c>
      <c r="BA514" s="408"/>
      <c r="BB514" s="408">
        <v>0</v>
      </c>
      <c r="BC514" s="408">
        <v>0</v>
      </c>
      <c r="BD514" s="408">
        <v>0</v>
      </c>
      <c r="BE514" s="408">
        <v>0</v>
      </c>
      <c r="BF514" s="408"/>
      <c r="BG514" s="408">
        <v>0</v>
      </c>
      <c r="BH514" s="408">
        <v>0</v>
      </c>
      <c r="BI514" s="408">
        <v>34.200000000000003</v>
      </c>
      <c r="BJ514" s="408">
        <v>293.45</v>
      </c>
      <c r="BK514" s="408">
        <v>16906.490000000002</v>
      </c>
      <c r="BL514" s="408">
        <v>6</v>
      </c>
      <c r="BM514" s="408"/>
      <c r="BN514" s="408"/>
      <c r="BO514" s="408"/>
      <c r="BP514" s="408"/>
      <c r="BQ514" s="408"/>
      <c r="BR514" s="408"/>
      <c r="BS514" s="408"/>
      <c r="BT514" s="408"/>
      <c r="BU514" s="408"/>
      <c r="BV514" s="408">
        <v>0</v>
      </c>
      <c r="BW514" s="408"/>
      <c r="BX514" s="408"/>
      <c r="BY514" s="408"/>
      <c r="BZ514" s="408"/>
      <c r="CA514" s="408"/>
      <c r="CB514" s="408"/>
      <c r="CC514" s="408"/>
      <c r="CD514" s="408"/>
      <c r="CE514" s="408"/>
      <c r="CF514" s="408"/>
      <c r="CG514" s="408"/>
      <c r="CH514" s="408"/>
      <c r="CI514" s="408">
        <v>18213.120000000003</v>
      </c>
      <c r="CJ514" s="408">
        <v>-4544.9399999999951</v>
      </c>
      <c r="CK514" s="408"/>
      <c r="CL514" s="408"/>
      <c r="CM514" s="408"/>
      <c r="CN514" s="408"/>
      <c r="CO514" s="408">
        <v>-4544.91</v>
      </c>
      <c r="CP514" s="408">
        <v>0</v>
      </c>
      <c r="CQ514" s="408">
        <v>29</v>
      </c>
      <c r="CR514" s="408">
        <v>426.86329474161221</v>
      </c>
      <c r="CS514" s="408">
        <v>41.275998482504122</v>
      </c>
      <c r="CT514" s="408">
        <v>192.50675227144507</v>
      </c>
      <c r="CU514" s="408">
        <v>0</v>
      </c>
      <c r="CV514" s="408">
        <v>0</v>
      </c>
      <c r="CW514" s="408"/>
      <c r="CX514" s="408"/>
      <c r="CY514" s="408"/>
      <c r="CZ514" s="408">
        <v>193.08054398766325</v>
      </c>
      <c r="DA514" s="408">
        <v>0</v>
      </c>
      <c r="DB514" s="408">
        <v>0</v>
      </c>
      <c r="DC514" s="408"/>
      <c r="DD514" s="408"/>
      <c r="DE514" s="408">
        <v>0</v>
      </c>
      <c r="DF514" s="408">
        <v>0</v>
      </c>
      <c r="DG514" s="408">
        <v>0</v>
      </c>
      <c r="DH514" s="408">
        <v>0</v>
      </c>
      <c r="DI514" s="408">
        <v>0</v>
      </c>
      <c r="DJ514" s="408"/>
      <c r="DK514" s="408">
        <v>0</v>
      </c>
      <c r="DL514" s="408">
        <v>0</v>
      </c>
      <c r="DM514" s="408"/>
      <c r="DN514" s="408">
        <v>0</v>
      </c>
      <c r="DO514" s="408">
        <v>0</v>
      </c>
      <c r="DP514" s="408">
        <v>0</v>
      </c>
      <c r="DQ514" s="408">
        <v>0</v>
      </c>
      <c r="DR514" s="408">
        <v>0</v>
      </c>
      <c r="DS514" s="408"/>
      <c r="DT514" s="408"/>
      <c r="DU514" s="408">
        <v>20031.109313524499</v>
      </c>
      <c r="DV514" s="408"/>
      <c r="DW514" s="408">
        <v>0</v>
      </c>
      <c r="DX514" s="408">
        <v>0</v>
      </c>
      <c r="DY514" s="408">
        <v>-4544.91</v>
      </c>
      <c r="DZ514" s="408"/>
      <c r="EA514" s="408">
        <v>0</v>
      </c>
      <c r="EB514" s="408"/>
      <c r="EC514" s="408">
        <v>-4976.0673324957515</v>
      </c>
      <c r="ED514" s="408"/>
      <c r="EE514" s="408">
        <v>0</v>
      </c>
      <c r="EF514" s="408">
        <v>0</v>
      </c>
      <c r="EG514" s="408"/>
      <c r="EH514" s="408">
        <v>0</v>
      </c>
      <c r="EI514" s="408">
        <v>0</v>
      </c>
      <c r="EJ514" s="408">
        <v>0</v>
      </c>
      <c r="EK514" s="408">
        <v>0</v>
      </c>
      <c r="EL514" s="408">
        <v>0</v>
      </c>
      <c r="EM514" s="408"/>
      <c r="EN514" s="408"/>
      <c r="EO514" s="408">
        <v>0</v>
      </c>
      <c r="EP514" s="408">
        <v>0</v>
      </c>
      <c r="EQ514" s="408"/>
      <c r="ER514" s="408">
        <v>0</v>
      </c>
      <c r="ES514" s="408"/>
      <c r="ET514" s="408">
        <v>0</v>
      </c>
      <c r="EU514" s="408"/>
      <c r="EV514" s="408">
        <v>240</v>
      </c>
      <c r="EW514" s="408"/>
      <c r="EX514" s="408"/>
      <c r="EY514" s="408"/>
      <c r="EZ514" s="408"/>
      <c r="FA514" s="408">
        <v>0</v>
      </c>
      <c r="FB514" s="408"/>
      <c r="FC514" s="408"/>
      <c r="FD514" s="408"/>
      <c r="FE514" s="408"/>
      <c r="FF514" s="408">
        <v>0</v>
      </c>
      <c r="FG514" s="408">
        <v>0</v>
      </c>
      <c r="FH514" s="408">
        <v>0</v>
      </c>
      <c r="FI514" s="408">
        <v>0</v>
      </c>
    </row>
    <row r="515" spans="1:165">
      <c r="A515" s="408">
        <v>513</v>
      </c>
      <c r="B515" s="408" t="s">
        <v>1036</v>
      </c>
      <c r="C515" s="408" t="s">
        <v>2316</v>
      </c>
      <c r="D515" s="408" t="s">
        <v>1958</v>
      </c>
      <c r="E515" s="408" t="s">
        <v>998</v>
      </c>
      <c r="F515" s="408" t="s">
        <v>1322</v>
      </c>
      <c r="G515" s="408" t="s">
        <v>1322</v>
      </c>
      <c r="H515" s="408" t="s">
        <v>1322</v>
      </c>
      <c r="I515" s="408" t="s">
        <v>973</v>
      </c>
      <c r="J515" s="408" t="s">
        <v>2236</v>
      </c>
      <c r="K515" s="826">
        <v>44593</v>
      </c>
      <c r="L515" s="408">
        <v>0</v>
      </c>
      <c r="M515" s="408">
        <v>0</v>
      </c>
      <c r="N515" s="408">
        <v>0.71299999999999997</v>
      </c>
      <c r="O515" s="408">
        <v>0.71299999999999997</v>
      </c>
      <c r="P515" s="408">
        <v>0.71299999999999997</v>
      </c>
      <c r="Q515" s="408">
        <v>0.71299999999999997</v>
      </c>
      <c r="R515" s="408"/>
      <c r="S515" s="408">
        <v>1553.42</v>
      </c>
      <c r="T515" s="408">
        <v>173.25</v>
      </c>
      <c r="U515" s="408"/>
      <c r="V515" s="408">
        <v>1231.11571</v>
      </c>
      <c r="W515" s="408">
        <v>1231.11571</v>
      </c>
      <c r="X515" s="408">
        <v>1168.06512</v>
      </c>
      <c r="Y515" s="408">
        <v>0</v>
      </c>
      <c r="Z515" s="408">
        <v>43.881715621151095</v>
      </c>
      <c r="AA515" s="408">
        <v>0</v>
      </c>
      <c r="AB515" s="408">
        <v>0</v>
      </c>
      <c r="AC515" s="408">
        <v>77.324312434082785</v>
      </c>
      <c r="AD515" s="408">
        <v>5.3472291342521405</v>
      </c>
      <c r="AE515" s="408">
        <v>512.21057515450173</v>
      </c>
      <c r="AF515" s="408">
        <v>121.45275552732816</v>
      </c>
      <c r="AG515" s="408">
        <v>2.0728575072759114</v>
      </c>
      <c r="AH515" s="408">
        <v>0</v>
      </c>
      <c r="AI515" s="408">
        <v>0</v>
      </c>
      <c r="AJ515" s="408">
        <v>0</v>
      </c>
      <c r="AK515" s="408">
        <v>0</v>
      </c>
      <c r="AL515" s="408">
        <v>6.7799385877330165</v>
      </c>
      <c r="AM515" s="408"/>
      <c r="AN515" s="408">
        <v>0.86120183734061928</v>
      </c>
      <c r="AO515" s="408">
        <v>224.98997684553609</v>
      </c>
      <c r="AP515" s="408">
        <v>218.6101453655134</v>
      </c>
      <c r="AQ515" s="408">
        <v>0</v>
      </c>
      <c r="AR515" s="408">
        <v>0</v>
      </c>
      <c r="AS515" s="408">
        <v>0</v>
      </c>
      <c r="AT515" s="408">
        <v>0</v>
      </c>
      <c r="AU515" s="408">
        <v>0</v>
      </c>
      <c r="AV515" s="408">
        <v>0</v>
      </c>
      <c r="AW515" s="408">
        <v>0</v>
      </c>
      <c r="AX515" s="408">
        <v>0</v>
      </c>
      <c r="AY515" s="408">
        <v>0</v>
      </c>
      <c r="AZ515" s="408">
        <v>0</v>
      </c>
      <c r="BA515" s="408"/>
      <c r="BB515" s="408">
        <v>0</v>
      </c>
      <c r="BC515" s="408">
        <v>0</v>
      </c>
      <c r="BD515" s="408">
        <v>0</v>
      </c>
      <c r="BE515" s="408">
        <v>0</v>
      </c>
      <c r="BF515" s="408">
        <v>0</v>
      </c>
      <c r="BG515" s="408">
        <v>6.3740715712506537</v>
      </c>
      <c r="BH515" s="408">
        <v>0</v>
      </c>
      <c r="BI515" s="408">
        <v>0</v>
      </c>
      <c r="BJ515" s="408">
        <v>0</v>
      </c>
      <c r="BK515" s="408">
        <v>0</v>
      </c>
      <c r="BL515" s="408">
        <v>0</v>
      </c>
      <c r="BM515" s="408"/>
      <c r="BN515" s="408"/>
      <c r="BO515" s="408"/>
      <c r="BP515" s="408"/>
      <c r="BQ515" s="408"/>
      <c r="BR515" s="408"/>
      <c r="BS515" s="408"/>
      <c r="BT515" s="408"/>
      <c r="BU515" s="408"/>
      <c r="BV515" s="408">
        <v>127.82682709857882</v>
      </c>
      <c r="BW515" s="408"/>
      <c r="BX515" s="408"/>
      <c r="BY515" s="408"/>
      <c r="BZ515" s="408"/>
      <c r="CA515" s="408"/>
      <c r="CB515" s="408"/>
      <c r="CC515" s="408"/>
      <c r="CD515" s="408"/>
      <c r="CE515" s="408"/>
      <c r="CF515" s="408"/>
      <c r="CG515" s="408"/>
      <c r="CH515" s="408"/>
      <c r="CI515" s="408">
        <v>1163.1504</v>
      </c>
      <c r="CJ515" s="408">
        <v>-67.995310000000018</v>
      </c>
      <c r="CK515" s="408"/>
      <c r="CL515" s="408"/>
      <c r="CM515" s="408"/>
      <c r="CN515" s="408"/>
      <c r="CO515" s="408">
        <v>-78.444259999999986</v>
      </c>
      <c r="CP515" s="408">
        <v>15.393670000000002</v>
      </c>
      <c r="CQ515" s="408">
        <v>29</v>
      </c>
      <c r="CR515" s="408">
        <v>64.190048744781393</v>
      </c>
      <c r="CS515" s="408">
        <v>22.419770289491026</v>
      </c>
      <c r="CT515" s="408">
        <v>21.784033719030788</v>
      </c>
      <c r="CU515" s="408">
        <v>0</v>
      </c>
      <c r="CV515" s="408">
        <v>0</v>
      </c>
      <c r="CW515" s="408">
        <v>0</v>
      </c>
      <c r="CX515" s="408">
        <v>0</v>
      </c>
      <c r="CY515" s="408">
        <v>0</v>
      </c>
      <c r="CZ515" s="408">
        <v>5.505874273176298</v>
      </c>
      <c r="DA515" s="408">
        <v>0</v>
      </c>
      <c r="DB515" s="408">
        <v>0</v>
      </c>
      <c r="DC515" s="408">
        <v>15.391931965638221</v>
      </c>
      <c r="DD515" s="408">
        <v>0</v>
      </c>
      <c r="DE515" s="408">
        <v>0</v>
      </c>
      <c r="DF515" s="408">
        <v>0</v>
      </c>
      <c r="DG515" s="408">
        <v>0.80779785969307216</v>
      </c>
      <c r="DH515" s="408">
        <v>0</v>
      </c>
      <c r="DI515" s="408">
        <v>-1.4900842028460772</v>
      </c>
      <c r="DJ515" s="408"/>
      <c r="DK515" s="408">
        <v>0</v>
      </c>
      <c r="DL515" s="408">
        <v>0</v>
      </c>
      <c r="DM515" s="408">
        <v>0</v>
      </c>
      <c r="DN515" s="408">
        <v>0</v>
      </c>
      <c r="DO515" s="408">
        <v>-0.2049105280144552</v>
      </c>
      <c r="DP515" s="408">
        <v>-2.4364631387524538E-2</v>
      </c>
      <c r="DQ515" s="408">
        <v>0</v>
      </c>
      <c r="DR515" s="408">
        <v>0</v>
      </c>
      <c r="DS515" s="408"/>
      <c r="DT515" s="408"/>
      <c r="DU515" s="408"/>
      <c r="DV515" s="408">
        <v>512.21057515450173</v>
      </c>
      <c r="DW515" s="408">
        <v>0</v>
      </c>
      <c r="DX515" s="408">
        <v>0</v>
      </c>
      <c r="DY515" s="408">
        <v>-78.444259999999986</v>
      </c>
      <c r="DZ515" s="408">
        <v>15.39367</v>
      </c>
      <c r="EA515" s="408">
        <v>0</v>
      </c>
      <c r="EB515" s="408">
        <v>0</v>
      </c>
      <c r="EC515" s="408">
        <v>-127.24179527412969</v>
      </c>
      <c r="ED515" s="408">
        <v>0</v>
      </c>
      <c r="EE515" s="408">
        <v>0</v>
      </c>
      <c r="EF515" s="408">
        <v>0</v>
      </c>
      <c r="EG515" s="408">
        <v>0</v>
      </c>
      <c r="EH515" s="408">
        <v>0</v>
      </c>
      <c r="EI515" s="408">
        <v>0</v>
      </c>
      <c r="EJ515" s="408">
        <v>0</v>
      </c>
      <c r="EK515" s="408">
        <v>0</v>
      </c>
      <c r="EL515" s="408">
        <v>0</v>
      </c>
      <c r="EM515" s="408">
        <v>0</v>
      </c>
      <c r="EN515" s="408">
        <v>0</v>
      </c>
      <c r="EO515" s="408">
        <v>0</v>
      </c>
      <c r="EP515" s="408">
        <v>11.206607536072363</v>
      </c>
      <c r="EQ515" s="408">
        <v>0</v>
      </c>
      <c r="ER515" s="408">
        <v>0</v>
      </c>
      <c r="ES515" s="408">
        <v>0</v>
      </c>
      <c r="ET515" s="408">
        <v>0</v>
      </c>
      <c r="EU515" s="408">
        <v>0</v>
      </c>
      <c r="EV515" s="408">
        <v>240</v>
      </c>
      <c r="EW515" s="408">
        <v>0</v>
      </c>
      <c r="EX515" s="408">
        <v>0</v>
      </c>
      <c r="EY515" s="408">
        <v>0</v>
      </c>
      <c r="EZ515" s="408"/>
      <c r="FA515" s="408">
        <v>0</v>
      </c>
      <c r="FB515" s="408"/>
      <c r="FC515" s="408"/>
      <c r="FD515" s="408"/>
      <c r="FE515" s="408"/>
      <c r="FF515" s="408">
        <v>0</v>
      </c>
      <c r="FG515" s="408">
        <v>0</v>
      </c>
      <c r="FH515" s="408">
        <v>0</v>
      </c>
      <c r="FI515" s="408">
        <v>0</v>
      </c>
    </row>
    <row r="516" spans="1:165">
      <c r="A516" s="408">
        <v>514</v>
      </c>
      <c r="B516" s="408" t="s">
        <v>1036</v>
      </c>
      <c r="C516" s="408" t="s">
        <v>2316</v>
      </c>
      <c r="D516" s="408" t="s">
        <v>1958</v>
      </c>
      <c r="E516" s="408" t="s">
        <v>998</v>
      </c>
      <c r="F516" s="408" t="s">
        <v>1322</v>
      </c>
      <c r="G516" s="408" t="s">
        <v>1322</v>
      </c>
      <c r="H516" s="408" t="s">
        <v>1322</v>
      </c>
      <c r="I516" s="408" t="s">
        <v>2244</v>
      </c>
      <c r="J516" s="408" t="s">
        <v>2236</v>
      </c>
      <c r="K516" s="826">
        <v>44593</v>
      </c>
      <c r="L516" s="408">
        <v>0</v>
      </c>
      <c r="M516" s="408">
        <v>0</v>
      </c>
      <c r="N516" s="408">
        <v>16.469000000000001</v>
      </c>
      <c r="O516" s="408">
        <v>16.469000000000001</v>
      </c>
      <c r="P516" s="408">
        <v>16.469000000000001</v>
      </c>
      <c r="Q516" s="408">
        <v>16.469000000000001</v>
      </c>
      <c r="R516" s="408"/>
      <c r="S516" s="408">
        <v>388.22</v>
      </c>
      <c r="T516" s="408">
        <v>173.25</v>
      </c>
      <c r="U516" s="408"/>
      <c r="V516" s="408">
        <v>9246.849430000002</v>
      </c>
      <c r="W516" s="408">
        <v>9246.849430000002</v>
      </c>
      <c r="X516" s="408">
        <v>9223.1340700000001</v>
      </c>
      <c r="Y516" s="408">
        <v>0</v>
      </c>
      <c r="Z516" s="408">
        <v>1013.5876221104312</v>
      </c>
      <c r="AA516" s="408">
        <v>0</v>
      </c>
      <c r="AB516" s="408">
        <v>0</v>
      </c>
      <c r="AC516" s="408">
        <v>357.21012664148941</v>
      </c>
      <c r="AD516" s="408">
        <v>24.70227181193027</v>
      </c>
      <c r="AE516" s="408">
        <v>2366.2278499275194</v>
      </c>
      <c r="AF516" s="408">
        <v>2805.3372100695201</v>
      </c>
      <c r="AG516" s="408">
        <v>47.879229014483855</v>
      </c>
      <c r="AH516" s="408">
        <v>0</v>
      </c>
      <c r="AI516" s="408">
        <v>0</v>
      </c>
      <c r="AJ516" s="408">
        <v>0</v>
      </c>
      <c r="AK516" s="408">
        <v>0</v>
      </c>
      <c r="AL516" s="408">
        <v>156.60421963727219</v>
      </c>
      <c r="AM516" s="408"/>
      <c r="AN516" s="408">
        <v>19.892192228839637</v>
      </c>
      <c r="AO516" s="408">
        <v>1039.3716489955495</v>
      </c>
      <c r="AP516" s="408">
        <v>1009.8991540041068</v>
      </c>
      <c r="AQ516" s="408">
        <v>0</v>
      </c>
      <c r="AR516" s="408">
        <v>0</v>
      </c>
      <c r="AS516" s="408">
        <v>0</v>
      </c>
      <c r="AT516" s="408">
        <v>0</v>
      </c>
      <c r="AU516" s="408">
        <v>0</v>
      </c>
      <c r="AV516" s="408">
        <v>0</v>
      </c>
      <c r="AW516" s="408">
        <v>0</v>
      </c>
      <c r="AX516" s="408">
        <v>0</v>
      </c>
      <c r="AY516" s="408">
        <v>0</v>
      </c>
      <c r="AZ516" s="408">
        <v>0</v>
      </c>
      <c r="BA516" s="408"/>
      <c r="BB516" s="408">
        <v>0</v>
      </c>
      <c r="BC516" s="408">
        <v>0</v>
      </c>
      <c r="BD516" s="408">
        <v>0</v>
      </c>
      <c r="BE516" s="408">
        <v>0</v>
      </c>
      <c r="BF516" s="408">
        <v>0</v>
      </c>
      <c r="BG516" s="408">
        <v>147.22943156651758</v>
      </c>
      <c r="BH516" s="408">
        <v>0</v>
      </c>
      <c r="BI516" s="408">
        <v>0</v>
      </c>
      <c r="BJ516" s="408">
        <v>0</v>
      </c>
      <c r="BK516" s="408">
        <v>0</v>
      </c>
      <c r="BL516" s="408">
        <v>0</v>
      </c>
      <c r="BM516" s="408"/>
      <c r="BN516" s="408"/>
      <c r="BO516" s="408"/>
      <c r="BP516" s="408"/>
      <c r="BQ516" s="408"/>
      <c r="BR516" s="408"/>
      <c r="BS516" s="408"/>
      <c r="BT516" s="408"/>
      <c r="BU516" s="408"/>
      <c r="BV516" s="408">
        <v>2952.5666416360377</v>
      </c>
      <c r="BW516" s="408"/>
      <c r="BX516" s="408"/>
      <c r="BY516" s="408"/>
      <c r="BZ516" s="408"/>
      <c r="CA516" s="408"/>
      <c r="CB516" s="408"/>
      <c r="CC516" s="408"/>
      <c r="CD516" s="408"/>
      <c r="CE516" s="408"/>
      <c r="CF516" s="408"/>
      <c r="CG516" s="408"/>
      <c r="CH516" s="408"/>
      <c r="CI516" s="408">
        <v>9223.6941000000006</v>
      </c>
      <c r="CJ516" s="408">
        <v>-23.185330000002068</v>
      </c>
      <c r="CK516" s="408"/>
      <c r="CL516" s="408"/>
      <c r="CM516" s="408"/>
      <c r="CN516" s="408"/>
      <c r="CO516" s="408">
        <v>-379.28107000000051</v>
      </c>
      <c r="CP516" s="408">
        <v>355.56571000000008</v>
      </c>
      <c r="CQ516" s="408">
        <v>29</v>
      </c>
      <c r="CR516" s="408">
        <v>564.1107664084202</v>
      </c>
      <c r="CS516" s="408">
        <v>103.57116322513934</v>
      </c>
      <c r="CT516" s="408">
        <v>100.63429209501032</v>
      </c>
      <c r="CU516" s="408">
        <v>0</v>
      </c>
      <c r="CV516" s="408">
        <v>0</v>
      </c>
      <c r="CW516" s="408">
        <v>0</v>
      </c>
      <c r="CX516" s="408">
        <v>0</v>
      </c>
      <c r="CY516" s="408">
        <v>0</v>
      </c>
      <c r="CZ516" s="408">
        <v>25.435155188526711</v>
      </c>
      <c r="DA516" s="408">
        <v>0</v>
      </c>
      <c r="DB516" s="408">
        <v>0</v>
      </c>
      <c r="DC516" s="408">
        <v>355.52556457516948</v>
      </c>
      <c r="DD516" s="408">
        <v>0</v>
      </c>
      <c r="DE516" s="408">
        <v>0</v>
      </c>
      <c r="DF516" s="408">
        <v>0</v>
      </c>
      <c r="DG516" s="408">
        <v>18.658657715687525</v>
      </c>
      <c r="DH516" s="408">
        <v>0</v>
      </c>
      <c r="DI516" s="408">
        <v>-34.418228242176838</v>
      </c>
      <c r="DJ516" s="408"/>
      <c r="DK516" s="408">
        <v>0</v>
      </c>
      <c r="DL516" s="408">
        <v>0</v>
      </c>
      <c r="DM516" s="408">
        <v>0</v>
      </c>
      <c r="DN516" s="408">
        <v>0</v>
      </c>
      <c r="DO516" s="408">
        <v>-4.7330595874755659</v>
      </c>
      <c r="DP516" s="408">
        <v>-0.56277856146022742</v>
      </c>
      <c r="DQ516" s="408">
        <v>0</v>
      </c>
      <c r="DR516" s="408">
        <v>0</v>
      </c>
      <c r="DS516" s="408"/>
      <c r="DT516" s="408"/>
      <c r="DU516" s="408"/>
      <c r="DV516" s="408">
        <v>2366.2278499275194</v>
      </c>
      <c r="DW516" s="408">
        <v>0</v>
      </c>
      <c r="DX516" s="408">
        <v>0</v>
      </c>
      <c r="DY516" s="408">
        <v>-379.28107000000091</v>
      </c>
      <c r="DZ516" s="408">
        <v>355.56570999999985</v>
      </c>
      <c r="EA516" s="408">
        <v>0</v>
      </c>
      <c r="EB516" s="408">
        <v>0</v>
      </c>
      <c r="EC516" s="408">
        <v>-587.81113521836573</v>
      </c>
      <c r="ED516" s="408">
        <v>0</v>
      </c>
      <c r="EE516" s="408">
        <v>0</v>
      </c>
      <c r="EF516" s="408">
        <v>0</v>
      </c>
      <c r="EG516" s="408">
        <v>0</v>
      </c>
      <c r="EH516" s="408">
        <v>0</v>
      </c>
      <c r="EI516" s="408">
        <v>0</v>
      </c>
      <c r="EJ516" s="408">
        <v>0</v>
      </c>
      <c r="EK516" s="408">
        <v>0</v>
      </c>
      <c r="EL516" s="408">
        <v>0</v>
      </c>
      <c r="EM516" s="408">
        <v>0</v>
      </c>
      <c r="EN516" s="408">
        <v>0</v>
      </c>
      <c r="EO516" s="408">
        <v>0</v>
      </c>
      <c r="EP516" s="408">
        <v>258.85220127850738</v>
      </c>
      <c r="EQ516" s="408">
        <v>0</v>
      </c>
      <c r="ER516" s="408">
        <v>0</v>
      </c>
      <c r="ES516" s="408">
        <v>0</v>
      </c>
      <c r="ET516" s="408">
        <v>0</v>
      </c>
      <c r="EU516" s="408">
        <v>0</v>
      </c>
      <c r="EV516" s="408">
        <v>240</v>
      </c>
      <c r="EW516" s="408">
        <v>0</v>
      </c>
      <c r="EX516" s="408">
        <v>0</v>
      </c>
      <c r="EY516" s="408">
        <v>0</v>
      </c>
      <c r="EZ516" s="408"/>
      <c r="FA516" s="408">
        <v>0</v>
      </c>
      <c r="FB516" s="408"/>
      <c r="FC516" s="408"/>
      <c r="FD516" s="408"/>
      <c r="FE516" s="408"/>
      <c r="FF516" s="408">
        <v>0</v>
      </c>
      <c r="FG516" s="408">
        <v>0</v>
      </c>
      <c r="FH516" s="408">
        <v>0</v>
      </c>
      <c r="FI516" s="408">
        <v>0</v>
      </c>
    </row>
    <row r="517" spans="1:165">
      <c r="A517" s="408">
        <v>515</v>
      </c>
      <c r="B517" s="408" t="s">
        <v>1036</v>
      </c>
      <c r="C517" s="408" t="s">
        <v>2316</v>
      </c>
      <c r="D517" s="408" t="s">
        <v>1958</v>
      </c>
      <c r="E517" s="408" t="s">
        <v>998</v>
      </c>
      <c r="F517" s="408" t="s">
        <v>1322</v>
      </c>
      <c r="G517" s="408" t="s">
        <v>1322</v>
      </c>
      <c r="H517" s="408" t="s">
        <v>1322</v>
      </c>
      <c r="I517" s="408" t="s">
        <v>1322</v>
      </c>
      <c r="J517" s="408" t="s">
        <v>2236</v>
      </c>
      <c r="K517" s="826">
        <v>44593</v>
      </c>
      <c r="L517" s="408">
        <v>0</v>
      </c>
      <c r="M517" s="408">
        <v>0</v>
      </c>
      <c r="N517" s="408">
        <v>0</v>
      </c>
      <c r="O517" s="408">
        <v>0</v>
      </c>
      <c r="P517" s="408">
        <v>0</v>
      </c>
      <c r="Q517" s="408">
        <v>0</v>
      </c>
      <c r="R517" s="408"/>
      <c r="S517" s="408"/>
      <c r="T517" s="408"/>
      <c r="U517" s="408"/>
      <c r="V517" s="408"/>
      <c r="W517" s="408"/>
      <c r="X517" s="408"/>
      <c r="Y517" s="408"/>
      <c r="Z517" s="408"/>
      <c r="AA517" s="408">
        <v>0</v>
      </c>
      <c r="AB517" s="408"/>
      <c r="AC517" s="408"/>
      <c r="AD517" s="408"/>
      <c r="AE517" s="408"/>
      <c r="AF517" s="408"/>
      <c r="AG517" s="408"/>
      <c r="AH517" s="408"/>
      <c r="AI517" s="408"/>
      <c r="AJ517" s="408"/>
      <c r="AK517" s="408"/>
      <c r="AL517" s="408"/>
      <c r="AM517" s="408"/>
      <c r="AN517" s="408"/>
      <c r="AO517" s="408"/>
      <c r="AP517" s="408"/>
      <c r="AQ517" s="408"/>
      <c r="AR517" s="408"/>
      <c r="AS517" s="408"/>
      <c r="AT517" s="408"/>
      <c r="AU517" s="408"/>
      <c r="AV517" s="408"/>
      <c r="AW517" s="408"/>
      <c r="AX517" s="408"/>
      <c r="AY517" s="408"/>
      <c r="AZ517" s="408">
        <v>0</v>
      </c>
      <c r="BA517" s="408"/>
      <c r="BB517" s="408"/>
      <c r="BC517" s="408"/>
      <c r="BD517" s="408"/>
      <c r="BE517" s="408"/>
      <c r="BF517" s="408"/>
      <c r="BG517" s="408"/>
      <c r="BH517" s="408"/>
      <c r="BI517" s="408">
        <v>9.61</v>
      </c>
      <c r="BJ517" s="408">
        <v>82.63</v>
      </c>
      <c r="BK517" s="408">
        <v>4590.24</v>
      </c>
      <c r="BL517" s="408">
        <v>6</v>
      </c>
      <c r="BM517" s="408"/>
      <c r="BN517" s="408"/>
      <c r="BO517" s="408"/>
      <c r="BP517" s="408"/>
      <c r="BQ517" s="408"/>
      <c r="BR517" s="408"/>
      <c r="BS517" s="408"/>
      <c r="BT517" s="408"/>
      <c r="BU517" s="408"/>
      <c r="BV517" s="408"/>
      <c r="BW517" s="408"/>
      <c r="BX517" s="408"/>
      <c r="BY517" s="408"/>
      <c r="BZ517" s="408"/>
      <c r="CA517" s="408"/>
      <c r="CB517" s="408"/>
      <c r="CC517" s="408"/>
      <c r="CD517" s="408"/>
      <c r="CE517" s="408"/>
      <c r="CF517" s="408"/>
      <c r="CG517" s="408"/>
      <c r="CH517" s="408"/>
      <c r="CI517" s="408"/>
      <c r="CJ517" s="408">
        <v>-0.03</v>
      </c>
      <c r="CK517" s="408"/>
      <c r="CL517" s="408"/>
      <c r="CM517" s="408"/>
      <c r="CN517" s="408"/>
      <c r="CO517" s="408">
        <v>0</v>
      </c>
      <c r="CP517" s="408">
        <v>0</v>
      </c>
      <c r="CQ517" s="408">
        <v>29</v>
      </c>
      <c r="CR517" s="408"/>
      <c r="CS517" s="408"/>
      <c r="CT517" s="408"/>
      <c r="CU517" s="408"/>
      <c r="CV517" s="408"/>
      <c r="CW517" s="408"/>
      <c r="CX517" s="408"/>
      <c r="CY517" s="408"/>
      <c r="CZ517" s="408"/>
      <c r="DA517" s="408"/>
      <c r="DB517" s="408"/>
      <c r="DC517" s="408"/>
      <c r="DD517" s="408"/>
      <c r="DE517" s="408"/>
      <c r="DF517" s="408"/>
      <c r="DG517" s="408"/>
      <c r="DH517" s="408"/>
      <c r="DI517" s="408"/>
      <c r="DJ517" s="408"/>
      <c r="DK517" s="408">
        <v>0</v>
      </c>
      <c r="DL517" s="408"/>
      <c r="DM517" s="408"/>
      <c r="DN517" s="408"/>
      <c r="DO517" s="408"/>
      <c r="DP517" s="408"/>
      <c r="DQ517" s="408"/>
      <c r="DR517" s="408"/>
      <c r="DS517" s="408"/>
      <c r="DT517" s="408"/>
      <c r="DU517" s="408"/>
      <c r="DV517" s="408"/>
      <c r="DW517" s="408"/>
      <c r="DX517" s="408"/>
      <c r="DY517" s="408"/>
      <c r="DZ517" s="408"/>
      <c r="EA517" s="408"/>
      <c r="EB517" s="408"/>
      <c r="EC517" s="408"/>
      <c r="ED517" s="408"/>
      <c r="EE517" s="408"/>
      <c r="EF517" s="408"/>
      <c r="EG517" s="408"/>
      <c r="EH517" s="408"/>
      <c r="EI517" s="408"/>
      <c r="EJ517" s="408"/>
      <c r="EK517" s="408"/>
      <c r="EL517" s="408"/>
      <c r="EM517" s="408"/>
      <c r="EN517" s="408"/>
      <c r="EO517" s="408"/>
      <c r="EP517" s="408"/>
      <c r="EQ517" s="408"/>
      <c r="ER517" s="408"/>
      <c r="ES517" s="408"/>
      <c r="ET517" s="408"/>
      <c r="EU517" s="408"/>
      <c r="EV517" s="408">
        <v>240</v>
      </c>
      <c r="EW517" s="408"/>
      <c r="EX517" s="408"/>
      <c r="EY517" s="408"/>
      <c r="EZ517" s="408"/>
      <c r="FA517" s="408">
        <v>0</v>
      </c>
      <c r="FB517" s="408"/>
      <c r="FC517" s="408"/>
      <c r="FD517" s="408"/>
      <c r="FE517" s="408"/>
      <c r="FF517" s="408">
        <v>0</v>
      </c>
      <c r="FG517" s="408">
        <v>0</v>
      </c>
      <c r="FH517" s="408">
        <v>0</v>
      </c>
      <c r="FI517" s="408">
        <v>0</v>
      </c>
    </row>
    <row r="518" spans="1:165">
      <c r="A518" s="408">
        <v>516</v>
      </c>
      <c r="B518" s="408" t="s">
        <v>1036</v>
      </c>
      <c r="C518" s="408" t="s">
        <v>2316</v>
      </c>
      <c r="D518" s="408" t="s">
        <v>1958</v>
      </c>
      <c r="E518" s="408" t="s">
        <v>998</v>
      </c>
      <c r="F518" s="408" t="s">
        <v>1322</v>
      </c>
      <c r="G518" s="408" t="s">
        <v>1322</v>
      </c>
      <c r="H518" s="408" t="s">
        <v>1322</v>
      </c>
      <c r="I518" s="408" t="s">
        <v>2317</v>
      </c>
      <c r="J518" s="408" t="s">
        <v>2236</v>
      </c>
      <c r="K518" s="826">
        <v>44593</v>
      </c>
      <c r="L518" s="408">
        <v>0</v>
      </c>
      <c r="M518" s="408">
        <v>0</v>
      </c>
      <c r="N518" s="408">
        <v>0.68300000000000005</v>
      </c>
      <c r="O518" s="408">
        <v>0.68300000000000005</v>
      </c>
      <c r="P518" s="408">
        <v>0.68300000000000005</v>
      </c>
      <c r="Q518" s="408">
        <v>0.68300000000000005</v>
      </c>
      <c r="R518" s="408"/>
      <c r="S518" s="408">
        <v>970.82</v>
      </c>
      <c r="T518" s="408">
        <v>173.25</v>
      </c>
      <c r="U518" s="408"/>
      <c r="V518" s="408">
        <v>781.39981000000012</v>
      </c>
      <c r="W518" s="408">
        <v>781.39981000000012</v>
      </c>
      <c r="X518" s="408">
        <v>750.70579000000009</v>
      </c>
      <c r="Y518" s="408">
        <v>0</v>
      </c>
      <c r="Z518" s="408">
        <v>42.035360125169987</v>
      </c>
      <c r="AA518" s="408">
        <v>0</v>
      </c>
      <c r="AB518" s="408">
        <v>0</v>
      </c>
      <c r="AC518" s="408">
        <v>44.442501031538818</v>
      </c>
      <c r="AD518" s="408">
        <v>3.0733471942828956</v>
      </c>
      <c r="AE518" s="408">
        <v>294.39543638391831</v>
      </c>
      <c r="AF518" s="408">
        <v>116.34254140976878</v>
      </c>
      <c r="AG518" s="408">
        <v>1.9856405013596741</v>
      </c>
      <c r="AH518" s="408">
        <v>0</v>
      </c>
      <c r="AI518" s="408">
        <v>0</v>
      </c>
      <c r="AJ518" s="408">
        <v>0</v>
      </c>
      <c r="AK518" s="408">
        <v>0</v>
      </c>
      <c r="AL518" s="408">
        <v>6.4946676794132552</v>
      </c>
      <c r="AM518" s="408"/>
      <c r="AN518" s="408">
        <v>0.82496613590973777</v>
      </c>
      <c r="AO518" s="408">
        <v>129.3140147423571</v>
      </c>
      <c r="AP518" s="408">
        <v>125.64717751863618</v>
      </c>
      <c r="AQ518" s="408">
        <v>0</v>
      </c>
      <c r="AR518" s="408">
        <v>0</v>
      </c>
      <c r="AS518" s="408">
        <v>0</v>
      </c>
      <c r="AT518" s="408">
        <v>0</v>
      </c>
      <c r="AU518" s="408">
        <v>0</v>
      </c>
      <c r="AV518" s="408">
        <v>0</v>
      </c>
      <c r="AW518" s="408">
        <v>0</v>
      </c>
      <c r="AX518" s="408">
        <v>0</v>
      </c>
      <c r="AY518" s="408">
        <v>0</v>
      </c>
      <c r="AZ518" s="408">
        <v>0</v>
      </c>
      <c r="BA518" s="408"/>
      <c r="BB518" s="408">
        <v>0</v>
      </c>
      <c r="BC518" s="408">
        <v>0</v>
      </c>
      <c r="BD518" s="408">
        <v>0</v>
      </c>
      <c r="BE518" s="408">
        <v>0</v>
      </c>
      <c r="BF518" s="408">
        <v>0</v>
      </c>
      <c r="BG518" s="408">
        <v>6.1058778164995751</v>
      </c>
      <c r="BH518" s="408">
        <v>0</v>
      </c>
      <c r="BI518" s="408">
        <v>0</v>
      </c>
      <c r="BJ518" s="408">
        <v>0</v>
      </c>
      <c r="BK518" s="408">
        <v>0</v>
      </c>
      <c r="BL518" s="408">
        <v>0</v>
      </c>
      <c r="BM518" s="408"/>
      <c r="BN518" s="408"/>
      <c r="BO518" s="408"/>
      <c r="BP518" s="408"/>
      <c r="BQ518" s="408"/>
      <c r="BR518" s="408"/>
      <c r="BS518" s="408"/>
      <c r="BT518" s="408"/>
      <c r="BU518" s="408"/>
      <c r="BV518" s="408">
        <v>122.44841922626836</v>
      </c>
      <c r="BW518" s="408"/>
      <c r="BX518" s="408"/>
      <c r="BY518" s="408"/>
      <c r="BZ518" s="408"/>
      <c r="CA518" s="408"/>
      <c r="CB518" s="408"/>
      <c r="CC518" s="408"/>
      <c r="CD518" s="408"/>
      <c r="CE518" s="408"/>
      <c r="CF518" s="408"/>
      <c r="CG518" s="408"/>
      <c r="CH518" s="408"/>
      <c r="CI518" s="408">
        <v>747.40840000000003</v>
      </c>
      <c r="CJ518" s="408">
        <v>-34.02141000000006</v>
      </c>
      <c r="CK518" s="408"/>
      <c r="CL518" s="408"/>
      <c r="CM518" s="408"/>
      <c r="CN518" s="408"/>
      <c r="CO518" s="408">
        <v>-45.439990000000066</v>
      </c>
      <c r="CP518" s="408">
        <v>14.745970000000003</v>
      </c>
      <c r="CQ518" s="408">
        <v>29</v>
      </c>
      <c r="CR518" s="408">
        <v>42.441965353804278</v>
      </c>
      <c r="CS518" s="408">
        <v>12.88586516778895</v>
      </c>
      <c r="CT518" s="408">
        <v>12.520472676098635</v>
      </c>
      <c r="CU518" s="408">
        <v>0</v>
      </c>
      <c r="CV518" s="408">
        <v>0</v>
      </c>
      <c r="CW518" s="408">
        <v>0</v>
      </c>
      <c r="CX518" s="408">
        <v>0</v>
      </c>
      <c r="CY518" s="408">
        <v>0</v>
      </c>
      <c r="CZ518" s="408">
        <v>3.1645292963319847</v>
      </c>
      <c r="DA518" s="408">
        <v>0</v>
      </c>
      <c r="DB518" s="408">
        <v>0</v>
      </c>
      <c r="DC518" s="408">
        <v>14.744305094713781</v>
      </c>
      <c r="DD518" s="408">
        <v>0</v>
      </c>
      <c r="DE518" s="408">
        <v>0</v>
      </c>
      <c r="DF518" s="408">
        <v>0</v>
      </c>
      <c r="DG518" s="408">
        <v>0.77380916994441584</v>
      </c>
      <c r="DH518" s="408">
        <v>0</v>
      </c>
      <c r="DI518" s="408">
        <v>-1.4273878128245059</v>
      </c>
      <c r="DJ518" s="408"/>
      <c r="DK518" s="408">
        <v>0</v>
      </c>
      <c r="DL518" s="408">
        <v>0</v>
      </c>
      <c r="DM518" s="408">
        <v>0</v>
      </c>
      <c r="DN518" s="408">
        <v>0</v>
      </c>
      <c r="DO518" s="408">
        <v>-0.19628876666742379</v>
      </c>
      <c r="DP518" s="408">
        <v>-2.3339471581597881E-2</v>
      </c>
      <c r="DQ518" s="408">
        <v>0</v>
      </c>
      <c r="DR518" s="408">
        <v>0</v>
      </c>
      <c r="DS518" s="408"/>
      <c r="DT518" s="408"/>
      <c r="DU518" s="408"/>
      <c r="DV518" s="408">
        <v>294.39543638391831</v>
      </c>
      <c r="DW518" s="408">
        <v>0</v>
      </c>
      <c r="DX518" s="408">
        <v>0</v>
      </c>
      <c r="DY518" s="408">
        <v>-45.43999000000008</v>
      </c>
      <c r="DZ518" s="408">
        <v>14.745970000000014</v>
      </c>
      <c r="EA518" s="408">
        <v>0</v>
      </c>
      <c r="EB518" s="408">
        <v>0</v>
      </c>
      <c r="EC518" s="408">
        <v>-73.132820099821942</v>
      </c>
      <c r="ED518" s="408">
        <v>0</v>
      </c>
      <c r="EE518" s="408">
        <v>0</v>
      </c>
      <c r="EF518" s="408">
        <v>0</v>
      </c>
      <c r="EG518" s="408">
        <v>0</v>
      </c>
      <c r="EH518" s="408">
        <v>0</v>
      </c>
      <c r="EI518" s="408">
        <v>0</v>
      </c>
      <c r="EJ518" s="408">
        <v>0</v>
      </c>
      <c r="EK518" s="408">
        <v>0</v>
      </c>
      <c r="EL518" s="408">
        <v>0</v>
      </c>
      <c r="EM518" s="408">
        <v>0</v>
      </c>
      <c r="EN518" s="408">
        <v>0</v>
      </c>
      <c r="EO518" s="408">
        <v>0</v>
      </c>
      <c r="EP518" s="408">
        <v>10.735081272282503</v>
      </c>
      <c r="EQ518" s="408">
        <v>0</v>
      </c>
      <c r="ER518" s="408">
        <v>0</v>
      </c>
      <c r="ES518" s="408">
        <v>0</v>
      </c>
      <c r="ET518" s="408">
        <v>0</v>
      </c>
      <c r="EU518" s="408">
        <v>0</v>
      </c>
      <c r="EV518" s="408">
        <v>240</v>
      </c>
      <c r="EW518" s="408">
        <v>0</v>
      </c>
      <c r="EX518" s="408">
        <v>0</v>
      </c>
      <c r="EY518" s="408">
        <v>0</v>
      </c>
      <c r="EZ518" s="408"/>
      <c r="FA518" s="408">
        <v>0</v>
      </c>
      <c r="FB518" s="408"/>
      <c r="FC518" s="408"/>
      <c r="FD518" s="408"/>
      <c r="FE518" s="408"/>
      <c r="FF518" s="408">
        <v>0</v>
      </c>
      <c r="FG518" s="408">
        <v>0</v>
      </c>
      <c r="FH518" s="408">
        <v>0</v>
      </c>
      <c r="FI518" s="408">
        <v>0</v>
      </c>
    </row>
    <row r="519" spans="1:165">
      <c r="A519" s="408">
        <v>517</v>
      </c>
      <c r="B519" s="408" t="s">
        <v>1036</v>
      </c>
      <c r="C519" s="408" t="s">
        <v>2235</v>
      </c>
      <c r="D519" s="408" t="s">
        <v>2245</v>
      </c>
      <c r="E519" s="408" t="s">
        <v>974</v>
      </c>
      <c r="F519" s="408" t="s">
        <v>1322</v>
      </c>
      <c r="G519" s="408" t="s">
        <v>1322</v>
      </c>
      <c r="H519" s="408" t="s">
        <v>1322</v>
      </c>
      <c r="I519" s="408" t="s">
        <v>1322</v>
      </c>
      <c r="J519" s="408" t="s">
        <v>2236</v>
      </c>
      <c r="K519" s="826">
        <v>44593</v>
      </c>
      <c r="L519" s="408">
        <v>0</v>
      </c>
      <c r="M519" s="408">
        <v>0</v>
      </c>
      <c r="N519" s="408">
        <v>8674.7270000000008</v>
      </c>
      <c r="O519" s="408">
        <v>8674.7270000000008</v>
      </c>
      <c r="P519" s="408">
        <v>8674.7270000000008</v>
      </c>
      <c r="Q519" s="408">
        <v>8674.7270000000008</v>
      </c>
      <c r="R519" s="408"/>
      <c r="S519" s="408">
        <v>368.24</v>
      </c>
      <c r="T519" s="408">
        <v>173.25</v>
      </c>
      <c r="U519" s="408"/>
      <c r="V519" s="408">
        <v>4697277.9232299998</v>
      </c>
      <c r="W519" s="408">
        <v>4697277.9232299998</v>
      </c>
      <c r="X519" s="408">
        <v>4414481.8230300006</v>
      </c>
      <c r="Y519" s="408">
        <v>0</v>
      </c>
      <c r="Z519" s="408">
        <v>533887.66241952486</v>
      </c>
      <c r="AA519" s="408">
        <v>0</v>
      </c>
      <c r="AB519" s="408">
        <v>0</v>
      </c>
      <c r="AC519" s="408">
        <v>22203.287886640501</v>
      </c>
      <c r="AD519" s="408">
        <v>21332.380837255689</v>
      </c>
      <c r="AE519" s="408">
        <v>2043220.0911306222</v>
      </c>
      <c r="AF519" s="408">
        <v>1477657.0793791206</v>
      </c>
      <c r="AG519" s="408">
        <v>25219.457202691508</v>
      </c>
      <c r="AH519" s="408">
        <v>0</v>
      </c>
      <c r="AI519" s="408">
        <v>0</v>
      </c>
      <c r="AJ519" s="408">
        <v>0</v>
      </c>
      <c r="AK519" s="408">
        <v>0</v>
      </c>
      <c r="AL519" s="408">
        <v>82488.241690532232</v>
      </c>
      <c r="AM519" s="408"/>
      <c r="AN519" s="408">
        <v>10477.827252213576</v>
      </c>
      <c r="AO519" s="408">
        <v>47133.22305970898</v>
      </c>
      <c r="AP519" s="408">
        <v>219775.26570612844</v>
      </c>
      <c r="AQ519" s="408">
        <v>0</v>
      </c>
      <c r="AR519" s="408">
        <v>0</v>
      </c>
      <c r="AS519" s="408">
        <v>0</v>
      </c>
      <c r="AT519" s="408">
        <v>0</v>
      </c>
      <c r="AU519" s="408">
        <v>0</v>
      </c>
      <c r="AV519" s="408">
        <v>0</v>
      </c>
      <c r="AW519" s="408">
        <v>0</v>
      </c>
      <c r="AX519" s="408">
        <v>0</v>
      </c>
      <c r="AY519" s="408">
        <v>0</v>
      </c>
      <c r="AZ519" s="408">
        <v>0</v>
      </c>
      <c r="BA519" s="408"/>
      <c r="BB519" s="408">
        <v>0</v>
      </c>
      <c r="BC519" s="408">
        <v>0</v>
      </c>
      <c r="BD519" s="408">
        <v>0</v>
      </c>
      <c r="BE519" s="408">
        <v>0</v>
      </c>
      <c r="BF519" s="408">
        <v>0</v>
      </c>
      <c r="BG519" s="408">
        <v>77550.253519018908</v>
      </c>
      <c r="BH519" s="408">
        <v>0</v>
      </c>
      <c r="BI519" s="408">
        <v>3531.77</v>
      </c>
      <c r="BJ519" s="408">
        <v>30894.15</v>
      </c>
      <c r="BK519" s="408">
        <v>194810.41</v>
      </c>
      <c r="BL519" s="408">
        <v>15720</v>
      </c>
      <c r="BM519" s="408"/>
      <c r="BN519" s="408"/>
      <c r="BO519" s="408"/>
      <c r="BP519" s="408"/>
      <c r="BQ519" s="408"/>
      <c r="BR519" s="408">
        <v>529678.83062000014</v>
      </c>
      <c r="BS519" s="408"/>
      <c r="BT519" s="408"/>
      <c r="BU519" s="408"/>
      <c r="BV519" s="408">
        <v>1555207.3328981395</v>
      </c>
      <c r="BW519" s="408"/>
      <c r="BX519" s="408"/>
      <c r="BY519" s="408"/>
      <c r="BZ519" s="408"/>
      <c r="CA519" s="408"/>
      <c r="CB519" s="408"/>
      <c r="CC519" s="408"/>
      <c r="CD519" s="408"/>
      <c r="CE519" s="408"/>
      <c r="CF519" s="408"/>
      <c r="CG519" s="408"/>
      <c r="CH519" s="408"/>
      <c r="CI519" s="408">
        <v>3884804.3358999994</v>
      </c>
      <c r="CJ519" s="408">
        <v>-248789.85687000025</v>
      </c>
      <c r="CK519" s="408"/>
      <c r="CL519" s="408"/>
      <c r="CM519" s="408"/>
      <c r="CN519" s="408"/>
      <c r="CO519" s="408">
        <v>-470083.45613000001</v>
      </c>
      <c r="CP519" s="408">
        <v>187287.35593000005</v>
      </c>
      <c r="CQ519" s="408">
        <v>29</v>
      </c>
      <c r="CR519" s="408">
        <v>224737.82556080585</v>
      </c>
      <c r="CS519" s="408">
        <v>4696.7249333399668</v>
      </c>
      <c r="CT519" s="408">
        <v>21900.135470595065</v>
      </c>
      <c r="CU519" s="408">
        <v>0</v>
      </c>
      <c r="CV519" s="408">
        <v>0</v>
      </c>
      <c r="CW519" s="408">
        <v>0</v>
      </c>
      <c r="CX519" s="408">
        <v>0</v>
      </c>
      <c r="CY519" s="408">
        <v>0</v>
      </c>
      <c r="CZ519" s="408">
        <v>21965.284054331532</v>
      </c>
      <c r="DA519" s="408">
        <v>0</v>
      </c>
      <c r="DB519" s="408">
        <v>0</v>
      </c>
      <c r="DC519" s="408">
        <v>187266.21010446711</v>
      </c>
      <c r="DD519" s="408">
        <v>0</v>
      </c>
      <c r="DE519" s="408">
        <v>0</v>
      </c>
      <c r="DF519" s="408">
        <v>0</v>
      </c>
      <c r="DG519" s="408">
        <v>9828.0868219098193</v>
      </c>
      <c r="DH519" s="408">
        <v>0</v>
      </c>
      <c r="DI519" s="408">
        <v>-18129.135577422683</v>
      </c>
      <c r="DJ519" s="408"/>
      <c r="DK519" s="408">
        <v>0</v>
      </c>
      <c r="DL519" s="408">
        <v>0</v>
      </c>
      <c r="DM519" s="408">
        <v>0</v>
      </c>
      <c r="DN519" s="408">
        <v>0</v>
      </c>
      <c r="DO519" s="408">
        <v>-2493.0475314884388</v>
      </c>
      <c r="DP519" s="408">
        <v>-296.43271492623717</v>
      </c>
      <c r="DQ519" s="408">
        <v>0</v>
      </c>
      <c r="DR519" s="408">
        <v>0</v>
      </c>
      <c r="DS519" s="408"/>
      <c r="DT519" s="408"/>
      <c r="DU519" s="408"/>
      <c r="DV519" s="408">
        <v>2043220.0911306222</v>
      </c>
      <c r="DW519" s="408">
        <v>0</v>
      </c>
      <c r="DX519" s="408">
        <v>0</v>
      </c>
      <c r="DY519" s="408">
        <v>-470083.45612999983</v>
      </c>
      <c r="DZ519" s="408">
        <v>187287.35593000008</v>
      </c>
      <c r="EA519" s="408">
        <v>0</v>
      </c>
      <c r="EB519" s="408">
        <v>0</v>
      </c>
      <c r="EC519" s="408">
        <v>-507570.52889275504</v>
      </c>
      <c r="ED519" s="408">
        <v>0</v>
      </c>
      <c r="EE519" s="408">
        <v>0</v>
      </c>
      <c r="EF519" s="408">
        <v>0</v>
      </c>
      <c r="EG519" s="408">
        <v>0</v>
      </c>
      <c r="EH519" s="408">
        <v>0</v>
      </c>
      <c r="EI519" s="408">
        <v>0</v>
      </c>
      <c r="EJ519" s="408">
        <v>0</v>
      </c>
      <c r="EK519" s="408">
        <v>0</v>
      </c>
      <c r="EL519" s="408">
        <v>0</v>
      </c>
      <c r="EM519" s="408">
        <v>0</v>
      </c>
      <c r="EN519" s="408">
        <v>0</v>
      </c>
      <c r="EO519" s="408">
        <v>0</v>
      </c>
      <c r="EP519" s="408">
        <v>136345.387056901</v>
      </c>
      <c r="EQ519" s="408">
        <v>0</v>
      </c>
      <c r="ER519" s="408">
        <v>0</v>
      </c>
      <c r="ES519" s="408">
        <v>0</v>
      </c>
      <c r="ET519" s="408">
        <v>0</v>
      </c>
      <c r="EU519" s="408">
        <v>0</v>
      </c>
      <c r="EV519" s="408">
        <v>240</v>
      </c>
      <c r="EW519" s="408">
        <v>0</v>
      </c>
      <c r="EX519" s="408">
        <v>0</v>
      </c>
      <c r="EY519" s="408">
        <v>0</v>
      </c>
      <c r="EZ519" s="408"/>
      <c r="FA519" s="408">
        <v>0</v>
      </c>
      <c r="FB519" s="408"/>
      <c r="FC519" s="408"/>
      <c r="FD519" s="408"/>
      <c r="FE519" s="408"/>
      <c r="FF519" s="408">
        <v>0</v>
      </c>
      <c r="FG519" s="408">
        <v>0</v>
      </c>
      <c r="FH519" s="408">
        <v>0</v>
      </c>
      <c r="FI519" s="408">
        <v>0</v>
      </c>
    </row>
    <row r="520" spans="1:165">
      <c r="A520" s="408">
        <v>518</v>
      </c>
      <c r="B520" s="408" t="s">
        <v>2237</v>
      </c>
      <c r="C520" s="408" t="s">
        <v>2235</v>
      </c>
      <c r="D520" s="408" t="s">
        <v>2245</v>
      </c>
      <c r="E520" s="408" t="s">
        <v>974</v>
      </c>
      <c r="F520" s="408" t="s">
        <v>1322</v>
      </c>
      <c r="G520" s="408" t="s">
        <v>1322</v>
      </c>
      <c r="H520" s="408" t="s">
        <v>1322</v>
      </c>
      <c r="I520" s="408" t="s">
        <v>1322</v>
      </c>
      <c r="J520" s="408" t="s">
        <v>2236</v>
      </c>
      <c r="K520" s="826">
        <v>44593</v>
      </c>
      <c r="L520" s="408">
        <v>0</v>
      </c>
      <c r="M520" s="408">
        <v>0</v>
      </c>
      <c r="N520" s="408">
        <v>4.0599999999999996</v>
      </c>
      <c r="O520" s="408">
        <v>4.0599999999999996</v>
      </c>
      <c r="P520" s="408">
        <v>4.0599999999999996</v>
      </c>
      <c r="Q520" s="408">
        <v>4.0599999999999996</v>
      </c>
      <c r="R520" s="408"/>
      <c r="S520" s="408">
        <v>368.24</v>
      </c>
      <c r="T520" s="408">
        <v>173.25</v>
      </c>
      <c r="U520" s="408"/>
      <c r="V520" s="408">
        <v>2198.4494</v>
      </c>
      <c r="W520" s="408">
        <v>2198.4494</v>
      </c>
      <c r="X520" s="408">
        <v>2066.0933999999997</v>
      </c>
      <c r="Y520" s="408">
        <v>0</v>
      </c>
      <c r="Z520" s="408">
        <v>249.8734437894438</v>
      </c>
      <c r="AA520" s="408">
        <v>0</v>
      </c>
      <c r="AB520" s="408">
        <v>0</v>
      </c>
      <c r="AC520" s="408">
        <v>10.391721701416127</v>
      </c>
      <c r="AD520" s="408">
        <v>9.9841143357316113</v>
      </c>
      <c r="AE520" s="408">
        <v>956.28064952249508</v>
      </c>
      <c r="AF520" s="408">
        <v>691.58231057637067</v>
      </c>
      <c r="AG520" s="408">
        <v>11.803368133997475</v>
      </c>
      <c r="AH520" s="408">
        <v>0</v>
      </c>
      <c r="AI520" s="408">
        <v>0</v>
      </c>
      <c r="AJ520" s="408">
        <v>0</v>
      </c>
      <c r="AK520" s="408">
        <v>0</v>
      </c>
      <c r="AL520" s="408">
        <v>38.606662925941158</v>
      </c>
      <c r="AM520" s="408"/>
      <c r="AN520" s="408">
        <v>4.9038982603126424</v>
      </c>
      <c r="AO520" s="408">
        <v>22.059585923847337</v>
      </c>
      <c r="AP520" s="408">
        <v>102.86059477916496</v>
      </c>
      <c r="AQ520" s="408">
        <v>0</v>
      </c>
      <c r="AR520" s="408">
        <v>0</v>
      </c>
      <c r="AS520" s="408">
        <v>0</v>
      </c>
      <c r="AT520" s="408">
        <v>0</v>
      </c>
      <c r="AU520" s="408">
        <v>0</v>
      </c>
      <c r="AV520" s="408">
        <v>0</v>
      </c>
      <c r="AW520" s="408">
        <v>0</v>
      </c>
      <c r="AX520" s="408">
        <v>0</v>
      </c>
      <c r="AY520" s="408">
        <v>0</v>
      </c>
      <c r="AZ520" s="408">
        <v>0</v>
      </c>
      <c r="BA520" s="408"/>
      <c r="BB520" s="408">
        <v>0</v>
      </c>
      <c r="BC520" s="408">
        <v>0</v>
      </c>
      <c r="BD520" s="408">
        <v>0</v>
      </c>
      <c r="BE520" s="408">
        <v>0</v>
      </c>
      <c r="BF520" s="408">
        <v>0</v>
      </c>
      <c r="BG520" s="408">
        <v>36.295554809646077</v>
      </c>
      <c r="BH520" s="408">
        <v>0</v>
      </c>
      <c r="BI520" s="408">
        <v>1.68</v>
      </c>
      <c r="BJ520" s="408">
        <v>14.47</v>
      </c>
      <c r="BK520" s="408">
        <v>8.93</v>
      </c>
      <c r="BL520" s="408">
        <v>0</v>
      </c>
      <c r="BM520" s="408"/>
      <c r="BN520" s="408"/>
      <c r="BO520" s="408"/>
      <c r="BP520" s="408"/>
      <c r="BQ520" s="408"/>
      <c r="BR520" s="408">
        <v>247.90359999999998</v>
      </c>
      <c r="BS520" s="408"/>
      <c r="BT520" s="408"/>
      <c r="BU520" s="408"/>
      <c r="BV520" s="408">
        <v>727.87786538601677</v>
      </c>
      <c r="BW520" s="408"/>
      <c r="BX520" s="408"/>
      <c r="BY520" s="408"/>
      <c r="BZ520" s="408"/>
      <c r="CA520" s="408"/>
      <c r="CB520" s="408"/>
      <c r="CC520" s="408"/>
      <c r="CD520" s="408"/>
      <c r="CE520" s="408"/>
      <c r="CF520" s="408"/>
      <c r="CG520" s="408"/>
      <c r="CH520" s="408"/>
      <c r="CI520" s="408">
        <v>1818.1897999999997</v>
      </c>
      <c r="CJ520" s="408">
        <v>-116.47080000000028</v>
      </c>
      <c r="CK520" s="408"/>
      <c r="CL520" s="408"/>
      <c r="CM520" s="408"/>
      <c r="CN520" s="408"/>
      <c r="CO520" s="408">
        <v>-220.01139999999998</v>
      </c>
      <c r="CP520" s="408">
        <v>87.6554</v>
      </c>
      <c r="CQ520" s="408">
        <v>29</v>
      </c>
      <c r="CR520" s="408">
        <v>105.18320308833609</v>
      </c>
      <c r="CS520" s="408">
        <v>2.1981905862121351</v>
      </c>
      <c r="CT520" s="408">
        <v>10.249838411124173</v>
      </c>
      <c r="CU520" s="408">
        <v>0</v>
      </c>
      <c r="CV520" s="408">
        <v>0</v>
      </c>
      <c r="CW520" s="408">
        <v>0</v>
      </c>
      <c r="CX520" s="408">
        <v>0</v>
      </c>
      <c r="CY520" s="408">
        <v>0</v>
      </c>
      <c r="CZ520" s="408">
        <v>10.280329658856814</v>
      </c>
      <c r="DA520" s="408">
        <v>0</v>
      </c>
      <c r="DB520" s="408">
        <v>0</v>
      </c>
      <c r="DC520" s="408">
        <v>87.645503198444999</v>
      </c>
      <c r="DD520" s="408">
        <v>0</v>
      </c>
      <c r="DE520" s="408">
        <v>0</v>
      </c>
      <c r="DF520" s="408">
        <v>0</v>
      </c>
      <c r="DG520" s="408">
        <v>4.599802679318195</v>
      </c>
      <c r="DH520" s="408">
        <v>0</v>
      </c>
      <c r="DI520" s="408">
        <v>-8.4849114495863489</v>
      </c>
      <c r="DJ520" s="408"/>
      <c r="DK520" s="408">
        <v>0</v>
      </c>
      <c r="DL520" s="408">
        <v>0</v>
      </c>
      <c r="DM520" s="408">
        <v>0</v>
      </c>
      <c r="DN520" s="408">
        <v>0</v>
      </c>
      <c r="DO520" s="408">
        <v>-1.1668117022982969</v>
      </c>
      <c r="DP520" s="408">
        <v>-0.13873829373541291</v>
      </c>
      <c r="DQ520" s="408">
        <v>0</v>
      </c>
      <c r="DR520" s="408">
        <v>0</v>
      </c>
      <c r="DS520" s="408"/>
      <c r="DT520" s="408"/>
      <c r="DU520" s="408"/>
      <c r="DV520" s="408">
        <v>956.28064952249508</v>
      </c>
      <c r="DW520" s="408">
        <v>0</v>
      </c>
      <c r="DX520" s="408">
        <v>0</v>
      </c>
      <c r="DY520" s="408">
        <v>-220.01140000000009</v>
      </c>
      <c r="DZ520" s="408">
        <v>87.655399999999986</v>
      </c>
      <c r="EA520" s="408">
        <v>0</v>
      </c>
      <c r="EB520" s="408">
        <v>0</v>
      </c>
      <c r="EC520" s="408">
        <v>-237.55633431514161</v>
      </c>
      <c r="ED520" s="408">
        <v>0</v>
      </c>
      <c r="EE520" s="408">
        <v>0</v>
      </c>
      <c r="EF520" s="408">
        <v>0</v>
      </c>
      <c r="EG520" s="408">
        <v>0</v>
      </c>
      <c r="EH520" s="408">
        <v>0</v>
      </c>
      <c r="EI520" s="408">
        <v>0</v>
      </c>
      <c r="EJ520" s="408">
        <v>0</v>
      </c>
      <c r="EK520" s="408">
        <v>0</v>
      </c>
      <c r="EL520" s="408">
        <v>0</v>
      </c>
      <c r="EM520" s="408">
        <v>0</v>
      </c>
      <c r="EN520" s="408">
        <v>0</v>
      </c>
      <c r="EO520" s="408">
        <v>0</v>
      </c>
      <c r="EP520" s="408">
        <v>63.813221032894518</v>
      </c>
      <c r="EQ520" s="408">
        <v>0</v>
      </c>
      <c r="ER520" s="408">
        <v>0</v>
      </c>
      <c r="ES520" s="408">
        <v>0</v>
      </c>
      <c r="ET520" s="408">
        <v>0</v>
      </c>
      <c r="EU520" s="408">
        <v>0</v>
      </c>
      <c r="EV520" s="408">
        <v>240</v>
      </c>
      <c r="EW520" s="408">
        <v>0</v>
      </c>
      <c r="EX520" s="408">
        <v>0</v>
      </c>
      <c r="EY520" s="408">
        <v>0</v>
      </c>
      <c r="EZ520" s="408"/>
      <c r="FA520" s="408">
        <v>0</v>
      </c>
      <c r="FB520" s="408"/>
      <c r="FC520" s="408"/>
      <c r="FD520" s="408"/>
      <c r="FE520" s="408"/>
      <c r="FF520" s="408">
        <v>0</v>
      </c>
      <c r="FG520" s="408">
        <v>0</v>
      </c>
      <c r="FH520" s="408">
        <v>0</v>
      </c>
      <c r="FI520" s="408">
        <v>0</v>
      </c>
    </row>
    <row r="521" spans="1:165">
      <c r="A521" s="408">
        <v>519</v>
      </c>
      <c r="B521" s="408" t="s">
        <v>2238</v>
      </c>
      <c r="C521" s="408" t="s">
        <v>2235</v>
      </c>
      <c r="D521" s="408" t="s">
        <v>2245</v>
      </c>
      <c r="E521" s="408" t="s">
        <v>974</v>
      </c>
      <c r="F521" s="408" t="s">
        <v>1322</v>
      </c>
      <c r="G521" s="408" t="s">
        <v>1322</v>
      </c>
      <c r="H521" s="408" t="s">
        <v>1322</v>
      </c>
      <c r="I521" s="408" t="s">
        <v>1322</v>
      </c>
      <c r="J521" s="408" t="s">
        <v>2236</v>
      </c>
      <c r="K521" s="826">
        <v>44593</v>
      </c>
      <c r="L521" s="408">
        <v>0</v>
      </c>
      <c r="M521" s="408">
        <v>0</v>
      </c>
      <c r="N521" s="408">
        <v>275.01100000000002</v>
      </c>
      <c r="O521" s="408">
        <v>275.01100000000002</v>
      </c>
      <c r="P521" s="408">
        <v>275.01100000000002</v>
      </c>
      <c r="Q521" s="408">
        <v>275.01100000000002</v>
      </c>
      <c r="R521" s="408"/>
      <c r="S521" s="408">
        <v>368.24</v>
      </c>
      <c r="T521" s="408">
        <v>173.25</v>
      </c>
      <c r="U521" s="408"/>
      <c r="V521" s="408">
        <v>148915.70639000001</v>
      </c>
      <c r="W521" s="408">
        <v>148915.70639000001</v>
      </c>
      <c r="X521" s="408">
        <v>139950.34779000003</v>
      </c>
      <c r="Y521" s="408">
        <v>0</v>
      </c>
      <c r="Z521" s="408">
        <v>16925.602376842053</v>
      </c>
      <c r="AA521" s="408">
        <v>0</v>
      </c>
      <c r="AB521" s="408">
        <v>0</v>
      </c>
      <c r="AC521" s="408">
        <v>703.90093025323927</v>
      </c>
      <c r="AD521" s="408">
        <v>676.2909526068687</v>
      </c>
      <c r="AE521" s="408">
        <v>64775.295001436192</v>
      </c>
      <c r="AF521" s="408">
        <v>46845.503156137514</v>
      </c>
      <c r="AG521" s="408">
        <v>799.52120046767982</v>
      </c>
      <c r="AH521" s="408">
        <v>0</v>
      </c>
      <c r="AI521" s="408">
        <v>0</v>
      </c>
      <c r="AJ521" s="408">
        <v>0</v>
      </c>
      <c r="AK521" s="408">
        <v>0</v>
      </c>
      <c r="AL521" s="408">
        <v>2615.0879255975387</v>
      </c>
      <c r="AM521" s="408"/>
      <c r="AN521" s="408">
        <v>332.17388287360598</v>
      </c>
      <c r="AO521" s="408">
        <v>1494.2435429810789</v>
      </c>
      <c r="AP521" s="408">
        <v>6967.4371997076205</v>
      </c>
      <c r="AQ521" s="408">
        <v>0</v>
      </c>
      <c r="AR521" s="408">
        <v>0</v>
      </c>
      <c r="AS521" s="408">
        <v>0</v>
      </c>
      <c r="AT521" s="408">
        <v>0</v>
      </c>
      <c r="AU521" s="408">
        <v>0</v>
      </c>
      <c r="AV521" s="408">
        <v>0</v>
      </c>
      <c r="AW521" s="408">
        <v>0</v>
      </c>
      <c r="AX521" s="408">
        <v>0</v>
      </c>
      <c r="AY521" s="408">
        <v>0</v>
      </c>
      <c r="AZ521" s="408">
        <v>0</v>
      </c>
      <c r="BA521" s="408"/>
      <c r="BB521" s="408">
        <v>0</v>
      </c>
      <c r="BC521" s="408">
        <v>0</v>
      </c>
      <c r="BD521" s="408">
        <v>0</v>
      </c>
      <c r="BE521" s="408">
        <v>0</v>
      </c>
      <c r="BF521" s="408">
        <v>0</v>
      </c>
      <c r="BG521" s="408">
        <v>2458.5410895949703</v>
      </c>
      <c r="BH521" s="408">
        <v>0</v>
      </c>
      <c r="BI521" s="408">
        <v>115.51</v>
      </c>
      <c r="BJ521" s="408">
        <v>996.32</v>
      </c>
      <c r="BK521" s="408">
        <v>5957.03</v>
      </c>
      <c r="BL521" s="408">
        <v>328</v>
      </c>
      <c r="BM521" s="408"/>
      <c r="BN521" s="408"/>
      <c r="BO521" s="408"/>
      <c r="BP521" s="408"/>
      <c r="BQ521" s="408"/>
      <c r="BR521" s="408">
        <v>16792.171660000004</v>
      </c>
      <c r="BS521" s="408"/>
      <c r="BT521" s="408"/>
      <c r="BU521" s="408"/>
      <c r="BV521" s="408">
        <v>49304.044245732483</v>
      </c>
      <c r="BW521" s="408"/>
      <c r="BX521" s="408"/>
      <c r="BY521" s="408"/>
      <c r="BZ521" s="408"/>
      <c r="CA521" s="408"/>
      <c r="CB521" s="408"/>
      <c r="CC521" s="408"/>
      <c r="CD521" s="408"/>
      <c r="CE521" s="408"/>
      <c r="CF521" s="408"/>
      <c r="CG521" s="408"/>
      <c r="CH521" s="408"/>
      <c r="CI521" s="408">
        <v>123157.72829999999</v>
      </c>
      <c r="CJ521" s="408">
        <v>-7887.7933100000228</v>
      </c>
      <c r="CK521" s="408"/>
      <c r="CL521" s="408"/>
      <c r="CM521" s="408"/>
      <c r="CN521" s="408"/>
      <c r="CO521" s="408">
        <v>-14902.846090000001</v>
      </c>
      <c r="CP521" s="408">
        <v>5937.4874900000013</v>
      </c>
      <c r="CQ521" s="408">
        <v>29</v>
      </c>
      <c r="CR521" s="408">
        <v>7124.7630208193004</v>
      </c>
      <c r="CS521" s="408">
        <v>148.89817519822327</v>
      </c>
      <c r="CT521" s="408">
        <v>694.29022445361352</v>
      </c>
      <c r="CU521" s="408">
        <v>0</v>
      </c>
      <c r="CV521" s="408">
        <v>0</v>
      </c>
      <c r="CW521" s="408">
        <v>0</v>
      </c>
      <c r="CX521" s="408">
        <v>0</v>
      </c>
      <c r="CY521" s="408">
        <v>0</v>
      </c>
      <c r="CZ521" s="408">
        <v>696.35560093888478</v>
      </c>
      <c r="DA521" s="408">
        <v>0</v>
      </c>
      <c r="DB521" s="408">
        <v>0</v>
      </c>
      <c r="DC521" s="408">
        <v>5936.8171133269789</v>
      </c>
      <c r="DD521" s="408">
        <v>0</v>
      </c>
      <c r="DE521" s="408">
        <v>0</v>
      </c>
      <c r="DF521" s="408">
        <v>0</v>
      </c>
      <c r="DG521" s="408">
        <v>311.57545188226004</v>
      </c>
      <c r="DH521" s="408">
        <v>0</v>
      </c>
      <c r="DI521" s="408">
        <v>-574.73989720743521</v>
      </c>
      <c r="DJ521" s="408"/>
      <c r="DK521" s="408">
        <v>0</v>
      </c>
      <c r="DL521" s="408">
        <v>0</v>
      </c>
      <c r="DM521" s="408">
        <v>0</v>
      </c>
      <c r="DN521" s="408">
        <v>0</v>
      </c>
      <c r="DO521" s="408">
        <v>-79.035973660285435</v>
      </c>
      <c r="DP521" s="408">
        <v>-9.3976741129235393</v>
      </c>
      <c r="DQ521" s="408">
        <v>0</v>
      </c>
      <c r="DR521" s="408">
        <v>0</v>
      </c>
      <c r="DS521" s="408"/>
      <c r="DT521" s="408"/>
      <c r="DU521" s="408"/>
      <c r="DV521" s="408">
        <v>64775.295001436192</v>
      </c>
      <c r="DW521" s="408">
        <v>0</v>
      </c>
      <c r="DX521" s="408">
        <v>0</v>
      </c>
      <c r="DY521" s="408">
        <v>-14902.846090000006</v>
      </c>
      <c r="DZ521" s="408">
        <v>5937.4874899999995</v>
      </c>
      <c r="EA521" s="408">
        <v>0</v>
      </c>
      <c r="EB521" s="408">
        <v>0</v>
      </c>
      <c r="EC521" s="408">
        <v>-16091.282033581636</v>
      </c>
      <c r="ED521" s="408">
        <v>0</v>
      </c>
      <c r="EE521" s="408">
        <v>0</v>
      </c>
      <c r="EF521" s="408">
        <v>0</v>
      </c>
      <c r="EG521" s="408">
        <v>0</v>
      </c>
      <c r="EH521" s="408">
        <v>0</v>
      </c>
      <c r="EI521" s="408">
        <v>0</v>
      </c>
      <c r="EJ521" s="408">
        <v>0</v>
      </c>
      <c r="EK521" s="408">
        <v>0</v>
      </c>
      <c r="EL521" s="408">
        <v>0</v>
      </c>
      <c r="EM521" s="408">
        <v>0</v>
      </c>
      <c r="EN521" s="408">
        <v>0</v>
      </c>
      <c r="EO521" s="408">
        <v>0</v>
      </c>
      <c r="EP521" s="408">
        <v>4322.4969777037822</v>
      </c>
      <c r="EQ521" s="408">
        <v>0</v>
      </c>
      <c r="ER521" s="408">
        <v>0</v>
      </c>
      <c r="ES521" s="408">
        <v>0</v>
      </c>
      <c r="ET521" s="408">
        <v>0</v>
      </c>
      <c r="EU521" s="408">
        <v>0</v>
      </c>
      <c r="EV521" s="408">
        <v>240</v>
      </c>
      <c r="EW521" s="408">
        <v>0</v>
      </c>
      <c r="EX521" s="408">
        <v>0</v>
      </c>
      <c r="EY521" s="408">
        <v>0</v>
      </c>
      <c r="EZ521" s="408"/>
      <c r="FA521" s="408">
        <v>0</v>
      </c>
      <c r="FB521" s="408"/>
      <c r="FC521" s="408"/>
      <c r="FD521" s="408"/>
      <c r="FE521" s="408"/>
      <c r="FF521" s="408">
        <v>0</v>
      </c>
      <c r="FG521" s="408">
        <v>0</v>
      </c>
      <c r="FH521" s="408">
        <v>0</v>
      </c>
      <c r="FI521" s="408">
        <v>0</v>
      </c>
    </row>
    <row r="522" spans="1:165">
      <c r="A522" s="408">
        <v>520</v>
      </c>
      <c r="B522" s="408" t="s">
        <v>1036</v>
      </c>
      <c r="C522" s="408" t="s">
        <v>2243</v>
      </c>
      <c r="D522" s="408" t="s">
        <v>597</v>
      </c>
      <c r="E522" s="408" t="s">
        <v>974</v>
      </c>
      <c r="F522" s="408" t="s">
        <v>1322</v>
      </c>
      <c r="G522" s="408" t="s">
        <v>1322</v>
      </c>
      <c r="H522" s="408" t="s">
        <v>1322</v>
      </c>
      <c r="I522" s="408" t="s">
        <v>973</v>
      </c>
      <c r="J522" s="408" t="s">
        <v>2236</v>
      </c>
      <c r="K522" s="826">
        <v>44593</v>
      </c>
      <c r="L522" s="408">
        <v>0</v>
      </c>
      <c r="M522" s="408">
        <v>0</v>
      </c>
      <c r="N522" s="408">
        <v>10.369</v>
      </c>
      <c r="O522" s="408">
        <v>9.9542400000000004</v>
      </c>
      <c r="P522" s="408">
        <v>10.369</v>
      </c>
      <c r="Q522" s="408">
        <v>9.9542400000000004</v>
      </c>
      <c r="R522" s="408"/>
      <c r="S522" s="408">
        <v>1358.36</v>
      </c>
      <c r="T522" s="408">
        <v>173.25</v>
      </c>
      <c r="U522" s="408"/>
      <c r="V522" s="408">
        <v>15881.264089999999</v>
      </c>
      <c r="W522" s="408">
        <v>15881.264089999999</v>
      </c>
      <c r="X522" s="408">
        <v>13924.737479999998</v>
      </c>
      <c r="Y522" s="408">
        <v>0</v>
      </c>
      <c r="Z522" s="408">
        <v>555.20094399701588</v>
      </c>
      <c r="AA522" s="408">
        <v>0</v>
      </c>
      <c r="AB522" s="408">
        <v>0</v>
      </c>
      <c r="AC522" s="408">
        <v>196.41051395118626</v>
      </c>
      <c r="AD522" s="408">
        <v>188.70704332314136</v>
      </c>
      <c r="AE522" s="408">
        <v>10457.216515502932</v>
      </c>
      <c r="AF522" s="408">
        <v>1766.2603394991104</v>
      </c>
      <c r="AG522" s="408">
        <v>30.145104478182223</v>
      </c>
      <c r="AH522" s="408">
        <v>0</v>
      </c>
      <c r="AI522" s="408">
        <v>0</v>
      </c>
      <c r="AJ522" s="408">
        <v>0</v>
      </c>
      <c r="AK522" s="408">
        <v>0</v>
      </c>
      <c r="AL522" s="408">
        <v>98.599134945587167</v>
      </c>
      <c r="AM522" s="408"/>
      <c r="AN522" s="408">
        <v>8.3036385756380557</v>
      </c>
      <c r="AO522" s="408">
        <v>416.94601532326089</v>
      </c>
      <c r="AP522" s="408">
        <v>1944.1470731201671</v>
      </c>
      <c r="AQ522" s="408">
        <v>0</v>
      </c>
      <c r="AR522" s="408">
        <v>0</v>
      </c>
      <c r="AS522" s="408">
        <v>0</v>
      </c>
      <c r="AT522" s="408">
        <v>0</v>
      </c>
      <c r="AU522" s="408">
        <v>0</v>
      </c>
      <c r="AV522" s="408">
        <v>0</v>
      </c>
      <c r="AW522" s="408">
        <v>0</v>
      </c>
      <c r="AX522" s="408">
        <v>0</v>
      </c>
      <c r="AY522" s="408">
        <v>0</v>
      </c>
      <c r="AZ522" s="408">
        <v>0</v>
      </c>
      <c r="BA522" s="408"/>
      <c r="BB522" s="408">
        <v>0</v>
      </c>
      <c r="BC522" s="408">
        <v>0</v>
      </c>
      <c r="BD522" s="408">
        <v>0</v>
      </c>
      <c r="BE522" s="408">
        <v>0</v>
      </c>
      <c r="BF522" s="408">
        <v>0</v>
      </c>
      <c r="BG522" s="408">
        <v>77.546190109180088</v>
      </c>
      <c r="BH522" s="408">
        <v>0</v>
      </c>
      <c r="BI522" s="408">
        <v>0</v>
      </c>
      <c r="BJ522" s="408">
        <v>0</v>
      </c>
      <c r="BK522" s="408">
        <v>0</v>
      </c>
      <c r="BL522" s="408">
        <v>0</v>
      </c>
      <c r="BM522" s="408"/>
      <c r="BN522" s="408"/>
      <c r="BO522" s="408"/>
      <c r="BP522" s="408"/>
      <c r="BQ522" s="408"/>
      <c r="BR522" s="408">
        <v>556.98949919999905</v>
      </c>
      <c r="BS522" s="408"/>
      <c r="BT522" s="408"/>
      <c r="BU522" s="408"/>
      <c r="BV522" s="408">
        <v>1843.8065296082905</v>
      </c>
      <c r="BW522" s="408"/>
      <c r="BX522" s="408"/>
      <c r="BY522" s="408"/>
      <c r="BZ522" s="408"/>
      <c r="CA522" s="408"/>
      <c r="CB522" s="408"/>
      <c r="CC522" s="408"/>
      <c r="CD522" s="408"/>
      <c r="CE522" s="408"/>
      <c r="CF522" s="408"/>
      <c r="CG522" s="408"/>
      <c r="CH522" s="408"/>
      <c r="CI522" s="408">
        <v>13362.053999999998</v>
      </c>
      <c r="CJ522" s="408">
        <v>-1883.9895264000024</v>
      </c>
      <c r="CK522" s="408"/>
      <c r="CL522" s="408"/>
      <c r="CM522" s="408"/>
      <c r="CN522" s="408"/>
      <c r="CO522" s="408">
        <v>-2180.3933199999997</v>
      </c>
      <c r="CP522" s="408">
        <v>223.86671000000004</v>
      </c>
      <c r="CQ522" s="408">
        <v>29</v>
      </c>
      <c r="CR522" s="408">
        <v>641.18485746543229</v>
      </c>
      <c r="CS522" s="408">
        <v>41.54777922877679</v>
      </c>
      <c r="CT522" s="408">
        <v>193.73010033360424</v>
      </c>
      <c r="CU522" s="408">
        <v>0</v>
      </c>
      <c r="CV522" s="408">
        <v>0</v>
      </c>
      <c r="CW522" s="408">
        <v>0</v>
      </c>
      <c r="CX522" s="408">
        <v>0</v>
      </c>
      <c r="CY522" s="408">
        <v>0</v>
      </c>
      <c r="CZ522" s="408">
        <v>194.30572898862056</v>
      </c>
      <c r="DA522" s="408">
        <v>0</v>
      </c>
      <c r="DB522" s="408">
        <v>0</v>
      </c>
      <c r="DC522" s="408">
        <v>223.84143415386097</v>
      </c>
      <c r="DD522" s="408">
        <v>0</v>
      </c>
      <c r="DE522" s="408">
        <v>0</v>
      </c>
      <c r="DF522" s="408">
        <v>0</v>
      </c>
      <c r="DG522" s="408">
        <v>9.8275718584776683</v>
      </c>
      <c r="DH522" s="408">
        <v>0</v>
      </c>
      <c r="DI522" s="408">
        <v>-18.852867175876895</v>
      </c>
      <c r="DJ522" s="408"/>
      <c r="DK522" s="408">
        <v>0</v>
      </c>
      <c r="DL522" s="408">
        <v>0</v>
      </c>
      <c r="DM522" s="408">
        <v>0</v>
      </c>
      <c r="DN522" s="408">
        <v>0</v>
      </c>
      <c r="DO522" s="408">
        <v>-2.9799681135790763</v>
      </c>
      <c r="DP522" s="408">
        <v>-0.23492180845248001</v>
      </c>
      <c r="DQ522" s="408">
        <v>0</v>
      </c>
      <c r="DR522" s="408">
        <v>0</v>
      </c>
      <c r="DS522" s="408"/>
      <c r="DT522" s="408"/>
      <c r="DU522" s="408"/>
      <c r="DV522" s="408">
        <v>10457.216515502932</v>
      </c>
      <c r="DW522" s="408">
        <v>0</v>
      </c>
      <c r="DX522" s="408">
        <v>0</v>
      </c>
      <c r="DY522" s="408">
        <v>-2180.393320000001</v>
      </c>
      <c r="DZ522" s="408">
        <v>223.86671000000001</v>
      </c>
      <c r="EA522" s="408">
        <v>0</v>
      </c>
      <c r="EB522" s="408">
        <v>0</v>
      </c>
      <c r="EC522" s="408">
        <v>-2597.7499636775738</v>
      </c>
      <c r="ED522" s="408">
        <v>0</v>
      </c>
      <c r="EE522" s="408">
        <v>0</v>
      </c>
      <c r="EF522" s="408">
        <v>0</v>
      </c>
      <c r="EG522" s="408">
        <v>0</v>
      </c>
      <c r="EH522" s="408">
        <v>0</v>
      </c>
      <c r="EI522" s="408">
        <v>0</v>
      </c>
      <c r="EJ522" s="408">
        <v>0</v>
      </c>
      <c r="EK522" s="408">
        <v>0</v>
      </c>
      <c r="EL522" s="408">
        <v>0</v>
      </c>
      <c r="EM522" s="408">
        <v>0</v>
      </c>
      <c r="EN522" s="408">
        <v>0</v>
      </c>
      <c r="EO522" s="408">
        <v>0</v>
      </c>
      <c r="EP522" s="408">
        <v>141.78841904787532</v>
      </c>
      <c r="EQ522" s="408">
        <v>0</v>
      </c>
      <c r="ER522" s="408">
        <v>0</v>
      </c>
      <c r="ES522" s="408">
        <v>0</v>
      </c>
      <c r="ET522" s="408">
        <v>0</v>
      </c>
      <c r="EU522" s="408">
        <v>0</v>
      </c>
      <c r="EV522" s="408">
        <v>240</v>
      </c>
      <c r="EW522" s="408">
        <v>0</v>
      </c>
      <c r="EX522" s="408">
        <v>0</v>
      </c>
      <c r="EY522" s="408">
        <v>0</v>
      </c>
      <c r="EZ522" s="408"/>
      <c r="FA522" s="408">
        <v>0</v>
      </c>
      <c r="FB522" s="408"/>
      <c r="FC522" s="408"/>
      <c r="FD522" s="408"/>
      <c r="FE522" s="408"/>
      <c r="FF522" s="408">
        <v>0</v>
      </c>
      <c r="FG522" s="408">
        <v>0</v>
      </c>
      <c r="FH522" s="408">
        <v>0</v>
      </c>
      <c r="FI522" s="408">
        <v>0</v>
      </c>
    </row>
    <row r="523" spans="1:165">
      <c r="A523" s="408">
        <v>521</v>
      </c>
      <c r="B523" s="408" t="s">
        <v>1036</v>
      </c>
      <c r="C523" s="408" t="s">
        <v>2243</v>
      </c>
      <c r="D523" s="408" t="s">
        <v>597</v>
      </c>
      <c r="E523" s="408" t="s">
        <v>974</v>
      </c>
      <c r="F523" s="408" t="s">
        <v>1322</v>
      </c>
      <c r="G523" s="408" t="s">
        <v>1322</v>
      </c>
      <c r="H523" s="408" t="s">
        <v>1322</v>
      </c>
      <c r="I523" s="408" t="s">
        <v>2244</v>
      </c>
      <c r="J523" s="408" t="s">
        <v>2236</v>
      </c>
      <c r="K523" s="826">
        <v>44593</v>
      </c>
      <c r="L523" s="408">
        <v>0</v>
      </c>
      <c r="M523" s="408">
        <v>0</v>
      </c>
      <c r="N523" s="408">
        <v>111.27200000000001</v>
      </c>
      <c r="O523" s="408">
        <v>106.82111999999999</v>
      </c>
      <c r="P523" s="408">
        <v>111.27200000000001</v>
      </c>
      <c r="Q523" s="408">
        <v>106.82111999999999</v>
      </c>
      <c r="R523" s="408"/>
      <c r="S523" s="408">
        <v>85.01</v>
      </c>
      <c r="T523" s="408">
        <v>173.25</v>
      </c>
      <c r="U523" s="408"/>
      <c r="V523" s="408">
        <v>28737.106720000003</v>
      </c>
      <c r="W523" s="408">
        <v>28737.106720000003</v>
      </c>
      <c r="X523" s="408">
        <v>31008.168240000003</v>
      </c>
      <c r="Y523" s="408">
        <v>0</v>
      </c>
      <c r="Z523" s="408">
        <v>5957.9823937154933</v>
      </c>
      <c r="AA523" s="408">
        <v>0</v>
      </c>
      <c r="AB523" s="408">
        <v>0</v>
      </c>
      <c r="AC523" s="408">
        <v>0</v>
      </c>
      <c r="AD523" s="408">
        <v>0</v>
      </c>
      <c r="AE523" s="408">
        <v>0</v>
      </c>
      <c r="AF523" s="408">
        <v>18954.124842968948</v>
      </c>
      <c r="AG523" s="408">
        <v>323.49368941038603</v>
      </c>
      <c r="AH523" s="408">
        <v>0</v>
      </c>
      <c r="AI523" s="408">
        <v>0</v>
      </c>
      <c r="AJ523" s="408">
        <v>0</v>
      </c>
      <c r="AK523" s="408">
        <v>0</v>
      </c>
      <c r="AL523" s="408">
        <v>1058.0888170185531</v>
      </c>
      <c r="AM523" s="408"/>
      <c r="AN523" s="408">
        <v>89.10815619523558</v>
      </c>
      <c r="AO523" s="408">
        <v>0</v>
      </c>
      <c r="AP523" s="408">
        <v>0</v>
      </c>
      <c r="AQ523" s="408">
        <v>0</v>
      </c>
      <c r="AR523" s="408">
        <v>0</v>
      </c>
      <c r="AS523" s="408">
        <v>0</v>
      </c>
      <c r="AT523" s="408">
        <v>0</v>
      </c>
      <c r="AU523" s="408">
        <v>0</v>
      </c>
      <c r="AV523" s="408">
        <v>0</v>
      </c>
      <c r="AW523" s="408">
        <v>0</v>
      </c>
      <c r="AX523" s="408">
        <v>0</v>
      </c>
      <c r="AY523" s="408">
        <v>0</v>
      </c>
      <c r="AZ523" s="408">
        <v>0</v>
      </c>
      <c r="BA523" s="408"/>
      <c r="BB523" s="408">
        <v>0</v>
      </c>
      <c r="BC523" s="408">
        <v>0</v>
      </c>
      <c r="BD523" s="408">
        <v>0</v>
      </c>
      <c r="BE523" s="408">
        <v>0</v>
      </c>
      <c r="BF523" s="408">
        <v>0</v>
      </c>
      <c r="BG523" s="408">
        <v>832.16507530414572</v>
      </c>
      <c r="BH523" s="408">
        <v>0</v>
      </c>
      <c r="BI523" s="408">
        <v>0</v>
      </c>
      <c r="BJ523" s="408">
        <v>0</v>
      </c>
      <c r="BK523" s="408">
        <v>0</v>
      </c>
      <c r="BL523" s="408">
        <v>0</v>
      </c>
      <c r="BM523" s="408"/>
      <c r="BN523" s="408"/>
      <c r="BO523" s="408"/>
      <c r="BP523" s="408"/>
      <c r="BQ523" s="408"/>
      <c r="BR523" s="408">
        <v>1240.3267296000033</v>
      </c>
      <c r="BS523" s="408"/>
      <c r="BT523" s="408"/>
      <c r="BU523" s="408"/>
      <c r="BV523" s="408">
        <v>19786.289918273094</v>
      </c>
      <c r="BW523" s="408"/>
      <c r="BX523" s="408"/>
      <c r="BY523" s="408"/>
      <c r="BZ523" s="408"/>
      <c r="CA523" s="408"/>
      <c r="CB523" s="408"/>
      <c r="CC523" s="408"/>
      <c r="CD523" s="408"/>
      <c r="CE523" s="408"/>
      <c r="CF523" s="408"/>
      <c r="CG523" s="408"/>
      <c r="CH523" s="408"/>
      <c r="CI523" s="408">
        <v>29767.529399999999</v>
      </c>
      <c r="CJ523" s="408">
        <v>2179.8769488000034</v>
      </c>
      <c r="CK523" s="408"/>
      <c r="CL523" s="408"/>
      <c r="CM523" s="408"/>
      <c r="CN523" s="408"/>
      <c r="CO523" s="408">
        <v>-131.30096000000077</v>
      </c>
      <c r="CP523" s="408">
        <v>2402.3624800000007</v>
      </c>
      <c r="CQ523" s="408">
        <v>29</v>
      </c>
      <c r="CR523" s="408">
        <v>2270.7391425601782</v>
      </c>
      <c r="CS523" s="408">
        <v>0</v>
      </c>
      <c r="CT523" s="408">
        <v>0</v>
      </c>
      <c r="CU523" s="408">
        <v>0</v>
      </c>
      <c r="CV523" s="408">
        <v>0</v>
      </c>
      <c r="CW523" s="408">
        <v>0</v>
      </c>
      <c r="CX523" s="408">
        <v>0</v>
      </c>
      <c r="CY523" s="408">
        <v>0</v>
      </c>
      <c r="CZ523" s="408">
        <v>0</v>
      </c>
      <c r="DA523" s="408">
        <v>0</v>
      </c>
      <c r="DB523" s="408">
        <v>0</v>
      </c>
      <c r="DC523" s="408">
        <v>2402.0912393835897</v>
      </c>
      <c r="DD523" s="408">
        <v>0</v>
      </c>
      <c r="DE523" s="408">
        <v>0</v>
      </c>
      <c r="DF523" s="408">
        <v>0</v>
      </c>
      <c r="DG523" s="408">
        <v>105.4618165528525</v>
      </c>
      <c r="DH523" s="408">
        <v>0</v>
      </c>
      <c r="DI523" s="408">
        <v>-202.31422860393195</v>
      </c>
      <c r="DJ523" s="408"/>
      <c r="DK523" s="408">
        <v>0</v>
      </c>
      <c r="DL523" s="408">
        <v>0</v>
      </c>
      <c r="DM523" s="408">
        <v>0</v>
      </c>
      <c r="DN523" s="408">
        <v>0</v>
      </c>
      <c r="DO523" s="408">
        <v>-31.97868762023063</v>
      </c>
      <c r="DP523" s="408">
        <v>-2.5209971520999517</v>
      </c>
      <c r="DQ523" s="408">
        <v>0</v>
      </c>
      <c r="DR523" s="408">
        <v>0</v>
      </c>
      <c r="DS523" s="408"/>
      <c r="DT523" s="408"/>
      <c r="DU523" s="408"/>
      <c r="DV523" s="408">
        <v>0</v>
      </c>
      <c r="DW523" s="408">
        <v>0</v>
      </c>
      <c r="DX523" s="408">
        <v>0</v>
      </c>
      <c r="DY523" s="408">
        <v>-131.30096000000231</v>
      </c>
      <c r="DZ523" s="408">
        <v>2402.3624800000034</v>
      </c>
      <c r="EA523" s="408">
        <v>0</v>
      </c>
      <c r="EB523" s="408">
        <v>0</v>
      </c>
      <c r="EC523" s="408">
        <v>0</v>
      </c>
      <c r="ED523" s="408">
        <v>0</v>
      </c>
      <c r="EE523" s="408">
        <v>0</v>
      </c>
      <c r="EF523" s="408">
        <v>0</v>
      </c>
      <c r="EG523" s="408">
        <v>0</v>
      </c>
      <c r="EH523" s="408">
        <v>0</v>
      </c>
      <c r="EI523" s="408">
        <v>0</v>
      </c>
      <c r="EJ523" s="408">
        <v>0</v>
      </c>
      <c r="EK523" s="408">
        <v>0</v>
      </c>
      <c r="EL523" s="408">
        <v>0</v>
      </c>
      <c r="EM523" s="408">
        <v>0</v>
      </c>
      <c r="EN523" s="408">
        <v>0</v>
      </c>
      <c r="EO523" s="408">
        <v>0</v>
      </c>
      <c r="EP523" s="408">
        <v>1521.5624423083407</v>
      </c>
      <c r="EQ523" s="408">
        <v>0</v>
      </c>
      <c r="ER523" s="408">
        <v>0</v>
      </c>
      <c r="ES523" s="408">
        <v>0</v>
      </c>
      <c r="ET523" s="408">
        <v>0</v>
      </c>
      <c r="EU523" s="408">
        <v>0</v>
      </c>
      <c r="EV523" s="408">
        <v>240</v>
      </c>
      <c r="EW523" s="408">
        <v>0</v>
      </c>
      <c r="EX523" s="408">
        <v>0</v>
      </c>
      <c r="EY523" s="408">
        <v>0</v>
      </c>
      <c r="EZ523" s="408"/>
      <c r="FA523" s="408">
        <v>0</v>
      </c>
      <c r="FB523" s="408"/>
      <c r="FC523" s="408"/>
      <c r="FD523" s="408"/>
      <c r="FE523" s="408"/>
      <c r="FF523" s="408">
        <v>0</v>
      </c>
      <c r="FG523" s="408">
        <v>0</v>
      </c>
      <c r="FH523" s="408">
        <v>0</v>
      </c>
      <c r="FI523" s="408">
        <v>0</v>
      </c>
    </row>
    <row r="524" spans="1:165">
      <c r="A524" s="408">
        <v>522</v>
      </c>
      <c r="B524" s="408" t="s">
        <v>2238</v>
      </c>
      <c r="C524" s="408" t="s">
        <v>2243</v>
      </c>
      <c r="D524" s="408" t="s">
        <v>597</v>
      </c>
      <c r="E524" s="408" t="s">
        <v>974</v>
      </c>
      <c r="F524" s="408" t="s">
        <v>1322</v>
      </c>
      <c r="G524" s="408" t="s">
        <v>1322</v>
      </c>
      <c r="H524" s="408" t="s">
        <v>1322</v>
      </c>
      <c r="I524" s="408" t="s">
        <v>2244</v>
      </c>
      <c r="J524" s="408" t="s">
        <v>2236</v>
      </c>
      <c r="K524" s="826">
        <v>44593</v>
      </c>
      <c r="L524" s="408">
        <v>0</v>
      </c>
      <c r="M524" s="408">
        <v>0</v>
      </c>
      <c r="N524" s="408">
        <v>51.218000000000004</v>
      </c>
      <c r="O524" s="408">
        <v>49.169280000000001</v>
      </c>
      <c r="P524" s="408">
        <v>51.218000000000004</v>
      </c>
      <c r="Q524" s="408">
        <v>49.169280000000001</v>
      </c>
      <c r="R524" s="408"/>
      <c r="S524" s="408">
        <v>85.01</v>
      </c>
      <c r="T524" s="408">
        <v>173.25</v>
      </c>
      <c r="U524" s="408"/>
      <c r="V524" s="408">
        <v>13227.560680000001</v>
      </c>
      <c r="W524" s="408">
        <v>13227.560680000001</v>
      </c>
      <c r="X524" s="408">
        <v>14272.92006</v>
      </c>
      <c r="Y524" s="408">
        <v>0</v>
      </c>
      <c r="Z524" s="408">
        <v>2742.4324380016551</v>
      </c>
      <c r="AA524" s="408">
        <v>0</v>
      </c>
      <c r="AB524" s="408">
        <v>0</v>
      </c>
      <c r="AC524" s="408">
        <v>0</v>
      </c>
      <c r="AD524" s="408">
        <v>0</v>
      </c>
      <c r="AE524" s="408">
        <v>0</v>
      </c>
      <c r="AF524" s="408">
        <v>8724.4982224385622</v>
      </c>
      <c r="AG524" s="408">
        <v>148.90268696726176</v>
      </c>
      <c r="AH524" s="408">
        <v>0</v>
      </c>
      <c r="AI524" s="408">
        <v>0</v>
      </c>
      <c r="AJ524" s="408">
        <v>0</v>
      </c>
      <c r="AK524" s="408">
        <v>0</v>
      </c>
      <c r="AL524" s="408">
        <v>487.03351274405287</v>
      </c>
      <c r="AM524" s="408"/>
      <c r="AN524" s="408">
        <v>41.01608260845115</v>
      </c>
      <c r="AO524" s="408">
        <v>0</v>
      </c>
      <c r="AP524" s="408">
        <v>0</v>
      </c>
      <c r="AQ524" s="408">
        <v>0</v>
      </c>
      <c r="AR524" s="408">
        <v>0</v>
      </c>
      <c r="AS524" s="408">
        <v>0</v>
      </c>
      <c r="AT524" s="408">
        <v>0</v>
      </c>
      <c r="AU524" s="408">
        <v>0</v>
      </c>
      <c r="AV524" s="408">
        <v>0</v>
      </c>
      <c r="AW524" s="408">
        <v>0</v>
      </c>
      <c r="AX524" s="408">
        <v>0</v>
      </c>
      <c r="AY524" s="408">
        <v>0</v>
      </c>
      <c r="AZ524" s="408">
        <v>0</v>
      </c>
      <c r="BA524" s="408"/>
      <c r="BB524" s="408">
        <v>0</v>
      </c>
      <c r="BC524" s="408">
        <v>0</v>
      </c>
      <c r="BD524" s="408">
        <v>0</v>
      </c>
      <c r="BE524" s="408">
        <v>0</v>
      </c>
      <c r="BF524" s="408">
        <v>0</v>
      </c>
      <c r="BG524" s="408">
        <v>383.04183286835627</v>
      </c>
      <c r="BH524" s="408">
        <v>0</v>
      </c>
      <c r="BI524" s="408">
        <v>0</v>
      </c>
      <c r="BJ524" s="408">
        <v>0</v>
      </c>
      <c r="BK524" s="408">
        <v>0</v>
      </c>
      <c r="BL524" s="408">
        <v>0</v>
      </c>
      <c r="BM524" s="408"/>
      <c r="BN524" s="408"/>
      <c r="BO524" s="408"/>
      <c r="BP524" s="408"/>
      <c r="BQ524" s="408"/>
      <c r="BR524" s="408">
        <v>570.91680240000085</v>
      </c>
      <c r="BS524" s="408"/>
      <c r="BT524" s="408"/>
      <c r="BU524" s="408"/>
      <c r="BV524" s="408">
        <v>9107.5400553069176</v>
      </c>
      <c r="BW524" s="408"/>
      <c r="BX524" s="408"/>
      <c r="BY524" s="408"/>
      <c r="BZ524" s="408"/>
      <c r="CA524" s="408"/>
      <c r="CB524" s="408"/>
      <c r="CC524" s="408"/>
      <c r="CD524" s="408"/>
      <c r="CE524" s="408"/>
      <c r="CF524" s="408"/>
      <c r="CG524" s="408"/>
      <c r="CH524" s="408"/>
      <c r="CI524" s="408">
        <v>13702.2039</v>
      </c>
      <c r="CJ524" s="408">
        <v>1003.7156472000006</v>
      </c>
      <c r="CK524" s="408"/>
      <c r="CL524" s="408"/>
      <c r="CM524" s="408"/>
      <c r="CN524" s="408"/>
      <c r="CO524" s="408">
        <v>-60.437240000000351</v>
      </c>
      <c r="CP524" s="408">
        <v>1105.7966200000003</v>
      </c>
      <c r="CQ524" s="408">
        <v>29</v>
      </c>
      <c r="CR524" s="408">
        <v>1045.2109911176867</v>
      </c>
      <c r="CS524" s="408">
        <v>0</v>
      </c>
      <c r="CT524" s="408">
        <v>0</v>
      </c>
      <c r="CU524" s="408">
        <v>0</v>
      </c>
      <c r="CV524" s="408">
        <v>0</v>
      </c>
      <c r="CW524" s="408">
        <v>0</v>
      </c>
      <c r="CX524" s="408">
        <v>0</v>
      </c>
      <c r="CY524" s="408">
        <v>0</v>
      </c>
      <c r="CZ524" s="408">
        <v>0</v>
      </c>
      <c r="DA524" s="408">
        <v>0</v>
      </c>
      <c r="DB524" s="408">
        <v>0</v>
      </c>
      <c r="DC524" s="408">
        <v>1105.6717691669837</v>
      </c>
      <c r="DD524" s="408">
        <v>0</v>
      </c>
      <c r="DE524" s="408">
        <v>0</v>
      </c>
      <c r="DF524" s="408">
        <v>0</v>
      </c>
      <c r="DG524" s="408">
        <v>48.543598750844751</v>
      </c>
      <c r="DH524" s="408">
        <v>0</v>
      </c>
      <c r="DI524" s="408">
        <v>-93.124327419622205</v>
      </c>
      <c r="DJ524" s="408"/>
      <c r="DK524" s="408">
        <v>0</v>
      </c>
      <c r="DL524" s="408">
        <v>0</v>
      </c>
      <c r="DM524" s="408">
        <v>0</v>
      </c>
      <c r="DN524" s="408">
        <v>0</v>
      </c>
      <c r="DO524" s="408">
        <v>-14.719645755742476</v>
      </c>
      <c r="DP524" s="408">
        <v>-1.1604036247776222</v>
      </c>
      <c r="DQ524" s="408">
        <v>0</v>
      </c>
      <c r="DR524" s="408">
        <v>0</v>
      </c>
      <c r="DS524" s="408"/>
      <c r="DT524" s="408"/>
      <c r="DU524" s="408"/>
      <c r="DV524" s="408">
        <v>0</v>
      </c>
      <c r="DW524" s="408">
        <v>0</v>
      </c>
      <c r="DX524" s="408">
        <v>0</v>
      </c>
      <c r="DY524" s="408">
        <v>-60.437240000000202</v>
      </c>
      <c r="DZ524" s="408">
        <v>1105.796620000001</v>
      </c>
      <c r="EA524" s="408">
        <v>0</v>
      </c>
      <c r="EB524" s="408">
        <v>0</v>
      </c>
      <c r="EC524" s="408">
        <v>0</v>
      </c>
      <c r="ED524" s="408">
        <v>0</v>
      </c>
      <c r="EE524" s="408">
        <v>0</v>
      </c>
      <c r="EF524" s="408">
        <v>0</v>
      </c>
      <c r="EG524" s="408">
        <v>0</v>
      </c>
      <c r="EH524" s="408">
        <v>0</v>
      </c>
      <c r="EI524" s="408">
        <v>0</v>
      </c>
      <c r="EJ524" s="408">
        <v>0</v>
      </c>
      <c r="EK524" s="408">
        <v>0</v>
      </c>
      <c r="EL524" s="408">
        <v>0</v>
      </c>
      <c r="EM524" s="408">
        <v>0</v>
      </c>
      <c r="EN524" s="408">
        <v>0</v>
      </c>
      <c r="EO524" s="408">
        <v>0</v>
      </c>
      <c r="EP524" s="408">
        <v>700.36833318488561</v>
      </c>
      <c r="EQ524" s="408">
        <v>0</v>
      </c>
      <c r="ER524" s="408">
        <v>0</v>
      </c>
      <c r="ES524" s="408">
        <v>0</v>
      </c>
      <c r="ET524" s="408">
        <v>0</v>
      </c>
      <c r="EU524" s="408">
        <v>0</v>
      </c>
      <c r="EV524" s="408">
        <v>240</v>
      </c>
      <c r="EW524" s="408">
        <v>0</v>
      </c>
      <c r="EX524" s="408">
        <v>0</v>
      </c>
      <c r="EY524" s="408">
        <v>0</v>
      </c>
      <c r="EZ524" s="408"/>
      <c r="FA524" s="408">
        <v>0</v>
      </c>
      <c r="FB524" s="408"/>
      <c r="FC524" s="408"/>
      <c r="FD524" s="408"/>
      <c r="FE524" s="408"/>
      <c r="FF524" s="408">
        <v>0</v>
      </c>
      <c r="FG524" s="408">
        <v>0</v>
      </c>
      <c r="FH524" s="408">
        <v>0</v>
      </c>
      <c r="FI524" s="408">
        <v>0</v>
      </c>
    </row>
    <row r="525" spans="1:165">
      <c r="A525" s="408">
        <v>523</v>
      </c>
      <c r="B525" s="408" t="s">
        <v>1036</v>
      </c>
      <c r="C525" s="408" t="s">
        <v>2243</v>
      </c>
      <c r="D525" s="408" t="s">
        <v>597</v>
      </c>
      <c r="E525" s="408" t="s">
        <v>974</v>
      </c>
      <c r="F525" s="408" t="s">
        <v>1322</v>
      </c>
      <c r="G525" s="408" t="s">
        <v>1322</v>
      </c>
      <c r="H525" s="408" t="s">
        <v>1322</v>
      </c>
      <c r="I525" s="408" t="s">
        <v>1322</v>
      </c>
      <c r="J525" s="408" t="s">
        <v>2236</v>
      </c>
      <c r="K525" s="826">
        <v>44593</v>
      </c>
      <c r="L525" s="408">
        <v>667</v>
      </c>
      <c r="M525" s="408">
        <v>640.32000000000005</v>
      </c>
      <c r="N525" s="408">
        <v>0</v>
      </c>
      <c r="O525" s="408">
        <v>0</v>
      </c>
      <c r="P525" s="408">
        <v>0</v>
      </c>
      <c r="Q525" s="408">
        <v>0</v>
      </c>
      <c r="R525" s="408">
        <v>27.19</v>
      </c>
      <c r="S525" s="408"/>
      <c r="T525" s="408"/>
      <c r="U525" s="408">
        <v>18135.73</v>
      </c>
      <c r="V525" s="408"/>
      <c r="W525" s="408">
        <v>18135.73</v>
      </c>
      <c r="X525" s="408">
        <v>14513.920000000002</v>
      </c>
      <c r="Y525" s="408">
        <v>0</v>
      </c>
      <c r="Z525" s="408">
        <v>0</v>
      </c>
      <c r="AA525" s="408">
        <v>0</v>
      </c>
      <c r="AB525" s="408">
        <v>0</v>
      </c>
      <c r="AC525" s="408">
        <v>155.54480915618521</v>
      </c>
      <c r="AD525" s="408">
        <v>149.43123786007283</v>
      </c>
      <c r="AE525" s="408">
        <v>15962.664172187386</v>
      </c>
      <c r="AF525" s="408"/>
      <c r="AG525" s="408"/>
      <c r="AH525" s="408"/>
      <c r="AI525" s="408">
        <v>0</v>
      </c>
      <c r="AJ525" s="408">
        <v>0</v>
      </c>
      <c r="AK525" s="408">
        <v>0</v>
      </c>
      <c r="AL525" s="408">
        <v>0</v>
      </c>
      <c r="AM525" s="408"/>
      <c r="AN525" s="408">
        <v>0</v>
      </c>
      <c r="AO525" s="408">
        <v>330.0881823373395</v>
      </c>
      <c r="AP525" s="408">
        <v>1539.495258288664</v>
      </c>
      <c r="AQ525" s="408">
        <v>0</v>
      </c>
      <c r="AR525" s="408">
        <v>0</v>
      </c>
      <c r="AS525" s="408"/>
      <c r="AT525" s="408"/>
      <c r="AU525" s="408">
        <v>0</v>
      </c>
      <c r="AV525" s="408">
        <v>0</v>
      </c>
      <c r="AW525" s="408">
        <v>0</v>
      </c>
      <c r="AX525" s="408"/>
      <c r="AY525" s="408"/>
      <c r="AZ525" s="408">
        <v>0</v>
      </c>
      <c r="BA525" s="408"/>
      <c r="BB525" s="408">
        <v>0</v>
      </c>
      <c r="BC525" s="408">
        <v>0</v>
      </c>
      <c r="BD525" s="408">
        <v>0</v>
      </c>
      <c r="BE525" s="408">
        <v>0</v>
      </c>
      <c r="BF525" s="408"/>
      <c r="BG525" s="408">
        <v>0</v>
      </c>
      <c r="BH525" s="408">
        <v>0</v>
      </c>
      <c r="BI525" s="408">
        <v>52.9</v>
      </c>
      <c r="BJ525" s="408">
        <v>453.61</v>
      </c>
      <c r="BK525" s="408">
        <v>28.32</v>
      </c>
      <c r="BL525" s="408">
        <v>4</v>
      </c>
      <c r="BM525" s="408"/>
      <c r="BN525" s="408"/>
      <c r="BO525" s="408"/>
      <c r="BP525" s="408"/>
      <c r="BQ525" s="408"/>
      <c r="BR525" s="408">
        <v>580.55679999999893</v>
      </c>
      <c r="BS525" s="408"/>
      <c r="BT525" s="408"/>
      <c r="BU525" s="408"/>
      <c r="BV525" s="408">
        <v>0</v>
      </c>
      <c r="BW525" s="408"/>
      <c r="BX525" s="408"/>
      <c r="BY525" s="408"/>
      <c r="BZ525" s="408"/>
      <c r="CA525" s="408"/>
      <c r="CB525" s="408"/>
      <c r="CC525" s="408"/>
      <c r="CD525" s="408"/>
      <c r="CE525" s="408"/>
      <c r="CF525" s="408"/>
      <c r="CG525" s="408"/>
      <c r="CH525" s="408"/>
      <c r="CI525" s="408">
        <v>13933.363200000002</v>
      </c>
      <c r="CJ525" s="408">
        <v>-3476.9675999999945</v>
      </c>
      <c r="CK525" s="408"/>
      <c r="CL525" s="408"/>
      <c r="CM525" s="408"/>
      <c r="CN525" s="408"/>
      <c r="CO525" s="408">
        <v>-3621.81</v>
      </c>
      <c r="CP525" s="408">
        <v>0</v>
      </c>
      <c r="CQ525" s="408">
        <v>29</v>
      </c>
      <c r="CR525" s="408">
        <v>340.16465662204928</v>
      </c>
      <c r="CS525" s="408">
        <v>32.892581825364687</v>
      </c>
      <c r="CT525" s="408">
        <v>153.40741190567928</v>
      </c>
      <c r="CU525" s="408">
        <v>0</v>
      </c>
      <c r="CV525" s="408">
        <v>0</v>
      </c>
      <c r="CW525" s="408"/>
      <c r="CX525" s="408"/>
      <c r="CY525" s="408"/>
      <c r="CZ525" s="408">
        <v>153.86466289100525</v>
      </c>
      <c r="DA525" s="408">
        <v>0</v>
      </c>
      <c r="DB525" s="408">
        <v>0</v>
      </c>
      <c r="DC525" s="408"/>
      <c r="DD525" s="408"/>
      <c r="DE525" s="408">
        <v>0</v>
      </c>
      <c r="DF525" s="408">
        <v>0</v>
      </c>
      <c r="DG525" s="408">
        <v>0</v>
      </c>
      <c r="DH525" s="408">
        <v>0</v>
      </c>
      <c r="DI525" s="408">
        <v>0</v>
      </c>
      <c r="DJ525" s="408"/>
      <c r="DK525" s="408">
        <v>0</v>
      </c>
      <c r="DL525" s="408">
        <v>0</v>
      </c>
      <c r="DM525" s="408"/>
      <c r="DN525" s="408">
        <v>0</v>
      </c>
      <c r="DO525" s="408">
        <v>0</v>
      </c>
      <c r="DP525" s="408">
        <v>0</v>
      </c>
      <c r="DQ525" s="408">
        <v>0</v>
      </c>
      <c r="DR525" s="408">
        <v>0</v>
      </c>
      <c r="DS525" s="408"/>
      <c r="DT525" s="408"/>
      <c r="DU525" s="408">
        <v>15962.664172187386</v>
      </c>
      <c r="DV525" s="408"/>
      <c r="DW525" s="408">
        <v>0</v>
      </c>
      <c r="DX525" s="408">
        <v>0</v>
      </c>
      <c r="DY525" s="408">
        <v>-3621.8099999999977</v>
      </c>
      <c r="DZ525" s="408"/>
      <c r="EA525" s="408">
        <v>0</v>
      </c>
      <c r="EB525" s="408"/>
      <c r="EC525" s="408">
        <v>-3965.396548117882</v>
      </c>
      <c r="ED525" s="408"/>
      <c r="EE525" s="408">
        <v>0</v>
      </c>
      <c r="EF525" s="408">
        <v>0</v>
      </c>
      <c r="EG525" s="408"/>
      <c r="EH525" s="408">
        <v>0</v>
      </c>
      <c r="EI525" s="408">
        <v>0</v>
      </c>
      <c r="EJ525" s="408">
        <v>0</v>
      </c>
      <c r="EK525" s="408">
        <v>0</v>
      </c>
      <c r="EL525" s="408">
        <v>0</v>
      </c>
      <c r="EM525" s="408"/>
      <c r="EN525" s="408"/>
      <c r="EO525" s="408">
        <v>0</v>
      </c>
      <c r="EP525" s="408">
        <v>0</v>
      </c>
      <c r="EQ525" s="408"/>
      <c r="ER525" s="408">
        <v>0</v>
      </c>
      <c r="ES525" s="408"/>
      <c r="ET525" s="408">
        <v>0</v>
      </c>
      <c r="EU525" s="408"/>
      <c r="EV525" s="408">
        <v>240</v>
      </c>
      <c r="EW525" s="408"/>
      <c r="EX525" s="408"/>
      <c r="EY525" s="408"/>
      <c r="EZ525" s="408"/>
      <c r="FA525" s="408">
        <v>0</v>
      </c>
      <c r="FB525" s="408"/>
      <c r="FC525" s="408"/>
      <c r="FD525" s="408"/>
      <c r="FE525" s="408"/>
      <c r="FF525" s="408">
        <v>0</v>
      </c>
      <c r="FG525" s="408">
        <v>0</v>
      </c>
      <c r="FH525" s="408">
        <v>0</v>
      </c>
      <c r="FI525" s="408">
        <v>0</v>
      </c>
    </row>
    <row r="526" spans="1:165">
      <c r="A526" s="408">
        <v>524</v>
      </c>
      <c r="B526" s="408" t="s">
        <v>2238</v>
      </c>
      <c r="C526" s="408" t="s">
        <v>2243</v>
      </c>
      <c r="D526" s="408" t="s">
        <v>597</v>
      </c>
      <c r="E526" s="408" t="s">
        <v>974</v>
      </c>
      <c r="F526" s="408" t="s">
        <v>1322</v>
      </c>
      <c r="G526" s="408" t="s">
        <v>1322</v>
      </c>
      <c r="H526" s="408" t="s">
        <v>1322</v>
      </c>
      <c r="I526" s="408" t="s">
        <v>1322</v>
      </c>
      <c r="J526" s="408" t="s">
        <v>2236</v>
      </c>
      <c r="K526" s="826">
        <v>44593</v>
      </c>
      <c r="L526" s="408">
        <v>163</v>
      </c>
      <c r="M526" s="408">
        <v>156.47999999999999</v>
      </c>
      <c r="N526" s="408">
        <v>0</v>
      </c>
      <c r="O526" s="408">
        <v>0</v>
      </c>
      <c r="P526" s="408">
        <v>0</v>
      </c>
      <c r="Q526" s="408">
        <v>0</v>
      </c>
      <c r="R526" s="408">
        <v>27.19</v>
      </c>
      <c r="S526" s="408"/>
      <c r="T526" s="408"/>
      <c r="U526" s="408">
        <v>4431.97</v>
      </c>
      <c r="V526" s="408"/>
      <c r="W526" s="408">
        <v>4431.97</v>
      </c>
      <c r="X526" s="408">
        <v>3546.88</v>
      </c>
      <c r="Y526" s="408">
        <v>0</v>
      </c>
      <c r="Z526" s="408">
        <v>0</v>
      </c>
      <c r="AA526" s="408">
        <v>0</v>
      </c>
      <c r="AB526" s="408">
        <v>0</v>
      </c>
      <c r="AC526" s="408">
        <v>38.011699988692932</v>
      </c>
      <c r="AD526" s="408">
        <v>36.517678817379114</v>
      </c>
      <c r="AE526" s="408">
        <v>3900.9209296349982</v>
      </c>
      <c r="AF526" s="408"/>
      <c r="AG526" s="408"/>
      <c r="AH526" s="408"/>
      <c r="AI526" s="408">
        <v>0</v>
      </c>
      <c r="AJ526" s="408">
        <v>0</v>
      </c>
      <c r="AK526" s="408">
        <v>0</v>
      </c>
      <c r="AL526" s="408">
        <v>0</v>
      </c>
      <c r="AM526" s="408"/>
      <c r="AN526" s="408">
        <v>0</v>
      </c>
      <c r="AO526" s="408">
        <v>80.666227467745628</v>
      </c>
      <c r="AP526" s="408">
        <v>376.21848141087287</v>
      </c>
      <c r="AQ526" s="408">
        <v>0</v>
      </c>
      <c r="AR526" s="408">
        <v>0</v>
      </c>
      <c r="AS526" s="408"/>
      <c r="AT526" s="408"/>
      <c r="AU526" s="408">
        <v>0</v>
      </c>
      <c r="AV526" s="408">
        <v>0</v>
      </c>
      <c r="AW526" s="408">
        <v>0</v>
      </c>
      <c r="AX526" s="408"/>
      <c r="AY526" s="408"/>
      <c r="AZ526" s="408">
        <v>0</v>
      </c>
      <c r="BA526" s="408"/>
      <c r="BB526" s="408">
        <v>0</v>
      </c>
      <c r="BC526" s="408">
        <v>0</v>
      </c>
      <c r="BD526" s="408">
        <v>0</v>
      </c>
      <c r="BE526" s="408">
        <v>0</v>
      </c>
      <c r="BF526" s="408"/>
      <c r="BG526" s="408">
        <v>0</v>
      </c>
      <c r="BH526" s="408">
        <v>0</v>
      </c>
      <c r="BI526" s="408">
        <v>17.77</v>
      </c>
      <c r="BJ526" s="408">
        <v>152.32</v>
      </c>
      <c r="BK526" s="408">
        <v>5.76</v>
      </c>
      <c r="BL526" s="408">
        <v>1</v>
      </c>
      <c r="BM526" s="408"/>
      <c r="BN526" s="408"/>
      <c r="BO526" s="408"/>
      <c r="BP526" s="408"/>
      <c r="BQ526" s="408"/>
      <c r="BR526" s="408">
        <v>141.87520000000023</v>
      </c>
      <c r="BS526" s="408"/>
      <c r="BT526" s="408"/>
      <c r="BU526" s="408"/>
      <c r="BV526" s="408">
        <v>0</v>
      </c>
      <c r="BW526" s="408"/>
      <c r="BX526" s="408"/>
      <c r="BY526" s="408"/>
      <c r="BZ526" s="408"/>
      <c r="CA526" s="408"/>
      <c r="CB526" s="408"/>
      <c r="CC526" s="408"/>
      <c r="CD526" s="408"/>
      <c r="CE526" s="408"/>
      <c r="CF526" s="408"/>
      <c r="CG526" s="408"/>
      <c r="CH526" s="408"/>
      <c r="CI526" s="408">
        <v>3405.0048000000002</v>
      </c>
      <c r="CJ526" s="408">
        <v>-849.7164000000007</v>
      </c>
      <c r="CK526" s="408"/>
      <c r="CL526" s="408"/>
      <c r="CM526" s="408"/>
      <c r="CN526" s="408"/>
      <c r="CO526" s="408">
        <v>-885.08999999999992</v>
      </c>
      <c r="CP526" s="408">
        <v>0</v>
      </c>
      <c r="CQ526" s="408">
        <v>29</v>
      </c>
      <c r="CR526" s="408">
        <v>83.128694196992569</v>
      </c>
      <c r="CS526" s="408">
        <v>8.0382171477278206</v>
      </c>
      <c r="CT526" s="408">
        <v>37.489367527175034</v>
      </c>
      <c r="CU526" s="408">
        <v>0</v>
      </c>
      <c r="CV526" s="408">
        <v>0</v>
      </c>
      <c r="CW526" s="408"/>
      <c r="CX526" s="408"/>
      <c r="CY526" s="408"/>
      <c r="CZ526" s="408">
        <v>37.601109522089736</v>
      </c>
      <c r="DA526" s="408">
        <v>0</v>
      </c>
      <c r="DB526" s="408">
        <v>0</v>
      </c>
      <c r="DC526" s="408"/>
      <c r="DD526" s="408"/>
      <c r="DE526" s="408">
        <v>0</v>
      </c>
      <c r="DF526" s="408">
        <v>0</v>
      </c>
      <c r="DG526" s="408">
        <v>0</v>
      </c>
      <c r="DH526" s="408">
        <v>0</v>
      </c>
      <c r="DI526" s="408">
        <v>0</v>
      </c>
      <c r="DJ526" s="408"/>
      <c r="DK526" s="408">
        <v>0</v>
      </c>
      <c r="DL526" s="408">
        <v>0</v>
      </c>
      <c r="DM526" s="408"/>
      <c r="DN526" s="408">
        <v>0</v>
      </c>
      <c r="DO526" s="408">
        <v>0</v>
      </c>
      <c r="DP526" s="408">
        <v>0</v>
      </c>
      <c r="DQ526" s="408">
        <v>0</v>
      </c>
      <c r="DR526" s="408">
        <v>0</v>
      </c>
      <c r="DS526" s="408"/>
      <c r="DT526" s="408"/>
      <c r="DU526" s="408">
        <v>3900.9209296349982</v>
      </c>
      <c r="DV526" s="408"/>
      <c r="DW526" s="408">
        <v>0</v>
      </c>
      <c r="DX526" s="408">
        <v>0</v>
      </c>
      <c r="DY526" s="408">
        <v>-885.09000000000015</v>
      </c>
      <c r="DZ526" s="408"/>
      <c r="EA526" s="408">
        <v>0</v>
      </c>
      <c r="EB526" s="408"/>
      <c r="EC526" s="408">
        <v>-969.05492855054672</v>
      </c>
      <c r="ED526" s="408"/>
      <c r="EE526" s="408">
        <v>0</v>
      </c>
      <c r="EF526" s="408">
        <v>0</v>
      </c>
      <c r="EG526" s="408"/>
      <c r="EH526" s="408">
        <v>0</v>
      </c>
      <c r="EI526" s="408">
        <v>0</v>
      </c>
      <c r="EJ526" s="408">
        <v>0</v>
      </c>
      <c r="EK526" s="408">
        <v>0</v>
      </c>
      <c r="EL526" s="408">
        <v>0</v>
      </c>
      <c r="EM526" s="408"/>
      <c r="EN526" s="408"/>
      <c r="EO526" s="408">
        <v>0</v>
      </c>
      <c r="EP526" s="408">
        <v>0</v>
      </c>
      <c r="EQ526" s="408"/>
      <c r="ER526" s="408">
        <v>0</v>
      </c>
      <c r="ES526" s="408"/>
      <c r="ET526" s="408">
        <v>0</v>
      </c>
      <c r="EU526" s="408"/>
      <c r="EV526" s="408">
        <v>240</v>
      </c>
      <c r="EW526" s="408"/>
      <c r="EX526" s="408"/>
      <c r="EY526" s="408"/>
      <c r="EZ526" s="408"/>
      <c r="FA526" s="408">
        <v>0</v>
      </c>
      <c r="FB526" s="408"/>
      <c r="FC526" s="408"/>
      <c r="FD526" s="408"/>
      <c r="FE526" s="408"/>
      <c r="FF526" s="408">
        <v>0</v>
      </c>
      <c r="FG526" s="408">
        <v>0</v>
      </c>
      <c r="FH526" s="408">
        <v>0</v>
      </c>
      <c r="FI526" s="408">
        <v>0</v>
      </c>
    </row>
    <row r="527" spans="1:165">
      <c r="A527" s="408">
        <v>525</v>
      </c>
      <c r="B527" s="408" t="s">
        <v>1036</v>
      </c>
      <c r="C527" s="408" t="s">
        <v>2235</v>
      </c>
      <c r="D527" s="408" t="s">
        <v>1958</v>
      </c>
      <c r="E527" s="408" t="s">
        <v>2246</v>
      </c>
      <c r="F527" s="408" t="s">
        <v>1322</v>
      </c>
      <c r="G527" s="408" t="s">
        <v>1322</v>
      </c>
      <c r="H527" s="408" t="s">
        <v>1322</v>
      </c>
      <c r="I527" s="408" t="s">
        <v>1322</v>
      </c>
      <c r="J527" s="408" t="s">
        <v>2236</v>
      </c>
      <c r="K527" s="826">
        <v>44593</v>
      </c>
      <c r="L527" s="408">
        <v>0</v>
      </c>
      <c r="M527" s="408">
        <v>0</v>
      </c>
      <c r="N527" s="408">
        <v>572.54600000000005</v>
      </c>
      <c r="O527" s="408">
        <v>572.54600000000005</v>
      </c>
      <c r="P527" s="408">
        <v>572.54600000000005</v>
      </c>
      <c r="Q527" s="408">
        <v>572.54600000000005</v>
      </c>
      <c r="R527" s="408"/>
      <c r="S527" s="408">
        <v>368.24</v>
      </c>
      <c r="T527" s="408">
        <v>173.25</v>
      </c>
      <c r="U527" s="408"/>
      <c r="V527" s="408">
        <v>310027.93354</v>
      </c>
      <c r="W527" s="408">
        <v>310027.93354</v>
      </c>
      <c r="X527" s="408">
        <v>291362.93394000002</v>
      </c>
      <c r="Y527" s="408">
        <v>0</v>
      </c>
      <c r="Z527" s="408">
        <v>35237.448460066727</v>
      </c>
      <c r="AA527" s="408">
        <v>0</v>
      </c>
      <c r="AB527" s="408">
        <v>0</v>
      </c>
      <c r="AC527" s="408">
        <v>1465.4528801130541</v>
      </c>
      <c r="AD527" s="408">
        <v>1407.9716075038898</v>
      </c>
      <c r="AE527" s="408">
        <v>134855.82777377008</v>
      </c>
      <c r="AF527" s="408">
        <v>97527.755071738618</v>
      </c>
      <c r="AG527" s="408">
        <v>1664.5249289772707</v>
      </c>
      <c r="AH527" s="408">
        <v>0</v>
      </c>
      <c r="AI527" s="408">
        <v>0</v>
      </c>
      <c r="AJ527" s="408">
        <v>0</v>
      </c>
      <c r="AK527" s="408">
        <v>0</v>
      </c>
      <c r="AL527" s="408">
        <v>5444.3572491615541</v>
      </c>
      <c r="AM527" s="408"/>
      <c r="AN527" s="408">
        <v>691.55353038151793</v>
      </c>
      <c r="AO527" s="408">
        <v>3110.868887279581</v>
      </c>
      <c r="AP527" s="408">
        <v>14505.522684342804</v>
      </c>
      <c r="AQ527" s="408">
        <v>0</v>
      </c>
      <c r="AR527" s="408">
        <v>0</v>
      </c>
      <c r="AS527" s="408">
        <v>0</v>
      </c>
      <c r="AT527" s="408">
        <v>0</v>
      </c>
      <c r="AU527" s="408">
        <v>0</v>
      </c>
      <c r="AV527" s="408">
        <v>0</v>
      </c>
      <c r="AW527" s="408">
        <v>0</v>
      </c>
      <c r="AX527" s="408">
        <v>0</v>
      </c>
      <c r="AY527" s="408">
        <v>0</v>
      </c>
      <c r="AZ527" s="408">
        <v>0</v>
      </c>
      <c r="BA527" s="408"/>
      <c r="BB527" s="408">
        <v>0</v>
      </c>
      <c r="BC527" s="408">
        <v>0</v>
      </c>
      <c r="BD527" s="408">
        <v>0</v>
      </c>
      <c r="BE527" s="408">
        <v>0</v>
      </c>
      <c r="BF527" s="408">
        <v>0</v>
      </c>
      <c r="BG527" s="408">
        <v>5118.4420502570511</v>
      </c>
      <c r="BH527" s="408">
        <v>0</v>
      </c>
      <c r="BI527" s="408">
        <v>259.72000000000003</v>
      </c>
      <c r="BJ527" s="408">
        <v>2250.9899999999998</v>
      </c>
      <c r="BK527" s="408">
        <v>116066.59</v>
      </c>
      <c r="BL527" s="408">
        <v>583</v>
      </c>
      <c r="BM527" s="408"/>
      <c r="BN527" s="408"/>
      <c r="BO527" s="408"/>
      <c r="BP527" s="408"/>
      <c r="BQ527" s="408"/>
      <c r="BR527" s="408"/>
      <c r="BS527" s="408"/>
      <c r="BT527" s="408"/>
      <c r="BU527" s="408"/>
      <c r="BV527" s="408">
        <v>102646.19712199568</v>
      </c>
      <c r="BW527" s="408"/>
      <c r="BX527" s="408"/>
      <c r="BY527" s="408"/>
      <c r="BZ527" s="408"/>
      <c r="CA527" s="408"/>
      <c r="CB527" s="408"/>
      <c r="CC527" s="408"/>
      <c r="CD527" s="408"/>
      <c r="CE527" s="408"/>
      <c r="CF527" s="408"/>
      <c r="CG527" s="408"/>
      <c r="CH527" s="408"/>
      <c r="CI527" s="408">
        <v>291364.96950000001</v>
      </c>
      <c r="CJ527" s="408">
        <v>-18662.99404000002</v>
      </c>
      <c r="CK527" s="408"/>
      <c r="CL527" s="408"/>
      <c r="CM527" s="408"/>
      <c r="CN527" s="408"/>
      <c r="CO527" s="408">
        <v>-31026.267740000003</v>
      </c>
      <c r="CP527" s="408">
        <v>12361.268140000004</v>
      </c>
      <c r="CQ527" s="408">
        <v>29</v>
      </c>
      <c r="CR527" s="408">
        <v>14833.059654042998</v>
      </c>
      <c r="CS527" s="408">
        <v>309.99143531364871</v>
      </c>
      <c r="CT527" s="408">
        <v>1445.4443307722922</v>
      </c>
      <c r="CU527" s="408">
        <v>0</v>
      </c>
      <c r="CV527" s="408">
        <v>0</v>
      </c>
      <c r="CW527" s="408">
        <v>0</v>
      </c>
      <c r="CX527" s="408">
        <v>0</v>
      </c>
      <c r="CY527" s="408">
        <v>0</v>
      </c>
      <c r="CZ527" s="408">
        <v>1449.744242576314</v>
      </c>
      <c r="DA527" s="408">
        <v>0</v>
      </c>
      <c r="DB527" s="408">
        <v>0</v>
      </c>
      <c r="DC527" s="408">
        <v>12359.872481344064</v>
      </c>
      <c r="DD527" s="408">
        <v>0</v>
      </c>
      <c r="DE527" s="408">
        <v>0</v>
      </c>
      <c r="DF527" s="408">
        <v>0</v>
      </c>
      <c r="DG527" s="408">
        <v>648.66961202781113</v>
      </c>
      <c r="DH527" s="408">
        <v>0</v>
      </c>
      <c r="DI527" s="408">
        <v>-1196.5522440430723</v>
      </c>
      <c r="DJ527" s="408"/>
      <c r="DK527" s="408">
        <v>0</v>
      </c>
      <c r="DL527" s="408">
        <v>0</v>
      </c>
      <c r="DM527" s="408">
        <v>0</v>
      </c>
      <c r="DN527" s="408">
        <v>0</v>
      </c>
      <c r="DO527" s="408">
        <v>-164.54516573992169</v>
      </c>
      <c r="DP527" s="408">
        <v>-19.565038208136912</v>
      </c>
      <c r="DQ527" s="408">
        <v>0</v>
      </c>
      <c r="DR527" s="408">
        <v>0</v>
      </c>
      <c r="DS527" s="408"/>
      <c r="DT527" s="408"/>
      <c r="DU527" s="408"/>
      <c r="DV527" s="408">
        <v>134855.82777377008</v>
      </c>
      <c r="DW527" s="408">
        <v>0</v>
      </c>
      <c r="DX527" s="408">
        <v>0</v>
      </c>
      <c r="DY527" s="408">
        <v>-31026.26774000001</v>
      </c>
      <c r="DZ527" s="408">
        <v>12361.26814</v>
      </c>
      <c r="EA527" s="408">
        <v>0</v>
      </c>
      <c r="EB527" s="408">
        <v>0</v>
      </c>
      <c r="EC527" s="408">
        <v>-33500.475119900759</v>
      </c>
      <c r="ED527" s="408">
        <v>0</v>
      </c>
      <c r="EE527" s="408">
        <v>0</v>
      </c>
      <c r="EF527" s="408">
        <v>0</v>
      </c>
      <c r="EG527" s="408">
        <v>0</v>
      </c>
      <c r="EH527" s="408">
        <v>0</v>
      </c>
      <c r="EI527" s="408">
        <v>0</v>
      </c>
      <c r="EJ527" s="408">
        <v>0</v>
      </c>
      <c r="EK527" s="408">
        <v>0</v>
      </c>
      <c r="EL527" s="408">
        <v>0</v>
      </c>
      <c r="EM527" s="408">
        <v>0</v>
      </c>
      <c r="EN527" s="408">
        <v>0</v>
      </c>
      <c r="EO527" s="408">
        <v>0</v>
      </c>
      <c r="EP527" s="408">
        <v>8999.0158742609929</v>
      </c>
      <c r="EQ527" s="408">
        <v>0</v>
      </c>
      <c r="ER527" s="408">
        <v>0</v>
      </c>
      <c r="ES527" s="408">
        <v>0</v>
      </c>
      <c r="ET527" s="408">
        <v>0</v>
      </c>
      <c r="EU527" s="408">
        <v>0</v>
      </c>
      <c r="EV527" s="408">
        <v>240</v>
      </c>
      <c r="EW527" s="408">
        <v>0</v>
      </c>
      <c r="EX527" s="408">
        <v>0</v>
      </c>
      <c r="EY527" s="408">
        <v>0</v>
      </c>
      <c r="EZ527" s="408"/>
      <c r="FA527" s="408">
        <v>0</v>
      </c>
      <c r="FB527" s="408"/>
      <c r="FC527" s="408"/>
      <c r="FD527" s="408"/>
      <c r="FE527" s="408"/>
      <c r="FF527" s="408">
        <v>0</v>
      </c>
      <c r="FG527" s="408">
        <v>0</v>
      </c>
      <c r="FH527" s="408">
        <v>0</v>
      </c>
      <c r="FI527" s="408">
        <v>0</v>
      </c>
    </row>
    <row r="528" spans="1:165">
      <c r="A528" s="408">
        <v>526</v>
      </c>
      <c r="B528" s="408" t="s">
        <v>2238</v>
      </c>
      <c r="C528" s="408" t="s">
        <v>2235</v>
      </c>
      <c r="D528" s="408" t="s">
        <v>1958</v>
      </c>
      <c r="E528" s="408" t="s">
        <v>2246</v>
      </c>
      <c r="F528" s="408" t="s">
        <v>1322</v>
      </c>
      <c r="G528" s="408" t="s">
        <v>1322</v>
      </c>
      <c r="H528" s="408" t="s">
        <v>1322</v>
      </c>
      <c r="I528" s="408" t="s">
        <v>1322</v>
      </c>
      <c r="J528" s="408" t="s">
        <v>2236</v>
      </c>
      <c r="K528" s="826">
        <v>44593</v>
      </c>
      <c r="L528" s="408">
        <v>0</v>
      </c>
      <c r="M528" s="408">
        <v>0</v>
      </c>
      <c r="N528" s="408">
        <v>1.3169999999999999</v>
      </c>
      <c r="O528" s="408">
        <v>1.3169999999999999</v>
      </c>
      <c r="P528" s="408">
        <v>1.3169999999999999</v>
      </c>
      <c r="Q528" s="408">
        <v>1.3169999999999999</v>
      </c>
      <c r="R528" s="408"/>
      <c r="S528" s="408">
        <v>368.24</v>
      </c>
      <c r="T528" s="408">
        <v>173.25</v>
      </c>
      <c r="U528" s="408"/>
      <c r="V528" s="408">
        <v>713.14233000000002</v>
      </c>
      <c r="W528" s="408">
        <v>713.14233000000002</v>
      </c>
      <c r="X528" s="408">
        <v>670.20812999999998</v>
      </c>
      <c r="Y528" s="408">
        <v>0</v>
      </c>
      <c r="Z528" s="408">
        <v>81.055006273570811</v>
      </c>
      <c r="AA528" s="408">
        <v>0</v>
      </c>
      <c r="AB528" s="408">
        <v>0</v>
      </c>
      <c r="AC528" s="408">
        <v>3.3709107095480397</v>
      </c>
      <c r="AD528" s="408">
        <v>3.2386893054577666</v>
      </c>
      <c r="AE528" s="408">
        <v>310.20236833032664</v>
      </c>
      <c r="AF528" s="408">
        <v>224.33839976085721</v>
      </c>
      <c r="AG528" s="408">
        <v>3.8288265597228266</v>
      </c>
      <c r="AH528" s="408">
        <v>0</v>
      </c>
      <c r="AI528" s="408">
        <v>0</v>
      </c>
      <c r="AJ528" s="408">
        <v>0</v>
      </c>
      <c r="AK528" s="408">
        <v>0</v>
      </c>
      <c r="AL528" s="408">
        <v>12.523392875237564</v>
      </c>
      <c r="AM528" s="408"/>
      <c r="AN528" s="408">
        <v>1.590747292815702</v>
      </c>
      <c r="AO528" s="408">
        <v>7.15578193638102</v>
      </c>
      <c r="AP528" s="408">
        <v>33.366355498561639</v>
      </c>
      <c r="AQ528" s="408">
        <v>0</v>
      </c>
      <c r="AR528" s="408">
        <v>0</v>
      </c>
      <c r="AS528" s="408">
        <v>0</v>
      </c>
      <c r="AT528" s="408">
        <v>0</v>
      </c>
      <c r="AU528" s="408">
        <v>0</v>
      </c>
      <c r="AV528" s="408">
        <v>0</v>
      </c>
      <c r="AW528" s="408">
        <v>0</v>
      </c>
      <c r="AX528" s="408">
        <v>0</v>
      </c>
      <c r="AY528" s="408">
        <v>0</v>
      </c>
      <c r="AZ528" s="408">
        <v>0</v>
      </c>
      <c r="BA528" s="408"/>
      <c r="BB528" s="408">
        <v>0</v>
      </c>
      <c r="BC528" s="408">
        <v>0</v>
      </c>
      <c r="BD528" s="408">
        <v>0</v>
      </c>
      <c r="BE528" s="408">
        <v>0</v>
      </c>
      <c r="BF528" s="408">
        <v>0</v>
      </c>
      <c r="BG528" s="408">
        <v>11.773705833572386</v>
      </c>
      <c r="BH528" s="408">
        <v>0</v>
      </c>
      <c r="BI528" s="408">
        <v>0.59</v>
      </c>
      <c r="BJ528" s="408">
        <v>5.18</v>
      </c>
      <c r="BK528" s="408">
        <v>366.88</v>
      </c>
      <c r="BL528" s="408">
        <v>2</v>
      </c>
      <c r="BM528" s="408"/>
      <c r="BN528" s="408"/>
      <c r="BO528" s="408"/>
      <c r="BP528" s="408"/>
      <c r="BQ528" s="408"/>
      <c r="BR528" s="408"/>
      <c r="BS528" s="408"/>
      <c r="BT528" s="408"/>
      <c r="BU528" s="408"/>
      <c r="BV528" s="408">
        <v>236.11210559442961</v>
      </c>
      <c r="BW528" s="408"/>
      <c r="BX528" s="408"/>
      <c r="BY528" s="408"/>
      <c r="BZ528" s="408"/>
      <c r="CA528" s="408"/>
      <c r="CB528" s="408"/>
      <c r="CC528" s="408"/>
      <c r="CD528" s="408"/>
      <c r="CE528" s="408"/>
      <c r="CF528" s="408"/>
      <c r="CG528" s="408"/>
      <c r="CH528" s="408"/>
      <c r="CI528" s="408">
        <v>671.73480000000006</v>
      </c>
      <c r="CJ528" s="408">
        <v>-41.437529999999924</v>
      </c>
      <c r="CK528" s="408"/>
      <c r="CL528" s="408"/>
      <c r="CM528" s="408"/>
      <c r="CN528" s="408"/>
      <c r="CO528" s="408">
        <v>-71.368229999999997</v>
      </c>
      <c r="CP528" s="408">
        <v>28.434030000000003</v>
      </c>
      <c r="CQ528" s="408">
        <v>29</v>
      </c>
      <c r="CR528" s="408">
        <v>34.119773021512003</v>
      </c>
      <c r="CS528" s="408">
        <v>0.71305837488704071</v>
      </c>
      <c r="CT528" s="408">
        <v>3.3248860067612185</v>
      </c>
      <c r="CU528" s="408">
        <v>0</v>
      </c>
      <c r="CV528" s="408">
        <v>0</v>
      </c>
      <c r="CW528" s="408">
        <v>0</v>
      </c>
      <c r="CX528" s="408">
        <v>0</v>
      </c>
      <c r="CY528" s="408">
        <v>0</v>
      </c>
      <c r="CZ528" s="408">
        <v>3.334776886875475</v>
      </c>
      <c r="DA528" s="408">
        <v>0</v>
      </c>
      <c r="DB528" s="408">
        <v>0</v>
      </c>
      <c r="DC528" s="408">
        <v>28.430819633584207</v>
      </c>
      <c r="DD528" s="408">
        <v>0</v>
      </c>
      <c r="DE528" s="408">
        <v>0</v>
      </c>
      <c r="DF528" s="408">
        <v>0</v>
      </c>
      <c r="DG528" s="408">
        <v>1.4921034799660244</v>
      </c>
      <c r="DH528" s="408">
        <v>0</v>
      </c>
      <c r="DI528" s="408">
        <v>-2.7523715219470972</v>
      </c>
      <c r="DJ528" s="408"/>
      <c r="DK528" s="408">
        <v>0</v>
      </c>
      <c r="DL528" s="408">
        <v>0</v>
      </c>
      <c r="DM528" s="408">
        <v>0</v>
      </c>
      <c r="DN528" s="408">
        <v>0</v>
      </c>
      <c r="DO528" s="408">
        <v>-0.37849532313469503</v>
      </c>
      <c r="DP528" s="408">
        <v>-4.5004515480182139E-2</v>
      </c>
      <c r="DQ528" s="408">
        <v>0</v>
      </c>
      <c r="DR528" s="408">
        <v>0</v>
      </c>
      <c r="DS528" s="408"/>
      <c r="DT528" s="408"/>
      <c r="DU528" s="408"/>
      <c r="DV528" s="408">
        <v>310.20236833032664</v>
      </c>
      <c r="DW528" s="408">
        <v>0</v>
      </c>
      <c r="DX528" s="408">
        <v>0</v>
      </c>
      <c r="DY528" s="408">
        <v>-71.368229999999983</v>
      </c>
      <c r="DZ528" s="408">
        <v>28.434030000000035</v>
      </c>
      <c r="EA528" s="408">
        <v>0</v>
      </c>
      <c r="EB528" s="408">
        <v>0</v>
      </c>
      <c r="EC528" s="408">
        <v>-77.059530121438826</v>
      </c>
      <c r="ED528" s="408">
        <v>0</v>
      </c>
      <c r="EE528" s="408">
        <v>0</v>
      </c>
      <c r="EF528" s="408">
        <v>0</v>
      </c>
      <c r="EG528" s="408">
        <v>0</v>
      </c>
      <c r="EH528" s="408">
        <v>0</v>
      </c>
      <c r="EI528" s="408">
        <v>0</v>
      </c>
      <c r="EJ528" s="408">
        <v>0</v>
      </c>
      <c r="EK528" s="408">
        <v>0</v>
      </c>
      <c r="EL528" s="408">
        <v>0</v>
      </c>
      <c r="EM528" s="408">
        <v>0</v>
      </c>
      <c r="EN528" s="408">
        <v>0</v>
      </c>
      <c r="EO528" s="408">
        <v>0</v>
      </c>
      <c r="EP528" s="408">
        <v>20.700002980374897</v>
      </c>
      <c r="EQ528" s="408">
        <v>0</v>
      </c>
      <c r="ER528" s="408">
        <v>0</v>
      </c>
      <c r="ES528" s="408">
        <v>0</v>
      </c>
      <c r="ET528" s="408">
        <v>0</v>
      </c>
      <c r="EU528" s="408">
        <v>0</v>
      </c>
      <c r="EV528" s="408">
        <v>240</v>
      </c>
      <c r="EW528" s="408">
        <v>0</v>
      </c>
      <c r="EX528" s="408">
        <v>0</v>
      </c>
      <c r="EY528" s="408">
        <v>0</v>
      </c>
      <c r="EZ528" s="408"/>
      <c r="FA528" s="408">
        <v>0</v>
      </c>
      <c r="FB528" s="408"/>
      <c r="FC528" s="408"/>
      <c r="FD528" s="408"/>
      <c r="FE528" s="408"/>
      <c r="FF528" s="408">
        <v>0</v>
      </c>
      <c r="FG528" s="408">
        <v>0</v>
      </c>
      <c r="FH528" s="408">
        <v>0</v>
      </c>
      <c r="FI528" s="408">
        <v>0</v>
      </c>
    </row>
    <row r="529" spans="1:165">
      <c r="A529" s="408">
        <v>527</v>
      </c>
      <c r="B529" s="408" t="s">
        <v>1036</v>
      </c>
      <c r="C529" s="408" t="s">
        <v>2243</v>
      </c>
      <c r="D529" s="408" t="s">
        <v>597</v>
      </c>
      <c r="E529" s="408" t="s">
        <v>2246</v>
      </c>
      <c r="F529" s="408" t="s">
        <v>1322</v>
      </c>
      <c r="G529" s="408" t="s">
        <v>1322</v>
      </c>
      <c r="H529" s="408" t="s">
        <v>1322</v>
      </c>
      <c r="I529" s="408" t="s">
        <v>973</v>
      </c>
      <c r="J529" s="408" t="s">
        <v>2236</v>
      </c>
      <c r="K529" s="826">
        <v>44593</v>
      </c>
      <c r="L529" s="408">
        <v>0</v>
      </c>
      <c r="M529" s="408">
        <v>0</v>
      </c>
      <c r="N529" s="408">
        <v>5.1139999999999999</v>
      </c>
      <c r="O529" s="408">
        <v>5.1139999999999999</v>
      </c>
      <c r="P529" s="408">
        <v>5.1139999999999999</v>
      </c>
      <c r="Q529" s="408">
        <v>5.1139999999999999</v>
      </c>
      <c r="R529" s="408"/>
      <c r="S529" s="408">
        <v>1358.36</v>
      </c>
      <c r="T529" s="408">
        <v>173.25</v>
      </c>
      <c r="U529" s="408"/>
      <c r="V529" s="408">
        <v>7832.6535399999993</v>
      </c>
      <c r="W529" s="408">
        <v>7832.6535399999993</v>
      </c>
      <c r="X529" s="408">
        <v>6867.6928799999996</v>
      </c>
      <c r="Y529" s="408">
        <v>0</v>
      </c>
      <c r="Z529" s="408">
        <v>273.82559818697456</v>
      </c>
      <c r="AA529" s="408">
        <v>0</v>
      </c>
      <c r="AB529" s="408">
        <v>0</v>
      </c>
      <c r="AC529" s="408">
        <v>96.869839747937746</v>
      </c>
      <c r="AD529" s="408">
        <v>93.070481199203869</v>
      </c>
      <c r="AE529" s="408">
        <v>5157.5084637170403</v>
      </c>
      <c r="AF529" s="408">
        <v>871.12116657329068</v>
      </c>
      <c r="AG529" s="408">
        <v>14.867592275187953</v>
      </c>
      <c r="AH529" s="408">
        <v>0</v>
      </c>
      <c r="AI529" s="408">
        <v>0</v>
      </c>
      <c r="AJ529" s="408">
        <v>0</v>
      </c>
      <c r="AK529" s="408">
        <v>0</v>
      </c>
      <c r="AL529" s="408">
        <v>48.629180838242142</v>
      </c>
      <c r="AM529" s="408"/>
      <c r="AN529" s="408">
        <v>4.0953619129919003</v>
      </c>
      <c r="AO529" s="408">
        <v>205.63814469699645</v>
      </c>
      <c r="AP529" s="408">
        <v>958.85506142699717</v>
      </c>
      <c r="AQ529" s="408">
        <v>0</v>
      </c>
      <c r="AR529" s="408">
        <v>0</v>
      </c>
      <c r="AS529" s="408">
        <v>0</v>
      </c>
      <c r="AT529" s="408">
        <v>0</v>
      </c>
      <c r="AU529" s="408">
        <v>0</v>
      </c>
      <c r="AV529" s="408">
        <v>0</v>
      </c>
      <c r="AW529" s="408">
        <v>0</v>
      </c>
      <c r="AX529" s="408">
        <v>0</v>
      </c>
      <c r="AY529" s="408">
        <v>0</v>
      </c>
      <c r="AZ529" s="408">
        <v>0</v>
      </c>
      <c r="BA529" s="408"/>
      <c r="BB529" s="408">
        <v>0</v>
      </c>
      <c r="BC529" s="408">
        <v>0</v>
      </c>
      <c r="BD529" s="408">
        <v>0</v>
      </c>
      <c r="BE529" s="408">
        <v>0</v>
      </c>
      <c r="BF529" s="408">
        <v>0</v>
      </c>
      <c r="BG529" s="408">
        <v>38.245849765488181</v>
      </c>
      <c r="BH529" s="408">
        <v>0</v>
      </c>
      <c r="BI529" s="408">
        <v>0</v>
      </c>
      <c r="BJ529" s="408">
        <v>0</v>
      </c>
      <c r="BK529" s="408">
        <v>0</v>
      </c>
      <c r="BL529" s="408">
        <v>0</v>
      </c>
      <c r="BM529" s="408"/>
      <c r="BN529" s="408"/>
      <c r="BO529" s="408"/>
      <c r="BP529" s="408"/>
      <c r="BQ529" s="408"/>
      <c r="BR529" s="408"/>
      <c r="BS529" s="408"/>
      <c r="BT529" s="408"/>
      <c r="BU529" s="408"/>
      <c r="BV529" s="408">
        <v>909.36701633877885</v>
      </c>
      <c r="BW529" s="408"/>
      <c r="BX529" s="408"/>
      <c r="BY529" s="408"/>
      <c r="BZ529" s="408"/>
      <c r="CA529" s="408"/>
      <c r="CB529" s="408"/>
      <c r="CC529" s="408"/>
      <c r="CD529" s="408"/>
      <c r="CE529" s="408"/>
      <c r="CF529" s="408"/>
      <c r="CG529" s="408"/>
      <c r="CH529" s="408"/>
      <c r="CI529" s="408">
        <v>6862.3212000000003</v>
      </c>
      <c r="CJ529" s="408">
        <v>-970.36233999999968</v>
      </c>
      <c r="CK529" s="408"/>
      <c r="CL529" s="408"/>
      <c r="CM529" s="408"/>
      <c r="CN529" s="408"/>
      <c r="CO529" s="408">
        <v>-1075.3719199999998</v>
      </c>
      <c r="CP529" s="408">
        <v>110.41126000000001</v>
      </c>
      <c r="CQ529" s="408">
        <v>29</v>
      </c>
      <c r="CR529" s="408">
        <v>316.23294059969294</v>
      </c>
      <c r="CS529" s="408">
        <v>20.491401579319557</v>
      </c>
      <c r="CT529" s="408">
        <v>95.547857373522334</v>
      </c>
      <c r="CU529" s="408">
        <v>0</v>
      </c>
      <c r="CV529" s="408">
        <v>0</v>
      </c>
      <c r="CW529" s="408">
        <v>0</v>
      </c>
      <c r="CX529" s="408">
        <v>0</v>
      </c>
      <c r="CY529" s="408">
        <v>0</v>
      </c>
      <c r="CZ529" s="408">
        <v>95.831757936908616</v>
      </c>
      <c r="DA529" s="408">
        <v>0</v>
      </c>
      <c r="DB529" s="408">
        <v>0</v>
      </c>
      <c r="DC529" s="408">
        <v>110.39879393025797</v>
      </c>
      <c r="DD529" s="408">
        <v>0</v>
      </c>
      <c r="DE529" s="408">
        <v>0</v>
      </c>
      <c r="DF529" s="408">
        <v>0</v>
      </c>
      <c r="DG529" s="408">
        <v>4.8469671602136017</v>
      </c>
      <c r="DH529" s="408">
        <v>0</v>
      </c>
      <c r="DI529" s="408">
        <v>-9.2982508185393726</v>
      </c>
      <c r="DJ529" s="408"/>
      <c r="DK529" s="408">
        <v>0</v>
      </c>
      <c r="DL529" s="408">
        <v>0</v>
      </c>
      <c r="DM529" s="408">
        <v>0</v>
      </c>
      <c r="DN529" s="408">
        <v>0</v>
      </c>
      <c r="DO529" s="408">
        <v>-1.4697229176240185</v>
      </c>
      <c r="DP529" s="408">
        <v>-0.11586364436551122</v>
      </c>
      <c r="DQ529" s="408">
        <v>0</v>
      </c>
      <c r="DR529" s="408">
        <v>0</v>
      </c>
      <c r="DS529" s="408"/>
      <c r="DT529" s="408"/>
      <c r="DU529" s="408"/>
      <c r="DV529" s="408">
        <v>5157.5084637170403</v>
      </c>
      <c r="DW529" s="408">
        <v>0</v>
      </c>
      <c r="DX529" s="408">
        <v>0</v>
      </c>
      <c r="DY529" s="408">
        <v>-1075.3719199999996</v>
      </c>
      <c r="DZ529" s="408">
        <v>110.41125999999997</v>
      </c>
      <c r="EA529" s="408">
        <v>0</v>
      </c>
      <c r="EB529" s="408">
        <v>0</v>
      </c>
      <c r="EC529" s="408">
        <v>-1281.2125869656775</v>
      </c>
      <c r="ED529" s="408">
        <v>0</v>
      </c>
      <c r="EE529" s="408">
        <v>0</v>
      </c>
      <c r="EF529" s="408">
        <v>0</v>
      </c>
      <c r="EG529" s="408">
        <v>0</v>
      </c>
      <c r="EH529" s="408">
        <v>0</v>
      </c>
      <c r="EI529" s="408">
        <v>0</v>
      </c>
      <c r="EJ529" s="408">
        <v>0</v>
      </c>
      <c r="EK529" s="408">
        <v>0</v>
      </c>
      <c r="EL529" s="408">
        <v>0</v>
      </c>
      <c r="EM529" s="408">
        <v>0</v>
      </c>
      <c r="EN529" s="408">
        <v>0</v>
      </c>
      <c r="EO529" s="408">
        <v>0</v>
      </c>
      <c r="EP529" s="408">
        <v>69.930174077619284</v>
      </c>
      <c r="EQ529" s="408">
        <v>0</v>
      </c>
      <c r="ER529" s="408">
        <v>0</v>
      </c>
      <c r="ES529" s="408">
        <v>0</v>
      </c>
      <c r="ET529" s="408">
        <v>0</v>
      </c>
      <c r="EU529" s="408">
        <v>0</v>
      </c>
      <c r="EV529" s="408">
        <v>240</v>
      </c>
      <c r="EW529" s="408">
        <v>0</v>
      </c>
      <c r="EX529" s="408">
        <v>0</v>
      </c>
      <c r="EY529" s="408">
        <v>0</v>
      </c>
      <c r="EZ529" s="408"/>
      <c r="FA529" s="408">
        <v>0</v>
      </c>
      <c r="FB529" s="408"/>
      <c r="FC529" s="408"/>
      <c r="FD529" s="408"/>
      <c r="FE529" s="408"/>
      <c r="FF529" s="408">
        <v>0</v>
      </c>
      <c r="FG529" s="408">
        <v>0</v>
      </c>
      <c r="FH529" s="408">
        <v>0</v>
      </c>
      <c r="FI529" s="408">
        <v>0</v>
      </c>
    </row>
    <row r="530" spans="1:165">
      <c r="A530" s="408">
        <v>528</v>
      </c>
      <c r="B530" s="408" t="s">
        <v>2238</v>
      </c>
      <c r="C530" s="408" t="s">
        <v>2243</v>
      </c>
      <c r="D530" s="408" t="s">
        <v>597</v>
      </c>
      <c r="E530" s="408" t="s">
        <v>2246</v>
      </c>
      <c r="F530" s="408" t="s">
        <v>1322</v>
      </c>
      <c r="G530" s="408" t="s">
        <v>1322</v>
      </c>
      <c r="H530" s="408" t="s">
        <v>1322</v>
      </c>
      <c r="I530" s="408" t="s">
        <v>973</v>
      </c>
      <c r="J530" s="408" t="s">
        <v>2236</v>
      </c>
      <c r="K530" s="826">
        <v>44593</v>
      </c>
      <c r="L530" s="408">
        <v>0</v>
      </c>
      <c r="M530" s="408">
        <v>0</v>
      </c>
      <c r="N530" s="408">
        <v>0.746</v>
      </c>
      <c r="O530" s="408">
        <v>0.746</v>
      </c>
      <c r="P530" s="408">
        <v>0.746</v>
      </c>
      <c r="Q530" s="408">
        <v>0.746</v>
      </c>
      <c r="R530" s="408"/>
      <c r="S530" s="408">
        <v>1358.36</v>
      </c>
      <c r="T530" s="408">
        <v>173.25</v>
      </c>
      <c r="U530" s="408"/>
      <c r="V530" s="408">
        <v>1142.58106</v>
      </c>
      <c r="W530" s="408">
        <v>1142.58106</v>
      </c>
      <c r="X530" s="408">
        <v>1001.81832</v>
      </c>
      <c r="Y530" s="408">
        <v>0</v>
      </c>
      <c r="Z530" s="408">
        <v>39.944054800055341</v>
      </c>
      <c r="AA530" s="408">
        <v>0</v>
      </c>
      <c r="AB530" s="408">
        <v>0</v>
      </c>
      <c r="AC530" s="408">
        <v>14.130797898310826</v>
      </c>
      <c r="AD530" s="408">
        <v>13.576569998945265</v>
      </c>
      <c r="AE530" s="408">
        <v>752.34675673306856</v>
      </c>
      <c r="AF530" s="408">
        <v>127.07399105664349</v>
      </c>
      <c r="AG530" s="408">
        <v>2.1687962137837729</v>
      </c>
      <c r="AH530" s="408">
        <v>0</v>
      </c>
      <c r="AI530" s="408">
        <v>0</v>
      </c>
      <c r="AJ530" s="408">
        <v>0</v>
      </c>
      <c r="AK530" s="408">
        <v>0</v>
      </c>
      <c r="AL530" s="408">
        <v>7.0937365868847557</v>
      </c>
      <c r="AM530" s="408"/>
      <c r="AN530" s="408">
        <v>0.59740711519201362</v>
      </c>
      <c r="AO530" s="408">
        <v>29.997273356268941</v>
      </c>
      <c r="AP530" s="408">
        <v>139.87209147918261</v>
      </c>
      <c r="AQ530" s="408">
        <v>0</v>
      </c>
      <c r="AR530" s="408">
        <v>0</v>
      </c>
      <c r="AS530" s="408">
        <v>0</v>
      </c>
      <c r="AT530" s="408">
        <v>0</v>
      </c>
      <c r="AU530" s="408">
        <v>0</v>
      </c>
      <c r="AV530" s="408">
        <v>0</v>
      </c>
      <c r="AW530" s="408">
        <v>0</v>
      </c>
      <c r="AX530" s="408">
        <v>0</v>
      </c>
      <c r="AY530" s="408">
        <v>0</v>
      </c>
      <c r="AZ530" s="408">
        <v>0</v>
      </c>
      <c r="BA530" s="408"/>
      <c r="BB530" s="408">
        <v>0</v>
      </c>
      <c r="BC530" s="408">
        <v>0</v>
      </c>
      <c r="BD530" s="408">
        <v>0</v>
      </c>
      <c r="BE530" s="408">
        <v>0</v>
      </c>
      <c r="BF530" s="408">
        <v>0</v>
      </c>
      <c r="BG530" s="408">
        <v>5.5790778109218193</v>
      </c>
      <c r="BH530" s="408">
        <v>0</v>
      </c>
      <c r="BI530" s="408">
        <v>0</v>
      </c>
      <c r="BJ530" s="408">
        <v>0</v>
      </c>
      <c r="BK530" s="408">
        <v>0</v>
      </c>
      <c r="BL530" s="408">
        <v>0</v>
      </c>
      <c r="BM530" s="408"/>
      <c r="BN530" s="408"/>
      <c r="BO530" s="408"/>
      <c r="BP530" s="408"/>
      <c r="BQ530" s="408"/>
      <c r="BR530" s="408"/>
      <c r="BS530" s="408"/>
      <c r="BT530" s="408"/>
      <c r="BU530" s="408"/>
      <c r="BV530" s="408">
        <v>132.65306886756531</v>
      </c>
      <c r="BW530" s="408"/>
      <c r="BX530" s="408"/>
      <c r="BY530" s="408"/>
      <c r="BZ530" s="408"/>
      <c r="CA530" s="408"/>
      <c r="CB530" s="408"/>
      <c r="CC530" s="408"/>
      <c r="CD530" s="408"/>
      <c r="CE530" s="408"/>
      <c r="CF530" s="408"/>
      <c r="CG530" s="408"/>
      <c r="CH530" s="408"/>
      <c r="CI530" s="408">
        <v>1007.1899999999999</v>
      </c>
      <c r="CJ530" s="408">
        <v>-135.42106000000001</v>
      </c>
      <c r="CK530" s="408"/>
      <c r="CL530" s="408"/>
      <c r="CM530" s="408"/>
      <c r="CN530" s="408"/>
      <c r="CO530" s="408">
        <v>-156.86887999999999</v>
      </c>
      <c r="CP530" s="408">
        <v>16.106140000000003</v>
      </c>
      <c r="CQ530" s="408">
        <v>29</v>
      </c>
      <c r="CR530" s="408">
        <v>46.130186485602508</v>
      </c>
      <c r="CS530" s="408">
        <v>2.9891641725014395</v>
      </c>
      <c r="CT530" s="408">
        <v>13.937954947330411</v>
      </c>
      <c r="CU530" s="408">
        <v>0</v>
      </c>
      <c r="CV530" s="408">
        <v>0</v>
      </c>
      <c r="CW530" s="408">
        <v>0</v>
      </c>
      <c r="CX530" s="408">
        <v>0</v>
      </c>
      <c r="CY530" s="408">
        <v>0</v>
      </c>
      <c r="CZ530" s="408">
        <v>13.979368678321046</v>
      </c>
      <c r="DA530" s="408">
        <v>0</v>
      </c>
      <c r="DB530" s="408">
        <v>0</v>
      </c>
      <c r="DC530" s="408">
        <v>16.104321523655145</v>
      </c>
      <c r="DD530" s="408">
        <v>0</v>
      </c>
      <c r="DE530" s="408">
        <v>0</v>
      </c>
      <c r="DF530" s="408">
        <v>0</v>
      </c>
      <c r="DG530" s="408">
        <v>0.70704683252235867</v>
      </c>
      <c r="DH530" s="408">
        <v>0</v>
      </c>
      <c r="DI530" s="408">
        <v>-1.3563737017266959</v>
      </c>
      <c r="DJ530" s="408"/>
      <c r="DK530" s="408">
        <v>0</v>
      </c>
      <c r="DL530" s="408">
        <v>0</v>
      </c>
      <c r="DM530" s="408">
        <v>0</v>
      </c>
      <c r="DN530" s="408">
        <v>0</v>
      </c>
      <c r="DO530" s="408">
        <v>-0.21439446549619046</v>
      </c>
      <c r="DP530" s="408">
        <v>-1.6901501505019789E-2</v>
      </c>
      <c r="DQ530" s="408">
        <v>0</v>
      </c>
      <c r="DR530" s="408">
        <v>0</v>
      </c>
      <c r="DS530" s="408"/>
      <c r="DT530" s="408"/>
      <c r="DU530" s="408"/>
      <c r="DV530" s="408">
        <v>752.34675673306856</v>
      </c>
      <c r="DW530" s="408">
        <v>0</v>
      </c>
      <c r="DX530" s="408">
        <v>0</v>
      </c>
      <c r="DY530" s="408">
        <v>-156.86887999999999</v>
      </c>
      <c r="DZ530" s="408">
        <v>16.106140000000011</v>
      </c>
      <c r="EA530" s="408">
        <v>0</v>
      </c>
      <c r="EB530" s="408">
        <v>0</v>
      </c>
      <c r="EC530" s="408">
        <v>-186.89569610410558</v>
      </c>
      <c r="ED530" s="408">
        <v>0</v>
      </c>
      <c r="EE530" s="408">
        <v>0</v>
      </c>
      <c r="EF530" s="408">
        <v>0</v>
      </c>
      <c r="EG530" s="408">
        <v>0</v>
      </c>
      <c r="EH530" s="408">
        <v>0</v>
      </c>
      <c r="EI530" s="408">
        <v>0</v>
      </c>
      <c r="EJ530" s="408">
        <v>0</v>
      </c>
      <c r="EK530" s="408">
        <v>0</v>
      </c>
      <c r="EL530" s="408">
        <v>0</v>
      </c>
      <c r="EM530" s="408">
        <v>0</v>
      </c>
      <c r="EN530" s="408">
        <v>0</v>
      </c>
      <c r="EO530" s="408">
        <v>0</v>
      </c>
      <c r="EP530" s="408">
        <v>10.200999190829876</v>
      </c>
      <c r="EQ530" s="408">
        <v>0</v>
      </c>
      <c r="ER530" s="408">
        <v>0</v>
      </c>
      <c r="ES530" s="408">
        <v>0</v>
      </c>
      <c r="ET530" s="408">
        <v>0</v>
      </c>
      <c r="EU530" s="408">
        <v>0</v>
      </c>
      <c r="EV530" s="408">
        <v>240</v>
      </c>
      <c r="EW530" s="408">
        <v>0</v>
      </c>
      <c r="EX530" s="408">
        <v>0</v>
      </c>
      <c r="EY530" s="408">
        <v>0</v>
      </c>
      <c r="EZ530" s="408"/>
      <c r="FA530" s="408">
        <v>0</v>
      </c>
      <c r="FB530" s="408"/>
      <c r="FC530" s="408"/>
      <c r="FD530" s="408"/>
      <c r="FE530" s="408"/>
      <c r="FF530" s="408">
        <v>0</v>
      </c>
      <c r="FG530" s="408">
        <v>0</v>
      </c>
      <c r="FH530" s="408">
        <v>0</v>
      </c>
      <c r="FI530" s="408">
        <v>0</v>
      </c>
    </row>
    <row r="531" spans="1:165">
      <c r="A531" s="408">
        <v>529</v>
      </c>
      <c r="B531" s="408" t="s">
        <v>1036</v>
      </c>
      <c r="C531" s="408" t="s">
        <v>2243</v>
      </c>
      <c r="D531" s="408" t="s">
        <v>597</v>
      </c>
      <c r="E531" s="408" t="s">
        <v>2246</v>
      </c>
      <c r="F531" s="408" t="s">
        <v>1322</v>
      </c>
      <c r="G531" s="408" t="s">
        <v>1322</v>
      </c>
      <c r="H531" s="408" t="s">
        <v>1322</v>
      </c>
      <c r="I531" s="408" t="s">
        <v>2244</v>
      </c>
      <c r="J531" s="408" t="s">
        <v>2236</v>
      </c>
      <c r="K531" s="826">
        <v>44593</v>
      </c>
      <c r="L531" s="408">
        <v>0</v>
      </c>
      <c r="M531" s="408">
        <v>0</v>
      </c>
      <c r="N531" s="408">
        <v>34.762999999999998</v>
      </c>
      <c r="O531" s="408">
        <v>34.762999999999998</v>
      </c>
      <c r="P531" s="408">
        <v>34.762999999999998</v>
      </c>
      <c r="Q531" s="408">
        <v>34.762999999999998</v>
      </c>
      <c r="R531" s="408"/>
      <c r="S531" s="408">
        <v>85.01</v>
      </c>
      <c r="T531" s="408">
        <v>173.25</v>
      </c>
      <c r="U531" s="408"/>
      <c r="V531" s="408">
        <v>8977.8923799999993</v>
      </c>
      <c r="W531" s="408">
        <v>8977.8923799999993</v>
      </c>
      <c r="X531" s="408">
        <v>9687.4052100000008</v>
      </c>
      <c r="Y531" s="408">
        <v>0</v>
      </c>
      <c r="Z531" s="408">
        <v>1861.3608270969487</v>
      </c>
      <c r="AA531" s="408">
        <v>0</v>
      </c>
      <c r="AB531" s="408">
        <v>0</v>
      </c>
      <c r="AC531" s="408">
        <v>0</v>
      </c>
      <c r="AD531" s="408">
        <v>0</v>
      </c>
      <c r="AE531" s="408">
        <v>0</v>
      </c>
      <c r="AF531" s="408">
        <v>5921.5457789572356</v>
      </c>
      <c r="AG531" s="408">
        <v>101.06415922220548</v>
      </c>
      <c r="AH531" s="408">
        <v>0</v>
      </c>
      <c r="AI531" s="408">
        <v>0</v>
      </c>
      <c r="AJ531" s="408">
        <v>0</v>
      </c>
      <c r="AK531" s="408">
        <v>0</v>
      </c>
      <c r="AL531" s="408">
        <v>330.56241953066319</v>
      </c>
      <c r="AM531" s="408"/>
      <c r="AN531" s="408">
        <v>27.838691079651433</v>
      </c>
      <c r="AO531" s="408">
        <v>0</v>
      </c>
      <c r="AP531" s="408">
        <v>0</v>
      </c>
      <c r="AQ531" s="408">
        <v>0</v>
      </c>
      <c r="AR531" s="408">
        <v>0</v>
      </c>
      <c r="AS531" s="408">
        <v>0</v>
      </c>
      <c r="AT531" s="408">
        <v>0</v>
      </c>
      <c r="AU531" s="408">
        <v>0</v>
      </c>
      <c r="AV531" s="408">
        <v>0</v>
      </c>
      <c r="AW531" s="408">
        <v>0</v>
      </c>
      <c r="AX531" s="408">
        <v>0</v>
      </c>
      <c r="AY531" s="408">
        <v>0</v>
      </c>
      <c r="AZ531" s="408">
        <v>0</v>
      </c>
      <c r="BA531" s="408"/>
      <c r="BB531" s="408">
        <v>0</v>
      </c>
      <c r="BC531" s="408">
        <v>0</v>
      </c>
      <c r="BD531" s="408">
        <v>0</v>
      </c>
      <c r="BE531" s="408">
        <v>0</v>
      </c>
      <c r="BF531" s="408">
        <v>0</v>
      </c>
      <c r="BG531" s="408">
        <v>259.98053879500696</v>
      </c>
      <c r="BH531" s="408">
        <v>0</v>
      </c>
      <c r="BI531" s="408">
        <v>0</v>
      </c>
      <c r="BJ531" s="408">
        <v>0</v>
      </c>
      <c r="BK531" s="408">
        <v>0</v>
      </c>
      <c r="BL531" s="408">
        <v>0</v>
      </c>
      <c r="BM531" s="408"/>
      <c r="BN531" s="408"/>
      <c r="BO531" s="408"/>
      <c r="BP531" s="408"/>
      <c r="BQ531" s="408"/>
      <c r="BR531" s="408"/>
      <c r="BS531" s="408"/>
      <c r="BT531" s="408"/>
      <c r="BU531" s="408"/>
      <c r="BV531" s="408">
        <v>6181.5263177522429</v>
      </c>
      <c r="BW531" s="408"/>
      <c r="BX531" s="408"/>
      <c r="BY531" s="408"/>
      <c r="BZ531" s="408"/>
      <c r="CA531" s="408"/>
      <c r="CB531" s="408"/>
      <c r="CC531" s="408"/>
      <c r="CD531" s="408"/>
      <c r="CE531" s="408"/>
      <c r="CF531" s="408"/>
      <c r="CG531" s="408"/>
      <c r="CH531" s="408"/>
      <c r="CI531" s="408">
        <v>9686.5691999999999</v>
      </c>
      <c r="CJ531" s="408">
        <v>708.64681999999993</v>
      </c>
      <c r="CK531" s="408"/>
      <c r="CL531" s="408"/>
      <c r="CM531" s="408"/>
      <c r="CN531" s="408"/>
      <c r="CO531" s="408">
        <v>-41.020340000000232</v>
      </c>
      <c r="CP531" s="408">
        <v>750.53317000000004</v>
      </c>
      <c r="CQ531" s="408">
        <v>29</v>
      </c>
      <c r="CR531" s="408">
        <v>709.41211457347163</v>
      </c>
      <c r="CS531" s="408">
        <v>0</v>
      </c>
      <c r="CT531" s="408">
        <v>0</v>
      </c>
      <c r="CU531" s="408">
        <v>0</v>
      </c>
      <c r="CV531" s="408">
        <v>0</v>
      </c>
      <c r="CW531" s="408">
        <v>0</v>
      </c>
      <c r="CX531" s="408">
        <v>0</v>
      </c>
      <c r="CY531" s="408">
        <v>0</v>
      </c>
      <c r="CZ531" s="408">
        <v>0</v>
      </c>
      <c r="DA531" s="408">
        <v>0</v>
      </c>
      <c r="DB531" s="408">
        <v>0</v>
      </c>
      <c r="DC531" s="408">
        <v>750.44843046491133</v>
      </c>
      <c r="DD531" s="408">
        <v>0</v>
      </c>
      <c r="DE531" s="408">
        <v>0</v>
      </c>
      <c r="DF531" s="408">
        <v>0</v>
      </c>
      <c r="DG531" s="408">
        <v>32.947813725167236</v>
      </c>
      <c r="DH531" s="408">
        <v>0</v>
      </c>
      <c r="DI531" s="408">
        <v>-63.205923583277809</v>
      </c>
      <c r="DJ531" s="408"/>
      <c r="DK531" s="408">
        <v>0</v>
      </c>
      <c r="DL531" s="408">
        <v>0</v>
      </c>
      <c r="DM531" s="408">
        <v>0</v>
      </c>
      <c r="DN531" s="408">
        <v>0</v>
      </c>
      <c r="DO531" s="408">
        <v>-9.9906096568955149</v>
      </c>
      <c r="DP531" s="408">
        <v>-0.78759637643297964</v>
      </c>
      <c r="DQ531" s="408">
        <v>0</v>
      </c>
      <c r="DR531" s="408">
        <v>0</v>
      </c>
      <c r="DS531" s="408"/>
      <c r="DT531" s="408"/>
      <c r="DU531" s="408"/>
      <c r="DV531" s="408">
        <v>0</v>
      </c>
      <c r="DW531" s="408">
        <v>0</v>
      </c>
      <c r="DX531" s="408">
        <v>0</v>
      </c>
      <c r="DY531" s="408">
        <v>-41.020340000000488</v>
      </c>
      <c r="DZ531" s="408">
        <v>750.53317000000061</v>
      </c>
      <c r="EA531" s="408">
        <v>0</v>
      </c>
      <c r="EB531" s="408">
        <v>0</v>
      </c>
      <c r="EC531" s="408">
        <v>0</v>
      </c>
      <c r="ED531" s="408">
        <v>0</v>
      </c>
      <c r="EE531" s="408">
        <v>0</v>
      </c>
      <c r="EF531" s="408">
        <v>0</v>
      </c>
      <c r="EG531" s="408">
        <v>0</v>
      </c>
      <c r="EH531" s="408">
        <v>0</v>
      </c>
      <c r="EI531" s="408">
        <v>0</v>
      </c>
      <c r="EJ531" s="408">
        <v>0</v>
      </c>
      <c r="EK531" s="408">
        <v>0</v>
      </c>
      <c r="EL531" s="408">
        <v>0</v>
      </c>
      <c r="EM531" s="408">
        <v>0</v>
      </c>
      <c r="EN531" s="408">
        <v>0</v>
      </c>
      <c r="EO531" s="408">
        <v>0</v>
      </c>
      <c r="EP531" s="408">
        <v>475.35835773568226</v>
      </c>
      <c r="EQ531" s="408">
        <v>0</v>
      </c>
      <c r="ER531" s="408">
        <v>0</v>
      </c>
      <c r="ES531" s="408">
        <v>0</v>
      </c>
      <c r="ET531" s="408">
        <v>0</v>
      </c>
      <c r="EU531" s="408">
        <v>0</v>
      </c>
      <c r="EV531" s="408">
        <v>240</v>
      </c>
      <c r="EW531" s="408">
        <v>0</v>
      </c>
      <c r="EX531" s="408">
        <v>0</v>
      </c>
      <c r="EY531" s="408">
        <v>0</v>
      </c>
      <c r="EZ531" s="408"/>
      <c r="FA531" s="408">
        <v>0</v>
      </c>
      <c r="FB531" s="408"/>
      <c r="FC531" s="408"/>
      <c r="FD531" s="408"/>
      <c r="FE531" s="408"/>
      <c r="FF531" s="408">
        <v>0</v>
      </c>
      <c r="FG531" s="408">
        <v>0</v>
      </c>
      <c r="FH531" s="408">
        <v>0</v>
      </c>
      <c r="FI531" s="408">
        <v>0</v>
      </c>
    </row>
    <row r="532" spans="1:165">
      <c r="A532" s="408">
        <v>530</v>
      </c>
      <c r="B532" s="408" t="s">
        <v>2238</v>
      </c>
      <c r="C532" s="408" t="s">
        <v>2243</v>
      </c>
      <c r="D532" s="408" t="s">
        <v>597</v>
      </c>
      <c r="E532" s="408" t="s">
        <v>2246</v>
      </c>
      <c r="F532" s="408" t="s">
        <v>1322</v>
      </c>
      <c r="G532" s="408" t="s">
        <v>1322</v>
      </c>
      <c r="H532" s="408" t="s">
        <v>1322</v>
      </c>
      <c r="I532" s="408" t="s">
        <v>2244</v>
      </c>
      <c r="J532" s="408" t="s">
        <v>2236</v>
      </c>
      <c r="K532" s="826">
        <v>44593</v>
      </c>
      <c r="L532" s="408">
        <v>0</v>
      </c>
      <c r="M532" s="408">
        <v>0</v>
      </c>
      <c r="N532" s="408">
        <v>3.5459999999999998</v>
      </c>
      <c r="O532" s="408">
        <v>3.5459999999999998</v>
      </c>
      <c r="P532" s="408">
        <v>3.5459999999999998</v>
      </c>
      <c r="Q532" s="408">
        <v>3.5459999999999998</v>
      </c>
      <c r="R532" s="408"/>
      <c r="S532" s="408">
        <v>85.01</v>
      </c>
      <c r="T532" s="408">
        <v>173.25</v>
      </c>
      <c r="U532" s="408"/>
      <c r="V532" s="408">
        <v>915.78995999999995</v>
      </c>
      <c r="W532" s="408">
        <v>915.78995999999995</v>
      </c>
      <c r="X532" s="408">
        <v>988.16381999999999</v>
      </c>
      <c r="Y532" s="408">
        <v>0</v>
      </c>
      <c r="Z532" s="408">
        <v>189.86812107372151</v>
      </c>
      <c r="AA532" s="408">
        <v>0</v>
      </c>
      <c r="AB532" s="408">
        <v>0</v>
      </c>
      <c r="AC532" s="408">
        <v>0</v>
      </c>
      <c r="AD532" s="408">
        <v>0</v>
      </c>
      <c r="AE532" s="408">
        <v>0</v>
      </c>
      <c r="AF532" s="408">
        <v>604.02730869551988</v>
      </c>
      <c r="AG532" s="408">
        <v>10.309050099299272</v>
      </c>
      <c r="AH532" s="408">
        <v>0</v>
      </c>
      <c r="AI532" s="408">
        <v>0</v>
      </c>
      <c r="AJ532" s="408">
        <v>0</v>
      </c>
      <c r="AK532" s="408">
        <v>0</v>
      </c>
      <c r="AL532" s="408">
        <v>33.719021363395903</v>
      </c>
      <c r="AM532" s="408"/>
      <c r="AN532" s="408">
        <v>2.8396858317304026</v>
      </c>
      <c r="AO532" s="408">
        <v>0</v>
      </c>
      <c r="AP532" s="408">
        <v>0</v>
      </c>
      <c r="AQ532" s="408">
        <v>0</v>
      </c>
      <c r="AR532" s="408">
        <v>0</v>
      </c>
      <c r="AS532" s="408">
        <v>0</v>
      </c>
      <c r="AT532" s="408">
        <v>0</v>
      </c>
      <c r="AU532" s="408">
        <v>0</v>
      </c>
      <c r="AV532" s="408">
        <v>0</v>
      </c>
      <c r="AW532" s="408">
        <v>0</v>
      </c>
      <c r="AX532" s="408">
        <v>0</v>
      </c>
      <c r="AY532" s="408">
        <v>0</v>
      </c>
      <c r="AZ532" s="408">
        <v>0</v>
      </c>
      <c r="BA532" s="408"/>
      <c r="BB532" s="408">
        <v>0</v>
      </c>
      <c r="BC532" s="408">
        <v>0</v>
      </c>
      <c r="BD532" s="408">
        <v>0</v>
      </c>
      <c r="BE532" s="408">
        <v>0</v>
      </c>
      <c r="BF532" s="408">
        <v>0</v>
      </c>
      <c r="BG532" s="408">
        <v>26.519316243336153</v>
      </c>
      <c r="BH532" s="408">
        <v>0</v>
      </c>
      <c r="BI532" s="408">
        <v>0</v>
      </c>
      <c r="BJ532" s="408">
        <v>0</v>
      </c>
      <c r="BK532" s="408">
        <v>0</v>
      </c>
      <c r="BL532" s="408">
        <v>0</v>
      </c>
      <c r="BM532" s="408"/>
      <c r="BN532" s="408"/>
      <c r="BO532" s="408"/>
      <c r="BP532" s="408"/>
      <c r="BQ532" s="408"/>
      <c r="BR532" s="408"/>
      <c r="BS532" s="408"/>
      <c r="BT532" s="408"/>
      <c r="BU532" s="408"/>
      <c r="BV532" s="408">
        <v>630.54662493885598</v>
      </c>
      <c r="BW532" s="408"/>
      <c r="BX532" s="408"/>
      <c r="BY532" s="408"/>
      <c r="BZ532" s="408"/>
      <c r="CA532" s="408"/>
      <c r="CB532" s="408"/>
      <c r="CC532" s="408"/>
      <c r="CD532" s="408"/>
      <c r="CE532" s="408"/>
      <c r="CF532" s="408"/>
      <c r="CG532" s="408"/>
      <c r="CH532" s="408"/>
      <c r="CI532" s="408">
        <v>989.27850000000001</v>
      </c>
      <c r="CJ532" s="408">
        <v>73.458540000000085</v>
      </c>
      <c r="CK532" s="408"/>
      <c r="CL532" s="408"/>
      <c r="CM532" s="408"/>
      <c r="CN532" s="408"/>
      <c r="CO532" s="408">
        <v>-4.1842800000000242</v>
      </c>
      <c r="CP532" s="408">
        <v>76.558140000000009</v>
      </c>
      <c r="CQ532" s="408">
        <v>29</v>
      </c>
      <c r="CR532" s="408">
        <v>72.36358652238107</v>
      </c>
      <c r="CS532" s="408">
        <v>0</v>
      </c>
      <c r="CT532" s="408">
        <v>0</v>
      </c>
      <c r="CU532" s="408">
        <v>0</v>
      </c>
      <c r="CV532" s="408">
        <v>0</v>
      </c>
      <c r="CW532" s="408">
        <v>0</v>
      </c>
      <c r="CX532" s="408">
        <v>0</v>
      </c>
      <c r="CY532" s="408">
        <v>0</v>
      </c>
      <c r="CZ532" s="408">
        <v>0</v>
      </c>
      <c r="DA532" s="408">
        <v>0</v>
      </c>
      <c r="DB532" s="408">
        <v>0</v>
      </c>
      <c r="DC532" s="408">
        <v>76.549496143272336</v>
      </c>
      <c r="DD532" s="408">
        <v>0</v>
      </c>
      <c r="DE532" s="408">
        <v>0</v>
      </c>
      <c r="DF532" s="408">
        <v>0</v>
      </c>
      <c r="DG532" s="408">
        <v>3.3608419143757189</v>
      </c>
      <c r="DH532" s="408">
        <v>0</v>
      </c>
      <c r="DI532" s="408">
        <v>-6.4473205714784001</v>
      </c>
      <c r="DJ532" s="408"/>
      <c r="DK532" s="408">
        <v>0</v>
      </c>
      <c r="DL532" s="408">
        <v>0</v>
      </c>
      <c r="DM532" s="408">
        <v>0</v>
      </c>
      <c r="DN532" s="408">
        <v>0</v>
      </c>
      <c r="DO532" s="408">
        <v>-1.0190921912191584</v>
      </c>
      <c r="DP532" s="408">
        <v>-8.0338772569437555E-2</v>
      </c>
      <c r="DQ532" s="408">
        <v>0</v>
      </c>
      <c r="DR532" s="408">
        <v>0</v>
      </c>
      <c r="DS532" s="408"/>
      <c r="DT532" s="408"/>
      <c r="DU532" s="408"/>
      <c r="DV532" s="408">
        <v>0</v>
      </c>
      <c r="DW532" s="408">
        <v>0</v>
      </c>
      <c r="DX532" s="408">
        <v>0</v>
      </c>
      <c r="DY532" s="408">
        <v>-4.184280000000058</v>
      </c>
      <c r="DZ532" s="408">
        <v>76.558140000000094</v>
      </c>
      <c r="EA532" s="408">
        <v>0</v>
      </c>
      <c r="EB532" s="408">
        <v>0</v>
      </c>
      <c r="EC532" s="408">
        <v>0</v>
      </c>
      <c r="ED532" s="408">
        <v>0</v>
      </c>
      <c r="EE532" s="408">
        <v>0</v>
      </c>
      <c r="EF532" s="408">
        <v>0</v>
      </c>
      <c r="EG532" s="408">
        <v>0</v>
      </c>
      <c r="EH532" s="408">
        <v>0</v>
      </c>
      <c r="EI532" s="408">
        <v>0</v>
      </c>
      <c r="EJ532" s="408">
        <v>0</v>
      </c>
      <c r="EK532" s="408">
        <v>0</v>
      </c>
      <c r="EL532" s="408">
        <v>0</v>
      </c>
      <c r="EM532" s="408">
        <v>0</v>
      </c>
      <c r="EN532" s="408">
        <v>0</v>
      </c>
      <c r="EO532" s="408">
        <v>0</v>
      </c>
      <c r="EP532" s="408">
        <v>48.488931810566676</v>
      </c>
      <c r="EQ532" s="408">
        <v>0</v>
      </c>
      <c r="ER532" s="408">
        <v>0</v>
      </c>
      <c r="ES532" s="408">
        <v>0</v>
      </c>
      <c r="ET532" s="408">
        <v>0</v>
      </c>
      <c r="EU532" s="408">
        <v>0</v>
      </c>
      <c r="EV532" s="408">
        <v>240</v>
      </c>
      <c r="EW532" s="408">
        <v>0</v>
      </c>
      <c r="EX532" s="408">
        <v>0</v>
      </c>
      <c r="EY532" s="408">
        <v>0</v>
      </c>
      <c r="EZ532" s="408"/>
      <c r="FA532" s="408">
        <v>0</v>
      </c>
      <c r="FB532" s="408"/>
      <c r="FC532" s="408"/>
      <c r="FD532" s="408"/>
      <c r="FE532" s="408"/>
      <c r="FF532" s="408">
        <v>0</v>
      </c>
      <c r="FG532" s="408">
        <v>0</v>
      </c>
      <c r="FH532" s="408">
        <v>0</v>
      </c>
      <c r="FI532" s="408">
        <v>0</v>
      </c>
    </row>
    <row r="533" spans="1:165">
      <c r="A533" s="408">
        <v>531</v>
      </c>
      <c r="B533" s="408" t="s">
        <v>1036</v>
      </c>
      <c r="C533" s="408" t="s">
        <v>2243</v>
      </c>
      <c r="D533" s="408" t="s">
        <v>597</v>
      </c>
      <c r="E533" s="408" t="s">
        <v>2246</v>
      </c>
      <c r="F533" s="408" t="s">
        <v>1322</v>
      </c>
      <c r="G533" s="408" t="s">
        <v>1322</v>
      </c>
      <c r="H533" s="408" t="s">
        <v>1322</v>
      </c>
      <c r="I533" s="408" t="s">
        <v>1322</v>
      </c>
      <c r="J533" s="408" t="s">
        <v>2236</v>
      </c>
      <c r="K533" s="826">
        <v>44593</v>
      </c>
      <c r="L533" s="408">
        <v>214</v>
      </c>
      <c r="M533" s="408">
        <v>214</v>
      </c>
      <c r="N533" s="408">
        <v>0</v>
      </c>
      <c r="O533" s="408">
        <v>0</v>
      </c>
      <c r="P533" s="408">
        <v>0</v>
      </c>
      <c r="Q533" s="408">
        <v>0</v>
      </c>
      <c r="R533" s="408">
        <v>27.19</v>
      </c>
      <c r="S533" s="408"/>
      <c r="T533" s="408"/>
      <c r="U533" s="408">
        <v>5818.66</v>
      </c>
      <c r="V533" s="408"/>
      <c r="W533" s="408">
        <v>5818.66</v>
      </c>
      <c r="X533" s="408">
        <v>4656.6400000000003</v>
      </c>
      <c r="Y533" s="408">
        <v>0</v>
      </c>
      <c r="Z533" s="408">
        <v>0</v>
      </c>
      <c r="AA533" s="408">
        <v>0</v>
      </c>
      <c r="AB533" s="408">
        <v>0</v>
      </c>
      <c r="AC533" s="408">
        <v>49.904931273498697</v>
      </c>
      <c r="AD533" s="408">
        <v>47.943455625270737</v>
      </c>
      <c r="AE533" s="408">
        <v>5121.4544720361328</v>
      </c>
      <c r="AF533" s="408"/>
      <c r="AG533" s="408"/>
      <c r="AH533" s="408"/>
      <c r="AI533" s="408">
        <v>0</v>
      </c>
      <c r="AJ533" s="408">
        <v>0</v>
      </c>
      <c r="AK533" s="408">
        <v>0</v>
      </c>
      <c r="AL533" s="408">
        <v>0</v>
      </c>
      <c r="AM533" s="408"/>
      <c r="AN533" s="408">
        <v>0</v>
      </c>
      <c r="AO533" s="408">
        <v>105.9053538533593</v>
      </c>
      <c r="AP533" s="408">
        <v>493.9310124044589</v>
      </c>
      <c r="AQ533" s="408">
        <v>0</v>
      </c>
      <c r="AR533" s="408">
        <v>0</v>
      </c>
      <c r="AS533" s="408"/>
      <c r="AT533" s="408"/>
      <c r="AU533" s="408">
        <v>0</v>
      </c>
      <c r="AV533" s="408">
        <v>0</v>
      </c>
      <c r="AW533" s="408">
        <v>0</v>
      </c>
      <c r="AX533" s="408"/>
      <c r="AY533" s="408"/>
      <c r="AZ533" s="408">
        <v>0</v>
      </c>
      <c r="BA533" s="408"/>
      <c r="BB533" s="408">
        <v>0</v>
      </c>
      <c r="BC533" s="408">
        <v>0</v>
      </c>
      <c r="BD533" s="408">
        <v>0</v>
      </c>
      <c r="BE533" s="408">
        <v>0</v>
      </c>
      <c r="BF533" s="408"/>
      <c r="BG533" s="408">
        <v>0</v>
      </c>
      <c r="BH533" s="408">
        <v>0</v>
      </c>
      <c r="BI533" s="408">
        <v>19.829999999999998</v>
      </c>
      <c r="BJ533" s="408">
        <v>170.22</v>
      </c>
      <c r="BK533" s="408">
        <v>9456.59</v>
      </c>
      <c r="BL533" s="408">
        <v>5</v>
      </c>
      <c r="BM533" s="408"/>
      <c r="BN533" s="408"/>
      <c r="BO533" s="408"/>
      <c r="BP533" s="408"/>
      <c r="BQ533" s="408"/>
      <c r="BR533" s="408"/>
      <c r="BS533" s="408"/>
      <c r="BT533" s="408"/>
      <c r="BU533" s="408"/>
      <c r="BV533" s="408">
        <v>0</v>
      </c>
      <c r="BW533" s="408"/>
      <c r="BX533" s="408"/>
      <c r="BY533" s="408"/>
      <c r="BZ533" s="408"/>
      <c r="CA533" s="408"/>
      <c r="CB533" s="408"/>
      <c r="CC533" s="408"/>
      <c r="CD533" s="408"/>
      <c r="CE533" s="408"/>
      <c r="CF533" s="408"/>
      <c r="CG533" s="408"/>
      <c r="CH533" s="408"/>
      <c r="CI533" s="408">
        <v>4656.6400000000003</v>
      </c>
      <c r="CJ533" s="408">
        <v>-1162.0500000000002</v>
      </c>
      <c r="CK533" s="408"/>
      <c r="CL533" s="408"/>
      <c r="CM533" s="408"/>
      <c r="CN533" s="408"/>
      <c r="CO533" s="408">
        <v>-1162.02</v>
      </c>
      <c r="CP533" s="408">
        <v>0</v>
      </c>
      <c r="CQ533" s="408">
        <v>29</v>
      </c>
      <c r="CR533" s="408">
        <v>109.13828563286143</v>
      </c>
      <c r="CS533" s="408">
        <v>10.553242144869643</v>
      </c>
      <c r="CT533" s="408">
        <v>49.219169636904667</v>
      </c>
      <c r="CU533" s="408">
        <v>0</v>
      </c>
      <c r="CV533" s="408">
        <v>0</v>
      </c>
      <c r="CW533" s="408"/>
      <c r="CX533" s="408"/>
      <c r="CY533" s="408"/>
      <c r="CZ533" s="408">
        <v>49.365873851087137</v>
      </c>
      <c r="DA533" s="408">
        <v>0</v>
      </c>
      <c r="DB533" s="408">
        <v>0</v>
      </c>
      <c r="DC533" s="408"/>
      <c r="DD533" s="408"/>
      <c r="DE533" s="408">
        <v>0</v>
      </c>
      <c r="DF533" s="408">
        <v>0</v>
      </c>
      <c r="DG533" s="408">
        <v>0</v>
      </c>
      <c r="DH533" s="408">
        <v>0</v>
      </c>
      <c r="DI533" s="408">
        <v>0</v>
      </c>
      <c r="DJ533" s="408"/>
      <c r="DK533" s="408">
        <v>0</v>
      </c>
      <c r="DL533" s="408">
        <v>0</v>
      </c>
      <c r="DM533" s="408"/>
      <c r="DN533" s="408">
        <v>0</v>
      </c>
      <c r="DO533" s="408">
        <v>0</v>
      </c>
      <c r="DP533" s="408">
        <v>0</v>
      </c>
      <c r="DQ533" s="408">
        <v>0</v>
      </c>
      <c r="DR533" s="408">
        <v>0</v>
      </c>
      <c r="DS533" s="408"/>
      <c r="DT533" s="408"/>
      <c r="DU533" s="408">
        <v>5121.4544720361328</v>
      </c>
      <c r="DV533" s="408"/>
      <c r="DW533" s="408">
        <v>0</v>
      </c>
      <c r="DX533" s="408">
        <v>0</v>
      </c>
      <c r="DY533" s="408">
        <v>-1162.0199999999995</v>
      </c>
      <c r="DZ533" s="408"/>
      <c r="EA533" s="408">
        <v>0</v>
      </c>
      <c r="EB533" s="408"/>
      <c r="EC533" s="408">
        <v>-1272.2561638639081</v>
      </c>
      <c r="ED533" s="408"/>
      <c r="EE533" s="408">
        <v>0</v>
      </c>
      <c r="EF533" s="408">
        <v>0</v>
      </c>
      <c r="EG533" s="408"/>
      <c r="EH533" s="408">
        <v>0</v>
      </c>
      <c r="EI533" s="408">
        <v>0</v>
      </c>
      <c r="EJ533" s="408">
        <v>0</v>
      </c>
      <c r="EK533" s="408">
        <v>0</v>
      </c>
      <c r="EL533" s="408">
        <v>0</v>
      </c>
      <c r="EM533" s="408"/>
      <c r="EN533" s="408"/>
      <c r="EO533" s="408">
        <v>0</v>
      </c>
      <c r="EP533" s="408">
        <v>0</v>
      </c>
      <c r="EQ533" s="408"/>
      <c r="ER533" s="408">
        <v>0</v>
      </c>
      <c r="ES533" s="408"/>
      <c r="ET533" s="408">
        <v>0</v>
      </c>
      <c r="EU533" s="408"/>
      <c r="EV533" s="408">
        <v>240</v>
      </c>
      <c r="EW533" s="408"/>
      <c r="EX533" s="408"/>
      <c r="EY533" s="408"/>
      <c r="EZ533" s="408"/>
      <c r="FA533" s="408">
        <v>0</v>
      </c>
      <c r="FB533" s="408"/>
      <c r="FC533" s="408"/>
      <c r="FD533" s="408"/>
      <c r="FE533" s="408"/>
      <c r="FF533" s="408">
        <v>0</v>
      </c>
      <c r="FG533" s="408">
        <v>0</v>
      </c>
      <c r="FH533" s="408">
        <v>0</v>
      </c>
      <c r="FI533" s="408">
        <v>0</v>
      </c>
    </row>
    <row r="534" spans="1:165">
      <c r="A534" s="408">
        <v>532</v>
      </c>
      <c r="B534" s="408" t="s">
        <v>2238</v>
      </c>
      <c r="C534" s="408" t="s">
        <v>2243</v>
      </c>
      <c r="D534" s="408" t="s">
        <v>597</v>
      </c>
      <c r="E534" s="408" t="s">
        <v>2246</v>
      </c>
      <c r="F534" s="408" t="s">
        <v>1322</v>
      </c>
      <c r="G534" s="408" t="s">
        <v>1322</v>
      </c>
      <c r="H534" s="408" t="s">
        <v>1322</v>
      </c>
      <c r="I534" s="408" t="s">
        <v>1322</v>
      </c>
      <c r="J534" s="408" t="s">
        <v>2236</v>
      </c>
      <c r="K534" s="826">
        <v>44593</v>
      </c>
      <c r="L534" s="408">
        <v>58</v>
      </c>
      <c r="M534" s="408">
        <v>58</v>
      </c>
      <c r="N534" s="408">
        <v>0</v>
      </c>
      <c r="O534" s="408">
        <v>0</v>
      </c>
      <c r="P534" s="408">
        <v>0</v>
      </c>
      <c r="Q534" s="408">
        <v>0</v>
      </c>
      <c r="R534" s="408">
        <v>27.19</v>
      </c>
      <c r="S534" s="408"/>
      <c r="T534" s="408"/>
      <c r="U534" s="408">
        <v>1577.02</v>
      </c>
      <c r="V534" s="408"/>
      <c r="W534" s="408">
        <v>1577.02</v>
      </c>
      <c r="X534" s="408">
        <v>1262.0800000000002</v>
      </c>
      <c r="Y534" s="408">
        <v>0</v>
      </c>
      <c r="Z534" s="408">
        <v>0</v>
      </c>
      <c r="AA534" s="408">
        <v>0</v>
      </c>
      <c r="AB534" s="408">
        <v>0</v>
      </c>
      <c r="AC534" s="408">
        <v>13.525635578798713</v>
      </c>
      <c r="AD534" s="408">
        <v>12.994020683484592</v>
      </c>
      <c r="AE534" s="408">
        <v>1388.057754103251</v>
      </c>
      <c r="AF534" s="408"/>
      <c r="AG534" s="408"/>
      <c r="AH534" s="408"/>
      <c r="AI534" s="408">
        <v>0</v>
      </c>
      <c r="AJ534" s="408">
        <v>0</v>
      </c>
      <c r="AK534" s="408">
        <v>0</v>
      </c>
      <c r="AL534" s="408">
        <v>0</v>
      </c>
      <c r="AM534" s="408"/>
      <c r="AN534" s="408">
        <v>0</v>
      </c>
      <c r="AO534" s="408">
        <v>28.703320203246911</v>
      </c>
      <c r="AP534" s="408">
        <v>133.86915289466643</v>
      </c>
      <c r="AQ534" s="408">
        <v>0</v>
      </c>
      <c r="AR534" s="408">
        <v>0</v>
      </c>
      <c r="AS534" s="408"/>
      <c r="AT534" s="408"/>
      <c r="AU534" s="408">
        <v>0</v>
      </c>
      <c r="AV534" s="408">
        <v>0</v>
      </c>
      <c r="AW534" s="408">
        <v>0</v>
      </c>
      <c r="AX534" s="408"/>
      <c r="AY534" s="408"/>
      <c r="AZ534" s="408">
        <v>0</v>
      </c>
      <c r="BA534" s="408"/>
      <c r="BB534" s="408">
        <v>0</v>
      </c>
      <c r="BC534" s="408">
        <v>0</v>
      </c>
      <c r="BD534" s="408">
        <v>0</v>
      </c>
      <c r="BE534" s="408">
        <v>0</v>
      </c>
      <c r="BF534" s="408"/>
      <c r="BG534" s="408">
        <v>0</v>
      </c>
      <c r="BH534" s="408">
        <v>0</v>
      </c>
      <c r="BI534" s="408">
        <v>3.29</v>
      </c>
      <c r="BJ534" s="408">
        <v>28.27</v>
      </c>
      <c r="BK534" s="408">
        <v>1618.15</v>
      </c>
      <c r="BL534" s="408">
        <v>1</v>
      </c>
      <c r="BM534" s="408"/>
      <c r="BN534" s="408"/>
      <c r="BO534" s="408"/>
      <c r="BP534" s="408"/>
      <c r="BQ534" s="408"/>
      <c r="BR534" s="408"/>
      <c r="BS534" s="408"/>
      <c r="BT534" s="408"/>
      <c r="BU534" s="408"/>
      <c r="BV534" s="408">
        <v>0</v>
      </c>
      <c r="BW534" s="408"/>
      <c r="BX534" s="408"/>
      <c r="BY534" s="408"/>
      <c r="BZ534" s="408"/>
      <c r="CA534" s="408"/>
      <c r="CB534" s="408"/>
      <c r="CC534" s="408"/>
      <c r="CD534" s="408"/>
      <c r="CE534" s="408"/>
      <c r="CF534" s="408"/>
      <c r="CG534" s="408"/>
      <c r="CH534" s="408"/>
      <c r="CI534" s="408">
        <v>1262.0800000000002</v>
      </c>
      <c r="CJ534" s="408">
        <v>-314.9699999999998</v>
      </c>
      <c r="CK534" s="408"/>
      <c r="CL534" s="408"/>
      <c r="CM534" s="408"/>
      <c r="CN534" s="408"/>
      <c r="CO534" s="408">
        <v>-314.94</v>
      </c>
      <c r="CP534" s="408">
        <v>0</v>
      </c>
      <c r="CQ534" s="408">
        <v>29</v>
      </c>
      <c r="CR534" s="408">
        <v>29.579535358439074</v>
      </c>
      <c r="CS534" s="408">
        <v>2.8602245065534539</v>
      </c>
      <c r="CT534" s="408">
        <v>13.339774948319956</v>
      </c>
      <c r="CU534" s="408">
        <v>0</v>
      </c>
      <c r="CV534" s="408">
        <v>0</v>
      </c>
      <c r="CW534" s="408"/>
      <c r="CX534" s="408"/>
      <c r="CY534" s="408"/>
      <c r="CZ534" s="408">
        <v>13.379535903565674</v>
      </c>
      <c r="DA534" s="408">
        <v>0</v>
      </c>
      <c r="DB534" s="408">
        <v>0</v>
      </c>
      <c r="DC534" s="408"/>
      <c r="DD534" s="408"/>
      <c r="DE534" s="408">
        <v>0</v>
      </c>
      <c r="DF534" s="408">
        <v>0</v>
      </c>
      <c r="DG534" s="408">
        <v>0</v>
      </c>
      <c r="DH534" s="408">
        <v>0</v>
      </c>
      <c r="DI534" s="408">
        <v>0</v>
      </c>
      <c r="DJ534" s="408"/>
      <c r="DK534" s="408">
        <v>0</v>
      </c>
      <c r="DL534" s="408">
        <v>0</v>
      </c>
      <c r="DM534" s="408"/>
      <c r="DN534" s="408">
        <v>0</v>
      </c>
      <c r="DO534" s="408">
        <v>0</v>
      </c>
      <c r="DP534" s="408">
        <v>0</v>
      </c>
      <c r="DQ534" s="408">
        <v>0</v>
      </c>
      <c r="DR534" s="408">
        <v>0</v>
      </c>
      <c r="DS534" s="408"/>
      <c r="DT534" s="408"/>
      <c r="DU534" s="408">
        <v>1388.057754103251</v>
      </c>
      <c r="DV534" s="408"/>
      <c r="DW534" s="408">
        <v>0</v>
      </c>
      <c r="DX534" s="408">
        <v>0</v>
      </c>
      <c r="DY534" s="408">
        <v>-314.93999999999983</v>
      </c>
      <c r="DZ534" s="408"/>
      <c r="EA534" s="408">
        <v>0</v>
      </c>
      <c r="EB534" s="408"/>
      <c r="EC534" s="408">
        <v>-344.81709114068553</v>
      </c>
      <c r="ED534" s="408"/>
      <c r="EE534" s="408">
        <v>0</v>
      </c>
      <c r="EF534" s="408">
        <v>0</v>
      </c>
      <c r="EG534" s="408"/>
      <c r="EH534" s="408">
        <v>0</v>
      </c>
      <c r="EI534" s="408">
        <v>0</v>
      </c>
      <c r="EJ534" s="408">
        <v>0</v>
      </c>
      <c r="EK534" s="408">
        <v>0</v>
      </c>
      <c r="EL534" s="408">
        <v>0</v>
      </c>
      <c r="EM534" s="408"/>
      <c r="EN534" s="408"/>
      <c r="EO534" s="408">
        <v>0</v>
      </c>
      <c r="EP534" s="408">
        <v>0</v>
      </c>
      <c r="EQ534" s="408"/>
      <c r="ER534" s="408">
        <v>0</v>
      </c>
      <c r="ES534" s="408"/>
      <c r="ET534" s="408">
        <v>0</v>
      </c>
      <c r="EU534" s="408"/>
      <c r="EV534" s="408">
        <v>240</v>
      </c>
      <c r="EW534" s="408"/>
      <c r="EX534" s="408"/>
      <c r="EY534" s="408"/>
      <c r="EZ534" s="408"/>
      <c r="FA534" s="408">
        <v>0</v>
      </c>
      <c r="FB534" s="408"/>
      <c r="FC534" s="408"/>
      <c r="FD534" s="408"/>
      <c r="FE534" s="408"/>
      <c r="FF534" s="408">
        <v>0</v>
      </c>
      <c r="FG534" s="408">
        <v>0</v>
      </c>
      <c r="FH534" s="408">
        <v>0</v>
      </c>
      <c r="FI534" s="408">
        <v>0</v>
      </c>
    </row>
    <row r="535" spans="1:165">
      <c r="A535" s="408">
        <v>533</v>
      </c>
      <c r="B535" s="408" t="s">
        <v>1036</v>
      </c>
      <c r="C535" s="408" t="s">
        <v>2235</v>
      </c>
      <c r="D535" s="408" t="s">
        <v>2248</v>
      </c>
      <c r="E535" s="408" t="s">
        <v>2249</v>
      </c>
      <c r="F535" s="408" t="s">
        <v>2250</v>
      </c>
      <c r="G535" s="408" t="s">
        <v>1322</v>
      </c>
      <c r="H535" s="408" t="s">
        <v>1322</v>
      </c>
      <c r="I535" s="408" t="s">
        <v>1322</v>
      </c>
      <c r="J535" s="408" t="s">
        <v>2236</v>
      </c>
      <c r="K535" s="826">
        <v>44593</v>
      </c>
      <c r="L535" s="408">
        <v>0</v>
      </c>
      <c r="M535" s="408">
        <v>0</v>
      </c>
      <c r="N535" s="408">
        <v>1455.452</v>
      </c>
      <c r="O535" s="408">
        <v>1455.452</v>
      </c>
      <c r="P535" s="408">
        <v>1455.452</v>
      </c>
      <c r="Q535" s="408">
        <v>1455.452</v>
      </c>
      <c r="R535" s="408"/>
      <c r="S535" s="408">
        <v>199.07</v>
      </c>
      <c r="T535" s="408">
        <v>95.29</v>
      </c>
      <c r="U535" s="408"/>
      <c r="V535" s="408">
        <v>428426.85071999999</v>
      </c>
      <c r="W535" s="408">
        <v>428426.85071999999</v>
      </c>
      <c r="X535" s="408">
        <v>404426.44724000001</v>
      </c>
      <c r="Y535" s="408">
        <v>0</v>
      </c>
      <c r="Z535" s="408">
        <v>49266.832987839494</v>
      </c>
      <c r="AA535" s="408">
        <v>0</v>
      </c>
      <c r="AB535" s="408">
        <v>0</v>
      </c>
      <c r="AC535" s="408">
        <v>2048.9060772347843</v>
      </c>
      <c r="AD535" s="408">
        <v>2642.4936803504083</v>
      </c>
      <c r="AE535" s="408">
        <v>182827.13224454594</v>
      </c>
      <c r="AF535" s="408">
        <v>136357.30822688417</v>
      </c>
      <c r="AG535" s="408">
        <v>2327.2363710713316</v>
      </c>
      <c r="AH535" s="408">
        <v>0</v>
      </c>
      <c r="AI535" s="408">
        <v>0</v>
      </c>
      <c r="AJ535" s="408">
        <v>0</v>
      </c>
      <c r="AK535" s="408">
        <v>0</v>
      </c>
      <c r="AL535" s="408">
        <v>7611.9654243566092</v>
      </c>
      <c r="AM535" s="408"/>
      <c r="AN535" s="408">
        <v>966.88760884795579</v>
      </c>
      <c r="AO535" s="408">
        <v>4349.425529216629</v>
      </c>
      <c r="AP535" s="408">
        <v>20280.729585194345</v>
      </c>
      <c r="AQ535" s="408">
        <v>0</v>
      </c>
      <c r="AR535" s="408">
        <v>0</v>
      </c>
      <c r="AS535" s="408">
        <v>0</v>
      </c>
      <c r="AT535" s="408">
        <v>0</v>
      </c>
      <c r="AU535" s="408">
        <v>0</v>
      </c>
      <c r="AV535" s="408">
        <v>0</v>
      </c>
      <c r="AW535" s="408">
        <v>0</v>
      </c>
      <c r="AX535" s="408">
        <v>0</v>
      </c>
      <c r="AY535" s="408">
        <v>0</v>
      </c>
      <c r="AZ535" s="408">
        <v>0</v>
      </c>
      <c r="BA535" s="408"/>
      <c r="BB535" s="408">
        <v>0</v>
      </c>
      <c r="BC535" s="408">
        <v>0</v>
      </c>
      <c r="BD535" s="408">
        <v>0</v>
      </c>
      <c r="BE535" s="408">
        <v>0</v>
      </c>
      <c r="BF535" s="408">
        <v>0</v>
      </c>
      <c r="BG535" s="408">
        <v>7156.2908402327485</v>
      </c>
      <c r="BH535" s="408">
        <v>0</v>
      </c>
      <c r="BI535" s="408">
        <v>430.3</v>
      </c>
      <c r="BJ535" s="408">
        <v>3691.34</v>
      </c>
      <c r="BK535" s="408">
        <v>153805.07</v>
      </c>
      <c r="BL535" s="408">
        <v>67</v>
      </c>
      <c r="BM535" s="408"/>
      <c r="BN535" s="408"/>
      <c r="BO535" s="408"/>
      <c r="BP535" s="408"/>
      <c r="BQ535" s="408"/>
      <c r="BR535" s="408"/>
      <c r="BS535" s="408"/>
      <c r="BT535" s="408"/>
      <c r="BU535" s="408"/>
      <c r="BV535" s="408">
        <v>143513.59906711691</v>
      </c>
      <c r="BW535" s="408"/>
      <c r="BX535" s="408"/>
      <c r="BY535" s="408"/>
      <c r="BZ535" s="408"/>
      <c r="CA535" s="408"/>
      <c r="CB535" s="408"/>
      <c r="CC535" s="408"/>
      <c r="CD535" s="408"/>
      <c r="CE535" s="408"/>
      <c r="CF535" s="408"/>
      <c r="CG535" s="408"/>
      <c r="CH535" s="408"/>
      <c r="CI535" s="408">
        <v>404425.89150000003</v>
      </c>
      <c r="CJ535" s="408">
        <v>-24000.989219999989</v>
      </c>
      <c r="CK535" s="408"/>
      <c r="CL535" s="408"/>
      <c r="CM535" s="408"/>
      <c r="CN535" s="408"/>
      <c r="CO535" s="408">
        <v>-41276.618719999977</v>
      </c>
      <c r="CP535" s="408">
        <v>17276.215239999987</v>
      </c>
      <c r="CQ535" s="408">
        <v>29</v>
      </c>
      <c r="CR535" s="408">
        <v>21432.621337735472</v>
      </c>
      <c r="CS535" s="408">
        <v>433.41095733892234</v>
      </c>
      <c r="CT535" s="408">
        <v>2020.9313542687341</v>
      </c>
      <c r="CU535" s="408">
        <v>0</v>
      </c>
      <c r="CV535" s="408">
        <v>0</v>
      </c>
      <c r="CW535" s="408">
        <v>0</v>
      </c>
      <c r="CX535" s="408">
        <v>0</v>
      </c>
      <c r="CY535" s="408">
        <v>0</v>
      </c>
      <c r="CZ535" s="408">
        <v>2720.8929347119042</v>
      </c>
      <c r="DA535" s="408">
        <v>0</v>
      </c>
      <c r="DB535" s="408">
        <v>0</v>
      </c>
      <c r="DC535" s="408">
        <v>17280.813449913898</v>
      </c>
      <c r="DD535" s="408">
        <v>0</v>
      </c>
      <c r="DE535" s="408">
        <v>0</v>
      </c>
      <c r="DF535" s="408">
        <v>0</v>
      </c>
      <c r="DG535" s="408">
        <v>906.92995198776771</v>
      </c>
      <c r="DH535" s="408">
        <v>0</v>
      </c>
      <c r="DI535" s="408">
        <v>-1672.9457479106641</v>
      </c>
      <c r="DJ535" s="408"/>
      <c r="DK535" s="408">
        <v>0</v>
      </c>
      <c r="DL535" s="408">
        <v>0</v>
      </c>
      <c r="DM535" s="408">
        <v>0</v>
      </c>
      <c r="DN535" s="408">
        <v>0</v>
      </c>
      <c r="DO535" s="408">
        <v>-230.05692959443149</v>
      </c>
      <c r="DP535" s="408">
        <v>-27.354632980685778</v>
      </c>
      <c r="DQ535" s="408">
        <v>0</v>
      </c>
      <c r="DR535" s="408">
        <v>0</v>
      </c>
      <c r="DS535" s="408"/>
      <c r="DT535" s="408"/>
      <c r="DU535" s="408"/>
      <c r="DV535" s="408">
        <v>182827.13224454594</v>
      </c>
      <c r="DW535" s="408">
        <v>0</v>
      </c>
      <c r="DX535" s="408">
        <v>0</v>
      </c>
      <c r="DY535" s="408">
        <v>-41276.618719999999</v>
      </c>
      <c r="DZ535" s="408">
        <v>17276.21523999999</v>
      </c>
      <c r="EA535" s="408">
        <v>0</v>
      </c>
      <c r="EB535" s="408">
        <v>0</v>
      </c>
      <c r="EC535" s="408">
        <v>-45417.360866865376</v>
      </c>
      <c r="ED535" s="408">
        <v>0</v>
      </c>
      <c r="EE535" s="408">
        <v>0</v>
      </c>
      <c r="EF535" s="408">
        <v>0</v>
      </c>
      <c r="EG535" s="408">
        <v>0</v>
      </c>
      <c r="EH535" s="408">
        <v>0</v>
      </c>
      <c r="EI535" s="408">
        <v>0</v>
      </c>
      <c r="EJ535" s="408">
        <v>0</v>
      </c>
      <c r="EK535" s="408">
        <v>0</v>
      </c>
      <c r="EL535" s="408">
        <v>0</v>
      </c>
      <c r="EM535" s="408">
        <v>0</v>
      </c>
      <c r="EN535" s="408">
        <v>0</v>
      </c>
      <c r="EO535" s="408">
        <v>0</v>
      </c>
      <c r="EP535" s="408">
        <v>12581.870467567169</v>
      </c>
      <c r="EQ535" s="408">
        <v>0</v>
      </c>
      <c r="ER535" s="408">
        <v>0</v>
      </c>
      <c r="ES535" s="408">
        <v>0</v>
      </c>
      <c r="ET535" s="408">
        <v>0</v>
      </c>
      <c r="EU535" s="408">
        <v>0</v>
      </c>
      <c r="EV535" s="408">
        <v>240</v>
      </c>
      <c r="EW535" s="408">
        <v>0</v>
      </c>
      <c r="EX535" s="408">
        <v>0</v>
      </c>
      <c r="EY535" s="408">
        <v>0</v>
      </c>
      <c r="EZ535" s="408"/>
      <c r="FA535" s="408">
        <v>0</v>
      </c>
      <c r="FB535" s="408"/>
      <c r="FC535" s="408"/>
      <c r="FD535" s="408"/>
      <c r="FE535" s="408"/>
      <c r="FF535" s="408">
        <v>0</v>
      </c>
      <c r="FG535" s="408">
        <v>0</v>
      </c>
      <c r="FH535" s="408">
        <v>0</v>
      </c>
      <c r="FI535" s="408">
        <v>0</v>
      </c>
    </row>
    <row r="536" spans="1:165">
      <c r="A536" s="408">
        <v>534</v>
      </c>
      <c r="B536" s="408" t="s">
        <v>1036</v>
      </c>
      <c r="C536" s="408" t="s">
        <v>2235</v>
      </c>
      <c r="D536" s="408" t="s">
        <v>1958</v>
      </c>
      <c r="E536" s="408" t="s">
        <v>1001</v>
      </c>
      <c r="F536" s="408" t="s">
        <v>2251</v>
      </c>
      <c r="G536" s="408" t="s">
        <v>1322</v>
      </c>
      <c r="H536" s="408" t="s">
        <v>1322</v>
      </c>
      <c r="I536" s="408" t="s">
        <v>1322</v>
      </c>
      <c r="J536" s="408" t="s">
        <v>2236</v>
      </c>
      <c r="K536" s="826">
        <v>44593</v>
      </c>
      <c r="L536" s="408">
        <v>0</v>
      </c>
      <c r="M536" s="408">
        <v>0</v>
      </c>
      <c r="N536" s="408">
        <v>687.68899999999996</v>
      </c>
      <c r="O536" s="408">
        <v>646.42765999999995</v>
      </c>
      <c r="P536" s="408">
        <v>687.68899999999996</v>
      </c>
      <c r="Q536" s="408">
        <v>646.42765999999995</v>
      </c>
      <c r="R536" s="408"/>
      <c r="S536" s="408">
        <v>368.24</v>
      </c>
      <c r="T536" s="408">
        <v>173.25</v>
      </c>
      <c r="U536" s="408"/>
      <c r="V536" s="408">
        <v>372376.71661</v>
      </c>
      <c r="W536" s="408">
        <v>372376.71661</v>
      </c>
      <c r="X536" s="408">
        <v>349958.05521000002</v>
      </c>
      <c r="Y536" s="408">
        <v>0</v>
      </c>
      <c r="Z536" s="408">
        <v>42323.945489191829</v>
      </c>
      <c r="AA536" s="408">
        <v>0</v>
      </c>
      <c r="AB536" s="408">
        <v>0</v>
      </c>
      <c r="AC536" s="408">
        <v>1760.165690917526</v>
      </c>
      <c r="AD536" s="408">
        <v>1691.1245328632849</v>
      </c>
      <c r="AE536" s="408">
        <v>161976.27674617613</v>
      </c>
      <c r="AF536" s="408">
        <v>117141.26787634331</v>
      </c>
      <c r="AG536" s="408">
        <v>1999.2725193843817</v>
      </c>
      <c r="AH536" s="408">
        <v>0</v>
      </c>
      <c r="AI536" s="408">
        <v>0</v>
      </c>
      <c r="AJ536" s="408">
        <v>0</v>
      </c>
      <c r="AK536" s="408">
        <v>0</v>
      </c>
      <c r="AL536" s="408">
        <v>6539.2555223836334</v>
      </c>
      <c r="AM536" s="408"/>
      <c r="AN536" s="408">
        <v>830.62977604338448</v>
      </c>
      <c r="AO536" s="408">
        <v>3736.486350833658</v>
      </c>
      <c r="AP536" s="408">
        <v>17422.684621450535</v>
      </c>
      <c r="AQ536" s="408">
        <v>0</v>
      </c>
      <c r="AR536" s="408">
        <v>0</v>
      </c>
      <c r="AS536" s="408">
        <v>0</v>
      </c>
      <c r="AT536" s="408">
        <v>0</v>
      </c>
      <c r="AU536" s="408">
        <v>0</v>
      </c>
      <c r="AV536" s="408">
        <v>0</v>
      </c>
      <c r="AW536" s="408">
        <v>0</v>
      </c>
      <c r="AX536" s="408">
        <v>0</v>
      </c>
      <c r="AY536" s="408">
        <v>0</v>
      </c>
      <c r="AZ536" s="408">
        <v>0</v>
      </c>
      <c r="BA536" s="408"/>
      <c r="BB536" s="408">
        <v>0</v>
      </c>
      <c r="BC536" s="408">
        <v>0</v>
      </c>
      <c r="BD536" s="408">
        <v>0</v>
      </c>
      <c r="BE536" s="408">
        <v>0</v>
      </c>
      <c r="BF536" s="408">
        <v>0</v>
      </c>
      <c r="BG536" s="408">
        <v>6147.7965003671679</v>
      </c>
      <c r="BH536" s="408">
        <v>0</v>
      </c>
      <c r="BI536" s="408">
        <v>299.61</v>
      </c>
      <c r="BJ536" s="408">
        <v>2576.87</v>
      </c>
      <c r="BK536" s="408">
        <v>150207.66</v>
      </c>
      <c r="BL536" s="408">
        <v>201</v>
      </c>
      <c r="BM536" s="408"/>
      <c r="BN536" s="408"/>
      <c r="BO536" s="408"/>
      <c r="BP536" s="408"/>
      <c r="BQ536" s="408">
        <v>20997.483312600009</v>
      </c>
      <c r="BR536" s="408"/>
      <c r="BS536" s="408"/>
      <c r="BT536" s="408"/>
      <c r="BU536" s="408"/>
      <c r="BV536" s="408">
        <v>123289.06437671048</v>
      </c>
      <c r="BW536" s="408"/>
      <c r="BX536" s="408"/>
      <c r="BY536" s="408"/>
      <c r="BZ536" s="408"/>
      <c r="CA536" s="408"/>
      <c r="CB536" s="408"/>
      <c r="CC536" s="408"/>
      <c r="CD536" s="408"/>
      <c r="CE536" s="408"/>
      <c r="CF536" s="408"/>
      <c r="CG536" s="408"/>
      <c r="CH536" s="408"/>
      <c r="CI536" s="408">
        <v>328961.76269999996</v>
      </c>
      <c r="CJ536" s="408">
        <v>-21072.380913400033</v>
      </c>
      <c r="CK536" s="408"/>
      <c r="CL536" s="408"/>
      <c r="CM536" s="408"/>
      <c r="CN536" s="408"/>
      <c r="CO536" s="408">
        <v>-37265.866909999997</v>
      </c>
      <c r="CP536" s="408">
        <v>14847.205510000002</v>
      </c>
      <c r="CQ536" s="408">
        <v>29</v>
      </c>
      <c r="CR536" s="408">
        <v>17816.091563698195</v>
      </c>
      <c r="CS536" s="408">
        <v>372.33287833537861</v>
      </c>
      <c r="CT536" s="408">
        <v>1736.1332825388126</v>
      </c>
      <c r="CU536" s="408">
        <v>0</v>
      </c>
      <c r="CV536" s="408">
        <v>0</v>
      </c>
      <c r="CW536" s="408">
        <v>0</v>
      </c>
      <c r="CX536" s="408">
        <v>0</v>
      </c>
      <c r="CY536" s="408">
        <v>0</v>
      </c>
      <c r="CZ536" s="408">
        <v>1741.2979366427548</v>
      </c>
      <c r="DA536" s="408">
        <v>0</v>
      </c>
      <c r="DB536" s="408">
        <v>0</v>
      </c>
      <c r="DC536" s="408">
        <v>14845.529174639261</v>
      </c>
      <c r="DD536" s="408">
        <v>0</v>
      </c>
      <c r="DE536" s="408">
        <v>0</v>
      </c>
      <c r="DF536" s="408">
        <v>0</v>
      </c>
      <c r="DG536" s="408">
        <v>779.12160215213044</v>
      </c>
      <c r="DH536" s="408">
        <v>0</v>
      </c>
      <c r="DI536" s="408">
        <v>-1437.187258584876</v>
      </c>
      <c r="DJ536" s="408"/>
      <c r="DK536" s="408">
        <v>0</v>
      </c>
      <c r="DL536" s="408">
        <v>0</v>
      </c>
      <c r="DM536" s="408">
        <v>0</v>
      </c>
      <c r="DN536" s="408">
        <v>0</v>
      </c>
      <c r="DO536" s="408">
        <v>-197.63634796596489</v>
      </c>
      <c r="DP536" s="408">
        <v>-23.499704059264218</v>
      </c>
      <c r="DQ536" s="408">
        <v>0</v>
      </c>
      <c r="DR536" s="408">
        <v>0</v>
      </c>
      <c r="DS536" s="408"/>
      <c r="DT536" s="408"/>
      <c r="DU536" s="408"/>
      <c r="DV536" s="408">
        <v>161976.27674617613</v>
      </c>
      <c r="DW536" s="408">
        <v>0</v>
      </c>
      <c r="DX536" s="408">
        <v>0</v>
      </c>
      <c r="DY536" s="408">
        <v>-37265.866909999982</v>
      </c>
      <c r="DZ536" s="408">
        <v>14847.20551</v>
      </c>
      <c r="EA536" s="408">
        <v>0</v>
      </c>
      <c r="EB536" s="408">
        <v>0</v>
      </c>
      <c r="EC536" s="408">
        <v>-40237.654677055514</v>
      </c>
      <c r="ED536" s="408">
        <v>0</v>
      </c>
      <c r="EE536" s="408">
        <v>0</v>
      </c>
      <c r="EF536" s="408">
        <v>0</v>
      </c>
      <c r="EG536" s="408">
        <v>0</v>
      </c>
      <c r="EH536" s="408">
        <v>0</v>
      </c>
      <c r="EI536" s="408">
        <v>0</v>
      </c>
      <c r="EJ536" s="408">
        <v>0</v>
      </c>
      <c r="EK536" s="408">
        <v>0</v>
      </c>
      <c r="EL536" s="408">
        <v>0</v>
      </c>
      <c r="EM536" s="408">
        <v>0</v>
      </c>
      <c r="EN536" s="408">
        <v>0</v>
      </c>
      <c r="EO536" s="408">
        <v>0</v>
      </c>
      <c r="EP536" s="408">
        <v>10808.780827312858</v>
      </c>
      <c r="EQ536" s="408">
        <v>0</v>
      </c>
      <c r="ER536" s="408">
        <v>0</v>
      </c>
      <c r="ES536" s="408">
        <v>0</v>
      </c>
      <c r="ET536" s="408">
        <v>0</v>
      </c>
      <c r="EU536" s="408">
        <v>0</v>
      </c>
      <c r="EV536" s="408">
        <v>240</v>
      </c>
      <c r="EW536" s="408">
        <v>0</v>
      </c>
      <c r="EX536" s="408">
        <v>0</v>
      </c>
      <c r="EY536" s="408">
        <v>0</v>
      </c>
      <c r="EZ536" s="408"/>
      <c r="FA536" s="408">
        <v>0</v>
      </c>
      <c r="FB536" s="408"/>
      <c r="FC536" s="408"/>
      <c r="FD536" s="408"/>
      <c r="FE536" s="408"/>
      <c r="FF536" s="408">
        <v>0</v>
      </c>
      <c r="FG536" s="408">
        <v>0</v>
      </c>
      <c r="FH536" s="408">
        <v>0</v>
      </c>
      <c r="FI536" s="408">
        <v>0</v>
      </c>
    </row>
    <row r="537" spans="1:165">
      <c r="A537" s="408">
        <v>535</v>
      </c>
      <c r="B537" s="408" t="s">
        <v>1036</v>
      </c>
      <c r="C537" s="408" t="s">
        <v>2247</v>
      </c>
      <c r="D537" s="408" t="s">
        <v>597</v>
      </c>
      <c r="E537" s="408" t="s">
        <v>1001</v>
      </c>
      <c r="F537" s="408" t="s">
        <v>2251</v>
      </c>
      <c r="G537" s="408" t="s">
        <v>1322</v>
      </c>
      <c r="H537" s="408" t="s">
        <v>1322</v>
      </c>
      <c r="I537" s="408" t="s">
        <v>973</v>
      </c>
      <c r="J537" s="408" t="s">
        <v>2236</v>
      </c>
      <c r="K537" s="826">
        <v>44593</v>
      </c>
      <c r="L537" s="408">
        <v>78</v>
      </c>
      <c r="M537" s="408">
        <v>73.319999999999993</v>
      </c>
      <c r="N537" s="408">
        <v>3.7610000000000001</v>
      </c>
      <c r="O537" s="408">
        <v>3.5353400000000001</v>
      </c>
      <c r="P537" s="408">
        <v>3.7610000000000001</v>
      </c>
      <c r="Q537" s="408">
        <v>3.5353400000000001</v>
      </c>
      <c r="R537" s="408">
        <v>52.95</v>
      </c>
      <c r="S537" s="408">
        <v>85.01</v>
      </c>
      <c r="T537" s="408">
        <v>173.25</v>
      </c>
      <c r="U537" s="408">
        <v>4130.1000000000004</v>
      </c>
      <c r="V537" s="408">
        <v>971.31586000000004</v>
      </c>
      <c r="W537" s="408">
        <v>5101.4158600000001</v>
      </c>
      <c r="X537" s="408">
        <v>4499.5778700000001</v>
      </c>
      <c r="Y537" s="408">
        <v>0</v>
      </c>
      <c r="Z537" s="408">
        <v>201.38014759116373</v>
      </c>
      <c r="AA537" s="408">
        <v>0</v>
      </c>
      <c r="AB537" s="408">
        <v>0</v>
      </c>
      <c r="AC537" s="408">
        <v>61.437967769655444</v>
      </c>
      <c r="AD537" s="408">
        <v>59.026636731637609</v>
      </c>
      <c r="AE537" s="408">
        <v>3270.8296911335369</v>
      </c>
      <c r="AF537" s="408">
        <v>640.65050987136226</v>
      </c>
      <c r="AG537" s="408">
        <v>10.934105308365643</v>
      </c>
      <c r="AH537" s="408">
        <v>0</v>
      </c>
      <c r="AI537" s="408">
        <v>0</v>
      </c>
      <c r="AJ537" s="408">
        <v>0</v>
      </c>
      <c r="AK537" s="408">
        <v>0</v>
      </c>
      <c r="AL537" s="408">
        <v>35.76346287302087</v>
      </c>
      <c r="AM537" s="408"/>
      <c r="AN537" s="408">
        <v>3.0118608046074575</v>
      </c>
      <c r="AO537" s="408">
        <v>130.41996884625618</v>
      </c>
      <c r="AP537" s="408">
        <v>608.12114336929255</v>
      </c>
      <c r="AQ537" s="408">
        <v>0</v>
      </c>
      <c r="AR537" s="408">
        <v>0</v>
      </c>
      <c r="AS537" s="408">
        <v>0</v>
      </c>
      <c r="AT537" s="408">
        <v>0</v>
      </c>
      <c r="AU537" s="408">
        <v>0</v>
      </c>
      <c r="AV537" s="408">
        <v>0</v>
      </c>
      <c r="AW537" s="408">
        <v>0</v>
      </c>
      <c r="AX537" s="408">
        <v>0</v>
      </c>
      <c r="AY537" s="408">
        <v>0</v>
      </c>
      <c r="AZ537" s="408">
        <v>0</v>
      </c>
      <c r="BA537" s="408"/>
      <c r="BB537" s="408">
        <v>0</v>
      </c>
      <c r="BC537" s="408">
        <v>0</v>
      </c>
      <c r="BD537" s="408">
        <v>0</v>
      </c>
      <c r="BE537" s="408">
        <v>0</v>
      </c>
      <c r="BF537" s="408">
        <v>0</v>
      </c>
      <c r="BG537" s="408">
        <v>28.127227408682256</v>
      </c>
      <c r="BH537" s="408">
        <v>0</v>
      </c>
      <c r="BI537" s="408">
        <v>0</v>
      </c>
      <c r="BJ537" s="408">
        <v>0</v>
      </c>
      <c r="BK537" s="408">
        <v>0</v>
      </c>
      <c r="BL537" s="408">
        <v>0</v>
      </c>
      <c r="BM537" s="408"/>
      <c r="BN537" s="408"/>
      <c r="BO537" s="408"/>
      <c r="BP537" s="408"/>
      <c r="BQ537" s="408">
        <v>269.97467220000033</v>
      </c>
      <c r="BR537" s="408"/>
      <c r="BS537" s="408"/>
      <c r="BT537" s="408"/>
      <c r="BU537" s="408"/>
      <c r="BV537" s="408">
        <v>668.77773728004456</v>
      </c>
      <c r="BW537" s="408"/>
      <c r="BX537" s="408"/>
      <c r="BY537" s="408"/>
      <c r="BZ537" s="408"/>
      <c r="CA537" s="408"/>
      <c r="CB537" s="408"/>
      <c r="CC537" s="408"/>
      <c r="CD537" s="408"/>
      <c r="CE537" s="408"/>
      <c r="CF537" s="408"/>
      <c r="CG537" s="408"/>
      <c r="CH537" s="408"/>
      <c r="CI537" s="408">
        <v>4230.9017999999996</v>
      </c>
      <c r="CJ537" s="408">
        <v>-564.45910840000124</v>
      </c>
      <c r="CK537" s="408"/>
      <c r="CL537" s="408"/>
      <c r="CM537" s="408"/>
      <c r="CN537" s="408"/>
      <c r="CO537" s="408">
        <v>-683.03798000000029</v>
      </c>
      <c r="CP537" s="408">
        <v>81.199990000000014</v>
      </c>
      <c r="CQ537" s="408">
        <v>29</v>
      </c>
      <c r="CR537" s="408">
        <v>211.1230349891789</v>
      </c>
      <c r="CS537" s="408">
        <v>12.996071130329028</v>
      </c>
      <c r="CT537" s="408">
        <v>60.597972112696993</v>
      </c>
      <c r="CU537" s="408">
        <v>0</v>
      </c>
      <c r="CV537" s="408">
        <v>0</v>
      </c>
      <c r="CW537" s="408">
        <v>0</v>
      </c>
      <c r="CX537" s="408">
        <v>0</v>
      </c>
      <c r="CY537" s="408">
        <v>0</v>
      </c>
      <c r="CZ537" s="408">
        <v>60.777878122161496</v>
      </c>
      <c r="DA537" s="408">
        <v>0</v>
      </c>
      <c r="DB537" s="408">
        <v>0</v>
      </c>
      <c r="DC537" s="408">
        <v>81.190822051564282</v>
      </c>
      <c r="DD537" s="408">
        <v>0</v>
      </c>
      <c r="DE537" s="408">
        <v>0</v>
      </c>
      <c r="DF537" s="408">
        <v>0</v>
      </c>
      <c r="DG537" s="408">
        <v>3.5646154653037456</v>
      </c>
      <c r="DH537" s="408">
        <v>0</v>
      </c>
      <c r="DI537" s="408">
        <v>-6.838232563262892</v>
      </c>
      <c r="DJ537" s="408"/>
      <c r="DK537" s="408">
        <v>0</v>
      </c>
      <c r="DL537" s="408">
        <v>0</v>
      </c>
      <c r="DM537" s="408">
        <v>0</v>
      </c>
      <c r="DN537" s="408">
        <v>0</v>
      </c>
      <c r="DO537" s="408">
        <v>-1.0808814808728897</v>
      </c>
      <c r="DP537" s="408">
        <v>-8.5209848740455119E-2</v>
      </c>
      <c r="DQ537" s="408">
        <v>0</v>
      </c>
      <c r="DR537" s="408">
        <v>0</v>
      </c>
      <c r="DS537" s="408"/>
      <c r="DT537" s="408"/>
      <c r="DU537" s="408">
        <v>3270.8296911335369</v>
      </c>
      <c r="DV537" s="408">
        <v>0</v>
      </c>
      <c r="DW537" s="408">
        <v>0</v>
      </c>
      <c r="DX537" s="408">
        <v>0</v>
      </c>
      <c r="DY537" s="408">
        <v>-683.03798000000006</v>
      </c>
      <c r="DZ537" s="408">
        <v>81.199990000000071</v>
      </c>
      <c r="EA537" s="408">
        <v>0</v>
      </c>
      <c r="EB537" s="408">
        <v>0</v>
      </c>
      <c r="EC537" s="408">
        <v>-812.52957694248562</v>
      </c>
      <c r="ED537" s="408">
        <v>0</v>
      </c>
      <c r="EE537" s="408">
        <v>0</v>
      </c>
      <c r="EF537" s="408">
        <v>0</v>
      </c>
      <c r="EG537" s="408">
        <v>0</v>
      </c>
      <c r="EH537" s="408">
        <v>0</v>
      </c>
      <c r="EI537" s="408">
        <v>0</v>
      </c>
      <c r="EJ537" s="408">
        <v>0</v>
      </c>
      <c r="EK537" s="408">
        <v>0</v>
      </c>
      <c r="EL537" s="408">
        <v>0</v>
      </c>
      <c r="EM537" s="408">
        <v>0</v>
      </c>
      <c r="EN537" s="408">
        <v>0</v>
      </c>
      <c r="EO537" s="408">
        <v>0</v>
      </c>
      <c r="EP537" s="408">
        <v>51.428898065296472</v>
      </c>
      <c r="EQ537" s="408">
        <v>0</v>
      </c>
      <c r="ER537" s="408">
        <v>0</v>
      </c>
      <c r="ES537" s="408">
        <v>0</v>
      </c>
      <c r="ET537" s="408">
        <v>0</v>
      </c>
      <c r="EU537" s="408">
        <v>0</v>
      </c>
      <c r="EV537" s="408">
        <v>240</v>
      </c>
      <c r="EW537" s="408">
        <v>0</v>
      </c>
      <c r="EX537" s="408">
        <v>0</v>
      </c>
      <c r="EY537" s="408">
        <v>0</v>
      </c>
      <c r="EZ537" s="408"/>
      <c r="FA537" s="408">
        <v>0</v>
      </c>
      <c r="FB537" s="408"/>
      <c r="FC537" s="408"/>
      <c r="FD537" s="408"/>
      <c r="FE537" s="408"/>
      <c r="FF537" s="408">
        <v>0</v>
      </c>
      <c r="FG537" s="408">
        <v>0</v>
      </c>
      <c r="FH537" s="408">
        <v>0</v>
      </c>
      <c r="FI537" s="408">
        <v>0</v>
      </c>
    </row>
    <row r="538" spans="1:165">
      <c r="A538" s="408">
        <v>536</v>
      </c>
      <c r="B538" s="408" t="s">
        <v>1036</v>
      </c>
      <c r="C538" s="408" t="s">
        <v>2247</v>
      </c>
      <c r="D538" s="408" t="s">
        <v>597</v>
      </c>
      <c r="E538" s="408" t="s">
        <v>1001</v>
      </c>
      <c r="F538" s="408" t="s">
        <v>2251</v>
      </c>
      <c r="G538" s="408" t="s">
        <v>1322</v>
      </c>
      <c r="H538" s="408" t="s">
        <v>1322</v>
      </c>
      <c r="I538" s="408" t="s">
        <v>2244</v>
      </c>
      <c r="J538" s="408" t="s">
        <v>2236</v>
      </c>
      <c r="K538" s="826">
        <v>44593</v>
      </c>
      <c r="L538" s="408">
        <v>78</v>
      </c>
      <c r="M538" s="408">
        <v>73.319999999999993</v>
      </c>
      <c r="N538" s="408">
        <v>23.533999999999999</v>
      </c>
      <c r="O538" s="408">
        <v>22.121960000000001</v>
      </c>
      <c r="P538" s="408">
        <v>23.533999999999999</v>
      </c>
      <c r="Q538" s="408">
        <v>22.121960000000001</v>
      </c>
      <c r="R538" s="408">
        <v>27.19</v>
      </c>
      <c r="S538" s="408">
        <v>85.01</v>
      </c>
      <c r="T538" s="408">
        <v>173.25</v>
      </c>
      <c r="U538" s="408">
        <v>2120.8200000000002</v>
      </c>
      <c r="V538" s="408">
        <v>6077.89084</v>
      </c>
      <c r="W538" s="408">
        <v>8198.7108399999997</v>
      </c>
      <c r="X538" s="408">
        <v>8255.4997800000001</v>
      </c>
      <c r="Y538" s="408">
        <v>0</v>
      </c>
      <c r="Z538" s="408">
        <v>1260.1117770301641</v>
      </c>
      <c r="AA538" s="408">
        <v>0</v>
      </c>
      <c r="AB538" s="408">
        <v>0</v>
      </c>
      <c r="AC538" s="408">
        <v>18.189647847349992</v>
      </c>
      <c r="AD538" s="408">
        <v>17.474717470893072</v>
      </c>
      <c r="AE538" s="408">
        <v>1866.698358966441</v>
      </c>
      <c r="AF538" s="408">
        <v>4008.7926347547559</v>
      </c>
      <c r="AG538" s="408">
        <v>68.418833907757787</v>
      </c>
      <c r="AH538" s="408">
        <v>0</v>
      </c>
      <c r="AI538" s="408">
        <v>0</v>
      </c>
      <c r="AJ538" s="408">
        <v>0</v>
      </c>
      <c r="AK538" s="408">
        <v>0</v>
      </c>
      <c r="AL538" s="408">
        <v>223.78551854657618</v>
      </c>
      <c r="AM538" s="408"/>
      <c r="AN538" s="408">
        <v>18.846352612505161</v>
      </c>
      <c r="AO538" s="408">
        <v>38.601016825056192</v>
      </c>
      <c r="AP538" s="408">
        <v>180.03092975489622</v>
      </c>
      <c r="AQ538" s="408">
        <v>0</v>
      </c>
      <c r="AR538" s="408">
        <v>0</v>
      </c>
      <c r="AS538" s="408">
        <v>0</v>
      </c>
      <c r="AT538" s="408">
        <v>0</v>
      </c>
      <c r="AU538" s="408">
        <v>0</v>
      </c>
      <c r="AV538" s="408">
        <v>0</v>
      </c>
      <c r="AW538" s="408">
        <v>0</v>
      </c>
      <c r="AX538" s="408">
        <v>0</v>
      </c>
      <c r="AY538" s="408">
        <v>0</v>
      </c>
      <c r="AZ538" s="408">
        <v>0</v>
      </c>
      <c r="BA538" s="408"/>
      <c r="BB538" s="408">
        <v>0</v>
      </c>
      <c r="BC538" s="408">
        <v>0</v>
      </c>
      <c r="BD538" s="408">
        <v>0</v>
      </c>
      <c r="BE538" s="408">
        <v>0</v>
      </c>
      <c r="BF538" s="408">
        <v>0</v>
      </c>
      <c r="BG538" s="408">
        <v>176.00270402444247</v>
      </c>
      <c r="BH538" s="408">
        <v>0</v>
      </c>
      <c r="BI538" s="408">
        <v>0</v>
      </c>
      <c r="BJ538" s="408">
        <v>0</v>
      </c>
      <c r="BK538" s="408">
        <v>0</v>
      </c>
      <c r="BL538" s="408">
        <v>0</v>
      </c>
      <c r="BM538" s="408"/>
      <c r="BN538" s="408"/>
      <c r="BO538" s="408"/>
      <c r="BP538" s="408"/>
      <c r="BQ538" s="408">
        <v>495.32998679999946</v>
      </c>
      <c r="BR538" s="408"/>
      <c r="BS538" s="408"/>
      <c r="BT538" s="408"/>
      <c r="BU538" s="408"/>
      <c r="BV538" s="408">
        <v>4184.7953387791986</v>
      </c>
      <c r="BW538" s="408"/>
      <c r="BX538" s="408"/>
      <c r="BY538" s="408"/>
      <c r="BZ538" s="408"/>
      <c r="CA538" s="408"/>
      <c r="CB538" s="408"/>
      <c r="CC538" s="408"/>
      <c r="CD538" s="408"/>
      <c r="CE538" s="408"/>
      <c r="CF538" s="408"/>
      <c r="CG538" s="408"/>
      <c r="CH538" s="408"/>
      <c r="CI538" s="408">
        <v>7759.6236000000008</v>
      </c>
      <c r="CJ538" s="408">
        <v>52.805410400000255</v>
      </c>
      <c r="CK538" s="408"/>
      <c r="CL538" s="408"/>
      <c r="CM538" s="408"/>
      <c r="CN538" s="408"/>
      <c r="CO538" s="408">
        <v>-451.3101200000001</v>
      </c>
      <c r="CP538" s="408">
        <v>508.09906000000007</v>
      </c>
      <c r="CQ538" s="408">
        <v>29</v>
      </c>
      <c r="CR538" s="408">
        <v>520.04013238981133</v>
      </c>
      <c r="CS538" s="408">
        <v>3.8465088191580961</v>
      </c>
      <c r="CT538" s="408">
        <v>17.939697344292341</v>
      </c>
      <c r="CU538" s="408">
        <v>0</v>
      </c>
      <c r="CV538" s="408">
        <v>0</v>
      </c>
      <c r="CW538" s="408">
        <v>0</v>
      </c>
      <c r="CX538" s="408">
        <v>0</v>
      </c>
      <c r="CY538" s="408">
        <v>0</v>
      </c>
      <c r="CZ538" s="408">
        <v>17.993168973760735</v>
      </c>
      <c r="DA538" s="408">
        <v>0</v>
      </c>
      <c r="DB538" s="408">
        <v>0</v>
      </c>
      <c r="DC538" s="408">
        <v>508.04169267788211</v>
      </c>
      <c r="DD538" s="408">
        <v>0</v>
      </c>
      <c r="DE538" s="408">
        <v>0</v>
      </c>
      <c r="DF538" s="408">
        <v>0</v>
      </c>
      <c r="DG538" s="408">
        <v>22.305147662977504</v>
      </c>
      <c r="DH538" s="408">
        <v>0</v>
      </c>
      <c r="DI538" s="408">
        <v>-42.78940844026306</v>
      </c>
      <c r="DJ538" s="408"/>
      <c r="DK538" s="408">
        <v>0</v>
      </c>
      <c r="DL538" s="408">
        <v>0</v>
      </c>
      <c r="DM538" s="408">
        <v>0</v>
      </c>
      <c r="DN538" s="408">
        <v>0</v>
      </c>
      <c r="DO538" s="408">
        <v>-6.7634843847015418</v>
      </c>
      <c r="DP538" s="408">
        <v>-0.53319026329643293</v>
      </c>
      <c r="DQ538" s="408">
        <v>0</v>
      </c>
      <c r="DR538" s="408">
        <v>0</v>
      </c>
      <c r="DS538" s="408"/>
      <c r="DT538" s="408"/>
      <c r="DU538" s="408">
        <v>1866.698358966441</v>
      </c>
      <c r="DV538" s="408">
        <v>0</v>
      </c>
      <c r="DW538" s="408">
        <v>0</v>
      </c>
      <c r="DX538" s="408">
        <v>0</v>
      </c>
      <c r="DY538" s="408">
        <v>-451.3101200000001</v>
      </c>
      <c r="DZ538" s="408">
        <v>508.09906000000001</v>
      </c>
      <c r="EA538" s="408">
        <v>0</v>
      </c>
      <c r="EB538" s="408">
        <v>0</v>
      </c>
      <c r="EC538" s="408">
        <v>-463.71953636161152</v>
      </c>
      <c r="ED538" s="408">
        <v>0</v>
      </c>
      <c r="EE538" s="408">
        <v>0</v>
      </c>
      <c r="EF538" s="408">
        <v>0</v>
      </c>
      <c r="EG538" s="408">
        <v>0</v>
      </c>
      <c r="EH538" s="408">
        <v>0</v>
      </c>
      <c r="EI538" s="408">
        <v>0</v>
      </c>
      <c r="EJ538" s="408">
        <v>0</v>
      </c>
      <c r="EK538" s="408">
        <v>0</v>
      </c>
      <c r="EL538" s="408">
        <v>0</v>
      </c>
      <c r="EM538" s="408">
        <v>0</v>
      </c>
      <c r="EN538" s="408">
        <v>0</v>
      </c>
      <c r="EO538" s="408">
        <v>0</v>
      </c>
      <c r="EP538" s="408">
        <v>321.81007366888781</v>
      </c>
      <c r="EQ538" s="408">
        <v>0</v>
      </c>
      <c r="ER538" s="408">
        <v>0</v>
      </c>
      <c r="ES538" s="408">
        <v>0</v>
      </c>
      <c r="ET538" s="408">
        <v>0</v>
      </c>
      <c r="EU538" s="408">
        <v>0</v>
      </c>
      <c r="EV538" s="408">
        <v>240</v>
      </c>
      <c r="EW538" s="408">
        <v>0</v>
      </c>
      <c r="EX538" s="408">
        <v>0</v>
      </c>
      <c r="EY538" s="408">
        <v>0</v>
      </c>
      <c r="EZ538" s="408"/>
      <c r="FA538" s="408">
        <v>0</v>
      </c>
      <c r="FB538" s="408"/>
      <c r="FC538" s="408"/>
      <c r="FD538" s="408"/>
      <c r="FE538" s="408"/>
      <c r="FF538" s="408">
        <v>0</v>
      </c>
      <c r="FG538" s="408">
        <v>0</v>
      </c>
      <c r="FH538" s="408">
        <v>0</v>
      </c>
      <c r="FI538" s="408">
        <v>0</v>
      </c>
    </row>
    <row r="539" spans="1:165">
      <c r="A539" s="408">
        <v>537</v>
      </c>
      <c r="B539" s="408" t="s">
        <v>1036</v>
      </c>
      <c r="C539" s="408" t="s">
        <v>2247</v>
      </c>
      <c r="D539" s="408" t="s">
        <v>597</v>
      </c>
      <c r="E539" s="408" t="s">
        <v>1001</v>
      </c>
      <c r="F539" s="408" t="s">
        <v>2251</v>
      </c>
      <c r="G539" s="408" t="s">
        <v>1322</v>
      </c>
      <c r="H539" s="408" t="s">
        <v>1322</v>
      </c>
      <c r="I539" s="408" t="s">
        <v>1322</v>
      </c>
      <c r="J539" s="408" t="s">
        <v>2236</v>
      </c>
      <c r="K539" s="826">
        <v>44593</v>
      </c>
      <c r="L539" s="408">
        <v>0</v>
      </c>
      <c r="M539" s="408">
        <v>0</v>
      </c>
      <c r="N539" s="408">
        <v>0</v>
      </c>
      <c r="O539" s="408">
        <v>0</v>
      </c>
      <c r="P539" s="408">
        <v>0</v>
      </c>
      <c r="Q539" s="408">
        <v>0</v>
      </c>
      <c r="R539" s="408"/>
      <c r="S539" s="408"/>
      <c r="T539" s="408"/>
      <c r="U539" s="408"/>
      <c r="V539" s="408"/>
      <c r="W539" s="408"/>
      <c r="X539" s="408"/>
      <c r="Y539" s="408"/>
      <c r="Z539" s="408"/>
      <c r="AA539" s="408">
        <v>0</v>
      </c>
      <c r="AB539" s="408"/>
      <c r="AC539" s="408"/>
      <c r="AD539" s="408"/>
      <c r="AE539" s="408"/>
      <c r="AF539" s="408"/>
      <c r="AG539" s="408"/>
      <c r="AH539" s="408"/>
      <c r="AI539" s="408"/>
      <c r="AJ539" s="408"/>
      <c r="AK539" s="408"/>
      <c r="AL539" s="408"/>
      <c r="AM539" s="408"/>
      <c r="AN539" s="408"/>
      <c r="AO539" s="408"/>
      <c r="AP539" s="408"/>
      <c r="AQ539" s="408"/>
      <c r="AR539" s="408"/>
      <c r="AS539" s="408"/>
      <c r="AT539" s="408"/>
      <c r="AU539" s="408"/>
      <c r="AV539" s="408"/>
      <c r="AW539" s="408"/>
      <c r="AX539" s="408"/>
      <c r="AY539" s="408"/>
      <c r="AZ539" s="408">
        <v>0</v>
      </c>
      <c r="BA539" s="408"/>
      <c r="BB539" s="408"/>
      <c r="BC539" s="408"/>
      <c r="BD539" s="408"/>
      <c r="BE539" s="408"/>
      <c r="BF539" s="408"/>
      <c r="BG539" s="408"/>
      <c r="BH539" s="408"/>
      <c r="BI539" s="408">
        <v>12.31</v>
      </c>
      <c r="BJ539" s="408">
        <v>105.58</v>
      </c>
      <c r="BK539" s="408">
        <v>6156.98</v>
      </c>
      <c r="BL539" s="408">
        <v>1</v>
      </c>
      <c r="BM539" s="408"/>
      <c r="BN539" s="408"/>
      <c r="BO539" s="408"/>
      <c r="BP539" s="408"/>
      <c r="BQ539" s="408"/>
      <c r="BR539" s="408"/>
      <c r="BS539" s="408"/>
      <c r="BT539" s="408"/>
      <c r="BU539" s="408"/>
      <c r="BV539" s="408"/>
      <c r="BW539" s="408"/>
      <c r="BX539" s="408"/>
      <c r="BY539" s="408"/>
      <c r="BZ539" s="408"/>
      <c r="CA539" s="408"/>
      <c r="CB539" s="408"/>
      <c r="CC539" s="408"/>
      <c r="CD539" s="408"/>
      <c r="CE539" s="408"/>
      <c r="CF539" s="408"/>
      <c r="CG539" s="408"/>
      <c r="CH539" s="408"/>
      <c r="CI539" s="408"/>
      <c r="CJ539" s="408">
        <v>-0.03</v>
      </c>
      <c r="CK539" s="408"/>
      <c r="CL539" s="408"/>
      <c r="CM539" s="408"/>
      <c r="CN539" s="408"/>
      <c r="CO539" s="408">
        <v>0</v>
      </c>
      <c r="CP539" s="408">
        <v>0</v>
      </c>
      <c r="CQ539" s="408">
        <v>29</v>
      </c>
      <c r="CR539" s="408"/>
      <c r="CS539" s="408"/>
      <c r="CT539" s="408"/>
      <c r="CU539" s="408"/>
      <c r="CV539" s="408"/>
      <c r="CW539" s="408"/>
      <c r="CX539" s="408"/>
      <c r="CY539" s="408"/>
      <c r="CZ539" s="408"/>
      <c r="DA539" s="408"/>
      <c r="DB539" s="408"/>
      <c r="DC539" s="408"/>
      <c r="DD539" s="408"/>
      <c r="DE539" s="408"/>
      <c r="DF539" s="408"/>
      <c r="DG539" s="408"/>
      <c r="DH539" s="408"/>
      <c r="DI539" s="408"/>
      <c r="DJ539" s="408"/>
      <c r="DK539" s="408">
        <v>0</v>
      </c>
      <c r="DL539" s="408"/>
      <c r="DM539" s="408"/>
      <c r="DN539" s="408"/>
      <c r="DO539" s="408"/>
      <c r="DP539" s="408"/>
      <c r="DQ539" s="408"/>
      <c r="DR539" s="408"/>
      <c r="DS539" s="408"/>
      <c r="DT539" s="408"/>
      <c r="DU539" s="408"/>
      <c r="DV539" s="408"/>
      <c r="DW539" s="408"/>
      <c r="DX539" s="408"/>
      <c r="DY539" s="408"/>
      <c r="DZ539" s="408"/>
      <c r="EA539" s="408"/>
      <c r="EB539" s="408"/>
      <c r="EC539" s="408"/>
      <c r="ED539" s="408"/>
      <c r="EE539" s="408"/>
      <c r="EF539" s="408"/>
      <c r="EG539" s="408"/>
      <c r="EH539" s="408"/>
      <c r="EI539" s="408"/>
      <c r="EJ539" s="408"/>
      <c r="EK539" s="408"/>
      <c r="EL539" s="408"/>
      <c r="EM539" s="408"/>
      <c r="EN539" s="408"/>
      <c r="EO539" s="408"/>
      <c r="EP539" s="408"/>
      <c r="EQ539" s="408"/>
      <c r="ER539" s="408"/>
      <c r="ES539" s="408"/>
      <c r="ET539" s="408"/>
      <c r="EU539" s="408"/>
      <c r="EV539" s="408">
        <v>240</v>
      </c>
      <c r="EW539" s="408"/>
      <c r="EX539" s="408"/>
      <c r="EY539" s="408"/>
      <c r="EZ539" s="408"/>
      <c r="FA539" s="408">
        <v>0</v>
      </c>
      <c r="FB539" s="408"/>
      <c r="FC539" s="408"/>
      <c r="FD539" s="408"/>
      <c r="FE539" s="408"/>
      <c r="FF539" s="408">
        <v>0</v>
      </c>
      <c r="FG539" s="408">
        <v>0</v>
      </c>
      <c r="FH539" s="408">
        <v>0</v>
      </c>
      <c r="FI539" s="408">
        <v>0</v>
      </c>
    </row>
    <row r="540" spans="1:165">
      <c r="A540" s="408">
        <v>538</v>
      </c>
      <c r="B540" s="408" t="s">
        <v>1036</v>
      </c>
      <c r="C540" s="408" t="s">
        <v>2235</v>
      </c>
      <c r="D540" s="408" t="s">
        <v>1958</v>
      </c>
      <c r="E540" s="408" t="s">
        <v>2252</v>
      </c>
      <c r="F540" s="408" t="s">
        <v>1322</v>
      </c>
      <c r="G540" s="408" t="s">
        <v>1322</v>
      </c>
      <c r="H540" s="408" t="s">
        <v>1322</v>
      </c>
      <c r="I540" s="408" t="s">
        <v>1322</v>
      </c>
      <c r="J540" s="408" t="s">
        <v>2236</v>
      </c>
      <c r="K540" s="826">
        <v>44593</v>
      </c>
      <c r="L540" s="408">
        <v>0</v>
      </c>
      <c r="M540" s="408">
        <v>0</v>
      </c>
      <c r="N540" s="408">
        <v>17.864000000000001</v>
      </c>
      <c r="O540" s="408">
        <v>17.864000000000001</v>
      </c>
      <c r="P540" s="408">
        <v>17.864000000000001</v>
      </c>
      <c r="Q540" s="408">
        <v>17.864000000000001</v>
      </c>
      <c r="R540" s="408"/>
      <c r="S540" s="408">
        <v>368.24</v>
      </c>
      <c r="T540" s="408">
        <v>173.25</v>
      </c>
      <c r="U540" s="408"/>
      <c r="V540" s="408">
        <v>9673.1773600000015</v>
      </c>
      <c r="W540" s="408">
        <v>9673.1773600000015</v>
      </c>
      <c r="X540" s="408">
        <v>9090.8109600000007</v>
      </c>
      <c r="Y540" s="408">
        <v>0</v>
      </c>
      <c r="Z540" s="408">
        <v>1099.443152673553</v>
      </c>
      <c r="AA540" s="408">
        <v>0</v>
      </c>
      <c r="AB540" s="408">
        <v>0</v>
      </c>
      <c r="AC540" s="408">
        <v>45.72357548623097</v>
      </c>
      <c r="AD540" s="408">
        <v>43.930103077219094</v>
      </c>
      <c r="AE540" s="408">
        <v>4207.6348578989791</v>
      </c>
      <c r="AF540" s="408">
        <v>3042.9621665360314</v>
      </c>
      <c r="AG540" s="408">
        <v>51.934819789588893</v>
      </c>
      <c r="AH540" s="408">
        <v>0</v>
      </c>
      <c r="AI540" s="408">
        <v>0</v>
      </c>
      <c r="AJ540" s="408">
        <v>0</v>
      </c>
      <c r="AK540" s="408">
        <v>0</v>
      </c>
      <c r="AL540" s="408">
        <v>169.86931687414113</v>
      </c>
      <c r="AM540" s="408"/>
      <c r="AN540" s="408">
        <v>21.57715234537563</v>
      </c>
      <c r="AO540" s="408">
        <v>97.06217806492829</v>
      </c>
      <c r="AP540" s="408">
        <v>452.58661702832586</v>
      </c>
      <c r="AQ540" s="408">
        <v>0</v>
      </c>
      <c r="AR540" s="408">
        <v>0</v>
      </c>
      <c r="AS540" s="408">
        <v>0</v>
      </c>
      <c r="AT540" s="408">
        <v>0</v>
      </c>
      <c r="AU540" s="408">
        <v>0</v>
      </c>
      <c r="AV540" s="408">
        <v>0</v>
      </c>
      <c r="AW540" s="408">
        <v>0</v>
      </c>
      <c r="AX540" s="408">
        <v>0</v>
      </c>
      <c r="AY540" s="408">
        <v>0</v>
      </c>
      <c r="AZ540" s="408">
        <v>0</v>
      </c>
      <c r="BA540" s="408"/>
      <c r="BB540" s="408">
        <v>0</v>
      </c>
      <c r="BC540" s="408">
        <v>0</v>
      </c>
      <c r="BD540" s="408">
        <v>0</v>
      </c>
      <c r="BE540" s="408">
        <v>0</v>
      </c>
      <c r="BF540" s="408">
        <v>0</v>
      </c>
      <c r="BG540" s="408">
        <v>159.70044116244276</v>
      </c>
      <c r="BH540" s="408">
        <v>0</v>
      </c>
      <c r="BI540" s="408">
        <v>8.16</v>
      </c>
      <c r="BJ540" s="408">
        <v>70.239999999999995</v>
      </c>
      <c r="BK540" s="408">
        <v>3901.91</v>
      </c>
      <c r="BL540" s="408">
        <v>5</v>
      </c>
      <c r="BM540" s="408"/>
      <c r="BN540" s="408"/>
      <c r="BO540" s="408"/>
      <c r="BP540" s="408"/>
      <c r="BQ540" s="408"/>
      <c r="BR540" s="408"/>
      <c r="BS540" s="408"/>
      <c r="BT540" s="408"/>
      <c r="BU540" s="408"/>
      <c r="BV540" s="408">
        <v>3202.6626076984739</v>
      </c>
      <c r="BW540" s="408"/>
      <c r="BX540" s="408"/>
      <c r="BY540" s="408"/>
      <c r="BZ540" s="408"/>
      <c r="CA540" s="408"/>
      <c r="CB540" s="408"/>
      <c r="CC540" s="408"/>
      <c r="CD540" s="408"/>
      <c r="CE540" s="408"/>
      <c r="CF540" s="408"/>
      <c r="CG540" s="408"/>
      <c r="CH540" s="408"/>
      <c r="CI540" s="408">
        <v>9088.7754000000004</v>
      </c>
      <c r="CJ540" s="408">
        <v>-584.43196000000171</v>
      </c>
      <c r="CK540" s="408"/>
      <c r="CL540" s="408"/>
      <c r="CM540" s="408"/>
      <c r="CN540" s="408"/>
      <c r="CO540" s="408">
        <v>-968.05016000000001</v>
      </c>
      <c r="CP540" s="408">
        <v>385.68376000000006</v>
      </c>
      <c r="CQ540" s="408">
        <v>29</v>
      </c>
      <c r="CR540" s="408">
        <v>462.80609358867787</v>
      </c>
      <c r="CS540" s="408">
        <v>9.6720385793334032</v>
      </c>
      <c r="CT540" s="408">
        <v>45.099289008946357</v>
      </c>
      <c r="CU540" s="408">
        <v>0</v>
      </c>
      <c r="CV540" s="408">
        <v>0</v>
      </c>
      <c r="CW540" s="408">
        <v>0</v>
      </c>
      <c r="CX540" s="408">
        <v>0</v>
      </c>
      <c r="CY540" s="408">
        <v>0</v>
      </c>
      <c r="CZ540" s="408">
        <v>45.233450498969994</v>
      </c>
      <c r="DA540" s="408">
        <v>0</v>
      </c>
      <c r="DB540" s="408">
        <v>0</v>
      </c>
      <c r="DC540" s="408">
        <v>385.64021407315795</v>
      </c>
      <c r="DD540" s="408">
        <v>0</v>
      </c>
      <c r="DE540" s="408">
        <v>0</v>
      </c>
      <c r="DF540" s="408">
        <v>0</v>
      </c>
      <c r="DG540" s="408">
        <v>20.239131789000055</v>
      </c>
      <c r="DH540" s="408">
        <v>0</v>
      </c>
      <c r="DI540" s="408">
        <v>-37.333610378180083</v>
      </c>
      <c r="DJ540" s="408"/>
      <c r="DK540" s="408">
        <v>0</v>
      </c>
      <c r="DL540" s="408">
        <v>0</v>
      </c>
      <c r="DM540" s="408">
        <v>0</v>
      </c>
      <c r="DN540" s="408">
        <v>0</v>
      </c>
      <c r="DO540" s="408">
        <v>-5.1339714901125433</v>
      </c>
      <c r="DP540" s="408">
        <v>-0.61044849243581822</v>
      </c>
      <c r="DQ540" s="408">
        <v>0</v>
      </c>
      <c r="DR540" s="408">
        <v>0</v>
      </c>
      <c r="DS540" s="408"/>
      <c r="DT540" s="408"/>
      <c r="DU540" s="408"/>
      <c r="DV540" s="408">
        <v>4207.6348578989791</v>
      </c>
      <c r="DW540" s="408">
        <v>0</v>
      </c>
      <c r="DX540" s="408">
        <v>0</v>
      </c>
      <c r="DY540" s="408">
        <v>-968.05015999999978</v>
      </c>
      <c r="DZ540" s="408">
        <v>385.68375999999989</v>
      </c>
      <c r="EA540" s="408">
        <v>0</v>
      </c>
      <c r="EB540" s="408">
        <v>0</v>
      </c>
      <c r="EC540" s="408">
        <v>-1045.2478709866236</v>
      </c>
      <c r="ED540" s="408">
        <v>0</v>
      </c>
      <c r="EE540" s="408">
        <v>0</v>
      </c>
      <c r="EF540" s="408">
        <v>0</v>
      </c>
      <c r="EG540" s="408">
        <v>0</v>
      </c>
      <c r="EH540" s="408">
        <v>0</v>
      </c>
      <c r="EI540" s="408">
        <v>0</v>
      </c>
      <c r="EJ540" s="408">
        <v>0</v>
      </c>
      <c r="EK540" s="408">
        <v>0</v>
      </c>
      <c r="EL540" s="408">
        <v>0</v>
      </c>
      <c r="EM540" s="408">
        <v>0</v>
      </c>
      <c r="EN540" s="408">
        <v>0</v>
      </c>
      <c r="EO540" s="408">
        <v>0</v>
      </c>
      <c r="EP540" s="408">
        <v>280.77817254473592</v>
      </c>
      <c r="EQ540" s="408">
        <v>0</v>
      </c>
      <c r="ER540" s="408">
        <v>0</v>
      </c>
      <c r="ES540" s="408">
        <v>0</v>
      </c>
      <c r="ET540" s="408">
        <v>0</v>
      </c>
      <c r="EU540" s="408">
        <v>0</v>
      </c>
      <c r="EV540" s="408">
        <v>240</v>
      </c>
      <c r="EW540" s="408">
        <v>0</v>
      </c>
      <c r="EX540" s="408">
        <v>0</v>
      </c>
      <c r="EY540" s="408">
        <v>0</v>
      </c>
      <c r="EZ540" s="408"/>
      <c r="FA540" s="408">
        <v>0</v>
      </c>
      <c r="FB540" s="408"/>
      <c r="FC540" s="408"/>
      <c r="FD540" s="408"/>
      <c r="FE540" s="408"/>
      <c r="FF540" s="408">
        <v>0</v>
      </c>
      <c r="FG540" s="408">
        <v>0</v>
      </c>
      <c r="FH540" s="408">
        <v>0</v>
      </c>
      <c r="FI540" s="408">
        <v>0</v>
      </c>
    </row>
    <row r="541" spans="1:165">
      <c r="A541" s="408">
        <v>539</v>
      </c>
      <c r="B541" s="408" t="s">
        <v>2238</v>
      </c>
      <c r="C541" s="408" t="s">
        <v>2235</v>
      </c>
      <c r="D541" s="408" t="s">
        <v>1958</v>
      </c>
      <c r="E541" s="408" t="s">
        <v>2252</v>
      </c>
      <c r="F541" s="408" t="s">
        <v>1322</v>
      </c>
      <c r="G541" s="408" t="s">
        <v>1322</v>
      </c>
      <c r="H541" s="408" t="s">
        <v>1322</v>
      </c>
      <c r="I541" s="408" t="s">
        <v>1322</v>
      </c>
      <c r="J541" s="408" t="s">
        <v>2236</v>
      </c>
      <c r="K541" s="826">
        <v>44593</v>
      </c>
      <c r="L541" s="408">
        <v>0</v>
      </c>
      <c r="M541" s="408">
        <v>0</v>
      </c>
      <c r="N541" s="408">
        <v>4.532</v>
      </c>
      <c r="O541" s="408">
        <v>4.532</v>
      </c>
      <c r="P541" s="408">
        <v>4.532</v>
      </c>
      <c r="Q541" s="408">
        <v>4.532</v>
      </c>
      <c r="R541" s="408"/>
      <c r="S541" s="408">
        <v>368.24</v>
      </c>
      <c r="T541" s="408">
        <v>173.25</v>
      </c>
      <c r="U541" s="408"/>
      <c r="V541" s="408">
        <v>2454.0326800000003</v>
      </c>
      <c r="W541" s="408">
        <v>2454.0326800000003</v>
      </c>
      <c r="X541" s="408">
        <v>2306.2894799999999</v>
      </c>
      <c r="Y541" s="408">
        <v>0</v>
      </c>
      <c r="Z541" s="408">
        <v>278.92277025954667</v>
      </c>
      <c r="AA541" s="408">
        <v>0</v>
      </c>
      <c r="AB541" s="408">
        <v>0</v>
      </c>
      <c r="AC541" s="408">
        <v>11.599823337639876</v>
      </c>
      <c r="AD541" s="408">
        <v>11.144829105796962</v>
      </c>
      <c r="AE541" s="408">
        <v>1067.4541634571301</v>
      </c>
      <c r="AF541" s="408">
        <v>771.98301269263857</v>
      </c>
      <c r="AG541" s="408">
        <v>13.175582360412946</v>
      </c>
      <c r="AH541" s="408">
        <v>0</v>
      </c>
      <c r="AI541" s="408">
        <v>0</v>
      </c>
      <c r="AJ541" s="408">
        <v>0</v>
      </c>
      <c r="AK541" s="408">
        <v>0</v>
      </c>
      <c r="AL541" s="408">
        <v>43.09492521683876</v>
      </c>
      <c r="AM541" s="408"/>
      <c r="AN541" s="408">
        <v>5.4740066294918464</v>
      </c>
      <c r="AO541" s="408">
        <v>24.624148622383284</v>
      </c>
      <c r="AP541" s="408">
        <v>114.81877230028957</v>
      </c>
      <c r="AQ541" s="408">
        <v>0</v>
      </c>
      <c r="AR541" s="408">
        <v>0</v>
      </c>
      <c r="AS541" s="408">
        <v>0</v>
      </c>
      <c r="AT541" s="408">
        <v>0</v>
      </c>
      <c r="AU541" s="408">
        <v>0</v>
      </c>
      <c r="AV541" s="408">
        <v>0</v>
      </c>
      <c r="AW541" s="408">
        <v>0</v>
      </c>
      <c r="AX541" s="408">
        <v>0</v>
      </c>
      <c r="AY541" s="408">
        <v>0</v>
      </c>
      <c r="AZ541" s="408">
        <v>0</v>
      </c>
      <c r="BA541" s="408"/>
      <c r="BB541" s="408">
        <v>0</v>
      </c>
      <c r="BC541" s="408">
        <v>0</v>
      </c>
      <c r="BD541" s="408">
        <v>0</v>
      </c>
      <c r="BE541" s="408">
        <v>0</v>
      </c>
      <c r="BF541" s="408">
        <v>0</v>
      </c>
      <c r="BG541" s="408">
        <v>40.515136551063065</v>
      </c>
      <c r="BH541" s="408">
        <v>0</v>
      </c>
      <c r="BI541" s="408">
        <v>2.0699999999999998</v>
      </c>
      <c r="BJ541" s="408">
        <v>17.82</v>
      </c>
      <c r="BK541" s="408">
        <v>1034.5899999999999</v>
      </c>
      <c r="BL541" s="408">
        <v>1</v>
      </c>
      <c r="BM541" s="408"/>
      <c r="BN541" s="408"/>
      <c r="BO541" s="408"/>
      <c r="BP541" s="408"/>
      <c r="BQ541" s="408"/>
      <c r="BR541" s="408"/>
      <c r="BS541" s="408"/>
      <c r="BT541" s="408"/>
      <c r="BU541" s="408"/>
      <c r="BV541" s="408">
        <v>812.49814924370162</v>
      </c>
      <c r="BW541" s="408"/>
      <c r="BX541" s="408"/>
      <c r="BY541" s="408"/>
      <c r="BZ541" s="408"/>
      <c r="CA541" s="408"/>
      <c r="CB541" s="408"/>
      <c r="CC541" s="408"/>
      <c r="CD541" s="408"/>
      <c r="CE541" s="408"/>
      <c r="CF541" s="408"/>
      <c r="CG541" s="408"/>
      <c r="CH541" s="408"/>
      <c r="CI541" s="408">
        <v>2305.2717000000002</v>
      </c>
      <c r="CJ541" s="408">
        <v>-148.79098000000022</v>
      </c>
      <c r="CK541" s="408"/>
      <c r="CL541" s="408"/>
      <c r="CM541" s="408"/>
      <c r="CN541" s="408"/>
      <c r="CO541" s="408">
        <v>-245.58908</v>
      </c>
      <c r="CP541" s="408">
        <v>97.845880000000022</v>
      </c>
      <c r="CQ541" s="408">
        <v>29</v>
      </c>
      <c r="CR541" s="408">
        <v>117.41139812717688</v>
      </c>
      <c r="CS541" s="408">
        <v>2.4537437775156192</v>
      </c>
      <c r="CT541" s="408">
        <v>11.441445241185903</v>
      </c>
      <c r="CU541" s="408">
        <v>0</v>
      </c>
      <c r="CV541" s="408">
        <v>0</v>
      </c>
      <c r="CW541" s="408">
        <v>0</v>
      </c>
      <c r="CX541" s="408">
        <v>0</v>
      </c>
      <c r="CY541" s="408">
        <v>0</v>
      </c>
      <c r="CZ541" s="408">
        <v>11.475481284221452</v>
      </c>
      <c r="DA541" s="408">
        <v>0</v>
      </c>
      <c r="DB541" s="408">
        <v>0</v>
      </c>
      <c r="DC541" s="408">
        <v>97.83483263432322</v>
      </c>
      <c r="DD541" s="408">
        <v>0</v>
      </c>
      <c r="DE541" s="408">
        <v>0</v>
      </c>
      <c r="DF541" s="408">
        <v>0</v>
      </c>
      <c r="DG541" s="408">
        <v>5.1345580646970532</v>
      </c>
      <c r="DH541" s="408">
        <v>0</v>
      </c>
      <c r="DI541" s="408">
        <v>-9.4713346525924749</v>
      </c>
      <c r="DJ541" s="408"/>
      <c r="DK541" s="408">
        <v>0</v>
      </c>
      <c r="DL541" s="408">
        <v>0</v>
      </c>
      <c r="DM541" s="408">
        <v>0</v>
      </c>
      <c r="DN541" s="408">
        <v>0</v>
      </c>
      <c r="DO541" s="408">
        <v>-1.302460747491601</v>
      </c>
      <c r="DP541" s="408">
        <v>-0.15486747468199269</v>
      </c>
      <c r="DQ541" s="408">
        <v>0</v>
      </c>
      <c r="DR541" s="408">
        <v>0</v>
      </c>
      <c r="DS541" s="408"/>
      <c r="DT541" s="408"/>
      <c r="DU541" s="408"/>
      <c r="DV541" s="408">
        <v>1067.4541634571301</v>
      </c>
      <c r="DW541" s="408">
        <v>0</v>
      </c>
      <c r="DX541" s="408">
        <v>0</v>
      </c>
      <c r="DY541" s="408">
        <v>-245.58908000000019</v>
      </c>
      <c r="DZ541" s="408">
        <v>97.845880000000079</v>
      </c>
      <c r="EA541" s="408">
        <v>0</v>
      </c>
      <c r="EB541" s="408">
        <v>0</v>
      </c>
      <c r="EC541" s="408">
        <v>-265.17372096458678</v>
      </c>
      <c r="ED541" s="408">
        <v>0</v>
      </c>
      <c r="EE541" s="408">
        <v>0</v>
      </c>
      <c r="EF541" s="408">
        <v>0</v>
      </c>
      <c r="EG541" s="408">
        <v>0</v>
      </c>
      <c r="EH541" s="408">
        <v>0</v>
      </c>
      <c r="EI541" s="408">
        <v>0</v>
      </c>
      <c r="EJ541" s="408">
        <v>0</v>
      </c>
      <c r="EK541" s="408">
        <v>0</v>
      </c>
      <c r="EL541" s="408">
        <v>0</v>
      </c>
      <c r="EM541" s="408">
        <v>0</v>
      </c>
      <c r="EN541" s="408">
        <v>0</v>
      </c>
      <c r="EO541" s="408">
        <v>0</v>
      </c>
      <c r="EP541" s="408">
        <v>71.231900916521667</v>
      </c>
      <c r="EQ541" s="408">
        <v>0</v>
      </c>
      <c r="ER541" s="408">
        <v>0</v>
      </c>
      <c r="ES541" s="408">
        <v>0</v>
      </c>
      <c r="ET541" s="408">
        <v>0</v>
      </c>
      <c r="EU541" s="408">
        <v>0</v>
      </c>
      <c r="EV541" s="408">
        <v>240</v>
      </c>
      <c r="EW541" s="408">
        <v>0</v>
      </c>
      <c r="EX541" s="408">
        <v>0</v>
      </c>
      <c r="EY541" s="408">
        <v>0</v>
      </c>
      <c r="EZ541" s="408"/>
      <c r="FA541" s="408">
        <v>0</v>
      </c>
      <c r="FB541" s="408"/>
      <c r="FC541" s="408"/>
      <c r="FD541" s="408"/>
      <c r="FE541" s="408"/>
      <c r="FF541" s="408">
        <v>0</v>
      </c>
      <c r="FG541" s="408">
        <v>0</v>
      </c>
      <c r="FH541" s="408">
        <v>0</v>
      </c>
      <c r="FI541" s="408">
        <v>0</v>
      </c>
    </row>
    <row r="542" spans="1:165">
      <c r="A542" s="408">
        <v>540</v>
      </c>
      <c r="B542" s="408" t="s">
        <v>1036</v>
      </c>
      <c r="C542" s="408" t="s">
        <v>2235</v>
      </c>
      <c r="D542" s="408" t="s">
        <v>2245</v>
      </c>
      <c r="E542" s="408" t="s">
        <v>974</v>
      </c>
      <c r="F542" s="408" t="s">
        <v>2253</v>
      </c>
      <c r="G542" s="408" t="s">
        <v>2254</v>
      </c>
      <c r="H542" s="408" t="s">
        <v>1322</v>
      </c>
      <c r="I542" s="408" t="s">
        <v>1322</v>
      </c>
      <c r="J542" s="408" t="s">
        <v>2236</v>
      </c>
      <c r="K542" s="826">
        <v>44593</v>
      </c>
      <c r="L542" s="408">
        <v>0</v>
      </c>
      <c r="M542" s="408">
        <v>0</v>
      </c>
      <c r="N542" s="408">
        <v>0</v>
      </c>
      <c r="O542" s="408">
        <v>0</v>
      </c>
      <c r="P542" s="408">
        <v>0</v>
      </c>
      <c r="Q542" s="408">
        <v>0</v>
      </c>
      <c r="R542" s="408"/>
      <c r="S542" s="408"/>
      <c r="T542" s="408"/>
      <c r="U542" s="408"/>
      <c r="V542" s="408"/>
      <c r="W542" s="408"/>
      <c r="X542" s="408"/>
      <c r="Y542" s="408"/>
      <c r="Z542" s="408"/>
      <c r="AA542" s="408">
        <v>0</v>
      </c>
      <c r="AB542" s="408"/>
      <c r="AC542" s="408"/>
      <c r="AD542" s="408"/>
      <c r="AE542" s="408"/>
      <c r="AF542" s="408"/>
      <c r="AG542" s="408"/>
      <c r="AH542" s="408"/>
      <c r="AI542" s="408"/>
      <c r="AJ542" s="408"/>
      <c r="AK542" s="408"/>
      <c r="AL542" s="408"/>
      <c r="AM542" s="408"/>
      <c r="AN542" s="408"/>
      <c r="AO542" s="408"/>
      <c r="AP542" s="408"/>
      <c r="AQ542" s="408"/>
      <c r="AR542" s="408"/>
      <c r="AS542" s="408"/>
      <c r="AT542" s="408"/>
      <c r="AU542" s="408"/>
      <c r="AV542" s="408"/>
      <c r="AW542" s="408"/>
      <c r="AX542" s="408"/>
      <c r="AY542" s="408"/>
      <c r="AZ542" s="408">
        <v>0</v>
      </c>
      <c r="BA542" s="408"/>
      <c r="BB542" s="408"/>
      <c r="BC542" s="408"/>
      <c r="BD542" s="408"/>
      <c r="BE542" s="408"/>
      <c r="BF542" s="408"/>
      <c r="BG542" s="408"/>
      <c r="BH542" s="408"/>
      <c r="BI542" s="408">
        <v>0.35</v>
      </c>
      <c r="BJ542" s="408">
        <v>3.11</v>
      </c>
      <c r="BK542" s="408">
        <v>35.72</v>
      </c>
      <c r="BL542" s="408">
        <v>4</v>
      </c>
      <c r="BM542" s="408"/>
      <c r="BN542" s="408"/>
      <c r="BO542" s="408"/>
      <c r="BP542" s="408"/>
      <c r="BQ542" s="408"/>
      <c r="BR542" s="408"/>
      <c r="BS542" s="408"/>
      <c r="BT542" s="408"/>
      <c r="BU542" s="408"/>
      <c r="BV542" s="408"/>
      <c r="BW542" s="408"/>
      <c r="BX542" s="408"/>
      <c r="BY542" s="408"/>
      <c r="BZ542" s="408"/>
      <c r="CA542" s="408"/>
      <c r="CB542" s="408"/>
      <c r="CC542" s="408"/>
      <c r="CD542" s="408"/>
      <c r="CE542" s="408"/>
      <c r="CF542" s="408"/>
      <c r="CG542" s="408"/>
      <c r="CH542" s="408"/>
      <c r="CI542" s="408"/>
      <c r="CJ542" s="408">
        <v>-0.03</v>
      </c>
      <c r="CK542" s="408"/>
      <c r="CL542" s="408"/>
      <c r="CM542" s="408"/>
      <c r="CN542" s="408"/>
      <c r="CO542" s="408">
        <v>0</v>
      </c>
      <c r="CP542" s="408">
        <v>0</v>
      </c>
      <c r="CQ542" s="408">
        <v>29</v>
      </c>
      <c r="CR542" s="408"/>
      <c r="CS542" s="408"/>
      <c r="CT542" s="408"/>
      <c r="CU542" s="408"/>
      <c r="CV542" s="408"/>
      <c r="CW542" s="408"/>
      <c r="CX542" s="408"/>
      <c r="CY542" s="408"/>
      <c r="CZ542" s="408"/>
      <c r="DA542" s="408"/>
      <c r="DB542" s="408"/>
      <c r="DC542" s="408"/>
      <c r="DD542" s="408"/>
      <c r="DE542" s="408"/>
      <c r="DF542" s="408"/>
      <c r="DG542" s="408"/>
      <c r="DH542" s="408"/>
      <c r="DI542" s="408"/>
      <c r="DJ542" s="408"/>
      <c r="DK542" s="408">
        <v>0</v>
      </c>
      <c r="DL542" s="408"/>
      <c r="DM542" s="408"/>
      <c r="DN542" s="408"/>
      <c r="DO542" s="408"/>
      <c r="DP542" s="408"/>
      <c r="DQ542" s="408"/>
      <c r="DR542" s="408"/>
      <c r="DS542" s="408"/>
      <c r="DT542" s="408"/>
      <c r="DU542" s="408"/>
      <c r="DV542" s="408"/>
      <c r="DW542" s="408"/>
      <c r="DX542" s="408"/>
      <c r="DY542" s="408"/>
      <c r="DZ542" s="408"/>
      <c r="EA542" s="408"/>
      <c r="EB542" s="408"/>
      <c r="EC542" s="408"/>
      <c r="ED542" s="408"/>
      <c r="EE542" s="408"/>
      <c r="EF542" s="408"/>
      <c r="EG542" s="408"/>
      <c r="EH542" s="408"/>
      <c r="EI542" s="408"/>
      <c r="EJ542" s="408"/>
      <c r="EK542" s="408"/>
      <c r="EL542" s="408"/>
      <c r="EM542" s="408"/>
      <c r="EN542" s="408"/>
      <c r="EO542" s="408"/>
      <c r="EP542" s="408"/>
      <c r="EQ542" s="408"/>
      <c r="ER542" s="408"/>
      <c r="ES542" s="408"/>
      <c r="ET542" s="408"/>
      <c r="EU542" s="408"/>
      <c r="EV542" s="408">
        <v>240</v>
      </c>
      <c r="EW542" s="408"/>
      <c r="EX542" s="408"/>
      <c r="EY542" s="408"/>
      <c r="EZ542" s="408"/>
      <c r="FA542" s="408">
        <v>0</v>
      </c>
      <c r="FB542" s="408"/>
      <c r="FC542" s="408"/>
      <c r="FD542" s="408"/>
      <c r="FE542" s="408"/>
      <c r="FF542" s="408">
        <v>0</v>
      </c>
      <c r="FG542" s="408">
        <v>0</v>
      </c>
      <c r="FH542" s="408">
        <v>0</v>
      </c>
      <c r="FI542" s="408">
        <v>0</v>
      </c>
    </row>
    <row r="543" spans="1:165">
      <c r="A543" s="408">
        <v>541</v>
      </c>
      <c r="B543" s="408" t="s">
        <v>1036</v>
      </c>
      <c r="C543" s="408" t="s">
        <v>2235</v>
      </c>
      <c r="D543" s="408" t="s">
        <v>2245</v>
      </c>
      <c r="E543" s="408" t="s">
        <v>974</v>
      </c>
      <c r="F543" s="408" t="s">
        <v>2253</v>
      </c>
      <c r="G543" s="408" t="s">
        <v>2254</v>
      </c>
      <c r="H543" s="408" t="s">
        <v>1322</v>
      </c>
      <c r="I543" s="408" t="s">
        <v>1322</v>
      </c>
      <c r="J543" s="408" t="s">
        <v>2236</v>
      </c>
      <c r="K543" s="826">
        <v>44593</v>
      </c>
      <c r="L543" s="408">
        <v>0</v>
      </c>
      <c r="M543" s="408">
        <v>0</v>
      </c>
      <c r="N543" s="408">
        <v>0.63</v>
      </c>
      <c r="O543" s="408">
        <v>0.63</v>
      </c>
      <c r="P543" s="408">
        <v>0.63</v>
      </c>
      <c r="Q543" s="408">
        <v>0.63</v>
      </c>
      <c r="R543" s="408"/>
      <c r="S543" s="408">
        <v>368.24</v>
      </c>
      <c r="T543" s="408">
        <v>173.25</v>
      </c>
      <c r="U543" s="408"/>
      <c r="V543" s="408">
        <v>341.13870000000003</v>
      </c>
      <c r="W543" s="408">
        <v>341.13870000000003</v>
      </c>
      <c r="X543" s="408">
        <v>320.60070000000002</v>
      </c>
      <c r="Y543" s="408">
        <v>0</v>
      </c>
      <c r="Z543" s="408">
        <v>38.773465415603354</v>
      </c>
      <c r="AA543" s="408">
        <v>0</v>
      </c>
      <c r="AB543" s="408">
        <v>0</v>
      </c>
      <c r="AC543" s="408">
        <v>1.6125085398749166</v>
      </c>
      <c r="AD543" s="408">
        <v>1.5492591210618019</v>
      </c>
      <c r="AE543" s="408">
        <v>148.38837665004235</v>
      </c>
      <c r="AF543" s="408">
        <v>107.31449646874719</v>
      </c>
      <c r="AG543" s="408">
        <v>1.8315571242409876</v>
      </c>
      <c r="AH543" s="408">
        <v>0</v>
      </c>
      <c r="AI543" s="408">
        <v>0</v>
      </c>
      <c r="AJ543" s="408">
        <v>0</v>
      </c>
      <c r="AK543" s="408">
        <v>0</v>
      </c>
      <c r="AL543" s="408">
        <v>5.9906890747150081</v>
      </c>
      <c r="AM543" s="408"/>
      <c r="AN543" s="408">
        <v>0.76094973004851352</v>
      </c>
      <c r="AO543" s="408">
        <v>3.4230391950797592</v>
      </c>
      <c r="AP543" s="408">
        <v>15.961126776077322</v>
      </c>
      <c r="AQ543" s="408">
        <v>0</v>
      </c>
      <c r="AR543" s="408">
        <v>0</v>
      </c>
      <c r="AS543" s="408">
        <v>0</v>
      </c>
      <c r="AT543" s="408">
        <v>0</v>
      </c>
      <c r="AU543" s="408">
        <v>0</v>
      </c>
      <c r="AV543" s="408">
        <v>0</v>
      </c>
      <c r="AW543" s="408">
        <v>0</v>
      </c>
      <c r="AX543" s="408">
        <v>0</v>
      </c>
      <c r="AY543" s="408">
        <v>0</v>
      </c>
      <c r="AZ543" s="408">
        <v>0</v>
      </c>
      <c r="BA543" s="408"/>
      <c r="BB543" s="408">
        <v>0</v>
      </c>
      <c r="BC543" s="408">
        <v>0</v>
      </c>
      <c r="BD543" s="408">
        <v>0</v>
      </c>
      <c r="BE543" s="408">
        <v>0</v>
      </c>
      <c r="BF543" s="408">
        <v>0</v>
      </c>
      <c r="BG543" s="408">
        <v>5.6320688497726676</v>
      </c>
      <c r="BH543" s="408">
        <v>0</v>
      </c>
      <c r="BI543" s="408">
        <v>0</v>
      </c>
      <c r="BJ543" s="408">
        <v>0</v>
      </c>
      <c r="BK543" s="408">
        <v>0</v>
      </c>
      <c r="BL543" s="408">
        <v>0</v>
      </c>
      <c r="BM543" s="408"/>
      <c r="BN543" s="408"/>
      <c r="BO543" s="408"/>
      <c r="BP543" s="408"/>
      <c r="BQ543" s="408"/>
      <c r="BR543" s="408">
        <v>38.467800000000004</v>
      </c>
      <c r="BS543" s="408"/>
      <c r="BT543" s="408"/>
      <c r="BU543" s="408"/>
      <c r="BV543" s="408">
        <v>112.94656531851986</v>
      </c>
      <c r="BW543" s="408"/>
      <c r="BX543" s="408"/>
      <c r="BY543" s="408"/>
      <c r="BZ543" s="408"/>
      <c r="CA543" s="408"/>
      <c r="CB543" s="408"/>
      <c r="CC543" s="408"/>
      <c r="CD543" s="408"/>
      <c r="CE543" s="408"/>
      <c r="CF543" s="408"/>
      <c r="CG543" s="408"/>
      <c r="CH543" s="408"/>
      <c r="CI543" s="408">
        <v>282.13290000000001</v>
      </c>
      <c r="CJ543" s="408">
        <v>-18.09839999999997</v>
      </c>
      <c r="CK543" s="408"/>
      <c r="CL543" s="408"/>
      <c r="CM543" s="408"/>
      <c r="CN543" s="408"/>
      <c r="CO543" s="408">
        <v>-34.139699999999998</v>
      </c>
      <c r="CP543" s="408">
        <v>13.601700000000003</v>
      </c>
      <c r="CQ543" s="408">
        <v>29</v>
      </c>
      <c r="CR543" s="408">
        <v>16.321531513707356</v>
      </c>
      <c r="CS543" s="408">
        <v>0.3410985392398147</v>
      </c>
      <c r="CT543" s="408">
        <v>1.5904921672434078</v>
      </c>
      <c r="CU543" s="408">
        <v>0</v>
      </c>
      <c r="CV543" s="408">
        <v>0</v>
      </c>
      <c r="CW543" s="408">
        <v>0</v>
      </c>
      <c r="CX543" s="408">
        <v>0</v>
      </c>
      <c r="CY543" s="408">
        <v>0</v>
      </c>
      <c r="CZ543" s="408">
        <v>1.5952235677536442</v>
      </c>
      <c r="DA543" s="408">
        <v>0</v>
      </c>
      <c r="DB543" s="408">
        <v>0</v>
      </c>
      <c r="DC543" s="408">
        <v>13.600164289413868</v>
      </c>
      <c r="DD543" s="408">
        <v>0</v>
      </c>
      <c r="DE543" s="408">
        <v>0</v>
      </c>
      <c r="DF543" s="408">
        <v>0</v>
      </c>
      <c r="DG543" s="408">
        <v>0.71376248472178894</v>
      </c>
      <c r="DH543" s="408">
        <v>0</v>
      </c>
      <c r="DI543" s="408">
        <v>-1.3166241904530551</v>
      </c>
      <c r="DJ543" s="408"/>
      <c r="DK543" s="408">
        <v>0</v>
      </c>
      <c r="DL543" s="408">
        <v>0</v>
      </c>
      <c r="DM543" s="408">
        <v>0</v>
      </c>
      <c r="DN543" s="408">
        <v>0</v>
      </c>
      <c r="DO543" s="408">
        <v>-0.18105698828766759</v>
      </c>
      <c r="DP543" s="408">
        <v>-2.1528355924460674E-2</v>
      </c>
      <c r="DQ543" s="408">
        <v>0</v>
      </c>
      <c r="DR543" s="408">
        <v>0</v>
      </c>
      <c r="DS543" s="408"/>
      <c r="DT543" s="408"/>
      <c r="DU543" s="408"/>
      <c r="DV543" s="408">
        <v>148.38837665004235</v>
      </c>
      <c r="DW543" s="408">
        <v>0</v>
      </c>
      <c r="DX543" s="408">
        <v>0</v>
      </c>
      <c r="DY543" s="408">
        <v>-34.139700000000005</v>
      </c>
      <c r="DZ543" s="408">
        <v>13.601700000000008</v>
      </c>
      <c r="EA543" s="408">
        <v>0</v>
      </c>
      <c r="EB543" s="408">
        <v>0</v>
      </c>
      <c r="EC543" s="408">
        <v>-36.862189807521972</v>
      </c>
      <c r="ED543" s="408">
        <v>0</v>
      </c>
      <c r="EE543" s="408">
        <v>0</v>
      </c>
      <c r="EF543" s="408">
        <v>0</v>
      </c>
      <c r="EG543" s="408">
        <v>0</v>
      </c>
      <c r="EH543" s="408">
        <v>0</v>
      </c>
      <c r="EI543" s="408">
        <v>0</v>
      </c>
      <c r="EJ543" s="408">
        <v>0</v>
      </c>
      <c r="EK543" s="408">
        <v>0</v>
      </c>
      <c r="EL543" s="408">
        <v>0</v>
      </c>
      <c r="EM543" s="408">
        <v>0</v>
      </c>
      <c r="EN543" s="408">
        <v>0</v>
      </c>
      <c r="EO543" s="408">
        <v>0</v>
      </c>
      <c r="EP543" s="408">
        <v>9.902051539587081</v>
      </c>
      <c r="EQ543" s="408">
        <v>0</v>
      </c>
      <c r="ER543" s="408">
        <v>0</v>
      </c>
      <c r="ES543" s="408">
        <v>0</v>
      </c>
      <c r="ET543" s="408">
        <v>0</v>
      </c>
      <c r="EU543" s="408">
        <v>0</v>
      </c>
      <c r="EV543" s="408">
        <v>240</v>
      </c>
      <c r="EW543" s="408">
        <v>0</v>
      </c>
      <c r="EX543" s="408">
        <v>0</v>
      </c>
      <c r="EY543" s="408">
        <v>0</v>
      </c>
      <c r="EZ543" s="408"/>
      <c r="FA543" s="408">
        <v>0</v>
      </c>
      <c r="FB543" s="408"/>
      <c r="FC543" s="408"/>
      <c r="FD543" s="408"/>
      <c r="FE543" s="408"/>
      <c r="FF543" s="408">
        <v>0</v>
      </c>
      <c r="FG543" s="408">
        <v>0</v>
      </c>
      <c r="FH543" s="408">
        <v>0</v>
      </c>
      <c r="FI543" s="408">
        <v>0</v>
      </c>
    </row>
    <row r="544" spans="1:165">
      <c r="A544" s="408">
        <v>542</v>
      </c>
      <c r="B544" s="408" t="s">
        <v>1036</v>
      </c>
      <c r="C544" s="408" t="s">
        <v>2235</v>
      </c>
      <c r="D544" s="408" t="s">
        <v>2245</v>
      </c>
      <c r="E544" s="408" t="s">
        <v>974</v>
      </c>
      <c r="F544" s="408" t="s">
        <v>2253</v>
      </c>
      <c r="G544" s="408" t="s">
        <v>2255</v>
      </c>
      <c r="H544" s="408" t="s">
        <v>1322</v>
      </c>
      <c r="I544" s="408" t="s">
        <v>1322</v>
      </c>
      <c r="J544" s="408" t="s">
        <v>2236</v>
      </c>
      <c r="K544" s="826">
        <v>44593</v>
      </c>
      <c r="L544" s="408">
        <v>0</v>
      </c>
      <c r="M544" s="408">
        <v>0</v>
      </c>
      <c r="N544" s="408">
        <v>0.61499999999999999</v>
      </c>
      <c r="O544" s="408">
        <v>0.246</v>
      </c>
      <c r="P544" s="408">
        <v>0.61499999999999999</v>
      </c>
      <c r="Q544" s="408">
        <v>0.246</v>
      </c>
      <c r="R544" s="408"/>
      <c r="S544" s="408">
        <v>368.24</v>
      </c>
      <c r="T544" s="408">
        <v>173.25</v>
      </c>
      <c r="U544" s="408"/>
      <c r="V544" s="408">
        <v>333.01634999999999</v>
      </c>
      <c r="W544" s="408">
        <v>333.01634999999999</v>
      </c>
      <c r="X544" s="408">
        <v>312.96735000000001</v>
      </c>
      <c r="Y544" s="408">
        <v>0</v>
      </c>
      <c r="Z544" s="408">
        <v>37.850287667612797</v>
      </c>
      <c r="AA544" s="408">
        <v>0</v>
      </c>
      <c r="AB544" s="408">
        <v>0</v>
      </c>
      <c r="AC544" s="408">
        <v>1.5741154794017043</v>
      </c>
      <c r="AD544" s="408">
        <v>1.512371999131759</v>
      </c>
      <c r="AE544" s="408">
        <v>144.85532006313659</v>
      </c>
      <c r="AF544" s="408">
        <v>104.7593894099675</v>
      </c>
      <c r="AG544" s="408">
        <v>1.7879486212828688</v>
      </c>
      <c r="AH544" s="408">
        <v>0</v>
      </c>
      <c r="AI544" s="408">
        <v>0</v>
      </c>
      <c r="AJ544" s="408">
        <v>0</v>
      </c>
      <c r="AK544" s="408">
        <v>0</v>
      </c>
      <c r="AL544" s="408">
        <v>5.8480536205551266</v>
      </c>
      <c r="AM544" s="408"/>
      <c r="AN544" s="408">
        <v>0.74283187933307271</v>
      </c>
      <c r="AO544" s="408">
        <v>3.3415382618635747</v>
      </c>
      <c r="AP544" s="408">
        <v>15.581099948075481</v>
      </c>
      <c r="AQ544" s="408">
        <v>0</v>
      </c>
      <c r="AR544" s="408">
        <v>0</v>
      </c>
      <c r="AS544" s="408">
        <v>0</v>
      </c>
      <c r="AT544" s="408">
        <v>0</v>
      </c>
      <c r="AU544" s="408">
        <v>0</v>
      </c>
      <c r="AV544" s="408">
        <v>0</v>
      </c>
      <c r="AW544" s="408">
        <v>0</v>
      </c>
      <c r="AX544" s="408">
        <v>0</v>
      </c>
      <c r="AY544" s="408">
        <v>0</v>
      </c>
      <c r="AZ544" s="408">
        <v>0</v>
      </c>
      <c r="BA544" s="408"/>
      <c r="BB544" s="408">
        <v>0</v>
      </c>
      <c r="BC544" s="408">
        <v>0</v>
      </c>
      <c r="BD544" s="408">
        <v>0</v>
      </c>
      <c r="BE544" s="408">
        <v>0</v>
      </c>
      <c r="BF544" s="408">
        <v>0</v>
      </c>
      <c r="BG544" s="408">
        <v>5.4979719723971279</v>
      </c>
      <c r="BH544" s="408">
        <v>0</v>
      </c>
      <c r="BI544" s="408">
        <v>0</v>
      </c>
      <c r="BJ544" s="408">
        <v>0</v>
      </c>
      <c r="BK544" s="408">
        <v>0</v>
      </c>
      <c r="BL544" s="408">
        <v>0</v>
      </c>
      <c r="BM544" s="408"/>
      <c r="BN544" s="408"/>
      <c r="BO544" s="408"/>
      <c r="BP544" s="408"/>
      <c r="BQ544" s="408"/>
      <c r="BR544" s="408"/>
      <c r="BS544" s="408">
        <v>202.80117000000001</v>
      </c>
      <c r="BT544" s="408"/>
      <c r="BU544" s="408"/>
      <c r="BV544" s="408">
        <v>110.25736138236462</v>
      </c>
      <c r="BW544" s="408"/>
      <c r="BX544" s="408"/>
      <c r="BY544" s="408"/>
      <c r="BZ544" s="408"/>
      <c r="CA544" s="408"/>
      <c r="CB544" s="408"/>
      <c r="CC544" s="408"/>
      <c r="CD544" s="408"/>
      <c r="CE544" s="408"/>
      <c r="CF544" s="408"/>
      <c r="CG544" s="408"/>
      <c r="CH544" s="408"/>
      <c r="CI544" s="408">
        <v>111.95750000000001</v>
      </c>
      <c r="CJ544" s="408">
        <v>-5.2939600000000127</v>
      </c>
      <c r="CK544" s="408"/>
      <c r="CL544" s="408"/>
      <c r="CM544" s="408"/>
      <c r="CN544" s="408"/>
      <c r="CO544" s="408">
        <v>-33.32685</v>
      </c>
      <c r="CP544" s="408">
        <v>13.277850000000003</v>
      </c>
      <c r="CQ544" s="408">
        <v>29</v>
      </c>
      <c r="CR544" s="408">
        <v>15.932923620523752</v>
      </c>
      <c r="CS544" s="408">
        <v>0.3329771454483903</v>
      </c>
      <c r="CT544" s="408">
        <v>1.5526233061185639</v>
      </c>
      <c r="CU544" s="408">
        <v>0</v>
      </c>
      <c r="CV544" s="408">
        <v>0</v>
      </c>
      <c r="CW544" s="408">
        <v>0</v>
      </c>
      <c r="CX544" s="408">
        <v>0</v>
      </c>
      <c r="CY544" s="408">
        <v>0</v>
      </c>
      <c r="CZ544" s="408">
        <v>1.5572420542356999</v>
      </c>
      <c r="DA544" s="408">
        <v>0</v>
      </c>
      <c r="DB544" s="408">
        <v>0</v>
      </c>
      <c r="DC544" s="408">
        <v>13.276350853951627</v>
      </c>
      <c r="DD544" s="408">
        <v>0</v>
      </c>
      <c r="DE544" s="408">
        <v>0</v>
      </c>
      <c r="DF544" s="408">
        <v>0</v>
      </c>
      <c r="DG544" s="408">
        <v>0.69676813984746033</v>
      </c>
      <c r="DH544" s="408">
        <v>0</v>
      </c>
      <c r="DI544" s="408">
        <v>-1.2852759954422694</v>
      </c>
      <c r="DJ544" s="408"/>
      <c r="DK544" s="408">
        <v>0</v>
      </c>
      <c r="DL544" s="408">
        <v>0</v>
      </c>
      <c r="DM544" s="408">
        <v>0</v>
      </c>
      <c r="DN544" s="408">
        <v>0</v>
      </c>
      <c r="DO544" s="408">
        <v>-0.17674610761415099</v>
      </c>
      <c r="DP544" s="408">
        <v>-2.101577602149729E-2</v>
      </c>
      <c r="DQ544" s="408">
        <v>0</v>
      </c>
      <c r="DR544" s="408">
        <v>0</v>
      </c>
      <c r="DS544" s="408"/>
      <c r="DT544" s="408"/>
      <c r="DU544" s="408"/>
      <c r="DV544" s="408">
        <v>144.85532006313659</v>
      </c>
      <c r="DW544" s="408">
        <v>0</v>
      </c>
      <c r="DX544" s="408">
        <v>0</v>
      </c>
      <c r="DY544" s="408">
        <v>-33.326850000000007</v>
      </c>
      <c r="DZ544" s="408">
        <v>13.277850000000001</v>
      </c>
      <c r="EA544" s="408">
        <v>0</v>
      </c>
      <c r="EB544" s="408">
        <v>0</v>
      </c>
      <c r="EC544" s="408">
        <v>-35.984518621628609</v>
      </c>
      <c r="ED544" s="408">
        <v>0</v>
      </c>
      <c r="EE544" s="408">
        <v>0</v>
      </c>
      <c r="EF544" s="408">
        <v>0</v>
      </c>
      <c r="EG544" s="408">
        <v>0</v>
      </c>
      <c r="EH544" s="408">
        <v>0</v>
      </c>
      <c r="EI544" s="408">
        <v>0</v>
      </c>
      <c r="EJ544" s="408">
        <v>0</v>
      </c>
      <c r="EK544" s="408">
        <v>0</v>
      </c>
      <c r="EL544" s="408">
        <v>0</v>
      </c>
      <c r="EM544" s="408">
        <v>0</v>
      </c>
      <c r="EN544" s="408">
        <v>0</v>
      </c>
      <c r="EO544" s="408">
        <v>0</v>
      </c>
      <c r="EP544" s="408">
        <v>9.66628840769215</v>
      </c>
      <c r="EQ544" s="408">
        <v>0</v>
      </c>
      <c r="ER544" s="408">
        <v>0</v>
      </c>
      <c r="ES544" s="408">
        <v>0</v>
      </c>
      <c r="ET544" s="408">
        <v>0</v>
      </c>
      <c r="EU544" s="408">
        <v>0</v>
      </c>
      <c r="EV544" s="408">
        <v>240</v>
      </c>
      <c r="EW544" s="408">
        <v>0</v>
      </c>
      <c r="EX544" s="408">
        <v>0</v>
      </c>
      <c r="EY544" s="408">
        <v>0</v>
      </c>
      <c r="EZ544" s="408"/>
      <c r="FA544" s="408">
        <v>0</v>
      </c>
      <c r="FB544" s="408"/>
      <c r="FC544" s="408"/>
      <c r="FD544" s="408"/>
      <c r="FE544" s="408"/>
      <c r="FF544" s="408">
        <v>0</v>
      </c>
      <c r="FG544" s="408">
        <v>0</v>
      </c>
      <c r="FH544" s="408">
        <v>0</v>
      </c>
      <c r="FI544" s="408">
        <v>0</v>
      </c>
    </row>
    <row r="545" spans="1:165">
      <c r="A545" s="408">
        <v>543</v>
      </c>
      <c r="B545" s="408" t="s">
        <v>1036</v>
      </c>
      <c r="C545" s="408" t="s">
        <v>2235</v>
      </c>
      <c r="D545" s="408" t="s">
        <v>1955</v>
      </c>
      <c r="E545" s="408" t="s">
        <v>969</v>
      </c>
      <c r="F545" s="408" t="s">
        <v>969</v>
      </c>
      <c r="G545" s="408" t="s">
        <v>1322</v>
      </c>
      <c r="H545" s="408" t="s">
        <v>1322</v>
      </c>
      <c r="I545" s="408" t="s">
        <v>1322</v>
      </c>
      <c r="J545" s="408" t="s">
        <v>2236</v>
      </c>
      <c r="K545" s="826">
        <v>44621</v>
      </c>
      <c r="L545" s="408">
        <v>0</v>
      </c>
      <c r="M545" s="408">
        <v>0</v>
      </c>
      <c r="N545" s="408">
        <v>10287.936</v>
      </c>
      <c r="O545" s="408">
        <v>10287.936</v>
      </c>
      <c r="P545" s="408">
        <v>10287.936</v>
      </c>
      <c r="Q545" s="408">
        <v>10287.936</v>
      </c>
      <c r="R545" s="408"/>
      <c r="S545" s="408">
        <v>368.24</v>
      </c>
      <c r="T545" s="408">
        <v>173.25</v>
      </c>
      <c r="U545" s="408"/>
      <c r="V545" s="408">
        <v>5570814.4646399999</v>
      </c>
      <c r="W545" s="408">
        <v>5570814.4646399999</v>
      </c>
      <c r="X545" s="408">
        <v>5235427.7510399995</v>
      </c>
      <c r="Y545" s="408">
        <v>0</v>
      </c>
      <c r="Z545" s="408">
        <v>633172.90586339787</v>
      </c>
      <c r="AA545" s="408">
        <v>0</v>
      </c>
      <c r="AB545" s="408">
        <v>0</v>
      </c>
      <c r="AC545" s="408">
        <v>26332.356599502524</v>
      </c>
      <c r="AD545" s="408">
        <v>25299.489976031859</v>
      </c>
      <c r="AE545" s="408">
        <v>2423190.6700309999</v>
      </c>
      <c r="AF545" s="408">
        <v>1752451.8595915826</v>
      </c>
      <c r="AG545" s="408">
        <v>29909.432499262428</v>
      </c>
      <c r="AH545" s="408">
        <v>0</v>
      </c>
      <c r="AI545" s="408">
        <v>0</v>
      </c>
      <c r="AJ545" s="408">
        <v>0</v>
      </c>
      <c r="AK545" s="408">
        <v>0</v>
      </c>
      <c r="AL545" s="408">
        <v>97828.294915186067</v>
      </c>
      <c r="AM545" s="408"/>
      <c r="AN545" s="408">
        <v>12426.352574533943</v>
      </c>
      <c r="AO545" s="408">
        <v>55898.425657892185</v>
      </c>
      <c r="AP545" s="408">
        <v>260646.11231772986</v>
      </c>
      <c r="AQ545" s="408">
        <v>0</v>
      </c>
      <c r="AR545" s="408">
        <v>0</v>
      </c>
      <c r="AS545" s="408">
        <v>0</v>
      </c>
      <c r="AT545" s="408">
        <v>0</v>
      </c>
      <c r="AU545" s="408">
        <v>0</v>
      </c>
      <c r="AV545" s="408">
        <v>0</v>
      </c>
      <c r="AW545" s="408">
        <v>0</v>
      </c>
      <c r="AX545" s="408">
        <v>0</v>
      </c>
      <c r="AY545" s="408">
        <v>0</v>
      </c>
      <c r="AZ545" s="408">
        <v>0</v>
      </c>
      <c r="BA545" s="408"/>
      <c r="BB545" s="408">
        <v>0</v>
      </c>
      <c r="BC545" s="408">
        <v>0</v>
      </c>
      <c r="BD545" s="408">
        <v>0</v>
      </c>
      <c r="BE545" s="408">
        <v>0</v>
      </c>
      <c r="BF545" s="408">
        <v>0</v>
      </c>
      <c r="BG545" s="408">
        <v>91972.00614929336</v>
      </c>
      <c r="BH545" s="408">
        <v>0</v>
      </c>
      <c r="BI545" s="408">
        <v>4499.34</v>
      </c>
      <c r="BJ545" s="408">
        <v>50635.05</v>
      </c>
      <c r="BK545" s="408">
        <v>2231218.27</v>
      </c>
      <c r="BL545" s="408">
        <v>45752</v>
      </c>
      <c r="BM545" s="408"/>
      <c r="BN545" s="408"/>
      <c r="BO545" s="408"/>
      <c r="BP545" s="408"/>
      <c r="BQ545" s="408"/>
      <c r="BR545" s="408"/>
      <c r="BS545" s="408"/>
      <c r="BT545" s="408"/>
      <c r="BU545" s="408"/>
      <c r="BV545" s="408">
        <v>1844423.8657408759</v>
      </c>
      <c r="BW545" s="408"/>
      <c r="BX545" s="408"/>
      <c r="BY545" s="408"/>
      <c r="BZ545" s="408"/>
      <c r="CA545" s="408"/>
      <c r="CB545" s="408"/>
      <c r="CC545" s="408"/>
      <c r="CD545" s="408"/>
      <c r="CE545" s="408"/>
      <c r="CF545" s="408"/>
      <c r="CG545" s="408"/>
      <c r="CH545" s="408"/>
      <c r="CI545" s="408">
        <v>5235429.7866000012</v>
      </c>
      <c r="CJ545" s="408">
        <v>-335384.70803999808</v>
      </c>
      <c r="CK545" s="408"/>
      <c r="CL545" s="408"/>
      <c r="CM545" s="408"/>
      <c r="CN545" s="408"/>
      <c r="CO545" s="408">
        <v>-557503.25183999992</v>
      </c>
      <c r="CP545" s="408">
        <v>222116.53824000002</v>
      </c>
      <c r="CQ545" s="408">
        <v>31</v>
      </c>
      <c r="CR545" s="408">
        <v>266531.54227778409</v>
      </c>
      <c r="CS545" s="408">
        <v>5570.1586371312733</v>
      </c>
      <c r="CT545" s="408">
        <v>25972.827976351546</v>
      </c>
      <c r="CU545" s="408">
        <v>0</v>
      </c>
      <c r="CV545" s="408">
        <v>0</v>
      </c>
      <c r="CW545" s="408">
        <v>0</v>
      </c>
      <c r="CX545" s="408">
        <v>0</v>
      </c>
      <c r="CY545" s="408">
        <v>0</v>
      </c>
      <c r="CZ545" s="408">
        <v>26050.092017049443</v>
      </c>
      <c r="DA545" s="408">
        <v>0</v>
      </c>
      <c r="DB545" s="408">
        <v>0</v>
      </c>
      <c r="DC545" s="408">
        <v>222091.45999837364</v>
      </c>
      <c r="DD545" s="408">
        <v>0</v>
      </c>
      <c r="DE545" s="408">
        <v>0</v>
      </c>
      <c r="DF545" s="408">
        <v>0</v>
      </c>
      <c r="DG545" s="408">
        <v>11655.782161934505</v>
      </c>
      <c r="DH545" s="408">
        <v>0</v>
      </c>
      <c r="DI545" s="408">
        <v>-21500.548265766352</v>
      </c>
      <c r="DJ545" s="408"/>
      <c r="DK545" s="408">
        <v>0</v>
      </c>
      <c r="DL545" s="408">
        <v>0</v>
      </c>
      <c r="DM545" s="408">
        <v>0</v>
      </c>
      <c r="DN545" s="408">
        <v>0</v>
      </c>
      <c r="DO545" s="408">
        <v>-2956.6709648512333</v>
      </c>
      <c r="DP545" s="408">
        <v>-351.55928243820927</v>
      </c>
      <c r="DQ545" s="408">
        <v>0</v>
      </c>
      <c r="DR545" s="408">
        <v>0</v>
      </c>
      <c r="DS545" s="408"/>
      <c r="DT545" s="408"/>
      <c r="DU545" s="408"/>
      <c r="DV545" s="408">
        <v>2423190.6700309999</v>
      </c>
      <c r="DW545" s="408">
        <v>0</v>
      </c>
      <c r="DX545" s="408">
        <v>0</v>
      </c>
      <c r="DY545" s="408">
        <v>-557503.25184000004</v>
      </c>
      <c r="DZ545" s="408">
        <v>222116.53823999991</v>
      </c>
      <c r="EA545" s="408">
        <v>0</v>
      </c>
      <c r="EB545" s="408">
        <v>0</v>
      </c>
      <c r="EC545" s="408">
        <v>-601961.66596767982</v>
      </c>
      <c r="ED545" s="408">
        <v>0</v>
      </c>
      <c r="EE545" s="408">
        <v>0</v>
      </c>
      <c r="EF545" s="408">
        <v>0</v>
      </c>
      <c r="EG545" s="408">
        <v>0</v>
      </c>
      <c r="EH545" s="408">
        <v>0</v>
      </c>
      <c r="EI545" s="408">
        <v>0</v>
      </c>
      <c r="EJ545" s="408">
        <v>0</v>
      </c>
      <c r="EK545" s="408">
        <v>0</v>
      </c>
      <c r="EL545" s="408">
        <v>0</v>
      </c>
      <c r="EM545" s="408">
        <v>0</v>
      </c>
      <c r="EN545" s="408">
        <v>0</v>
      </c>
      <c r="EO545" s="408">
        <v>0</v>
      </c>
      <c r="EP545" s="408">
        <v>161701.06747297358</v>
      </c>
      <c r="EQ545" s="408">
        <v>0</v>
      </c>
      <c r="ER545" s="408">
        <v>0</v>
      </c>
      <c r="ES545" s="408">
        <v>0</v>
      </c>
      <c r="ET545" s="408">
        <v>0</v>
      </c>
      <c r="EU545" s="408">
        <v>0</v>
      </c>
      <c r="EV545" s="408">
        <v>240</v>
      </c>
      <c r="EW545" s="408">
        <v>0</v>
      </c>
      <c r="EX545" s="408">
        <v>0</v>
      </c>
      <c r="EY545" s="408">
        <v>0</v>
      </c>
      <c r="EZ545" s="408"/>
      <c r="FA545" s="408">
        <v>0</v>
      </c>
      <c r="FB545" s="408"/>
      <c r="FC545" s="408"/>
      <c r="FD545" s="408"/>
      <c r="FE545" s="408"/>
      <c r="FF545" s="408">
        <v>0</v>
      </c>
      <c r="FG545" s="408">
        <v>0</v>
      </c>
      <c r="FH545" s="408">
        <v>0</v>
      </c>
      <c r="FI545" s="408">
        <v>0</v>
      </c>
    </row>
    <row r="546" spans="1:165">
      <c r="A546" s="408">
        <v>544</v>
      </c>
      <c r="B546" s="408" t="s">
        <v>2237</v>
      </c>
      <c r="C546" s="408" t="s">
        <v>2235</v>
      </c>
      <c r="D546" s="408" t="s">
        <v>1955</v>
      </c>
      <c r="E546" s="408" t="s">
        <v>969</v>
      </c>
      <c r="F546" s="408" t="s">
        <v>969</v>
      </c>
      <c r="G546" s="408" t="s">
        <v>1322</v>
      </c>
      <c r="H546" s="408" t="s">
        <v>1322</v>
      </c>
      <c r="I546" s="408" t="s">
        <v>1322</v>
      </c>
      <c r="J546" s="408" t="s">
        <v>2236</v>
      </c>
      <c r="K546" s="826">
        <v>44621</v>
      </c>
      <c r="L546" s="408">
        <v>0</v>
      </c>
      <c r="M546" s="408">
        <v>0</v>
      </c>
      <c r="N546" s="408">
        <v>-2.7080000000000002</v>
      </c>
      <c r="O546" s="408">
        <v>-2.7080000000000002</v>
      </c>
      <c r="P546" s="408">
        <v>-2.7080000000000002</v>
      </c>
      <c r="Q546" s="408">
        <v>-2.7080000000000002</v>
      </c>
      <c r="R546" s="408"/>
      <c r="S546" s="408">
        <v>368.24</v>
      </c>
      <c r="T546" s="408">
        <v>173.25</v>
      </c>
      <c r="U546" s="408"/>
      <c r="V546" s="408">
        <v>-1466.3549200000002</v>
      </c>
      <c r="W546" s="408">
        <v>-1466.3549200000002</v>
      </c>
      <c r="X546" s="408">
        <v>-1378.0741200000002</v>
      </c>
      <c r="Y546" s="408">
        <v>0</v>
      </c>
      <c r="Z546" s="408">
        <v>-166.66435610389505</v>
      </c>
      <c r="AA546" s="408">
        <v>0</v>
      </c>
      <c r="AB546" s="408">
        <v>0</v>
      </c>
      <c r="AC546" s="408">
        <v>-6.9312271840972608</v>
      </c>
      <c r="AD546" s="408">
        <v>-6.6593550791037455</v>
      </c>
      <c r="AE546" s="408">
        <v>-637.83448248938839</v>
      </c>
      <c r="AF546" s="408">
        <v>-461.28199434502761</v>
      </c>
      <c r="AG546" s="408">
        <v>-7.8727884007057058</v>
      </c>
      <c r="AH546" s="408">
        <v>0</v>
      </c>
      <c r="AI546" s="408">
        <v>0</v>
      </c>
      <c r="AJ546" s="408">
        <v>0</v>
      </c>
      <c r="AK546" s="408">
        <v>0</v>
      </c>
      <c r="AL546" s="408">
        <v>-25.750453990997212</v>
      </c>
      <c r="AM546" s="408"/>
      <c r="AN546" s="408">
        <v>-3.2708759824942457</v>
      </c>
      <c r="AO546" s="408">
        <v>-14.713635143295221</v>
      </c>
      <c r="AP546" s="408">
        <v>-68.607510015265703</v>
      </c>
      <c r="AQ546" s="408">
        <v>0</v>
      </c>
      <c r="AR546" s="408">
        <v>0</v>
      </c>
      <c r="AS546" s="408">
        <v>0</v>
      </c>
      <c r="AT546" s="408">
        <v>0</v>
      </c>
      <c r="AU546" s="408">
        <v>0</v>
      </c>
      <c r="AV546" s="408">
        <v>0</v>
      </c>
      <c r="AW546" s="408">
        <v>0</v>
      </c>
      <c r="AX546" s="408">
        <v>0</v>
      </c>
      <c r="AY546" s="408">
        <v>0</v>
      </c>
      <c r="AZ546" s="408">
        <v>0</v>
      </c>
      <c r="BA546" s="408"/>
      <c r="BB546" s="408">
        <v>0</v>
      </c>
      <c r="BC546" s="408">
        <v>0</v>
      </c>
      <c r="BD546" s="408">
        <v>0</v>
      </c>
      <c r="BE546" s="408">
        <v>0</v>
      </c>
      <c r="BF546" s="408">
        <v>0</v>
      </c>
      <c r="BG546" s="408">
        <v>-24.208956262197436</v>
      </c>
      <c r="BH546" s="408">
        <v>0</v>
      </c>
      <c r="BI546" s="408">
        <v>-1.23</v>
      </c>
      <c r="BJ546" s="408">
        <v>-10.62</v>
      </c>
      <c r="BK546" s="408">
        <v>-625.63</v>
      </c>
      <c r="BL546" s="408">
        <v>0</v>
      </c>
      <c r="BM546" s="408"/>
      <c r="BN546" s="408"/>
      <c r="BO546" s="408"/>
      <c r="BP546" s="408"/>
      <c r="BQ546" s="408"/>
      <c r="BR546" s="408"/>
      <c r="BS546" s="408"/>
      <c r="BT546" s="408"/>
      <c r="BU546" s="408"/>
      <c r="BV546" s="408">
        <v>-485.49095060722505</v>
      </c>
      <c r="BW546" s="408"/>
      <c r="BX546" s="408"/>
      <c r="BY546" s="408"/>
      <c r="BZ546" s="408"/>
      <c r="CA546" s="408"/>
      <c r="CB546" s="408"/>
      <c r="CC546" s="408"/>
      <c r="CD546" s="408"/>
      <c r="CE546" s="408"/>
      <c r="CF546" s="408"/>
      <c r="CG546" s="408"/>
      <c r="CH546" s="408"/>
      <c r="CI546" s="408">
        <v>-1379.0918999999999</v>
      </c>
      <c r="CJ546" s="408">
        <v>87.233020000000352</v>
      </c>
      <c r="CK546" s="408"/>
      <c r="CL546" s="408"/>
      <c r="CM546" s="408"/>
      <c r="CN546" s="408"/>
      <c r="CO546" s="408">
        <v>146.74652</v>
      </c>
      <c r="CP546" s="408">
        <v>-58.465720000000012</v>
      </c>
      <c r="CQ546" s="408">
        <v>31</v>
      </c>
      <c r="CR546" s="408">
        <v>-70.156678316062539</v>
      </c>
      <c r="CS546" s="408">
        <v>-1.4661822924784396</v>
      </c>
      <c r="CT546" s="408">
        <v>-6.8365917284049971</v>
      </c>
      <c r="CU546" s="408">
        <v>0</v>
      </c>
      <c r="CV546" s="408">
        <v>0</v>
      </c>
      <c r="CW546" s="408">
        <v>0</v>
      </c>
      <c r="CX546" s="408">
        <v>0</v>
      </c>
      <c r="CY546" s="408">
        <v>0</v>
      </c>
      <c r="CZ546" s="408">
        <v>-6.8569292404394737</v>
      </c>
      <c r="DA546" s="408">
        <v>0</v>
      </c>
      <c r="DB546" s="408">
        <v>0</v>
      </c>
      <c r="DC546" s="408">
        <v>-58.459118882115547</v>
      </c>
      <c r="DD546" s="408">
        <v>0</v>
      </c>
      <c r="DE546" s="408">
        <v>0</v>
      </c>
      <c r="DF546" s="408">
        <v>0</v>
      </c>
      <c r="DG546" s="408">
        <v>-3.0680457279787383</v>
      </c>
      <c r="DH546" s="408">
        <v>0</v>
      </c>
      <c r="DI546" s="408">
        <v>5.6593941392807494</v>
      </c>
      <c r="DJ546" s="408"/>
      <c r="DK546" s="408">
        <v>0</v>
      </c>
      <c r="DL546" s="408">
        <v>0</v>
      </c>
      <c r="DM546" s="408">
        <v>0</v>
      </c>
      <c r="DN546" s="408">
        <v>0</v>
      </c>
      <c r="DO546" s="408">
        <v>0.77825765759206789</v>
      </c>
      <c r="DP546" s="408">
        <v>9.2537758481650023E-2</v>
      </c>
      <c r="DQ546" s="408">
        <v>0</v>
      </c>
      <c r="DR546" s="408">
        <v>0</v>
      </c>
      <c r="DS546" s="408"/>
      <c r="DT546" s="408"/>
      <c r="DU546" s="408"/>
      <c r="DV546" s="408">
        <v>-637.83448248938839</v>
      </c>
      <c r="DW546" s="408">
        <v>0</v>
      </c>
      <c r="DX546" s="408">
        <v>0</v>
      </c>
      <c r="DY546" s="408">
        <v>146.74651999999992</v>
      </c>
      <c r="DZ546" s="408">
        <v>-58.465720000000033</v>
      </c>
      <c r="EA546" s="408">
        <v>0</v>
      </c>
      <c r="EB546" s="408">
        <v>0</v>
      </c>
      <c r="EC546" s="408">
        <v>158.44890475995157</v>
      </c>
      <c r="ED546" s="408">
        <v>0</v>
      </c>
      <c r="EE546" s="408">
        <v>0</v>
      </c>
      <c r="EF546" s="408">
        <v>0</v>
      </c>
      <c r="EG546" s="408">
        <v>0</v>
      </c>
      <c r="EH546" s="408">
        <v>0</v>
      </c>
      <c r="EI546" s="408">
        <v>0</v>
      </c>
      <c r="EJ546" s="408">
        <v>0</v>
      </c>
      <c r="EK546" s="408">
        <v>0</v>
      </c>
      <c r="EL546" s="408">
        <v>0</v>
      </c>
      <c r="EM546" s="408">
        <v>0</v>
      </c>
      <c r="EN546" s="408">
        <v>0</v>
      </c>
      <c r="EO546" s="408">
        <v>0</v>
      </c>
      <c r="EP546" s="408">
        <v>-42.563104078098121</v>
      </c>
      <c r="EQ546" s="408">
        <v>0</v>
      </c>
      <c r="ER546" s="408">
        <v>0</v>
      </c>
      <c r="ES546" s="408">
        <v>0</v>
      </c>
      <c r="ET546" s="408">
        <v>0</v>
      </c>
      <c r="EU546" s="408">
        <v>0</v>
      </c>
      <c r="EV546" s="408">
        <v>240</v>
      </c>
      <c r="EW546" s="408">
        <v>0</v>
      </c>
      <c r="EX546" s="408">
        <v>0</v>
      </c>
      <c r="EY546" s="408">
        <v>0</v>
      </c>
      <c r="EZ546" s="408"/>
      <c r="FA546" s="408">
        <v>0</v>
      </c>
      <c r="FB546" s="408"/>
      <c r="FC546" s="408"/>
      <c r="FD546" s="408"/>
      <c r="FE546" s="408"/>
      <c r="FF546" s="408">
        <v>0</v>
      </c>
      <c r="FG546" s="408">
        <v>0</v>
      </c>
      <c r="FH546" s="408">
        <v>0</v>
      </c>
      <c r="FI546" s="408">
        <v>0</v>
      </c>
    </row>
    <row r="547" spans="1:165">
      <c r="A547" s="408">
        <v>545</v>
      </c>
      <c r="B547" s="408" t="s">
        <v>2238</v>
      </c>
      <c r="C547" s="408" t="s">
        <v>2235</v>
      </c>
      <c r="D547" s="408" t="s">
        <v>1955</v>
      </c>
      <c r="E547" s="408" t="s">
        <v>969</v>
      </c>
      <c r="F547" s="408" t="s">
        <v>969</v>
      </c>
      <c r="G547" s="408" t="s">
        <v>1322</v>
      </c>
      <c r="H547" s="408" t="s">
        <v>1322</v>
      </c>
      <c r="I547" s="408" t="s">
        <v>1322</v>
      </c>
      <c r="J547" s="408" t="s">
        <v>2236</v>
      </c>
      <c r="K547" s="826">
        <v>44621</v>
      </c>
      <c r="L547" s="408">
        <v>0</v>
      </c>
      <c r="M547" s="408">
        <v>0</v>
      </c>
      <c r="N547" s="408">
        <v>193.09100000000001</v>
      </c>
      <c r="O547" s="408">
        <v>193.09100000000001</v>
      </c>
      <c r="P547" s="408">
        <v>193.09100000000001</v>
      </c>
      <c r="Q547" s="408">
        <v>193.09100000000001</v>
      </c>
      <c r="R547" s="408"/>
      <c r="S547" s="408">
        <v>368.24</v>
      </c>
      <c r="T547" s="408">
        <v>173.25</v>
      </c>
      <c r="U547" s="408"/>
      <c r="V547" s="408">
        <v>104556.84559000001</v>
      </c>
      <c r="W547" s="408">
        <v>104556.84559000001</v>
      </c>
      <c r="X547" s="408">
        <v>98262.078990000009</v>
      </c>
      <c r="Y547" s="408">
        <v>0</v>
      </c>
      <c r="Z547" s="408">
        <v>11883.82096914963</v>
      </c>
      <c r="AA547" s="408">
        <v>0</v>
      </c>
      <c r="AB547" s="408">
        <v>0</v>
      </c>
      <c r="AC547" s="408">
        <v>494.22362932220244</v>
      </c>
      <c r="AD547" s="408">
        <v>474.83808403959432</v>
      </c>
      <c r="AE547" s="408">
        <v>45480.095294814804</v>
      </c>
      <c r="AF547" s="408">
        <v>32891.211805788676</v>
      </c>
      <c r="AG547" s="408">
        <v>561.36062964574057</v>
      </c>
      <c r="AH547" s="408">
        <v>0</v>
      </c>
      <c r="AI547" s="408">
        <v>0</v>
      </c>
      <c r="AJ547" s="408">
        <v>0</v>
      </c>
      <c r="AK547" s="408">
        <v>0</v>
      </c>
      <c r="AL547" s="408">
        <v>1836.1081652790408</v>
      </c>
      <c r="AM547" s="408"/>
      <c r="AN547" s="408">
        <v>233.22626083301196</v>
      </c>
      <c r="AO547" s="408">
        <v>1049.1397797097552</v>
      </c>
      <c r="AP547" s="408">
        <v>4891.9840163802319</v>
      </c>
      <c r="AQ547" s="408">
        <v>0</v>
      </c>
      <c r="AR547" s="408">
        <v>0</v>
      </c>
      <c r="AS547" s="408">
        <v>0</v>
      </c>
      <c r="AT547" s="408">
        <v>0</v>
      </c>
      <c r="AU547" s="408">
        <v>0</v>
      </c>
      <c r="AV547" s="408">
        <v>0</v>
      </c>
      <c r="AW547" s="408">
        <v>0</v>
      </c>
      <c r="AX547" s="408">
        <v>0</v>
      </c>
      <c r="AY547" s="408">
        <v>0</v>
      </c>
      <c r="AZ547" s="408">
        <v>0</v>
      </c>
      <c r="BA547" s="408"/>
      <c r="BB547" s="408">
        <v>0</v>
      </c>
      <c r="BC547" s="408">
        <v>0</v>
      </c>
      <c r="BD547" s="408">
        <v>0</v>
      </c>
      <c r="BE547" s="408">
        <v>0</v>
      </c>
      <c r="BF547" s="408">
        <v>0</v>
      </c>
      <c r="BG547" s="408">
        <v>1726.1933432880226</v>
      </c>
      <c r="BH547" s="408">
        <v>0</v>
      </c>
      <c r="BI547" s="408">
        <v>81.510000000000005</v>
      </c>
      <c r="BJ547" s="408">
        <v>950.47</v>
      </c>
      <c r="BK547" s="408">
        <v>93380.66</v>
      </c>
      <c r="BL547" s="408">
        <v>1578</v>
      </c>
      <c r="BM547" s="408"/>
      <c r="BN547" s="408"/>
      <c r="BO547" s="408"/>
      <c r="BP547" s="408"/>
      <c r="BQ547" s="408"/>
      <c r="BR547" s="408"/>
      <c r="BS547" s="408"/>
      <c r="BT547" s="408"/>
      <c r="BU547" s="408"/>
      <c r="BV547" s="408">
        <v>34617.405149076701</v>
      </c>
      <c r="BW547" s="408"/>
      <c r="BX547" s="408"/>
      <c r="BY547" s="408"/>
      <c r="BZ547" s="408"/>
      <c r="CA547" s="408"/>
      <c r="CB547" s="408"/>
      <c r="CC547" s="408"/>
      <c r="CD547" s="408"/>
      <c r="CE547" s="408"/>
      <c r="CF547" s="408"/>
      <c r="CG547" s="408"/>
      <c r="CH547" s="408"/>
      <c r="CI547" s="408">
        <v>98261.570100000012</v>
      </c>
      <c r="CJ547" s="408">
        <v>-6295.3054899999843</v>
      </c>
      <c r="CK547" s="408"/>
      <c r="CL547" s="408"/>
      <c r="CM547" s="408"/>
      <c r="CN547" s="408"/>
      <c r="CO547" s="408">
        <v>-10463.601290000001</v>
      </c>
      <c r="CP547" s="408">
        <v>4168.8346900000006</v>
      </c>
      <c r="CQ547" s="408">
        <v>31</v>
      </c>
      <c r="CR547" s="408">
        <v>5002.4457801797835</v>
      </c>
      <c r="CS547" s="408">
        <v>104.54453657199224</v>
      </c>
      <c r="CT547" s="408">
        <v>487.47575089713791</v>
      </c>
      <c r="CU547" s="408">
        <v>0</v>
      </c>
      <c r="CV547" s="408">
        <v>0</v>
      </c>
      <c r="CW547" s="408">
        <v>0</v>
      </c>
      <c r="CX547" s="408">
        <v>0</v>
      </c>
      <c r="CY547" s="408">
        <v>0</v>
      </c>
      <c r="CZ547" s="408">
        <v>488.92589511288708</v>
      </c>
      <c r="DA547" s="408">
        <v>0</v>
      </c>
      <c r="DB547" s="408">
        <v>0</v>
      </c>
      <c r="DC547" s="408">
        <v>4168.3640044558924</v>
      </c>
      <c r="DD547" s="408">
        <v>0</v>
      </c>
      <c r="DE547" s="408">
        <v>0</v>
      </c>
      <c r="DF547" s="408">
        <v>0</v>
      </c>
      <c r="DG547" s="408">
        <v>218.76366974192842</v>
      </c>
      <c r="DH547" s="408">
        <v>0</v>
      </c>
      <c r="DI547" s="408">
        <v>-403.53695485519165</v>
      </c>
      <c r="DJ547" s="408"/>
      <c r="DK547" s="408">
        <v>0</v>
      </c>
      <c r="DL547" s="408">
        <v>0</v>
      </c>
      <c r="DM547" s="408">
        <v>0</v>
      </c>
      <c r="DN547" s="408">
        <v>0</v>
      </c>
      <c r="DO547" s="408">
        <v>-55.492817341990531</v>
      </c>
      <c r="DP547" s="408">
        <v>-6.5983044028730831</v>
      </c>
      <c r="DQ547" s="408">
        <v>0</v>
      </c>
      <c r="DR547" s="408">
        <v>0</v>
      </c>
      <c r="DS547" s="408"/>
      <c r="DT547" s="408"/>
      <c r="DU547" s="408"/>
      <c r="DV547" s="408">
        <v>45480.095294814804</v>
      </c>
      <c r="DW547" s="408">
        <v>0</v>
      </c>
      <c r="DX547" s="408">
        <v>0</v>
      </c>
      <c r="DY547" s="408">
        <v>-10463.601289999999</v>
      </c>
      <c r="DZ547" s="408">
        <v>4168.8346900000033</v>
      </c>
      <c r="EA547" s="408">
        <v>0</v>
      </c>
      <c r="EB547" s="408">
        <v>0</v>
      </c>
      <c r="EC547" s="408">
        <v>-11298.027130355913</v>
      </c>
      <c r="ED547" s="408">
        <v>0</v>
      </c>
      <c r="EE547" s="408">
        <v>0</v>
      </c>
      <c r="EF547" s="408">
        <v>0</v>
      </c>
      <c r="EG547" s="408">
        <v>0</v>
      </c>
      <c r="EH547" s="408">
        <v>0</v>
      </c>
      <c r="EI547" s="408">
        <v>0</v>
      </c>
      <c r="EJ547" s="408">
        <v>0</v>
      </c>
      <c r="EK547" s="408">
        <v>0</v>
      </c>
      <c r="EL547" s="408">
        <v>0</v>
      </c>
      <c r="EM547" s="408">
        <v>0</v>
      </c>
      <c r="EN547" s="408">
        <v>0</v>
      </c>
      <c r="EO547" s="408">
        <v>0</v>
      </c>
      <c r="EP547" s="408">
        <v>3034.9159267149353</v>
      </c>
      <c r="EQ547" s="408">
        <v>0</v>
      </c>
      <c r="ER547" s="408">
        <v>0</v>
      </c>
      <c r="ES547" s="408">
        <v>0</v>
      </c>
      <c r="ET547" s="408">
        <v>0</v>
      </c>
      <c r="EU547" s="408">
        <v>0</v>
      </c>
      <c r="EV547" s="408">
        <v>240</v>
      </c>
      <c r="EW547" s="408">
        <v>0</v>
      </c>
      <c r="EX547" s="408">
        <v>0</v>
      </c>
      <c r="EY547" s="408">
        <v>0</v>
      </c>
      <c r="EZ547" s="408"/>
      <c r="FA547" s="408">
        <v>0</v>
      </c>
      <c r="FB547" s="408"/>
      <c r="FC547" s="408"/>
      <c r="FD547" s="408"/>
      <c r="FE547" s="408"/>
      <c r="FF547" s="408">
        <v>0</v>
      </c>
      <c r="FG547" s="408">
        <v>0</v>
      </c>
      <c r="FH547" s="408">
        <v>0</v>
      </c>
      <c r="FI547" s="408">
        <v>0</v>
      </c>
    </row>
    <row r="548" spans="1:165">
      <c r="A548" s="408">
        <v>546</v>
      </c>
      <c r="B548" s="408" t="s">
        <v>2238</v>
      </c>
      <c r="C548" s="408" t="s">
        <v>2235</v>
      </c>
      <c r="D548" s="408" t="s">
        <v>1955</v>
      </c>
      <c r="E548" s="408" t="s">
        <v>969</v>
      </c>
      <c r="F548" s="408" t="s">
        <v>969</v>
      </c>
      <c r="G548" s="408" t="s">
        <v>1322</v>
      </c>
      <c r="H548" s="408" t="s">
        <v>1322</v>
      </c>
      <c r="I548" s="408" t="s">
        <v>1322</v>
      </c>
      <c r="J548" s="408" t="s">
        <v>2236</v>
      </c>
      <c r="K548" s="826">
        <v>44621</v>
      </c>
      <c r="L548" s="408">
        <v>0</v>
      </c>
      <c r="M548" s="408">
        <v>0</v>
      </c>
      <c r="N548" s="408">
        <v>-0.64100000000000001</v>
      </c>
      <c r="O548" s="408">
        <v>-0.64100000000000001</v>
      </c>
      <c r="P548" s="408">
        <v>-0.64100000000000001</v>
      </c>
      <c r="Q548" s="408">
        <v>-0.64100000000000001</v>
      </c>
      <c r="R548" s="408"/>
      <c r="S548" s="408">
        <v>368.24</v>
      </c>
      <c r="T548" s="408">
        <v>173.25</v>
      </c>
      <c r="U548" s="408"/>
      <c r="V548" s="408">
        <v>-347.09509000000003</v>
      </c>
      <c r="W548" s="408">
        <v>-347.09509000000003</v>
      </c>
      <c r="X548" s="408">
        <v>-326.19848999999999</v>
      </c>
      <c r="Y548" s="408">
        <v>0</v>
      </c>
      <c r="Z548" s="408">
        <v>-39.450462430796428</v>
      </c>
      <c r="AA548" s="408">
        <v>0</v>
      </c>
      <c r="AB548" s="408">
        <v>0</v>
      </c>
      <c r="AC548" s="408">
        <v>-1.6406634508886055</v>
      </c>
      <c r="AD548" s="408">
        <v>-1.5763096771438334</v>
      </c>
      <c r="AE548" s="408">
        <v>-150.97928481377326</v>
      </c>
      <c r="AF548" s="408">
        <v>-109.18824164518564</v>
      </c>
      <c r="AG548" s="408">
        <v>-1.8635366930769415</v>
      </c>
      <c r="AH548" s="408">
        <v>0</v>
      </c>
      <c r="AI548" s="408">
        <v>0</v>
      </c>
      <c r="AJ548" s="408">
        <v>0</v>
      </c>
      <c r="AK548" s="408">
        <v>0</v>
      </c>
      <c r="AL548" s="408">
        <v>-6.0952884077655876</v>
      </c>
      <c r="AM548" s="408"/>
      <c r="AN548" s="408">
        <v>-0.77423615390650347</v>
      </c>
      <c r="AO548" s="408">
        <v>-3.4828065461049613</v>
      </c>
      <c r="AP548" s="408">
        <v>-16.239813116612005</v>
      </c>
      <c r="AQ548" s="408">
        <v>0</v>
      </c>
      <c r="AR548" s="408">
        <v>0</v>
      </c>
      <c r="AS548" s="408">
        <v>0</v>
      </c>
      <c r="AT548" s="408">
        <v>0</v>
      </c>
      <c r="AU548" s="408">
        <v>0</v>
      </c>
      <c r="AV548" s="408">
        <v>0</v>
      </c>
      <c r="AW548" s="408">
        <v>0</v>
      </c>
      <c r="AX548" s="408">
        <v>0</v>
      </c>
      <c r="AY548" s="408">
        <v>0</v>
      </c>
      <c r="AZ548" s="408">
        <v>0</v>
      </c>
      <c r="BA548" s="408"/>
      <c r="BB548" s="408">
        <v>0</v>
      </c>
      <c r="BC548" s="408">
        <v>0</v>
      </c>
      <c r="BD548" s="408">
        <v>0</v>
      </c>
      <c r="BE548" s="408">
        <v>0</v>
      </c>
      <c r="BF548" s="408">
        <v>0</v>
      </c>
      <c r="BG548" s="408">
        <v>-5.7304065598480634</v>
      </c>
      <c r="BH548" s="408">
        <v>0</v>
      </c>
      <c r="BI548" s="408">
        <v>-0.28999999999999998</v>
      </c>
      <c r="BJ548" s="408">
        <v>-2.5299999999999998</v>
      </c>
      <c r="BK548" s="408">
        <v>-140.02000000000001</v>
      </c>
      <c r="BL548" s="408">
        <v>2</v>
      </c>
      <c r="BM548" s="408"/>
      <c r="BN548" s="408"/>
      <c r="BO548" s="408"/>
      <c r="BP548" s="408"/>
      <c r="BQ548" s="408"/>
      <c r="BR548" s="408"/>
      <c r="BS548" s="408"/>
      <c r="BT548" s="408"/>
      <c r="BU548" s="408"/>
      <c r="BV548" s="408">
        <v>-114.9186482050337</v>
      </c>
      <c r="BW548" s="408"/>
      <c r="BX548" s="408"/>
      <c r="BY548" s="408"/>
      <c r="BZ548" s="408"/>
      <c r="CA548" s="408"/>
      <c r="CB548" s="408"/>
      <c r="CC548" s="408"/>
      <c r="CD548" s="408"/>
      <c r="CE548" s="408"/>
      <c r="CF548" s="408"/>
      <c r="CG548" s="408"/>
      <c r="CH548" s="408"/>
      <c r="CI548" s="408">
        <v>-325.68960000000004</v>
      </c>
      <c r="CJ548" s="408">
        <v>21.375490000000013</v>
      </c>
      <c r="CK548" s="408"/>
      <c r="CL548" s="408"/>
      <c r="CM548" s="408"/>
      <c r="CN548" s="408"/>
      <c r="CO548" s="408">
        <v>34.735790000000001</v>
      </c>
      <c r="CP548" s="408">
        <v>-13.839190000000002</v>
      </c>
      <c r="CQ548" s="408">
        <v>31</v>
      </c>
      <c r="CR548" s="408">
        <v>-16.606510635375201</v>
      </c>
      <c r="CS548" s="408">
        <v>-0.34705422802019248</v>
      </c>
      <c r="CT548" s="408">
        <v>-1.6182626654016268</v>
      </c>
      <c r="CU548" s="408">
        <v>0</v>
      </c>
      <c r="CV548" s="408">
        <v>0</v>
      </c>
      <c r="CW548" s="408">
        <v>0</v>
      </c>
      <c r="CX548" s="408">
        <v>0</v>
      </c>
      <c r="CY548" s="408">
        <v>0</v>
      </c>
      <c r="CZ548" s="408">
        <v>-1.6230766776668026</v>
      </c>
      <c r="DA548" s="408">
        <v>0</v>
      </c>
      <c r="DB548" s="408">
        <v>0</v>
      </c>
      <c r="DC548" s="408">
        <v>-13.837627475419495</v>
      </c>
      <c r="DD548" s="408">
        <v>0</v>
      </c>
      <c r="DE548" s="408">
        <v>0</v>
      </c>
      <c r="DF548" s="408">
        <v>0</v>
      </c>
      <c r="DG548" s="408">
        <v>-0.72622500429629611</v>
      </c>
      <c r="DH548" s="408">
        <v>0</v>
      </c>
      <c r="DI548" s="408">
        <v>1.3396128667942975</v>
      </c>
      <c r="DJ548" s="408"/>
      <c r="DK548" s="408">
        <v>0</v>
      </c>
      <c r="DL548" s="408">
        <v>0</v>
      </c>
      <c r="DM548" s="408">
        <v>0</v>
      </c>
      <c r="DN548" s="408">
        <v>0</v>
      </c>
      <c r="DO548" s="408">
        <v>0.18421830078157875</v>
      </c>
      <c r="DP548" s="408">
        <v>2.1904247853300474E-2</v>
      </c>
      <c r="DQ548" s="408">
        <v>0</v>
      </c>
      <c r="DR548" s="408">
        <v>0</v>
      </c>
      <c r="DS548" s="408"/>
      <c r="DT548" s="408"/>
      <c r="DU548" s="408"/>
      <c r="DV548" s="408">
        <v>-150.97928481377326</v>
      </c>
      <c r="DW548" s="408">
        <v>0</v>
      </c>
      <c r="DX548" s="408">
        <v>0</v>
      </c>
      <c r="DY548" s="408">
        <v>34.735790000000009</v>
      </c>
      <c r="DZ548" s="408">
        <v>-13.839190000000002</v>
      </c>
      <c r="EA548" s="408">
        <v>0</v>
      </c>
      <c r="EB548" s="408">
        <v>0</v>
      </c>
      <c r="EC548" s="408">
        <v>37.505815343843807</v>
      </c>
      <c r="ED548" s="408">
        <v>0</v>
      </c>
      <c r="EE548" s="408">
        <v>0</v>
      </c>
      <c r="EF548" s="408">
        <v>0</v>
      </c>
      <c r="EG548" s="408">
        <v>0</v>
      </c>
      <c r="EH548" s="408">
        <v>0</v>
      </c>
      <c r="EI548" s="408">
        <v>0</v>
      </c>
      <c r="EJ548" s="408">
        <v>0</v>
      </c>
      <c r="EK548" s="408">
        <v>0</v>
      </c>
      <c r="EL548" s="408">
        <v>0</v>
      </c>
      <c r="EM548" s="408">
        <v>0</v>
      </c>
      <c r="EN548" s="408">
        <v>0</v>
      </c>
      <c r="EO548" s="408">
        <v>0</v>
      </c>
      <c r="EP548" s="408">
        <v>-10.074944502976697</v>
      </c>
      <c r="EQ548" s="408">
        <v>0</v>
      </c>
      <c r="ER548" s="408">
        <v>0</v>
      </c>
      <c r="ES548" s="408">
        <v>0</v>
      </c>
      <c r="ET548" s="408">
        <v>0</v>
      </c>
      <c r="EU548" s="408">
        <v>0</v>
      </c>
      <c r="EV548" s="408">
        <v>240</v>
      </c>
      <c r="EW548" s="408">
        <v>0</v>
      </c>
      <c r="EX548" s="408">
        <v>0</v>
      </c>
      <c r="EY548" s="408">
        <v>0</v>
      </c>
      <c r="EZ548" s="408"/>
      <c r="FA548" s="408">
        <v>0</v>
      </c>
      <c r="FB548" s="408"/>
      <c r="FC548" s="408"/>
      <c r="FD548" s="408"/>
      <c r="FE548" s="408"/>
      <c r="FF548" s="408">
        <v>0</v>
      </c>
      <c r="FG548" s="408">
        <v>0</v>
      </c>
      <c r="FH548" s="408">
        <v>0</v>
      </c>
      <c r="FI548" s="408">
        <v>0</v>
      </c>
    </row>
    <row r="549" spans="1:165">
      <c r="A549" s="408">
        <v>547</v>
      </c>
      <c r="B549" s="408" t="s">
        <v>1036</v>
      </c>
      <c r="C549" s="408" t="s">
        <v>2235</v>
      </c>
      <c r="D549" s="408" t="s">
        <v>1955</v>
      </c>
      <c r="E549" s="408" t="s">
        <v>969</v>
      </c>
      <c r="F549" s="408" t="s">
        <v>2239</v>
      </c>
      <c r="G549" s="408" t="s">
        <v>1322</v>
      </c>
      <c r="H549" s="408" t="s">
        <v>1322</v>
      </c>
      <c r="I549" s="408" t="s">
        <v>1322</v>
      </c>
      <c r="J549" s="408" t="s">
        <v>2236</v>
      </c>
      <c r="K549" s="826">
        <v>44621</v>
      </c>
      <c r="L549" s="408">
        <v>0</v>
      </c>
      <c r="M549" s="408">
        <v>0</v>
      </c>
      <c r="N549" s="408">
        <v>55.732999999999997</v>
      </c>
      <c r="O549" s="408">
        <v>55.732999999999997</v>
      </c>
      <c r="P549" s="408">
        <v>55.732999999999997</v>
      </c>
      <c r="Q549" s="408">
        <v>55.732999999999997</v>
      </c>
      <c r="R549" s="408"/>
      <c r="S549" s="408">
        <v>281.47000000000003</v>
      </c>
      <c r="T549" s="408">
        <v>173.25</v>
      </c>
      <c r="U549" s="408"/>
      <c r="V549" s="408">
        <v>25342.909760000002</v>
      </c>
      <c r="W549" s="408">
        <v>25342.909760000002</v>
      </c>
      <c r="X549" s="408">
        <v>23658.658499999998</v>
      </c>
      <c r="Y549" s="408">
        <v>0</v>
      </c>
      <c r="Z549" s="408">
        <v>0</v>
      </c>
      <c r="AA549" s="408">
        <v>0</v>
      </c>
      <c r="AB549" s="408">
        <v>0</v>
      </c>
      <c r="AC549" s="408">
        <v>142.65069595690272</v>
      </c>
      <c r="AD549" s="408">
        <v>137.05533110180539</v>
      </c>
      <c r="AE549" s="408">
        <v>13127.189517201285</v>
      </c>
      <c r="AF549" s="408">
        <v>9493.5854471312487</v>
      </c>
      <c r="AG549" s="408">
        <v>162.02884635765548</v>
      </c>
      <c r="AH549" s="408">
        <v>0</v>
      </c>
      <c r="AI549" s="408">
        <v>0</v>
      </c>
      <c r="AJ549" s="408">
        <v>0</v>
      </c>
      <c r="AK549" s="408">
        <v>0</v>
      </c>
      <c r="AL549" s="408">
        <v>0</v>
      </c>
      <c r="AM549" s="408"/>
      <c r="AN549" s="408">
        <v>67.317478261577463</v>
      </c>
      <c r="AO549" s="408">
        <v>302.81943406250826</v>
      </c>
      <c r="AP549" s="408">
        <v>1412.0023470017736</v>
      </c>
      <c r="AQ549" s="408">
        <v>0</v>
      </c>
      <c r="AR549" s="408">
        <v>0</v>
      </c>
      <c r="AS549" s="408">
        <v>0</v>
      </c>
      <c r="AT549" s="408">
        <v>0</v>
      </c>
      <c r="AU549" s="408">
        <v>0</v>
      </c>
      <c r="AV549" s="408">
        <v>0</v>
      </c>
      <c r="AW549" s="408">
        <v>0</v>
      </c>
      <c r="AX549" s="408">
        <v>0</v>
      </c>
      <c r="AY549" s="408">
        <v>0</v>
      </c>
      <c r="AZ549" s="408">
        <v>0</v>
      </c>
      <c r="BA549" s="408"/>
      <c r="BB549" s="408">
        <v>0</v>
      </c>
      <c r="BC549" s="408">
        <v>0</v>
      </c>
      <c r="BD549" s="408">
        <v>0</v>
      </c>
      <c r="BE549" s="408">
        <v>0</v>
      </c>
      <c r="BF549" s="408">
        <v>0</v>
      </c>
      <c r="BG549" s="408">
        <v>498.24141778473029</v>
      </c>
      <c r="BH549" s="408">
        <v>0</v>
      </c>
      <c r="BI549" s="408">
        <v>0</v>
      </c>
      <c r="BJ549" s="408">
        <v>55.68</v>
      </c>
      <c r="BK549" s="408">
        <v>2628.01</v>
      </c>
      <c r="BL549" s="408">
        <v>106</v>
      </c>
      <c r="BM549" s="408"/>
      <c r="BN549" s="408"/>
      <c r="BO549" s="408"/>
      <c r="BP549" s="408"/>
      <c r="BQ549" s="408"/>
      <c r="BR549" s="408"/>
      <c r="BS549" s="408"/>
      <c r="BT549" s="408">
        <v>15378.40669</v>
      </c>
      <c r="BU549" s="408"/>
      <c r="BV549" s="408">
        <v>9991.8268649159781</v>
      </c>
      <c r="BW549" s="408"/>
      <c r="BX549" s="408"/>
      <c r="BY549" s="408"/>
      <c r="BZ549" s="408"/>
      <c r="CA549" s="408"/>
      <c r="CB549" s="408"/>
      <c r="CC549" s="408"/>
      <c r="CD549" s="408"/>
      <c r="CE549" s="408"/>
      <c r="CF549" s="408"/>
      <c r="CG549" s="408"/>
      <c r="CH549" s="408"/>
      <c r="CI549" s="408">
        <v>8279.806099999998</v>
      </c>
      <c r="CJ549" s="408">
        <v>-590.68818000000283</v>
      </c>
      <c r="CK549" s="408"/>
      <c r="CL549" s="408"/>
      <c r="CM549" s="408"/>
      <c r="CN549" s="408"/>
      <c r="CO549" s="408">
        <v>-2887.5267300000014</v>
      </c>
      <c r="CP549" s="408">
        <v>1203.27547</v>
      </c>
      <c r="CQ549" s="408">
        <v>31</v>
      </c>
      <c r="CR549" s="408">
        <v>1576.3780650606495</v>
      </c>
      <c r="CS549" s="408">
        <v>30.175309345162816</v>
      </c>
      <c r="CT549" s="408">
        <v>140.70301580472506</v>
      </c>
      <c r="CU549" s="408">
        <v>0</v>
      </c>
      <c r="CV549" s="408">
        <v>0</v>
      </c>
      <c r="CW549" s="408">
        <v>0</v>
      </c>
      <c r="CX549" s="408">
        <v>0</v>
      </c>
      <c r="CY549" s="408">
        <v>0</v>
      </c>
      <c r="CZ549" s="408">
        <v>141.12157952637114</v>
      </c>
      <c r="DA549" s="408">
        <v>0</v>
      </c>
      <c r="DB549" s="408">
        <v>0</v>
      </c>
      <c r="DC549" s="408">
        <v>1203.1396132411155</v>
      </c>
      <c r="DD549" s="408">
        <v>0</v>
      </c>
      <c r="DE549" s="408">
        <v>0</v>
      </c>
      <c r="DF549" s="408">
        <v>0</v>
      </c>
      <c r="DG549" s="408">
        <v>63.143054858729215</v>
      </c>
      <c r="DH549" s="408">
        <v>0</v>
      </c>
      <c r="DI549" s="408">
        <v>0</v>
      </c>
      <c r="DJ549" s="408"/>
      <c r="DK549" s="408">
        <v>0</v>
      </c>
      <c r="DL549" s="408">
        <v>0</v>
      </c>
      <c r="DM549" s="408">
        <v>0</v>
      </c>
      <c r="DN549" s="408">
        <v>0</v>
      </c>
      <c r="DO549" s="408">
        <v>0</v>
      </c>
      <c r="DP549" s="408">
        <v>-1.9045077154570862</v>
      </c>
      <c r="DQ549" s="408">
        <v>0</v>
      </c>
      <c r="DR549" s="408">
        <v>0</v>
      </c>
      <c r="DS549" s="408"/>
      <c r="DT549" s="408"/>
      <c r="DU549" s="408"/>
      <c r="DV549" s="408">
        <v>13127.189517201285</v>
      </c>
      <c r="DW549" s="408">
        <v>0</v>
      </c>
      <c r="DX549" s="408">
        <v>0</v>
      </c>
      <c r="DY549" s="408">
        <v>-2887.5267300000014</v>
      </c>
      <c r="DZ549" s="408">
        <v>1203.2754700000005</v>
      </c>
      <c r="EA549" s="408">
        <v>0</v>
      </c>
      <c r="EB549" s="408">
        <v>0</v>
      </c>
      <c r="EC549" s="408">
        <v>-3261.01654689305</v>
      </c>
      <c r="ED549" s="408">
        <v>0</v>
      </c>
      <c r="EE549" s="408">
        <v>0</v>
      </c>
      <c r="EF549" s="408">
        <v>0</v>
      </c>
      <c r="EG549" s="408">
        <v>0</v>
      </c>
      <c r="EH549" s="408">
        <v>0</v>
      </c>
      <c r="EI549" s="408">
        <v>0</v>
      </c>
      <c r="EJ549" s="408">
        <v>0</v>
      </c>
      <c r="EK549" s="408">
        <v>0</v>
      </c>
      <c r="EL549" s="408">
        <v>0</v>
      </c>
      <c r="EM549" s="408">
        <v>0</v>
      </c>
      <c r="EN549" s="408">
        <v>0</v>
      </c>
      <c r="EO549" s="408">
        <v>0</v>
      </c>
      <c r="EP549" s="408">
        <v>0</v>
      </c>
      <c r="EQ549" s="408">
        <v>0</v>
      </c>
      <c r="ER549" s="408">
        <v>0</v>
      </c>
      <c r="ES549" s="408">
        <v>0</v>
      </c>
      <c r="ET549" s="408">
        <v>0</v>
      </c>
      <c r="EU549" s="408">
        <v>0</v>
      </c>
      <c r="EV549" s="408">
        <v>240</v>
      </c>
      <c r="EW549" s="408">
        <v>0</v>
      </c>
      <c r="EX549" s="408">
        <v>0</v>
      </c>
      <c r="EY549" s="408">
        <v>0</v>
      </c>
      <c r="EZ549" s="408"/>
      <c r="FA549" s="408">
        <v>0</v>
      </c>
      <c r="FB549" s="408"/>
      <c r="FC549" s="408"/>
      <c r="FD549" s="408"/>
      <c r="FE549" s="408"/>
      <c r="FF549" s="408">
        <v>0</v>
      </c>
      <c r="FG549" s="408">
        <v>0</v>
      </c>
      <c r="FH549" s="408">
        <v>0</v>
      </c>
      <c r="FI549" s="408">
        <v>0</v>
      </c>
    </row>
    <row r="550" spans="1:165">
      <c r="A550" s="408">
        <v>548</v>
      </c>
      <c r="B550" s="408" t="s">
        <v>2237</v>
      </c>
      <c r="C550" s="408" t="s">
        <v>2235</v>
      </c>
      <c r="D550" s="408" t="s">
        <v>1955</v>
      </c>
      <c r="E550" s="408" t="s">
        <v>969</v>
      </c>
      <c r="F550" s="408" t="s">
        <v>2239</v>
      </c>
      <c r="G550" s="408" t="s">
        <v>1322</v>
      </c>
      <c r="H550" s="408" t="s">
        <v>1322</v>
      </c>
      <c r="I550" s="408" t="s">
        <v>1322</v>
      </c>
      <c r="J550" s="408" t="s">
        <v>2236</v>
      </c>
      <c r="K550" s="826">
        <v>44621</v>
      </c>
      <c r="L550" s="408">
        <v>0</v>
      </c>
      <c r="M550" s="408">
        <v>0</v>
      </c>
      <c r="N550" s="408">
        <v>0.03</v>
      </c>
      <c r="O550" s="408">
        <v>0.03</v>
      </c>
      <c r="P550" s="408">
        <v>0.03</v>
      </c>
      <c r="Q550" s="408">
        <v>0.03</v>
      </c>
      <c r="R550" s="408"/>
      <c r="S550" s="408">
        <v>281.47000000000003</v>
      </c>
      <c r="T550" s="408">
        <v>173.25</v>
      </c>
      <c r="U550" s="408"/>
      <c r="V550" s="408">
        <v>13.6416</v>
      </c>
      <c r="W550" s="408">
        <v>13.6416</v>
      </c>
      <c r="X550" s="408">
        <v>12.734999999999999</v>
      </c>
      <c r="Y550" s="408">
        <v>0</v>
      </c>
      <c r="Z550" s="408">
        <v>0</v>
      </c>
      <c r="AA550" s="408">
        <v>0</v>
      </c>
      <c r="AB550" s="408">
        <v>0</v>
      </c>
      <c r="AC550" s="408">
        <v>7.6786120946424591E-2</v>
      </c>
      <c r="AD550" s="408">
        <v>7.3774243860085797E-2</v>
      </c>
      <c r="AE550" s="408">
        <v>7.0661131738115399</v>
      </c>
      <c r="AF550" s="408">
        <v>5.1102141175593898</v>
      </c>
      <c r="AG550" s="408">
        <v>8.7217005916237503E-2</v>
      </c>
      <c r="AH550" s="408">
        <v>0</v>
      </c>
      <c r="AI550" s="408">
        <v>0</v>
      </c>
      <c r="AJ550" s="408">
        <v>0</v>
      </c>
      <c r="AK550" s="408">
        <v>0</v>
      </c>
      <c r="AL550" s="408">
        <v>0</v>
      </c>
      <c r="AM550" s="408"/>
      <c r="AN550" s="408">
        <v>3.6235701430881596E-2</v>
      </c>
      <c r="AO550" s="408">
        <v>0.1630018664323695</v>
      </c>
      <c r="AP550" s="408">
        <v>0.76005365600368202</v>
      </c>
      <c r="AQ550" s="408">
        <v>0</v>
      </c>
      <c r="AR550" s="408">
        <v>0</v>
      </c>
      <c r="AS550" s="408">
        <v>0</v>
      </c>
      <c r="AT550" s="408">
        <v>0</v>
      </c>
      <c r="AU550" s="408">
        <v>0</v>
      </c>
      <c r="AV550" s="408">
        <v>0</v>
      </c>
      <c r="AW550" s="408">
        <v>0</v>
      </c>
      <c r="AX550" s="408">
        <v>0</v>
      </c>
      <c r="AY550" s="408">
        <v>0</v>
      </c>
      <c r="AZ550" s="408">
        <v>0</v>
      </c>
      <c r="BA550" s="408"/>
      <c r="BB550" s="408">
        <v>0</v>
      </c>
      <c r="BC550" s="408">
        <v>0</v>
      </c>
      <c r="BD550" s="408">
        <v>0</v>
      </c>
      <c r="BE550" s="408">
        <v>0</v>
      </c>
      <c r="BF550" s="408">
        <v>0</v>
      </c>
      <c r="BG550" s="408">
        <v>0.26819375475107943</v>
      </c>
      <c r="BH550" s="408">
        <v>0</v>
      </c>
      <c r="BI550" s="408">
        <v>0</v>
      </c>
      <c r="BJ550" s="408">
        <v>0.03</v>
      </c>
      <c r="BK550" s="408">
        <v>1.49</v>
      </c>
      <c r="BL550" s="408">
        <v>0</v>
      </c>
      <c r="BM550" s="408"/>
      <c r="BN550" s="408"/>
      <c r="BO550" s="408"/>
      <c r="BP550" s="408"/>
      <c r="BQ550" s="408"/>
      <c r="BR550" s="408"/>
      <c r="BS550" s="408"/>
      <c r="BT550" s="408">
        <v>8.2778999999999989</v>
      </c>
      <c r="BU550" s="408"/>
      <c r="BV550" s="408">
        <v>5.3784078723104694</v>
      </c>
      <c r="BW550" s="408"/>
      <c r="BX550" s="408"/>
      <c r="BY550" s="408"/>
      <c r="BZ550" s="408"/>
      <c r="CA550" s="408"/>
      <c r="CB550" s="408"/>
      <c r="CC550" s="408"/>
      <c r="CD550" s="408"/>
      <c r="CE550" s="408"/>
      <c r="CF550" s="408"/>
      <c r="CG550" s="408"/>
      <c r="CH550" s="408"/>
      <c r="CI550" s="408">
        <v>4.4571000000000005</v>
      </c>
      <c r="CJ550" s="408">
        <v>-0.3476999999999979</v>
      </c>
      <c r="CK550" s="408"/>
      <c r="CL550" s="408"/>
      <c r="CM550" s="408"/>
      <c r="CN550" s="408"/>
      <c r="CO550" s="408">
        <v>-1.5543000000000009</v>
      </c>
      <c r="CP550" s="408">
        <v>0.64770000000000005</v>
      </c>
      <c r="CQ550" s="408">
        <v>31</v>
      </c>
      <c r="CR550" s="408">
        <v>0.84853393773562047</v>
      </c>
      <c r="CS550" s="408">
        <v>1.6242787582848306E-2</v>
      </c>
      <c r="CT550" s="408">
        <v>7.5737722249686001E-2</v>
      </c>
      <c r="CU550" s="408">
        <v>0</v>
      </c>
      <c r="CV550" s="408">
        <v>0</v>
      </c>
      <c r="CW550" s="408">
        <v>0</v>
      </c>
      <c r="CX550" s="408">
        <v>0</v>
      </c>
      <c r="CY550" s="408">
        <v>0</v>
      </c>
      <c r="CZ550" s="408">
        <v>7.5963027035887809E-2</v>
      </c>
      <c r="DA550" s="408">
        <v>0</v>
      </c>
      <c r="DB550" s="408">
        <v>0</v>
      </c>
      <c r="DC550" s="408">
        <v>0.64762687092447013</v>
      </c>
      <c r="DD550" s="408">
        <v>0</v>
      </c>
      <c r="DE550" s="408">
        <v>0</v>
      </c>
      <c r="DF550" s="408">
        <v>0</v>
      </c>
      <c r="DG550" s="408">
        <v>3.3988689748656598E-2</v>
      </c>
      <c r="DH550" s="408">
        <v>0</v>
      </c>
      <c r="DI550" s="408">
        <v>0</v>
      </c>
      <c r="DJ550" s="408"/>
      <c r="DK550" s="408">
        <v>0</v>
      </c>
      <c r="DL550" s="408">
        <v>0</v>
      </c>
      <c r="DM550" s="408">
        <v>0</v>
      </c>
      <c r="DN550" s="408">
        <v>0</v>
      </c>
      <c r="DO550" s="408">
        <v>0</v>
      </c>
      <c r="DP550" s="408">
        <v>-1.0251598059266981E-3</v>
      </c>
      <c r="DQ550" s="408">
        <v>0</v>
      </c>
      <c r="DR550" s="408">
        <v>0</v>
      </c>
      <c r="DS550" s="408"/>
      <c r="DT550" s="408"/>
      <c r="DU550" s="408"/>
      <c r="DV550" s="408">
        <v>7.0661131738115399</v>
      </c>
      <c r="DW550" s="408">
        <v>0</v>
      </c>
      <c r="DX550" s="408">
        <v>0</v>
      </c>
      <c r="DY550" s="408">
        <v>-1.5543000000000013</v>
      </c>
      <c r="DZ550" s="408">
        <v>0.64770000000000039</v>
      </c>
      <c r="EA550" s="408">
        <v>0</v>
      </c>
      <c r="EB550" s="408">
        <v>0</v>
      </c>
      <c r="EC550" s="408">
        <v>-1.7553423717867602</v>
      </c>
      <c r="ED550" s="408">
        <v>0</v>
      </c>
      <c r="EE550" s="408">
        <v>0</v>
      </c>
      <c r="EF550" s="408">
        <v>0</v>
      </c>
      <c r="EG550" s="408">
        <v>0</v>
      </c>
      <c r="EH550" s="408">
        <v>0</v>
      </c>
      <c r="EI550" s="408">
        <v>0</v>
      </c>
      <c r="EJ550" s="408">
        <v>0</v>
      </c>
      <c r="EK550" s="408">
        <v>0</v>
      </c>
      <c r="EL550" s="408">
        <v>0</v>
      </c>
      <c r="EM550" s="408">
        <v>0</v>
      </c>
      <c r="EN550" s="408">
        <v>0</v>
      </c>
      <c r="EO550" s="408">
        <v>0</v>
      </c>
      <c r="EP550" s="408">
        <v>0</v>
      </c>
      <c r="EQ550" s="408">
        <v>0</v>
      </c>
      <c r="ER550" s="408">
        <v>0</v>
      </c>
      <c r="ES550" s="408">
        <v>0</v>
      </c>
      <c r="ET550" s="408">
        <v>0</v>
      </c>
      <c r="EU550" s="408">
        <v>0</v>
      </c>
      <c r="EV550" s="408">
        <v>240</v>
      </c>
      <c r="EW550" s="408">
        <v>0</v>
      </c>
      <c r="EX550" s="408">
        <v>0</v>
      </c>
      <c r="EY550" s="408">
        <v>0</v>
      </c>
      <c r="EZ550" s="408"/>
      <c r="FA550" s="408">
        <v>0</v>
      </c>
      <c r="FB550" s="408"/>
      <c r="FC550" s="408"/>
      <c r="FD550" s="408"/>
      <c r="FE550" s="408"/>
      <c r="FF550" s="408">
        <v>0</v>
      </c>
      <c r="FG550" s="408">
        <v>0</v>
      </c>
      <c r="FH550" s="408">
        <v>0</v>
      </c>
      <c r="FI550" s="408">
        <v>0</v>
      </c>
    </row>
    <row r="551" spans="1:165">
      <c r="A551" s="408">
        <v>549</v>
      </c>
      <c r="B551" s="408" t="s">
        <v>2238</v>
      </c>
      <c r="C551" s="408" t="s">
        <v>2235</v>
      </c>
      <c r="D551" s="408" t="s">
        <v>1955</v>
      </c>
      <c r="E551" s="408" t="s">
        <v>969</v>
      </c>
      <c r="F551" s="408" t="s">
        <v>2239</v>
      </c>
      <c r="G551" s="408" t="s">
        <v>1322</v>
      </c>
      <c r="H551" s="408" t="s">
        <v>1322</v>
      </c>
      <c r="I551" s="408" t="s">
        <v>1322</v>
      </c>
      <c r="J551" s="408" t="s">
        <v>2236</v>
      </c>
      <c r="K551" s="826">
        <v>44621</v>
      </c>
      <c r="L551" s="408">
        <v>0</v>
      </c>
      <c r="M551" s="408">
        <v>0</v>
      </c>
      <c r="N551" s="408">
        <v>0.36399999999999999</v>
      </c>
      <c r="O551" s="408">
        <v>-2.9483999999999999</v>
      </c>
      <c r="P551" s="408">
        <v>0.36399999999999999</v>
      </c>
      <c r="Q551" s="408">
        <v>-2.9483999999999999</v>
      </c>
      <c r="R551" s="408"/>
      <c r="S551" s="408">
        <v>281.47000000000003</v>
      </c>
      <c r="T551" s="408">
        <v>173.25</v>
      </c>
      <c r="U551" s="408"/>
      <c r="V551" s="408">
        <v>165.51808</v>
      </c>
      <c r="W551" s="408">
        <v>165.51808</v>
      </c>
      <c r="X551" s="408">
        <v>154.518</v>
      </c>
      <c r="Y551" s="408">
        <v>0</v>
      </c>
      <c r="Z551" s="408">
        <v>0</v>
      </c>
      <c r="AA551" s="408">
        <v>0</v>
      </c>
      <c r="AB551" s="408">
        <v>0</v>
      </c>
      <c r="AC551" s="408">
        <v>0.93167160081661848</v>
      </c>
      <c r="AD551" s="408">
        <v>0.89512749216904108</v>
      </c>
      <c r="AE551" s="408">
        <v>85.73550650891336</v>
      </c>
      <c r="AF551" s="408">
        <v>62.003931293053931</v>
      </c>
      <c r="AG551" s="408">
        <v>1.058233005117015</v>
      </c>
      <c r="AH551" s="408">
        <v>0</v>
      </c>
      <c r="AI551" s="408">
        <v>0</v>
      </c>
      <c r="AJ551" s="408">
        <v>0</v>
      </c>
      <c r="AK551" s="408">
        <v>0</v>
      </c>
      <c r="AL551" s="408">
        <v>0</v>
      </c>
      <c r="AM551" s="408"/>
      <c r="AN551" s="408">
        <v>0.43965984402803004</v>
      </c>
      <c r="AO551" s="408">
        <v>1.9777559793794164</v>
      </c>
      <c r="AP551" s="408">
        <v>9.2219843595113407</v>
      </c>
      <c r="AQ551" s="408">
        <v>0</v>
      </c>
      <c r="AR551" s="408">
        <v>0</v>
      </c>
      <c r="AS551" s="408">
        <v>0</v>
      </c>
      <c r="AT551" s="408">
        <v>0</v>
      </c>
      <c r="AU551" s="408">
        <v>0</v>
      </c>
      <c r="AV551" s="408">
        <v>0</v>
      </c>
      <c r="AW551" s="408">
        <v>0</v>
      </c>
      <c r="AX551" s="408">
        <v>0</v>
      </c>
      <c r="AY551" s="408">
        <v>0</v>
      </c>
      <c r="AZ551" s="408">
        <v>0</v>
      </c>
      <c r="BA551" s="408"/>
      <c r="BB551" s="408">
        <v>0</v>
      </c>
      <c r="BC551" s="408">
        <v>0</v>
      </c>
      <c r="BD551" s="408">
        <v>0</v>
      </c>
      <c r="BE551" s="408">
        <v>0</v>
      </c>
      <c r="BF551" s="408">
        <v>0</v>
      </c>
      <c r="BG551" s="408">
        <v>3.2540842243130967</v>
      </c>
      <c r="BH551" s="408">
        <v>0</v>
      </c>
      <c r="BI551" s="408">
        <v>0</v>
      </c>
      <c r="BJ551" s="408">
        <v>0.36</v>
      </c>
      <c r="BK551" s="408">
        <v>18.96</v>
      </c>
      <c r="BL551" s="408">
        <v>1</v>
      </c>
      <c r="BM551" s="408"/>
      <c r="BN551" s="408"/>
      <c r="BO551" s="408"/>
      <c r="BP551" s="408"/>
      <c r="BQ551" s="408"/>
      <c r="BR551" s="408"/>
      <c r="BS551" s="408"/>
      <c r="BT551" s="408">
        <v>592.56178799999998</v>
      </c>
      <c r="BU551" s="408"/>
      <c r="BV551" s="408">
        <v>65.258015517367028</v>
      </c>
      <c r="BW551" s="408"/>
      <c r="BX551" s="408"/>
      <c r="BY551" s="408"/>
      <c r="BZ551" s="408"/>
      <c r="CA551" s="408"/>
      <c r="CB551" s="408"/>
      <c r="CC551" s="408"/>
      <c r="CD551" s="408"/>
      <c r="CE551" s="408"/>
      <c r="CF551" s="408"/>
      <c r="CG551" s="408"/>
      <c r="CH551" s="408"/>
      <c r="CI551" s="408">
        <v>-438.28150000000005</v>
      </c>
      <c r="CJ551" s="408">
        <v>30.955843999999956</v>
      </c>
      <c r="CK551" s="408"/>
      <c r="CL551" s="408"/>
      <c r="CM551" s="408"/>
      <c r="CN551" s="408"/>
      <c r="CO551" s="408">
        <v>-18.858840000000011</v>
      </c>
      <c r="CP551" s="408">
        <v>7.8587600000000011</v>
      </c>
      <c r="CQ551" s="408">
        <v>31</v>
      </c>
      <c r="CR551" s="408">
        <v>10.295545111192226</v>
      </c>
      <c r="CS551" s="408">
        <v>0.19707915600522607</v>
      </c>
      <c r="CT551" s="408">
        <v>0.91895102996285871</v>
      </c>
      <c r="CU551" s="408">
        <v>0</v>
      </c>
      <c r="CV551" s="408">
        <v>0</v>
      </c>
      <c r="CW551" s="408">
        <v>0</v>
      </c>
      <c r="CX551" s="408">
        <v>0</v>
      </c>
      <c r="CY551" s="408">
        <v>0</v>
      </c>
      <c r="CZ551" s="408">
        <v>0.92168472803543855</v>
      </c>
      <c r="DA551" s="408">
        <v>0</v>
      </c>
      <c r="DB551" s="408">
        <v>0</v>
      </c>
      <c r="DC551" s="408">
        <v>7.8578727005502387</v>
      </c>
      <c r="DD551" s="408">
        <v>0</v>
      </c>
      <c r="DE551" s="408">
        <v>0</v>
      </c>
      <c r="DF551" s="408">
        <v>0</v>
      </c>
      <c r="DG551" s="408">
        <v>0.41239610228370038</v>
      </c>
      <c r="DH551" s="408">
        <v>0</v>
      </c>
      <c r="DI551" s="408">
        <v>0</v>
      </c>
      <c r="DJ551" s="408"/>
      <c r="DK551" s="408">
        <v>0</v>
      </c>
      <c r="DL551" s="408">
        <v>0</v>
      </c>
      <c r="DM551" s="408">
        <v>0</v>
      </c>
      <c r="DN551" s="408">
        <v>0</v>
      </c>
      <c r="DO551" s="408">
        <v>0</v>
      </c>
      <c r="DP551" s="408">
        <v>-1.2438605645243961E-2</v>
      </c>
      <c r="DQ551" s="408">
        <v>0</v>
      </c>
      <c r="DR551" s="408">
        <v>0</v>
      </c>
      <c r="DS551" s="408"/>
      <c r="DT551" s="408"/>
      <c r="DU551" s="408"/>
      <c r="DV551" s="408">
        <v>85.73550650891336</v>
      </c>
      <c r="DW551" s="408">
        <v>0</v>
      </c>
      <c r="DX551" s="408">
        <v>0</v>
      </c>
      <c r="DY551" s="408">
        <v>-18.858840000000015</v>
      </c>
      <c r="DZ551" s="408">
        <v>7.8587600000000108</v>
      </c>
      <c r="EA551" s="408">
        <v>0</v>
      </c>
      <c r="EB551" s="408">
        <v>0</v>
      </c>
      <c r="EC551" s="408">
        <v>-21.298154111012707</v>
      </c>
      <c r="ED551" s="408">
        <v>0</v>
      </c>
      <c r="EE551" s="408">
        <v>0</v>
      </c>
      <c r="EF551" s="408">
        <v>0</v>
      </c>
      <c r="EG551" s="408">
        <v>0</v>
      </c>
      <c r="EH551" s="408">
        <v>0</v>
      </c>
      <c r="EI551" s="408">
        <v>0</v>
      </c>
      <c r="EJ551" s="408">
        <v>0</v>
      </c>
      <c r="EK551" s="408">
        <v>0</v>
      </c>
      <c r="EL551" s="408">
        <v>0</v>
      </c>
      <c r="EM551" s="408">
        <v>0</v>
      </c>
      <c r="EN551" s="408">
        <v>0</v>
      </c>
      <c r="EO551" s="408">
        <v>0</v>
      </c>
      <c r="EP551" s="408">
        <v>0</v>
      </c>
      <c r="EQ551" s="408">
        <v>0</v>
      </c>
      <c r="ER551" s="408">
        <v>0</v>
      </c>
      <c r="ES551" s="408">
        <v>0</v>
      </c>
      <c r="ET551" s="408">
        <v>0</v>
      </c>
      <c r="EU551" s="408">
        <v>0</v>
      </c>
      <c r="EV551" s="408">
        <v>240</v>
      </c>
      <c r="EW551" s="408">
        <v>0</v>
      </c>
      <c r="EX551" s="408">
        <v>0</v>
      </c>
      <c r="EY551" s="408">
        <v>0</v>
      </c>
      <c r="EZ551" s="408"/>
      <c r="FA551" s="408">
        <v>0</v>
      </c>
      <c r="FB551" s="408"/>
      <c r="FC551" s="408"/>
      <c r="FD551" s="408"/>
      <c r="FE551" s="408"/>
      <c r="FF551" s="408">
        <v>0</v>
      </c>
      <c r="FG551" s="408">
        <v>0</v>
      </c>
      <c r="FH551" s="408">
        <v>0</v>
      </c>
      <c r="FI551" s="408">
        <v>0</v>
      </c>
    </row>
    <row r="552" spans="1:165">
      <c r="A552" s="408">
        <v>550</v>
      </c>
      <c r="B552" s="408" t="s">
        <v>1036</v>
      </c>
      <c r="C552" s="408" t="s">
        <v>2235</v>
      </c>
      <c r="D552" s="408" t="s">
        <v>1955</v>
      </c>
      <c r="E552" s="408" t="s">
        <v>969</v>
      </c>
      <c r="F552" s="408" t="s">
        <v>2240</v>
      </c>
      <c r="G552" s="408" t="s">
        <v>1322</v>
      </c>
      <c r="H552" s="408" t="s">
        <v>1322</v>
      </c>
      <c r="I552" s="408" t="s">
        <v>1322</v>
      </c>
      <c r="J552" s="408" t="s">
        <v>2236</v>
      </c>
      <c r="K552" s="826">
        <v>44621</v>
      </c>
      <c r="L552" s="408">
        <v>0</v>
      </c>
      <c r="M552" s="408">
        <v>0</v>
      </c>
      <c r="N552" s="408">
        <v>115.33499999999999</v>
      </c>
      <c r="O552" s="408">
        <v>115.33499999999999</v>
      </c>
      <c r="P552" s="408">
        <v>115.33499999999999</v>
      </c>
      <c r="Q552" s="408">
        <v>115.33499999999999</v>
      </c>
      <c r="R552" s="408"/>
      <c r="S552" s="408">
        <v>281.47000000000003</v>
      </c>
      <c r="T552" s="408">
        <v>173.25</v>
      </c>
      <c r="U552" s="408"/>
      <c r="V552" s="408">
        <v>52445.131200000003</v>
      </c>
      <c r="W552" s="408">
        <v>52445.131200000003</v>
      </c>
      <c r="X552" s="408">
        <v>48959.707499999997</v>
      </c>
      <c r="Y552" s="408">
        <v>0</v>
      </c>
      <c r="Z552" s="408">
        <v>0</v>
      </c>
      <c r="AA552" s="408">
        <v>0</v>
      </c>
      <c r="AB552" s="408">
        <v>0</v>
      </c>
      <c r="AC552" s="408">
        <v>295.20424197852935</v>
      </c>
      <c r="AD552" s="408">
        <v>283.62508052009986</v>
      </c>
      <c r="AE552" s="408">
        <v>27165.672096718466</v>
      </c>
      <c r="AF552" s="408">
        <v>19646.218174957074</v>
      </c>
      <c r="AG552" s="408">
        <v>335.3057792449751</v>
      </c>
      <c r="AH552" s="408">
        <v>0</v>
      </c>
      <c r="AI552" s="408">
        <v>0</v>
      </c>
      <c r="AJ552" s="408">
        <v>0</v>
      </c>
      <c r="AK552" s="408">
        <v>0</v>
      </c>
      <c r="AL552" s="408">
        <v>0</v>
      </c>
      <c r="AM552" s="408"/>
      <c r="AN552" s="408">
        <v>139.3081541510243</v>
      </c>
      <c r="AO552" s="408">
        <v>626.66067549924446</v>
      </c>
      <c r="AP552" s="408">
        <v>2922.0262805061552</v>
      </c>
      <c r="AQ552" s="408">
        <v>0</v>
      </c>
      <c r="AR552" s="408">
        <v>0</v>
      </c>
      <c r="AS552" s="408">
        <v>0</v>
      </c>
      <c r="AT552" s="408">
        <v>0</v>
      </c>
      <c r="AU552" s="408">
        <v>0</v>
      </c>
      <c r="AV552" s="408">
        <v>0</v>
      </c>
      <c r="AW552" s="408">
        <v>0</v>
      </c>
      <c r="AX552" s="408">
        <v>0</v>
      </c>
      <c r="AY552" s="408">
        <v>0</v>
      </c>
      <c r="AZ552" s="408">
        <v>0</v>
      </c>
      <c r="BA552" s="408"/>
      <c r="BB552" s="408">
        <v>0</v>
      </c>
      <c r="BC552" s="408">
        <v>0</v>
      </c>
      <c r="BD552" s="408">
        <v>0</v>
      </c>
      <c r="BE552" s="408">
        <v>0</v>
      </c>
      <c r="BF552" s="408">
        <v>0</v>
      </c>
      <c r="BG552" s="408">
        <v>1031.0708901405249</v>
      </c>
      <c r="BH552" s="408">
        <v>0</v>
      </c>
      <c r="BI552" s="408">
        <v>16.46</v>
      </c>
      <c r="BJ552" s="408">
        <v>230.54</v>
      </c>
      <c r="BK552" s="408">
        <v>9832.74</v>
      </c>
      <c r="BL552" s="408">
        <v>268</v>
      </c>
      <c r="BM552" s="408"/>
      <c r="BN552" s="408"/>
      <c r="BO552" s="408"/>
      <c r="BP552" s="408"/>
      <c r="BQ552" s="408"/>
      <c r="BR552" s="408"/>
      <c r="BS552" s="408"/>
      <c r="BT552" s="408">
        <v>19585.036350000002</v>
      </c>
      <c r="BU552" s="408"/>
      <c r="BV552" s="408">
        <v>20677.289065097597</v>
      </c>
      <c r="BW552" s="408"/>
      <c r="BX552" s="408"/>
      <c r="BY552" s="408"/>
      <c r="BZ552" s="408"/>
      <c r="CA552" s="408"/>
      <c r="CB552" s="408"/>
      <c r="CC552" s="408"/>
      <c r="CD552" s="408"/>
      <c r="CE552" s="408"/>
      <c r="CF552" s="408"/>
      <c r="CG552" s="408"/>
      <c r="CH552" s="408"/>
      <c r="CI552" s="408">
        <v>29375.944600000003</v>
      </c>
      <c r="CJ552" s="408">
        <v>-2090.9334499999932</v>
      </c>
      <c r="CK552" s="408"/>
      <c r="CL552" s="408"/>
      <c r="CM552" s="408"/>
      <c r="CN552" s="408"/>
      <c r="CO552" s="408">
        <v>-5975.5063500000033</v>
      </c>
      <c r="CP552" s="408">
        <v>2490.0826500000003</v>
      </c>
      <c r="CQ552" s="408">
        <v>31</v>
      </c>
      <c r="CR552" s="408">
        <v>3262.1887236246002</v>
      </c>
      <c r="CS552" s="408">
        <v>62.445396862260282</v>
      </c>
      <c r="CT552" s="408">
        <v>291.1736731889182</v>
      </c>
      <c r="CU552" s="408">
        <v>0</v>
      </c>
      <c r="CV552" s="408">
        <v>0</v>
      </c>
      <c r="CW552" s="408">
        <v>0</v>
      </c>
      <c r="CX552" s="408">
        <v>0</v>
      </c>
      <c r="CY552" s="408">
        <v>0</v>
      </c>
      <c r="CZ552" s="408">
        <v>292.03985743947061</v>
      </c>
      <c r="DA552" s="408">
        <v>0</v>
      </c>
      <c r="DB552" s="408">
        <v>0</v>
      </c>
      <c r="DC552" s="408">
        <v>2489.8015052691226</v>
      </c>
      <c r="DD552" s="408">
        <v>0</v>
      </c>
      <c r="DE552" s="408">
        <v>0</v>
      </c>
      <c r="DF552" s="408">
        <v>0</v>
      </c>
      <c r="DG552" s="408">
        <v>130.66951773871028</v>
      </c>
      <c r="DH552" s="408">
        <v>0</v>
      </c>
      <c r="DI552" s="408">
        <v>0</v>
      </c>
      <c r="DJ552" s="408"/>
      <c r="DK552" s="408">
        <v>0</v>
      </c>
      <c r="DL552" s="408">
        <v>0</v>
      </c>
      <c r="DM552" s="408">
        <v>0</v>
      </c>
      <c r="DN552" s="408">
        <v>0</v>
      </c>
      <c r="DO552" s="408">
        <v>0</v>
      </c>
      <c r="DP552" s="408">
        <v>-3.9412268738851992</v>
      </c>
      <c r="DQ552" s="408">
        <v>0</v>
      </c>
      <c r="DR552" s="408">
        <v>0</v>
      </c>
      <c r="DS552" s="408"/>
      <c r="DT552" s="408"/>
      <c r="DU552" s="408"/>
      <c r="DV552" s="408">
        <v>27165.672096718466</v>
      </c>
      <c r="DW552" s="408">
        <v>0</v>
      </c>
      <c r="DX552" s="408">
        <v>0</v>
      </c>
      <c r="DY552" s="408">
        <v>-5975.5063500000033</v>
      </c>
      <c r="DZ552" s="408">
        <v>2490.0826500000003</v>
      </c>
      <c r="EA552" s="408">
        <v>0</v>
      </c>
      <c r="EB552" s="408">
        <v>0</v>
      </c>
      <c r="EC552" s="408">
        <v>-6748.413748334202</v>
      </c>
      <c r="ED552" s="408">
        <v>0</v>
      </c>
      <c r="EE552" s="408">
        <v>0</v>
      </c>
      <c r="EF552" s="408">
        <v>0</v>
      </c>
      <c r="EG552" s="408">
        <v>0</v>
      </c>
      <c r="EH552" s="408">
        <v>0</v>
      </c>
      <c r="EI552" s="408">
        <v>0</v>
      </c>
      <c r="EJ552" s="408">
        <v>0</v>
      </c>
      <c r="EK552" s="408">
        <v>0</v>
      </c>
      <c r="EL552" s="408">
        <v>0</v>
      </c>
      <c r="EM552" s="408">
        <v>0</v>
      </c>
      <c r="EN552" s="408">
        <v>0</v>
      </c>
      <c r="EO552" s="408">
        <v>0</v>
      </c>
      <c r="EP552" s="408">
        <v>0</v>
      </c>
      <c r="EQ552" s="408">
        <v>0</v>
      </c>
      <c r="ER552" s="408">
        <v>0</v>
      </c>
      <c r="ES552" s="408">
        <v>0</v>
      </c>
      <c r="ET552" s="408">
        <v>0</v>
      </c>
      <c r="EU552" s="408">
        <v>0</v>
      </c>
      <c r="EV552" s="408">
        <v>240</v>
      </c>
      <c r="EW552" s="408">
        <v>0</v>
      </c>
      <c r="EX552" s="408">
        <v>0</v>
      </c>
      <c r="EY552" s="408">
        <v>0</v>
      </c>
      <c r="EZ552" s="408"/>
      <c r="FA552" s="408">
        <v>0</v>
      </c>
      <c r="FB552" s="408"/>
      <c r="FC552" s="408"/>
      <c r="FD552" s="408"/>
      <c r="FE552" s="408"/>
      <c r="FF552" s="408">
        <v>0</v>
      </c>
      <c r="FG552" s="408">
        <v>0</v>
      </c>
      <c r="FH552" s="408">
        <v>0</v>
      </c>
      <c r="FI552" s="408">
        <v>0</v>
      </c>
    </row>
    <row r="553" spans="1:165">
      <c r="A553" s="408">
        <v>551</v>
      </c>
      <c r="B553" s="408" t="s">
        <v>2237</v>
      </c>
      <c r="C553" s="408" t="s">
        <v>2235</v>
      </c>
      <c r="D553" s="408" t="s">
        <v>1955</v>
      </c>
      <c r="E553" s="408" t="s">
        <v>969</v>
      </c>
      <c r="F553" s="408" t="s">
        <v>2240</v>
      </c>
      <c r="G553" s="408" t="s">
        <v>1322</v>
      </c>
      <c r="H553" s="408" t="s">
        <v>1322</v>
      </c>
      <c r="I553" s="408" t="s">
        <v>1322</v>
      </c>
      <c r="J553" s="408" t="s">
        <v>2236</v>
      </c>
      <c r="K553" s="826">
        <v>44621</v>
      </c>
      <c r="L553" s="408">
        <v>0</v>
      </c>
      <c r="M553" s="408">
        <v>0</v>
      </c>
      <c r="N553" s="408">
        <v>7.0000000000000007E-2</v>
      </c>
      <c r="O553" s="408">
        <v>7.0000000000000007E-2</v>
      </c>
      <c r="P553" s="408">
        <v>7.0000000000000007E-2</v>
      </c>
      <c r="Q553" s="408">
        <v>7.0000000000000007E-2</v>
      </c>
      <c r="R553" s="408"/>
      <c r="S553" s="408">
        <v>281.47000000000003</v>
      </c>
      <c r="T553" s="408">
        <v>173.25</v>
      </c>
      <c r="U553" s="408"/>
      <c r="V553" s="408">
        <v>31.830400000000004</v>
      </c>
      <c r="W553" s="408">
        <v>31.830400000000004</v>
      </c>
      <c r="X553" s="408">
        <v>29.715000000000003</v>
      </c>
      <c r="Y553" s="408">
        <v>0</v>
      </c>
      <c r="Z553" s="408">
        <v>0</v>
      </c>
      <c r="AA553" s="408">
        <v>0</v>
      </c>
      <c r="AB553" s="408">
        <v>0</v>
      </c>
      <c r="AC553" s="408">
        <v>0.17916761554165742</v>
      </c>
      <c r="AD553" s="408">
        <v>0.17213990234020024</v>
      </c>
      <c r="AE553" s="408">
        <v>16.487597405560262</v>
      </c>
      <c r="AF553" s="408">
        <v>11.923832940971911</v>
      </c>
      <c r="AG553" s="408">
        <v>0.20350634713788754</v>
      </c>
      <c r="AH553" s="408">
        <v>0</v>
      </c>
      <c r="AI553" s="408">
        <v>0</v>
      </c>
      <c r="AJ553" s="408">
        <v>0</v>
      </c>
      <c r="AK553" s="408">
        <v>0</v>
      </c>
      <c r="AL553" s="408">
        <v>0</v>
      </c>
      <c r="AM553" s="408"/>
      <c r="AN553" s="408">
        <v>8.4549970005390399E-2</v>
      </c>
      <c r="AO553" s="408">
        <v>0.3803376883421955</v>
      </c>
      <c r="AP553" s="408">
        <v>1.7734585306752582</v>
      </c>
      <c r="AQ553" s="408">
        <v>0</v>
      </c>
      <c r="AR553" s="408">
        <v>0</v>
      </c>
      <c r="AS553" s="408">
        <v>0</v>
      </c>
      <c r="AT553" s="408">
        <v>0</v>
      </c>
      <c r="AU553" s="408">
        <v>0</v>
      </c>
      <c r="AV553" s="408">
        <v>0</v>
      </c>
      <c r="AW553" s="408">
        <v>0</v>
      </c>
      <c r="AX553" s="408">
        <v>0</v>
      </c>
      <c r="AY553" s="408">
        <v>0</v>
      </c>
      <c r="AZ553" s="408">
        <v>0</v>
      </c>
      <c r="BA553" s="408"/>
      <c r="BB553" s="408">
        <v>0</v>
      </c>
      <c r="BC553" s="408">
        <v>0</v>
      </c>
      <c r="BD553" s="408">
        <v>0</v>
      </c>
      <c r="BE553" s="408">
        <v>0</v>
      </c>
      <c r="BF553" s="408">
        <v>0</v>
      </c>
      <c r="BG553" s="408">
        <v>0.62578542775251866</v>
      </c>
      <c r="BH553" s="408">
        <v>0</v>
      </c>
      <c r="BI553" s="408">
        <v>0.01</v>
      </c>
      <c r="BJ553" s="408">
        <v>0.11</v>
      </c>
      <c r="BK553" s="408">
        <v>5.98</v>
      </c>
      <c r="BL553" s="408">
        <v>0</v>
      </c>
      <c r="BM553" s="408"/>
      <c r="BN553" s="408"/>
      <c r="BO553" s="408"/>
      <c r="BP553" s="408"/>
      <c r="BQ553" s="408"/>
      <c r="BR553" s="408"/>
      <c r="BS553" s="408"/>
      <c r="BT553" s="408">
        <v>11.886700000000001</v>
      </c>
      <c r="BU553" s="408"/>
      <c r="BV553" s="408">
        <v>12.549618368724429</v>
      </c>
      <c r="BW553" s="408"/>
      <c r="BX553" s="408"/>
      <c r="BY553" s="408"/>
      <c r="BZ553" s="408"/>
      <c r="CA553" s="408"/>
      <c r="CB553" s="408"/>
      <c r="CC553" s="408"/>
      <c r="CD553" s="408"/>
      <c r="CE553" s="408"/>
      <c r="CF553" s="408"/>
      <c r="CG553" s="408"/>
      <c r="CH553" s="408"/>
      <c r="CI553" s="408">
        <v>17.828300000000002</v>
      </c>
      <c r="CJ553" s="408">
        <v>-1.2998000000000012</v>
      </c>
      <c r="CK553" s="408"/>
      <c r="CL553" s="408"/>
      <c r="CM553" s="408"/>
      <c r="CN553" s="408"/>
      <c r="CO553" s="408">
        <v>-3.6267000000000027</v>
      </c>
      <c r="CP553" s="408">
        <v>1.5113000000000003</v>
      </c>
      <c r="CQ553" s="408">
        <v>31</v>
      </c>
      <c r="CR553" s="408">
        <v>1.9799125213831203</v>
      </c>
      <c r="CS553" s="408">
        <v>3.7899837693312732E-2</v>
      </c>
      <c r="CT553" s="408">
        <v>0.17672135191593408</v>
      </c>
      <c r="CU553" s="408">
        <v>0</v>
      </c>
      <c r="CV553" s="408">
        <v>0</v>
      </c>
      <c r="CW553" s="408">
        <v>0</v>
      </c>
      <c r="CX553" s="408">
        <v>0</v>
      </c>
      <c r="CY553" s="408">
        <v>0</v>
      </c>
      <c r="CZ553" s="408">
        <v>0.17724706308373819</v>
      </c>
      <c r="DA553" s="408">
        <v>0</v>
      </c>
      <c r="DB553" s="408">
        <v>0</v>
      </c>
      <c r="DC553" s="408">
        <v>1.5111293654904294</v>
      </c>
      <c r="DD553" s="408">
        <v>0</v>
      </c>
      <c r="DE553" s="408">
        <v>0</v>
      </c>
      <c r="DF553" s="408">
        <v>0</v>
      </c>
      <c r="DG553" s="408">
        <v>7.930694274686545E-2</v>
      </c>
      <c r="DH553" s="408">
        <v>0</v>
      </c>
      <c r="DI553" s="408">
        <v>0</v>
      </c>
      <c r="DJ553" s="408"/>
      <c r="DK553" s="408">
        <v>0</v>
      </c>
      <c r="DL553" s="408">
        <v>0</v>
      </c>
      <c r="DM553" s="408">
        <v>0</v>
      </c>
      <c r="DN553" s="408">
        <v>0</v>
      </c>
      <c r="DO553" s="408">
        <v>0</v>
      </c>
      <c r="DP553" s="408">
        <v>-2.3920395471623002E-3</v>
      </c>
      <c r="DQ553" s="408">
        <v>0</v>
      </c>
      <c r="DR553" s="408">
        <v>0</v>
      </c>
      <c r="DS553" s="408"/>
      <c r="DT553" s="408"/>
      <c r="DU553" s="408"/>
      <c r="DV553" s="408">
        <v>16.487597405560262</v>
      </c>
      <c r="DW553" s="408">
        <v>0</v>
      </c>
      <c r="DX553" s="408">
        <v>0</v>
      </c>
      <c r="DY553" s="408">
        <v>-3.6267000000000031</v>
      </c>
      <c r="DZ553" s="408">
        <v>1.5113000000000003</v>
      </c>
      <c r="EA553" s="408">
        <v>0</v>
      </c>
      <c r="EB553" s="408">
        <v>0</v>
      </c>
      <c r="EC553" s="408">
        <v>-4.0957988675024417</v>
      </c>
      <c r="ED553" s="408">
        <v>0</v>
      </c>
      <c r="EE553" s="408">
        <v>0</v>
      </c>
      <c r="EF553" s="408">
        <v>0</v>
      </c>
      <c r="EG553" s="408">
        <v>0</v>
      </c>
      <c r="EH553" s="408">
        <v>0</v>
      </c>
      <c r="EI553" s="408">
        <v>0</v>
      </c>
      <c r="EJ553" s="408">
        <v>0</v>
      </c>
      <c r="EK553" s="408">
        <v>0</v>
      </c>
      <c r="EL553" s="408">
        <v>0</v>
      </c>
      <c r="EM553" s="408">
        <v>0</v>
      </c>
      <c r="EN553" s="408">
        <v>0</v>
      </c>
      <c r="EO553" s="408">
        <v>0</v>
      </c>
      <c r="EP553" s="408">
        <v>0</v>
      </c>
      <c r="EQ553" s="408">
        <v>0</v>
      </c>
      <c r="ER553" s="408">
        <v>0</v>
      </c>
      <c r="ES553" s="408">
        <v>0</v>
      </c>
      <c r="ET553" s="408">
        <v>0</v>
      </c>
      <c r="EU553" s="408">
        <v>0</v>
      </c>
      <c r="EV553" s="408">
        <v>240</v>
      </c>
      <c r="EW553" s="408">
        <v>0</v>
      </c>
      <c r="EX553" s="408">
        <v>0</v>
      </c>
      <c r="EY553" s="408">
        <v>0</v>
      </c>
      <c r="EZ553" s="408"/>
      <c r="FA553" s="408">
        <v>0</v>
      </c>
      <c r="FB553" s="408"/>
      <c r="FC553" s="408"/>
      <c r="FD553" s="408"/>
      <c r="FE553" s="408"/>
      <c r="FF553" s="408">
        <v>0</v>
      </c>
      <c r="FG553" s="408">
        <v>0</v>
      </c>
      <c r="FH553" s="408">
        <v>0</v>
      </c>
      <c r="FI553" s="408">
        <v>0</v>
      </c>
    </row>
    <row r="554" spans="1:165">
      <c r="A554" s="408">
        <v>552</v>
      </c>
      <c r="B554" s="408" t="s">
        <v>2238</v>
      </c>
      <c r="C554" s="408" t="s">
        <v>2235</v>
      </c>
      <c r="D554" s="408" t="s">
        <v>1955</v>
      </c>
      <c r="E554" s="408" t="s">
        <v>969</v>
      </c>
      <c r="F554" s="408" t="s">
        <v>2240</v>
      </c>
      <c r="G554" s="408" t="s">
        <v>1322</v>
      </c>
      <c r="H554" s="408" t="s">
        <v>1322</v>
      </c>
      <c r="I554" s="408" t="s">
        <v>1322</v>
      </c>
      <c r="J554" s="408" t="s">
        <v>2236</v>
      </c>
      <c r="K554" s="826">
        <v>44621</v>
      </c>
      <c r="L554" s="408">
        <v>0</v>
      </c>
      <c r="M554" s="408">
        <v>0</v>
      </c>
      <c r="N554" s="408">
        <v>0.32300000000000001</v>
      </c>
      <c r="O554" s="408">
        <v>-1.3566</v>
      </c>
      <c r="P554" s="408">
        <v>0.32300000000000001</v>
      </c>
      <c r="Q554" s="408">
        <v>-1.3566</v>
      </c>
      <c r="R554" s="408"/>
      <c r="S554" s="408">
        <v>281.47000000000003</v>
      </c>
      <c r="T554" s="408">
        <v>173.25</v>
      </c>
      <c r="U554" s="408"/>
      <c r="V554" s="408">
        <v>146.87456000000003</v>
      </c>
      <c r="W554" s="408">
        <v>146.87456000000003</v>
      </c>
      <c r="X554" s="408">
        <v>137.11350000000002</v>
      </c>
      <c r="Y554" s="408">
        <v>0</v>
      </c>
      <c r="Z554" s="408">
        <v>0</v>
      </c>
      <c r="AA554" s="408">
        <v>0</v>
      </c>
      <c r="AB554" s="408">
        <v>0</v>
      </c>
      <c r="AC554" s="408">
        <v>0.82673056885650487</v>
      </c>
      <c r="AD554" s="408">
        <v>0.79430269222692385</v>
      </c>
      <c r="AE554" s="408">
        <v>76.078485171370914</v>
      </c>
      <c r="AF554" s="408">
        <v>55.019971999056104</v>
      </c>
      <c r="AG554" s="408">
        <v>0.93903643036482387</v>
      </c>
      <c r="AH554" s="408">
        <v>0</v>
      </c>
      <c r="AI554" s="408">
        <v>0</v>
      </c>
      <c r="AJ554" s="408">
        <v>0</v>
      </c>
      <c r="AK554" s="408">
        <v>0</v>
      </c>
      <c r="AL554" s="408">
        <v>0</v>
      </c>
      <c r="AM554" s="408"/>
      <c r="AN554" s="408">
        <v>0.39013771873915853</v>
      </c>
      <c r="AO554" s="408">
        <v>1.7549867619218449</v>
      </c>
      <c r="AP554" s="408">
        <v>8.1832443629729763</v>
      </c>
      <c r="AQ554" s="408">
        <v>0</v>
      </c>
      <c r="AR554" s="408">
        <v>0</v>
      </c>
      <c r="AS554" s="408">
        <v>0</v>
      </c>
      <c r="AT554" s="408">
        <v>0</v>
      </c>
      <c r="AU554" s="408">
        <v>0</v>
      </c>
      <c r="AV554" s="408">
        <v>0</v>
      </c>
      <c r="AW554" s="408">
        <v>0</v>
      </c>
      <c r="AX554" s="408">
        <v>0</v>
      </c>
      <c r="AY554" s="408">
        <v>0</v>
      </c>
      <c r="AZ554" s="408">
        <v>0</v>
      </c>
      <c r="BA554" s="408"/>
      <c r="BB554" s="408">
        <v>0</v>
      </c>
      <c r="BC554" s="408">
        <v>0</v>
      </c>
      <c r="BD554" s="408">
        <v>0</v>
      </c>
      <c r="BE554" s="408">
        <v>0</v>
      </c>
      <c r="BF554" s="408">
        <v>0</v>
      </c>
      <c r="BG554" s="408">
        <v>2.8875527594866219</v>
      </c>
      <c r="BH554" s="408">
        <v>0</v>
      </c>
      <c r="BI554" s="408">
        <v>0.04</v>
      </c>
      <c r="BJ554" s="408">
        <v>0.66</v>
      </c>
      <c r="BK554" s="408">
        <v>52.84</v>
      </c>
      <c r="BL554" s="408">
        <v>0</v>
      </c>
      <c r="BM554" s="408"/>
      <c r="BN554" s="408"/>
      <c r="BO554" s="408"/>
      <c r="BP554" s="408"/>
      <c r="BQ554" s="408"/>
      <c r="BR554" s="408"/>
      <c r="BS554" s="408"/>
      <c r="BT554" s="408">
        <v>482.62595400000004</v>
      </c>
      <c r="BU554" s="408"/>
      <c r="BV554" s="408">
        <v>57.907524758542728</v>
      </c>
      <c r="BW554" s="408"/>
      <c r="BX554" s="408"/>
      <c r="BY554" s="408"/>
      <c r="BZ554" s="408"/>
      <c r="CA554" s="408"/>
      <c r="CB554" s="408"/>
      <c r="CC554" s="408"/>
      <c r="CD554" s="408"/>
      <c r="CE554" s="408"/>
      <c r="CF554" s="408"/>
      <c r="CG554" s="408"/>
      <c r="CH554" s="408"/>
      <c r="CI554" s="408">
        <v>-346.3784</v>
      </c>
      <c r="CJ554" s="408">
        <v>23.712778000000014</v>
      </c>
      <c r="CK554" s="408"/>
      <c r="CL554" s="408"/>
      <c r="CM554" s="408"/>
      <c r="CN554" s="408"/>
      <c r="CO554" s="408">
        <v>-16.73463000000001</v>
      </c>
      <c r="CP554" s="408">
        <v>6.9735700000000014</v>
      </c>
      <c r="CQ554" s="408">
        <v>31</v>
      </c>
      <c r="CR554" s="408">
        <v>9.1358820629535415</v>
      </c>
      <c r="CS554" s="408">
        <v>0.17488067964200016</v>
      </c>
      <c r="CT554" s="408">
        <v>0.81544280955495374</v>
      </c>
      <c r="CU554" s="408">
        <v>0</v>
      </c>
      <c r="CV554" s="408">
        <v>0</v>
      </c>
      <c r="CW554" s="408">
        <v>0</v>
      </c>
      <c r="CX554" s="408">
        <v>0</v>
      </c>
      <c r="CY554" s="408">
        <v>0</v>
      </c>
      <c r="CZ554" s="408">
        <v>0.81786859108639209</v>
      </c>
      <c r="DA554" s="408">
        <v>0</v>
      </c>
      <c r="DB554" s="408">
        <v>0</v>
      </c>
      <c r="DC554" s="408">
        <v>6.9727826436201212</v>
      </c>
      <c r="DD554" s="408">
        <v>0</v>
      </c>
      <c r="DE554" s="408">
        <v>0</v>
      </c>
      <c r="DF554" s="408">
        <v>0</v>
      </c>
      <c r="DG554" s="408">
        <v>0.36594489296053601</v>
      </c>
      <c r="DH554" s="408">
        <v>0</v>
      </c>
      <c r="DI554" s="408">
        <v>0</v>
      </c>
      <c r="DJ554" s="408"/>
      <c r="DK554" s="408">
        <v>0</v>
      </c>
      <c r="DL554" s="408">
        <v>0</v>
      </c>
      <c r="DM554" s="408">
        <v>0</v>
      </c>
      <c r="DN554" s="408">
        <v>0</v>
      </c>
      <c r="DO554" s="408">
        <v>0</v>
      </c>
      <c r="DP554" s="408">
        <v>-1.1037553910477449E-2</v>
      </c>
      <c r="DQ554" s="408">
        <v>0</v>
      </c>
      <c r="DR554" s="408">
        <v>0</v>
      </c>
      <c r="DS554" s="408"/>
      <c r="DT554" s="408"/>
      <c r="DU554" s="408"/>
      <c r="DV554" s="408">
        <v>76.078485171370914</v>
      </c>
      <c r="DW554" s="408">
        <v>0</v>
      </c>
      <c r="DX554" s="408">
        <v>0</v>
      </c>
      <c r="DY554" s="408">
        <v>-16.73463000000001</v>
      </c>
      <c r="DZ554" s="408">
        <v>6.9735700000000023</v>
      </c>
      <c r="EA554" s="408">
        <v>0</v>
      </c>
      <c r="EB554" s="408">
        <v>0</v>
      </c>
      <c r="EC554" s="408">
        <v>-18.899186202904119</v>
      </c>
      <c r="ED554" s="408">
        <v>0</v>
      </c>
      <c r="EE554" s="408">
        <v>0</v>
      </c>
      <c r="EF554" s="408">
        <v>0</v>
      </c>
      <c r="EG554" s="408">
        <v>0</v>
      </c>
      <c r="EH554" s="408">
        <v>0</v>
      </c>
      <c r="EI554" s="408">
        <v>0</v>
      </c>
      <c r="EJ554" s="408">
        <v>0</v>
      </c>
      <c r="EK554" s="408">
        <v>0</v>
      </c>
      <c r="EL554" s="408">
        <v>0</v>
      </c>
      <c r="EM554" s="408">
        <v>0</v>
      </c>
      <c r="EN554" s="408">
        <v>0</v>
      </c>
      <c r="EO554" s="408">
        <v>0</v>
      </c>
      <c r="EP554" s="408">
        <v>0</v>
      </c>
      <c r="EQ554" s="408">
        <v>0</v>
      </c>
      <c r="ER554" s="408">
        <v>0</v>
      </c>
      <c r="ES554" s="408">
        <v>0</v>
      </c>
      <c r="ET554" s="408">
        <v>0</v>
      </c>
      <c r="EU554" s="408">
        <v>0</v>
      </c>
      <c r="EV554" s="408">
        <v>240</v>
      </c>
      <c r="EW554" s="408">
        <v>0</v>
      </c>
      <c r="EX554" s="408">
        <v>0</v>
      </c>
      <c r="EY554" s="408">
        <v>0</v>
      </c>
      <c r="EZ554" s="408"/>
      <c r="FA554" s="408">
        <v>0</v>
      </c>
      <c r="FB554" s="408"/>
      <c r="FC554" s="408"/>
      <c r="FD554" s="408"/>
      <c r="FE554" s="408"/>
      <c r="FF554" s="408">
        <v>0</v>
      </c>
      <c r="FG554" s="408">
        <v>0</v>
      </c>
      <c r="FH554" s="408">
        <v>0</v>
      </c>
      <c r="FI554" s="408">
        <v>0</v>
      </c>
    </row>
    <row r="555" spans="1:165">
      <c r="A555" s="408">
        <v>553</v>
      </c>
      <c r="B555" s="408" t="s">
        <v>1036</v>
      </c>
      <c r="C555" s="408" t="s">
        <v>2235</v>
      </c>
      <c r="D555" s="408" t="s">
        <v>1955</v>
      </c>
      <c r="E555" s="408" t="s">
        <v>969</v>
      </c>
      <c r="F555" s="408" t="s">
        <v>2241</v>
      </c>
      <c r="G555" s="408" t="s">
        <v>1322</v>
      </c>
      <c r="H555" s="408" t="s">
        <v>1322</v>
      </c>
      <c r="I555" s="408" t="s">
        <v>1322</v>
      </c>
      <c r="J555" s="408" t="s">
        <v>2236</v>
      </c>
      <c r="K555" s="826">
        <v>44621</v>
      </c>
      <c r="L555" s="408">
        <v>0</v>
      </c>
      <c r="M555" s="408">
        <v>0</v>
      </c>
      <c r="N555" s="408">
        <v>128.29499999999999</v>
      </c>
      <c r="O555" s="408">
        <v>128.29499999999999</v>
      </c>
      <c r="P555" s="408">
        <v>128.29499999999999</v>
      </c>
      <c r="Q555" s="408">
        <v>128.29499999999999</v>
      </c>
      <c r="R555" s="408"/>
      <c r="S555" s="408">
        <v>281.47000000000003</v>
      </c>
      <c r="T555" s="408">
        <v>173.25</v>
      </c>
      <c r="U555" s="408"/>
      <c r="V555" s="408">
        <v>58338.3024</v>
      </c>
      <c r="W555" s="408">
        <v>58338.3024</v>
      </c>
      <c r="X555" s="408">
        <v>54461.227499999994</v>
      </c>
      <c r="Y555" s="408">
        <v>0</v>
      </c>
      <c r="Z555" s="408">
        <v>0</v>
      </c>
      <c r="AA555" s="408">
        <v>0</v>
      </c>
      <c r="AB555" s="408">
        <v>0</v>
      </c>
      <c r="AC555" s="408">
        <v>328.37584622738478</v>
      </c>
      <c r="AD555" s="408">
        <v>315.49555386765689</v>
      </c>
      <c r="AE555" s="408">
        <v>30218.232987805048</v>
      </c>
      <c r="AF555" s="408">
        <v>21853.83067374273</v>
      </c>
      <c r="AG555" s="408">
        <v>372.98352580078966</v>
      </c>
      <c r="AH555" s="408">
        <v>0</v>
      </c>
      <c r="AI555" s="408">
        <v>0</v>
      </c>
      <c r="AJ555" s="408">
        <v>0</v>
      </c>
      <c r="AK555" s="408">
        <v>0</v>
      </c>
      <c r="AL555" s="408">
        <v>0</v>
      </c>
      <c r="AM555" s="408"/>
      <c r="AN555" s="408">
        <v>154.96197716916512</v>
      </c>
      <c r="AO555" s="408">
        <v>697.07748179802809</v>
      </c>
      <c r="AP555" s="408">
        <v>3250.3694598997458</v>
      </c>
      <c r="AQ555" s="408">
        <v>0</v>
      </c>
      <c r="AR555" s="408">
        <v>0</v>
      </c>
      <c r="AS555" s="408">
        <v>0</v>
      </c>
      <c r="AT555" s="408">
        <v>0</v>
      </c>
      <c r="AU555" s="408">
        <v>0</v>
      </c>
      <c r="AV555" s="408">
        <v>0</v>
      </c>
      <c r="AW555" s="408">
        <v>0</v>
      </c>
      <c r="AX555" s="408">
        <v>0</v>
      </c>
      <c r="AY555" s="408">
        <v>0</v>
      </c>
      <c r="AZ555" s="408">
        <v>0</v>
      </c>
      <c r="BA555" s="408"/>
      <c r="BB555" s="408">
        <v>0</v>
      </c>
      <c r="BC555" s="408">
        <v>0</v>
      </c>
      <c r="BD555" s="408">
        <v>0</v>
      </c>
      <c r="BE555" s="408">
        <v>0</v>
      </c>
      <c r="BF555" s="408">
        <v>0</v>
      </c>
      <c r="BG555" s="408">
        <v>1146.9305921929911</v>
      </c>
      <c r="BH555" s="408">
        <v>0</v>
      </c>
      <c r="BI555" s="408">
        <v>33.380000000000003</v>
      </c>
      <c r="BJ555" s="408">
        <v>371.58</v>
      </c>
      <c r="BK555" s="408">
        <v>16463.59</v>
      </c>
      <c r="BL555" s="408">
        <v>836</v>
      </c>
      <c r="BM555" s="408"/>
      <c r="BN555" s="408"/>
      <c r="BO555" s="408"/>
      <c r="BP555" s="408"/>
      <c r="BQ555" s="408"/>
      <c r="BR555" s="408"/>
      <c r="BS555" s="408"/>
      <c r="BT555" s="408">
        <v>5447.4057000000003</v>
      </c>
      <c r="BU555" s="408"/>
      <c r="BV555" s="408">
        <v>23000.761265935722</v>
      </c>
      <c r="BW555" s="408"/>
      <c r="BX555" s="408"/>
      <c r="BY555" s="408"/>
      <c r="BZ555" s="408"/>
      <c r="CA555" s="408"/>
      <c r="CB555" s="408"/>
      <c r="CC555" s="408"/>
      <c r="CD555" s="408"/>
      <c r="CE555" s="408"/>
      <c r="CF555" s="408"/>
      <c r="CG555" s="408"/>
      <c r="CH555" s="408"/>
      <c r="CI555" s="408">
        <v>49015.732000000004</v>
      </c>
      <c r="CJ555" s="408">
        <v>-3487.7437999999893</v>
      </c>
      <c r="CK555" s="408"/>
      <c r="CL555" s="408"/>
      <c r="CM555" s="408"/>
      <c r="CN555" s="408"/>
      <c r="CO555" s="408">
        <v>-6646.963950000003</v>
      </c>
      <c r="CP555" s="408">
        <v>2769.8890500000002</v>
      </c>
      <c r="CQ555" s="408">
        <v>31</v>
      </c>
      <c r="CR555" s="408">
        <v>3628.7553847263807</v>
      </c>
      <c r="CS555" s="408">
        <v>69.462281098050767</v>
      </c>
      <c r="CT555" s="408">
        <v>323.89236920078247</v>
      </c>
      <c r="CU555" s="408">
        <v>0</v>
      </c>
      <c r="CV555" s="408">
        <v>0</v>
      </c>
      <c r="CW555" s="408">
        <v>0</v>
      </c>
      <c r="CX555" s="408">
        <v>0</v>
      </c>
      <c r="CY555" s="408">
        <v>0</v>
      </c>
      <c r="CZ555" s="408">
        <v>324.85588511897413</v>
      </c>
      <c r="DA555" s="408">
        <v>0</v>
      </c>
      <c r="DB555" s="408">
        <v>0</v>
      </c>
      <c r="DC555" s="408">
        <v>2769.5763135084926</v>
      </c>
      <c r="DD555" s="408">
        <v>0</v>
      </c>
      <c r="DE555" s="408">
        <v>0</v>
      </c>
      <c r="DF555" s="408">
        <v>0</v>
      </c>
      <c r="DG555" s="408">
        <v>145.3526317101298</v>
      </c>
      <c r="DH555" s="408">
        <v>0</v>
      </c>
      <c r="DI555" s="408">
        <v>0</v>
      </c>
      <c r="DJ555" s="408"/>
      <c r="DK555" s="408">
        <v>0</v>
      </c>
      <c r="DL555" s="408">
        <v>0</v>
      </c>
      <c r="DM555" s="408">
        <v>0</v>
      </c>
      <c r="DN555" s="408">
        <v>0</v>
      </c>
      <c r="DO555" s="408">
        <v>0</v>
      </c>
      <c r="DP555" s="408">
        <v>-4.3840959100455166</v>
      </c>
      <c r="DQ555" s="408">
        <v>0</v>
      </c>
      <c r="DR555" s="408">
        <v>0</v>
      </c>
      <c r="DS555" s="408"/>
      <c r="DT555" s="408"/>
      <c r="DU555" s="408"/>
      <c r="DV555" s="408">
        <v>30218.232987805048</v>
      </c>
      <c r="DW555" s="408">
        <v>0</v>
      </c>
      <c r="DX555" s="408">
        <v>0</v>
      </c>
      <c r="DY555" s="408">
        <v>-6646.9639500000048</v>
      </c>
      <c r="DZ555" s="408">
        <v>2769.889049999998</v>
      </c>
      <c r="EA555" s="408">
        <v>0</v>
      </c>
      <c r="EB555" s="408">
        <v>0</v>
      </c>
      <c r="EC555" s="408">
        <v>-7506.7216529460784</v>
      </c>
      <c r="ED555" s="408">
        <v>0</v>
      </c>
      <c r="EE555" s="408">
        <v>0</v>
      </c>
      <c r="EF555" s="408">
        <v>0</v>
      </c>
      <c r="EG555" s="408">
        <v>0</v>
      </c>
      <c r="EH555" s="408">
        <v>0</v>
      </c>
      <c r="EI555" s="408">
        <v>0</v>
      </c>
      <c r="EJ555" s="408">
        <v>0</v>
      </c>
      <c r="EK555" s="408">
        <v>0</v>
      </c>
      <c r="EL555" s="408">
        <v>0</v>
      </c>
      <c r="EM555" s="408">
        <v>0</v>
      </c>
      <c r="EN555" s="408">
        <v>0</v>
      </c>
      <c r="EO555" s="408">
        <v>0</v>
      </c>
      <c r="EP555" s="408">
        <v>0</v>
      </c>
      <c r="EQ555" s="408">
        <v>0</v>
      </c>
      <c r="ER555" s="408">
        <v>0</v>
      </c>
      <c r="ES555" s="408">
        <v>0</v>
      </c>
      <c r="ET555" s="408">
        <v>0</v>
      </c>
      <c r="EU555" s="408">
        <v>0</v>
      </c>
      <c r="EV555" s="408">
        <v>240</v>
      </c>
      <c r="EW555" s="408">
        <v>0</v>
      </c>
      <c r="EX555" s="408">
        <v>0</v>
      </c>
      <c r="EY555" s="408">
        <v>0</v>
      </c>
      <c r="EZ555" s="408"/>
      <c r="FA555" s="408">
        <v>0</v>
      </c>
      <c r="FB555" s="408"/>
      <c r="FC555" s="408"/>
      <c r="FD555" s="408"/>
      <c r="FE555" s="408"/>
      <c r="FF555" s="408">
        <v>0</v>
      </c>
      <c r="FG555" s="408">
        <v>0</v>
      </c>
      <c r="FH555" s="408">
        <v>0</v>
      </c>
      <c r="FI555" s="408">
        <v>0</v>
      </c>
    </row>
    <row r="556" spans="1:165">
      <c r="A556" s="408">
        <v>554</v>
      </c>
      <c r="B556" s="408" t="s">
        <v>2237</v>
      </c>
      <c r="C556" s="408" t="s">
        <v>2235</v>
      </c>
      <c r="D556" s="408" t="s">
        <v>1955</v>
      </c>
      <c r="E556" s="408" t="s">
        <v>969</v>
      </c>
      <c r="F556" s="408" t="s">
        <v>2241</v>
      </c>
      <c r="G556" s="408" t="s">
        <v>1322</v>
      </c>
      <c r="H556" s="408" t="s">
        <v>1322</v>
      </c>
      <c r="I556" s="408" t="s">
        <v>1322</v>
      </c>
      <c r="J556" s="408" t="s">
        <v>2236</v>
      </c>
      <c r="K556" s="826">
        <v>44621</v>
      </c>
      <c r="L556" s="408">
        <v>0</v>
      </c>
      <c r="M556" s="408">
        <v>0</v>
      </c>
      <c r="N556" s="408">
        <v>0.12</v>
      </c>
      <c r="O556" s="408">
        <v>0.12</v>
      </c>
      <c r="P556" s="408">
        <v>0.12</v>
      </c>
      <c r="Q556" s="408">
        <v>0.12</v>
      </c>
      <c r="R556" s="408"/>
      <c r="S556" s="408">
        <v>281.47000000000003</v>
      </c>
      <c r="T556" s="408">
        <v>173.25</v>
      </c>
      <c r="U556" s="408"/>
      <c r="V556" s="408">
        <v>54.566400000000002</v>
      </c>
      <c r="W556" s="408">
        <v>54.566400000000002</v>
      </c>
      <c r="X556" s="408">
        <v>50.94</v>
      </c>
      <c r="Y556" s="408">
        <v>0</v>
      </c>
      <c r="Z556" s="408">
        <v>0</v>
      </c>
      <c r="AA556" s="408">
        <v>0</v>
      </c>
      <c r="AB556" s="408">
        <v>0</v>
      </c>
      <c r="AC556" s="408">
        <v>0.30714448378569836</v>
      </c>
      <c r="AD556" s="408">
        <v>0.29509697544034319</v>
      </c>
      <c r="AE556" s="408">
        <v>28.26445269524616</v>
      </c>
      <c r="AF556" s="408">
        <v>20.440856470237559</v>
      </c>
      <c r="AG556" s="408">
        <v>0.34886802366495001</v>
      </c>
      <c r="AH556" s="408">
        <v>0</v>
      </c>
      <c r="AI556" s="408">
        <v>0</v>
      </c>
      <c r="AJ556" s="408">
        <v>0</v>
      </c>
      <c r="AK556" s="408">
        <v>0</v>
      </c>
      <c r="AL556" s="408">
        <v>0</v>
      </c>
      <c r="AM556" s="408"/>
      <c r="AN556" s="408">
        <v>0.14494280572352639</v>
      </c>
      <c r="AO556" s="408">
        <v>0.65200746572947799</v>
      </c>
      <c r="AP556" s="408">
        <v>3.0402146240147281</v>
      </c>
      <c r="AQ556" s="408">
        <v>0</v>
      </c>
      <c r="AR556" s="408">
        <v>0</v>
      </c>
      <c r="AS556" s="408">
        <v>0</v>
      </c>
      <c r="AT556" s="408">
        <v>0</v>
      </c>
      <c r="AU556" s="408">
        <v>0</v>
      </c>
      <c r="AV556" s="408">
        <v>0</v>
      </c>
      <c r="AW556" s="408">
        <v>0</v>
      </c>
      <c r="AX556" s="408">
        <v>0</v>
      </c>
      <c r="AY556" s="408">
        <v>0</v>
      </c>
      <c r="AZ556" s="408">
        <v>0</v>
      </c>
      <c r="BA556" s="408"/>
      <c r="BB556" s="408">
        <v>0</v>
      </c>
      <c r="BC556" s="408">
        <v>0</v>
      </c>
      <c r="BD556" s="408">
        <v>0</v>
      </c>
      <c r="BE556" s="408">
        <v>0</v>
      </c>
      <c r="BF556" s="408">
        <v>0</v>
      </c>
      <c r="BG556" s="408">
        <v>1.0727750190043177</v>
      </c>
      <c r="BH556" s="408">
        <v>0</v>
      </c>
      <c r="BI556" s="408">
        <v>0.03</v>
      </c>
      <c r="BJ556" s="408">
        <v>0.27</v>
      </c>
      <c r="BK556" s="408">
        <v>15.38</v>
      </c>
      <c r="BL556" s="408">
        <v>0</v>
      </c>
      <c r="BM556" s="408"/>
      <c r="BN556" s="408"/>
      <c r="BO556" s="408"/>
      <c r="BP556" s="408"/>
      <c r="BQ556" s="408"/>
      <c r="BR556" s="408"/>
      <c r="BS556" s="408"/>
      <c r="BT556" s="408">
        <v>5.0952000000000002</v>
      </c>
      <c r="BU556" s="408"/>
      <c r="BV556" s="408">
        <v>21.513631489241877</v>
      </c>
      <c r="BW556" s="408"/>
      <c r="BX556" s="408"/>
      <c r="BY556" s="408"/>
      <c r="BZ556" s="408"/>
      <c r="CA556" s="408"/>
      <c r="CB556" s="408"/>
      <c r="CC556" s="408"/>
      <c r="CD556" s="408"/>
      <c r="CE556" s="408"/>
      <c r="CF556" s="408"/>
      <c r="CG556" s="408"/>
      <c r="CH556" s="408"/>
      <c r="CI556" s="408">
        <v>45.844799999999992</v>
      </c>
      <c r="CJ556" s="408">
        <v>-3.294000000000004</v>
      </c>
      <c r="CK556" s="408"/>
      <c r="CL556" s="408"/>
      <c r="CM556" s="408"/>
      <c r="CN556" s="408"/>
      <c r="CO556" s="408">
        <v>-6.2172000000000036</v>
      </c>
      <c r="CP556" s="408">
        <v>2.5908000000000002</v>
      </c>
      <c r="CQ556" s="408">
        <v>31</v>
      </c>
      <c r="CR556" s="408">
        <v>3.3941357509424819</v>
      </c>
      <c r="CS556" s="408">
        <v>6.4971150331393224E-2</v>
      </c>
      <c r="CT556" s="408">
        <v>0.30295088899874401</v>
      </c>
      <c r="CU556" s="408">
        <v>0</v>
      </c>
      <c r="CV556" s="408">
        <v>0</v>
      </c>
      <c r="CW556" s="408">
        <v>0</v>
      </c>
      <c r="CX556" s="408">
        <v>0</v>
      </c>
      <c r="CY556" s="408">
        <v>0</v>
      </c>
      <c r="CZ556" s="408">
        <v>0.30385210814355124</v>
      </c>
      <c r="DA556" s="408">
        <v>0</v>
      </c>
      <c r="DB556" s="408">
        <v>0</v>
      </c>
      <c r="DC556" s="408">
        <v>2.5905074836978805</v>
      </c>
      <c r="DD556" s="408">
        <v>0</v>
      </c>
      <c r="DE556" s="408">
        <v>0</v>
      </c>
      <c r="DF556" s="408">
        <v>0</v>
      </c>
      <c r="DG556" s="408">
        <v>0.13595475899462639</v>
      </c>
      <c r="DH556" s="408">
        <v>0</v>
      </c>
      <c r="DI556" s="408">
        <v>0</v>
      </c>
      <c r="DJ556" s="408"/>
      <c r="DK556" s="408">
        <v>0</v>
      </c>
      <c r="DL556" s="408">
        <v>0</v>
      </c>
      <c r="DM556" s="408">
        <v>0</v>
      </c>
      <c r="DN556" s="408">
        <v>0</v>
      </c>
      <c r="DO556" s="408">
        <v>0</v>
      </c>
      <c r="DP556" s="408">
        <v>-4.1006392237067923E-3</v>
      </c>
      <c r="DQ556" s="408">
        <v>0</v>
      </c>
      <c r="DR556" s="408">
        <v>0</v>
      </c>
      <c r="DS556" s="408"/>
      <c r="DT556" s="408"/>
      <c r="DU556" s="408"/>
      <c r="DV556" s="408">
        <v>28.26445269524616</v>
      </c>
      <c r="DW556" s="408">
        <v>0</v>
      </c>
      <c r="DX556" s="408">
        <v>0</v>
      </c>
      <c r="DY556" s="408">
        <v>-6.2172000000000054</v>
      </c>
      <c r="DZ556" s="408">
        <v>2.5908000000000015</v>
      </c>
      <c r="EA556" s="408">
        <v>0</v>
      </c>
      <c r="EB556" s="408">
        <v>0</v>
      </c>
      <c r="EC556" s="408">
        <v>-7.0213694871470409</v>
      </c>
      <c r="ED556" s="408">
        <v>0</v>
      </c>
      <c r="EE556" s="408">
        <v>0</v>
      </c>
      <c r="EF556" s="408">
        <v>0</v>
      </c>
      <c r="EG556" s="408">
        <v>0</v>
      </c>
      <c r="EH556" s="408">
        <v>0</v>
      </c>
      <c r="EI556" s="408">
        <v>0</v>
      </c>
      <c r="EJ556" s="408">
        <v>0</v>
      </c>
      <c r="EK556" s="408">
        <v>0</v>
      </c>
      <c r="EL556" s="408">
        <v>0</v>
      </c>
      <c r="EM556" s="408">
        <v>0</v>
      </c>
      <c r="EN556" s="408">
        <v>0</v>
      </c>
      <c r="EO556" s="408">
        <v>0</v>
      </c>
      <c r="EP556" s="408">
        <v>0</v>
      </c>
      <c r="EQ556" s="408">
        <v>0</v>
      </c>
      <c r="ER556" s="408">
        <v>0</v>
      </c>
      <c r="ES556" s="408">
        <v>0</v>
      </c>
      <c r="ET556" s="408">
        <v>0</v>
      </c>
      <c r="EU556" s="408">
        <v>0</v>
      </c>
      <c r="EV556" s="408">
        <v>240</v>
      </c>
      <c r="EW556" s="408">
        <v>0</v>
      </c>
      <c r="EX556" s="408">
        <v>0</v>
      </c>
      <c r="EY556" s="408">
        <v>0</v>
      </c>
      <c r="EZ556" s="408"/>
      <c r="FA556" s="408">
        <v>0</v>
      </c>
      <c r="FB556" s="408"/>
      <c r="FC556" s="408"/>
      <c r="FD556" s="408"/>
      <c r="FE556" s="408"/>
      <c r="FF556" s="408">
        <v>0</v>
      </c>
      <c r="FG556" s="408">
        <v>0</v>
      </c>
      <c r="FH556" s="408">
        <v>0</v>
      </c>
      <c r="FI556" s="408">
        <v>0</v>
      </c>
    </row>
    <row r="557" spans="1:165">
      <c r="A557" s="408">
        <v>555</v>
      </c>
      <c r="B557" s="408" t="s">
        <v>2238</v>
      </c>
      <c r="C557" s="408" t="s">
        <v>2235</v>
      </c>
      <c r="D557" s="408" t="s">
        <v>1955</v>
      </c>
      <c r="E557" s="408" t="s">
        <v>969</v>
      </c>
      <c r="F557" s="408" t="s">
        <v>2241</v>
      </c>
      <c r="G557" s="408" t="s">
        <v>1322</v>
      </c>
      <c r="H557" s="408" t="s">
        <v>1322</v>
      </c>
      <c r="I557" s="408" t="s">
        <v>1322</v>
      </c>
      <c r="J557" s="408" t="s">
        <v>2236</v>
      </c>
      <c r="K557" s="826">
        <v>44621</v>
      </c>
      <c r="L557" s="408">
        <v>0</v>
      </c>
      <c r="M557" s="408">
        <v>0</v>
      </c>
      <c r="N557" s="408">
        <v>0.22</v>
      </c>
      <c r="O557" s="408">
        <v>-6.6000000000000003E-2</v>
      </c>
      <c r="P557" s="408">
        <v>0.22</v>
      </c>
      <c r="Q557" s="408">
        <v>-6.6000000000000003E-2</v>
      </c>
      <c r="R557" s="408"/>
      <c r="S557" s="408">
        <v>281.47000000000003</v>
      </c>
      <c r="T557" s="408">
        <v>173.25</v>
      </c>
      <c r="U557" s="408"/>
      <c r="V557" s="408">
        <v>100.03840000000001</v>
      </c>
      <c r="W557" s="408">
        <v>100.03840000000001</v>
      </c>
      <c r="X557" s="408">
        <v>93.39</v>
      </c>
      <c r="Y557" s="408">
        <v>0</v>
      </c>
      <c r="Z557" s="408">
        <v>0</v>
      </c>
      <c r="AA557" s="408">
        <v>0</v>
      </c>
      <c r="AB557" s="408">
        <v>0</v>
      </c>
      <c r="AC557" s="408">
        <v>0.56309822027378043</v>
      </c>
      <c r="AD557" s="408">
        <v>0.54101112164062926</v>
      </c>
      <c r="AE557" s="408">
        <v>51.818163274617966</v>
      </c>
      <c r="AF557" s="408">
        <v>37.474903528768863</v>
      </c>
      <c r="AG557" s="408">
        <v>0.63959137671907507</v>
      </c>
      <c r="AH557" s="408">
        <v>0</v>
      </c>
      <c r="AI557" s="408">
        <v>0</v>
      </c>
      <c r="AJ557" s="408">
        <v>0</v>
      </c>
      <c r="AK557" s="408">
        <v>0</v>
      </c>
      <c r="AL557" s="408">
        <v>0</v>
      </c>
      <c r="AM557" s="408"/>
      <c r="AN557" s="408">
        <v>0.26572847715979836</v>
      </c>
      <c r="AO557" s="408">
        <v>1.1953470205040428</v>
      </c>
      <c r="AP557" s="408">
        <v>5.5737268106936684</v>
      </c>
      <c r="AQ557" s="408">
        <v>0</v>
      </c>
      <c r="AR557" s="408">
        <v>0</v>
      </c>
      <c r="AS557" s="408">
        <v>0</v>
      </c>
      <c r="AT557" s="408">
        <v>0</v>
      </c>
      <c r="AU557" s="408">
        <v>0</v>
      </c>
      <c r="AV557" s="408">
        <v>0</v>
      </c>
      <c r="AW557" s="408">
        <v>0</v>
      </c>
      <c r="AX557" s="408">
        <v>0</v>
      </c>
      <c r="AY557" s="408">
        <v>0</v>
      </c>
      <c r="AZ557" s="408">
        <v>0</v>
      </c>
      <c r="BA557" s="408"/>
      <c r="BB557" s="408">
        <v>0</v>
      </c>
      <c r="BC557" s="408">
        <v>0</v>
      </c>
      <c r="BD557" s="408">
        <v>0</v>
      </c>
      <c r="BE557" s="408">
        <v>0</v>
      </c>
      <c r="BF557" s="408">
        <v>0</v>
      </c>
      <c r="BG557" s="408">
        <v>1.9667542015079158</v>
      </c>
      <c r="BH557" s="408">
        <v>0</v>
      </c>
      <c r="BI557" s="408">
        <v>7.0000000000000007E-2</v>
      </c>
      <c r="BJ557" s="408">
        <v>0.62</v>
      </c>
      <c r="BK557" s="408">
        <v>116.73</v>
      </c>
      <c r="BL557" s="408">
        <v>3</v>
      </c>
      <c r="BM557" s="408"/>
      <c r="BN557" s="408"/>
      <c r="BO557" s="408"/>
      <c r="BP557" s="408"/>
      <c r="BQ557" s="408"/>
      <c r="BR557" s="408"/>
      <c r="BS557" s="408"/>
      <c r="BT557" s="408">
        <v>118.60464</v>
      </c>
      <c r="BU557" s="408"/>
      <c r="BV557" s="408">
        <v>39.441657730276781</v>
      </c>
      <c r="BW557" s="408"/>
      <c r="BX557" s="408"/>
      <c r="BY557" s="408"/>
      <c r="BZ557" s="408"/>
      <c r="CA557" s="408"/>
      <c r="CB557" s="408"/>
      <c r="CC557" s="408"/>
      <c r="CD557" s="408"/>
      <c r="CE557" s="408"/>
      <c r="CF557" s="408"/>
      <c r="CG557" s="408"/>
      <c r="CH557" s="408"/>
      <c r="CI557" s="408">
        <v>-26.742800000000003</v>
      </c>
      <c r="CJ557" s="408">
        <v>0.23703999999999326</v>
      </c>
      <c r="CK557" s="408"/>
      <c r="CL557" s="408"/>
      <c r="CM557" s="408"/>
      <c r="CN557" s="408"/>
      <c r="CO557" s="408">
        <v>-11.398200000000006</v>
      </c>
      <c r="CP557" s="408">
        <v>4.7498000000000005</v>
      </c>
      <c r="CQ557" s="408">
        <v>31</v>
      </c>
      <c r="CR557" s="408">
        <v>6.2225822100612191</v>
      </c>
      <c r="CS557" s="408">
        <v>0.11911377560755443</v>
      </c>
      <c r="CT557" s="408">
        <v>0.55540996316436431</v>
      </c>
      <c r="CU557" s="408">
        <v>0</v>
      </c>
      <c r="CV557" s="408">
        <v>0</v>
      </c>
      <c r="CW557" s="408">
        <v>0</v>
      </c>
      <c r="CX557" s="408">
        <v>0</v>
      </c>
      <c r="CY557" s="408">
        <v>0</v>
      </c>
      <c r="CZ557" s="408">
        <v>0.55706219826317716</v>
      </c>
      <c r="DA557" s="408">
        <v>0</v>
      </c>
      <c r="DB557" s="408">
        <v>0</v>
      </c>
      <c r="DC557" s="408">
        <v>4.7492637201127792</v>
      </c>
      <c r="DD557" s="408">
        <v>0</v>
      </c>
      <c r="DE557" s="408">
        <v>0</v>
      </c>
      <c r="DF557" s="408">
        <v>0</v>
      </c>
      <c r="DG557" s="408">
        <v>0.24925039149014849</v>
      </c>
      <c r="DH557" s="408">
        <v>0</v>
      </c>
      <c r="DI557" s="408">
        <v>0</v>
      </c>
      <c r="DJ557" s="408"/>
      <c r="DK557" s="408">
        <v>0</v>
      </c>
      <c r="DL557" s="408">
        <v>0</v>
      </c>
      <c r="DM557" s="408">
        <v>0</v>
      </c>
      <c r="DN557" s="408">
        <v>0</v>
      </c>
      <c r="DO557" s="408">
        <v>0</v>
      </c>
      <c r="DP557" s="408">
        <v>-7.5178385767957767E-3</v>
      </c>
      <c r="DQ557" s="408">
        <v>0</v>
      </c>
      <c r="DR557" s="408">
        <v>0</v>
      </c>
      <c r="DS557" s="408"/>
      <c r="DT557" s="408"/>
      <c r="DU557" s="408"/>
      <c r="DV557" s="408">
        <v>51.818163274617966</v>
      </c>
      <c r="DW557" s="408">
        <v>0</v>
      </c>
      <c r="DX557" s="408">
        <v>0</v>
      </c>
      <c r="DY557" s="408">
        <v>-11.39820000000001</v>
      </c>
      <c r="DZ557" s="408">
        <v>4.7498000000000005</v>
      </c>
      <c r="EA557" s="408">
        <v>0</v>
      </c>
      <c r="EB557" s="408">
        <v>0</v>
      </c>
      <c r="EC557" s="408">
        <v>-12.872510726436246</v>
      </c>
      <c r="ED557" s="408">
        <v>0</v>
      </c>
      <c r="EE557" s="408">
        <v>0</v>
      </c>
      <c r="EF557" s="408">
        <v>0</v>
      </c>
      <c r="EG557" s="408">
        <v>0</v>
      </c>
      <c r="EH557" s="408">
        <v>0</v>
      </c>
      <c r="EI557" s="408">
        <v>0</v>
      </c>
      <c r="EJ557" s="408">
        <v>0</v>
      </c>
      <c r="EK557" s="408">
        <v>0</v>
      </c>
      <c r="EL557" s="408">
        <v>0</v>
      </c>
      <c r="EM557" s="408">
        <v>0</v>
      </c>
      <c r="EN557" s="408">
        <v>0</v>
      </c>
      <c r="EO557" s="408">
        <v>0</v>
      </c>
      <c r="EP557" s="408">
        <v>0</v>
      </c>
      <c r="EQ557" s="408">
        <v>0</v>
      </c>
      <c r="ER557" s="408">
        <v>0</v>
      </c>
      <c r="ES557" s="408">
        <v>0</v>
      </c>
      <c r="ET557" s="408">
        <v>0</v>
      </c>
      <c r="EU557" s="408">
        <v>0</v>
      </c>
      <c r="EV557" s="408">
        <v>240</v>
      </c>
      <c r="EW557" s="408">
        <v>0</v>
      </c>
      <c r="EX557" s="408">
        <v>0</v>
      </c>
      <c r="EY557" s="408">
        <v>0</v>
      </c>
      <c r="EZ557" s="408"/>
      <c r="FA557" s="408">
        <v>0</v>
      </c>
      <c r="FB557" s="408"/>
      <c r="FC557" s="408"/>
      <c r="FD557" s="408"/>
      <c r="FE557" s="408"/>
      <c r="FF557" s="408">
        <v>0</v>
      </c>
      <c r="FG557" s="408">
        <v>0</v>
      </c>
      <c r="FH557" s="408">
        <v>0</v>
      </c>
      <c r="FI557" s="408">
        <v>0</v>
      </c>
    </row>
    <row r="558" spans="1:165">
      <c r="A558" s="408">
        <v>556</v>
      </c>
      <c r="B558" s="408" t="s">
        <v>1036</v>
      </c>
      <c r="C558" s="408" t="s">
        <v>2235</v>
      </c>
      <c r="D558" s="408" t="s">
        <v>1955</v>
      </c>
      <c r="E558" s="408" t="s">
        <v>969</v>
      </c>
      <c r="F558" s="408" t="s">
        <v>2242</v>
      </c>
      <c r="G558" s="408" t="s">
        <v>1322</v>
      </c>
      <c r="H558" s="408" t="s">
        <v>1322</v>
      </c>
      <c r="I558" s="408" t="s">
        <v>1322</v>
      </c>
      <c r="J558" s="408" t="s">
        <v>2236</v>
      </c>
      <c r="K558" s="826">
        <v>44621</v>
      </c>
      <c r="L558" s="408">
        <v>0</v>
      </c>
      <c r="M558" s="408">
        <v>0</v>
      </c>
      <c r="N558" s="408">
        <v>69.915999999999997</v>
      </c>
      <c r="O558" s="408">
        <v>69.915999999999997</v>
      </c>
      <c r="P558" s="408">
        <v>69.915999999999997</v>
      </c>
      <c r="Q558" s="408">
        <v>69.915999999999997</v>
      </c>
      <c r="R558" s="408"/>
      <c r="S558" s="408">
        <v>281.47000000000003</v>
      </c>
      <c r="T558" s="408">
        <v>173.25</v>
      </c>
      <c r="U558" s="408"/>
      <c r="V558" s="408">
        <v>31792.203520000003</v>
      </c>
      <c r="W558" s="408">
        <v>31792.203520000003</v>
      </c>
      <c r="X558" s="408">
        <v>29679.341999999997</v>
      </c>
      <c r="Y558" s="408">
        <v>0</v>
      </c>
      <c r="Z558" s="408">
        <v>0</v>
      </c>
      <c r="AA558" s="408">
        <v>0</v>
      </c>
      <c r="AB558" s="408">
        <v>0</v>
      </c>
      <c r="AC558" s="408">
        <v>178.9526144030074</v>
      </c>
      <c r="AD558" s="408">
        <v>171.93333445739196</v>
      </c>
      <c r="AE558" s="408">
        <v>16467.812288673587</v>
      </c>
      <c r="AF558" s="408">
        <v>11909.524341442742</v>
      </c>
      <c r="AG558" s="408">
        <v>203.26213952132204</v>
      </c>
      <c r="AH558" s="408">
        <v>0</v>
      </c>
      <c r="AI558" s="408">
        <v>0</v>
      </c>
      <c r="AJ558" s="408">
        <v>0</v>
      </c>
      <c r="AK558" s="408">
        <v>0</v>
      </c>
      <c r="AL558" s="408">
        <v>0</v>
      </c>
      <c r="AM558" s="408"/>
      <c r="AN558" s="408">
        <v>84.448510041383926</v>
      </c>
      <c r="AO558" s="408">
        <v>379.88128311618482</v>
      </c>
      <c r="AP558" s="408">
        <v>1771.3303804384477</v>
      </c>
      <c r="AQ558" s="408">
        <v>0</v>
      </c>
      <c r="AR558" s="408">
        <v>0</v>
      </c>
      <c r="AS558" s="408">
        <v>0</v>
      </c>
      <c r="AT558" s="408">
        <v>0</v>
      </c>
      <c r="AU558" s="408">
        <v>0</v>
      </c>
      <c r="AV558" s="408">
        <v>0</v>
      </c>
      <c r="AW558" s="408">
        <v>0</v>
      </c>
      <c r="AX558" s="408">
        <v>0</v>
      </c>
      <c r="AY558" s="408">
        <v>0</v>
      </c>
      <c r="AZ558" s="408">
        <v>0</v>
      </c>
      <c r="BA558" s="408"/>
      <c r="BB558" s="408">
        <v>0</v>
      </c>
      <c r="BC558" s="408">
        <v>0</v>
      </c>
      <c r="BD558" s="408">
        <v>0</v>
      </c>
      <c r="BE558" s="408">
        <v>0</v>
      </c>
      <c r="BF558" s="408">
        <v>0</v>
      </c>
      <c r="BG558" s="408">
        <v>625.03448523921554</v>
      </c>
      <c r="BH558" s="408">
        <v>0</v>
      </c>
      <c r="BI558" s="408">
        <v>22.9</v>
      </c>
      <c r="BJ558" s="408">
        <v>221.09</v>
      </c>
      <c r="BK558" s="408">
        <v>9975.44</v>
      </c>
      <c r="BL558" s="408">
        <v>646</v>
      </c>
      <c r="BM558" s="408"/>
      <c r="BN558" s="408"/>
      <c r="BO558" s="408"/>
      <c r="BP558" s="408"/>
      <c r="BQ558" s="408"/>
      <c r="BR558" s="408"/>
      <c r="BS558" s="408"/>
      <c r="BT558" s="408"/>
      <c r="BU558" s="408"/>
      <c r="BV558" s="408">
        <v>12534.558826681958</v>
      </c>
      <c r="BW558" s="408"/>
      <c r="BX558" s="408"/>
      <c r="BY558" s="408"/>
      <c r="BZ558" s="408"/>
      <c r="CA558" s="408"/>
      <c r="CB558" s="408"/>
      <c r="CC558" s="408"/>
      <c r="CD558" s="408"/>
      <c r="CE558" s="408"/>
      <c r="CF558" s="408"/>
      <c r="CG558" s="408"/>
      <c r="CH558" s="408"/>
      <c r="CI558" s="408">
        <v>29681.040000000001</v>
      </c>
      <c r="CJ558" s="408">
        <v>-2111.1935199999971</v>
      </c>
      <c r="CK558" s="408"/>
      <c r="CL558" s="408"/>
      <c r="CM558" s="408"/>
      <c r="CN558" s="408"/>
      <c r="CO558" s="408">
        <v>-3622.3479600000019</v>
      </c>
      <c r="CP558" s="408">
        <v>1509.4864400000001</v>
      </c>
      <c r="CQ558" s="408">
        <v>31</v>
      </c>
      <c r="CR558" s="408">
        <v>1977.5366263574579</v>
      </c>
      <c r="CS558" s="408">
        <v>37.854357888080756</v>
      </c>
      <c r="CT558" s="408">
        <v>176.50928629363489</v>
      </c>
      <c r="CU558" s="408">
        <v>0</v>
      </c>
      <c r="CV558" s="408">
        <v>0</v>
      </c>
      <c r="CW558" s="408">
        <v>0</v>
      </c>
      <c r="CX558" s="408">
        <v>0</v>
      </c>
      <c r="CY558" s="408">
        <v>0</v>
      </c>
      <c r="CZ558" s="408">
        <v>177.03436660803769</v>
      </c>
      <c r="DA558" s="408">
        <v>0</v>
      </c>
      <c r="DB558" s="408">
        <v>0</v>
      </c>
      <c r="DC558" s="408">
        <v>1509.3160102518414</v>
      </c>
      <c r="DD558" s="408">
        <v>0</v>
      </c>
      <c r="DE558" s="408">
        <v>0</v>
      </c>
      <c r="DF558" s="408">
        <v>0</v>
      </c>
      <c r="DG558" s="408">
        <v>79.211774415569153</v>
      </c>
      <c r="DH558" s="408">
        <v>0</v>
      </c>
      <c r="DI558" s="408">
        <v>0</v>
      </c>
      <c r="DJ558" s="408"/>
      <c r="DK558" s="408">
        <v>0</v>
      </c>
      <c r="DL558" s="408">
        <v>0</v>
      </c>
      <c r="DM558" s="408">
        <v>0</v>
      </c>
      <c r="DN558" s="408">
        <v>0</v>
      </c>
      <c r="DO558" s="408">
        <v>0</v>
      </c>
      <c r="DP558" s="408">
        <v>-2.3891690997057111</v>
      </c>
      <c r="DQ558" s="408">
        <v>0</v>
      </c>
      <c r="DR558" s="408">
        <v>0</v>
      </c>
      <c r="DS558" s="408"/>
      <c r="DT558" s="408"/>
      <c r="DU558" s="408"/>
      <c r="DV558" s="408">
        <v>16467.812288673587</v>
      </c>
      <c r="DW558" s="408">
        <v>0</v>
      </c>
      <c r="DX558" s="408">
        <v>0</v>
      </c>
      <c r="DY558" s="408">
        <v>-3622.3479600000028</v>
      </c>
      <c r="DZ558" s="408">
        <v>1509.4864399999988</v>
      </c>
      <c r="EA558" s="408">
        <v>0</v>
      </c>
      <c r="EB558" s="408">
        <v>0</v>
      </c>
      <c r="EC558" s="408">
        <v>-4090.8839088614386</v>
      </c>
      <c r="ED558" s="408">
        <v>0</v>
      </c>
      <c r="EE558" s="408">
        <v>0</v>
      </c>
      <c r="EF558" s="408">
        <v>0</v>
      </c>
      <c r="EG558" s="408">
        <v>0</v>
      </c>
      <c r="EH558" s="408">
        <v>0</v>
      </c>
      <c r="EI558" s="408">
        <v>0</v>
      </c>
      <c r="EJ558" s="408">
        <v>0</v>
      </c>
      <c r="EK558" s="408">
        <v>0</v>
      </c>
      <c r="EL558" s="408">
        <v>0</v>
      </c>
      <c r="EM558" s="408">
        <v>0</v>
      </c>
      <c r="EN558" s="408">
        <v>0</v>
      </c>
      <c r="EO558" s="408">
        <v>0</v>
      </c>
      <c r="EP558" s="408">
        <v>0</v>
      </c>
      <c r="EQ558" s="408">
        <v>0</v>
      </c>
      <c r="ER558" s="408">
        <v>0</v>
      </c>
      <c r="ES558" s="408">
        <v>0</v>
      </c>
      <c r="ET558" s="408">
        <v>0</v>
      </c>
      <c r="EU558" s="408">
        <v>0</v>
      </c>
      <c r="EV558" s="408">
        <v>240</v>
      </c>
      <c r="EW558" s="408">
        <v>0</v>
      </c>
      <c r="EX558" s="408">
        <v>0</v>
      </c>
      <c r="EY558" s="408">
        <v>0</v>
      </c>
      <c r="EZ558" s="408"/>
      <c r="FA558" s="408">
        <v>0</v>
      </c>
      <c r="FB558" s="408"/>
      <c r="FC558" s="408"/>
      <c r="FD558" s="408"/>
      <c r="FE558" s="408"/>
      <c r="FF558" s="408">
        <v>0</v>
      </c>
      <c r="FG558" s="408">
        <v>0</v>
      </c>
      <c r="FH558" s="408">
        <v>0</v>
      </c>
      <c r="FI558" s="408">
        <v>0</v>
      </c>
    </row>
    <row r="559" spans="1:165">
      <c r="A559" s="408">
        <v>557</v>
      </c>
      <c r="B559" s="408" t="s">
        <v>2237</v>
      </c>
      <c r="C559" s="408" t="s">
        <v>2235</v>
      </c>
      <c r="D559" s="408" t="s">
        <v>1955</v>
      </c>
      <c r="E559" s="408" t="s">
        <v>969</v>
      </c>
      <c r="F559" s="408" t="s">
        <v>2242</v>
      </c>
      <c r="G559" s="408" t="s">
        <v>1322</v>
      </c>
      <c r="H559" s="408" t="s">
        <v>1322</v>
      </c>
      <c r="I559" s="408" t="s">
        <v>1322</v>
      </c>
      <c r="J559" s="408" t="s">
        <v>2236</v>
      </c>
      <c r="K559" s="826">
        <v>44621</v>
      </c>
      <c r="L559" s="408">
        <v>0</v>
      </c>
      <c r="M559" s="408">
        <v>0</v>
      </c>
      <c r="N559" s="408">
        <v>8.7999999999999995E-2</v>
      </c>
      <c r="O559" s="408">
        <v>8.7999999999999995E-2</v>
      </c>
      <c r="P559" s="408">
        <v>8.7999999999999995E-2</v>
      </c>
      <c r="Q559" s="408">
        <v>8.7999999999999995E-2</v>
      </c>
      <c r="R559" s="408"/>
      <c r="S559" s="408">
        <v>281.47000000000003</v>
      </c>
      <c r="T559" s="408">
        <v>173.25</v>
      </c>
      <c r="U559" s="408"/>
      <c r="V559" s="408">
        <v>40.015360000000001</v>
      </c>
      <c r="W559" s="408">
        <v>40.015360000000001</v>
      </c>
      <c r="X559" s="408">
        <v>37.355999999999995</v>
      </c>
      <c r="Y559" s="408">
        <v>0</v>
      </c>
      <c r="Z559" s="408">
        <v>0</v>
      </c>
      <c r="AA559" s="408">
        <v>0</v>
      </c>
      <c r="AB559" s="408">
        <v>0</v>
      </c>
      <c r="AC559" s="408">
        <v>0.22523928810951213</v>
      </c>
      <c r="AD559" s="408">
        <v>0.21640444865625169</v>
      </c>
      <c r="AE559" s="408">
        <v>20.727265309847184</v>
      </c>
      <c r="AF559" s="408">
        <v>14.989961411507544</v>
      </c>
      <c r="AG559" s="408">
        <v>0.25583655068763</v>
      </c>
      <c r="AH559" s="408">
        <v>0</v>
      </c>
      <c r="AI559" s="408">
        <v>0</v>
      </c>
      <c r="AJ559" s="408">
        <v>0</v>
      </c>
      <c r="AK559" s="408">
        <v>0</v>
      </c>
      <c r="AL559" s="408">
        <v>0</v>
      </c>
      <c r="AM559" s="408"/>
      <c r="AN559" s="408">
        <v>0.10629139086391935</v>
      </c>
      <c r="AO559" s="408">
        <v>0.47813880820161714</v>
      </c>
      <c r="AP559" s="408">
        <v>2.2294907242774671</v>
      </c>
      <c r="AQ559" s="408">
        <v>0</v>
      </c>
      <c r="AR559" s="408">
        <v>0</v>
      </c>
      <c r="AS559" s="408">
        <v>0</v>
      </c>
      <c r="AT559" s="408">
        <v>0</v>
      </c>
      <c r="AU559" s="408">
        <v>0</v>
      </c>
      <c r="AV559" s="408">
        <v>0</v>
      </c>
      <c r="AW559" s="408">
        <v>0</v>
      </c>
      <c r="AX559" s="408">
        <v>0</v>
      </c>
      <c r="AY559" s="408">
        <v>0</v>
      </c>
      <c r="AZ559" s="408">
        <v>0</v>
      </c>
      <c r="BA559" s="408"/>
      <c r="BB559" s="408">
        <v>0</v>
      </c>
      <c r="BC559" s="408">
        <v>0</v>
      </c>
      <c r="BD559" s="408">
        <v>0</v>
      </c>
      <c r="BE559" s="408">
        <v>0</v>
      </c>
      <c r="BF559" s="408">
        <v>0</v>
      </c>
      <c r="BG559" s="408">
        <v>0.78670168060316625</v>
      </c>
      <c r="BH559" s="408">
        <v>0</v>
      </c>
      <c r="BI559" s="408">
        <v>0.03</v>
      </c>
      <c r="BJ559" s="408">
        <v>0.23</v>
      </c>
      <c r="BK559" s="408">
        <v>12.53</v>
      </c>
      <c r="BL559" s="408">
        <v>0</v>
      </c>
      <c r="BM559" s="408"/>
      <c r="BN559" s="408"/>
      <c r="BO559" s="408"/>
      <c r="BP559" s="408"/>
      <c r="BQ559" s="408"/>
      <c r="BR559" s="408"/>
      <c r="BS559" s="408"/>
      <c r="BT559" s="408"/>
      <c r="BU559" s="408"/>
      <c r="BV559" s="408">
        <v>15.776663092110709</v>
      </c>
      <c r="BW559" s="408"/>
      <c r="BX559" s="408"/>
      <c r="BY559" s="408"/>
      <c r="BZ559" s="408"/>
      <c r="CA559" s="408"/>
      <c r="CB559" s="408"/>
      <c r="CC559" s="408"/>
      <c r="CD559" s="408"/>
      <c r="CE559" s="408"/>
      <c r="CF559" s="408"/>
      <c r="CG559" s="408"/>
      <c r="CH559" s="408"/>
      <c r="CI559" s="408">
        <v>38.204999999999998</v>
      </c>
      <c r="CJ559" s="408">
        <v>-1.840360000000004</v>
      </c>
      <c r="CK559" s="408"/>
      <c r="CL559" s="408"/>
      <c r="CM559" s="408"/>
      <c r="CN559" s="408"/>
      <c r="CO559" s="408">
        <v>-4.559280000000002</v>
      </c>
      <c r="CP559" s="408">
        <v>1.8999200000000003</v>
      </c>
      <c r="CQ559" s="408">
        <v>31</v>
      </c>
      <c r="CR559" s="408">
        <v>2.4890328840244926</v>
      </c>
      <c r="CS559" s="408">
        <v>4.764551024302166E-2</v>
      </c>
      <c r="CT559" s="408">
        <v>0.22216398526574554</v>
      </c>
      <c r="CU559" s="408">
        <v>0</v>
      </c>
      <c r="CV559" s="408">
        <v>0</v>
      </c>
      <c r="CW559" s="408">
        <v>0</v>
      </c>
      <c r="CX559" s="408">
        <v>0</v>
      </c>
      <c r="CY559" s="408">
        <v>0</v>
      </c>
      <c r="CZ559" s="408">
        <v>0.2228248793052709</v>
      </c>
      <c r="DA559" s="408">
        <v>0</v>
      </c>
      <c r="DB559" s="408">
        <v>0</v>
      </c>
      <c r="DC559" s="408">
        <v>1.899705488045111</v>
      </c>
      <c r="DD559" s="408">
        <v>0</v>
      </c>
      <c r="DE559" s="408">
        <v>0</v>
      </c>
      <c r="DF559" s="408">
        <v>0</v>
      </c>
      <c r="DG559" s="408">
        <v>9.9700156596059353E-2</v>
      </c>
      <c r="DH559" s="408">
        <v>0</v>
      </c>
      <c r="DI559" s="408">
        <v>0</v>
      </c>
      <c r="DJ559" s="408"/>
      <c r="DK559" s="408">
        <v>0</v>
      </c>
      <c r="DL559" s="408">
        <v>0</v>
      </c>
      <c r="DM559" s="408">
        <v>0</v>
      </c>
      <c r="DN559" s="408">
        <v>0</v>
      </c>
      <c r="DO559" s="408">
        <v>0</v>
      </c>
      <c r="DP559" s="408">
        <v>-3.0071354307183162E-3</v>
      </c>
      <c r="DQ559" s="408">
        <v>0</v>
      </c>
      <c r="DR559" s="408">
        <v>0</v>
      </c>
      <c r="DS559" s="408"/>
      <c r="DT559" s="408"/>
      <c r="DU559" s="408"/>
      <c r="DV559" s="408">
        <v>20.727265309847184</v>
      </c>
      <c r="DW559" s="408">
        <v>0</v>
      </c>
      <c r="DX559" s="408">
        <v>0</v>
      </c>
      <c r="DY559" s="408">
        <v>-4.5592800000000047</v>
      </c>
      <c r="DZ559" s="408">
        <v>1.8999200000000016</v>
      </c>
      <c r="EA559" s="408">
        <v>0</v>
      </c>
      <c r="EB559" s="408">
        <v>0</v>
      </c>
      <c r="EC559" s="408">
        <v>-5.1490042905744975</v>
      </c>
      <c r="ED559" s="408">
        <v>0</v>
      </c>
      <c r="EE559" s="408">
        <v>0</v>
      </c>
      <c r="EF559" s="408">
        <v>0</v>
      </c>
      <c r="EG559" s="408">
        <v>0</v>
      </c>
      <c r="EH559" s="408">
        <v>0</v>
      </c>
      <c r="EI559" s="408">
        <v>0</v>
      </c>
      <c r="EJ559" s="408">
        <v>0</v>
      </c>
      <c r="EK559" s="408">
        <v>0</v>
      </c>
      <c r="EL559" s="408">
        <v>0</v>
      </c>
      <c r="EM559" s="408">
        <v>0</v>
      </c>
      <c r="EN559" s="408">
        <v>0</v>
      </c>
      <c r="EO559" s="408">
        <v>0</v>
      </c>
      <c r="EP559" s="408">
        <v>0</v>
      </c>
      <c r="EQ559" s="408">
        <v>0</v>
      </c>
      <c r="ER559" s="408">
        <v>0</v>
      </c>
      <c r="ES559" s="408">
        <v>0</v>
      </c>
      <c r="ET559" s="408">
        <v>0</v>
      </c>
      <c r="EU559" s="408">
        <v>0</v>
      </c>
      <c r="EV559" s="408">
        <v>240</v>
      </c>
      <c r="EW559" s="408">
        <v>0</v>
      </c>
      <c r="EX559" s="408">
        <v>0</v>
      </c>
      <c r="EY559" s="408">
        <v>0</v>
      </c>
      <c r="EZ559" s="408"/>
      <c r="FA559" s="408">
        <v>0</v>
      </c>
      <c r="FB559" s="408"/>
      <c r="FC559" s="408"/>
      <c r="FD559" s="408"/>
      <c r="FE559" s="408"/>
      <c r="FF559" s="408">
        <v>0</v>
      </c>
      <c r="FG559" s="408">
        <v>0</v>
      </c>
      <c r="FH559" s="408">
        <v>0</v>
      </c>
      <c r="FI559" s="408">
        <v>0</v>
      </c>
    </row>
    <row r="560" spans="1:165">
      <c r="A560" s="408">
        <v>558</v>
      </c>
      <c r="B560" s="408" t="s">
        <v>2238</v>
      </c>
      <c r="C560" s="408" t="s">
        <v>2235</v>
      </c>
      <c r="D560" s="408" t="s">
        <v>1955</v>
      </c>
      <c r="E560" s="408" t="s">
        <v>969</v>
      </c>
      <c r="F560" s="408" t="s">
        <v>2242</v>
      </c>
      <c r="G560" s="408" t="s">
        <v>1322</v>
      </c>
      <c r="H560" s="408" t="s">
        <v>1322</v>
      </c>
      <c r="I560" s="408" t="s">
        <v>1322</v>
      </c>
      <c r="J560" s="408" t="s">
        <v>2236</v>
      </c>
      <c r="K560" s="826">
        <v>44621</v>
      </c>
      <c r="L560" s="408">
        <v>0</v>
      </c>
      <c r="M560" s="408">
        <v>0</v>
      </c>
      <c r="N560" s="408">
        <v>0</v>
      </c>
      <c r="O560" s="408">
        <v>0</v>
      </c>
      <c r="P560" s="408">
        <v>0</v>
      </c>
      <c r="Q560" s="408">
        <v>0</v>
      </c>
      <c r="R560" s="408"/>
      <c r="S560" s="408"/>
      <c r="T560" s="408"/>
      <c r="U560" s="408"/>
      <c r="V560" s="408"/>
      <c r="W560" s="408"/>
      <c r="X560" s="408"/>
      <c r="Y560" s="408"/>
      <c r="Z560" s="408"/>
      <c r="AA560" s="408">
        <v>0</v>
      </c>
      <c r="AB560" s="408"/>
      <c r="AC560" s="408"/>
      <c r="AD560" s="408"/>
      <c r="AE560" s="408"/>
      <c r="AF560" s="408"/>
      <c r="AG560" s="408"/>
      <c r="AH560" s="408"/>
      <c r="AI560" s="408"/>
      <c r="AJ560" s="408"/>
      <c r="AK560" s="408"/>
      <c r="AL560" s="408"/>
      <c r="AM560" s="408"/>
      <c r="AN560" s="408"/>
      <c r="AO560" s="408"/>
      <c r="AP560" s="408"/>
      <c r="AQ560" s="408"/>
      <c r="AR560" s="408"/>
      <c r="AS560" s="408"/>
      <c r="AT560" s="408"/>
      <c r="AU560" s="408"/>
      <c r="AV560" s="408"/>
      <c r="AW560" s="408"/>
      <c r="AX560" s="408"/>
      <c r="AY560" s="408"/>
      <c r="AZ560" s="408">
        <v>0</v>
      </c>
      <c r="BA560" s="408"/>
      <c r="BB560" s="408"/>
      <c r="BC560" s="408"/>
      <c r="BD560" s="408"/>
      <c r="BE560" s="408"/>
      <c r="BF560" s="408"/>
      <c r="BG560" s="408"/>
      <c r="BH560" s="408"/>
      <c r="BI560" s="408">
        <v>0</v>
      </c>
      <c r="BJ560" s="408">
        <v>0</v>
      </c>
      <c r="BK560" s="408">
        <v>139.78</v>
      </c>
      <c r="BL560" s="408">
        <v>10</v>
      </c>
      <c r="BM560" s="408"/>
      <c r="BN560" s="408"/>
      <c r="BO560" s="408"/>
      <c r="BP560" s="408"/>
      <c r="BQ560" s="408"/>
      <c r="BR560" s="408"/>
      <c r="BS560" s="408"/>
      <c r="BT560" s="408"/>
      <c r="BU560" s="408"/>
      <c r="BV560" s="408"/>
      <c r="BW560" s="408"/>
      <c r="BX560" s="408"/>
      <c r="BY560" s="408"/>
      <c r="BZ560" s="408"/>
      <c r="CA560" s="408"/>
      <c r="CB560" s="408"/>
      <c r="CC560" s="408"/>
      <c r="CD560" s="408"/>
      <c r="CE560" s="408"/>
      <c r="CF560" s="408"/>
      <c r="CG560" s="408"/>
      <c r="CH560" s="408"/>
      <c r="CI560" s="408"/>
      <c r="CJ560" s="408">
        <v>-0.03</v>
      </c>
      <c r="CK560" s="408"/>
      <c r="CL560" s="408"/>
      <c r="CM560" s="408"/>
      <c r="CN560" s="408"/>
      <c r="CO560" s="408">
        <v>0</v>
      </c>
      <c r="CP560" s="408">
        <v>0</v>
      </c>
      <c r="CQ560" s="408">
        <v>31</v>
      </c>
      <c r="CR560" s="408"/>
      <c r="CS560" s="408"/>
      <c r="CT560" s="408"/>
      <c r="CU560" s="408"/>
      <c r="CV560" s="408"/>
      <c r="CW560" s="408"/>
      <c r="CX560" s="408"/>
      <c r="CY560" s="408"/>
      <c r="CZ560" s="408"/>
      <c r="DA560" s="408"/>
      <c r="DB560" s="408"/>
      <c r="DC560" s="408"/>
      <c r="DD560" s="408"/>
      <c r="DE560" s="408"/>
      <c r="DF560" s="408"/>
      <c r="DG560" s="408"/>
      <c r="DH560" s="408"/>
      <c r="DI560" s="408"/>
      <c r="DJ560" s="408"/>
      <c r="DK560" s="408">
        <v>0</v>
      </c>
      <c r="DL560" s="408"/>
      <c r="DM560" s="408"/>
      <c r="DN560" s="408"/>
      <c r="DO560" s="408"/>
      <c r="DP560" s="408"/>
      <c r="DQ560" s="408"/>
      <c r="DR560" s="408"/>
      <c r="DS560" s="408"/>
      <c r="DT560" s="408"/>
      <c r="DU560" s="408"/>
      <c r="DV560" s="408"/>
      <c r="DW560" s="408"/>
      <c r="DX560" s="408"/>
      <c r="DY560" s="408"/>
      <c r="DZ560" s="408"/>
      <c r="EA560" s="408"/>
      <c r="EB560" s="408"/>
      <c r="EC560" s="408"/>
      <c r="ED560" s="408"/>
      <c r="EE560" s="408"/>
      <c r="EF560" s="408"/>
      <c r="EG560" s="408"/>
      <c r="EH560" s="408"/>
      <c r="EI560" s="408"/>
      <c r="EJ560" s="408"/>
      <c r="EK560" s="408"/>
      <c r="EL560" s="408"/>
      <c r="EM560" s="408"/>
      <c r="EN560" s="408"/>
      <c r="EO560" s="408"/>
      <c r="EP560" s="408"/>
      <c r="EQ560" s="408"/>
      <c r="ER560" s="408"/>
      <c r="ES560" s="408"/>
      <c r="ET560" s="408"/>
      <c r="EU560" s="408"/>
      <c r="EV560" s="408">
        <v>240</v>
      </c>
      <c r="EW560" s="408"/>
      <c r="EX560" s="408"/>
      <c r="EY560" s="408"/>
      <c r="EZ560" s="408"/>
      <c r="FA560" s="408">
        <v>0</v>
      </c>
      <c r="FB560" s="408"/>
      <c r="FC560" s="408"/>
      <c r="FD560" s="408"/>
      <c r="FE560" s="408"/>
      <c r="FF560" s="408">
        <v>0</v>
      </c>
      <c r="FG560" s="408">
        <v>0</v>
      </c>
      <c r="FH560" s="408">
        <v>0</v>
      </c>
      <c r="FI560" s="408">
        <v>0</v>
      </c>
    </row>
    <row r="561" spans="1:165">
      <c r="A561" s="408">
        <v>559</v>
      </c>
      <c r="B561" s="408" t="s">
        <v>1036</v>
      </c>
      <c r="C561" s="408" t="s">
        <v>2316</v>
      </c>
      <c r="D561" s="408" t="s">
        <v>1955</v>
      </c>
      <c r="E561" s="408" t="s">
        <v>969</v>
      </c>
      <c r="F561" s="408" t="s">
        <v>969</v>
      </c>
      <c r="G561" s="408" t="s">
        <v>1322</v>
      </c>
      <c r="H561" s="408" t="s">
        <v>1322</v>
      </c>
      <c r="I561" s="408" t="s">
        <v>973</v>
      </c>
      <c r="J561" s="408" t="s">
        <v>2236</v>
      </c>
      <c r="K561" s="826">
        <v>44621</v>
      </c>
      <c r="L561" s="408">
        <v>0</v>
      </c>
      <c r="M561" s="408">
        <v>0</v>
      </c>
      <c r="N561" s="408">
        <v>0.40799999999999997</v>
      </c>
      <c r="O561" s="408">
        <v>0.40799999999999997</v>
      </c>
      <c r="P561" s="408">
        <v>0.40799999999999997</v>
      </c>
      <c r="Q561" s="408">
        <v>0.40799999999999997</v>
      </c>
      <c r="R561" s="408"/>
      <c r="S561" s="408">
        <v>775.22</v>
      </c>
      <c r="T561" s="408">
        <v>173.25</v>
      </c>
      <c r="U561" s="408"/>
      <c r="V561" s="408">
        <v>386.97575999999998</v>
      </c>
      <c r="W561" s="408">
        <v>386.97575999999998</v>
      </c>
      <c r="X561" s="408">
        <v>341.29199999999992</v>
      </c>
      <c r="Y561" s="408">
        <v>0</v>
      </c>
      <c r="Z561" s="408">
        <v>25.11043474534312</v>
      </c>
      <c r="AA561" s="408">
        <v>0</v>
      </c>
      <c r="AB561" s="408">
        <v>0</v>
      </c>
      <c r="AC561" s="408">
        <v>2.6105430635231097</v>
      </c>
      <c r="AD561" s="408">
        <v>2.5081582386717693</v>
      </c>
      <c r="AE561" s="408">
        <v>240.24780397152685</v>
      </c>
      <c r="AF561" s="408">
        <v>69.498911998807699</v>
      </c>
      <c r="AG561" s="408">
        <v>1.1861512804608301</v>
      </c>
      <c r="AH561" s="408">
        <v>0</v>
      </c>
      <c r="AI561" s="408">
        <v>0</v>
      </c>
      <c r="AJ561" s="408">
        <v>0</v>
      </c>
      <c r="AK561" s="408">
        <v>0</v>
      </c>
      <c r="AL561" s="408">
        <v>3.8796843531487668</v>
      </c>
      <c r="AM561" s="408"/>
      <c r="AN561" s="408">
        <v>0.49280553945998967</v>
      </c>
      <c r="AO561" s="408">
        <v>5.5417493717944462</v>
      </c>
      <c r="AP561" s="408">
        <v>25.84016760924456</v>
      </c>
      <c r="AQ561" s="408">
        <v>0</v>
      </c>
      <c r="AR561" s="408">
        <v>0</v>
      </c>
      <c r="AS561" s="408">
        <v>0</v>
      </c>
      <c r="AT561" s="408">
        <v>0</v>
      </c>
      <c r="AU561" s="408">
        <v>0</v>
      </c>
      <c r="AV561" s="408">
        <v>0</v>
      </c>
      <c r="AW561" s="408">
        <v>0</v>
      </c>
      <c r="AX561" s="408">
        <v>0</v>
      </c>
      <c r="AY561" s="408">
        <v>0</v>
      </c>
      <c r="AZ561" s="408">
        <v>0</v>
      </c>
      <c r="BA561" s="408"/>
      <c r="BB561" s="408">
        <v>0</v>
      </c>
      <c r="BC561" s="408">
        <v>0</v>
      </c>
      <c r="BD561" s="408">
        <v>0</v>
      </c>
      <c r="BE561" s="408">
        <v>0</v>
      </c>
      <c r="BF561" s="408">
        <v>0</v>
      </c>
      <c r="BG561" s="408">
        <v>3.6474350646146796</v>
      </c>
      <c r="BH561" s="408">
        <v>0</v>
      </c>
      <c r="BI561" s="408">
        <v>0</v>
      </c>
      <c r="BJ561" s="408">
        <v>0</v>
      </c>
      <c r="BK561" s="408">
        <v>0</v>
      </c>
      <c r="BL561" s="408">
        <v>0</v>
      </c>
      <c r="BM561" s="408"/>
      <c r="BN561" s="408"/>
      <c r="BO561" s="408"/>
      <c r="BP561" s="408"/>
      <c r="BQ561" s="408"/>
      <c r="BR561" s="408"/>
      <c r="BS561" s="408"/>
      <c r="BT561" s="408"/>
      <c r="BU561" s="408"/>
      <c r="BV561" s="408">
        <v>73.146347063422382</v>
      </c>
      <c r="BW561" s="408"/>
      <c r="BX561" s="408"/>
      <c r="BY561" s="408"/>
      <c r="BZ561" s="408"/>
      <c r="CA561" s="408"/>
      <c r="CB561" s="408"/>
      <c r="CC561" s="408"/>
      <c r="CD561" s="408"/>
      <c r="CE561" s="408"/>
      <c r="CF561" s="408"/>
      <c r="CG561" s="408"/>
      <c r="CH561" s="408"/>
      <c r="CI561" s="408">
        <v>342.96499999999992</v>
      </c>
      <c r="CJ561" s="408">
        <v>-44.040760000000034</v>
      </c>
      <c r="CK561" s="408"/>
      <c r="CL561" s="408"/>
      <c r="CM561" s="408"/>
      <c r="CN561" s="408"/>
      <c r="CO561" s="408">
        <v>-54.492480000000022</v>
      </c>
      <c r="CP561" s="408">
        <v>8.808720000000001</v>
      </c>
      <c r="CQ561" s="408">
        <v>31</v>
      </c>
      <c r="CR561" s="408">
        <v>13.995815483385655</v>
      </c>
      <c r="CS561" s="408">
        <v>0.55222347972797525</v>
      </c>
      <c r="CT561" s="408">
        <v>2.5749174703855395</v>
      </c>
      <c r="CU561" s="408">
        <v>0</v>
      </c>
      <c r="CV561" s="408">
        <v>0</v>
      </c>
      <c r="CW561" s="408">
        <v>0</v>
      </c>
      <c r="CX561" s="408">
        <v>0</v>
      </c>
      <c r="CY561" s="408">
        <v>0</v>
      </c>
      <c r="CZ561" s="408">
        <v>2.5825719400912659</v>
      </c>
      <c r="DA561" s="408">
        <v>0</v>
      </c>
      <c r="DB561" s="408">
        <v>0</v>
      </c>
      <c r="DC561" s="408">
        <v>8.8077254445727959</v>
      </c>
      <c r="DD561" s="408">
        <v>0</v>
      </c>
      <c r="DE561" s="408">
        <v>0</v>
      </c>
      <c r="DF561" s="408">
        <v>0</v>
      </c>
      <c r="DG561" s="408">
        <v>0.46224618058173039</v>
      </c>
      <c r="DH561" s="408">
        <v>0</v>
      </c>
      <c r="DI561" s="408">
        <v>-0.85267090429340442</v>
      </c>
      <c r="DJ561" s="408"/>
      <c r="DK561" s="408">
        <v>0</v>
      </c>
      <c r="DL561" s="408">
        <v>0</v>
      </c>
      <c r="DM561" s="408">
        <v>0</v>
      </c>
      <c r="DN561" s="408">
        <v>0</v>
      </c>
      <c r="DO561" s="408">
        <v>-0.11725595431963187</v>
      </c>
      <c r="DP561" s="408">
        <v>-1.3942173360603105E-2</v>
      </c>
      <c r="DQ561" s="408">
        <v>0</v>
      </c>
      <c r="DR561" s="408">
        <v>0</v>
      </c>
      <c r="DS561" s="408"/>
      <c r="DT561" s="408"/>
      <c r="DU561" s="408"/>
      <c r="DV561" s="408">
        <v>240.24780397152685</v>
      </c>
      <c r="DW561" s="408">
        <v>0</v>
      </c>
      <c r="DX561" s="408">
        <v>0</v>
      </c>
      <c r="DY561" s="408">
        <v>-54.492480000000057</v>
      </c>
      <c r="DZ561" s="408">
        <v>8.8087200000000081</v>
      </c>
      <c r="EA561" s="408">
        <v>0</v>
      </c>
      <c r="EB561" s="408">
        <v>0</v>
      </c>
      <c r="EC561" s="408">
        <v>-59.681629725788582</v>
      </c>
      <c r="ED561" s="408">
        <v>0</v>
      </c>
      <c r="EE561" s="408">
        <v>0</v>
      </c>
      <c r="EF561" s="408">
        <v>0</v>
      </c>
      <c r="EG561" s="408">
        <v>0</v>
      </c>
      <c r="EH561" s="408">
        <v>0</v>
      </c>
      <c r="EI561" s="408">
        <v>0</v>
      </c>
      <c r="EJ561" s="408">
        <v>0</v>
      </c>
      <c r="EK561" s="408">
        <v>0</v>
      </c>
      <c r="EL561" s="408">
        <v>0</v>
      </c>
      <c r="EM561" s="408">
        <v>0</v>
      </c>
      <c r="EN561" s="408">
        <v>0</v>
      </c>
      <c r="EO561" s="408">
        <v>0</v>
      </c>
      <c r="EP561" s="408">
        <v>6.412757187542109</v>
      </c>
      <c r="EQ561" s="408">
        <v>0</v>
      </c>
      <c r="ER561" s="408">
        <v>0</v>
      </c>
      <c r="ES561" s="408">
        <v>0</v>
      </c>
      <c r="ET561" s="408">
        <v>0</v>
      </c>
      <c r="EU561" s="408">
        <v>0</v>
      </c>
      <c r="EV561" s="408">
        <v>240</v>
      </c>
      <c r="EW561" s="408">
        <v>0</v>
      </c>
      <c r="EX561" s="408">
        <v>0</v>
      </c>
      <c r="EY561" s="408">
        <v>0</v>
      </c>
      <c r="EZ561" s="408"/>
      <c r="FA561" s="408">
        <v>0</v>
      </c>
      <c r="FB561" s="408"/>
      <c r="FC561" s="408"/>
      <c r="FD561" s="408"/>
      <c r="FE561" s="408"/>
      <c r="FF561" s="408">
        <v>0</v>
      </c>
      <c r="FG561" s="408">
        <v>0</v>
      </c>
      <c r="FH561" s="408">
        <v>0</v>
      </c>
      <c r="FI561" s="408">
        <v>0</v>
      </c>
    </row>
    <row r="562" spans="1:165">
      <c r="A562" s="408">
        <v>560</v>
      </c>
      <c r="B562" s="408" t="s">
        <v>1036</v>
      </c>
      <c r="C562" s="408" t="s">
        <v>2316</v>
      </c>
      <c r="D562" s="408" t="s">
        <v>1955</v>
      </c>
      <c r="E562" s="408" t="s">
        <v>969</v>
      </c>
      <c r="F562" s="408" t="s">
        <v>969</v>
      </c>
      <c r="G562" s="408" t="s">
        <v>1322</v>
      </c>
      <c r="H562" s="408" t="s">
        <v>1322</v>
      </c>
      <c r="I562" s="408" t="s">
        <v>2244</v>
      </c>
      <c r="J562" s="408" t="s">
        <v>2236</v>
      </c>
      <c r="K562" s="826">
        <v>44621</v>
      </c>
      <c r="L562" s="408">
        <v>0</v>
      </c>
      <c r="M562" s="408">
        <v>0</v>
      </c>
      <c r="N562" s="408">
        <v>4.2690000000000001</v>
      </c>
      <c r="O562" s="408">
        <v>4.2690000000000001</v>
      </c>
      <c r="P562" s="408">
        <v>4.2690000000000001</v>
      </c>
      <c r="Q562" s="408">
        <v>4.2690000000000001</v>
      </c>
      <c r="R562" s="408"/>
      <c r="S562" s="408">
        <v>232.58</v>
      </c>
      <c r="T562" s="408">
        <v>173.25</v>
      </c>
      <c r="U562" s="408"/>
      <c r="V562" s="408">
        <v>1732.4882700000001</v>
      </c>
      <c r="W562" s="408">
        <v>1732.4882700000001</v>
      </c>
      <c r="X562" s="408">
        <v>1706.2766099999999</v>
      </c>
      <c r="Y562" s="408">
        <v>0</v>
      </c>
      <c r="Z562" s="408">
        <v>262.73638707811222</v>
      </c>
      <c r="AA562" s="408">
        <v>0</v>
      </c>
      <c r="AB562" s="408">
        <v>0</v>
      </c>
      <c r="AC562" s="408">
        <v>5.4633325053381103</v>
      </c>
      <c r="AD562" s="408">
        <v>5.2490374506451056</v>
      </c>
      <c r="AE562" s="408">
        <v>502.75395231669114</v>
      </c>
      <c r="AF562" s="408">
        <v>727.18346892870125</v>
      </c>
      <c r="AG562" s="408">
        <v>12.410979941880598</v>
      </c>
      <c r="AH562" s="408">
        <v>0</v>
      </c>
      <c r="AI562" s="408">
        <v>0</v>
      </c>
      <c r="AJ562" s="408">
        <v>0</v>
      </c>
      <c r="AK562" s="408">
        <v>0</v>
      </c>
      <c r="AL562" s="408">
        <v>40.594050253902175</v>
      </c>
      <c r="AM562" s="408"/>
      <c r="AN562" s="408">
        <v>5.156340313614451</v>
      </c>
      <c r="AO562" s="408">
        <v>11.598052277406211</v>
      </c>
      <c r="AP562" s="408">
        <v>54.077817624661975</v>
      </c>
      <c r="AQ562" s="408">
        <v>0</v>
      </c>
      <c r="AR562" s="408">
        <v>0</v>
      </c>
      <c r="AS562" s="408">
        <v>0</v>
      </c>
      <c r="AT562" s="408">
        <v>0</v>
      </c>
      <c r="AU562" s="408">
        <v>0</v>
      </c>
      <c r="AV562" s="408">
        <v>0</v>
      </c>
      <c r="AW562" s="408">
        <v>0</v>
      </c>
      <c r="AX562" s="408">
        <v>0</v>
      </c>
      <c r="AY562" s="408">
        <v>0</v>
      </c>
      <c r="AZ562" s="408">
        <v>0</v>
      </c>
      <c r="BA562" s="408"/>
      <c r="BB562" s="408">
        <v>0</v>
      </c>
      <c r="BC562" s="408">
        <v>0</v>
      </c>
      <c r="BD562" s="408">
        <v>0</v>
      </c>
      <c r="BE562" s="408">
        <v>0</v>
      </c>
      <c r="BF562" s="408">
        <v>0</v>
      </c>
      <c r="BG562" s="408">
        <v>38.163971301078604</v>
      </c>
      <c r="BH562" s="408">
        <v>0</v>
      </c>
      <c r="BI562" s="408">
        <v>0</v>
      </c>
      <c r="BJ562" s="408">
        <v>0</v>
      </c>
      <c r="BK562" s="408">
        <v>0</v>
      </c>
      <c r="BL562" s="408">
        <v>0</v>
      </c>
      <c r="BM562" s="408"/>
      <c r="BN562" s="408"/>
      <c r="BO562" s="408"/>
      <c r="BP562" s="408"/>
      <c r="BQ562" s="408"/>
      <c r="BR562" s="408"/>
      <c r="BS562" s="408"/>
      <c r="BT562" s="408"/>
      <c r="BU562" s="408"/>
      <c r="BV562" s="408">
        <v>765.34744022977986</v>
      </c>
      <c r="BW562" s="408"/>
      <c r="BX562" s="408"/>
      <c r="BY562" s="408"/>
      <c r="BZ562" s="408"/>
      <c r="CA562" s="408"/>
      <c r="CB562" s="408"/>
      <c r="CC562" s="408"/>
      <c r="CD562" s="408"/>
      <c r="CE562" s="408"/>
      <c r="CF562" s="408"/>
      <c r="CG562" s="408"/>
      <c r="CH562" s="408"/>
      <c r="CI562" s="408">
        <v>1706.6762999999999</v>
      </c>
      <c r="CJ562" s="408">
        <v>-25.841970000000174</v>
      </c>
      <c r="CK562" s="408"/>
      <c r="CL562" s="408"/>
      <c r="CM562" s="408"/>
      <c r="CN562" s="408"/>
      <c r="CO562" s="408">
        <v>-118.37937000000008</v>
      </c>
      <c r="CP562" s="408">
        <v>92.167710000000014</v>
      </c>
      <c r="CQ562" s="408">
        <v>31</v>
      </c>
      <c r="CR562" s="408">
        <v>98.648670534590792</v>
      </c>
      <c r="CS562" s="408">
        <v>1.1557211192722185</v>
      </c>
      <c r="CT562" s="408">
        <v>5.3887389380651598</v>
      </c>
      <c r="CU562" s="408">
        <v>0</v>
      </c>
      <c r="CV562" s="408">
        <v>0</v>
      </c>
      <c r="CW562" s="408">
        <v>0</v>
      </c>
      <c r="CX562" s="408">
        <v>0</v>
      </c>
      <c r="CY562" s="408">
        <v>0</v>
      </c>
      <c r="CZ562" s="408">
        <v>5.4047693736034175</v>
      </c>
      <c r="DA562" s="408">
        <v>0</v>
      </c>
      <c r="DB562" s="408">
        <v>0</v>
      </c>
      <c r="DC562" s="408">
        <v>92.157303732552009</v>
      </c>
      <c r="DD562" s="408">
        <v>0</v>
      </c>
      <c r="DE562" s="408">
        <v>0</v>
      </c>
      <c r="DF562" s="408">
        <v>0</v>
      </c>
      <c r="DG562" s="408">
        <v>4.836590551233833</v>
      </c>
      <c r="DH562" s="408">
        <v>0</v>
      </c>
      <c r="DI562" s="408">
        <v>-8.9216963000699536</v>
      </c>
      <c r="DJ562" s="408"/>
      <c r="DK562" s="408">
        <v>0</v>
      </c>
      <c r="DL562" s="408">
        <v>0</v>
      </c>
      <c r="DM562" s="408">
        <v>0</v>
      </c>
      <c r="DN562" s="408">
        <v>0</v>
      </c>
      <c r="DO562" s="408">
        <v>-1.2268766396826223</v>
      </c>
      <c r="DP562" s="408">
        <v>-0.14588024038336922</v>
      </c>
      <c r="DQ562" s="408">
        <v>0</v>
      </c>
      <c r="DR562" s="408">
        <v>0</v>
      </c>
      <c r="DS562" s="408"/>
      <c r="DT562" s="408"/>
      <c r="DU562" s="408"/>
      <c r="DV562" s="408">
        <v>502.75395231669114</v>
      </c>
      <c r="DW562" s="408">
        <v>0</v>
      </c>
      <c r="DX562" s="408">
        <v>0</v>
      </c>
      <c r="DY562" s="408">
        <v>-118.37937000000011</v>
      </c>
      <c r="DZ562" s="408">
        <v>92.167710000000056</v>
      </c>
      <c r="EA562" s="408">
        <v>0</v>
      </c>
      <c r="EB562" s="408">
        <v>0</v>
      </c>
      <c r="EC562" s="408">
        <v>-124.89260975262755</v>
      </c>
      <c r="ED562" s="408">
        <v>0</v>
      </c>
      <c r="EE562" s="408">
        <v>0</v>
      </c>
      <c r="EF562" s="408">
        <v>0</v>
      </c>
      <c r="EG562" s="408">
        <v>0</v>
      </c>
      <c r="EH562" s="408">
        <v>0</v>
      </c>
      <c r="EI562" s="408">
        <v>0</v>
      </c>
      <c r="EJ562" s="408">
        <v>0</v>
      </c>
      <c r="EK562" s="408">
        <v>0</v>
      </c>
      <c r="EL562" s="408">
        <v>0</v>
      </c>
      <c r="EM562" s="408">
        <v>0</v>
      </c>
      <c r="EN562" s="408">
        <v>0</v>
      </c>
      <c r="EO562" s="408">
        <v>0</v>
      </c>
      <c r="EP562" s="408">
        <v>67.098187337297219</v>
      </c>
      <c r="EQ562" s="408">
        <v>0</v>
      </c>
      <c r="ER562" s="408">
        <v>0</v>
      </c>
      <c r="ES562" s="408">
        <v>0</v>
      </c>
      <c r="ET562" s="408">
        <v>0</v>
      </c>
      <c r="EU562" s="408">
        <v>0</v>
      </c>
      <c r="EV562" s="408">
        <v>240</v>
      </c>
      <c r="EW562" s="408">
        <v>0</v>
      </c>
      <c r="EX562" s="408">
        <v>0</v>
      </c>
      <c r="EY562" s="408">
        <v>0</v>
      </c>
      <c r="EZ562" s="408"/>
      <c r="FA562" s="408">
        <v>0</v>
      </c>
      <c r="FB562" s="408"/>
      <c r="FC562" s="408"/>
      <c r="FD562" s="408"/>
      <c r="FE562" s="408"/>
      <c r="FF562" s="408">
        <v>0</v>
      </c>
      <c r="FG562" s="408">
        <v>0</v>
      </c>
      <c r="FH562" s="408">
        <v>0</v>
      </c>
      <c r="FI562" s="408">
        <v>0</v>
      </c>
    </row>
    <row r="563" spans="1:165">
      <c r="A563" s="408">
        <v>561</v>
      </c>
      <c r="B563" s="408" t="s">
        <v>1036</v>
      </c>
      <c r="C563" s="408" t="s">
        <v>2316</v>
      </c>
      <c r="D563" s="408" t="s">
        <v>1955</v>
      </c>
      <c r="E563" s="408" t="s">
        <v>969</v>
      </c>
      <c r="F563" s="408" t="s">
        <v>969</v>
      </c>
      <c r="G563" s="408" t="s">
        <v>1322</v>
      </c>
      <c r="H563" s="408" t="s">
        <v>1322</v>
      </c>
      <c r="I563" s="408" t="s">
        <v>1322</v>
      </c>
      <c r="J563" s="408" t="s">
        <v>2236</v>
      </c>
      <c r="K563" s="826">
        <v>44621</v>
      </c>
      <c r="L563" s="408">
        <v>0</v>
      </c>
      <c r="M563" s="408">
        <v>0</v>
      </c>
      <c r="N563" s="408">
        <v>0</v>
      </c>
      <c r="O563" s="408">
        <v>0</v>
      </c>
      <c r="P563" s="408">
        <v>0</v>
      </c>
      <c r="Q563" s="408">
        <v>0</v>
      </c>
      <c r="R563" s="408"/>
      <c r="S563" s="408"/>
      <c r="T563" s="408"/>
      <c r="U563" s="408"/>
      <c r="V563" s="408"/>
      <c r="W563" s="408"/>
      <c r="X563" s="408"/>
      <c r="Y563" s="408"/>
      <c r="Z563" s="408"/>
      <c r="AA563" s="408">
        <v>0</v>
      </c>
      <c r="AB563" s="408"/>
      <c r="AC563" s="408"/>
      <c r="AD563" s="408"/>
      <c r="AE563" s="408"/>
      <c r="AF563" s="408"/>
      <c r="AG563" s="408"/>
      <c r="AH563" s="408"/>
      <c r="AI563" s="408"/>
      <c r="AJ563" s="408"/>
      <c r="AK563" s="408"/>
      <c r="AL563" s="408"/>
      <c r="AM563" s="408"/>
      <c r="AN563" s="408"/>
      <c r="AO563" s="408"/>
      <c r="AP563" s="408"/>
      <c r="AQ563" s="408"/>
      <c r="AR563" s="408"/>
      <c r="AS563" s="408"/>
      <c r="AT563" s="408"/>
      <c r="AU563" s="408"/>
      <c r="AV563" s="408"/>
      <c r="AW563" s="408"/>
      <c r="AX563" s="408"/>
      <c r="AY563" s="408"/>
      <c r="AZ563" s="408">
        <v>0</v>
      </c>
      <c r="BA563" s="408"/>
      <c r="BB563" s="408"/>
      <c r="BC563" s="408"/>
      <c r="BD563" s="408"/>
      <c r="BE563" s="408"/>
      <c r="BF563" s="408"/>
      <c r="BG563" s="408"/>
      <c r="BH563" s="408"/>
      <c r="BI563" s="408">
        <v>2.02</v>
      </c>
      <c r="BJ563" s="408">
        <v>22</v>
      </c>
      <c r="BK563" s="408">
        <v>975.37</v>
      </c>
      <c r="BL563" s="408">
        <v>14</v>
      </c>
      <c r="BM563" s="408"/>
      <c r="BN563" s="408"/>
      <c r="BO563" s="408"/>
      <c r="BP563" s="408"/>
      <c r="BQ563" s="408"/>
      <c r="BR563" s="408"/>
      <c r="BS563" s="408"/>
      <c r="BT563" s="408"/>
      <c r="BU563" s="408"/>
      <c r="BV563" s="408"/>
      <c r="BW563" s="408"/>
      <c r="BX563" s="408"/>
      <c r="BY563" s="408"/>
      <c r="BZ563" s="408"/>
      <c r="CA563" s="408"/>
      <c r="CB563" s="408"/>
      <c r="CC563" s="408"/>
      <c r="CD563" s="408"/>
      <c r="CE563" s="408"/>
      <c r="CF563" s="408"/>
      <c r="CG563" s="408"/>
      <c r="CH563" s="408"/>
      <c r="CI563" s="408"/>
      <c r="CJ563" s="408">
        <v>-0.03</v>
      </c>
      <c r="CK563" s="408"/>
      <c r="CL563" s="408"/>
      <c r="CM563" s="408"/>
      <c r="CN563" s="408"/>
      <c r="CO563" s="408">
        <v>0</v>
      </c>
      <c r="CP563" s="408">
        <v>0</v>
      </c>
      <c r="CQ563" s="408">
        <v>31</v>
      </c>
      <c r="CR563" s="408"/>
      <c r="CS563" s="408"/>
      <c r="CT563" s="408"/>
      <c r="CU563" s="408"/>
      <c r="CV563" s="408"/>
      <c r="CW563" s="408"/>
      <c r="CX563" s="408"/>
      <c r="CY563" s="408"/>
      <c r="CZ563" s="408"/>
      <c r="DA563" s="408"/>
      <c r="DB563" s="408"/>
      <c r="DC563" s="408"/>
      <c r="DD563" s="408"/>
      <c r="DE563" s="408"/>
      <c r="DF563" s="408"/>
      <c r="DG563" s="408"/>
      <c r="DH563" s="408"/>
      <c r="DI563" s="408"/>
      <c r="DJ563" s="408"/>
      <c r="DK563" s="408">
        <v>0</v>
      </c>
      <c r="DL563" s="408"/>
      <c r="DM563" s="408"/>
      <c r="DN563" s="408"/>
      <c r="DO563" s="408"/>
      <c r="DP563" s="408"/>
      <c r="DQ563" s="408"/>
      <c r="DR563" s="408"/>
      <c r="DS563" s="408"/>
      <c r="DT563" s="408"/>
      <c r="DU563" s="408"/>
      <c r="DV563" s="408"/>
      <c r="DW563" s="408"/>
      <c r="DX563" s="408"/>
      <c r="DY563" s="408"/>
      <c r="DZ563" s="408"/>
      <c r="EA563" s="408"/>
      <c r="EB563" s="408"/>
      <c r="EC563" s="408"/>
      <c r="ED563" s="408"/>
      <c r="EE563" s="408"/>
      <c r="EF563" s="408"/>
      <c r="EG563" s="408"/>
      <c r="EH563" s="408"/>
      <c r="EI563" s="408"/>
      <c r="EJ563" s="408"/>
      <c r="EK563" s="408"/>
      <c r="EL563" s="408"/>
      <c r="EM563" s="408"/>
      <c r="EN563" s="408"/>
      <c r="EO563" s="408"/>
      <c r="EP563" s="408"/>
      <c r="EQ563" s="408"/>
      <c r="ER563" s="408"/>
      <c r="ES563" s="408"/>
      <c r="ET563" s="408"/>
      <c r="EU563" s="408"/>
      <c r="EV563" s="408">
        <v>240</v>
      </c>
      <c r="EW563" s="408"/>
      <c r="EX563" s="408"/>
      <c r="EY563" s="408"/>
      <c r="EZ563" s="408"/>
      <c r="FA563" s="408">
        <v>0</v>
      </c>
      <c r="FB563" s="408"/>
      <c r="FC563" s="408"/>
      <c r="FD563" s="408"/>
      <c r="FE563" s="408"/>
      <c r="FF563" s="408">
        <v>0</v>
      </c>
      <c r="FG563" s="408">
        <v>0</v>
      </c>
      <c r="FH563" s="408">
        <v>0</v>
      </c>
      <c r="FI563" s="408">
        <v>0</v>
      </c>
    </row>
    <row r="564" spans="1:165">
      <c r="A564" s="408">
        <v>562</v>
      </c>
      <c r="B564" s="408" t="s">
        <v>1036</v>
      </c>
      <c r="C564" s="408" t="s">
        <v>2316</v>
      </c>
      <c r="D564" s="408" t="s">
        <v>1955</v>
      </c>
      <c r="E564" s="408" t="s">
        <v>969</v>
      </c>
      <c r="F564" s="408" t="s">
        <v>969</v>
      </c>
      <c r="G564" s="408" t="s">
        <v>1322</v>
      </c>
      <c r="H564" s="408" t="s">
        <v>1322</v>
      </c>
      <c r="I564" s="408" t="s">
        <v>2317</v>
      </c>
      <c r="J564" s="408" t="s">
        <v>2236</v>
      </c>
      <c r="K564" s="826">
        <v>44621</v>
      </c>
      <c r="L564" s="408">
        <v>0</v>
      </c>
      <c r="M564" s="408">
        <v>0</v>
      </c>
      <c r="N564" s="408">
        <v>0.31900000000000001</v>
      </c>
      <c r="O564" s="408">
        <v>0.31900000000000001</v>
      </c>
      <c r="P564" s="408">
        <v>0.31900000000000001</v>
      </c>
      <c r="Q564" s="408">
        <v>0.31900000000000001</v>
      </c>
      <c r="R564" s="408"/>
      <c r="S564" s="408">
        <v>503.9</v>
      </c>
      <c r="T564" s="408">
        <v>173.25</v>
      </c>
      <c r="U564" s="408"/>
      <c r="V564" s="408">
        <v>216.01085</v>
      </c>
      <c r="W564" s="408">
        <v>216.01085</v>
      </c>
      <c r="X564" s="408">
        <v>197.17071000000001</v>
      </c>
      <c r="Y564" s="408">
        <v>0</v>
      </c>
      <c r="Z564" s="408">
        <v>19.632913440599157</v>
      </c>
      <c r="AA564" s="408">
        <v>0</v>
      </c>
      <c r="AB564" s="408">
        <v>0</v>
      </c>
      <c r="AC564" s="408">
        <v>1.2245939464458422</v>
      </c>
      <c r="AD564" s="408">
        <v>1.1765715977030409</v>
      </c>
      <c r="AE564" s="408">
        <v>112.70443641522138</v>
      </c>
      <c r="AF564" s="408">
        <v>54.338610116714847</v>
      </c>
      <c r="AG564" s="408">
        <v>0.92740749624265884</v>
      </c>
      <c r="AH564" s="408">
        <v>0</v>
      </c>
      <c r="AI564" s="408">
        <v>0</v>
      </c>
      <c r="AJ564" s="408">
        <v>0</v>
      </c>
      <c r="AK564" s="408">
        <v>0</v>
      </c>
      <c r="AL564" s="408">
        <v>3.0333806584668057</v>
      </c>
      <c r="AM564" s="408"/>
      <c r="AN564" s="408">
        <v>0.38530629188170767</v>
      </c>
      <c r="AO564" s="408">
        <v>2.5996341967456682</v>
      </c>
      <c r="AP564" s="408">
        <v>12.121560505251573</v>
      </c>
      <c r="AQ564" s="408">
        <v>0</v>
      </c>
      <c r="AR564" s="408">
        <v>0</v>
      </c>
      <c r="AS564" s="408">
        <v>0</v>
      </c>
      <c r="AT564" s="408">
        <v>0</v>
      </c>
      <c r="AU564" s="408">
        <v>0</v>
      </c>
      <c r="AV564" s="408">
        <v>0</v>
      </c>
      <c r="AW564" s="408">
        <v>0</v>
      </c>
      <c r="AX564" s="408">
        <v>0</v>
      </c>
      <c r="AY564" s="408">
        <v>0</v>
      </c>
      <c r="AZ564" s="408">
        <v>0</v>
      </c>
      <c r="BA564" s="408"/>
      <c r="BB564" s="408">
        <v>0</v>
      </c>
      <c r="BC564" s="408">
        <v>0</v>
      </c>
      <c r="BD564" s="408">
        <v>0</v>
      </c>
      <c r="BE564" s="408">
        <v>0</v>
      </c>
      <c r="BF564" s="408">
        <v>0</v>
      </c>
      <c r="BG564" s="408">
        <v>2.8517935921864779</v>
      </c>
      <c r="BH564" s="408">
        <v>0</v>
      </c>
      <c r="BI564" s="408">
        <v>0</v>
      </c>
      <c r="BJ564" s="408">
        <v>0</v>
      </c>
      <c r="BK564" s="408">
        <v>0</v>
      </c>
      <c r="BL564" s="408">
        <v>0</v>
      </c>
      <c r="BM564" s="408"/>
      <c r="BN564" s="408"/>
      <c r="BO564" s="408"/>
      <c r="BP564" s="408"/>
      <c r="BQ564" s="408"/>
      <c r="BR564" s="408"/>
      <c r="BS564" s="408"/>
      <c r="BT564" s="408"/>
      <c r="BU564" s="408"/>
      <c r="BV564" s="408">
        <v>57.190403708901322</v>
      </c>
      <c r="BW564" s="408"/>
      <c r="BX564" s="408"/>
      <c r="BY564" s="408"/>
      <c r="BZ564" s="408"/>
      <c r="CA564" s="408"/>
      <c r="CB564" s="408"/>
      <c r="CC564" s="408"/>
      <c r="CD564" s="408"/>
      <c r="CE564" s="408"/>
      <c r="CF564" s="408"/>
      <c r="CG564" s="408"/>
      <c r="CH564" s="408"/>
      <c r="CI564" s="408">
        <v>197.78880000000001</v>
      </c>
      <c r="CJ564" s="408">
        <v>-18.252049999999969</v>
      </c>
      <c r="CK564" s="408"/>
      <c r="CL564" s="408"/>
      <c r="CM564" s="408"/>
      <c r="CN564" s="408"/>
      <c r="CO564" s="408">
        <v>-25.727349999999994</v>
      </c>
      <c r="CP564" s="408">
        <v>6.8872100000000014</v>
      </c>
      <c r="CQ564" s="408">
        <v>31</v>
      </c>
      <c r="CR564" s="408">
        <v>9.1570094098904065</v>
      </c>
      <c r="CS564" s="408">
        <v>0.25904799113676225</v>
      </c>
      <c r="CT564" s="408">
        <v>1.2078875952082075</v>
      </c>
      <c r="CU564" s="408">
        <v>0</v>
      </c>
      <c r="CV564" s="408">
        <v>0</v>
      </c>
      <c r="CW564" s="408">
        <v>0</v>
      </c>
      <c r="CX564" s="408">
        <v>0</v>
      </c>
      <c r="CY564" s="408">
        <v>0</v>
      </c>
      <c r="CZ564" s="408">
        <v>1.2114789038770359</v>
      </c>
      <c r="DA564" s="408">
        <v>0</v>
      </c>
      <c r="DB564" s="408">
        <v>0</v>
      </c>
      <c r="DC564" s="408">
        <v>6.8864323941635277</v>
      </c>
      <c r="DD564" s="408">
        <v>0</v>
      </c>
      <c r="DE564" s="408">
        <v>0</v>
      </c>
      <c r="DF564" s="408">
        <v>0</v>
      </c>
      <c r="DG564" s="408">
        <v>0.36141306766071501</v>
      </c>
      <c r="DH564" s="408">
        <v>0</v>
      </c>
      <c r="DI564" s="408">
        <v>-0.66667161389607088</v>
      </c>
      <c r="DJ564" s="408"/>
      <c r="DK564" s="408">
        <v>0</v>
      </c>
      <c r="DL564" s="408">
        <v>0</v>
      </c>
      <c r="DM564" s="408">
        <v>0</v>
      </c>
      <c r="DN564" s="408">
        <v>0</v>
      </c>
      <c r="DO564" s="408">
        <v>-9.1678062323437892E-2</v>
      </c>
      <c r="DP564" s="408">
        <v>-1.0900865936353921E-2</v>
      </c>
      <c r="DQ564" s="408">
        <v>0</v>
      </c>
      <c r="DR564" s="408">
        <v>0</v>
      </c>
      <c r="DS564" s="408"/>
      <c r="DT564" s="408"/>
      <c r="DU564" s="408"/>
      <c r="DV564" s="408">
        <v>112.70443641522138</v>
      </c>
      <c r="DW564" s="408">
        <v>0</v>
      </c>
      <c r="DX564" s="408">
        <v>0</v>
      </c>
      <c r="DY564" s="408">
        <v>-25.727350000000001</v>
      </c>
      <c r="DZ564" s="408">
        <v>6.8872100000000032</v>
      </c>
      <c r="EA564" s="408">
        <v>0</v>
      </c>
      <c r="EB564" s="408">
        <v>0</v>
      </c>
      <c r="EC564" s="408">
        <v>-27.997693761996331</v>
      </c>
      <c r="ED564" s="408">
        <v>0</v>
      </c>
      <c r="EE564" s="408">
        <v>0</v>
      </c>
      <c r="EF564" s="408">
        <v>0</v>
      </c>
      <c r="EG564" s="408">
        <v>0</v>
      </c>
      <c r="EH564" s="408">
        <v>0</v>
      </c>
      <c r="EI564" s="408">
        <v>0</v>
      </c>
      <c r="EJ564" s="408">
        <v>0</v>
      </c>
      <c r="EK564" s="408">
        <v>0</v>
      </c>
      <c r="EL564" s="408">
        <v>0</v>
      </c>
      <c r="EM564" s="408">
        <v>0</v>
      </c>
      <c r="EN564" s="408">
        <v>0</v>
      </c>
      <c r="EO564" s="408">
        <v>0</v>
      </c>
      <c r="EP564" s="408">
        <v>5.0138959382988553</v>
      </c>
      <c r="EQ564" s="408">
        <v>0</v>
      </c>
      <c r="ER564" s="408">
        <v>0</v>
      </c>
      <c r="ES564" s="408">
        <v>0</v>
      </c>
      <c r="ET564" s="408">
        <v>0</v>
      </c>
      <c r="EU564" s="408">
        <v>0</v>
      </c>
      <c r="EV564" s="408">
        <v>240</v>
      </c>
      <c r="EW564" s="408">
        <v>0</v>
      </c>
      <c r="EX564" s="408">
        <v>0</v>
      </c>
      <c r="EY564" s="408">
        <v>0</v>
      </c>
      <c r="EZ564" s="408"/>
      <c r="FA564" s="408">
        <v>0</v>
      </c>
      <c r="FB564" s="408"/>
      <c r="FC564" s="408"/>
      <c r="FD564" s="408"/>
      <c r="FE564" s="408"/>
      <c r="FF564" s="408">
        <v>0</v>
      </c>
      <c r="FG564" s="408">
        <v>0</v>
      </c>
      <c r="FH564" s="408">
        <v>0</v>
      </c>
      <c r="FI564" s="408">
        <v>0</v>
      </c>
    </row>
    <row r="565" spans="1:165">
      <c r="A565" s="408">
        <v>563</v>
      </c>
      <c r="B565" s="408" t="s">
        <v>1036</v>
      </c>
      <c r="C565" s="408" t="s">
        <v>2235</v>
      </c>
      <c r="D565" s="408" t="s">
        <v>1958</v>
      </c>
      <c r="E565" s="408" t="s">
        <v>970</v>
      </c>
      <c r="F565" s="408" t="s">
        <v>1322</v>
      </c>
      <c r="G565" s="408" t="s">
        <v>1322</v>
      </c>
      <c r="H565" s="408" t="s">
        <v>1322</v>
      </c>
      <c r="I565" s="408" t="s">
        <v>1322</v>
      </c>
      <c r="J565" s="408" t="s">
        <v>2236</v>
      </c>
      <c r="K565" s="826">
        <v>44621</v>
      </c>
      <c r="L565" s="408">
        <v>0</v>
      </c>
      <c r="M565" s="408">
        <v>0</v>
      </c>
      <c r="N565" s="408">
        <v>478.459</v>
      </c>
      <c r="O565" s="408">
        <v>478.459</v>
      </c>
      <c r="P565" s="408">
        <v>478.459</v>
      </c>
      <c r="Q565" s="408">
        <v>478.459</v>
      </c>
      <c r="R565" s="408"/>
      <c r="S565" s="408">
        <v>368.24</v>
      </c>
      <c r="T565" s="408">
        <v>173.25</v>
      </c>
      <c r="U565" s="408"/>
      <c r="V565" s="408">
        <v>259080.76390999998</v>
      </c>
      <c r="W565" s="408">
        <v>259080.76390999998</v>
      </c>
      <c r="X565" s="408">
        <v>243483.00050999998</v>
      </c>
      <c r="Y565" s="408">
        <v>0</v>
      </c>
      <c r="Z565" s="408">
        <v>29446.846808387563</v>
      </c>
      <c r="AA565" s="408">
        <v>0</v>
      </c>
      <c r="AB565" s="408">
        <v>0</v>
      </c>
      <c r="AC565" s="408">
        <v>1224.6336880635122</v>
      </c>
      <c r="AD565" s="408">
        <v>1176.5983647684266</v>
      </c>
      <c r="AE565" s="408">
        <v>112694.84810095653</v>
      </c>
      <c r="AF565" s="408">
        <v>81500.93121577827</v>
      </c>
      <c r="AG565" s="408">
        <v>1390.992047789236</v>
      </c>
      <c r="AH565" s="408">
        <v>0</v>
      </c>
      <c r="AI565" s="408">
        <v>0</v>
      </c>
      <c r="AJ565" s="408">
        <v>0</v>
      </c>
      <c r="AK565" s="408">
        <v>0</v>
      </c>
      <c r="AL565" s="408">
        <v>4549.6811174588383</v>
      </c>
      <c r="AM565" s="408"/>
      <c r="AN565" s="408">
        <v>577.9099156972726</v>
      </c>
      <c r="AO565" s="408">
        <v>2599.6570003788356</v>
      </c>
      <c r="AP565" s="408">
        <v>12121.817073262189</v>
      </c>
      <c r="AQ565" s="408">
        <v>0</v>
      </c>
      <c r="AR565" s="408">
        <v>0</v>
      </c>
      <c r="AS565" s="408">
        <v>0</v>
      </c>
      <c r="AT565" s="408">
        <v>0</v>
      </c>
      <c r="AU565" s="408">
        <v>0</v>
      </c>
      <c r="AV565" s="408">
        <v>0</v>
      </c>
      <c r="AW565" s="408">
        <v>0</v>
      </c>
      <c r="AX565" s="408">
        <v>0</v>
      </c>
      <c r="AY565" s="408">
        <v>0</v>
      </c>
      <c r="AZ565" s="408">
        <v>0</v>
      </c>
      <c r="BA565" s="408"/>
      <c r="BB565" s="408">
        <v>0</v>
      </c>
      <c r="BC565" s="408">
        <v>0</v>
      </c>
      <c r="BD565" s="408">
        <v>0</v>
      </c>
      <c r="BE565" s="408">
        <v>0</v>
      </c>
      <c r="BF565" s="408">
        <v>0</v>
      </c>
      <c r="BG565" s="408">
        <v>4277.32385681489</v>
      </c>
      <c r="BH565" s="408">
        <v>0</v>
      </c>
      <c r="BI565" s="408">
        <v>218.3</v>
      </c>
      <c r="BJ565" s="408">
        <v>2355.0100000000002</v>
      </c>
      <c r="BK565" s="408">
        <v>64826.97</v>
      </c>
      <c r="BL565" s="408">
        <v>293</v>
      </c>
      <c r="BM565" s="408"/>
      <c r="BN565" s="408"/>
      <c r="BO565" s="408"/>
      <c r="BP565" s="408"/>
      <c r="BQ565" s="408"/>
      <c r="BR565" s="408"/>
      <c r="BS565" s="408"/>
      <c r="BT565" s="408"/>
      <c r="BU565" s="408"/>
      <c r="BV565" s="408">
        <v>85778.255072593165</v>
      </c>
      <c r="BW565" s="408"/>
      <c r="BX565" s="408"/>
      <c r="BY565" s="408"/>
      <c r="BZ565" s="408"/>
      <c r="CA565" s="408"/>
      <c r="CB565" s="408"/>
      <c r="CC565" s="408"/>
      <c r="CD565" s="408"/>
      <c r="CE565" s="408"/>
      <c r="CF565" s="408"/>
      <c r="CG565" s="408"/>
      <c r="CH565" s="408"/>
      <c r="CI565" s="408">
        <v>243483.50940000001</v>
      </c>
      <c r="CJ565" s="408">
        <v>-15597.284509999998</v>
      </c>
      <c r="CK565" s="408"/>
      <c r="CL565" s="408"/>
      <c r="CM565" s="408"/>
      <c r="CN565" s="408"/>
      <c r="CO565" s="408">
        <v>-25927.693209999998</v>
      </c>
      <c r="CP565" s="408">
        <v>10329.929810000001</v>
      </c>
      <c r="CQ565" s="408">
        <v>31</v>
      </c>
      <c r="CR565" s="408">
        <v>12395.529597645887</v>
      </c>
      <c r="CS565" s="408">
        <v>259.05026347006742</v>
      </c>
      <c r="CT565" s="408">
        <v>1207.9131616620853</v>
      </c>
      <c r="CU565" s="408">
        <v>0</v>
      </c>
      <c r="CV565" s="408">
        <v>0</v>
      </c>
      <c r="CW565" s="408">
        <v>0</v>
      </c>
      <c r="CX565" s="408">
        <v>0</v>
      </c>
      <c r="CY565" s="408">
        <v>0</v>
      </c>
      <c r="CZ565" s="408">
        <v>1211.5064650854615</v>
      </c>
      <c r="DA565" s="408">
        <v>0</v>
      </c>
      <c r="DB565" s="408">
        <v>0</v>
      </c>
      <c r="DC565" s="408">
        <v>10328.763501188369</v>
      </c>
      <c r="DD565" s="408">
        <v>0</v>
      </c>
      <c r="DE565" s="408">
        <v>0</v>
      </c>
      <c r="DF565" s="408">
        <v>0</v>
      </c>
      <c r="DG565" s="408">
        <v>542.0731502817498</v>
      </c>
      <c r="DH565" s="408">
        <v>0</v>
      </c>
      <c r="DI565" s="408">
        <v>-999.9217357777452</v>
      </c>
      <c r="DJ565" s="408"/>
      <c r="DK565" s="408">
        <v>0</v>
      </c>
      <c r="DL565" s="408">
        <v>0</v>
      </c>
      <c r="DM565" s="408">
        <v>0</v>
      </c>
      <c r="DN565" s="408">
        <v>0</v>
      </c>
      <c r="DO565" s="408">
        <v>-137.5053104113158</v>
      </c>
      <c r="DP565" s="408">
        <v>-16.349897852796062</v>
      </c>
      <c r="DQ565" s="408">
        <v>0</v>
      </c>
      <c r="DR565" s="408">
        <v>0</v>
      </c>
      <c r="DS565" s="408"/>
      <c r="DT565" s="408"/>
      <c r="DU565" s="408"/>
      <c r="DV565" s="408">
        <v>112694.84810095653</v>
      </c>
      <c r="DW565" s="408">
        <v>0</v>
      </c>
      <c r="DX565" s="408">
        <v>0</v>
      </c>
      <c r="DY565" s="408">
        <v>-25927.693209999998</v>
      </c>
      <c r="DZ565" s="408">
        <v>10329.929810000001</v>
      </c>
      <c r="EA565" s="408">
        <v>0</v>
      </c>
      <c r="EB565" s="408">
        <v>0</v>
      </c>
      <c r="EC565" s="408">
        <v>-27995.311862090733</v>
      </c>
      <c r="ED565" s="408">
        <v>0</v>
      </c>
      <c r="EE565" s="408">
        <v>0</v>
      </c>
      <c r="EF565" s="408">
        <v>0</v>
      </c>
      <c r="EG565" s="408">
        <v>0</v>
      </c>
      <c r="EH565" s="408">
        <v>0</v>
      </c>
      <c r="EI565" s="408">
        <v>0</v>
      </c>
      <c r="EJ565" s="408">
        <v>0</v>
      </c>
      <c r="EK565" s="408">
        <v>0</v>
      </c>
      <c r="EL565" s="408">
        <v>0</v>
      </c>
      <c r="EM565" s="408">
        <v>0</v>
      </c>
      <c r="EN565" s="408">
        <v>0</v>
      </c>
      <c r="EO565" s="408">
        <v>0</v>
      </c>
      <c r="EP565" s="408">
        <v>7520.1994882211038</v>
      </c>
      <c r="EQ565" s="408">
        <v>0</v>
      </c>
      <c r="ER565" s="408">
        <v>0</v>
      </c>
      <c r="ES565" s="408">
        <v>0</v>
      </c>
      <c r="ET565" s="408">
        <v>0</v>
      </c>
      <c r="EU565" s="408">
        <v>0</v>
      </c>
      <c r="EV565" s="408">
        <v>240</v>
      </c>
      <c r="EW565" s="408">
        <v>0</v>
      </c>
      <c r="EX565" s="408">
        <v>0</v>
      </c>
      <c r="EY565" s="408">
        <v>0</v>
      </c>
      <c r="EZ565" s="408"/>
      <c r="FA565" s="408">
        <v>0</v>
      </c>
      <c r="FB565" s="408"/>
      <c r="FC565" s="408"/>
      <c r="FD565" s="408"/>
      <c r="FE565" s="408"/>
      <c r="FF565" s="408">
        <v>0</v>
      </c>
      <c r="FG565" s="408">
        <v>0</v>
      </c>
      <c r="FH565" s="408">
        <v>0</v>
      </c>
      <c r="FI565" s="408">
        <v>0</v>
      </c>
    </row>
    <row r="566" spans="1:165">
      <c r="A566" s="408">
        <v>564</v>
      </c>
      <c r="B566" s="408" t="s">
        <v>2238</v>
      </c>
      <c r="C566" s="408" t="s">
        <v>2235</v>
      </c>
      <c r="D566" s="408" t="s">
        <v>1958</v>
      </c>
      <c r="E566" s="408" t="s">
        <v>970</v>
      </c>
      <c r="F566" s="408" t="s">
        <v>1322</v>
      </c>
      <c r="G566" s="408" t="s">
        <v>1322</v>
      </c>
      <c r="H566" s="408" t="s">
        <v>1322</v>
      </c>
      <c r="I566" s="408" t="s">
        <v>1322</v>
      </c>
      <c r="J566" s="408" t="s">
        <v>2236</v>
      </c>
      <c r="K566" s="826">
        <v>44621</v>
      </c>
      <c r="L566" s="408">
        <v>0</v>
      </c>
      <c r="M566" s="408">
        <v>0</v>
      </c>
      <c r="N566" s="408">
        <v>47.143000000000001</v>
      </c>
      <c r="O566" s="408">
        <v>47.143000000000001</v>
      </c>
      <c r="P566" s="408">
        <v>47.143000000000001</v>
      </c>
      <c r="Q566" s="408">
        <v>47.143000000000001</v>
      </c>
      <c r="R566" s="408"/>
      <c r="S566" s="408">
        <v>368.24</v>
      </c>
      <c r="T566" s="408">
        <v>173.25</v>
      </c>
      <c r="U566" s="408"/>
      <c r="V566" s="408">
        <v>25527.463070000002</v>
      </c>
      <c r="W566" s="408">
        <v>25527.463070000002</v>
      </c>
      <c r="X566" s="408">
        <v>23990.601269999999</v>
      </c>
      <c r="Y566" s="408">
        <v>0</v>
      </c>
      <c r="Z566" s="408">
        <v>2901.424571567919</v>
      </c>
      <c r="AA566" s="408">
        <v>0</v>
      </c>
      <c r="AB566" s="408">
        <v>0</v>
      </c>
      <c r="AC566" s="408">
        <v>120.66426999257649</v>
      </c>
      <c r="AD566" s="408">
        <v>115.93130594320084</v>
      </c>
      <c r="AE566" s="408">
        <v>11103.925778433248</v>
      </c>
      <c r="AF566" s="408">
        <v>8030.3608048034112</v>
      </c>
      <c r="AG566" s="408">
        <v>137.05571033030617</v>
      </c>
      <c r="AH566" s="408">
        <v>0</v>
      </c>
      <c r="AI566" s="408">
        <v>0</v>
      </c>
      <c r="AJ566" s="408">
        <v>0</v>
      </c>
      <c r="AK566" s="408">
        <v>0</v>
      </c>
      <c r="AL566" s="408">
        <v>448.28421436395178</v>
      </c>
      <c r="AM566" s="408"/>
      <c r="AN566" s="408">
        <v>56.941989085201705</v>
      </c>
      <c r="AO566" s="408">
        <v>256.14656630737318</v>
      </c>
      <c r="AP566" s="408">
        <v>1194.3736501660528</v>
      </c>
      <c r="AQ566" s="408">
        <v>0</v>
      </c>
      <c r="AR566" s="408">
        <v>0</v>
      </c>
      <c r="AS566" s="408">
        <v>0</v>
      </c>
      <c r="AT566" s="408">
        <v>0</v>
      </c>
      <c r="AU566" s="408">
        <v>0</v>
      </c>
      <c r="AV566" s="408">
        <v>0</v>
      </c>
      <c r="AW566" s="408">
        <v>0</v>
      </c>
      <c r="AX566" s="408">
        <v>0</v>
      </c>
      <c r="AY566" s="408">
        <v>0</v>
      </c>
      <c r="AZ566" s="408">
        <v>0</v>
      </c>
      <c r="BA566" s="408"/>
      <c r="BB566" s="408">
        <v>0</v>
      </c>
      <c r="BC566" s="408">
        <v>0</v>
      </c>
      <c r="BD566" s="408">
        <v>0</v>
      </c>
      <c r="BE566" s="408">
        <v>0</v>
      </c>
      <c r="BF566" s="408">
        <v>0</v>
      </c>
      <c r="BG566" s="408">
        <v>421.44860600767123</v>
      </c>
      <c r="BH566" s="408">
        <v>0</v>
      </c>
      <c r="BI566" s="408">
        <v>22.24</v>
      </c>
      <c r="BJ566" s="408">
        <v>241.57</v>
      </c>
      <c r="BK566" s="408">
        <v>12314.53</v>
      </c>
      <c r="BL566" s="408">
        <v>57</v>
      </c>
      <c r="BM566" s="408"/>
      <c r="BN566" s="408"/>
      <c r="BO566" s="408"/>
      <c r="BP566" s="408"/>
      <c r="BQ566" s="408"/>
      <c r="BR566" s="408"/>
      <c r="BS566" s="408"/>
      <c r="BT566" s="408"/>
      <c r="BU566" s="408"/>
      <c r="BV566" s="408">
        <v>8451.8094108110818</v>
      </c>
      <c r="BW566" s="408"/>
      <c r="BX566" s="408"/>
      <c r="BY566" s="408"/>
      <c r="BZ566" s="408"/>
      <c r="CA566" s="408"/>
      <c r="CB566" s="408"/>
      <c r="CC566" s="408"/>
      <c r="CD566" s="408"/>
      <c r="CE566" s="408"/>
      <c r="CF566" s="408"/>
      <c r="CG566" s="408"/>
      <c r="CH566" s="408"/>
      <c r="CI566" s="408">
        <v>23989.0746</v>
      </c>
      <c r="CJ566" s="408">
        <v>-1538.4184699999969</v>
      </c>
      <c r="CK566" s="408"/>
      <c r="CL566" s="408"/>
      <c r="CM566" s="408"/>
      <c r="CN566" s="408"/>
      <c r="CO566" s="408">
        <v>-2554.6791699999999</v>
      </c>
      <c r="CP566" s="408">
        <v>1017.8173700000002</v>
      </c>
      <c r="CQ566" s="408">
        <v>31</v>
      </c>
      <c r="CR566" s="408">
        <v>1221.3427938900059</v>
      </c>
      <c r="CS566" s="408">
        <v>25.524457833940573</v>
      </c>
      <c r="CT566" s="408">
        <v>119.01678133389828</v>
      </c>
      <c r="CU566" s="408">
        <v>0</v>
      </c>
      <c r="CV566" s="408">
        <v>0</v>
      </c>
      <c r="CW566" s="408">
        <v>0</v>
      </c>
      <c r="CX566" s="408">
        <v>0</v>
      </c>
      <c r="CY566" s="408">
        <v>0</v>
      </c>
      <c r="CZ566" s="408">
        <v>119.3708327850953</v>
      </c>
      <c r="DA566" s="408">
        <v>0</v>
      </c>
      <c r="DB566" s="408">
        <v>0</v>
      </c>
      <c r="DC566" s="408">
        <v>1017.7024525330762</v>
      </c>
      <c r="DD566" s="408">
        <v>0</v>
      </c>
      <c r="DE566" s="408">
        <v>0</v>
      </c>
      <c r="DF566" s="408">
        <v>0</v>
      </c>
      <c r="DG566" s="408">
        <v>53.410960027363956</v>
      </c>
      <c r="DH566" s="408">
        <v>0</v>
      </c>
      <c r="DI566" s="408">
        <v>-98.523197159569008</v>
      </c>
      <c r="DJ566" s="408"/>
      <c r="DK566" s="408">
        <v>0</v>
      </c>
      <c r="DL566" s="408">
        <v>0</v>
      </c>
      <c r="DM566" s="408">
        <v>0</v>
      </c>
      <c r="DN566" s="408">
        <v>0</v>
      </c>
      <c r="DO566" s="408">
        <v>-13.548523172770615</v>
      </c>
      <c r="DP566" s="408">
        <v>-1.6109702910267458</v>
      </c>
      <c r="DQ566" s="408">
        <v>0</v>
      </c>
      <c r="DR566" s="408">
        <v>0</v>
      </c>
      <c r="DS566" s="408"/>
      <c r="DT566" s="408"/>
      <c r="DU566" s="408"/>
      <c r="DV566" s="408">
        <v>11103.925778433248</v>
      </c>
      <c r="DW566" s="408">
        <v>0</v>
      </c>
      <c r="DX566" s="408">
        <v>0</v>
      </c>
      <c r="DY566" s="408">
        <v>-2554.6791700000012</v>
      </c>
      <c r="DZ566" s="408">
        <v>1017.8173700000007</v>
      </c>
      <c r="EA566" s="408">
        <v>0</v>
      </c>
      <c r="EB566" s="408">
        <v>0</v>
      </c>
      <c r="EC566" s="408">
        <v>-2758.4035144381087</v>
      </c>
      <c r="ED566" s="408">
        <v>0</v>
      </c>
      <c r="EE566" s="408">
        <v>0</v>
      </c>
      <c r="EF566" s="408">
        <v>0</v>
      </c>
      <c r="EG566" s="408">
        <v>0</v>
      </c>
      <c r="EH566" s="408">
        <v>0</v>
      </c>
      <c r="EI566" s="408">
        <v>0</v>
      </c>
      <c r="EJ566" s="408">
        <v>0</v>
      </c>
      <c r="EK566" s="408">
        <v>0</v>
      </c>
      <c r="EL566" s="408">
        <v>0</v>
      </c>
      <c r="EM566" s="408">
        <v>0</v>
      </c>
      <c r="EN566" s="408">
        <v>0</v>
      </c>
      <c r="EO566" s="408">
        <v>0</v>
      </c>
      <c r="EP566" s="408">
        <v>740.97208846151398</v>
      </c>
      <c r="EQ566" s="408">
        <v>0</v>
      </c>
      <c r="ER566" s="408">
        <v>0</v>
      </c>
      <c r="ES566" s="408">
        <v>0</v>
      </c>
      <c r="ET566" s="408">
        <v>0</v>
      </c>
      <c r="EU566" s="408">
        <v>0</v>
      </c>
      <c r="EV566" s="408">
        <v>240</v>
      </c>
      <c r="EW566" s="408">
        <v>0</v>
      </c>
      <c r="EX566" s="408">
        <v>0</v>
      </c>
      <c r="EY566" s="408">
        <v>0</v>
      </c>
      <c r="EZ566" s="408"/>
      <c r="FA566" s="408">
        <v>0</v>
      </c>
      <c r="FB566" s="408"/>
      <c r="FC566" s="408"/>
      <c r="FD566" s="408"/>
      <c r="FE566" s="408"/>
      <c r="FF566" s="408">
        <v>0</v>
      </c>
      <c r="FG566" s="408">
        <v>0</v>
      </c>
      <c r="FH566" s="408">
        <v>0</v>
      </c>
      <c r="FI566" s="408">
        <v>0</v>
      </c>
    </row>
    <row r="567" spans="1:165">
      <c r="A567" s="408">
        <v>565</v>
      </c>
      <c r="B567" s="408" t="s">
        <v>1036</v>
      </c>
      <c r="C567" s="408" t="s">
        <v>2247</v>
      </c>
      <c r="D567" s="408" t="s">
        <v>597</v>
      </c>
      <c r="E567" s="408" t="s">
        <v>970</v>
      </c>
      <c r="F567" s="408" t="s">
        <v>1322</v>
      </c>
      <c r="G567" s="408" t="s">
        <v>1322</v>
      </c>
      <c r="H567" s="408" t="s">
        <v>1322</v>
      </c>
      <c r="I567" s="408" t="s">
        <v>973</v>
      </c>
      <c r="J567" s="408" t="s">
        <v>2236</v>
      </c>
      <c r="K567" s="826">
        <v>44621</v>
      </c>
      <c r="L567" s="408">
        <v>10563</v>
      </c>
      <c r="M567" s="408">
        <v>10563</v>
      </c>
      <c r="N567" s="408">
        <v>550.70100000000002</v>
      </c>
      <c r="O567" s="408">
        <v>550.70100000000002</v>
      </c>
      <c r="P567" s="408">
        <v>550.70100000000002</v>
      </c>
      <c r="Q567" s="408">
        <v>550.70100000000002</v>
      </c>
      <c r="R567" s="408">
        <v>52.95</v>
      </c>
      <c r="S567" s="408">
        <v>85.01</v>
      </c>
      <c r="T567" s="408">
        <v>173.25</v>
      </c>
      <c r="U567" s="408">
        <v>559310.85</v>
      </c>
      <c r="V567" s="408">
        <v>142224.04026000001</v>
      </c>
      <c r="W567" s="408">
        <v>701534.89026000001</v>
      </c>
      <c r="X567" s="408">
        <v>620876.59767000005</v>
      </c>
      <c r="Y567" s="408">
        <v>0</v>
      </c>
      <c r="Z567" s="408">
        <v>29486.904721776511</v>
      </c>
      <c r="AA567" s="408">
        <v>0</v>
      </c>
      <c r="AB567" s="408">
        <v>0</v>
      </c>
      <c r="AC567" s="408">
        <v>8320.1186352675704</v>
      </c>
      <c r="AD567" s="408">
        <v>7993.5687666190779</v>
      </c>
      <c r="AE567" s="408">
        <v>442945.8208646609</v>
      </c>
      <c r="AF567" s="408">
        <v>93806.667491802451</v>
      </c>
      <c r="AG567" s="408">
        <v>1601.0164125025972</v>
      </c>
      <c r="AH567" s="408">
        <v>0</v>
      </c>
      <c r="AI567" s="408">
        <v>0</v>
      </c>
      <c r="AJ567" s="408">
        <v>0</v>
      </c>
      <c r="AK567" s="408">
        <v>0</v>
      </c>
      <c r="AL567" s="408">
        <v>5236.6324827533808</v>
      </c>
      <c r="AM567" s="408"/>
      <c r="AN567" s="408">
        <v>441.00897552728838</v>
      </c>
      <c r="AO567" s="408">
        <v>17661.873473371845</v>
      </c>
      <c r="AP567" s="408">
        <v>82353.636377049188</v>
      </c>
      <c r="AQ567" s="408">
        <v>0</v>
      </c>
      <c r="AR567" s="408">
        <v>0</v>
      </c>
      <c r="AS567" s="408">
        <v>0</v>
      </c>
      <c r="AT567" s="408">
        <v>0</v>
      </c>
      <c r="AU567" s="408">
        <v>0</v>
      </c>
      <c r="AV567" s="408">
        <v>0</v>
      </c>
      <c r="AW567" s="408">
        <v>0</v>
      </c>
      <c r="AX567" s="408">
        <v>0</v>
      </c>
      <c r="AY567" s="408">
        <v>0</v>
      </c>
      <c r="AZ567" s="408">
        <v>0</v>
      </c>
      <c r="BA567" s="408"/>
      <c r="BB567" s="408">
        <v>0</v>
      </c>
      <c r="BC567" s="408">
        <v>0</v>
      </c>
      <c r="BD567" s="408">
        <v>0</v>
      </c>
      <c r="BE567" s="408">
        <v>0</v>
      </c>
      <c r="BF567" s="408">
        <v>0</v>
      </c>
      <c r="BG567" s="408">
        <v>4118.5036589175024</v>
      </c>
      <c r="BH567" s="408">
        <v>0</v>
      </c>
      <c r="BI567" s="408">
        <v>0</v>
      </c>
      <c r="BJ567" s="408">
        <v>0</v>
      </c>
      <c r="BK567" s="408">
        <v>0</v>
      </c>
      <c r="BL567" s="408">
        <v>0</v>
      </c>
      <c r="BM567" s="408"/>
      <c r="BN567" s="408"/>
      <c r="BO567" s="408"/>
      <c r="BP567" s="408"/>
      <c r="BQ567" s="408"/>
      <c r="BR567" s="408"/>
      <c r="BS567" s="408"/>
      <c r="BT567" s="408"/>
      <c r="BU567" s="408"/>
      <c r="BV567" s="408">
        <v>97925.171150719951</v>
      </c>
      <c r="BW567" s="408"/>
      <c r="BX567" s="408"/>
      <c r="BY567" s="408"/>
      <c r="BZ567" s="408"/>
      <c r="CA567" s="408"/>
      <c r="CB567" s="408"/>
      <c r="CC567" s="408"/>
      <c r="CD567" s="408"/>
      <c r="CE567" s="408"/>
      <c r="CF567" s="408"/>
      <c r="CG567" s="408"/>
      <c r="CH567" s="408"/>
      <c r="CI567" s="408">
        <v>620876.31900000002</v>
      </c>
      <c r="CJ567" s="408">
        <v>-80658.601260000025</v>
      </c>
      <c r="CK567" s="408"/>
      <c r="CL567" s="408"/>
      <c r="CM567" s="408"/>
      <c r="CN567" s="408"/>
      <c r="CO567" s="408">
        <v>-92547.927180000042</v>
      </c>
      <c r="CP567" s="408">
        <v>11889.634590000001</v>
      </c>
      <c r="CQ567" s="408">
        <v>31</v>
      </c>
      <c r="CR567" s="408">
        <v>29435.27096140536</v>
      </c>
      <c r="CS567" s="408">
        <v>1759.9679403803311</v>
      </c>
      <c r="CT567" s="408">
        <v>8206.3638388002437</v>
      </c>
      <c r="CU567" s="408">
        <v>0</v>
      </c>
      <c r="CV567" s="408">
        <v>0</v>
      </c>
      <c r="CW567" s="408">
        <v>0</v>
      </c>
      <c r="CX567" s="408">
        <v>0</v>
      </c>
      <c r="CY567" s="408">
        <v>0</v>
      </c>
      <c r="CZ567" s="408">
        <v>8230.7272641588715</v>
      </c>
      <c r="DA567" s="408">
        <v>0</v>
      </c>
      <c r="DB567" s="408">
        <v>0</v>
      </c>
      <c r="DC567" s="408">
        <v>11888.29218149923</v>
      </c>
      <c r="DD567" s="408">
        <v>0</v>
      </c>
      <c r="DE567" s="408">
        <v>0</v>
      </c>
      <c r="DF567" s="408">
        <v>0</v>
      </c>
      <c r="DG567" s="408">
        <v>521.94557334704496</v>
      </c>
      <c r="DH567" s="408">
        <v>0</v>
      </c>
      <c r="DI567" s="408">
        <v>-1001.2819757568286</v>
      </c>
      <c r="DJ567" s="408"/>
      <c r="DK567" s="408">
        <v>0</v>
      </c>
      <c r="DL567" s="408">
        <v>0</v>
      </c>
      <c r="DM567" s="408">
        <v>0</v>
      </c>
      <c r="DN567" s="408">
        <v>0</v>
      </c>
      <c r="DO567" s="408">
        <v>-158.26708651905847</v>
      </c>
      <c r="DP567" s="408">
        <v>-12.476774504444961</v>
      </c>
      <c r="DQ567" s="408">
        <v>0</v>
      </c>
      <c r="DR567" s="408">
        <v>0</v>
      </c>
      <c r="DS567" s="408"/>
      <c r="DT567" s="408"/>
      <c r="DU567" s="408">
        <v>442945.8208646609</v>
      </c>
      <c r="DV567" s="408">
        <v>0</v>
      </c>
      <c r="DW567" s="408">
        <v>0</v>
      </c>
      <c r="DX567" s="408">
        <v>0</v>
      </c>
      <c r="DY567" s="408">
        <v>-92547.927179999999</v>
      </c>
      <c r="DZ567" s="408">
        <v>11889.634590000001</v>
      </c>
      <c r="EA567" s="408">
        <v>0</v>
      </c>
      <c r="EB567" s="408">
        <v>0</v>
      </c>
      <c r="EC567" s="408">
        <v>-110035.25540055742</v>
      </c>
      <c r="ED567" s="408">
        <v>0</v>
      </c>
      <c r="EE567" s="408">
        <v>0</v>
      </c>
      <c r="EF567" s="408">
        <v>0</v>
      </c>
      <c r="EG567" s="408">
        <v>0</v>
      </c>
      <c r="EH567" s="408">
        <v>0</v>
      </c>
      <c r="EI567" s="408">
        <v>0</v>
      </c>
      <c r="EJ567" s="408">
        <v>0</v>
      </c>
      <c r="EK567" s="408">
        <v>0</v>
      </c>
      <c r="EL567" s="408">
        <v>0</v>
      </c>
      <c r="EM567" s="408">
        <v>0</v>
      </c>
      <c r="EN567" s="408">
        <v>0</v>
      </c>
      <c r="EO567" s="408">
        <v>0</v>
      </c>
      <c r="EP567" s="408">
        <v>7530.4295648648849</v>
      </c>
      <c r="EQ567" s="408">
        <v>0</v>
      </c>
      <c r="ER567" s="408">
        <v>0</v>
      </c>
      <c r="ES567" s="408">
        <v>0</v>
      </c>
      <c r="ET567" s="408">
        <v>0</v>
      </c>
      <c r="EU567" s="408">
        <v>0</v>
      </c>
      <c r="EV567" s="408">
        <v>240</v>
      </c>
      <c r="EW567" s="408">
        <v>0</v>
      </c>
      <c r="EX567" s="408">
        <v>0</v>
      </c>
      <c r="EY567" s="408">
        <v>0</v>
      </c>
      <c r="EZ567" s="408"/>
      <c r="FA567" s="408">
        <v>0</v>
      </c>
      <c r="FB567" s="408"/>
      <c r="FC567" s="408"/>
      <c r="FD567" s="408"/>
      <c r="FE567" s="408"/>
      <c r="FF567" s="408">
        <v>0</v>
      </c>
      <c r="FG567" s="408">
        <v>0</v>
      </c>
      <c r="FH567" s="408">
        <v>0</v>
      </c>
      <c r="FI567" s="408">
        <v>0</v>
      </c>
    </row>
    <row r="568" spans="1:165">
      <c r="A568" s="408">
        <v>566</v>
      </c>
      <c r="B568" s="408" t="s">
        <v>1036</v>
      </c>
      <c r="C568" s="408" t="s">
        <v>2247</v>
      </c>
      <c r="D568" s="408" t="s">
        <v>597</v>
      </c>
      <c r="E568" s="408" t="s">
        <v>970</v>
      </c>
      <c r="F568" s="408" t="s">
        <v>1322</v>
      </c>
      <c r="G568" s="408" t="s">
        <v>1322</v>
      </c>
      <c r="H568" s="408" t="s">
        <v>1322</v>
      </c>
      <c r="I568" s="408" t="s">
        <v>2244</v>
      </c>
      <c r="J568" s="408" t="s">
        <v>2236</v>
      </c>
      <c r="K568" s="826">
        <v>44621</v>
      </c>
      <c r="L568" s="408">
        <v>11369</v>
      </c>
      <c r="M568" s="408">
        <v>11369</v>
      </c>
      <c r="N568" s="408">
        <v>4772.8040000000001</v>
      </c>
      <c r="O568" s="408">
        <v>4772.8040000000001</v>
      </c>
      <c r="P568" s="408">
        <v>4772.8040000000001</v>
      </c>
      <c r="Q568" s="408">
        <v>4772.8040000000001</v>
      </c>
      <c r="R568" s="408">
        <v>27.19</v>
      </c>
      <c r="S568" s="408">
        <v>85.01</v>
      </c>
      <c r="T568" s="408">
        <v>173.25</v>
      </c>
      <c r="U568" s="408">
        <v>309123.11</v>
      </c>
      <c r="V568" s="408">
        <v>1232624.3610400001</v>
      </c>
      <c r="W568" s="408">
        <v>1541747.4710400002</v>
      </c>
      <c r="X568" s="408">
        <v>1577426.73068</v>
      </c>
      <c r="Y568" s="408">
        <v>0</v>
      </c>
      <c r="Z568" s="408">
        <v>255556.4940025782</v>
      </c>
      <c r="AA568" s="408">
        <v>0</v>
      </c>
      <c r="AB568" s="408">
        <v>0</v>
      </c>
      <c r="AC568" s="408">
        <v>2651.2577740579754</v>
      </c>
      <c r="AD568" s="408">
        <v>2547.0520888023507</v>
      </c>
      <c r="AE568" s="408">
        <v>272083.25183448032</v>
      </c>
      <c r="AF568" s="408">
        <v>813001.6793714643</v>
      </c>
      <c r="AG568" s="408">
        <v>13875.655823501402</v>
      </c>
      <c r="AH568" s="408">
        <v>0</v>
      </c>
      <c r="AI568" s="408">
        <v>0</v>
      </c>
      <c r="AJ568" s="408">
        <v>0</v>
      </c>
      <c r="AK568" s="408">
        <v>0</v>
      </c>
      <c r="AL568" s="408">
        <v>45384.737743739825</v>
      </c>
      <c r="AM568" s="408"/>
      <c r="AN568" s="408">
        <v>3822.1274383604605</v>
      </c>
      <c r="AO568" s="408">
        <v>5626.3456446674854</v>
      </c>
      <c r="AP568" s="408">
        <v>26240.662056197631</v>
      </c>
      <c r="AQ568" s="408">
        <v>0</v>
      </c>
      <c r="AR568" s="408">
        <v>0</v>
      </c>
      <c r="AS568" s="408">
        <v>0</v>
      </c>
      <c r="AT568" s="408">
        <v>0</v>
      </c>
      <c r="AU568" s="408">
        <v>0</v>
      </c>
      <c r="AV568" s="408">
        <v>0</v>
      </c>
      <c r="AW568" s="408">
        <v>0</v>
      </c>
      <c r="AX568" s="408">
        <v>0</v>
      </c>
      <c r="AY568" s="408">
        <v>0</v>
      </c>
      <c r="AZ568" s="408">
        <v>0</v>
      </c>
      <c r="BA568" s="408"/>
      <c r="BB568" s="408">
        <v>0</v>
      </c>
      <c r="BC568" s="408">
        <v>0</v>
      </c>
      <c r="BD568" s="408">
        <v>0</v>
      </c>
      <c r="BE568" s="408">
        <v>0</v>
      </c>
      <c r="BF568" s="408">
        <v>0</v>
      </c>
      <c r="BG568" s="408">
        <v>35694.162053993168</v>
      </c>
      <c r="BH568" s="408">
        <v>0</v>
      </c>
      <c r="BI568" s="408">
        <v>0</v>
      </c>
      <c r="BJ568" s="408">
        <v>0</v>
      </c>
      <c r="BK568" s="408">
        <v>0</v>
      </c>
      <c r="BL568" s="408">
        <v>0</v>
      </c>
      <c r="BM568" s="408"/>
      <c r="BN568" s="408"/>
      <c r="BO568" s="408"/>
      <c r="BP568" s="408"/>
      <c r="BQ568" s="408"/>
      <c r="BR568" s="408"/>
      <c r="BS568" s="408"/>
      <c r="BT568" s="408"/>
      <c r="BU568" s="408"/>
      <c r="BV568" s="408">
        <v>848695.8414254575</v>
      </c>
      <c r="BW568" s="408"/>
      <c r="BX568" s="408"/>
      <c r="BY568" s="408"/>
      <c r="BZ568" s="408"/>
      <c r="CA568" s="408"/>
      <c r="CB568" s="408"/>
      <c r="CC568" s="408"/>
      <c r="CD568" s="408"/>
      <c r="CE568" s="408"/>
      <c r="CF568" s="408"/>
      <c r="CG568" s="408"/>
      <c r="CH568" s="408"/>
      <c r="CI568" s="408">
        <v>1577425.6160000002</v>
      </c>
      <c r="CJ568" s="408">
        <v>35678.114959999919</v>
      </c>
      <c r="CK568" s="408"/>
      <c r="CL568" s="408"/>
      <c r="CM568" s="408"/>
      <c r="CN568" s="408"/>
      <c r="CO568" s="408">
        <v>-67365.578720000034</v>
      </c>
      <c r="CP568" s="408">
        <v>103044.83836000002</v>
      </c>
      <c r="CQ568" s="408">
        <v>31</v>
      </c>
      <c r="CR568" s="408">
        <v>103197.2007858546</v>
      </c>
      <c r="CS568" s="408">
        <v>560.65331750010682</v>
      </c>
      <c r="CT568" s="408">
        <v>2614.8258859905072</v>
      </c>
      <c r="CU568" s="408">
        <v>0</v>
      </c>
      <c r="CV568" s="408">
        <v>0</v>
      </c>
      <c r="CW568" s="408">
        <v>0</v>
      </c>
      <c r="CX568" s="408">
        <v>0</v>
      </c>
      <c r="CY568" s="408">
        <v>0</v>
      </c>
      <c r="CZ568" s="408">
        <v>2622.6197187523817</v>
      </c>
      <c r="DA568" s="408">
        <v>0</v>
      </c>
      <c r="DB568" s="408">
        <v>0</v>
      </c>
      <c r="DC568" s="408">
        <v>103033.20400185976</v>
      </c>
      <c r="DD568" s="408">
        <v>0</v>
      </c>
      <c r="DE568" s="408">
        <v>0</v>
      </c>
      <c r="DF568" s="408">
        <v>0</v>
      </c>
      <c r="DG568" s="408">
        <v>4523.5870649464414</v>
      </c>
      <c r="DH568" s="408">
        <v>0</v>
      </c>
      <c r="DI568" s="408">
        <v>-8677.889851335116</v>
      </c>
      <c r="DJ568" s="408"/>
      <c r="DK568" s="408">
        <v>0</v>
      </c>
      <c r="DL568" s="408">
        <v>0</v>
      </c>
      <c r="DM568" s="408">
        <v>0</v>
      </c>
      <c r="DN568" s="408">
        <v>0</v>
      </c>
      <c r="DO568" s="408">
        <v>-1371.6659014719553</v>
      </c>
      <c r="DP568" s="408">
        <v>-108.13345038762009</v>
      </c>
      <c r="DQ568" s="408">
        <v>0</v>
      </c>
      <c r="DR568" s="408">
        <v>0</v>
      </c>
      <c r="DS568" s="408"/>
      <c r="DT568" s="408"/>
      <c r="DU568" s="408">
        <v>272083.25183448032</v>
      </c>
      <c r="DV568" s="408">
        <v>0</v>
      </c>
      <c r="DW568" s="408">
        <v>0</v>
      </c>
      <c r="DX568" s="408">
        <v>0</v>
      </c>
      <c r="DY568" s="408">
        <v>-67365.57871999999</v>
      </c>
      <c r="DZ568" s="408">
        <v>103044.83835999994</v>
      </c>
      <c r="EA568" s="408">
        <v>0</v>
      </c>
      <c r="EB568" s="408">
        <v>0</v>
      </c>
      <c r="EC568" s="408">
        <v>-67590.094985835371</v>
      </c>
      <c r="ED568" s="408">
        <v>0</v>
      </c>
      <c r="EE568" s="408">
        <v>0</v>
      </c>
      <c r="EF568" s="408">
        <v>0</v>
      </c>
      <c r="EG568" s="408">
        <v>0</v>
      </c>
      <c r="EH568" s="408">
        <v>0</v>
      </c>
      <c r="EI568" s="408">
        <v>0</v>
      </c>
      <c r="EJ568" s="408">
        <v>0</v>
      </c>
      <c r="EK568" s="408">
        <v>0</v>
      </c>
      <c r="EL568" s="408">
        <v>0</v>
      </c>
      <c r="EM568" s="408">
        <v>0</v>
      </c>
      <c r="EN568" s="408">
        <v>0</v>
      </c>
      <c r="EO568" s="408">
        <v>0</v>
      </c>
      <c r="EP568" s="408">
        <v>65264.570699717959</v>
      </c>
      <c r="EQ568" s="408">
        <v>0</v>
      </c>
      <c r="ER568" s="408">
        <v>0</v>
      </c>
      <c r="ES568" s="408">
        <v>0</v>
      </c>
      <c r="ET568" s="408">
        <v>0</v>
      </c>
      <c r="EU568" s="408">
        <v>0</v>
      </c>
      <c r="EV568" s="408">
        <v>240</v>
      </c>
      <c r="EW568" s="408">
        <v>0</v>
      </c>
      <c r="EX568" s="408">
        <v>0</v>
      </c>
      <c r="EY568" s="408">
        <v>0</v>
      </c>
      <c r="EZ568" s="408"/>
      <c r="FA568" s="408">
        <v>0</v>
      </c>
      <c r="FB568" s="408"/>
      <c r="FC568" s="408"/>
      <c r="FD568" s="408"/>
      <c r="FE568" s="408"/>
      <c r="FF568" s="408">
        <v>0</v>
      </c>
      <c r="FG568" s="408">
        <v>0</v>
      </c>
      <c r="FH568" s="408">
        <v>0</v>
      </c>
      <c r="FI568" s="408">
        <v>0</v>
      </c>
    </row>
    <row r="569" spans="1:165">
      <c r="A569" s="408">
        <v>567</v>
      </c>
      <c r="B569" s="408" t="s">
        <v>1036</v>
      </c>
      <c r="C569" s="408" t="s">
        <v>2247</v>
      </c>
      <c r="D569" s="408" t="s">
        <v>597</v>
      </c>
      <c r="E569" s="408" t="s">
        <v>970</v>
      </c>
      <c r="F569" s="408" t="s">
        <v>1322</v>
      </c>
      <c r="G569" s="408" t="s">
        <v>1322</v>
      </c>
      <c r="H569" s="408" t="s">
        <v>1322</v>
      </c>
      <c r="I569" s="408" t="s">
        <v>1322</v>
      </c>
      <c r="J569" s="408" t="s">
        <v>2236</v>
      </c>
      <c r="K569" s="826">
        <v>44621</v>
      </c>
      <c r="L569" s="408">
        <v>0</v>
      </c>
      <c r="M569" s="408">
        <v>0</v>
      </c>
      <c r="N569" s="408">
        <v>0</v>
      </c>
      <c r="O569" s="408">
        <v>0</v>
      </c>
      <c r="P569" s="408">
        <v>0</v>
      </c>
      <c r="Q569" s="408">
        <v>0</v>
      </c>
      <c r="R569" s="408"/>
      <c r="S569" s="408"/>
      <c r="T569" s="408"/>
      <c r="U569" s="408"/>
      <c r="V569" s="408"/>
      <c r="W569" s="408"/>
      <c r="X569" s="408"/>
      <c r="Y569" s="408"/>
      <c r="Z569" s="408"/>
      <c r="AA569" s="408">
        <v>0</v>
      </c>
      <c r="AB569" s="408"/>
      <c r="AC569" s="408"/>
      <c r="AD569" s="408"/>
      <c r="AE569" s="408"/>
      <c r="AF569" s="408"/>
      <c r="AG569" s="408"/>
      <c r="AH569" s="408"/>
      <c r="AI569" s="408"/>
      <c r="AJ569" s="408"/>
      <c r="AK569" s="408"/>
      <c r="AL569" s="408"/>
      <c r="AM569" s="408"/>
      <c r="AN569" s="408"/>
      <c r="AO569" s="408"/>
      <c r="AP569" s="408"/>
      <c r="AQ569" s="408"/>
      <c r="AR569" s="408"/>
      <c r="AS569" s="408"/>
      <c r="AT569" s="408"/>
      <c r="AU569" s="408"/>
      <c r="AV569" s="408"/>
      <c r="AW569" s="408"/>
      <c r="AX569" s="408"/>
      <c r="AY569" s="408"/>
      <c r="AZ569" s="408">
        <v>0</v>
      </c>
      <c r="BA569" s="408"/>
      <c r="BB569" s="408"/>
      <c r="BC569" s="408"/>
      <c r="BD569" s="408"/>
      <c r="BE569" s="408"/>
      <c r="BF569" s="408"/>
      <c r="BG569" s="408"/>
      <c r="BH569" s="408"/>
      <c r="BI569" s="408">
        <v>2088.0100000000002</v>
      </c>
      <c r="BJ569" s="408">
        <v>22371.93</v>
      </c>
      <c r="BK569" s="408">
        <v>603223.43000000005</v>
      </c>
      <c r="BL569" s="408">
        <v>5</v>
      </c>
      <c r="BM569" s="408"/>
      <c r="BN569" s="408"/>
      <c r="BO569" s="408"/>
      <c r="BP569" s="408"/>
      <c r="BQ569" s="408"/>
      <c r="BR569" s="408"/>
      <c r="BS569" s="408"/>
      <c r="BT569" s="408"/>
      <c r="BU569" s="408"/>
      <c r="BV569" s="408"/>
      <c r="BW569" s="408"/>
      <c r="BX569" s="408"/>
      <c r="BY569" s="408"/>
      <c r="BZ569" s="408"/>
      <c r="CA569" s="408"/>
      <c r="CB569" s="408"/>
      <c r="CC569" s="408"/>
      <c r="CD569" s="408"/>
      <c r="CE569" s="408"/>
      <c r="CF569" s="408"/>
      <c r="CG569" s="408"/>
      <c r="CH569" s="408"/>
      <c r="CI569" s="408"/>
      <c r="CJ569" s="408">
        <v>-0.03</v>
      </c>
      <c r="CK569" s="408"/>
      <c r="CL569" s="408"/>
      <c r="CM569" s="408"/>
      <c r="CN569" s="408"/>
      <c r="CO569" s="408">
        <v>0</v>
      </c>
      <c r="CP569" s="408">
        <v>0</v>
      </c>
      <c r="CQ569" s="408">
        <v>31</v>
      </c>
      <c r="CR569" s="408"/>
      <c r="CS569" s="408"/>
      <c r="CT569" s="408"/>
      <c r="CU569" s="408"/>
      <c r="CV569" s="408"/>
      <c r="CW569" s="408"/>
      <c r="CX569" s="408"/>
      <c r="CY569" s="408"/>
      <c r="CZ569" s="408"/>
      <c r="DA569" s="408"/>
      <c r="DB569" s="408"/>
      <c r="DC569" s="408"/>
      <c r="DD569" s="408"/>
      <c r="DE569" s="408"/>
      <c r="DF569" s="408"/>
      <c r="DG569" s="408"/>
      <c r="DH569" s="408"/>
      <c r="DI569" s="408"/>
      <c r="DJ569" s="408"/>
      <c r="DK569" s="408">
        <v>0</v>
      </c>
      <c r="DL569" s="408"/>
      <c r="DM569" s="408"/>
      <c r="DN569" s="408"/>
      <c r="DO569" s="408"/>
      <c r="DP569" s="408"/>
      <c r="DQ569" s="408"/>
      <c r="DR569" s="408"/>
      <c r="DS569" s="408"/>
      <c r="DT569" s="408"/>
      <c r="DU569" s="408"/>
      <c r="DV569" s="408"/>
      <c r="DW569" s="408"/>
      <c r="DX569" s="408"/>
      <c r="DY569" s="408"/>
      <c r="DZ569" s="408"/>
      <c r="EA569" s="408"/>
      <c r="EB569" s="408"/>
      <c r="EC569" s="408"/>
      <c r="ED569" s="408"/>
      <c r="EE569" s="408"/>
      <c r="EF569" s="408"/>
      <c r="EG569" s="408"/>
      <c r="EH569" s="408"/>
      <c r="EI569" s="408"/>
      <c r="EJ569" s="408"/>
      <c r="EK569" s="408"/>
      <c r="EL569" s="408"/>
      <c r="EM569" s="408"/>
      <c r="EN569" s="408"/>
      <c r="EO569" s="408"/>
      <c r="EP569" s="408"/>
      <c r="EQ569" s="408"/>
      <c r="ER569" s="408"/>
      <c r="ES569" s="408"/>
      <c r="ET569" s="408"/>
      <c r="EU569" s="408"/>
      <c r="EV569" s="408">
        <v>240</v>
      </c>
      <c r="EW569" s="408"/>
      <c r="EX569" s="408"/>
      <c r="EY569" s="408"/>
      <c r="EZ569" s="408"/>
      <c r="FA569" s="408">
        <v>0</v>
      </c>
      <c r="FB569" s="408"/>
      <c r="FC569" s="408"/>
      <c r="FD569" s="408"/>
      <c r="FE569" s="408"/>
      <c r="FF569" s="408">
        <v>0</v>
      </c>
      <c r="FG569" s="408">
        <v>0</v>
      </c>
      <c r="FH569" s="408">
        <v>0</v>
      </c>
      <c r="FI569" s="408">
        <v>0</v>
      </c>
    </row>
    <row r="570" spans="1:165">
      <c r="A570" s="408">
        <v>568</v>
      </c>
      <c r="B570" s="408" t="s">
        <v>1036</v>
      </c>
      <c r="C570" s="408" t="s">
        <v>2243</v>
      </c>
      <c r="D570" s="408" t="s">
        <v>597</v>
      </c>
      <c r="E570" s="408" t="s">
        <v>970</v>
      </c>
      <c r="F570" s="408" t="s">
        <v>1322</v>
      </c>
      <c r="G570" s="408" t="s">
        <v>1322</v>
      </c>
      <c r="H570" s="408" t="s">
        <v>1322</v>
      </c>
      <c r="I570" s="408" t="s">
        <v>973</v>
      </c>
      <c r="J570" s="408" t="s">
        <v>2236</v>
      </c>
      <c r="K570" s="826">
        <v>44621</v>
      </c>
      <c r="L570" s="408">
        <v>0</v>
      </c>
      <c r="M570" s="408">
        <v>0</v>
      </c>
      <c r="N570" s="408">
        <v>184.07499999999999</v>
      </c>
      <c r="O570" s="408">
        <v>184.07499999999999</v>
      </c>
      <c r="P570" s="408">
        <v>184.07499999999999</v>
      </c>
      <c r="Q570" s="408">
        <v>184.07499999999999</v>
      </c>
      <c r="R570" s="408"/>
      <c r="S570" s="408">
        <v>1358.36</v>
      </c>
      <c r="T570" s="408">
        <v>173.25</v>
      </c>
      <c r="U570" s="408"/>
      <c r="V570" s="408">
        <v>281931.11074999999</v>
      </c>
      <c r="W570" s="408">
        <v>281931.11074999999</v>
      </c>
      <c r="X570" s="408">
        <v>247197.99899999995</v>
      </c>
      <c r="Y570" s="408">
        <v>0</v>
      </c>
      <c r="Z570" s="408">
        <v>9856.1687497589628</v>
      </c>
      <c r="AA570" s="408">
        <v>0</v>
      </c>
      <c r="AB570" s="408">
        <v>0</v>
      </c>
      <c r="AC570" s="408">
        <v>3486.7649103640283</v>
      </c>
      <c r="AD570" s="408">
        <v>3350.0095476619967</v>
      </c>
      <c r="AE570" s="408">
        <v>185641.05797002625</v>
      </c>
      <c r="AF570" s="408">
        <v>31355.422122991487</v>
      </c>
      <c r="AG570" s="408">
        <v>535.14901213438065</v>
      </c>
      <c r="AH570" s="408">
        <v>0</v>
      </c>
      <c r="AI570" s="408">
        <v>0</v>
      </c>
      <c r="AJ570" s="408">
        <v>0</v>
      </c>
      <c r="AK570" s="408">
        <v>0</v>
      </c>
      <c r="AL570" s="408">
        <v>1750.3747482986746</v>
      </c>
      <c r="AM570" s="408"/>
      <c r="AN570" s="408">
        <v>147.40980526671569</v>
      </c>
      <c r="AO570" s="408">
        <v>7401.807095248264</v>
      </c>
      <c r="AP570" s="408">
        <v>34513.344824437721</v>
      </c>
      <c r="AQ570" s="408">
        <v>0</v>
      </c>
      <c r="AR570" s="408">
        <v>0</v>
      </c>
      <c r="AS570" s="408">
        <v>0</v>
      </c>
      <c r="AT570" s="408">
        <v>0</v>
      </c>
      <c r="AU570" s="408">
        <v>0</v>
      </c>
      <c r="AV570" s="408">
        <v>0</v>
      </c>
      <c r="AW570" s="408">
        <v>0</v>
      </c>
      <c r="AX570" s="408">
        <v>0</v>
      </c>
      <c r="AY570" s="408">
        <v>0</v>
      </c>
      <c r="AZ570" s="408">
        <v>0</v>
      </c>
      <c r="BA570" s="408"/>
      <c r="BB570" s="408">
        <v>0</v>
      </c>
      <c r="BC570" s="408">
        <v>0</v>
      </c>
      <c r="BD570" s="408">
        <v>0</v>
      </c>
      <c r="BE570" s="408">
        <v>0</v>
      </c>
      <c r="BF570" s="408">
        <v>0</v>
      </c>
      <c r="BG570" s="408">
        <v>1376.6337105166674</v>
      </c>
      <c r="BH570" s="408">
        <v>0</v>
      </c>
      <c r="BI570" s="408">
        <v>0</v>
      </c>
      <c r="BJ570" s="408">
        <v>0</v>
      </c>
      <c r="BK570" s="408">
        <v>0</v>
      </c>
      <c r="BL570" s="408">
        <v>0</v>
      </c>
      <c r="BM570" s="408"/>
      <c r="BN570" s="408"/>
      <c r="BO570" s="408"/>
      <c r="BP570" s="408"/>
      <c r="BQ570" s="408"/>
      <c r="BR570" s="408"/>
      <c r="BS570" s="408"/>
      <c r="BT570" s="408"/>
      <c r="BU570" s="408"/>
      <c r="BV570" s="408">
        <v>32732.055833508155</v>
      </c>
      <c r="BW570" s="408"/>
      <c r="BX570" s="408"/>
      <c r="BY570" s="408"/>
      <c r="BZ570" s="408"/>
      <c r="CA570" s="408"/>
      <c r="CB570" s="408"/>
      <c r="CC570" s="408"/>
      <c r="CD570" s="408"/>
      <c r="CE570" s="408"/>
      <c r="CF570" s="408"/>
      <c r="CG570" s="408"/>
      <c r="CH570" s="408"/>
      <c r="CI570" s="408">
        <v>247204.71360000002</v>
      </c>
      <c r="CJ570" s="408">
        <v>-34726.427150000003</v>
      </c>
      <c r="CK570" s="408"/>
      <c r="CL570" s="408"/>
      <c r="CM570" s="408"/>
      <c r="CN570" s="408"/>
      <c r="CO570" s="408">
        <v>-38707.29099999999</v>
      </c>
      <c r="CP570" s="408">
        <v>3974.1792500000006</v>
      </c>
      <c r="CQ570" s="408">
        <v>31</v>
      </c>
      <c r="CR570" s="408">
        <v>11382.592596966861</v>
      </c>
      <c r="CS570" s="408">
        <v>737.57425610348946</v>
      </c>
      <c r="CT570" s="408">
        <v>3439.1810414609135</v>
      </c>
      <c r="CU570" s="408">
        <v>0</v>
      </c>
      <c r="CV570" s="408">
        <v>0</v>
      </c>
      <c r="CW570" s="408">
        <v>0</v>
      </c>
      <c r="CX570" s="408">
        <v>0</v>
      </c>
      <c r="CY570" s="408">
        <v>0</v>
      </c>
      <c r="CZ570" s="408">
        <v>3449.3998518256653</v>
      </c>
      <c r="DA570" s="408">
        <v>0</v>
      </c>
      <c r="DB570" s="408">
        <v>0</v>
      </c>
      <c r="DC570" s="408">
        <v>3973.7305421807287</v>
      </c>
      <c r="DD570" s="408">
        <v>0</v>
      </c>
      <c r="DE570" s="408">
        <v>0</v>
      </c>
      <c r="DF570" s="408">
        <v>0</v>
      </c>
      <c r="DG570" s="408">
        <v>174.46333203291306</v>
      </c>
      <c r="DH570" s="408">
        <v>0</v>
      </c>
      <c r="DI570" s="408">
        <v>-334.68430180340692</v>
      </c>
      <c r="DJ570" s="408"/>
      <c r="DK570" s="408">
        <v>0</v>
      </c>
      <c r="DL570" s="408">
        <v>0</v>
      </c>
      <c r="DM570" s="408">
        <v>0</v>
      </c>
      <c r="DN570" s="408">
        <v>0</v>
      </c>
      <c r="DO570" s="408">
        <v>-52.901690665162505</v>
      </c>
      <c r="DP570" s="408">
        <v>-4.1704341682795132</v>
      </c>
      <c r="DQ570" s="408">
        <v>0</v>
      </c>
      <c r="DR570" s="408">
        <v>0</v>
      </c>
      <c r="DS570" s="408"/>
      <c r="DT570" s="408"/>
      <c r="DU570" s="408"/>
      <c r="DV570" s="408">
        <v>185641.05797002625</v>
      </c>
      <c r="DW570" s="408">
        <v>0</v>
      </c>
      <c r="DX570" s="408">
        <v>0</v>
      </c>
      <c r="DY570" s="408">
        <v>-38707.290999999997</v>
      </c>
      <c r="DZ570" s="408">
        <v>3974.1792499999974</v>
      </c>
      <c r="EA570" s="408">
        <v>0</v>
      </c>
      <c r="EB570" s="408">
        <v>0</v>
      </c>
      <c r="EC570" s="408">
        <v>-46116.387748476176</v>
      </c>
      <c r="ED570" s="408">
        <v>0</v>
      </c>
      <c r="EE570" s="408">
        <v>0</v>
      </c>
      <c r="EF570" s="408">
        <v>0</v>
      </c>
      <c r="EG570" s="408">
        <v>0</v>
      </c>
      <c r="EH570" s="408">
        <v>0</v>
      </c>
      <c r="EI570" s="408">
        <v>0</v>
      </c>
      <c r="EJ570" s="408">
        <v>0</v>
      </c>
      <c r="EK570" s="408">
        <v>0</v>
      </c>
      <c r="EL570" s="408">
        <v>0</v>
      </c>
      <c r="EM570" s="408">
        <v>0</v>
      </c>
      <c r="EN570" s="408">
        <v>0</v>
      </c>
      <c r="EO570" s="408">
        <v>0</v>
      </c>
      <c r="EP570" s="408">
        <v>2517.089713206447</v>
      </c>
      <c r="EQ570" s="408">
        <v>0</v>
      </c>
      <c r="ER570" s="408">
        <v>0</v>
      </c>
      <c r="ES570" s="408">
        <v>0</v>
      </c>
      <c r="ET570" s="408">
        <v>0</v>
      </c>
      <c r="EU570" s="408">
        <v>0</v>
      </c>
      <c r="EV570" s="408">
        <v>240</v>
      </c>
      <c r="EW570" s="408">
        <v>0</v>
      </c>
      <c r="EX570" s="408">
        <v>0</v>
      </c>
      <c r="EY570" s="408">
        <v>0</v>
      </c>
      <c r="EZ570" s="408"/>
      <c r="FA570" s="408">
        <v>0</v>
      </c>
      <c r="FB570" s="408"/>
      <c r="FC570" s="408"/>
      <c r="FD570" s="408"/>
      <c r="FE570" s="408"/>
      <c r="FF570" s="408">
        <v>0</v>
      </c>
      <c r="FG570" s="408">
        <v>0</v>
      </c>
      <c r="FH570" s="408">
        <v>0</v>
      </c>
      <c r="FI570" s="408">
        <v>0</v>
      </c>
    </row>
    <row r="571" spans="1:165">
      <c r="A571" s="408">
        <v>569</v>
      </c>
      <c r="B571" s="408" t="s">
        <v>2238</v>
      </c>
      <c r="C571" s="408" t="s">
        <v>2243</v>
      </c>
      <c r="D571" s="408" t="s">
        <v>597</v>
      </c>
      <c r="E571" s="408" t="s">
        <v>970</v>
      </c>
      <c r="F571" s="408" t="s">
        <v>1322</v>
      </c>
      <c r="G571" s="408" t="s">
        <v>1322</v>
      </c>
      <c r="H571" s="408" t="s">
        <v>1322</v>
      </c>
      <c r="I571" s="408" t="s">
        <v>973</v>
      </c>
      <c r="J571" s="408" t="s">
        <v>2236</v>
      </c>
      <c r="K571" s="826">
        <v>44621</v>
      </c>
      <c r="L571" s="408">
        <v>0</v>
      </c>
      <c r="M571" s="408">
        <v>0</v>
      </c>
      <c r="N571" s="408">
        <v>0.27100000000000002</v>
      </c>
      <c r="O571" s="408">
        <v>0.27100000000000002</v>
      </c>
      <c r="P571" s="408">
        <v>0.27100000000000002</v>
      </c>
      <c r="Q571" s="408">
        <v>0.27100000000000002</v>
      </c>
      <c r="R571" s="408"/>
      <c r="S571" s="408">
        <v>1358.36</v>
      </c>
      <c r="T571" s="408">
        <v>173.25</v>
      </c>
      <c r="U571" s="408"/>
      <c r="V571" s="408">
        <v>415.06631000000004</v>
      </c>
      <c r="W571" s="408">
        <v>415.06631000000004</v>
      </c>
      <c r="X571" s="408">
        <v>363.93132000000003</v>
      </c>
      <c r="Y571" s="408">
        <v>0</v>
      </c>
      <c r="Z571" s="408">
        <v>14.510507842915548</v>
      </c>
      <c r="AA571" s="408">
        <v>0</v>
      </c>
      <c r="AB571" s="408">
        <v>0</v>
      </c>
      <c r="AC571" s="408">
        <v>5.1333059389306088</v>
      </c>
      <c r="AD571" s="408">
        <v>4.9319711390270342</v>
      </c>
      <c r="AE571" s="408">
        <v>273.30559125289756</v>
      </c>
      <c r="AF571" s="408">
        <v>46.162267528619829</v>
      </c>
      <c r="AG571" s="408">
        <v>0.78786028677667885</v>
      </c>
      <c r="AH571" s="408">
        <v>0</v>
      </c>
      <c r="AI571" s="408">
        <v>0</v>
      </c>
      <c r="AJ571" s="408">
        <v>0</v>
      </c>
      <c r="AK571" s="408">
        <v>0</v>
      </c>
      <c r="AL571" s="408">
        <v>2.5769472051551863</v>
      </c>
      <c r="AM571" s="408"/>
      <c r="AN571" s="408">
        <v>0.21702054720782268</v>
      </c>
      <c r="AO571" s="408">
        <v>10.897132814408691</v>
      </c>
      <c r="AP571" s="408">
        <v>50.811443419381362</v>
      </c>
      <c r="AQ571" s="408">
        <v>0</v>
      </c>
      <c r="AR571" s="408">
        <v>0</v>
      </c>
      <c r="AS571" s="408">
        <v>0</v>
      </c>
      <c r="AT571" s="408">
        <v>0</v>
      </c>
      <c r="AU571" s="408">
        <v>0</v>
      </c>
      <c r="AV571" s="408">
        <v>0</v>
      </c>
      <c r="AW571" s="408">
        <v>0</v>
      </c>
      <c r="AX571" s="408">
        <v>0</v>
      </c>
      <c r="AY571" s="408">
        <v>0</v>
      </c>
      <c r="AZ571" s="408">
        <v>0</v>
      </c>
      <c r="BA571" s="408"/>
      <c r="BB571" s="408">
        <v>0</v>
      </c>
      <c r="BC571" s="408">
        <v>0</v>
      </c>
      <c r="BD571" s="408">
        <v>0</v>
      </c>
      <c r="BE571" s="408">
        <v>0</v>
      </c>
      <c r="BF571" s="408">
        <v>0</v>
      </c>
      <c r="BG571" s="408">
        <v>2.0267159339943874</v>
      </c>
      <c r="BH571" s="408">
        <v>0</v>
      </c>
      <c r="BI571" s="408">
        <v>0</v>
      </c>
      <c r="BJ571" s="408">
        <v>0</v>
      </c>
      <c r="BK571" s="408">
        <v>0</v>
      </c>
      <c r="BL571" s="408">
        <v>0</v>
      </c>
      <c r="BM571" s="408"/>
      <c r="BN571" s="408"/>
      <c r="BO571" s="408"/>
      <c r="BP571" s="408"/>
      <c r="BQ571" s="408"/>
      <c r="BR571" s="408"/>
      <c r="BS571" s="408"/>
      <c r="BT571" s="408"/>
      <c r="BU571" s="408"/>
      <c r="BV571" s="408">
        <v>48.188983462614218</v>
      </c>
      <c r="BW571" s="408"/>
      <c r="BX571" s="408"/>
      <c r="BY571" s="408"/>
      <c r="BZ571" s="408"/>
      <c r="CA571" s="408"/>
      <c r="CB571" s="408"/>
      <c r="CC571" s="408"/>
      <c r="CD571" s="408"/>
      <c r="CE571" s="408"/>
      <c r="CF571" s="408"/>
      <c r="CG571" s="408"/>
      <c r="CH571" s="408"/>
      <c r="CI571" s="408">
        <v>362.58840000000004</v>
      </c>
      <c r="CJ571" s="408">
        <v>-52.507909999999981</v>
      </c>
      <c r="CK571" s="408"/>
      <c r="CL571" s="408"/>
      <c r="CM571" s="408"/>
      <c r="CN571" s="408"/>
      <c r="CO571" s="408">
        <v>-56.985879999999995</v>
      </c>
      <c r="CP571" s="408">
        <v>5.8508900000000015</v>
      </c>
      <c r="CQ571" s="408">
        <v>31</v>
      </c>
      <c r="CR571" s="408">
        <v>16.757748709917252</v>
      </c>
      <c r="CS571" s="408">
        <v>1.0858759929596395</v>
      </c>
      <c r="CT571" s="408">
        <v>5.063251730196427</v>
      </c>
      <c r="CU571" s="408">
        <v>0</v>
      </c>
      <c r="CV571" s="408">
        <v>0</v>
      </c>
      <c r="CW571" s="408">
        <v>0</v>
      </c>
      <c r="CX571" s="408">
        <v>0</v>
      </c>
      <c r="CY571" s="408">
        <v>0</v>
      </c>
      <c r="CZ571" s="408">
        <v>5.0782961284517469</v>
      </c>
      <c r="DA571" s="408">
        <v>0</v>
      </c>
      <c r="DB571" s="408">
        <v>0</v>
      </c>
      <c r="DC571" s="408">
        <v>5.8502294006843769</v>
      </c>
      <c r="DD571" s="408">
        <v>0</v>
      </c>
      <c r="DE571" s="408">
        <v>0</v>
      </c>
      <c r="DF571" s="408">
        <v>0</v>
      </c>
      <c r="DG571" s="408">
        <v>0.25684945256509328</v>
      </c>
      <c r="DH571" s="408">
        <v>0</v>
      </c>
      <c r="DI571" s="408">
        <v>-0.49273092917953853</v>
      </c>
      <c r="DJ571" s="408"/>
      <c r="DK571" s="408">
        <v>0</v>
      </c>
      <c r="DL571" s="408">
        <v>0</v>
      </c>
      <c r="DM571" s="408">
        <v>0</v>
      </c>
      <c r="DN571" s="408">
        <v>0</v>
      </c>
      <c r="DO571" s="408">
        <v>-7.7883244168186927E-2</v>
      </c>
      <c r="DP571" s="408">
        <v>-6.1398215923061383E-3</v>
      </c>
      <c r="DQ571" s="408">
        <v>0</v>
      </c>
      <c r="DR571" s="408">
        <v>0</v>
      </c>
      <c r="DS571" s="408"/>
      <c r="DT571" s="408"/>
      <c r="DU571" s="408"/>
      <c r="DV571" s="408">
        <v>273.30559125289756</v>
      </c>
      <c r="DW571" s="408">
        <v>0</v>
      </c>
      <c r="DX571" s="408">
        <v>0</v>
      </c>
      <c r="DY571" s="408">
        <v>-56.985880000000009</v>
      </c>
      <c r="DZ571" s="408">
        <v>5.8508899999999997</v>
      </c>
      <c r="EA571" s="408">
        <v>0</v>
      </c>
      <c r="EB571" s="408">
        <v>0</v>
      </c>
      <c r="EC571" s="408">
        <v>-67.893744831384168</v>
      </c>
      <c r="ED571" s="408">
        <v>0</v>
      </c>
      <c r="EE571" s="408">
        <v>0</v>
      </c>
      <c r="EF571" s="408">
        <v>0</v>
      </c>
      <c r="EG571" s="408">
        <v>0</v>
      </c>
      <c r="EH571" s="408">
        <v>0</v>
      </c>
      <c r="EI571" s="408">
        <v>0</v>
      </c>
      <c r="EJ571" s="408">
        <v>0</v>
      </c>
      <c r="EK571" s="408">
        <v>0</v>
      </c>
      <c r="EL571" s="408">
        <v>0</v>
      </c>
      <c r="EM571" s="408">
        <v>0</v>
      </c>
      <c r="EN571" s="408">
        <v>0</v>
      </c>
      <c r="EO571" s="408">
        <v>0</v>
      </c>
      <c r="EP571" s="408">
        <v>3.7057249071245266</v>
      </c>
      <c r="EQ571" s="408">
        <v>0</v>
      </c>
      <c r="ER571" s="408">
        <v>0</v>
      </c>
      <c r="ES571" s="408">
        <v>0</v>
      </c>
      <c r="ET571" s="408">
        <v>0</v>
      </c>
      <c r="EU571" s="408">
        <v>0</v>
      </c>
      <c r="EV571" s="408">
        <v>240</v>
      </c>
      <c r="EW571" s="408">
        <v>0</v>
      </c>
      <c r="EX571" s="408">
        <v>0</v>
      </c>
      <c r="EY571" s="408">
        <v>0</v>
      </c>
      <c r="EZ571" s="408"/>
      <c r="FA571" s="408">
        <v>0</v>
      </c>
      <c r="FB571" s="408"/>
      <c r="FC571" s="408"/>
      <c r="FD571" s="408"/>
      <c r="FE571" s="408"/>
      <c r="FF571" s="408">
        <v>0</v>
      </c>
      <c r="FG571" s="408">
        <v>0</v>
      </c>
      <c r="FH571" s="408">
        <v>0</v>
      </c>
      <c r="FI571" s="408">
        <v>0</v>
      </c>
    </row>
    <row r="572" spans="1:165">
      <c r="A572" s="408">
        <v>570</v>
      </c>
      <c r="B572" s="408" t="s">
        <v>1036</v>
      </c>
      <c r="C572" s="408" t="s">
        <v>2243</v>
      </c>
      <c r="D572" s="408" t="s">
        <v>597</v>
      </c>
      <c r="E572" s="408" t="s">
        <v>970</v>
      </c>
      <c r="F572" s="408" t="s">
        <v>1322</v>
      </c>
      <c r="G572" s="408" t="s">
        <v>1322</v>
      </c>
      <c r="H572" s="408" t="s">
        <v>1322</v>
      </c>
      <c r="I572" s="408" t="s">
        <v>2244</v>
      </c>
      <c r="J572" s="408" t="s">
        <v>2236</v>
      </c>
      <c r="K572" s="826">
        <v>44621</v>
      </c>
      <c r="L572" s="408">
        <v>0</v>
      </c>
      <c r="M572" s="408">
        <v>0</v>
      </c>
      <c r="N572" s="408">
        <v>3391.9160000000002</v>
      </c>
      <c r="O572" s="408">
        <v>3391.9160000000002</v>
      </c>
      <c r="P572" s="408">
        <v>3391.9160000000002</v>
      </c>
      <c r="Q572" s="408">
        <v>3391.9160000000002</v>
      </c>
      <c r="R572" s="408"/>
      <c r="S572" s="408">
        <v>85.01</v>
      </c>
      <c r="T572" s="408">
        <v>173.25</v>
      </c>
      <c r="U572" s="408"/>
      <c r="V572" s="408">
        <v>875996.22616000008</v>
      </c>
      <c r="W572" s="408">
        <v>875996.22616000008</v>
      </c>
      <c r="X572" s="408">
        <v>945225.23172000004</v>
      </c>
      <c r="Y572" s="408">
        <v>0</v>
      </c>
      <c r="Z572" s="408">
        <v>181617.79970668166</v>
      </c>
      <c r="AA572" s="408">
        <v>0</v>
      </c>
      <c r="AB572" s="408">
        <v>0</v>
      </c>
      <c r="AC572" s="408">
        <v>0</v>
      </c>
      <c r="AD572" s="408">
        <v>0</v>
      </c>
      <c r="AE572" s="408">
        <v>0</v>
      </c>
      <c r="AF572" s="408">
        <v>577780.56762585253</v>
      </c>
      <c r="AG572" s="408">
        <v>9861.0919279793561</v>
      </c>
      <c r="AH572" s="408">
        <v>0</v>
      </c>
      <c r="AI572" s="408">
        <v>0</v>
      </c>
      <c r="AJ572" s="408">
        <v>0</v>
      </c>
      <c r="AK572" s="408">
        <v>0</v>
      </c>
      <c r="AL572" s="408">
        <v>32253.831942144498</v>
      </c>
      <c r="AM572" s="408"/>
      <c r="AN572" s="408">
        <v>2716.2932339592953</v>
      </c>
      <c r="AO572" s="408">
        <v>0</v>
      </c>
      <c r="AP572" s="408">
        <v>0</v>
      </c>
      <c r="AQ572" s="408">
        <v>0</v>
      </c>
      <c r="AR572" s="408">
        <v>0</v>
      </c>
      <c r="AS572" s="408">
        <v>0</v>
      </c>
      <c r="AT572" s="408">
        <v>0</v>
      </c>
      <c r="AU572" s="408">
        <v>0</v>
      </c>
      <c r="AV572" s="408">
        <v>0</v>
      </c>
      <c r="AW572" s="408">
        <v>0</v>
      </c>
      <c r="AX572" s="408">
        <v>0</v>
      </c>
      <c r="AY572" s="408">
        <v>0</v>
      </c>
      <c r="AZ572" s="408">
        <v>0</v>
      </c>
      <c r="BA572" s="408"/>
      <c r="BB572" s="408">
        <v>0</v>
      </c>
      <c r="BC572" s="408">
        <v>0</v>
      </c>
      <c r="BD572" s="408">
        <v>0</v>
      </c>
      <c r="BE572" s="408">
        <v>0</v>
      </c>
      <c r="BF572" s="408">
        <v>0</v>
      </c>
      <c r="BG572" s="408">
        <v>25366.974922400394</v>
      </c>
      <c r="BH572" s="408">
        <v>0</v>
      </c>
      <c r="BI572" s="408">
        <v>0</v>
      </c>
      <c r="BJ572" s="408">
        <v>0</v>
      </c>
      <c r="BK572" s="408">
        <v>0</v>
      </c>
      <c r="BL572" s="408">
        <v>0</v>
      </c>
      <c r="BM572" s="408"/>
      <c r="BN572" s="408"/>
      <c r="BO572" s="408"/>
      <c r="BP572" s="408"/>
      <c r="BQ572" s="408"/>
      <c r="BR572" s="408"/>
      <c r="BS572" s="408"/>
      <c r="BT572" s="408"/>
      <c r="BU572" s="408"/>
      <c r="BV572" s="408">
        <v>603147.54254825297</v>
      </c>
      <c r="BW572" s="408"/>
      <c r="BX572" s="408"/>
      <c r="BY572" s="408"/>
      <c r="BZ572" s="408"/>
      <c r="CA572" s="408"/>
      <c r="CB572" s="408"/>
      <c r="CC572" s="408"/>
      <c r="CD572" s="408"/>
      <c r="CE572" s="408"/>
      <c r="CF572" s="408"/>
      <c r="CG572" s="408"/>
      <c r="CH572" s="408"/>
      <c r="CI572" s="408">
        <v>945226.34640000015</v>
      </c>
      <c r="CJ572" s="408">
        <v>69230.090240000049</v>
      </c>
      <c r="CK572" s="408"/>
      <c r="CL572" s="408"/>
      <c r="CM572" s="408"/>
      <c r="CN572" s="408"/>
      <c r="CO572" s="408">
        <v>-4002.4608800000233</v>
      </c>
      <c r="CP572" s="408">
        <v>73231.466440000018</v>
      </c>
      <c r="CQ572" s="408">
        <v>31</v>
      </c>
      <c r="CR572" s="408">
        <v>69219.178494824795</v>
      </c>
      <c r="CS572" s="408">
        <v>0</v>
      </c>
      <c r="CT572" s="408">
        <v>0</v>
      </c>
      <c r="CU572" s="408">
        <v>0</v>
      </c>
      <c r="CV572" s="408">
        <v>0</v>
      </c>
      <c r="CW572" s="408">
        <v>0</v>
      </c>
      <c r="CX572" s="408">
        <v>0</v>
      </c>
      <c r="CY572" s="408">
        <v>0</v>
      </c>
      <c r="CZ572" s="408">
        <v>0</v>
      </c>
      <c r="DA572" s="408">
        <v>0</v>
      </c>
      <c r="DB572" s="408">
        <v>0</v>
      </c>
      <c r="DC572" s="408">
        <v>73223.19818395481</v>
      </c>
      <c r="DD572" s="408">
        <v>0</v>
      </c>
      <c r="DE572" s="408">
        <v>0</v>
      </c>
      <c r="DF572" s="408">
        <v>0</v>
      </c>
      <c r="DG572" s="408">
        <v>3214.8035710213298</v>
      </c>
      <c r="DH572" s="408">
        <v>0</v>
      </c>
      <c r="DI572" s="408">
        <v>-6167.1657652359572</v>
      </c>
      <c r="DJ572" s="408"/>
      <c r="DK572" s="408">
        <v>0</v>
      </c>
      <c r="DL572" s="408">
        <v>0</v>
      </c>
      <c r="DM572" s="408">
        <v>0</v>
      </c>
      <c r="DN572" s="408">
        <v>0</v>
      </c>
      <c r="DO572" s="408">
        <v>-974.80967537262404</v>
      </c>
      <c r="DP572" s="408">
        <v>-76.847819542762409</v>
      </c>
      <c r="DQ572" s="408">
        <v>0</v>
      </c>
      <c r="DR572" s="408">
        <v>0</v>
      </c>
      <c r="DS572" s="408"/>
      <c r="DT572" s="408"/>
      <c r="DU572" s="408"/>
      <c r="DV572" s="408">
        <v>0</v>
      </c>
      <c r="DW572" s="408">
        <v>0</v>
      </c>
      <c r="DX572" s="408">
        <v>0</v>
      </c>
      <c r="DY572" s="408">
        <v>-4002.4608800000278</v>
      </c>
      <c r="DZ572" s="408">
        <v>73231.466439999989</v>
      </c>
      <c r="EA572" s="408">
        <v>0</v>
      </c>
      <c r="EB572" s="408">
        <v>0</v>
      </c>
      <c r="EC572" s="408">
        <v>0</v>
      </c>
      <c r="ED572" s="408">
        <v>0</v>
      </c>
      <c r="EE572" s="408">
        <v>0</v>
      </c>
      <c r="EF572" s="408">
        <v>0</v>
      </c>
      <c r="EG572" s="408">
        <v>0</v>
      </c>
      <c r="EH572" s="408">
        <v>0</v>
      </c>
      <c r="EI572" s="408">
        <v>0</v>
      </c>
      <c r="EJ572" s="408">
        <v>0</v>
      </c>
      <c r="EK572" s="408">
        <v>0</v>
      </c>
      <c r="EL572" s="408">
        <v>0</v>
      </c>
      <c r="EM572" s="408">
        <v>0</v>
      </c>
      <c r="EN572" s="408">
        <v>0</v>
      </c>
      <c r="EO572" s="408">
        <v>0</v>
      </c>
      <c r="EP572" s="408">
        <v>46381.946878502567</v>
      </c>
      <c r="EQ572" s="408">
        <v>0</v>
      </c>
      <c r="ER572" s="408">
        <v>0</v>
      </c>
      <c r="ES572" s="408">
        <v>0</v>
      </c>
      <c r="ET572" s="408">
        <v>0</v>
      </c>
      <c r="EU572" s="408">
        <v>0</v>
      </c>
      <c r="EV572" s="408">
        <v>240</v>
      </c>
      <c r="EW572" s="408">
        <v>0</v>
      </c>
      <c r="EX572" s="408">
        <v>0</v>
      </c>
      <c r="EY572" s="408">
        <v>0</v>
      </c>
      <c r="EZ572" s="408"/>
      <c r="FA572" s="408">
        <v>0</v>
      </c>
      <c r="FB572" s="408"/>
      <c r="FC572" s="408"/>
      <c r="FD572" s="408"/>
      <c r="FE572" s="408"/>
      <c r="FF572" s="408">
        <v>0</v>
      </c>
      <c r="FG572" s="408">
        <v>0</v>
      </c>
      <c r="FH572" s="408">
        <v>0</v>
      </c>
      <c r="FI572" s="408">
        <v>0</v>
      </c>
    </row>
    <row r="573" spans="1:165">
      <c r="A573" s="408">
        <v>571</v>
      </c>
      <c r="B573" s="408" t="s">
        <v>2238</v>
      </c>
      <c r="C573" s="408" t="s">
        <v>2243</v>
      </c>
      <c r="D573" s="408" t="s">
        <v>597</v>
      </c>
      <c r="E573" s="408" t="s">
        <v>970</v>
      </c>
      <c r="F573" s="408" t="s">
        <v>1322</v>
      </c>
      <c r="G573" s="408" t="s">
        <v>1322</v>
      </c>
      <c r="H573" s="408" t="s">
        <v>1322</v>
      </c>
      <c r="I573" s="408" t="s">
        <v>2244</v>
      </c>
      <c r="J573" s="408" t="s">
        <v>2236</v>
      </c>
      <c r="K573" s="826">
        <v>44621</v>
      </c>
      <c r="L573" s="408">
        <v>0</v>
      </c>
      <c r="M573" s="408">
        <v>0</v>
      </c>
      <c r="N573" s="408">
        <v>0.59</v>
      </c>
      <c r="O573" s="408">
        <v>0.59</v>
      </c>
      <c r="P573" s="408">
        <v>0.59</v>
      </c>
      <c r="Q573" s="408">
        <v>0.59</v>
      </c>
      <c r="R573" s="408"/>
      <c r="S573" s="408">
        <v>85.01</v>
      </c>
      <c r="T573" s="408">
        <v>173.25</v>
      </c>
      <c r="U573" s="408"/>
      <c r="V573" s="408">
        <v>152.3734</v>
      </c>
      <c r="W573" s="408">
        <v>152.3734</v>
      </c>
      <c r="X573" s="408">
        <v>164.4153</v>
      </c>
      <c r="Y573" s="408">
        <v>0</v>
      </c>
      <c r="Z573" s="408">
        <v>31.591142536236799</v>
      </c>
      <c r="AA573" s="408">
        <v>0</v>
      </c>
      <c r="AB573" s="408">
        <v>0</v>
      </c>
      <c r="AC573" s="408">
        <v>0</v>
      </c>
      <c r="AD573" s="408">
        <v>0</v>
      </c>
      <c r="AE573" s="408">
        <v>0</v>
      </c>
      <c r="AF573" s="408">
        <v>100.50087764533467</v>
      </c>
      <c r="AG573" s="408">
        <v>1.7152677830193375</v>
      </c>
      <c r="AH573" s="408">
        <v>0</v>
      </c>
      <c r="AI573" s="408">
        <v>0</v>
      </c>
      <c r="AJ573" s="408">
        <v>0</v>
      </c>
      <c r="AK573" s="408">
        <v>0</v>
      </c>
      <c r="AL573" s="408">
        <v>5.6103278636219915</v>
      </c>
      <c r="AM573" s="408"/>
      <c r="AN573" s="408">
        <v>0.47248015812773198</v>
      </c>
      <c r="AO573" s="408">
        <v>0</v>
      </c>
      <c r="AP573" s="408">
        <v>0</v>
      </c>
      <c r="AQ573" s="408">
        <v>0</v>
      </c>
      <c r="AR573" s="408">
        <v>0</v>
      </c>
      <c r="AS573" s="408">
        <v>0</v>
      </c>
      <c r="AT573" s="408">
        <v>0</v>
      </c>
      <c r="AU573" s="408">
        <v>0</v>
      </c>
      <c r="AV573" s="408">
        <v>0</v>
      </c>
      <c r="AW573" s="408">
        <v>0</v>
      </c>
      <c r="AX573" s="408">
        <v>0</v>
      </c>
      <c r="AY573" s="408">
        <v>0</v>
      </c>
      <c r="AZ573" s="408">
        <v>0</v>
      </c>
      <c r="BA573" s="408"/>
      <c r="BB573" s="408">
        <v>0</v>
      </c>
      <c r="BC573" s="408">
        <v>0</v>
      </c>
      <c r="BD573" s="408">
        <v>0</v>
      </c>
      <c r="BE573" s="408">
        <v>0</v>
      </c>
      <c r="BF573" s="408">
        <v>0</v>
      </c>
      <c r="BG573" s="408">
        <v>4.4124073839730205</v>
      </c>
      <c r="BH573" s="408">
        <v>0</v>
      </c>
      <c r="BI573" s="408">
        <v>0</v>
      </c>
      <c r="BJ573" s="408">
        <v>0</v>
      </c>
      <c r="BK573" s="408">
        <v>0</v>
      </c>
      <c r="BL573" s="408">
        <v>0</v>
      </c>
      <c r="BM573" s="408"/>
      <c r="BN573" s="408"/>
      <c r="BO573" s="408"/>
      <c r="BP573" s="408"/>
      <c r="BQ573" s="408"/>
      <c r="BR573" s="408"/>
      <c r="BS573" s="408"/>
      <c r="BT573" s="408"/>
      <c r="BU573" s="408"/>
      <c r="BV573" s="408">
        <v>104.91328502930769</v>
      </c>
      <c r="BW573" s="408"/>
      <c r="BX573" s="408"/>
      <c r="BY573" s="408"/>
      <c r="BZ573" s="408"/>
      <c r="CA573" s="408"/>
      <c r="CB573" s="408"/>
      <c r="CC573" s="408"/>
      <c r="CD573" s="408"/>
      <c r="CE573" s="408"/>
      <c r="CF573" s="408"/>
      <c r="CG573" s="408"/>
      <c r="CH573" s="408"/>
      <c r="CI573" s="408">
        <v>164.4153</v>
      </c>
      <c r="CJ573" s="408">
        <v>12.011900000000026</v>
      </c>
      <c r="CK573" s="408"/>
      <c r="CL573" s="408"/>
      <c r="CM573" s="408"/>
      <c r="CN573" s="408"/>
      <c r="CO573" s="408">
        <v>-0.69620000000000404</v>
      </c>
      <c r="CP573" s="408">
        <v>12.738100000000001</v>
      </c>
      <c r="CQ573" s="408">
        <v>31</v>
      </c>
      <c r="CR573" s="408">
        <v>12.040190650932004</v>
      </c>
      <c r="CS573" s="408">
        <v>0</v>
      </c>
      <c r="CT573" s="408">
        <v>0</v>
      </c>
      <c r="CU573" s="408">
        <v>0</v>
      </c>
      <c r="CV573" s="408">
        <v>0</v>
      </c>
      <c r="CW573" s="408">
        <v>0</v>
      </c>
      <c r="CX573" s="408">
        <v>0</v>
      </c>
      <c r="CY573" s="408">
        <v>0</v>
      </c>
      <c r="CZ573" s="408">
        <v>0</v>
      </c>
      <c r="DA573" s="408">
        <v>0</v>
      </c>
      <c r="DB573" s="408">
        <v>0</v>
      </c>
      <c r="DC573" s="408">
        <v>12.736661794847905</v>
      </c>
      <c r="DD573" s="408">
        <v>0</v>
      </c>
      <c r="DE573" s="408">
        <v>0</v>
      </c>
      <c r="DF573" s="408">
        <v>0</v>
      </c>
      <c r="DG573" s="408">
        <v>0.55919253510481504</v>
      </c>
      <c r="DH573" s="408">
        <v>0</v>
      </c>
      <c r="DI573" s="408">
        <v>-1.0727352332691069</v>
      </c>
      <c r="DJ573" s="408"/>
      <c r="DK573" s="408">
        <v>0</v>
      </c>
      <c r="DL573" s="408">
        <v>0</v>
      </c>
      <c r="DM573" s="408">
        <v>0</v>
      </c>
      <c r="DN573" s="408">
        <v>0</v>
      </c>
      <c r="DO573" s="408">
        <v>-0.16956130649162482</v>
      </c>
      <c r="DP573" s="408">
        <v>-1.336713926000227E-2</v>
      </c>
      <c r="DQ573" s="408">
        <v>0</v>
      </c>
      <c r="DR573" s="408">
        <v>0</v>
      </c>
      <c r="DS573" s="408"/>
      <c r="DT573" s="408"/>
      <c r="DU573" s="408"/>
      <c r="DV573" s="408">
        <v>0</v>
      </c>
      <c r="DW573" s="408">
        <v>0</v>
      </c>
      <c r="DX573" s="408">
        <v>0</v>
      </c>
      <c r="DY573" s="408">
        <v>-0.69620000000000459</v>
      </c>
      <c r="DZ573" s="408">
        <v>12.738099999999989</v>
      </c>
      <c r="EA573" s="408">
        <v>0</v>
      </c>
      <c r="EB573" s="408">
        <v>0</v>
      </c>
      <c r="EC573" s="408">
        <v>0</v>
      </c>
      <c r="ED573" s="408">
        <v>0</v>
      </c>
      <c r="EE573" s="408">
        <v>0</v>
      </c>
      <c r="EF573" s="408">
        <v>0</v>
      </c>
      <c r="EG573" s="408">
        <v>0</v>
      </c>
      <c r="EH573" s="408">
        <v>0</v>
      </c>
      <c r="EI573" s="408">
        <v>0</v>
      </c>
      <c r="EJ573" s="408">
        <v>0</v>
      </c>
      <c r="EK573" s="408">
        <v>0</v>
      </c>
      <c r="EL573" s="408">
        <v>0</v>
      </c>
      <c r="EM573" s="408">
        <v>0</v>
      </c>
      <c r="EN573" s="408">
        <v>0</v>
      </c>
      <c r="EO573" s="408">
        <v>0</v>
      </c>
      <c r="EP573" s="408">
        <v>8.0678143734445396</v>
      </c>
      <c r="EQ573" s="408">
        <v>0</v>
      </c>
      <c r="ER573" s="408">
        <v>0</v>
      </c>
      <c r="ES573" s="408">
        <v>0</v>
      </c>
      <c r="ET573" s="408">
        <v>0</v>
      </c>
      <c r="EU573" s="408">
        <v>0</v>
      </c>
      <c r="EV573" s="408">
        <v>240</v>
      </c>
      <c r="EW573" s="408">
        <v>0</v>
      </c>
      <c r="EX573" s="408">
        <v>0</v>
      </c>
      <c r="EY573" s="408">
        <v>0</v>
      </c>
      <c r="EZ573" s="408"/>
      <c r="FA573" s="408">
        <v>0</v>
      </c>
      <c r="FB573" s="408"/>
      <c r="FC573" s="408"/>
      <c r="FD573" s="408"/>
      <c r="FE573" s="408"/>
      <c r="FF573" s="408">
        <v>0</v>
      </c>
      <c r="FG573" s="408">
        <v>0</v>
      </c>
      <c r="FH573" s="408">
        <v>0</v>
      </c>
      <c r="FI573" s="408">
        <v>0</v>
      </c>
    </row>
    <row r="574" spans="1:165">
      <c r="A574" s="408">
        <v>572</v>
      </c>
      <c r="B574" s="408" t="s">
        <v>1036</v>
      </c>
      <c r="C574" s="408" t="s">
        <v>2243</v>
      </c>
      <c r="D574" s="408" t="s">
        <v>597</v>
      </c>
      <c r="E574" s="408" t="s">
        <v>970</v>
      </c>
      <c r="F574" s="408" t="s">
        <v>1322</v>
      </c>
      <c r="G574" s="408" t="s">
        <v>1322</v>
      </c>
      <c r="H574" s="408" t="s">
        <v>1322</v>
      </c>
      <c r="I574" s="408" t="s">
        <v>1322</v>
      </c>
      <c r="J574" s="408" t="s">
        <v>2236</v>
      </c>
      <c r="K574" s="826">
        <v>44621</v>
      </c>
      <c r="L574" s="408">
        <v>17824</v>
      </c>
      <c r="M574" s="408">
        <v>17824</v>
      </c>
      <c r="N574" s="408">
        <v>0</v>
      </c>
      <c r="O574" s="408">
        <v>0</v>
      </c>
      <c r="P574" s="408">
        <v>0</v>
      </c>
      <c r="Q574" s="408">
        <v>0</v>
      </c>
      <c r="R574" s="408">
        <v>27.19</v>
      </c>
      <c r="S574" s="408"/>
      <c r="T574" s="408"/>
      <c r="U574" s="408">
        <v>484634.56</v>
      </c>
      <c r="V574" s="408"/>
      <c r="W574" s="408">
        <v>484634.56</v>
      </c>
      <c r="X574" s="408">
        <v>387850.24000000005</v>
      </c>
      <c r="Y574" s="408">
        <v>0</v>
      </c>
      <c r="Z574" s="408">
        <v>0</v>
      </c>
      <c r="AA574" s="408">
        <v>0</v>
      </c>
      <c r="AB574" s="408">
        <v>0</v>
      </c>
      <c r="AC574" s="408">
        <v>4156.5677337329007</v>
      </c>
      <c r="AD574" s="408">
        <v>3993.1969769384377</v>
      </c>
      <c r="AE574" s="408">
        <v>426564.5070540749</v>
      </c>
      <c r="AF574" s="408"/>
      <c r="AG574" s="408"/>
      <c r="AH574" s="408"/>
      <c r="AI574" s="408">
        <v>0</v>
      </c>
      <c r="AJ574" s="408">
        <v>0</v>
      </c>
      <c r="AK574" s="408">
        <v>0</v>
      </c>
      <c r="AL574" s="408">
        <v>0</v>
      </c>
      <c r="AM574" s="408"/>
      <c r="AN574" s="408">
        <v>0</v>
      </c>
      <c r="AO574" s="408">
        <v>8820.8272293564296</v>
      </c>
      <c r="AP574" s="408">
        <v>41139.375537836801</v>
      </c>
      <c r="AQ574" s="408">
        <v>0</v>
      </c>
      <c r="AR574" s="408">
        <v>0</v>
      </c>
      <c r="AS574" s="408"/>
      <c r="AT574" s="408"/>
      <c r="AU574" s="408">
        <v>0</v>
      </c>
      <c r="AV574" s="408">
        <v>0</v>
      </c>
      <c r="AW574" s="408">
        <v>0</v>
      </c>
      <c r="AX574" s="408"/>
      <c r="AY574" s="408"/>
      <c r="AZ574" s="408">
        <v>0</v>
      </c>
      <c r="BA574" s="408"/>
      <c r="BB574" s="408">
        <v>0</v>
      </c>
      <c r="BC574" s="408">
        <v>0</v>
      </c>
      <c r="BD574" s="408">
        <v>0</v>
      </c>
      <c r="BE574" s="408">
        <v>0</v>
      </c>
      <c r="BF574" s="408"/>
      <c r="BG574" s="408">
        <v>0</v>
      </c>
      <c r="BH574" s="408">
        <v>0</v>
      </c>
      <c r="BI574" s="408">
        <v>1494.12</v>
      </c>
      <c r="BJ574" s="408">
        <v>16013.75</v>
      </c>
      <c r="BK574" s="408">
        <v>439048.44</v>
      </c>
      <c r="BL574" s="408">
        <v>100</v>
      </c>
      <c r="BM574" s="408"/>
      <c r="BN574" s="408"/>
      <c r="BO574" s="408"/>
      <c r="BP574" s="408"/>
      <c r="BQ574" s="408"/>
      <c r="BR574" s="408"/>
      <c r="BS574" s="408"/>
      <c r="BT574" s="408"/>
      <c r="BU574" s="408"/>
      <c r="BV574" s="408">
        <v>0</v>
      </c>
      <c r="BW574" s="408"/>
      <c r="BX574" s="408"/>
      <c r="BY574" s="408"/>
      <c r="BZ574" s="408"/>
      <c r="CA574" s="408"/>
      <c r="CB574" s="408"/>
      <c r="CC574" s="408"/>
      <c r="CD574" s="408"/>
      <c r="CE574" s="408"/>
      <c r="CF574" s="408"/>
      <c r="CG574" s="408"/>
      <c r="CH574" s="408"/>
      <c r="CI574" s="408">
        <v>387850.24000000005</v>
      </c>
      <c r="CJ574" s="408">
        <v>-96784.349999999977</v>
      </c>
      <c r="CK574" s="408"/>
      <c r="CL574" s="408"/>
      <c r="CM574" s="408"/>
      <c r="CN574" s="408"/>
      <c r="CO574" s="408">
        <v>-96784.319999999992</v>
      </c>
      <c r="CP574" s="408">
        <v>0</v>
      </c>
      <c r="CQ574" s="408">
        <v>31</v>
      </c>
      <c r="CR574" s="408">
        <v>9090.09721084169</v>
      </c>
      <c r="CS574" s="408">
        <v>878.97657939325472</v>
      </c>
      <c r="CT574" s="408">
        <v>4099.4508392905991</v>
      </c>
      <c r="CU574" s="408">
        <v>0</v>
      </c>
      <c r="CV574" s="408">
        <v>0</v>
      </c>
      <c r="CW574" s="408"/>
      <c r="CX574" s="408"/>
      <c r="CY574" s="408"/>
      <c r="CZ574" s="408">
        <v>4111.669792157837</v>
      </c>
      <c r="DA574" s="408">
        <v>0</v>
      </c>
      <c r="DB574" s="408">
        <v>0</v>
      </c>
      <c r="DC574" s="408"/>
      <c r="DD574" s="408"/>
      <c r="DE574" s="408">
        <v>0</v>
      </c>
      <c r="DF574" s="408">
        <v>0</v>
      </c>
      <c r="DG574" s="408">
        <v>0</v>
      </c>
      <c r="DH574" s="408">
        <v>0</v>
      </c>
      <c r="DI574" s="408">
        <v>0</v>
      </c>
      <c r="DJ574" s="408"/>
      <c r="DK574" s="408">
        <v>0</v>
      </c>
      <c r="DL574" s="408">
        <v>0</v>
      </c>
      <c r="DM574" s="408"/>
      <c r="DN574" s="408">
        <v>0</v>
      </c>
      <c r="DO574" s="408">
        <v>0</v>
      </c>
      <c r="DP574" s="408">
        <v>0</v>
      </c>
      <c r="DQ574" s="408">
        <v>0</v>
      </c>
      <c r="DR574" s="408">
        <v>0</v>
      </c>
      <c r="DS574" s="408"/>
      <c r="DT574" s="408"/>
      <c r="DU574" s="408">
        <v>426564.5070540749</v>
      </c>
      <c r="DV574" s="408"/>
      <c r="DW574" s="408">
        <v>0</v>
      </c>
      <c r="DX574" s="408">
        <v>0</v>
      </c>
      <c r="DY574" s="408">
        <v>-96784.319999999949</v>
      </c>
      <c r="DZ574" s="408"/>
      <c r="EA574" s="408">
        <v>0</v>
      </c>
      <c r="EB574" s="408"/>
      <c r="EC574" s="408">
        <v>-105965.85918088927</v>
      </c>
      <c r="ED574" s="408"/>
      <c r="EE574" s="408">
        <v>0</v>
      </c>
      <c r="EF574" s="408">
        <v>0</v>
      </c>
      <c r="EG574" s="408"/>
      <c r="EH574" s="408">
        <v>0</v>
      </c>
      <c r="EI574" s="408">
        <v>0</v>
      </c>
      <c r="EJ574" s="408">
        <v>0</v>
      </c>
      <c r="EK574" s="408">
        <v>0</v>
      </c>
      <c r="EL574" s="408">
        <v>0</v>
      </c>
      <c r="EM574" s="408"/>
      <c r="EN574" s="408"/>
      <c r="EO574" s="408">
        <v>0</v>
      </c>
      <c r="EP574" s="408">
        <v>0</v>
      </c>
      <c r="EQ574" s="408"/>
      <c r="ER574" s="408">
        <v>0</v>
      </c>
      <c r="ES574" s="408"/>
      <c r="ET574" s="408">
        <v>0</v>
      </c>
      <c r="EU574" s="408"/>
      <c r="EV574" s="408">
        <v>240</v>
      </c>
      <c r="EW574" s="408"/>
      <c r="EX574" s="408"/>
      <c r="EY574" s="408"/>
      <c r="EZ574" s="408"/>
      <c r="FA574" s="408">
        <v>0</v>
      </c>
      <c r="FB574" s="408"/>
      <c r="FC574" s="408"/>
      <c r="FD574" s="408"/>
      <c r="FE574" s="408"/>
      <c r="FF574" s="408">
        <v>0</v>
      </c>
      <c r="FG574" s="408">
        <v>0</v>
      </c>
      <c r="FH574" s="408">
        <v>0</v>
      </c>
      <c r="FI574" s="408">
        <v>0</v>
      </c>
    </row>
    <row r="575" spans="1:165">
      <c r="A575" s="408">
        <v>573</v>
      </c>
      <c r="B575" s="408" t="s">
        <v>2237</v>
      </c>
      <c r="C575" s="408" t="s">
        <v>2243</v>
      </c>
      <c r="D575" s="408" t="s">
        <v>597</v>
      </c>
      <c r="E575" s="408" t="s">
        <v>970</v>
      </c>
      <c r="F575" s="408" t="s">
        <v>1322</v>
      </c>
      <c r="G575" s="408" t="s">
        <v>1322</v>
      </c>
      <c r="H575" s="408" t="s">
        <v>1322</v>
      </c>
      <c r="I575" s="408" t="s">
        <v>1322</v>
      </c>
      <c r="J575" s="408" t="s">
        <v>2236</v>
      </c>
      <c r="K575" s="826">
        <v>44621</v>
      </c>
      <c r="L575" s="408">
        <v>-45</v>
      </c>
      <c r="M575" s="408">
        <v>-45</v>
      </c>
      <c r="N575" s="408">
        <v>0</v>
      </c>
      <c r="O575" s="408">
        <v>0</v>
      </c>
      <c r="P575" s="408">
        <v>0</v>
      </c>
      <c r="Q575" s="408">
        <v>0</v>
      </c>
      <c r="R575" s="408">
        <v>27.19</v>
      </c>
      <c r="S575" s="408"/>
      <c r="T575" s="408"/>
      <c r="U575" s="408">
        <v>-1223.55</v>
      </c>
      <c r="V575" s="408"/>
      <c r="W575" s="408">
        <v>-1223.55</v>
      </c>
      <c r="X575" s="408">
        <v>-979.2</v>
      </c>
      <c r="Y575" s="408">
        <v>0</v>
      </c>
      <c r="Z575" s="408">
        <v>0</v>
      </c>
      <c r="AA575" s="408">
        <v>0</v>
      </c>
      <c r="AB575" s="408">
        <v>0</v>
      </c>
      <c r="AC575" s="408">
        <v>-10.494027604240381</v>
      </c>
      <c r="AD575" s="408">
        <v>-10.08156777166908</v>
      </c>
      <c r="AE575" s="408">
        <v>-1076.9413609421774</v>
      </c>
      <c r="AF575" s="408"/>
      <c r="AG575" s="408"/>
      <c r="AH575" s="408"/>
      <c r="AI575" s="408">
        <v>0</v>
      </c>
      <c r="AJ575" s="408">
        <v>0</v>
      </c>
      <c r="AK575" s="408">
        <v>0</v>
      </c>
      <c r="AL575" s="408">
        <v>0</v>
      </c>
      <c r="AM575" s="408"/>
      <c r="AN575" s="408">
        <v>0</v>
      </c>
      <c r="AO575" s="408">
        <v>-22.269817399070881</v>
      </c>
      <c r="AP575" s="408">
        <v>-103.86399793551705</v>
      </c>
      <c r="AQ575" s="408">
        <v>0</v>
      </c>
      <c r="AR575" s="408">
        <v>0</v>
      </c>
      <c r="AS575" s="408"/>
      <c r="AT575" s="408"/>
      <c r="AU575" s="408">
        <v>0</v>
      </c>
      <c r="AV575" s="408">
        <v>0</v>
      </c>
      <c r="AW575" s="408">
        <v>0</v>
      </c>
      <c r="AX575" s="408"/>
      <c r="AY575" s="408"/>
      <c r="AZ575" s="408">
        <v>0</v>
      </c>
      <c r="BA575" s="408"/>
      <c r="BB575" s="408">
        <v>0</v>
      </c>
      <c r="BC575" s="408">
        <v>0</v>
      </c>
      <c r="BD575" s="408">
        <v>0</v>
      </c>
      <c r="BE575" s="408">
        <v>0</v>
      </c>
      <c r="BF575" s="408"/>
      <c r="BG575" s="408">
        <v>0</v>
      </c>
      <c r="BH575" s="408">
        <v>0</v>
      </c>
      <c r="BI575" s="408">
        <v>-2.41</v>
      </c>
      <c r="BJ575" s="408">
        <v>-20.64</v>
      </c>
      <c r="BK575" s="408">
        <v>-704.44</v>
      </c>
      <c r="BL575" s="408">
        <v>0</v>
      </c>
      <c r="BM575" s="408"/>
      <c r="BN575" s="408"/>
      <c r="BO575" s="408"/>
      <c r="BP575" s="408"/>
      <c r="BQ575" s="408"/>
      <c r="BR575" s="408"/>
      <c r="BS575" s="408"/>
      <c r="BT575" s="408"/>
      <c r="BU575" s="408"/>
      <c r="BV575" s="408">
        <v>0</v>
      </c>
      <c r="BW575" s="408"/>
      <c r="BX575" s="408"/>
      <c r="BY575" s="408"/>
      <c r="BZ575" s="408"/>
      <c r="CA575" s="408"/>
      <c r="CB575" s="408"/>
      <c r="CC575" s="408"/>
      <c r="CD575" s="408"/>
      <c r="CE575" s="408"/>
      <c r="CF575" s="408"/>
      <c r="CG575" s="408"/>
      <c r="CH575" s="408"/>
      <c r="CI575" s="408">
        <v>-979.2</v>
      </c>
      <c r="CJ575" s="408">
        <v>244.31999999999994</v>
      </c>
      <c r="CK575" s="408"/>
      <c r="CL575" s="408"/>
      <c r="CM575" s="408"/>
      <c r="CN575" s="408"/>
      <c r="CO575" s="408">
        <v>244.35</v>
      </c>
      <c r="CP575" s="408">
        <v>0</v>
      </c>
      <c r="CQ575" s="408">
        <v>31</v>
      </c>
      <c r="CR575" s="408">
        <v>-22.949639502237204</v>
      </c>
      <c r="CS575" s="408">
        <v>-2.2191397033604368</v>
      </c>
      <c r="CT575" s="408">
        <v>-10.349825390937895</v>
      </c>
      <c r="CU575" s="408">
        <v>0</v>
      </c>
      <c r="CV575" s="408">
        <v>0</v>
      </c>
      <c r="CW575" s="408"/>
      <c r="CX575" s="408"/>
      <c r="CY575" s="408"/>
      <c r="CZ575" s="408">
        <v>-10.380674407938885</v>
      </c>
      <c r="DA575" s="408">
        <v>0</v>
      </c>
      <c r="DB575" s="408">
        <v>0</v>
      </c>
      <c r="DC575" s="408"/>
      <c r="DD575" s="408"/>
      <c r="DE575" s="408">
        <v>0</v>
      </c>
      <c r="DF575" s="408">
        <v>0</v>
      </c>
      <c r="DG575" s="408">
        <v>0</v>
      </c>
      <c r="DH575" s="408">
        <v>0</v>
      </c>
      <c r="DI575" s="408">
        <v>0</v>
      </c>
      <c r="DJ575" s="408"/>
      <c r="DK575" s="408">
        <v>0</v>
      </c>
      <c r="DL575" s="408">
        <v>0</v>
      </c>
      <c r="DM575" s="408"/>
      <c r="DN575" s="408">
        <v>0</v>
      </c>
      <c r="DO575" s="408">
        <v>0</v>
      </c>
      <c r="DP575" s="408">
        <v>0</v>
      </c>
      <c r="DQ575" s="408">
        <v>0</v>
      </c>
      <c r="DR575" s="408">
        <v>0</v>
      </c>
      <c r="DS575" s="408"/>
      <c r="DT575" s="408"/>
      <c r="DU575" s="408">
        <v>-1076.9413609421774</v>
      </c>
      <c r="DV575" s="408"/>
      <c r="DW575" s="408">
        <v>0</v>
      </c>
      <c r="DX575" s="408">
        <v>0</v>
      </c>
      <c r="DY575" s="408">
        <v>244.34999999999991</v>
      </c>
      <c r="DZ575" s="408"/>
      <c r="EA575" s="408">
        <v>0</v>
      </c>
      <c r="EB575" s="408"/>
      <c r="EC575" s="408">
        <v>267.53050174708346</v>
      </c>
      <c r="ED575" s="408"/>
      <c r="EE575" s="408">
        <v>0</v>
      </c>
      <c r="EF575" s="408">
        <v>0</v>
      </c>
      <c r="EG575" s="408"/>
      <c r="EH575" s="408">
        <v>0</v>
      </c>
      <c r="EI575" s="408">
        <v>0</v>
      </c>
      <c r="EJ575" s="408">
        <v>0</v>
      </c>
      <c r="EK575" s="408">
        <v>0</v>
      </c>
      <c r="EL575" s="408">
        <v>0</v>
      </c>
      <c r="EM575" s="408"/>
      <c r="EN575" s="408"/>
      <c r="EO575" s="408">
        <v>0</v>
      </c>
      <c r="EP575" s="408">
        <v>0</v>
      </c>
      <c r="EQ575" s="408"/>
      <c r="ER575" s="408">
        <v>0</v>
      </c>
      <c r="ES575" s="408"/>
      <c r="ET575" s="408">
        <v>0</v>
      </c>
      <c r="EU575" s="408"/>
      <c r="EV575" s="408">
        <v>240</v>
      </c>
      <c r="EW575" s="408"/>
      <c r="EX575" s="408"/>
      <c r="EY575" s="408"/>
      <c r="EZ575" s="408"/>
      <c r="FA575" s="408">
        <v>0</v>
      </c>
      <c r="FB575" s="408"/>
      <c r="FC575" s="408"/>
      <c r="FD575" s="408"/>
      <c r="FE575" s="408"/>
      <c r="FF575" s="408">
        <v>0</v>
      </c>
      <c r="FG575" s="408">
        <v>0</v>
      </c>
      <c r="FH575" s="408">
        <v>0</v>
      </c>
      <c r="FI575" s="408">
        <v>0</v>
      </c>
    </row>
    <row r="576" spans="1:165">
      <c r="A576" s="408">
        <v>574</v>
      </c>
      <c r="B576" s="408" t="s">
        <v>2238</v>
      </c>
      <c r="C576" s="408" t="s">
        <v>2243</v>
      </c>
      <c r="D576" s="408" t="s">
        <v>597</v>
      </c>
      <c r="E576" s="408" t="s">
        <v>970</v>
      </c>
      <c r="F576" s="408" t="s">
        <v>1322</v>
      </c>
      <c r="G576" s="408" t="s">
        <v>1322</v>
      </c>
      <c r="H576" s="408" t="s">
        <v>1322</v>
      </c>
      <c r="I576" s="408" t="s">
        <v>1322</v>
      </c>
      <c r="J576" s="408" t="s">
        <v>2236</v>
      </c>
      <c r="K576" s="826">
        <v>44621</v>
      </c>
      <c r="L576" s="408">
        <v>563</v>
      </c>
      <c r="M576" s="408">
        <v>563</v>
      </c>
      <c r="N576" s="408">
        <v>0</v>
      </c>
      <c r="O576" s="408">
        <v>0</v>
      </c>
      <c r="P576" s="408">
        <v>0</v>
      </c>
      <c r="Q576" s="408">
        <v>0</v>
      </c>
      <c r="R576" s="408">
        <v>27.19</v>
      </c>
      <c r="S576" s="408"/>
      <c r="T576" s="408"/>
      <c r="U576" s="408">
        <v>15307.970000000001</v>
      </c>
      <c r="V576" s="408"/>
      <c r="W576" s="408">
        <v>15307.970000000001</v>
      </c>
      <c r="X576" s="408">
        <v>12250.880000000001</v>
      </c>
      <c r="Y576" s="408">
        <v>0</v>
      </c>
      <c r="Z576" s="408">
        <v>0</v>
      </c>
      <c r="AA576" s="408">
        <v>0</v>
      </c>
      <c r="AB576" s="408">
        <v>0</v>
      </c>
      <c r="AC576" s="408">
        <v>131.29194535971854</v>
      </c>
      <c r="AD576" s="408">
        <v>126.13161456554872</v>
      </c>
      <c r="AE576" s="408">
        <v>13473.733026898797</v>
      </c>
      <c r="AF576" s="408"/>
      <c r="AG576" s="408"/>
      <c r="AH576" s="408"/>
      <c r="AI576" s="408">
        <v>0</v>
      </c>
      <c r="AJ576" s="408">
        <v>0</v>
      </c>
      <c r="AK576" s="408">
        <v>0</v>
      </c>
      <c r="AL576" s="408">
        <v>0</v>
      </c>
      <c r="AM576" s="408"/>
      <c r="AN576" s="408">
        <v>0</v>
      </c>
      <c r="AO576" s="408">
        <v>278.62015990393121</v>
      </c>
      <c r="AP576" s="408">
        <v>1299.4540186154688</v>
      </c>
      <c r="AQ576" s="408">
        <v>0</v>
      </c>
      <c r="AR576" s="408">
        <v>0</v>
      </c>
      <c r="AS576" s="408"/>
      <c r="AT576" s="408"/>
      <c r="AU576" s="408">
        <v>0</v>
      </c>
      <c r="AV576" s="408">
        <v>0</v>
      </c>
      <c r="AW576" s="408">
        <v>0</v>
      </c>
      <c r="AX576" s="408"/>
      <c r="AY576" s="408"/>
      <c r="AZ576" s="408">
        <v>0</v>
      </c>
      <c r="BA576" s="408"/>
      <c r="BB576" s="408">
        <v>0</v>
      </c>
      <c r="BC576" s="408">
        <v>0</v>
      </c>
      <c r="BD576" s="408">
        <v>0</v>
      </c>
      <c r="BE576" s="408">
        <v>0</v>
      </c>
      <c r="BF576" s="408"/>
      <c r="BG576" s="408">
        <v>0</v>
      </c>
      <c r="BH576" s="408">
        <v>0</v>
      </c>
      <c r="BI576" s="408">
        <v>10.31</v>
      </c>
      <c r="BJ576" s="408">
        <v>110.66</v>
      </c>
      <c r="BK576" s="408">
        <v>3710.69</v>
      </c>
      <c r="BL576" s="408">
        <v>5</v>
      </c>
      <c r="BM576" s="408"/>
      <c r="BN576" s="408"/>
      <c r="BO576" s="408"/>
      <c r="BP576" s="408"/>
      <c r="BQ576" s="408"/>
      <c r="BR576" s="408"/>
      <c r="BS576" s="408"/>
      <c r="BT576" s="408"/>
      <c r="BU576" s="408"/>
      <c r="BV576" s="408">
        <v>0</v>
      </c>
      <c r="BW576" s="408"/>
      <c r="BX576" s="408"/>
      <c r="BY576" s="408"/>
      <c r="BZ576" s="408"/>
      <c r="CA576" s="408"/>
      <c r="CB576" s="408"/>
      <c r="CC576" s="408"/>
      <c r="CD576" s="408"/>
      <c r="CE576" s="408"/>
      <c r="CF576" s="408"/>
      <c r="CG576" s="408"/>
      <c r="CH576" s="408"/>
      <c r="CI576" s="408">
        <v>12250.880000000001</v>
      </c>
      <c r="CJ576" s="408">
        <v>-3057.1200000000008</v>
      </c>
      <c r="CK576" s="408"/>
      <c r="CL576" s="408"/>
      <c r="CM576" s="408"/>
      <c r="CN576" s="408"/>
      <c r="CO576" s="408">
        <v>-3057.0899999999997</v>
      </c>
      <c r="CP576" s="408">
        <v>0</v>
      </c>
      <c r="CQ576" s="408">
        <v>31</v>
      </c>
      <c r="CR576" s="408">
        <v>287.12548977243455</v>
      </c>
      <c r="CS576" s="408">
        <v>27.763903399820606</v>
      </c>
      <c r="CT576" s="408">
        <v>129.48781544662302</v>
      </c>
      <c r="CU576" s="408">
        <v>0</v>
      </c>
      <c r="CV576" s="408">
        <v>0</v>
      </c>
      <c r="CW576" s="408"/>
      <c r="CX576" s="408"/>
      <c r="CY576" s="408"/>
      <c r="CZ576" s="408">
        <v>129.87377092599093</v>
      </c>
      <c r="DA576" s="408">
        <v>0</v>
      </c>
      <c r="DB576" s="408">
        <v>0</v>
      </c>
      <c r="DC576" s="408"/>
      <c r="DD576" s="408"/>
      <c r="DE576" s="408">
        <v>0</v>
      </c>
      <c r="DF576" s="408">
        <v>0</v>
      </c>
      <c r="DG576" s="408">
        <v>0</v>
      </c>
      <c r="DH576" s="408">
        <v>0</v>
      </c>
      <c r="DI576" s="408">
        <v>0</v>
      </c>
      <c r="DJ576" s="408"/>
      <c r="DK576" s="408">
        <v>0</v>
      </c>
      <c r="DL576" s="408">
        <v>0</v>
      </c>
      <c r="DM576" s="408"/>
      <c r="DN576" s="408">
        <v>0</v>
      </c>
      <c r="DO576" s="408">
        <v>0</v>
      </c>
      <c r="DP576" s="408">
        <v>0</v>
      </c>
      <c r="DQ576" s="408">
        <v>0</v>
      </c>
      <c r="DR576" s="408">
        <v>0</v>
      </c>
      <c r="DS576" s="408"/>
      <c r="DT576" s="408"/>
      <c r="DU576" s="408">
        <v>13473.733026898797</v>
      </c>
      <c r="DV576" s="408"/>
      <c r="DW576" s="408">
        <v>0</v>
      </c>
      <c r="DX576" s="408">
        <v>0</v>
      </c>
      <c r="DY576" s="408">
        <v>-3057.09</v>
      </c>
      <c r="DZ576" s="408"/>
      <c r="EA576" s="408">
        <v>0</v>
      </c>
      <c r="EB576" s="408"/>
      <c r="EC576" s="408">
        <v>-3347.1038329690673</v>
      </c>
      <c r="ED576" s="408"/>
      <c r="EE576" s="408">
        <v>0</v>
      </c>
      <c r="EF576" s="408">
        <v>0</v>
      </c>
      <c r="EG576" s="408"/>
      <c r="EH576" s="408">
        <v>0</v>
      </c>
      <c r="EI576" s="408">
        <v>0</v>
      </c>
      <c r="EJ576" s="408">
        <v>0</v>
      </c>
      <c r="EK576" s="408">
        <v>0</v>
      </c>
      <c r="EL576" s="408">
        <v>0</v>
      </c>
      <c r="EM576" s="408"/>
      <c r="EN576" s="408"/>
      <c r="EO576" s="408">
        <v>0</v>
      </c>
      <c r="EP576" s="408">
        <v>0</v>
      </c>
      <c r="EQ576" s="408"/>
      <c r="ER576" s="408">
        <v>0</v>
      </c>
      <c r="ES576" s="408"/>
      <c r="ET576" s="408">
        <v>0</v>
      </c>
      <c r="EU576" s="408"/>
      <c r="EV576" s="408">
        <v>240</v>
      </c>
      <c r="EW576" s="408"/>
      <c r="EX576" s="408"/>
      <c r="EY576" s="408"/>
      <c r="EZ576" s="408"/>
      <c r="FA576" s="408">
        <v>0</v>
      </c>
      <c r="FB576" s="408"/>
      <c r="FC576" s="408"/>
      <c r="FD576" s="408"/>
      <c r="FE576" s="408"/>
      <c r="FF576" s="408">
        <v>0</v>
      </c>
      <c r="FG576" s="408">
        <v>0</v>
      </c>
      <c r="FH576" s="408">
        <v>0</v>
      </c>
      <c r="FI576" s="408">
        <v>0</v>
      </c>
    </row>
    <row r="577" spans="1:165">
      <c r="A577" s="408">
        <v>575</v>
      </c>
      <c r="B577" s="408" t="s">
        <v>1036</v>
      </c>
      <c r="C577" s="408" t="s">
        <v>2316</v>
      </c>
      <c r="D577" s="408" t="s">
        <v>1958</v>
      </c>
      <c r="E577" s="408" t="s">
        <v>970</v>
      </c>
      <c r="F577" s="408" t="s">
        <v>1322</v>
      </c>
      <c r="G577" s="408" t="s">
        <v>1322</v>
      </c>
      <c r="H577" s="408" t="s">
        <v>1322</v>
      </c>
      <c r="I577" s="408" t="s">
        <v>973</v>
      </c>
      <c r="J577" s="408" t="s">
        <v>2236</v>
      </c>
      <c r="K577" s="826">
        <v>44621</v>
      </c>
      <c r="L577" s="408">
        <v>0</v>
      </c>
      <c r="M577" s="408">
        <v>0</v>
      </c>
      <c r="N577" s="408">
        <v>1.7000000000000001E-2</v>
      </c>
      <c r="O577" s="408">
        <v>1.7000000000000001E-2</v>
      </c>
      <c r="P577" s="408">
        <v>1.7000000000000001E-2</v>
      </c>
      <c r="Q577" s="408">
        <v>1.7000000000000001E-2</v>
      </c>
      <c r="R577" s="408"/>
      <c r="S577" s="408">
        <v>1553.42</v>
      </c>
      <c r="T577" s="408">
        <v>173.25</v>
      </c>
      <c r="U577" s="408"/>
      <c r="V577" s="408">
        <v>29.353390000000005</v>
      </c>
      <c r="W577" s="408">
        <v>29.353390000000005</v>
      </c>
      <c r="X577" s="408">
        <v>27.850080000000005</v>
      </c>
      <c r="Y577" s="408">
        <v>0</v>
      </c>
      <c r="Z577" s="408">
        <v>1.0462681143892969</v>
      </c>
      <c r="AA577" s="408">
        <v>0</v>
      </c>
      <c r="AB577" s="408">
        <v>0</v>
      </c>
      <c r="AC577" s="408">
        <v>1.8436371828603191</v>
      </c>
      <c r="AD577" s="408">
        <v>0.12749354177038766</v>
      </c>
      <c r="AE577" s="408">
        <v>12.212594358522484</v>
      </c>
      <c r="AF577" s="408">
        <v>2.8957879999503211</v>
      </c>
      <c r="AG577" s="408">
        <v>4.9422970019201255E-2</v>
      </c>
      <c r="AH577" s="408">
        <v>0</v>
      </c>
      <c r="AI577" s="408">
        <v>0</v>
      </c>
      <c r="AJ577" s="408">
        <v>0</v>
      </c>
      <c r="AK577" s="408">
        <v>0</v>
      </c>
      <c r="AL577" s="408">
        <v>0.16165351471453199</v>
      </c>
      <c r="AM577" s="408"/>
      <c r="AN577" s="408">
        <v>2.0533564144166239E-2</v>
      </c>
      <c r="AO577" s="408">
        <v>5.3644174002441991</v>
      </c>
      <c r="AP577" s="408">
        <v>5.2123036061903623</v>
      </c>
      <c r="AQ577" s="408">
        <v>0</v>
      </c>
      <c r="AR577" s="408">
        <v>0</v>
      </c>
      <c r="AS577" s="408">
        <v>0</v>
      </c>
      <c r="AT577" s="408">
        <v>0</v>
      </c>
      <c r="AU577" s="408">
        <v>0</v>
      </c>
      <c r="AV577" s="408">
        <v>0</v>
      </c>
      <c r="AW577" s="408">
        <v>0</v>
      </c>
      <c r="AX577" s="408">
        <v>0</v>
      </c>
      <c r="AY577" s="408">
        <v>0</v>
      </c>
      <c r="AZ577" s="408">
        <v>0</v>
      </c>
      <c r="BA577" s="408"/>
      <c r="BB577" s="408">
        <v>0</v>
      </c>
      <c r="BC577" s="408">
        <v>0</v>
      </c>
      <c r="BD577" s="408">
        <v>0</v>
      </c>
      <c r="BE577" s="408">
        <v>0</v>
      </c>
      <c r="BF577" s="408">
        <v>0</v>
      </c>
      <c r="BG577" s="408">
        <v>0.15197646102561169</v>
      </c>
      <c r="BH577" s="408">
        <v>0</v>
      </c>
      <c r="BI577" s="408">
        <v>0</v>
      </c>
      <c r="BJ577" s="408">
        <v>0</v>
      </c>
      <c r="BK577" s="408">
        <v>0</v>
      </c>
      <c r="BL577" s="408">
        <v>0</v>
      </c>
      <c r="BM577" s="408"/>
      <c r="BN577" s="408"/>
      <c r="BO577" s="408"/>
      <c r="BP577" s="408"/>
      <c r="BQ577" s="408"/>
      <c r="BR577" s="408"/>
      <c r="BS577" s="408"/>
      <c r="BT577" s="408"/>
      <c r="BU577" s="408"/>
      <c r="BV577" s="408">
        <v>3.0477644609759329</v>
      </c>
      <c r="BW577" s="408"/>
      <c r="BX577" s="408"/>
      <c r="BY577" s="408"/>
      <c r="BZ577" s="408"/>
      <c r="CA577" s="408"/>
      <c r="CB577" s="408"/>
      <c r="CC577" s="408"/>
      <c r="CD577" s="408"/>
      <c r="CE577" s="408"/>
      <c r="CF577" s="408"/>
      <c r="CG577" s="408"/>
      <c r="CH577" s="408"/>
      <c r="CI577" s="408">
        <v>32.764800000000001</v>
      </c>
      <c r="CJ577" s="408">
        <v>3.3814099999999918</v>
      </c>
      <c r="CK577" s="408"/>
      <c r="CL577" s="408"/>
      <c r="CM577" s="408"/>
      <c r="CN577" s="408"/>
      <c r="CO577" s="408">
        <v>-1.8703399999999999</v>
      </c>
      <c r="CP577" s="408">
        <v>0.36703000000000008</v>
      </c>
      <c r="CQ577" s="408">
        <v>31</v>
      </c>
      <c r="CR577" s="408">
        <v>1.5304780205628106</v>
      </c>
      <c r="CS577" s="408">
        <v>0.53455272779992669</v>
      </c>
      <c r="CT577" s="408">
        <v>0.51939491335697507</v>
      </c>
      <c r="CU577" s="408">
        <v>0</v>
      </c>
      <c r="CV577" s="408">
        <v>0</v>
      </c>
      <c r="CW577" s="408">
        <v>0</v>
      </c>
      <c r="CX577" s="408">
        <v>0</v>
      </c>
      <c r="CY577" s="408">
        <v>0</v>
      </c>
      <c r="CZ577" s="408">
        <v>0.13127610469003795</v>
      </c>
      <c r="DA577" s="408">
        <v>0</v>
      </c>
      <c r="DB577" s="408">
        <v>0</v>
      </c>
      <c r="DC577" s="408">
        <v>0.36698856019053316</v>
      </c>
      <c r="DD577" s="408">
        <v>0</v>
      </c>
      <c r="DE577" s="408">
        <v>0</v>
      </c>
      <c r="DF577" s="408">
        <v>0</v>
      </c>
      <c r="DG577" s="408">
        <v>1.9260257524238739E-2</v>
      </c>
      <c r="DH577" s="408">
        <v>0</v>
      </c>
      <c r="DI577" s="408">
        <v>-3.5527954345558665E-2</v>
      </c>
      <c r="DJ577" s="408"/>
      <c r="DK577" s="408">
        <v>0</v>
      </c>
      <c r="DL577" s="408">
        <v>0</v>
      </c>
      <c r="DM577" s="408">
        <v>0</v>
      </c>
      <c r="DN577" s="408">
        <v>0</v>
      </c>
      <c r="DO577" s="408">
        <v>-4.8856647633180317E-3</v>
      </c>
      <c r="DP577" s="408">
        <v>-5.8092389002512707E-4</v>
      </c>
      <c r="DQ577" s="408">
        <v>0</v>
      </c>
      <c r="DR577" s="408">
        <v>0</v>
      </c>
      <c r="DS577" s="408"/>
      <c r="DT577" s="408"/>
      <c r="DU577" s="408"/>
      <c r="DV577" s="408">
        <v>12.212594358522484</v>
      </c>
      <c r="DW577" s="408">
        <v>0</v>
      </c>
      <c r="DX577" s="408">
        <v>0</v>
      </c>
      <c r="DY577" s="408">
        <v>-1.8703399999999988</v>
      </c>
      <c r="DZ577" s="408">
        <v>0.36703000000000019</v>
      </c>
      <c r="EA577" s="408">
        <v>0</v>
      </c>
      <c r="EB577" s="408">
        <v>0</v>
      </c>
      <c r="EC577" s="408">
        <v>-3.0338155955963604</v>
      </c>
      <c r="ED577" s="408">
        <v>0</v>
      </c>
      <c r="EE577" s="408">
        <v>0</v>
      </c>
      <c r="EF577" s="408">
        <v>0</v>
      </c>
      <c r="EG577" s="408">
        <v>0</v>
      </c>
      <c r="EH577" s="408">
        <v>0</v>
      </c>
      <c r="EI577" s="408">
        <v>0</v>
      </c>
      <c r="EJ577" s="408">
        <v>0</v>
      </c>
      <c r="EK577" s="408">
        <v>0</v>
      </c>
      <c r="EL577" s="408">
        <v>0</v>
      </c>
      <c r="EM577" s="408">
        <v>0</v>
      </c>
      <c r="EN577" s="408">
        <v>0</v>
      </c>
      <c r="EO577" s="408">
        <v>0</v>
      </c>
      <c r="EP577" s="408">
        <v>0.26719821614758793</v>
      </c>
      <c r="EQ577" s="408">
        <v>0</v>
      </c>
      <c r="ER577" s="408">
        <v>0</v>
      </c>
      <c r="ES577" s="408">
        <v>0</v>
      </c>
      <c r="ET577" s="408">
        <v>0</v>
      </c>
      <c r="EU577" s="408">
        <v>0</v>
      </c>
      <c r="EV577" s="408">
        <v>240</v>
      </c>
      <c r="EW577" s="408">
        <v>0</v>
      </c>
      <c r="EX577" s="408">
        <v>0</v>
      </c>
      <c r="EY577" s="408">
        <v>0</v>
      </c>
      <c r="EZ577" s="408"/>
      <c r="FA577" s="408">
        <v>0</v>
      </c>
      <c r="FB577" s="408"/>
      <c r="FC577" s="408"/>
      <c r="FD577" s="408"/>
      <c r="FE577" s="408"/>
      <c r="FF577" s="408">
        <v>0</v>
      </c>
      <c r="FG577" s="408">
        <v>0</v>
      </c>
      <c r="FH577" s="408">
        <v>0</v>
      </c>
      <c r="FI577" s="408">
        <v>0</v>
      </c>
    </row>
    <row r="578" spans="1:165">
      <c r="A578" s="408">
        <v>576</v>
      </c>
      <c r="B578" s="408" t="s">
        <v>1036</v>
      </c>
      <c r="C578" s="408" t="s">
        <v>2316</v>
      </c>
      <c r="D578" s="408" t="s">
        <v>1958</v>
      </c>
      <c r="E578" s="408" t="s">
        <v>970</v>
      </c>
      <c r="F578" s="408" t="s">
        <v>1322</v>
      </c>
      <c r="G578" s="408" t="s">
        <v>1322</v>
      </c>
      <c r="H578" s="408" t="s">
        <v>1322</v>
      </c>
      <c r="I578" s="408" t="s">
        <v>2244</v>
      </c>
      <c r="J578" s="408" t="s">
        <v>2236</v>
      </c>
      <c r="K578" s="826">
        <v>44621</v>
      </c>
      <c r="L578" s="408">
        <v>0</v>
      </c>
      <c r="M578" s="408">
        <v>0</v>
      </c>
      <c r="N578" s="408">
        <v>1.9690000000000001</v>
      </c>
      <c r="O578" s="408">
        <v>1.9690000000000001</v>
      </c>
      <c r="P578" s="408">
        <v>1.9690000000000001</v>
      </c>
      <c r="Q578" s="408">
        <v>1.9690000000000001</v>
      </c>
      <c r="R578" s="408"/>
      <c r="S578" s="408">
        <v>388.22</v>
      </c>
      <c r="T578" s="408">
        <v>173.25</v>
      </c>
      <c r="U578" s="408"/>
      <c r="V578" s="408">
        <v>1105.5344300000002</v>
      </c>
      <c r="W578" s="408">
        <v>1105.5344300000002</v>
      </c>
      <c r="X578" s="408">
        <v>1102.6990700000001</v>
      </c>
      <c r="Y578" s="408">
        <v>0</v>
      </c>
      <c r="Z578" s="408">
        <v>121.18246571956033</v>
      </c>
      <c r="AA578" s="408">
        <v>0</v>
      </c>
      <c r="AB578" s="408">
        <v>0</v>
      </c>
      <c r="AC578" s="408">
        <v>42.707313094729045</v>
      </c>
      <c r="AD578" s="408">
        <v>2.9533531603431111</v>
      </c>
      <c r="AE578" s="408">
        <v>282.9013684198971</v>
      </c>
      <c r="AF578" s="408">
        <v>335.4003865824813</v>
      </c>
      <c r="AG578" s="408">
        <v>5.7243428216357222</v>
      </c>
      <c r="AH578" s="408">
        <v>0</v>
      </c>
      <c r="AI578" s="408">
        <v>0</v>
      </c>
      <c r="AJ578" s="408">
        <v>0</v>
      </c>
      <c r="AK578" s="408">
        <v>0</v>
      </c>
      <c r="AL578" s="408">
        <v>18.723280616053732</v>
      </c>
      <c r="AM578" s="408"/>
      <c r="AN578" s="408">
        <v>2.3782698705801955</v>
      </c>
      <c r="AO578" s="408">
        <v>124.26515130683327</v>
      </c>
      <c r="AP578" s="408">
        <v>120.74148000692733</v>
      </c>
      <c r="AQ578" s="408">
        <v>0</v>
      </c>
      <c r="AR578" s="408">
        <v>0</v>
      </c>
      <c r="AS578" s="408">
        <v>0</v>
      </c>
      <c r="AT578" s="408">
        <v>0</v>
      </c>
      <c r="AU578" s="408">
        <v>0</v>
      </c>
      <c r="AV578" s="408">
        <v>0</v>
      </c>
      <c r="AW578" s="408">
        <v>0</v>
      </c>
      <c r="AX578" s="408">
        <v>0</v>
      </c>
      <c r="AY578" s="408">
        <v>0</v>
      </c>
      <c r="AZ578" s="408">
        <v>0</v>
      </c>
      <c r="BA578" s="408"/>
      <c r="BB578" s="408">
        <v>0</v>
      </c>
      <c r="BC578" s="408">
        <v>0</v>
      </c>
      <c r="BD578" s="408">
        <v>0</v>
      </c>
      <c r="BE578" s="408">
        <v>0</v>
      </c>
      <c r="BF578" s="408">
        <v>0</v>
      </c>
      <c r="BG578" s="408">
        <v>17.602450103495848</v>
      </c>
      <c r="BH578" s="408">
        <v>0</v>
      </c>
      <c r="BI578" s="408">
        <v>0</v>
      </c>
      <c r="BJ578" s="408">
        <v>0</v>
      </c>
      <c r="BK578" s="408">
        <v>0</v>
      </c>
      <c r="BL578" s="408">
        <v>0</v>
      </c>
      <c r="BM578" s="408"/>
      <c r="BN578" s="408"/>
      <c r="BO578" s="408"/>
      <c r="BP578" s="408"/>
      <c r="BQ578" s="408"/>
      <c r="BR578" s="408"/>
      <c r="BS578" s="408"/>
      <c r="BT578" s="408"/>
      <c r="BU578" s="408"/>
      <c r="BV578" s="408">
        <v>353.00283668597717</v>
      </c>
      <c r="BW578" s="408"/>
      <c r="BX578" s="408"/>
      <c r="BY578" s="408"/>
      <c r="BZ578" s="408"/>
      <c r="CA578" s="408"/>
      <c r="CB578" s="408"/>
      <c r="CC578" s="408"/>
      <c r="CD578" s="408"/>
      <c r="CE578" s="408"/>
      <c r="CF578" s="408"/>
      <c r="CG578" s="408"/>
      <c r="CH578" s="408"/>
      <c r="CI578" s="408">
        <v>1103.2591</v>
      </c>
      <c r="CJ578" s="408">
        <v>-2.30533000000014</v>
      </c>
      <c r="CK578" s="408"/>
      <c r="CL578" s="408"/>
      <c r="CM578" s="408"/>
      <c r="CN578" s="408"/>
      <c r="CO578" s="408">
        <v>-45.346070000000061</v>
      </c>
      <c r="CP578" s="408">
        <v>42.51071000000001</v>
      </c>
      <c r="CQ578" s="408">
        <v>31</v>
      </c>
      <c r="CR578" s="408">
        <v>67.443930964732317</v>
      </c>
      <c r="CS578" s="408">
        <v>12.382756718094555</v>
      </c>
      <c r="CT578" s="408">
        <v>12.031630404704316</v>
      </c>
      <c r="CU578" s="408">
        <v>0</v>
      </c>
      <c r="CV578" s="408">
        <v>0</v>
      </c>
      <c r="CW578" s="408">
        <v>0</v>
      </c>
      <c r="CX578" s="408">
        <v>0</v>
      </c>
      <c r="CY578" s="408">
        <v>0</v>
      </c>
      <c r="CZ578" s="408">
        <v>3.0409751998426797</v>
      </c>
      <c r="DA578" s="408">
        <v>0</v>
      </c>
      <c r="DB578" s="408">
        <v>0</v>
      </c>
      <c r="DC578" s="408">
        <v>42.505910295009357</v>
      </c>
      <c r="DD578" s="408">
        <v>0</v>
      </c>
      <c r="DE578" s="408">
        <v>0</v>
      </c>
      <c r="DF578" s="408">
        <v>0</v>
      </c>
      <c r="DG578" s="408">
        <v>2.2307910038368277</v>
      </c>
      <c r="DH578" s="408">
        <v>0</v>
      </c>
      <c r="DI578" s="408">
        <v>-4.1149730650826513</v>
      </c>
      <c r="DJ578" s="408"/>
      <c r="DK578" s="408">
        <v>0</v>
      </c>
      <c r="DL578" s="408">
        <v>0</v>
      </c>
      <c r="DM578" s="408">
        <v>0</v>
      </c>
      <c r="DN578" s="408">
        <v>0</v>
      </c>
      <c r="DO578" s="408">
        <v>-0.56587493641018582</v>
      </c>
      <c r="DP578" s="408">
        <v>-6.7284655262322079E-2</v>
      </c>
      <c r="DQ578" s="408">
        <v>0</v>
      </c>
      <c r="DR578" s="408">
        <v>0</v>
      </c>
      <c r="DS578" s="408"/>
      <c r="DT578" s="408"/>
      <c r="DU578" s="408"/>
      <c r="DV578" s="408">
        <v>282.9013684198971</v>
      </c>
      <c r="DW578" s="408">
        <v>0</v>
      </c>
      <c r="DX578" s="408">
        <v>0</v>
      </c>
      <c r="DY578" s="408">
        <v>-45.346070000000054</v>
      </c>
      <c r="DZ578" s="408">
        <v>42.510710000000017</v>
      </c>
      <c r="EA578" s="408">
        <v>0</v>
      </c>
      <c r="EB578" s="408">
        <v>0</v>
      </c>
      <c r="EC578" s="408">
        <v>-70.277498648670928</v>
      </c>
      <c r="ED578" s="408">
        <v>0</v>
      </c>
      <c r="EE578" s="408">
        <v>0</v>
      </c>
      <c r="EF578" s="408">
        <v>0</v>
      </c>
      <c r="EG578" s="408">
        <v>0</v>
      </c>
      <c r="EH578" s="408">
        <v>0</v>
      </c>
      <c r="EI578" s="408">
        <v>0</v>
      </c>
      <c r="EJ578" s="408">
        <v>0</v>
      </c>
      <c r="EK578" s="408">
        <v>0</v>
      </c>
      <c r="EL578" s="408">
        <v>0</v>
      </c>
      <c r="EM578" s="408">
        <v>0</v>
      </c>
      <c r="EN578" s="408">
        <v>0</v>
      </c>
      <c r="EO578" s="408">
        <v>0</v>
      </c>
      <c r="EP578" s="408">
        <v>30.94784044674121</v>
      </c>
      <c r="EQ578" s="408">
        <v>0</v>
      </c>
      <c r="ER578" s="408">
        <v>0</v>
      </c>
      <c r="ES578" s="408">
        <v>0</v>
      </c>
      <c r="ET578" s="408">
        <v>0</v>
      </c>
      <c r="EU578" s="408">
        <v>0</v>
      </c>
      <c r="EV578" s="408">
        <v>240</v>
      </c>
      <c r="EW578" s="408">
        <v>0</v>
      </c>
      <c r="EX578" s="408">
        <v>0</v>
      </c>
      <c r="EY578" s="408">
        <v>0</v>
      </c>
      <c r="EZ578" s="408"/>
      <c r="FA578" s="408">
        <v>0</v>
      </c>
      <c r="FB578" s="408"/>
      <c r="FC578" s="408"/>
      <c r="FD578" s="408"/>
      <c r="FE578" s="408"/>
      <c r="FF578" s="408">
        <v>0</v>
      </c>
      <c r="FG578" s="408">
        <v>0</v>
      </c>
      <c r="FH578" s="408">
        <v>0</v>
      </c>
      <c r="FI578" s="408">
        <v>0</v>
      </c>
    </row>
    <row r="579" spans="1:165">
      <c r="A579" s="408">
        <v>577</v>
      </c>
      <c r="B579" s="408" t="s">
        <v>1036</v>
      </c>
      <c r="C579" s="408" t="s">
        <v>2316</v>
      </c>
      <c r="D579" s="408" t="s">
        <v>1958</v>
      </c>
      <c r="E579" s="408" t="s">
        <v>970</v>
      </c>
      <c r="F579" s="408" t="s">
        <v>1322</v>
      </c>
      <c r="G579" s="408" t="s">
        <v>1322</v>
      </c>
      <c r="H579" s="408" t="s">
        <v>1322</v>
      </c>
      <c r="I579" s="408" t="s">
        <v>1322</v>
      </c>
      <c r="J579" s="408" t="s">
        <v>2236</v>
      </c>
      <c r="K579" s="826">
        <v>44621</v>
      </c>
      <c r="L579" s="408">
        <v>0</v>
      </c>
      <c r="M579" s="408">
        <v>0</v>
      </c>
      <c r="N579" s="408">
        <v>0</v>
      </c>
      <c r="O579" s="408">
        <v>0</v>
      </c>
      <c r="P579" s="408">
        <v>0</v>
      </c>
      <c r="Q579" s="408">
        <v>0</v>
      </c>
      <c r="R579" s="408"/>
      <c r="S579" s="408"/>
      <c r="T579" s="408"/>
      <c r="U579" s="408"/>
      <c r="V579" s="408"/>
      <c r="W579" s="408"/>
      <c r="X579" s="408"/>
      <c r="Y579" s="408"/>
      <c r="Z579" s="408"/>
      <c r="AA579" s="408">
        <v>0</v>
      </c>
      <c r="AB579" s="408"/>
      <c r="AC579" s="408"/>
      <c r="AD579" s="408"/>
      <c r="AE579" s="408"/>
      <c r="AF579" s="408"/>
      <c r="AG579" s="408"/>
      <c r="AH579" s="408"/>
      <c r="AI579" s="408"/>
      <c r="AJ579" s="408"/>
      <c r="AK579" s="408"/>
      <c r="AL579" s="408"/>
      <c r="AM579" s="408"/>
      <c r="AN579" s="408"/>
      <c r="AO579" s="408"/>
      <c r="AP579" s="408"/>
      <c r="AQ579" s="408"/>
      <c r="AR579" s="408"/>
      <c r="AS579" s="408"/>
      <c r="AT579" s="408"/>
      <c r="AU579" s="408"/>
      <c r="AV579" s="408"/>
      <c r="AW579" s="408"/>
      <c r="AX579" s="408"/>
      <c r="AY579" s="408"/>
      <c r="AZ579" s="408">
        <v>0</v>
      </c>
      <c r="BA579" s="408"/>
      <c r="BB579" s="408"/>
      <c r="BC579" s="408"/>
      <c r="BD579" s="408"/>
      <c r="BE579" s="408"/>
      <c r="BF579" s="408"/>
      <c r="BG579" s="408"/>
      <c r="BH579" s="408"/>
      <c r="BI579" s="408">
        <v>1.08</v>
      </c>
      <c r="BJ579" s="408">
        <v>11.58</v>
      </c>
      <c r="BK579" s="408">
        <v>316.3</v>
      </c>
      <c r="BL579" s="408">
        <v>1</v>
      </c>
      <c r="BM579" s="408"/>
      <c r="BN579" s="408"/>
      <c r="BO579" s="408"/>
      <c r="BP579" s="408"/>
      <c r="BQ579" s="408"/>
      <c r="BR579" s="408"/>
      <c r="BS579" s="408"/>
      <c r="BT579" s="408"/>
      <c r="BU579" s="408"/>
      <c r="BV579" s="408"/>
      <c r="BW579" s="408"/>
      <c r="BX579" s="408"/>
      <c r="BY579" s="408"/>
      <c r="BZ579" s="408"/>
      <c r="CA579" s="408"/>
      <c r="CB579" s="408"/>
      <c r="CC579" s="408"/>
      <c r="CD579" s="408"/>
      <c r="CE579" s="408"/>
      <c r="CF579" s="408"/>
      <c r="CG579" s="408"/>
      <c r="CH579" s="408"/>
      <c r="CI579" s="408"/>
      <c r="CJ579" s="408">
        <v>-0.03</v>
      </c>
      <c r="CK579" s="408"/>
      <c r="CL579" s="408"/>
      <c r="CM579" s="408"/>
      <c r="CN579" s="408"/>
      <c r="CO579" s="408">
        <v>0</v>
      </c>
      <c r="CP579" s="408">
        <v>0</v>
      </c>
      <c r="CQ579" s="408">
        <v>31</v>
      </c>
      <c r="CR579" s="408"/>
      <c r="CS579" s="408"/>
      <c r="CT579" s="408"/>
      <c r="CU579" s="408"/>
      <c r="CV579" s="408"/>
      <c r="CW579" s="408"/>
      <c r="CX579" s="408"/>
      <c r="CY579" s="408"/>
      <c r="CZ579" s="408"/>
      <c r="DA579" s="408"/>
      <c r="DB579" s="408"/>
      <c r="DC579" s="408"/>
      <c r="DD579" s="408"/>
      <c r="DE579" s="408"/>
      <c r="DF579" s="408"/>
      <c r="DG579" s="408"/>
      <c r="DH579" s="408"/>
      <c r="DI579" s="408"/>
      <c r="DJ579" s="408"/>
      <c r="DK579" s="408">
        <v>0</v>
      </c>
      <c r="DL579" s="408"/>
      <c r="DM579" s="408"/>
      <c r="DN579" s="408"/>
      <c r="DO579" s="408"/>
      <c r="DP579" s="408"/>
      <c r="DQ579" s="408"/>
      <c r="DR579" s="408"/>
      <c r="DS579" s="408"/>
      <c r="DT579" s="408"/>
      <c r="DU579" s="408"/>
      <c r="DV579" s="408"/>
      <c r="DW579" s="408"/>
      <c r="DX579" s="408"/>
      <c r="DY579" s="408"/>
      <c r="DZ579" s="408"/>
      <c r="EA579" s="408"/>
      <c r="EB579" s="408"/>
      <c r="EC579" s="408"/>
      <c r="ED579" s="408"/>
      <c r="EE579" s="408"/>
      <c r="EF579" s="408"/>
      <c r="EG579" s="408"/>
      <c r="EH579" s="408"/>
      <c r="EI579" s="408"/>
      <c r="EJ579" s="408"/>
      <c r="EK579" s="408"/>
      <c r="EL579" s="408"/>
      <c r="EM579" s="408"/>
      <c r="EN579" s="408"/>
      <c r="EO579" s="408"/>
      <c r="EP579" s="408"/>
      <c r="EQ579" s="408"/>
      <c r="ER579" s="408"/>
      <c r="ES579" s="408"/>
      <c r="ET579" s="408"/>
      <c r="EU579" s="408"/>
      <c r="EV579" s="408">
        <v>240</v>
      </c>
      <c r="EW579" s="408"/>
      <c r="EX579" s="408"/>
      <c r="EY579" s="408"/>
      <c r="EZ579" s="408"/>
      <c r="FA579" s="408">
        <v>0</v>
      </c>
      <c r="FB579" s="408"/>
      <c r="FC579" s="408"/>
      <c r="FD579" s="408"/>
      <c r="FE579" s="408"/>
      <c r="FF579" s="408">
        <v>0</v>
      </c>
      <c r="FG579" s="408">
        <v>0</v>
      </c>
      <c r="FH579" s="408">
        <v>0</v>
      </c>
      <c r="FI579" s="408">
        <v>0</v>
      </c>
    </row>
    <row r="580" spans="1:165">
      <c r="A580" s="408">
        <v>578</v>
      </c>
      <c r="B580" s="408" t="s">
        <v>1036</v>
      </c>
      <c r="C580" s="408" t="s">
        <v>2316</v>
      </c>
      <c r="D580" s="408" t="s">
        <v>1958</v>
      </c>
      <c r="E580" s="408" t="s">
        <v>970</v>
      </c>
      <c r="F580" s="408" t="s">
        <v>1322</v>
      </c>
      <c r="G580" s="408" t="s">
        <v>1322</v>
      </c>
      <c r="H580" s="408" t="s">
        <v>1322</v>
      </c>
      <c r="I580" s="408" t="s">
        <v>2317</v>
      </c>
      <c r="J580" s="408" t="s">
        <v>2236</v>
      </c>
      <c r="K580" s="826">
        <v>44621</v>
      </c>
      <c r="L580" s="408">
        <v>0</v>
      </c>
      <c r="M580" s="408">
        <v>0</v>
      </c>
      <c r="N580" s="408">
        <v>9.6000000000000002E-2</v>
      </c>
      <c r="O580" s="408">
        <v>9.6000000000000002E-2</v>
      </c>
      <c r="P580" s="408">
        <v>9.6000000000000002E-2</v>
      </c>
      <c r="Q580" s="408">
        <v>9.6000000000000002E-2</v>
      </c>
      <c r="R580" s="408"/>
      <c r="S580" s="408">
        <v>970.82</v>
      </c>
      <c r="T580" s="408">
        <v>173.25</v>
      </c>
      <c r="U580" s="408"/>
      <c r="V580" s="408">
        <v>109.83072000000001</v>
      </c>
      <c r="W580" s="408">
        <v>109.83072000000001</v>
      </c>
      <c r="X580" s="408">
        <v>105.51648</v>
      </c>
      <c r="Y580" s="408">
        <v>0</v>
      </c>
      <c r="Z580" s="408">
        <v>5.9083375871395587</v>
      </c>
      <c r="AA580" s="408">
        <v>0</v>
      </c>
      <c r="AB580" s="408">
        <v>0</v>
      </c>
      <c r="AC580" s="408">
        <v>6.2466765725149731</v>
      </c>
      <c r="AD580" s="408">
        <v>0.43197852218324739</v>
      </c>
      <c r="AE580" s="408">
        <v>41.379153576656158</v>
      </c>
      <c r="AF580" s="408">
        <v>16.352685176190047</v>
      </c>
      <c r="AG580" s="408">
        <v>0.27909441893196002</v>
      </c>
      <c r="AH580" s="408">
        <v>0</v>
      </c>
      <c r="AI580" s="408">
        <v>0</v>
      </c>
      <c r="AJ580" s="408">
        <v>0</v>
      </c>
      <c r="AK580" s="408">
        <v>0</v>
      </c>
      <c r="AL580" s="408">
        <v>0.91286690662323933</v>
      </c>
      <c r="AM580" s="408"/>
      <c r="AN580" s="408">
        <v>0.11595424457882111</v>
      </c>
      <c r="AO580" s="408">
        <v>18.175908367886208</v>
      </c>
      <c r="AP580" s="408">
        <v>17.660511042150912</v>
      </c>
      <c r="AQ580" s="408">
        <v>0</v>
      </c>
      <c r="AR580" s="408">
        <v>0</v>
      </c>
      <c r="AS580" s="408">
        <v>0</v>
      </c>
      <c r="AT580" s="408">
        <v>0</v>
      </c>
      <c r="AU580" s="408">
        <v>0</v>
      </c>
      <c r="AV580" s="408">
        <v>0</v>
      </c>
      <c r="AW580" s="408">
        <v>0</v>
      </c>
      <c r="AX580" s="408">
        <v>0</v>
      </c>
      <c r="AY580" s="408">
        <v>0</v>
      </c>
      <c r="AZ580" s="408">
        <v>0</v>
      </c>
      <c r="BA580" s="408"/>
      <c r="BB580" s="408">
        <v>0</v>
      </c>
      <c r="BC580" s="408">
        <v>0</v>
      </c>
      <c r="BD580" s="408">
        <v>0</v>
      </c>
      <c r="BE580" s="408">
        <v>0</v>
      </c>
      <c r="BF580" s="408">
        <v>0</v>
      </c>
      <c r="BG580" s="408">
        <v>0.85822001520345415</v>
      </c>
      <c r="BH580" s="408">
        <v>0</v>
      </c>
      <c r="BI580" s="408">
        <v>0</v>
      </c>
      <c r="BJ580" s="408">
        <v>0</v>
      </c>
      <c r="BK580" s="408">
        <v>0</v>
      </c>
      <c r="BL580" s="408">
        <v>0</v>
      </c>
      <c r="BM580" s="408"/>
      <c r="BN580" s="408"/>
      <c r="BO580" s="408"/>
      <c r="BP580" s="408"/>
      <c r="BQ580" s="408"/>
      <c r="BR580" s="408"/>
      <c r="BS580" s="408"/>
      <c r="BT580" s="408"/>
      <c r="BU580" s="408"/>
      <c r="BV580" s="408">
        <v>17.210905191393501</v>
      </c>
      <c r="BW580" s="408"/>
      <c r="BX580" s="408"/>
      <c r="BY580" s="408"/>
      <c r="BZ580" s="408"/>
      <c r="CA580" s="408"/>
      <c r="CB580" s="408"/>
      <c r="CC580" s="408"/>
      <c r="CD580" s="408"/>
      <c r="CE580" s="408"/>
      <c r="CF580" s="408"/>
      <c r="CG580" s="408"/>
      <c r="CH580" s="408"/>
      <c r="CI580" s="408">
        <v>109.91300000000001</v>
      </c>
      <c r="CJ580" s="408">
        <v>5.2279999999981897E-2</v>
      </c>
      <c r="CK580" s="408"/>
      <c r="CL580" s="408"/>
      <c r="CM580" s="408"/>
      <c r="CN580" s="408"/>
      <c r="CO580" s="408">
        <v>-6.3868800000000086</v>
      </c>
      <c r="CP580" s="408">
        <v>2.0726400000000003</v>
      </c>
      <c r="CQ580" s="408">
        <v>31</v>
      </c>
      <c r="CR580" s="408">
        <v>5.9654885416767343</v>
      </c>
      <c r="CS580" s="408">
        <v>1.8111904188985939</v>
      </c>
      <c r="CT580" s="408">
        <v>1.7598321770211847</v>
      </c>
      <c r="CU580" s="408">
        <v>0</v>
      </c>
      <c r="CV580" s="408">
        <v>0</v>
      </c>
      <c r="CW580" s="408">
        <v>0</v>
      </c>
      <c r="CX580" s="408">
        <v>0</v>
      </c>
      <c r="CY580" s="408">
        <v>0</v>
      </c>
      <c r="CZ580" s="408">
        <v>0.44479474736145019</v>
      </c>
      <c r="DA580" s="408">
        <v>0</v>
      </c>
      <c r="DB580" s="408">
        <v>0</v>
      </c>
      <c r="DC580" s="408">
        <v>2.0724059869583051</v>
      </c>
      <c r="DD580" s="408">
        <v>0</v>
      </c>
      <c r="DE580" s="408">
        <v>0</v>
      </c>
      <c r="DF580" s="408">
        <v>0</v>
      </c>
      <c r="DG580" s="408">
        <v>0.10876380719570111</v>
      </c>
      <c r="DH580" s="408">
        <v>0</v>
      </c>
      <c r="DI580" s="408">
        <v>-0.20062844806903701</v>
      </c>
      <c r="DJ580" s="408"/>
      <c r="DK580" s="408">
        <v>0</v>
      </c>
      <c r="DL580" s="408">
        <v>0</v>
      </c>
      <c r="DM580" s="408">
        <v>0</v>
      </c>
      <c r="DN580" s="408">
        <v>0</v>
      </c>
      <c r="DO580" s="408">
        <v>-2.7589636310501708E-2</v>
      </c>
      <c r="DP580" s="408">
        <v>-3.2805113789654422E-3</v>
      </c>
      <c r="DQ580" s="408">
        <v>0</v>
      </c>
      <c r="DR580" s="408">
        <v>0</v>
      </c>
      <c r="DS580" s="408"/>
      <c r="DT580" s="408"/>
      <c r="DU580" s="408"/>
      <c r="DV580" s="408">
        <v>41.379153576656158</v>
      </c>
      <c r="DW580" s="408">
        <v>0</v>
      </c>
      <c r="DX580" s="408">
        <v>0</v>
      </c>
      <c r="DY580" s="408">
        <v>-6.386880000000005</v>
      </c>
      <c r="DZ580" s="408">
        <v>2.0726399999999998</v>
      </c>
      <c r="EA580" s="408">
        <v>0</v>
      </c>
      <c r="EB580" s="408">
        <v>0</v>
      </c>
      <c r="EC580" s="408">
        <v>-10.279283645070141</v>
      </c>
      <c r="ED580" s="408">
        <v>0</v>
      </c>
      <c r="EE580" s="408">
        <v>0</v>
      </c>
      <c r="EF580" s="408">
        <v>0</v>
      </c>
      <c r="EG580" s="408">
        <v>0</v>
      </c>
      <c r="EH580" s="408">
        <v>0</v>
      </c>
      <c r="EI580" s="408">
        <v>0</v>
      </c>
      <c r="EJ580" s="408">
        <v>0</v>
      </c>
      <c r="EK580" s="408">
        <v>0</v>
      </c>
      <c r="EL580" s="408">
        <v>0</v>
      </c>
      <c r="EM580" s="408">
        <v>0</v>
      </c>
      <c r="EN580" s="408">
        <v>0</v>
      </c>
      <c r="EO580" s="408">
        <v>0</v>
      </c>
      <c r="EP580" s="408">
        <v>1.5088840441275553</v>
      </c>
      <c r="EQ580" s="408">
        <v>0</v>
      </c>
      <c r="ER580" s="408">
        <v>0</v>
      </c>
      <c r="ES580" s="408">
        <v>0</v>
      </c>
      <c r="ET580" s="408">
        <v>0</v>
      </c>
      <c r="EU580" s="408">
        <v>0</v>
      </c>
      <c r="EV580" s="408">
        <v>240</v>
      </c>
      <c r="EW580" s="408">
        <v>0</v>
      </c>
      <c r="EX580" s="408">
        <v>0</v>
      </c>
      <c r="EY580" s="408">
        <v>0</v>
      </c>
      <c r="EZ580" s="408"/>
      <c r="FA580" s="408">
        <v>0</v>
      </c>
      <c r="FB580" s="408"/>
      <c r="FC580" s="408"/>
      <c r="FD580" s="408"/>
      <c r="FE580" s="408"/>
      <c r="FF580" s="408">
        <v>0</v>
      </c>
      <c r="FG580" s="408">
        <v>0</v>
      </c>
      <c r="FH580" s="408">
        <v>0</v>
      </c>
      <c r="FI580" s="408">
        <v>0</v>
      </c>
    </row>
    <row r="581" spans="1:165">
      <c r="A581" s="408">
        <v>579</v>
      </c>
      <c r="B581" s="408" t="s">
        <v>1036</v>
      </c>
      <c r="C581" s="408" t="s">
        <v>2235</v>
      </c>
      <c r="D581" s="408" t="s">
        <v>1958</v>
      </c>
      <c r="E581" s="408" t="s">
        <v>998</v>
      </c>
      <c r="F581" s="408" t="s">
        <v>1322</v>
      </c>
      <c r="G581" s="408" t="s">
        <v>1322</v>
      </c>
      <c r="H581" s="408" t="s">
        <v>1322</v>
      </c>
      <c r="I581" s="408" t="s">
        <v>1322</v>
      </c>
      <c r="J581" s="408" t="s">
        <v>2236</v>
      </c>
      <c r="K581" s="826">
        <v>44621</v>
      </c>
      <c r="L581" s="408">
        <v>0</v>
      </c>
      <c r="M581" s="408">
        <v>0</v>
      </c>
      <c r="N581" s="408">
        <v>3012.59</v>
      </c>
      <c r="O581" s="408">
        <v>3012.59</v>
      </c>
      <c r="P581" s="408">
        <v>3012.59</v>
      </c>
      <c r="Q581" s="408">
        <v>3012.59</v>
      </c>
      <c r="R581" s="408"/>
      <c r="S581" s="408">
        <v>368.24</v>
      </c>
      <c r="T581" s="408">
        <v>173.25</v>
      </c>
      <c r="U581" s="408"/>
      <c r="V581" s="408">
        <v>1631287.3591</v>
      </c>
      <c r="W581" s="408">
        <v>1631287.3591</v>
      </c>
      <c r="X581" s="408">
        <v>1533076.9251000001</v>
      </c>
      <c r="Y581" s="408">
        <v>0</v>
      </c>
      <c r="Z581" s="408">
        <v>185410.40345459129</v>
      </c>
      <c r="AA581" s="408">
        <v>0</v>
      </c>
      <c r="AB581" s="408">
        <v>0</v>
      </c>
      <c r="AC581" s="408">
        <v>7710.83667006631</v>
      </c>
      <c r="AD581" s="408">
        <v>7408.3849770151974</v>
      </c>
      <c r="AE581" s="408">
        <v>709576.72954309697</v>
      </c>
      <c r="AF581" s="408">
        <v>513165.9982806081</v>
      </c>
      <c r="AG581" s="408">
        <v>8758.3026617732648</v>
      </c>
      <c r="AH581" s="408">
        <v>0</v>
      </c>
      <c r="AI581" s="408">
        <v>0</v>
      </c>
      <c r="AJ581" s="408">
        <v>0</v>
      </c>
      <c r="AK581" s="408">
        <v>0</v>
      </c>
      <c r="AL581" s="408">
        <v>28646.809523167758</v>
      </c>
      <c r="AM581" s="408"/>
      <c r="AN581" s="408">
        <v>3638.7770591219864</v>
      </c>
      <c r="AO581" s="408">
        <v>16368.593093183068</v>
      </c>
      <c r="AP581" s="408">
        <v>76324.334784671082</v>
      </c>
      <c r="AQ581" s="408">
        <v>0</v>
      </c>
      <c r="AR581" s="408">
        <v>0</v>
      </c>
      <c r="AS581" s="408">
        <v>0</v>
      </c>
      <c r="AT581" s="408">
        <v>0</v>
      </c>
      <c r="AU581" s="408">
        <v>0</v>
      </c>
      <c r="AV581" s="408">
        <v>0</v>
      </c>
      <c r="AW581" s="408">
        <v>0</v>
      </c>
      <c r="AX581" s="408">
        <v>0</v>
      </c>
      <c r="AY581" s="408">
        <v>0</v>
      </c>
      <c r="AZ581" s="408">
        <v>0</v>
      </c>
      <c r="BA581" s="408"/>
      <c r="BB581" s="408">
        <v>0</v>
      </c>
      <c r="BC581" s="408">
        <v>0</v>
      </c>
      <c r="BD581" s="408">
        <v>0</v>
      </c>
      <c r="BE581" s="408">
        <v>0</v>
      </c>
      <c r="BF581" s="408">
        <v>0</v>
      </c>
      <c r="BG581" s="408">
        <v>26931.927454185145</v>
      </c>
      <c r="BH581" s="408">
        <v>0</v>
      </c>
      <c r="BI581" s="408">
        <v>1362.23</v>
      </c>
      <c r="BJ581" s="408">
        <v>14827.49</v>
      </c>
      <c r="BK581" s="408">
        <v>658982.66</v>
      </c>
      <c r="BL581" s="408">
        <v>4335</v>
      </c>
      <c r="BM581" s="408"/>
      <c r="BN581" s="408"/>
      <c r="BO581" s="408"/>
      <c r="BP581" s="408"/>
      <c r="BQ581" s="408"/>
      <c r="BR581" s="408"/>
      <c r="BS581" s="408"/>
      <c r="BT581" s="408"/>
      <c r="BU581" s="408"/>
      <c r="BV581" s="408">
        <v>540097.92573479319</v>
      </c>
      <c r="BW581" s="408"/>
      <c r="BX581" s="408"/>
      <c r="BY581" s="408"/>
      <c r="BZ581" s="408"/>
      <c r="CA581" s="408"/>
      <c r="CB581" s="408"/>
      <c r="CC581" s="408"/>
      <c r="CD581" s="408"/>
      <c r="CE581" s="408"/>
      <c r="CF581" s="408"/>
      <c r="CG581" s="408"/>
      <c r="CH581" s="408"/>
      <c r="CI581" s="408">
        <v>1533076.9251000001</v>
      </c>
      <c r="CJ581" s="408">
        <v>-98210.46399999992</v>
      </c>
      <c r="CK581" s="408"/>
      <c r="CL581" s="408"/>
      <c r="CM581" s="408"/>
      <c r="CN581" s="408"/>
      <c r="CO581" s="408">
        <v>-163252.25210000001</v>
      </c>
      <c r="CP581" s="408">
        <v>65041.818100000011</v>
      </c>
      <c r="CQ581" s="408">
        <v>31</v>
      </c>
      <c r="CR581" s="408">
        <v>78047.750195047003</v>
      </c>
      <c r="CS581" s="408">
        <v>1631.0953148071003</v>
      </c>
      <c r="CT581" s="408">
        <v>7605.5568224060553</v>
      </c>
      <c r="CU581" s="408">
        <v>0</v>
      </c>
      <c r="CV581" s="408">
        <v>0</v>
      </c>
      <c r="CW581" s="408">
        <v>0</v>
      </c>
      <c r="CX581" s="408">
        <v>0</v>
      </c>
      <c r="CY581" s="408">
        <v>0</v>
      </c>
      <c r="CZ581" s="408">
        <v>7628.1818539348405</v>
      </c>
      <c r="DA581" s="408">
        <v>0</v>
      </c>
      <c r="DB581" s="408">
        <v>0</v>
      </c>
      <c r="DC581" s="408">
        <v>65034.474502611673</v>
      </c>
      <c r="DD581" s="408">
        <v>0</v>
      </c>
      <c r="DE581" s="408">
        <v>0</v>
      </c>
      <c r="DF581" s="408">
        <v>0</v>
      </c>
      <c r="DG581" s="408">
        <v>3413.1328949968483</v>
      </c>
      <c r="DH581" s="408">
        <v>0</v>
      </c>
      <c r="DI581" s="408">
        <v>-6295.9505871697911</v>
      </c>
      <c r="DJ581" s="408"/>
      <c r="DK581" s="408">
        <v>0</v>
      </c>
      <c r="DL581" s="408">
        <v>0</v>
      </c>
      <c r="DM581" s="408">
        <v>0</v>
      </c>
      <c r="DN581" s="408">
        <v>0</v>
      </c>
      <c r="DO581" s="408">
        <v>-865.79440054848237</v>
      </c>
      <c r="DP581" s="408">
        <v>-102.94620599122345</v>
      </c>
      <c r="DQ581" s="408">
        <v>0</v>
      </c>
      <c r="DR581" s="408">
        <v>0</v>
      </c>
      <c r="DS581" s="408"/>
      <c r="DT581" s="408"/>
      <c r="DU581" s="408"/>
      <c r="DV581" s="408">
        <v>709576.72954309697</v>
      </c>
      <c r="DW581" s="408">
        <v>0</v>
      </c>
      <c r="DX581" s="408">
        <v>0</v>
      </c>
      <c r="DY581" s="408">
        <v>-163252.25209999993</v>
      </c>
      <c r="DZ581" s="408">
        <v>65041.818100000033</v>
      </c>
      <c r="EA581" s="408">
        <v>0</v>
      </c>
      <c r="EB581" s="408">
        <v>0</v>
      </c>
      <c r="EC581" s="408">
        <v>-176270.89586070261</v>
      </c>
      <c r="ED581" s="408">
        <v>0</v>
      </c>
      <c r="EE581" s="408">
        <v>0</v>
      </c>
      <c r="EF581" s="408">
        <v>0</v>
      </c>
      <c r="EG581" s="408">
        <v>0</v>
      </c>
      <c r="EH581" s="408">
        <v>0</v>
      </c>
      <c r="EI581" s="408">
        <v>0</v>
      </c>
      <c r="EJ581" s="408">
        <v>0</v>
      </c>
      <c r="EK581" s="408">
        <v>0</v>
      </c>
      <c r="EL581" s="408">
        <v>0</v>
      </c>
      <c r="EM581" s="408">
        <v>0</v>
      </c>
      <c r="EN581" s="408">
        <v>0</v>
      </c>
      <c r="EO581" s="408">
        <v>0</v>
      </c>
      <c r="EP581" s="408">
        <v>47350.510234356581</v>
      </c>
      <c r="EQ581" s="408">
        <v>0</v>
      </c>
      <c r="ER581" s="408">
        <v>0</v>
      </c>
      <c r="ES581" s="408">
        <v>0</v>
      </c>
      <c r="ET581" s="408">
        <v>0</v>
      </c>
      <c r="EU581" s="408">
        <v>0</v>
      </c>
      <c r="EV581" s="408">
        <v>240</v>
      </c>
      <c r="EW581" s="408">
        <v>0</v>
      </c>
      <c r="EX581" s="408">
        <v>0</v>
      </c>
      <c r="EY581" s="408">
        <v>0</v>
      </c>
      <c r="EZ581" s="408"/>
      <c r="FA581" s="408">
        <v>0</v>
      </c>
      <c r="FB581" s="408"/>
      <c r="FC581" s="408"/>
      <c r="FD581" s="408"/>
      <c r="FE581" s="408"/>
      <c r="FF581" s="408">
        <v>0</v>
      </c>
      <c r="FG581" s="408">
        <v>0</v>
      </c>
      <c r="FH581" s="408">
        <v>0</v>
      </c>
      <c r="FI581" s="408">
        <v>0</v>
      </c>
    </row>
    <row r="582" spans="1:165">
      <c r="A582" s="408">
        <v>580</v>
      </c>
      <c r="B582" s="408" t="s">
        <v>2237</v>
      </c>
      <c r="C582" s="408" t="s">
        <v>2235</v>
      </c>
      <c r="D582" s="408" t="s">
        <v>1958</v>
      </c>
      <c r="E582" s="408" t="s">
        <v>998</v>
      </c>
      <c r="F582" s="408" t="s">
        <v>1322</v>
      </c>
      <c r="G582" s="408" t="s">
        <v>1322</v>
      </c>
      <c r="H582" s="408" t="s">
        <v>1322</v>
      </c>
      <c r="I582" s="408" t="s">
        <v>1322</v>
      </c>
      <c r="J582" s="408" t="s">
        <v>2236</v>
      </c>
      <c r="K582" s="826">
        <v>44621</v>
      </c>
      <c r="L582" s="408">
        <v>0</v>
      </c>
      <c r="M582" s="408">
        <v>0</v>
      </c>
      <c r="N582" s="408">
        <v>-0.879</v>
      </c>
      <c r="O582" s="408">
        <v>-0.879</v>
      </c>
      <c r="P582" s="408">
        <v>-0.879</v>
      </c>
      <c r="Q582" s="408">
        <v>-0.879</v>
      </c>
      <c r="R582" s="408"/>
      <c r="S582" s="408">
        <v>368.24</v>
      </c>
      <c r="T582" s="408">
        <v>173.25</v>
      </c>
      <c r="U582" s="408"/>
      <c r="V582" s="408">
        <v>-475.96971000000008</v>
      </c>
      <c r="W582" s="408">
        <v>-475.96971000000008</v>
      </c>
      <c r="X582" s="408">
        <v>-447.31431000000003</v>
      </c>
      <c r="Y582" s="408">
        <v>0</v>
      </c>
      <c r="Z582" s="408">
        <v>-54.098216032246583</v>
      </c>
      <c r="AA582" s="408">
        <v>0</v>
      </c>
      <c r="AB582" s="408">
        <v>0</v>
      </c>
      <c r="AC582" s="408">
        <v>-2.2498333437302409</v>
      </c>
      <c r="AD582" s="408">
        <v>-2.161585345100514</v>
      </c>
      <c r="AE582" s="408">
        <v>-207.03711599267814</v>
      </c>
      <c r="AF582" s="408">
        <v>-149.72927364449012</v>
      </c>
      <c r="AG582" s="408">
        <v>-2.5554582733457591</v>
      </c>
      <c r="AH582" s="408">
        <v>0</v>
      </c>
      <c r="AI582" s="408">
        <v>0</v>
      </c>
      <c r="AJ582" s="408">
        <v>0</v>
      </c>
      <c r="AK582" s="408">
        <v>0</v>
      </c>
      <c r="AL582" s="408">
        <v>-8.3584376137690359</v>
      </c>
      <c r="AM582" s="408"/>
      <c r="AN582" s="408">
        <v>-1.0617060519248307</v>
      </c>
      <c r="AO582" s="408">
        <v>-4.7759546864684257</v>
      </c>
      <c r="AP582" s="408">
        <v>-22.269572120907881</v>
      </c>
      <c r="AQ582" s="408">
        <v>0</v>
      </c>
      <c r="AR582" s="408">
        <v>0</v>
      </c>
      <c r="AS582" s="408">
        <v>0</v>
      </c>
      <c r="AT582" s="408">
        <v>0</v>
      </c>
      <c r="AU582" s="408">
        <v>0</v>
      </c>
      <c r="AV582" s="408">
        <v>0</v>
      </c>
      <c r="AW582" s="408">
        <v>0</v>
      </c>
      <c r="AX582" s="408">
        <v>0</v>
      </c>
      <c r="AY582" s="408">
        <v>0</v>
      </c>
      <c r="AZ582" s="408">
        <v>0</v>
      </c>
      <c r="BA582" s="408"/>
      <c r="BB582" s="408">
        <v>0</v>
      </c>
      <c r="BC582" s="408">
        <v>0</v>
      </c>
      <c r="BD582" s="408">
        <v>0</v>
      </c>
      <c r="BE582" s="408">
        <v>0</v>
      </c>
      <c r="BF582" s="408">
        <v>0</v>
      </c>
      <c r="BG582" s="408">
        <v>-7.8580770142066267</v>
      </c>
      <c r="BH582" s="408">
        <v>0</v>
      </c>
      <c r="BI582" s="408">
        <v>-0.4</v>
      </c>
      <c r="BJ582" s="408">
        <v>-3.46</v>
      </c>
      <c r="BK582" s="408">
        <v>-191.99</v>
      </c>
      <c r="BL582" s="408">
        <v>0</v>
      </c>
      <c r="BM582" s="408"/>
      <c r="BN582" s="408"/>
      <c r="BO582" s="408"/>
      <c r="BP582" s="408"/>
      <c r="BQ582" s="408"/>
      <c r="BR582" s="408"/>
      <c r="BS582" s="408"/>
      <c r="BT582" s="408"/>
      <c r="BU582" s="408"/>
      <c r="BV582" s="408">
        <v>-157.58735065869675</v>
      </c>
      <c r="BW582" s="408"/>
      <c r="BX582" s="408"/>
      <c r="BY582" s="408"/>
      <c r="BZ582" s="408"/>
      <c r="CA582" s="408"/>
      <c r="CB582" s="408"/>
      <c r="CC582" s="408"/>
      <c r="CD582" s="408"/>
      <c r="CE582" s="408"/>
      <c r="CF582" s="408"/>
      <c r="CG582" s="408"/>
      <c r="CH582" s="408"/>
      <c r="CI582" s="408">
        <v>-447.82320000000004</v>
      </c>
      <c r="CJ582" s="408">
        <v>28.116510000000062</v>
      </c>
      <c r="CK582" s="408"/>
      <c r="CL582" s="408"/>
      <c r="CM582" s="408"/>
      <c r="CN582" s="408"/>
      <c r="CO582" s="408">
        <v>47.633009999999999</v>
      </c>
      <c r="CP582" s="408">
        <v>-18.977610000000002</v>
      </c>
      <c r="CQ582" s="408">
        <v>31</v>
      </c>
      <c r="CR582" s="408">
        <v>-22.772422540553521</v>
      </c>
      <c r="CS582" s="408">
        <v>-0.47591367617745561</v>
      </c>
      <c r="CT582" s="408">
        <v>-2.2191152619158032</v>
      </c>
      <c r="CU582" s="408">
        <v>0</v>
      </c>
      <c r="CV582" s="408">
        <v>0</v>
      </c>
      <c r="CW582" s="408">
        <v>0</v>
      </c>
      <c r="CX582" s="408">
        <v>0</v>
      </c>
      <c r="CY582" s="408">
        <v>0</v>
      </c>
      <c r="CZ582" s="408">
        <v>-2.2257166921515124</v>
      </c>
      <c r="DA582" s="408">
        <v>0</v>
      </c>
      <c r="DB582" s="408">
        <v>0</v>
      </c>
      <c r="DC582" s="408">
        <v>-18.97546731808697</v>
      </c>
      <c r="DD582" s="408">
        <v>0</v>
      </c>
      <c r="DE582" s="408">
        <v>0</v>
      </c>
      <c r="DF582" s="408">
        <v>0</v>
      </c>
      <c r="DG582" s="408">
        <v>-0.9958686096356395</v>
      </c>
      <c r="DH582" s="408">
        <v>0</v>
      </c>
      <c r="DI582" s="408">
        <v>1.8370042276321215</v>
      </c>
      <c r="DJ582" s="408"/>
      <c r="DK582" s="408">
        <v>0</v>
      </c>
      <c r="DL582" s="408">
        <v>0</v>
      </c>
      <c r="DM582" s="408">
        <v>0</v>
      </c>
      <c r="DN582" s="408">
        <v>0</v>
      </c>
      <c r="DO582" s="408">
        <v>0.25261760746803219</v>
      </c>
      <c r="DP582" s="408">
        <v>3.0037182313652266E-2</v>
      </c>
      <c r="DQ582" s="408">
        <v>0</v>
      </c>
      <c r="DR582" s="408">
        <v>0</v>
      </c>
      <c r="DS582" s="408"/>
      <c r="DT582" s="408"/>
      <c r="DU582" s="408"/>
      <c r="DV582" s="408">
        <v>-207.03711599267814</v>
      </c>
      <c r="DW582" s="408">
        <v>0</v>
      </c>
      <c r="DX582" s="408">
        <v>0</v>
      </c>
      <c r="DY582" s="408">
        <v>47.633010000000013</v>
      </c>
      <c r="DZ582" s="408">
        <v>-18.977609999999999</v>
      </c>
      <c r="EA582" s="408">
        <v>0</v>
      </c>
      <c r="EB582" s="408">
        <v>0</v>
      </c>
      <c r="EC582" s="408">
        <v>51.431531493352082</v>
      </c>
      <c r="ED582" s="408">
        <v>0</v>
      </c>
      <c r="EE582" s="408">
        <v>0</v>
      </c>
      <c r="EF582" s="408">
        <v>0</v>
      </c>
      <c r="EG582" s="408">
        <v>0</v>
      </c>
      <c r="EH582" s="408">
        <v>0</v>
      </c>
      <c r="EI582" s="408">
        <v>0</v>
      </c>
      <c r="EJ582" s="408">
        <v>0</v>
      </c>
      <c r="EK582" s="408">
        <v>0</v>
      </c>
      <c r="EL582" s="408">
        <v>0</v>
      </c>
      <c r="EM582" s="408">
        <v>0</v>
      </c>
      <c r="EN582" s="408">
        <v>0</v>
      </c>
      <c r="EO582" s="408">
        <v>0</v>
      </c>
      <c r="EP582" s="408">
        <v>-13.815719529042928</v>
      </c>
      <c r="EQ582" s="408">
        <v>0</v>
      </c>
      <c r="ER582" s="408">
        <v>0</v>
      </c>
      <c r="ES582" s="408">
        <v>0</v>
      </c>
      <c r="ET582" s="408">
        <v>0</v>
      </c>
      <c r="EU582" s="408">
        <v>0</v>
      </c>
      <c r="EV582" s="408">
        <v>240</v>
      </c>
      <c r="EW582" s="408">
        <v>0</v>
      </c>
      <c r="EX582" s="408">
        <v>0</v>
      </c>
      <c r="EY582" s="408">
        <v>0</v>
      </c>
      <c r="EZ582" s="408"/>
      <c r="FA582" s="408">
        <v>0</v>
      </c>
      <c r="FB582" s="408"/>
      <c r="FC582" s="408"/>
      <c r="FD582" s="408"/>
      <c r="FE582" s="408"/>
      <c r="FF582" s="408">
        <v>0</v>
      </c>
      <c r="FG582" s="408">
        <v>0</v>
      </c>
      <c r="FH582" s="408">
        <v>0</v>
      </c>
      <c r="FI582" s="408">
        <v>0</v>
      </c>
    </row>
    <row r="583" spans="1:165">
      <c r="A583" s="408">
        <v>581</v>
      </c>
      <c r="B583" s="408" t="s">
        <v>2238</v>
      </c>
      <c r="C583" s="408" t="s">
        <v>2235</v>
      </c>
      <c r="D583" s="408" t="s">
        <v>1958</v>
      </c>
      <c r="E583" s="408" t="s">
        <v>998</v>
      </c>
      <c r="F583" s="408" t="s">
        <v>1322</v>
      </c>
      <c r="G583" s="408" t="s">
        <v>1322</v>
      </c>
      <c r="H583" s="408" t="s">
        <v>1322</v>
      </c>
      <c r="I583" s="408" t="s">
        <v>1322</v>
      </c>
      <c r="J583" s="408" t="s">
        <v>2236</v>
      </c>
      <c r="K583" s="826">
        <v>44621</v>
      </c>
      <c r="L583" s="408">
        <v>0</v>
      </c>
      <c r="M583" s="408">
        <v>0</v>
      </c>
      <c r="N583" s="408">
        <v>221.249</v>
      </c>
      <c r="O583" s="408">
        <v>221.249</v>
      </c>
      <c r="P583" s="408">
        <v>221.249</v>
      </c>
      <c r="Q583" s="408">
        <v>221.249</v>
      </c>
      <c r="R583" s="408"/>
      <c r="S583" s="408">
        <v>368.24</v>
      </c>
      <c r="T583" s="408">
        <v>173.25</v>
      </c>
      <c r="U583" s="408"/>
      <c r="V583" s="408">
        <v>119804.12101</v>
      </c>
      <c r="W583" s="408">
        <v>119804.12101</v>
      </c>
      <c r="X583" s="408">
        <v>112591.40361000001</v>
      </c>
      <c r="Y583" s="408">
        <v>0</v>
      </c>
      <c r="Z583" s="408">
        <v>13616.8102376775</v>
      </c>
      <c r="AA583" s="408">
        <v>0</v>
      </c>
      <c r="AB583" s="408">
        <v>0</v>
      </c>
      <c r="AC583" s="408">
        <v>566.29508244251656</v>
      </c>
      <c r="AD583" s="408">
        <v>544.08258932667081</v>
      </c>
      <c r="AE583" s="408">
        <v>52112.349119754319</v>
      </c>
      <c r="AF583" s="408">
        <v>37687.658776529912</v>
      </c>
      <c r="AG583" s="408">
        <v>643.22251139872105</v>
      </c>
      <c r="AH583" s="408">
        <v>0</v>
      </c>
      <c r="AI583" s="408">
        <v>0</v>
      </c>
      <c r="AJ583" s="408">
        <v>0</v>
      </c>
      <c r="AK583" s="408">
        <v>0</v>
      </c>
      <c r="AL583" s="408">
        <v>2103.8634398279696</v>
      </c>
      <c r="AM583" s="408"/>
      <c r="AN583" s="408">
        <v>267.2370901960374</v>
      </c>
      <c r="AO583" s="408">
        <v>1202.1333315431773</v>
      </c>
      <c r="AP583" s="408">
        <v>5605.3703779052876</v>
      </c>
      <c r="AQ583" s="408">
        <v>0</v>
      </c>
      <c r="AR583" s="408">
        <v>0</v>
      </c>
      <c r="AS583" s="408">
        <v>0</v>
      </c>
      <c r="AT583" s="408">
        <v>0</v>
      </c>
      <c r="AU583" s="408">
        <v>0</v>
      </c>
      <c r="AV583" s="408">
        <v>0</v>
      </c>
      <c r="AW583" s="408">
        <v>0</v>
      </c>
      <c r="AX583" s="408">
        <v>0</v>
      </c>
      <c r="AY583" s="408">
        <v>0</v>
      </c>
      <c r="AZ583" s="408">
        <v>0</v>
      </c>
      <c r="BA583" s="408"/>
      <c r="BB583" s="408">
        <v>0</v>
      </c>
      <c r="BC583" s="408">
        <v>0</v>
      </c>
      <c r="BD583" s="408">
        <v>0</v>
      </c>
      <c r="BE583" s="408">
        <v>0</v>
      </c>
      <c r="BF583" s="408">
        <v>0</v>
      </c>
      <c r="BG583" s="408">
        <v>1977.9200014973856</v>
      </c>
      <c r="BH583" s="408">
        <v>0</v>
      </c>
      <c r="BI583" s="408">
        <v>100.39</v>
      </c>
      <c r="BJ583" s="408">
        <v>1092.75</v>
      </c>
      <c r="BK583" s="408">
        <v>80020.5</v>
      </c>
      <c r="BL583" s="408">
        <v>312</v>
      </c>
      <c r="BM583" s="408"/>
      <c r="BN583" s="408"/>
      <c r="BO583" s="408"/>
      <c r="BP583" s="408"/>
      <c r="BQ583" s="408"/>
      <c r="BR583" s="408"/>
      <c r="BS583" s="408"/>
      <c r="BT583" s="408"/>
      <c r="BU583" s="408"/>
      <c r="BV583" s="408">
        <v>39665.578778027295</v>
      </c>
      <c r="BW583" s="408"/>
      <c r="BX583" s="408"/>
      <c r="BY583" s="408"/>
      <c r="BZ583" s="408"/>
      <c r="CA583" s="408"/>
      <c r="CB583" s="408"/>
      <c r="CC583" s="408"/>
      <c r="CD583" s="408"/>
      <c r="CE583" s="408"/>
      <c r="CF583" s="408"/>
      <c r="CG583" s="408"/>
      <c r="CH583" s="408"/>
      <c r="CI583" s="408">
        <v>112591.91250000001</v>
      </c>
      <c r="CJ583" s="408">
        <v>-7212.238509999981</v>
      </c>
      <c r="CK583" s="408"/>
      <c r="CL583" s="408"/>
      <c r="CM583" s="408"/>
      <c r="CN583" s="408"/>
      <c r="CO583" s="408">
        <v>-11989.48331</v>
      </c>
      <c r="CP583" s="408">
        <v>4776.765910000001</v>
      </c>
      <c r="CQ583" s="408">
        <v>31</v>
      </c>
      <c r="CR583" s="408">
        <v>5731.9405172638508</v>
      </c>
      <c r="CS583" s="408">
        <v>119.79001699725336</v>
      </c>
      <c r="CT583" s="408">
        <v>558.56317700069303</v>
      </c>
      <c r="CU583" s="408">
        <v>0</v>
      </c>
      <c r="CV583" s="408">
        <v>0</v>
      </c>
      <c r="CW583" s="408">
        <v>0</v>
      </c>
      <c r="CX583" s="408">
        <v>0</v>
      </c>
      <c r="CY583" s="408">
        <v>0</v>
      </c>
      <c r="CZ583" s="408">
        <v>560.22479228877137</v>
      </c>
      <c r="DA583" s="408">
        <v>0</v>
      </c>
      <c r="DB583" s="408">
        <v>0</v>
      </c>
      <c r="DC583" s="408">
        <v>4776.226585505603</v>
      </c>
      <c r="DD583" s="408">
        <v>0</v>
      </c>
      <c r="DE583" s="408">
        <v>0</v>
      </c>
      <c r="DF583" s="408">
        <v>0</v>
      </c>
      <c r="DG583" s="408">
        <v>250.66545394001764</v>
      </c>
      <c r="DH583" s="408">
        <v>0</v>
      </c>
      <c r="DI583" s="408">
        <v>-462.38378652944084</v>
      </c>
      <c r="DJ583" s="408"/>
      <c r="DK583" s="408">
        <v>0</v>
      </c>
      <c r="DL583" s="408">
        <v>0</v>
      </c>
      <c r="DM583" s="408">
        <v>0</v>
      </c>
      <c r="DN583" s="408">
        <v>0</v>
      </c>
      <c r="DO583" s="408">
        <v>-63.585202542314619</v>
      </c>
      <c r="DP583" s="408">
        <v>-7.5605193967158471</v>
      </c>
      <c r="DQ583" s="408">
        <v>0</v>
      </c>
      <c r="DR583" s="408">
        <v>0</v>
      </c>
      <c r="DS583" s="408"/>
      <c r="DT583" s="408"/>
      <c r="DU583" s="408"/>
      <c r="DV583" s="408">
        <v>52112.349119754319</v>
      </c>
      <c r="DW583" s="408">
        <v>0</v>
      </c>
      <c r="DX583" s="408">
        <v>0</v>
      </c>
      <c r="DY583" s="408">
        <v>-11989.483309999996</v>
      </c>
      <c r="DZ583" s="408">
        <v>4776.7659100000019</v>
      </c>
      <c r="EA583" s="408">
        <v>0</v>
      </c>
      <c r="EB583" s="408">
        <v>0</v>
      </c>
      <c r="EC583" s="408">
        <v>-12945.591480514973</v>
      </c>
      <c r="ED583" s="408">
        <v>0</v>
      </c>
      <c r="EE583" s="408">
        <v>0</v>
      </c>
      <c r="EF583" s="408">
        <v>0</v>
      </c>
      <c r="EG583" s="408">
        <v>0</v>
      </c>
      <c r="EH583" s="408">
        <v>0</v>
      </c>
      <c r="EI583" s="408">
        <v>0</v>
      </c>
      <c r="EJ583" s="408">
        <v>0</v>
      </c>
      <c r="EK583" s="408">
        <v>0</v>
      </c>
      <c r="EL583" s="408">
        <v>0</v>
      </c>
      <c r="EM583" s="408">
        <v>0</v>
      </c>
      <c r="EN583" s="408">
        <v>0</v>
      </c>
      <c r="EO583" s="408">
        <v>0</v>
      </c>
      <c r="EP583" s="408">
        <v>3477.4904779080985</v>
      </c>
      <c r="EQ583" s="408">
        <v>0</v>
      </c>
      <c r="ER583" s="408">
        <v>0</v>
      </c>
      <c r="ES583" s="408">
        <v>0</v>
      </c>
      <c r="ET583" s="408">
        <v>0</v>
      </c>
      <c r="EU583" s="408">
        <v>0</v>
      </c>
      <c r="EV583" s="408">
        <v>240</v>
      </c>
      <c r="EW583" s="408">
        <v>0</v>
      </c>
      <c r="EX583" s="408">
        <v>0</v>
      </c>
      <c r="EY583" s="408">
        <v>0</v>
      </c>
      <c r="EZ583" s="408"/>
      <c r="FA583" s="408">
        <v>0</v>
      </c>
      <c r="FB583" s="408"/>
      <c r="FC583" s="408"/>
      <c r="FD583" s="408"/>
      <c r="FE583" s="408"/>
      <c r="FF583" s="408">
        <v>0</v>
      </c>
      <c r="FG583" s="408">
        <v>0</v>
      </c>
      <c r="FH583" s="408">
        <v>0</v>
      </c>
      <c r="FI583" s="408">
        <v>0</v>
      </c>
    </row>
    <row r="584" spans="1:165">
      <c r="A584" s="408">
        <v>582</v>
      </c>
      <c r="B584" s="408" t="s">
        <v>1036</v>
      </c>
      <c r="C584" s="408" t="s">
        <v>2243</v>
      </c>
      <c r="D584" s="408" t="s">
        <v>597</v>
      </c>
      <c r="E584" s="408" t="s">
        <v>998</v>
      </c>
      <c r="F584" s="408" t="s">
        <v>1322</v>
      </c>
      <c r="G584" s="408" t="s">
        <v>1322</v>
      </c>
      <c r="H584" s="408" t="s">
        <v>1322</v>
      </c>
      <c r="I584" s="408" t="s">
        <v>973</v>
      </c>
      <c r="J584" s="408" t="s">
        <v>2236</v>
      </c>
      <c r="K584" s="826">
        <v>44621</v>
      </c>
      <c r="L584" s="408">
        <v>0</v>
      </c>
      <c r="M584" s="408">
        <v>0</v>
      </c>
      <c r="N584" s="408">
        <v>97.087000000000003</v>
      </c>
      <c r="O584" s="408">
        <v>97.087000000000003</v>
      </c>
      <c r="P584" s="408">
        <v>97.087000000000003</v>
      </c>
      <c r="Q584" s="408">
        <v>97.087000000000003</v>
      </c>
      <c r="R584" s="408"/>
      <c r="S584" s="408">
        <v>1358.36</v>
      </c>
      <c r="T584" s="408">
        <v>173.25</v>
      </c>
      <c r="U584" s="408"/>
      <c r="V584" s="408">
        <v>148699.42006999999</v>
      </c>
      <c r="W584" s="408">
        <v>148699.42006999999</v>
      </c>
      <c r="X584" s="408">
        <v>130380.07404000001</v>
      </c>
      <c r="Y584" s="408">
        <v>0</v>
      </c>
      <c r="Z584" s="408">
        <v>5198.4563651112239</v>
      </c>
      <c r="AA584" s="408">
        <v>0</v>
      </c>
      <c r="AB584" s="408">
        <v>0</v>
      </c>
      <c r="AC584" s="408">
        <v>1839.0305302323097</v>
      </c>
      <c r="AD584" s="408">
        <v>1766.9014095008031</v>
      </c>
      <c r="AE584" s="408">
        <v>97912.988700996546</v>
      </c>
      <c r="AF584" s="408">
        <v>16537.845267716282</v>
      </c>
      <c r="AG584" s="408">
        <v>282.25458177965839</v>
      </c>
      <c r="AH584" s="408">
        <v>0</v>
      </c>
      <c r="AI584" s="408">
        <v>0</v>
      </c>
      <c r="AJ584" s="408">
        <v>0</v>
      </c>
      <c r="AK584" s="408">
        <v>0</v>
      </c>
      <c r="AL584" s="408">
        <v>923.20322253469215</v>
      </c>
      <c r="AM584" s="408"/>
      <c r="AN584" s="408">
        <v>77.748612054486642</v>
      </c>
      <c r="AO584" s="408">
        <v>3903.9480942896553</v>
      </c>
      <c r="AP584" s="408">
        <v>18203.433975119846</v>
      </c>
      <c r="AQ584" s="408">
        <v>0</v>
      </c>
      <c r="AR584" s="408">
        <v>0</v>
      </c>
      <c r="AS584" s="408">
        <v>0</v>
      </c>
      <c r="AT584" s="408">
        <v>0</v>
      </c>
      <c r="AU584" s="408">
        <v>0</v>
      </c>
      <c r="AV584" s="408">
        <v>0</v>
      </c>
      <c r="AW584" s="408">
        <v>0</v>
      </c>
      <c r="AX584" s="408">
        <v>0</v>
      </c>
      <c r="AY584" s="408">
        <v>0</v>
      </c>
      <c r="AZ584" s="408">
        <v>0</v>
      </c>
      <c r="BA584" s="408"/>
      <c r="BB584" s="408">
        <v>0</v>
      </c>
      <c r="BC584" s="408">
        <v>0</v>
      </c>
      <c r="BD584" s="408">
        <v>0</v>
      </c>
      <c r="BE584" s="408">
        <v>0</v>
      </c>
      <c r="BF584" s="408">
        <v>0</v>
      </c>
      <c r="BG584" s="408">
        <v>726.08033167421809</v>
      </c>
      <c r="BH584" s="408">
        <v>0</v>
      </c>
      <c r="BI584" s="408">
        <v>0</v>
      </c>
      <c r="BJ584" s="408">
        <v>0</v>
      </c>
      <c r="BK584" s="408">
        <v>0</v>
      </c>
      <c r="BL584" s="408">
        <v>0</v>
      </c>
      <c r="BM584" s="408"/>
      <c r="BN584" s="408"/>
      <c r="BO584" s="408"/>
      <c r="BP584" s="408"/>
      <c r="BQ584" s="408"/>
      <c r="BR584" s="408"/>
      <c r="BS584" s="408"/>
      <c r="BT584" s="408"/>
      <c r="BU584" s="408"/>
      <c r="BV584" s="408">
        <v>17263.925599390499</v>
      </c>
      <c r="BW584" s="408"/>
      <c r="BX584" s="408"/>
      <c r="BY584" s="408"/>
      <c r="BZ584" s="408"/>
      <c r="CA584" s="408"/>
      <c r="CB584" s="408"/>
      <c r="CC584" s="408"/>
      <c r="CD584" s="408"/>
      <c r="CE584" s="408"/>
      <c r="CF584" s="408"/>
      <c r="CG584" s="408"/>
      <c r="CH584" s="408"/>
      <c r="CI584" s="408">
        <v>130384.10279999999</v>
      </c>
      <c r="CJ584" s="408">
        <v>-18315.347270000027</v>
      </c>
      <c r="CK584" s="408"/>
      <c r="CL584" s="408"/>
      <c r="CM584" s="408"/>
      <c r="CN584" s="408"/>
      <c r="CO584" s="408">
        <v>-20415.45436</v>
      </c>
      <c r="CP584" s="408">
        <v>2096.1083300000005</v>
      </c>
      <c r="CQ584" s="408">
        <v>31</v>
      </c>
      <c r="CR584" s="408">
        <v>6003.5407712167507</v>
      </c>
      <c r="CS584" s="408">
        <v>389.02008313089482</v>
      </c>
      <c r="CT584" s="408">
        <v>1813.9332868250203</v>
      </c>
      <c r="CU584" s="408">
        <v>0</v>
      </c>
      <c r="CV584" s="408">
        <v>0</v>
      </c>
      <c r="CW584" s="408">
        <v>0</v>
      </c>
      <c r="CX584" s="408">
        <v>0</v>
      </c>
      <c r="CY584" s="408">
        <v>0</v>
      </c>
      <c r="CZ584" s="408">
        <v>1819.3230118929698</v>
      </c>
      <c r="DA584" s="408">
        <v>0</v>
      </c>
      <c r="DB584" s="408">
        <v>0</v>
      </c>
      <c r="DC584" s="408">
        <v>2095.8716672481351</v>
      </c>
      <c r="DD584" s="408">
        <v>0</v>
      </c>
      <c r="DE584" s="408">
        <v>0</v>
      </c>
      <c r="DF584" s="408">
        <v>0</v>
      </c>
      <c r="DG584" s="408">
        <v>92.017501111391766</v>
      </c>
      <c r="DH584" s="408">
        <v>0</v>
      </c>
      <c r="DI584" s="408">
        <v>-176.52312812270793</v>
      </c>
      <c r="DJ584" s="408"/>
      <c r="DK584" s="408">
        <v>0</v>
      </c>
      <c r="DL584" s="408">
        <v>0</v>
      </c>
      <c r="DM584" s="408">
        <v>0</v>
      </c>
      <c r="DN584" s="408">
        <v>0</v>
      </c>
      <c r="DO584" s="408">
        <v>-27.902031463309186</v>
      </c>
      <c r="DP584" s="408">
        <v>-2.1996194056539764</v>
      </c>
      <c r="DQ584" s="408">
        <v>0</v>
      </c>
      <c r="DR584" s="408">
        <v>0</v>
      </c>
      <c r="DS584" s="408"/>
      <c r="DT584" s="408"/>
      <c r="DU584" s="408"/>
      <c r="DV584" s="408">
        <v>97912.988700996546</v>
      </c>
      <c r="DW584" s="408">
        <v>0</v>
      </c>
      <c r="DX584" s="408">
        <v>0</v>
      </c>
      <c r="DY584" s="408">
        <v>-20415.454360000003</v>
      </c>
      <c r="DZ584" s="408">
        <v>2096.1083300000028</v>
      </c>
      <c r="EA584" s="408">
        <v>0</v>
      </c>
      <c r="EB584" s="408">
        <v>0</v>
      </c>
      <c r="EC584" s="408">
        <v>-24323.247248873042</v>
      </c>
      <c r="ED584" s="408">
        <v>0</v>
      </c>
      <c r="EE584" s="408">
        <v>0</v>
      </c>
      <c r="EF584" s="408">
        <v>0</v>
      </c>
      <c r="EG584" s="408">
        <v>0</v>
      </c>
      <c r="EH584" s="408">
        <v>0</v>
      </c>
      <c r="EI584" s="408">
        <v>0</v>
      </c>
      <c r="EJ584" s="408">
        <v>0</v>
      </c>
      <c r="EK584" s="408">
        <v>0</v>
      </c>
      <c r="EL584" s="408">
        <v>0</v>
      </c>
      <c r="EM584" s="408">
        <v>0</v>
      </c>
      <c r="EN584" s="408">
        <v>0</v>
      </c>
      <c r="EO584" s="408">
        <v>0</v>
      </c>
      <c r="EP584" s="408">
        <v>1327.5930408044239</v>
      </c>
      <c r="EQ584" s="408">
        <v>0</v>
      </c>
      <c r="ER584" s="408">
        <v>0</v>
      </c>
      <c r="ES584" s="408">
        <v>0</v>
      </c>
      <c r="ET584" s="408">
        <v>0</v>
      </c>
      <c r="EU584" s="408">
        <v>0</v>
      </c>
      <c r="EV584" s="408">
        <v>240</v>
      </c>
      <c r="EW584" s="408">
        <v>0</v>
      </c>
      <c r="EX584" s="408">
        <v>0</v>
      </c>
      <c r="EY584" s="408">
        <v>0</v>
      </c>
      <c r="EZ584" s="408"/>
      <c r="FA584" s="408">
        <v>0</v>
      </c>
      <c r="FB584" s="408"/>
      <c r="FC584" s="408"/>
      <c r="FD584" s="408"/>
      <c r="FE584" s="408"/>
      <c r="FF584" s="408">
        <v>0</v>
      </c>
      <c r="FG584" s="408">
        <v>0</v>
      </c>
      <c r="FH584" s="408">
        <v>0</v>
      </c>
      <c r="FI584" s="408">
        <v>0</v>
      </c>
    </row>
    <row r="585" spans="1:165">
      <c r="A585" s="408">
        <v>583</v>
      </c>
      <c r="B585" s="408" t="s">
        <v>2238</v>
      </c>
      <c r="C585" s="408" t="s">
        <v>2243</v>
      </c>
      <c r="D585" s="408" t="s">
        <v>597</v>
      </c>
      <c r="E585" s="408" t="s">
        <v>998</v>
      </c>
      <c r="F585" s="408" t="s">
        <v>1322</v>
      </c>
      <c r="G585" s="408" t="s">
        <v>1322</v>
      </c>
      <c r="H585" s="408" t="s">
        <v>1322</v>
      </c>
      <c r="I585" s="408" t="s">
        <v>973</v>
      </c>
      <c r="J585" s="408" t="s">
        <v>2236</v>
      </c>
      <c r="K585" s="826">
        <v>44621</v>
      </c>
      <c r="L585" s="408">
        <v>0</v>
      </c>
      <c r="M585" s="408">
        <v>0</v>
      </c>
      <c r="N585" s="408">
        <v>5.6790000000000003</v>
      </c>
      <c r="O585" s="408">
        <v>5.6790000000000003</v>
      </c>
      <c r="P585" s="408">
        <v>5.6790000000000003</v>
      </c>
      <c r="Q585" s="408">
        <v>5.6790000000000003</v>
      </c>
      <c r="R585" s="408"/>
      <c r="S585" s="408">
        <v>1358.36</v>
      </c>
      <c r="T585" s="408">
        <v>173.25</v>
      </c>
      <c r="U585" s="408"/>
      <c r="V585" s="408">
        <v>8698.0131899999997</v>
      </c>
      <c r="W585" s="408">
        <v>8698.0131899999997</v>
      </c>
      <c r="X585" s="408">
        <v>7626.4426800000001</v>
      </c>
      <c r="Y585" s="408">
        <v>0</v>
      </c>
      <c r="Z585" s="408">
        <v>304.07813298862504</v>
      </c>
      <c r="AA585" s="408">
        <v>0</v>
      </c>
      <c r="AB585" s="408">
        <v>0</v>
      </c>
      <c r="AC585" s="408">
        <v>107.57211965751632</v>
      </c>
      <c r="AD585" s="408">
        <v>103.35300405363293</v>
      </c>
      <c r="AE585" s="408">
        <v>5727.3153237092447</v>
      </c>
      <c r="AF585" s="408">
        <v>967.36353245399255</v>
      </c>
      <c r="AG585" s="408">
        <v>16.510179219943762</v>
      </c>
      <c r="AH585" s="408">
        <v>0</v>
      </c>
      <c r="AI585" s="408">
        <v>0</v>
      </c>
      <c r="AJ585" s="408">
        <v>0</v>
      </c>
      <c r="AK585" s="408">
        <v>0</v>
      </c>
      <c r="AL585" s="408">
        <v>54.001782944931009</v>
      </c>
      <c r="AM585" s="408"/>
      <c r="AN585" s="408">
        <v>4.5478217254362541</v>
      </c>
      <c r="AO585" s="408">
        <v>228.35725923626183</v>
      </c>
      <c r="AP585" s="408">
        <v>1064.7903585928661</v>
      </c>
      <c r="AQ585" s="408">
        <v>0</v>
      </c>
      <c r="AR585" s="408">
        <v>0</v>
      </c>
      <c r="AS585" s="408">
        <v>0</v>
      </c>
      <c r="AT585" s="408">
        <v>0</v>
      </c>
      <c r="AU585" s="408">
        <v>0</v>
      </c>
      <c r="AV585" s="408">
        <v>0</v>
      </c>
      <c r="AW585" s="408">
        <v>0</v>
      </c>
      <c r="AX585" s="408">
        <v>0</v>
      </c>
      <c r="AY585" s="408">
        <v>0</v>
      </c>
      <c r="AZ585" s="408">
        <v>0</v>
      </c>
      <c r="BA585" s="408"/>
      <c r="BB585" s="408">
        <v>0</v>
      </c>
      <c r="BC585" s="408">
        <v>0</v>
      </c>
      <c r="BD585" s="408">
        <v>0</v>
      </c>
      <c r="BE585" s="408">
        <v>0</v>
      </c>
      <c r="BF585" s="408">
        <v>0</v>
      </c>
      <c r="BG585" s="408">
        <v>42.471290734886075</v>
      </c>
      <c r="BH585" s="408">
        <v>0</v>
      </c>
      <c r="BI585" s="408">
        <v>0</v>
      </c>
      <c r="BJ585" s="408">
        <v>0</v>
      </c>
      <c r="BK585" s="408">
        <v>0</v>
      </c>
      <c r="BL585" s="408">
        <v>0</v>
      </c>
      <c r="BM585" s="408"/>
      <c r="BN585" s="408"/>
      <c r="BO585" s="408"/>
      <c r="BP585" s="408"/>
      <c r="BQ585" s="408"/>
      <c r="BR585" s="408"/>
      <c r="BS585" s="408"/>
      <c r="BT585" s="408"/>
      <c r="BU585" s="408"/>
      <c r="BV585" s="408">
        <v>1009.8348231888787</v>
      </c>
      <c r="BW585" s="408"/>
      <c r="BX585" s="408"/>
      <c r="BY585" s="408"/>
      <c r="BZ585" s="408"/>
      <c r="CA585" s="408"/>
      <c r="CB585" s="408"/>
      <c r="CC585" s="408"/>
      <c r="CD585" s="408"/>
      <c r="CE585" s="408"/>
      <c r="CF585" s="408"/>
      <c r="CG585" s="408"/>
      <c r="CH585" s="408"/>
      <c r="CI585" s="408">
        <v>7627.7855999999992</v>
      </c>
      <c r="CJ585" s="408">
        <v>-1070.2575900000011</v>
      </c>
      <c r="CK585" s="408"/>
      <c r="CL585" s="408"/>
      <c r="CM585" s="408"/>
      <c r="CN585" s="408"/>
      <c r="CO585" s="408">
        <v>-1194.18012</v>
      </c>
      <c r="CP585" s="408">
        <v>122.60961000000003</v>
      </c>
      <c r="CQ585" s="408">
        <v>31</v>
      </c>
      <c r="CR585" s="408">
        <v>351.17068237498233</v>
      </c>
      <c r="CS585" s="408">
        <v>22.755312782353485</v>
      </c>
      <c r="CT585" s="408">
        <v>106.10408330548171</v>
      </c>
      <c r="CU585" s="408">
        <v>0</v>
      </c>
      <c r="CV585" s="408">
        <v>0</v>
      </c>
      <c r="CW585" s="408">
        <v>0</v>
      </c>
      <c r="CX585" s="408">
        <v>0</v>
      </c>
      <c r="CY585" s="408">
        <v>0</v>
      </c>
      <c r="CZ585" s="408">
        <v>106.41934949622686</v>
      </c>
      <c r="DA585" s="408">
        <v>0</v>
      </c>
      <c r="DB585" s="408">
        <v>0</v>
      </c>
      <c r="DC585" s="408">
        <v>122.59576666600219</v>
      </c>
      <c r="DD585" s="408">
        <v>0</v>
      </c>
      <c r="DE585" s="408">
        <v>0</v>
      </c>
      <c r="DF585" s="408">
        <v>0</v>
      </c>
      <c r="DG585" s="408">
        <v>5.382465096373295</v>
      </c>
      <c r="DH585" s="408">
        <v>0</v>
      </c>
      <c r="DI585" s="408">
        <v>-10.32553116904279</v>
      </c>
      <c r="DJ585" s="408"/>
      <c r="DK585" s="408">
        <v>0</v>
      </c>
      <c r="DL585" s="408">
        <v>0</v>
      </c>
      <c r="DM585" s="408">
        <v>0</v>
      </c>
      <c r="DN585" s="408">
        <v>0</v>
      </c>
      <c r="DO585" s="408">
        <v>-1.6320994229931216</v>
      </c>
      <c r="DP585" s="408">
        <v>-0.12866437941958075</v>
      </c>
      <c r="DQ585" s="408">
        <v>0</v>
      </c>
      <c r="DR585" s="408">
        <v>0</v>
      </c>
      <c r="DS585" s="408"/>
      <c r="DT585" s="408"/>
      <c r="DU585" s="408"/>
      <c r="DV585" s="408">
        <v>5727.3153237092447</v>
      </c>
      <c r="DW585" s="408">
        <v>0</v>
      </c>
      <c r="DX585" s="408">
        <v>0</v>
      </c>
      <c r="DY585" s="408">
        <v>-1194.18012</v>
      </c>
      <c r="DZ585" s="408">
        <v>122.60961000000009</v>
      </c>
      <c r="EA585" s="408">
        <v>0</v>
      </c>
      <c r="EB585" s="408">
        <v>0</v>
      </c>
      <c r="EC585" s="408">
        <v>-1422.7622763742838</v>
      </c>
      <c r="ED585" s="408">
        <v>0</v>
      </c>
      <c r="EE585" s="408">
        <v>0</v>
      </c>
      <c r="EF585" s="408">
        <v>0</v>
      </c>
      <c r="EG585" s="408">
        <v>0</v>
      </c>
      <c r="EH585" s="408">
        <v>0</v>
      </c>
      <c r="EI585" s="408">
        <v>0</v>
      </c>
      <c r="EJ585" s="408">
        <v>0</v>
      </c>
      <c r="EK585" s="408">
        <v>0</v>
      </c>
      <c r="EL585" s="408">
        <v>0</v>
      </c>
      <c r="EM585" s="408">
        <v>0</v>
      </c>
      <c r="EN585" s="408">
        <v>0</v>
      </c>
      <c r="EO585" s="408">
        <v>0</v>
      </c>
      <c r="EP585" s="408">
        <v>77.656131909816182</v>
      </c>
      <c r="EQ585" s="408">
        <v>0</v>
      </c>
      <c r="ER585" s="408">
        <v>0</v>
      </c>
      <c r="ES585" s="408">
        <v>0</v>
      </c>
      <c r="ET585" s="408">
        <v>0</v>
      </c>
      <c r="EU585" s="408">
        <v>0</v>
      </c>
      <c r="EV585" s="408">
        <v>240</v>
      </c>
      <c r="EW585" s="408">
        <v>0</v>
      </c>
      <c r="EX585" s="408">
        <v>0</v>
      </c>
      <c r="EY585" s="408">
        <v>0</v>
      </c>
      <c r="EZ585" s="408"/>
      <c r="FA585" s="408">
        <v>0</v>
      </c>
      <c r="FB585" s="408"/>
      <c r="FC585" s="408"/>
      <c r="FD585" s="408"/>
      <c r="FE585" s="408"/>
      <c r="FF585" s="408">
        <v>0</v>
      </c>
      <c r="FG585" s="408">
        <v>0</v>
      </c>
      <c r="FH585" s="408">
        <v>0</v>
      </c>
      <c r="FI585" s="408">
        <v>0</v>
      </c>
    </row>
    <row r="586" spans="1:165">
      <c r="A586" s="408">
        <v>584</v>
      </c>
      <c r="B586" s="408" t="s">
        <v>1036</v>
      </c>
      <c r="C586" s="408" t="s">
        <v>2243</v>
      </c>
      <c r="D586" s="408" t="s">
        <v>597</v>
      </c>
      <c r="E586" s="408" t="s">
        <v>998</v>
      </c>
      <c r="F586" s="408" t="s">
        <v>1322</v>
      </c>
      <c r="G586" s="408" t="s">
        <v>1322</v>
      </c>
      <c r="H586" s="408" t="s">
        <v>1322</v>
      </c>
      <c r="I586" s="408" t="s">
        <v>2244</v>
      </c>
      <c r="J586" s="408" t="s">
        <v>2236</v>
      </c>
      <c r="K586" s="826">
        <v>44621</v>
      </c>
      <c r="L586" s="408">
        <v>0</v>
      </c>
      <c r="M586" s="408">
        <v>0</v>
      </c>
      <c r="N586" s="408">
        <v>1062.6120000000001</v>
      </c>
      <c r="O586" s="408">
        <v>1062.6120000000001</v>
      </c>
      <c r="P586" s="408">
        <v>1062.6120000000001</v>
      </c>
      <c r="Q586" s="408">
        <v>1062.6120000000001</v>
      </c>
      <c r="R586" s="408"/>
      <c r="S586" s="408">
        <v>85.01</v>
      </c>
      <c r="T586" s="408">
        <v>173.25</v>
      </c>
      <c r="U586" s="408"/>
      <c r="V586" s="408">
        <v>274430.17512000003</v>
      </c>
      <c r="W586" s="408">
        <v>274430.17512000003</v>
      </c>
      <c r="X586" s="408">
        <v>296118.08604000002</v>
      </c>
      <c r="Y586" s="408">
        <v>0</v>
      </c>
      <c r="Z586" s="408">
        <v>56896.825682568917</v>
      </c>
      <c r="AA586" s="408">
        <v>0</v>
      </c>
      <c r="AB586" s="408">
        <v>0</v>
      </c>
      <c r="AC586" s="408">
        <v>0</v>
      </c>
      <c r="AD586" s="408">
        <v>0</v>
      </c>
      <c r="AE586" s="408">
        <v>0</v>
      </c>
      <c r="AF586" s="408">
        <v>181005.82812960062</v>
      </c>
      <c r="AG586" s="408">
        <v>3089.261236355499</v>
      </c>
      <c r="AH586" s="408">
        <v>0</v>
      </c>
      <c r="AI586" s="408">
        <v>0</v>
      </c>
      <c r="AJ586" s="408">
        <v>0</v>
      </c>
      <c r="AK586" s="408">
        <v>0</v>
      </c>
      <c r="AL586" s="408">
        <v>10104.409681049308</v>
      </c>
      <c r="AM586" s="408"/>
      <c r="AN586" s="408">
        <v>850.95438269224678</v>
      </c>
      <c r="AO586" s="408">
        <v>0</v>
      </c>
      <c r="AP586" s="408">
        <v>0</v>
      </c>
      <c r="AQ586" s="408">
        <v>0</v>
      </c>
      <c r="AR586" s="408">
        <v>0</v>
      </c>
      <c r="AS586" s="408">
        <v>0</v>
      </c>
      <c r="AT586" s="408">
        <v>0</v>
      </c>
      <c r="AU586" s="408">
        <v>0</v>
      </c>
      <c r="AV586" s="408">
        <v>0</v>
      </c>
      <c r="AW586" s="408">
        <v>0</v>
      </c>
      <c r="AX586" s="408">
        <v>0</v>
      </c>
      <c r="AY586" s="408">
        <v>0</v>
      </c>
      <c r="AZ586" s="408">
        <v>0</v>
      </c>
      <c r="BA586" s="408"/>
      <c r="BB586" s="408">
        <v>0</v>
      </c>
      <c r="BC586" s="408">
        <v>0</v>
      </c>
      <c r="BD586" s="408">
        <v>0</v>
      </c>
      <c r="BE586" s="408">
        <v>0</v>
      </c>
      <c r="BF586" s="408">
        <v>0</v>
      </c>
      <c r="BG586" s="408">
        <v>7946.9102289802368</v>
      </c>
      <c r="BH586" s="408">
        <v>0</v>
      </c>
      <c r="BI586" s="408">
        <v>0</v>
      </c>
      <c r="BJ586" s="408">
        <v>0</v>
      </c>
      <c r="BK586" s="408">
        <v>0</v>
      </c>
      <c r="BL586" s="408">
        <v>0</v>
      </c>
      <c r="BM586" s="408"/>
      <c r="BN586" s="408"/>
      <c r="BO586" s="408"/>
      <c r="BP586" s="408"/>
      <c r="BQ586" s="408"/>
      <c r="BR586" s="408"/>
      <c r="BS586" s="408"/>
      <c r="BT586" s="408"/>
      <c r="BU586" s="408"/>
      <c r="BV586" s="408">
        <v>188952.73835858086</v>
      </c>
      <c r="BW586" s="408"/>
      <c r="BX586" s="408"/>
      <c r="BY586" s="408"/>
      <c r="BZ586" s="408"/>
      <c r="CA586" s="408"/>
      <c r="CB586" s="408"/>
      <c r="CC586" s="408"/>
      <c r="CD586" s="408"/>
      <c r="CE586" s="408"/>
      <c r="CF586" s="408"/>
      <c r="CG586" s="408"/>
      <c r="CH586" s="408"/>
      <c r="CI586" s="408">
        <v>296117.52869999997</v>
      </c>
      <c r="CJ586" s="408">
        <v>21687.323579999909</v>
      </c>
      <c r="CK586" s="408"/>
      <c r="CL586" s="408"/>
      <c r="CM586" s="408"/>
      <c r="CN586" s="408"/>
      <c r="CO586" s="408">
        <v>-1253.8821600000074</v>
      </c>
      <c r="CP586" s="408">
        <v>22941.793080000007</v>
      </c>
      <c r="CQ586" s="408">
        <v>31</v>
      </c>
      <c r="CR586" s="408">
        <v>21684.832318590023</v>
      </c>
      <c r="CS586" s="408">
        <v>0</v>
      </c>
      <c r="CT586" s="408">
        <v>0</v>
      </c>
      <c r="CU586" s="408">
        <v>0</v>
      </c>
      <c r="CV586" s="408">
        <v>0</v>
      </c>
      <c r="CW586" s="408">
        <v>0</v>
      </c>
      <c r="CX586" s="408">
        <v>0</v>
      </c>
      <c r="CY586" s="408">
        <v>0</v>
      </c>
      <c r="CZ586" s="408">
        <v>0</v>
      </c>
      <c r="DA586" s="408">
        <v>0</v>
      </c>
      <c r="DB586" s="408">
        <v>0</v>
      </c>
      <c r="DC586" s="408">
        <v>22939.2028188931</v>
      </c>
      <c r="DD586" s="408">
        <v>0</v>
      </c>
      <c r="DE586" s="408">
        <v>0</v>
      </c>
      <c r="DF586" s="408">
        <v>0</v>
      </c>
      <c r="DG586" s="408">
        <v>1007.1266069708427</v>
      </c>
      <c r="DH586" s="408">
        <v>0</v>
      </c>
      <c r="DI586" s="408">
        <v>-1932.0361554144984</v>
      </c>
      <c r="DJ586" s="408"/>
      <c r="DK586" s="408">
        <v>0</v>
      </c>
      <c r="DL586" s="408">
        <v>0</v>
      </c>
      <c r="DM586" s="408">
        <v>0</v>
      </c>
      <c r="DN586" s="408">
        <v>0</v>
      </c>
      <c r="DO586" s="408">
        <v>-305.38623561640452</v>
      </c>
      <c r="DP586" s="408">
        <v>-24.074716242965337</v>
      </c>
      <c r="DQ586" s="408">
        <v>0</v>
      </c>
      <c r="DR586" s="408">
        <v>0</v>
      </c>
      <c r="DS586" s="408"/>
      <c r="DT586" s="408"/>
      <c r="DU586" s="408"/>
      <c r="DV586" s="408">
        <v>0</v>
      </c>
      <c r="DW586" s="408">
        <v>0</v>
      </c>
      <c r="DX586" s="408">
        <v>0</v>
      </c>
      <c r="DY586" s="408">
        <v>-1253.8821600000083</v>
      </c>
      <c r="DZ586" s="408">
        <v>22941.793080000003</v>
      </c>
      <c r="EA586" s="408">
        <v>0</v>
      </c>
      <c r="EB586" s="408">
        <v>0</v>
      </c>
      <c r="EC586" s="408">
        <v>0</v>
      </c>
      <c r="ED586" s="408">
        <v>0</v>
      </c>
      <c r="EE586" s="408">
        <v>0</v>
      </c>
      <c r="EF586" s="408">
        <v>0</v>
      </c>
      <c r="EG586" s="408">
        <v>0</v>
      </c>
      <c r="EH586" s="408">
        <v>0</v>
      </c>
      <c r="EI586" s="408">
        <v>0</v>
      </c>
      <c r="EJ586" s="408">
        <v>0</v>
      </c>
      <c r="EK586" s="408">
        <v>0</v>
      </c>
      <c r="EL586" s="408">
        <v>0</v>
      </c>
      <c r="EM586" s="408">
        <v>0</v>
      </c>
      <c r="EN586" s="408">
        <v>0</v>
      </c>
      <c r="EO586" s="408">
        <v>0</v>
      </c>
      <c r="EP586" s="408">
        <v>14530.434520329916</v>
      </c>
      <c r="EQ586" s="408">
        <v>0</v>
      </c>
      <c r="ER586" s="408">
        <v>0</v>
      </c>
      <c r="ES586" s="408">
        <v>0</v>
      </c>
      <c r="ET586" s="408">
        <v>0</v>
      </c>
      <c r="EU586" s="408">
        <v>0</v>
      </c>
      <c r="EV586" s="408">
        <v>240</v>
      </c>
      <c r="EW586" s="408">
        <v>0</v>
      </c>
      <c r="EX586" s="408">
        <v>0</v>
      </c>
      <c r="EY586" s="408">
        <v>0</v>
      </c>
      <c r="EZ586" s="408"/>
      <c r="FA586" s="408">
        <v>0</v>
      </c>
      <c r="FB586" s="408"/>
      <c r="FC586" s="408"/>
      <c r="FD586" s="408"/>
      <c r="FE586" s="408"/>
      <c r="FF586" s="408">
        <v>0</v>
      </c>
      <c r="FG586" s="408">
        <v>0</v>
      </c>
      <c r="FH586" s="408">
        <v>0</v>
      </c>
      <c r="FI586" s="408">
        <v>0</v>
      </c>
    </row>
    <row r="587" spans="1:165">
      <c r="A587" s="408">
        <v>585</v>
      </c>
      <c r="B587" s="408" t="s">
        <v>2238</v>
      </c>
      <c r="C587" s="408" t="s">
        <v>2243</v>
      </c>
      <c r="D587" s="408" t="s">
        <v>597</v>
      </c>
      <c r="E587" s="408" t="s">
        <v>998</v>
      </c>
      <c r="F587" s="408" t="s">
        <v>1322</v>
      </c>
      <c r="G587" s="408" t="s">
        <v>1322</v>
      </c>
      <c r="H587" s="408" t="s">
        <v>1322</v>
      </c>
      <c r="I587" s="408" t="s">
        <v>2244</v>
      </c>
      <c r="J587" s="408" t="s">
        <v>2236</v>
      </c>
      <c r="K587" s="826">
        <v>44621</v>
      </c>
      <c r="L587" s="408">
        <v>0</v>
      </c>
      <c r="M587" s="408">
        <v>0</v>
      </c>
      <c r="N587" s="408">
        <v>53.546999999999997</v>
      </c>
      <c r="O587" s="408">
        <v>53.546999999999997</v>
      </c>
      <c r="P587" s="408">
        <v>53.546999999999997</v>
      </c>
      <c r="Q587" s="408">
        <v>53.546999999999997</v>
      </c>
      <c r="R587" s="408"/>
      <c r="S587" s="408">
        <v>85.01</v>
      </c>
      <c r="T587" s="408">
        <v>173.25</v>
      </c>
      <c r="U587" s="408"/>
      <c r="V587" s="408">
        <v>13829.048219999999</v>
      </c>
      <c r="W587" s="408">
        <v>13829.048219999999</v>
      </c>
      <c r="X587" s="408">
        <v>14921.942490000001</v>
      </c>
      <c r="Y587" s="408">
        <v>0</v>
      </c>
      <c r="Z587" s="408">
        <v>2867.137134555715</v>
      </c>
      <c r="AA587" s="408">
        <v>0</v>
      </c>
      <c r="AB587" s="408">
        <v>0</v>
      </c>
      <c r="AC587" s="408">
        <v>0</v>
      </c>
      <c r="AD587" s="408">
        <v>0</v>
      </c>
      <c r="AE587" s="408">
        <v>0</v>
      </c>
      <c r="AF587" s="408">
        <v>9121.2211784317551</v>
      </c>
      <c r="AG587" s="408">
        <v>155.67363385989231</v>
      </c>
      <c r="AH587" s="408">
        <v>0</v>
      </c>
      <c r="AI587" s="408">
        <v>0</v>
      </c>
      <c r="AJ587" s="408">
        <v>0</v>
      </c>
      <c r="AK587" s="408">
        <v>0</v>
      </c>
      <c r="AL587" s="408">
        <v>509.18004425994371</v>
      </c>
      <c r="AM587" s="408"/>
      <c r="AN587" s="408">
        <v>42.881178012314685</v>
      </c>
      <c r="AO587" s="408">
        <v>0</v>
      </c>
      <c r="AP587" s="408">
        <v>0</v>
      </c>
      <c r="AQ587" s="408">
        <v>0</v>
      </c>
      <c r="AR587" s="408">
        <v>0</v>
      </c>
      <c r="AS587" s="408">
        <v>0</v>
      </c>
      <c r="AT587" s="408">
        <v>0</v>
      </c>
      <c r="AU587" s="408">
        <v>0</v>
      </c>
      <c r="AV587" s="408">
        <v>0</v>
      </c>
      <c r="AW587" s="408">
        <v>0</v>
      </c>
      <c r="AX587" s="408">
        <v>0</v>
      </c>
      <c r="AY587" s="408">
        <v>0</v>
      </c>
      <c r="AZ587" s="408">
        <v>0</v>
      </c>
      <c r="BA587" s="408"/>
      <c r="BB587" s="408">
        <v>0</v>
      </c>
      <c r="BC587" s="408">
        <v>0</v>
      </c>
      <c r="BD587" s="408">
        <v>0</v>
      </c>
      <c r="BE587" s="408">
        <v>0</v>
      </c>
      <c r="BF587" s="408">
        <v>0</v>
      </c>
      <c r="BG587" s="408">
        <v>400.45962405017514</v>
      </c>
      <c r="BH587" s="408">
        <v>0</v>
      </c>
      <c r="BI587" s="408">
        <v>0</v>
      </c>
      <c r="BJ587" s="408">
        <v>0</v>
      </c>
      <c r="BK587" s="408">
        <v>0</v>
      </c>
      <c r="BL587" s="408">
        <v>0</v>
      </c>
      <c r="BM587" s="408"/>
      <c r="BN587" s="408"/>
      <c r="BO587" s="408"/>
      <c r="BP587" s="408"/>
      <c r="BQ587" s="408"/>
      <c r="BR587" s="408"/>
      <c r="BS587" s="408"/>
      <c r="BT587" s="408"/>
      <c r="BU587" s="408"/>
      <c r="BV587" s="408">
        <v>9521.6808024819311</v>
      </c>
      <c r="BW587" s="408"/>
      <c r="BX587" s="408"/>
      <c r="BY587" s="408"/>
      <c r="BZ587" s="408"/>
      <c r="CA587" s="408"/>
      <c r="CB587" s="408"/>
      <c r="CC587" s="408"/>
      <c r="CD587" s="408"/>
      <c r="CE587" s="408"/>
      <c r="CF587" s="408"/>
      <c r="CG587" s="408"/>
      <c r="CH587" s="408"/>
      <c r="CI587" s="408">
        <v>14922.778499999999</v>
      </c>
      <c r="CJ587" s="408">
        <v>1093.7002799999991</v>
      </c>
      <c r="CK587" s="408"/>
      <c r="CL587" s="408"/>
      <c r="CM587" s="408"/>
      <c r="CN587" s="408"/>
      <c r="CO587" s="408">
        <v>-63.185460000000361</v>
      </c>
      <c r="CP587" s="408">
        <v>1156.0797300000002</v>
      </c>
      <c r="CQ587" s="408">
        <v>31</v>
      </c>
      <c r="CR587" s="408">
        <v>1092.7391335346692</v>
      </c>
      <c r="CS587" s="408">
        <v>0</v>
      </c>
      <c r="CT587" s="408">
        <v>0</v>
      </c>
      <c r="CU587" s="408">
        <v>0</v>
      </c>
      <c r="CV587" s="408">
        <v>0</v>
      </c>
      <c r="CW587" s="408">
        <v>0</v>
      </c>
      <c r="CX587" s="408">
        <v>0</v>
      </c>
      <c r="CY587" s="408">
        <v>0</v>
      </c>
      <c r="CZ587" s="408">
        <v>0</v>
      </c>
      <c r="DA587" s="408">
        <v>0</v>
      </c>
      <c r="DB587" s="408">
        <v>0</v>
      </c>
      <c r="DC587" s="408">
        <v>1155.9492019130848</v>
      </c>
      <c r="DD587" s="408">
        <v>0</v>
      </c>
      <c r="DE587" s="408">
        <v>0</v>
      </c>
      <c r="DF587" s="408">
        <v>0</v>
      </c>
      <c r="DG587" s="408">
        <v>50.750987588572059</v>
      </c>
      <c r="DH587" s="408">
        <v>0</v>
      </c>
      <c r="DI587" s="408">
        <v>-97.358904298069319</v>
      </c>
      <c r="DJ587" s="408"/>
      <c r="DK587" s="408">
        <v>0</v>
      </c>
      <c r="DL587" s="408">
        <v>0</v>
      </c>
      <c r="DM587" s="408">
        <v>0</v>
      </c>
      <c r="DN587" s="408">
        <v>0</v>
      </c>
      <c r="DO587" s="408">
        <v>-15.388981828317071</v>
      </c>
      <c r="DP587" s="408">
        <v>-1.2131698406022764</v>
      </c>
      <c r="DQ587" s="408">
        <v>0</v>
      </c>
      <c r="DR587" s="408">
        <v>0</v>
      </c>
      <c r="DS587" s="408"/>
      <c r="DT587" s="408"/>
      <c r="DU587" s="408"/>
      <c r="DV587" s="408">
        <v>0</v>
      </c>
      <c r="DW587" s="408">
        <v>0</v>
      </c>
      <c r="DX587" s="408">
        <v>0</v>
      </c>
      <c r="DY587" s="408">
        <v>-63.185459999999694</v>
      </c>
      <c r="DZ587" s="408">
        <v>1156.0797300000013</v>
      </c>
      <c r="EA587" s="408">
        <v>0</v>
      </c>
      <c r="EB587" s="408">
        <v>0</v>
      </c>
      <c r="EC587" s="408">
        <v>0</v>
      </c>
      <c r="ED587" s="408">
        <v>0</v>
      </c>
      <c r="EE587" s="408">
        <v>0</v>
      </c>
      <c r="EF587" s="408">
        <v>0</v>
      </c>
      <c r="EG587" s="408">
        <v>0</v>
      </c>
      <c r="EH587" s="408">
        <v>0</v>
      </c>
      <c r="EI587" s="408">
        <v>0</v>
      </c>
      <c r="EJ587" s="408">
        <v>0</v>
      </c>
      <c r="EK587" s="408">
        <v>0</v>
      </c>
      <c r="EL587" s="408">
        <v>0</v>
      </c>
      <c r="EM587" s="408">
        <v>0</v>
      </c>
      <c r="EN587" s="408">
        <v>0</v>
      </c>
      <c r="EO587" s="408">
        <v>0</v>
      </c>
      <c r="EP587" s="408">
        <v>732.21568856751662</v>
      </c>
      <c r="EQ587" s="408">
        <v>0</v>
      </c>
      <c r="ER587" s="408">
        <v>0</v>
      </c>
      <c r="ES587" s="408">
        <v>0</v>
      </c>
      <c r="ET587" s="408">
        <v>0</v>
      </c>
      <c r="EU587" s="408">
        <v>0</v>
      </c>
      <c r="EV587" s="408">
        <v>240</v>
      </c>
      <c r="EW587" s="408">
        <v>0</v>
      </c>
      <c r="EX587" s="408">
        <v>0</v>
      </c>
      <c r="EY587" s="408">
        <v>0</v>
      </c>
      <c r="EZ587" s="408"/>
      <c r="FA587" s="408">
        <v>0</v>
      </c>
      <c r="FB587" s="408"/>
      <c r="FC587" s="408"/>
      <c r="FD587" s="408"/>
      <c r="FE587" s="408"/>
      <c r="FF587" s="408">
        <v>0</v>
      </c>
      <c r="FG587" s="408">
        <v>0</v>
      </c>
      <c r="FH587" s="408">
        <v>0</v>
      </c>
      <c r="FI587" s="408">
        <v>0</v>
      </c>
    </row>
    <row r="588" spans="1:165">
      <c r="A588" s="408">
        <v>586</v>
      </c>
      <c r="B588" s="408" t="s">
        <v>1036</v>
      </c>
      <c r="C588" s="408" t="s">
        <v>2243</v>
      </c>
      <c r="D588" s="408" t="s">
        <v>597</v>
      </c>
      <c r="E588" s="408" t="s">
        <v>998</v>
      </c>
      <c r="F588" s="408" t="s">
        <v>1322</v>
      </c>
      <c r="G588" s="408" t="s">
        <v>1322</v>
      </c>
      <c r="H588" s="408" t="s">
        <v>1322</v>
      </c>
      <c r="I588" s="408" t="s">
        <v>1322</v>
      </c>
      <c r="J588" s="408" t="s">
        <v>2236</v>
      </c>
      <c r="K588" s="826">
        <v>44621</v>
      </c>
      <c r="L588" s="408">
        <v>4416</v>
      </c>
      <c r="M588" s="408">
        <v>4416</v>
      </c>
      <c r="N588" s="408">
        <v>0</v>
      </c>
      <c r="O588" s="408">
        <v>0</v>
      </c>
      <c r="P588" s="408">
        <v>0</v>
      </c>
      <c r="Q588" s="408">
        <v>0</v>
      </c>
      <c r="R588" s="408">
        <v>27.19</v>
      </c>
      <c r="S588" s="408"/>
      <c r="T588" s="408"/>
      <c r="U588" s="408">
        <v>120071.04000000001</v>
      </c>
      <c r="V588" s="408"/>
      <c r="W588" s="408">
        <v>120071.04000000001</v>
      </c>
      <c r="X588" s="408">
        <v>96092.160000000003</v>
      </c>
      <c r="Y588" s="408">
        <v>0</v>
      </c>
      <c r="Z588" s="408">
        <v>0</v>
      </c>
      <c r="AA588" s="408">
        <v>0</v>
      </c>
      <c r="AB588" s="408">
        <v>0</v>
      </c>
      <c r="AC588" s="408">
        <v>1029.8139088961227</v>
      </c>
      <c r="AD588" s="408">
        <v>989.33785065979248</v>
      </c>
      <c r="AE588" s="408">
        <v>105683.84555379234</v>
      </c>
      <c r="AF588" s="408"/>
      <c r="AG588" s="408"/>
      <c r="AH588" s="408"/>
      <c r="AI588" s="408">
        <v>0</v>
      </c>
      <c r="AJ588" s="408">
        <v>0</v>
      </c>
      <c r="AK588" s="408">
        <v>0</v>
      </c>
      <c r="AL588" s="408">
        <v>0</v>
      </c>
      <c r="AM588" s="408"/>
      <c r="AN588" s="408">
        <v>0</v>
      </c>
      <c r="AO588" s="408">
        <v>2185.4114140954889</v>
      </c>
      <c r="AP588" s="408">
        <v>10192.52033073874</v>
      </c>
      <c r="AQ588" s="408">
        <v>0</v>
      </c>
      <c r="AR588" s="408">
        <v>0</v>
      </c>
      <c r="AS588" s="408"/>
      <c r="AT588" s="408"/>
      <c r="AU588" s="408">
        <v>0</v>
      </c>
      <c r="AV588" s="408">
        <v>0</v>
      </c>
      <c r="AW588" s="408">
        <v>0</v>
      </c>
      <c r="AX588" s="408"/>
      <c r="AY588" s="408"/>
      <c r="AZ588" s="408">
        <v>0</v>
      </c>
      <c r="BA588" s="408"/>
      <c r="BB588" s="408">
        <v>0</v>
      </c>
      <c r="BC588" s="408">
        <v>0</v>
      </c>
      <c r="BD588" s="408">
        <v>0</v>
      </c>
      <c r="BE588" s="408">
        <v>0</v>
      </c>
      <c r="BF588" s="408"/>
      <c r="BG588" s="408">
        <v>0</v>
      </c>
      <c r="BH588" s="408">
        <v>0</v>
      </c>
      <c r="BI588" s="408">
        <v>488.95</v>
      </c>
      <c r="BJ588" s="408">
        <v>5241.2</v>
      </c>
      <c r="BK588" s="408">
        <v>227988.5</v>
      </c>
      <c r="BL588" s="408">
        <v>44</v>
      </c>
      <c r="BM588" s="408"/>
      <c r="BN588" s="408"/>
      <c r="BO588" s="408"/>
      <c r="BP588" s="408"/>
      <c r="BQ588" s="408"/>
      <c r="BR588" s="408"/>
      <c r="BS588" s="408"/>
      <c r="BT588" s="408"/>
      <c r="BU588" s="408"/>
      <c r="BV588" s="408">
        <v>0</v>
      </c>
      <c r="BW588" s="408"/>
      <c r="BX588" s="408"/>
      <c r="BY588" s="408"/>
      <c r="BZ588" s="408"/>
      <c r="CA588" s="408"/>
      <c r="CB588" s="408"/>
      <c r="CC588" s="408"/>
      <c r="CD588" s="408"/>
      <c r="CE588" s="408"/>
      <c r="CF588" s="408"/>
      <c r="CG588" s="408"/>
      <c r="CH588" s="408"/>
      <c r="CI588" s="408">
        <v>96092.160000000003</v>
      </c>
      <c r="CJ588" s="408">
        <v>-23978.909999999989</v>
      </c>
      <c r="CK588" s="408"/>
      <c r="CL588" s="408"/>
      <c r="CM588" s="408"/>
      <c r="CN588" s="408"/>
      <c r="CO588" s="408">
        <v>-23978.879999999997</v>
      </c>
      <c r="CP588" s="408">
        <v>0</v>
      </c>
      <c r="CQ588" s="408">
        <v>31</v>
      </c>
      <c r="CR588" s="408">
        <v>2252.1246231528803</v>
      </c>
      <c r="CS588" s="408">
        <v>217.7715762231046</v>
      </c>
      <c r="CT588" s="408">
        <v>1015.6628650307048</v>
      </c>
      <c r="CU588" s="408">
        <v>0</v>
      </c>
      <c r="CV588" s="408">
        <v>0</v>
      </c>
      <c r="CW588" s="408"/>
      <c r="CX588" s="408"/>
      <c r="CY588" s="408"/>
      <c r="CZ588" s="408">
        <v>1018.6901818990692</v>
      </c>
      <c r="DA588" s="408">
        <v>0</v>
      </c>
      <c r="DB588" s="408">
        <v>0</v>
      </c>
      <c r="DC588" s="408"/>
      <c r="DD588" s="408"/>
      <c r="DE588" s="408">
        <v>0</v>
      </c>
      <c r="DF588" s="408">
        <v>0</v>
      </c>
      <c r="DG588" s="408">
        <v>0</v>
      </c>
      <c r="DH588" s="408">
        <v>0</v>
      </c>
      <c r="DI588" s="408">
        <v>0</v>
      </c>
      <c r="DJ588" s="408"/>
      <c r="DK588" s="408">
        <v>0</v>
      </c>
      <c r="DL588" s="408">
        <v>0</v>
      </c>
      <c r="DM588" s="408"/>
      <c r="DN588" s="408">
        <v>0</v>
      </c>
      <c r="DO588" s="408">
        <v>0</v>
      </c>
      <c r="DP588" s="408">
        <v>0</v>
      </c>
      <c r="DQ588" s="408">
        <v>0</v>
      </c>
      <c r="DR588" s="408">
        <v>0</v>
      </c>
      <c r="DS588" s="408"/>
      <c r="DT588" s="408"/>
      <c r="DU588" s="408">
        <v>105683.84555379234</v>
      </c>
      <c r="DV588" s="408"/>
      <c r="DW588" s="408">
        <v>0</v>
      </c>
      <c r="DX588" s="408">
        <v>0</v>
      </c>
      <c r="DY588" s="408">
        <v>-23978.880000000005</v>
      </c>
      <c r="DZ588" s="408"/>
      <c r="EA588" s="408">
        <v>0</v>
      </c>
      <c r="EB588" s="408"/>
      <c r="EC588" s="408">
        <v>-26253.659904780463</v>
      </c>
      <c r="ED588" s="408"/>
      <c r="EE588" s="408">
        <v>0</v>
      </c>
      <c r="EF588" s="408">
        <v>0</v>
      </c>
      <c r="EG588" s="408"/>
      <c r="EH588" s="408">
        <v>0</v>
      </c>
      <c r="EI588" s="408">
        <v>0</v>
      </c>
      <c r="EJ588" s="408">
        <v>0</v>
      </c>
      <c r="EK588" s="408">
        <v>0</v>
      </c>
      <c r="EL588" s="408">
        <v>0</v>
      </c>
      <c r="EM588" s="408"/>
      <c r="EN588" s="408"/>
      <c r="EO588" s="408">
        <v>0</v>
      </c>
      <c r="EP588" s="408">
        <v>0</v>
      </c>
      <c r="EQ588" s="408"/>
      <c r="ER588" s="408">
        <v>0</v>
      </c>
      <c r="ES588" s="408"/>
      <c r="ET588" s="408">
        <v>0</v>
      </c>
      <c r="EU588" s="408"/>
      <c r="EV588" s="408">
        <v>240</v>
      </c>
      <c r="EW588" s="408"/>
      <c r="EX588" s="408"/>
      <c r="EY588" s="408"/>
      <c r="EZ588" s="408"/>
      <c r="FA588" s="408">
        <v>0</v>
      </c>
      <c r="FB588" s="408"/>
      <c r="FC588" s="408"/>
      <c r="FD588" s="408"/>
      <c r="FE588" s="408"/>
      <c r="FF588" s="408">
        <v>0</v>
      </c>
      <c r="FG588" s="408">
        <v>0</v>
      </c>
      <c r="FH588" s="408">
        <v>0</v>
      </c>
      <c r="FI588" s="408">
        <v>0</v>
      </c>
    </row>
    <row r="589" spans="1:165">
      <c r="A589" s="408">
        <v>587</v>
      </c>
      <c r="B589" s="408" t="s">
        <v>2238</v>
      </c>
      <c r="C589" s="408" t="s">
        <v>2243</v>
      </c>
      <c r="D589" s="408" t="s">
        <v>597</v>
      </c>
      <c r="E589" s="408" t="s">
        <v>998</v>
      </c>
      <c r="F589" s="408" t="s">
        <v>1322</v>
      </c>
      <c r="G589" s="408" t="s">
        <v>1322</v>
      </c>
      <c r="H589" s="408" t="s">
        <v>1322</v>
      </c>
      <c r="I589" s="408" t="s">
        <v>1322</v>
      </c>
      <c r="J589" s="408" t="s">
        <v>2236</v>
      </c>
      <c r="K589" s="826">
        <v>44621</v>
      </c>
      <c r="L589" s="408">
        <v>815</v>
      </c>
      <c r="M589" s="408">
        <v>815</v>
      </c>
      <c r="N589" s="408">
        <v>0</v>
      </c>
      <c r="O589" s="408">
        <v>0</v>
      </c>
      <c r="P589" s="408">
        <v>0</v>
      </c>
      <c r="Q589" s="408">
        <v>0</v>
      </c>
      <c r="R589" s="408">
        <v>27.19</v>
      </c>
      <c r="S589" s="408"/>
      <c r="T589" s="408"/>
      <c r="U589" s="408">
        <v>22159.850000000002</v>
      </c>
      <c r="V589" s="408"/>
      <c r="W589" s="408">
        <v>22159.850000000002</v>
      </c>
      <c r="X589" s="408">
        <v>17734.400000000001</v>
      </c>
      <c r="Y589" s="408">
        <v>0</v>
      </c>
      <c r="Z589" s="408">
        <v>0</v>
      </c>
      <c r="AA589" s="408">
        <v>0</v>
      </c>
      <c r="AB589" s="408">
        <v>0</v>
      </c>
      <c r="AC589" s="408">
        <v>190.05849994346468</v>
      </c>
      <c r="AD589" s="408">
        <v>182.58839408689556</v>
      </c>
      <c r="AE589" s="408">
        <v>19504.604648174991</v>
      </c>
      <c r="AF589" s="408"/>
      <c r="AG589" s="408"/>
      <c r="AH589" s="408"/>
      <c r="AI589" s="408">
        <v>0</v>
      </c>
      <c r="AJ589" s="408">
        <v>0</v>
      </c>
      <c r="AK589" s="408">
        <v>0</v>
      </c>
      <c r="AL589" s="408">
        <v>0</v>
      </c>
      <c r="AM589" s="408"/>
      <c r="AN589" s="408">
        <v>0</v>
      </c>
      <c r="AO589" s="408">
        <v>403.33113733872818</v>
      </c>
      <c r="AP589" s="408">
        <v>1881.0924070543645</v>
      </c>
      <c r="AQ589" s="408">
        <v>0</v>
      </c>
      <c r="AR589" s="408">
        <v>0</v>
      </c>
      <c r="AS589" s="408"/>
      <c r="AT589" s="408"/>
      <c r="AU589" s="408">
        <v>0</v>
      </c>
      <c r="AV589" s="408">
        <v>0</v>
      </c>
      <c r="AW589" s="408">
        <v>0</v>
      </c>
      <c r="AX589" s="408"/>
      <c r="AY589" s="408"/>
      <c r="AZ589" s="408">
        <v>0</v>
      </c>
      <c r="BA589" s="408"/>
      <c r="BB589" s="408">
        <v>0</v>
      </c>
      <c r="BC589" s="408">
        <v>0</v>
      </c>
      <c r="BD589" s="408">
        <v>0</v>
      </c>
      <c r="BE589" s="408">
        <v>0</v>
      </c>
      <c r="BF589" s="408"/>
      <c r="BG589" s="408">
        <v>0</v>
      </c>
      <c r="BH589" s="408">
        <v>0</v>
      </c>
      <c r="BI589" s="408">
        <v>34.840000000000003</v>
      </c>
      <c r="BJ589" s="408">
        <v>373.73</v>
      </c>
      <c r="BK589" s="408">
        <v>16290.7</v>
      </c>
      <c r="BL589" s="408">
        <v>6</v>
      </c>
      <c r="BM589" s="408"/>
      <c r="BN589" s="408"/>
      <c r="BO589" s="408"/>
      <c r="BP589" s="408"/>
      <c r="BQ589" s="408"/>
      <c r="BR589" s="408"/>
      <c r="BS589" s="408"/>
      <c r="BT589" s="408"/>
      <c r="BU589" s="408"/>
      <c r="BV589" s="408">
        <v>0</v>
      </c>
      <c r="BW589" s="408"/>
      <c r="BX589" s="408"/>
      <c r="BY589" s="408"/>
      <c r="BZ589" s="408"/>
      <c r="CA589" s="408"/>
      <c r="CB589" s="408"/>
      <c r="CC589" s="408"/>
      <c r="CD589" s="408"/>
      <c r="CE589" s="408"/>
      <c r="CF589" s="408"/>
      <c r="CG589" s="408"/>
      <c r="CH589" s="408"/>
      <c r="CI589" s="408">
        <v>17734.400000000001</v>
      </c>
      <c r="CJ589" s="408">
        <v>-4425.4799999999959</v>
      </c>
      <c r="CK589" s="408"/>
      <c r="CL589" s="408"/>
      <c r="CM589" s="408"/>
      <c r="CN589" s="408"/>
      <c r="CO589" s="408">
        <v>-4425.45</v>
      </c>
      <c r="CP589" s="408">
        <v>0</v>
      </c>
      <c r="CQ589" s="408">
        <v>31</v>
      </c>
      <c r="CR589" s="408">
        <v>415.64347098496273</v>
      </c>
      <c r="CS589" s="408">
        <v>40.191085738639003</v>
      </c>
      <c r="CT589" s="408">
        <v>187.44683763587523</v>
      </c>
      <c r="CU589" s="408">
        <v>0</v>
      </c>
      <c r="CV589" s="408">
        <v>0</v>
      </c>
      <c r="CW589" s="408"/>
      <c r="CX589" s="408"/>
      <c r="CY589" s="408"/>
      <c r="CZ589" s="408">
        <v>188.00554761044873</v>
      </c>
      <c r="DA589" s="408">
        <v>0</v>
      </c>
      <c r="DB589" s="408">
        <v>0</v>
      </c>
      <c r="DC589" s="408"/>
      <c r="DD589" s="408"/>
      <c r="DE589" s="408">
        <v>0</v>
      </c>
      <c r="DF589" s="408">
        <v>0</v>
      </c>
      <c r="DG589" s="408">
        <v>0</v>
      </c>
      <c r="DH589" s="408">
        <v>0</v>
      </c>
      <c r="DI589" s="408">
        <v>0</v>
      </c>
      <c r="DJ589" s="408"/>
      <c r="DK589" s="408">
        <v>0</v>
      </c>
      <c r="DL589" s="408">
        <v>0</v>
      </c>
      <c r="DM589" s="408"/>
      <c r="DN589" s="408">
        <v>0</v>
      </c>
      <c r="DO589" s="408">
        <v>0</v>
      </c>
      <c r="DP589" s="408">
        <v>0</v>
      </c>
      <c r="DQ589" s="408">
        <v>0</v>
      </c>
      <c r="DR589" s="408">
        <v>0</v>
      </c>
      <c r="DS589" s="408"/>
      <c r="DT589" s="408"/>
      <c r="DU589" s="408">
        <v>19504.604648174991</v>
      </c>
      <c r="DV589" s="408"/>
      <c r="DW589" s="408">
        <v>0</v>
      </c>
      <c r="DX589" s="408">
        <v>0</v>
      </c>
      <c r="DY589" s="408">
        <v>-4425.4500000000007</v>
      </c>
      <c r="DZ589" s="408"/>
      <c r="EA589" s="408">
        <v>0</v>
      </c>
      <c r="EB589" s="408"/>
      <c r="EC589" s="408">
        <v>-4845.2746427527345</v>
      </c>
      <c r="ED589" s="408"/>
      <c r="EE589" s="408">
        <v>0</v>
      </c>
      <c r="EF589" s="408">
        <v>0</v>
      </c>
      <c r="EG589" s="408"/>
      <c r="EH589" s="408">
        <v>0</v>
      </c>
      <c r="EI589" s="408">
        <v>0</v>
      </c>
      <c r="EJ589" s="408">
        <v>0</v>
      </c>
      <c r="EK589" s="408">
        <v>0</v>
      </c>
      <c r="EL589" s="408">
        <v>0</v>
      </c>
      <c r="EM589" s="408"/>
      <c r="EN589" s="408"/>
      <c r="EO589" s="408">
        <v>0</v>
      </c>
      <c r="EP589" s="408">
        <v>0</v>
      </c>
      <c r="EQ589" s="408"/>
      <c r="ER589" s="408">
        <v>0</v>
      </c>
      <c r="ES589" s="408"/>
      <c r="ET589" s="408">
        <v>0</v>
      </c>
      <c r="EU589" s="408"/>
      <c r="EV589" s="408">
        <v>240</v>
      </c>
      <c r="EW589" s="408"/>
      <c r="EX589" s="408"/>
      <c r="EY589" s="408"/>
      <c r="EZ589" s="408"/>
      <c r="FA589" s="408">
        <v>0</v>
      </c>
      <c r="FB589" s="408"/>
      <c r="FC589" s="408"/>
      <c r="FD589" s="408"/>
      <c r="FE589" s="408"/>
      <c r="FF589" s="408">
        <v>0</v>
      </c>
      <c r="FG589" s="408">
        <v>0</v>
      </c>
      <c r="FH589" s="408">
        <v>0</v>
      </c>
      <c r="FI589" s="408">
        <v>0</v>
      </c>
    </row>
    <row r="590" spans="1:165">
      <c r="A590" s="408">
        <v>588</v>
      </c>
      <c r="B590" s="408" t="s">
        <v>1036</v>
      </c>
      <c r="C590" s="408" t="s">
        <v>2316</v>
      </c>
      <c r="D590" s="408" t="s">
        <v>1958</v>
      </c>
      <c r="E590" s="408" t="s">
        <v>998</v>
      </c>
      <c r="F590" s="408" t="s">
        <v>1322</v>
      </c>
      <c r="G590" s="408" t="s">
        <v>1322</v>
      </c>
      <c r="H590" s="408" t="s">
        <v>1322</v>
      </c>
      <c r="I590" s="408" t="s">
        <v>973</v>
      </c>
      <c r="J590" s="408" t="s">
        <v>2236</v>
      </c>
      <c r="K590" s="826">
        <v>44621</v>
      </c>
      <c r="L590" s="408">
        <v>0</v>
      </c>
      <c r="M590" s="408">
        <v>0</v>
      </c>
      <c r="N590" s="408">
        <v>0.7</v>
      </c>
      <c r="O590" s="408">
        <v>0.7</v>
      </c>
      <c r="P590" s="408">
        <v>0.7</v>
      </c>
      <c r="Q590" s="408">
        <v>0.7</v>
      </c>
      <c r="R590" s="408"/>
      <c r="S590" s="408">
        <v>1553.42</v>
      </c>
      <c r="T590" s="408">
        <v>173.25</v>
      </c>
      <c r="U590" s="408"/>
      <c r="V590" s="408">
        <v>1208.6690000000001</v>
      </c>
      <c r="W590" s="408">
        <v>1208.6690000000001</v>
      </c>
      <c r="X590" s="408">
        <v>1146.768</v>
      </c>
      <c r="Y590" s="408">
        <v>0</v>
      </c>
      <c r="Z590" s="408">
        <v>43.081628239559279</v>
      </c>
      <c r="AA590" s="408">
        <v>0</v>
      </c>
      <c r="AB590" s="408">
        <v>0</v>
      </c>
      <c r="AC590" s="408">
        <v>75.914472235424896</v>
      </c>
      <c r="AD590" s="408">
        <v>5.2497340728983151</v>
      </c>
      <c r="AE590" s="408">
        <v>502.87153240974925</v>
      </c>
      <c r="AF590" s="408">
        <v>119.23832940971909</v>
      </c>
      <c r="AG590" s="408">
        <v>2.0350634713788751</v>
      </c>
      <c r="AH590" s="408">
        <v>0</v>
      </c>
      <c r="AI590" s="408">
        <v>0</v>
      </c>
      <c r="AJ590" s="408">
        <v>0</v>
      </c>
      <c r="AK590" s="408">
        <v>0</v>
      </c>
      <c r="AL590" s="408">
        <v>6.6563211941277869</v>
      </c>
      <c r="AM590" s="408"/>
      <c r="AN590" s="408">
        <v>0.84549970005390385</v>
      </c>
      <c r="AO590" s="408">
        <v>220.88777530417289</v>
      </c>
      <c r="AP590" s="408">
        <v>214.62426613725017</v>
      </c>
      <c r="AQ590" s="408">
        <v>0</v>
      </c>
      <c r="AR590" s="408">
        <v>0</v>
      </c>
      <c r="AS590" s="408">
        <v>0</v>
      </c>
      <c r="AT590" s="408">
        <v>0</v>
      </c>
      <c r="AU590" s="408">
        <v>0</v>
      </c>
      <c r="AV590" s="408">
        <v>0</v>
      </c>
      <c r="AW590" s="408">
        <v>0</v>
      </c>
      <c r="AX590" s="408">
        <v>0</v>
      </c>
      <c r="AY590" s="408">
        <v>0</v>
      </c>
      <c r="AZ590" s="408">
        <v>0</v>
      </c>
      <c r="BA590" s="408"/>
      <c r="BB590" s="408">
        <v>0</v>
      </c>
      <c r="BC590" s="408">
        <v>0</v>
      </c>
      <c r="BD590" s="408">
        <v>0</v>
      </c>
      <c r="BE590" s="408">
        <v>0</v>
      </c>
      <c r="BF590" s="408">
        <v>0</v>
      </c>
      <c r="BG590" s="408">
        <v>6.257854277525186</v>
      </c>
      <c r="BH590" s="408">
        <v>0</v>
      </c>
      <c r="BI590" s="408">
        <v>0</v>
      </c>
      <c r="BJ590" s="408">
        <v>0</v>
      </c>
      <c r="BK590" s="408">
        <v>0</v>
      </c>
      <c r="BL590" s="408">
        <v>0</v>
      </c>
      <c r="BM590" s="408"/>
      <c r="BN590" s="408"/>
      <c r="BO590" s="408"/>
      <c r="BP590" s="408"/>
      <c r="BQ590" s="408"/>
      <c r="BR590" s="408"/>
      <c r="BS590" s="408"/>
      <c r="BT590" s="408"/>
      <c r="BU590" s="408"/>
      <c r="BV590" s="408">
        <v>125.49618368724427</v>
      </c>
      <c r="BW590" s="408"/>
      <c r="BX590" s="408"/>
      <c r="BY590" s="408"/>
      <c r="BZ590" s="408"/>
      <c r="CA590" s="408"/>
      <c r="CB590" s="408"/>
      <c r="CC590" s="408"/>
      <c r="CD590" s="408"/>
      <c r="CE590" s="408"/>
      <c r="CF590" s="408"/>
      <c r="CG590" s="408"/>
      <c r="CH590" s="408"/>
      <c r="CI590" s="408">
        <v>1146.768</v>
      </c>
      <c r="CJ590" s="408">
        <v>-61.93100000000004</v>
      </c>
      <c r="CK590" s="408"/>
      <c r="CL590" s="408"/>
      <c r="CM590" s="408"/>
      <c r="CN590" s="408"/>
      <c r="CO590" s="408">
        <v>-77.013999999999982</v>
      </c>
      <c r="CP590" s="408">
        <v>15.113000000000001</v>
      </c>
      <c r="CQ590" s="408">
        <v>31</v>
      </c>
      <c r="CR590" s="408">
        <v>63.019683199645101</v>
      </c>
      <c r="CS590" s="408">
        <v>22.010994674114613</v>
      </c>
      <c r="CT590" s="408">
        <v>21.386849373522523</v>
      </c>
      <c r="CU590" s="408">
        <v>0</v>
      </c>
      <c r="CV590" s="408">
        <v>0</v>
      </c>
      <c r="CW590" s="408">
        <v>0</v>
      </c>
      <c r="CX590" s="408">
        <v>0</v>
      </c>
      <c r="CY590" s="408">
        <v>0</v>
      </c>
      <c r="CZ590" s="408">
        <v>5.4054866637074444</v>
      </c>
      <c r="DA590" s="408">
        <v>0</v>
      </c>
      <c r="DB590" s="408">
        <v>0</v>
      </c>
      <c r="DC590" s="408">
        <v>15.111293654904301</v>
      </c>
      <c r="DD590" s="408">
        <v>0</v>
      </c>
      <c r="DE590" s="408">
        <v>0</v>
      </c>
      <c r="DF590" s="408">
        <v>0</v>
      </c>
      <c r="DG590" s="408">
        <v>0.79306942746865428</v>
      </c>
      <c r="DH590" s="408">
        <v>0</v>
      </c>
      <c r="DI590" s="408">
        <v>-1.4629157671700668</v>
      </c>
      <c r="DJ590" s="408"/>
      <c r="DK590" s="408">
        <v>0</v>
      </c>
      <c r="DL590" s="408">
        <v>0</v>
      </c>
      <c r="DM590" s="408">
        <v>0</v>
      </c>
      <c r="DN590" s="408">
        <v>0</v>
      </c>
      <c r="DO590" s="408">
        <v>-0.20117443143074176</v>
      </c>
      <c r="DP590" s="408">
        <v>-2.3920395471622946E-2</v>
      </c>
      <c r="DQ590" s="408">
        <v>0</v>
      </c>
      <c r="DR590" s="408">
        <v>0</v>
      </c>
      <c r="DS590" s="408"/>
      <c r="DT590" s="408"/>
      <c r="DU590" s="408"/>
      <c r="DV590" s="408">
        <v>502.87153240974925</v>
      </c>
      <c r="DW590" s="408">
        <v>0</v>
      </c>
      <c r="DX590" s="408">
        <v>0</v>
      </c>
      <c r="DY590" s="408">
        <v>-77.01400000000001</v>
      </c>
      <c r="DZ590" s="408">
        <v>15.113000000000014</v>
      </c>
      <c r="EA590" s="408">
        <v>0</v>
      </c>
      <c r="EB590" s="408">
        <v>0</v>
      </c>
      <c r="EC590" s="408">
        <v>-124.92181864220305</v>
      </c>
      <c r="ED590" s="408">
        <v>0</v>
      </c>
      <c r="EE590" s="408">
        <v>0</v>
      </c>
      <c r="EF590" s="408">
        <v>0</v>
      </c>
      <c r="EG590" s="408">
        <v>0</v>
      </c>
      <c r="EH590" s="408">
        <v>0</v>
      </c>
      <c r="EI590" s="408">
        <v>0</v>
      </c>
      <c r="EJ590" s="408">
        <v>0</v>
      </c>
      <c r="EK590" s="408">
        <v>0</v>
      </c>
      <c r="EL590" s="408">
        <v>0</v>
      </c>
      <c r="EM590" s="408">
        <v>0</v>
      </c>
      <c r="EN590" s="408">
        <v>0</v>
      </c>
      <c r="EO590" s="408">
        <v>0</v>
      </c>
      <c r="EP590" s="408">
        <v>11.002279488430089</v>
      </c>
      <c r="EQ590" s="408">
        <v>0</v>
      </c>
      <c r="ER590" s="408">
        <v>0</v>
      </c>
      <c r="ES590" s="408">
        <v>0</v>
      </c>
      <c r="ET590" s="408">
        <v>0</v>
      </c>
      <c r="EU590" s="408">
        <v>0</v>
      </c>
      <c r="EV590" s="408">
        <v>240</v>
      </c>
      <c r="EW590" s="408">
        <v>0</v>
      </c>
      <c r="EX590" s="408">
        <v>0</v>
      </c>
      <c r="EY590" s="408">
        <v>0</v>
      </c>
      <c r="EZ590" s="408"/>
      <c r="FA590" s="408">
        <v>0</v>
      </c>
      <c r="FB590" s="408"/>
      <c r="FC590" s="408"/>
      <c r="FD590" s="408"/>
      <c r="FE590" s="408"/>
      <c r="FF590" s="408">
        <v>0</v>
      </c>
      <c r="FG590" s="408">
        <v>0</v>
      </c>
      <c r="FH590" s="408">
        <v>0</v>
      </c>
      <c r="FI590" s="408">
        <v>0</v>
      </c>
    </row>
    <row r="591" spans="1:165">
      <c r="A591" s="408">
        <v>589</v>
      </c>
      <c r="B591" s="408" t="s">
        <v>1036</v>
      </c>
      <c r="C591" s="408" t="s">
        <v>2316</v>
      </c>
      <c r="D591" s="408" t="s">
        <v>1958</v>
      </c>
      <c r="E591" s="408" t="s">
        <v>998</v>
      </c>
      <c r="F591" s="408" t="s">
        <v>1322</v>
      </c>
      <c r="G591" s="408" t="s">
        <v>1322</v>
      </c>
      <c r="H591" s="408" t="s">
        <v>1322</v>
      </c>
      <c r="I591" s="408" t="s">
        <v>2244</v>
      </c>
      <c r="J591" s="408" t="s">
        <v>2236</v>
      </c>
      <c r="K591" s="826">
        <v>44621</v>
      </c>
      <c r="L591" s="408">
        <v>0</v>
      </c>
      <c r="M591" s="408">
        <v>0</v>
      </c>
      <c r="N591" s="408">
        <v>13.509</v>
      </c>
      <c r="O591" s="408">
        <v>13.509</v>
      </c>
      <c r="P591" s="408">
        <v>13.509</v>
      </c>
      <c r="Q591" s="408">
        <v>13.509</v>
      </c>
      <c r="R591" s="408"/>
      <c r="S591" s="408">
        <v>388.22</v>
      </c>
      <c r="T591" s="408">
        <v>173.25</v>
      </c>
      <c r="U591" s="408"/>
      <c r="V591" s="408">
        <v>7584.8982300000007</v>
      </c>
      <c r="W591" s="408">
        <v>7584.8982300000007</v>
      </c>
      <c r="X591" s="408">
        <v>7565.4452700000002</v>
      </c>
      <c r="Y591" s="408">
        <v>0</v>
      </c>
      <c r="Z591" s="408">
        <v>831.41387984029473</v>
      </c>
      <c r="AA591" s="408">
        <v>0</v>
      </c>
      <c r="AB591" s="408">
        <v>0</v>
      </c>
      <c r="AC591" s="408">
        <v>293.00817297953</v>
      </c>
      <c r="AD591" s="408">
        <v>20.262492556157994</v>
      </c>
      <c r="AE591" s="408">
        <v>1940.9418923232047</v>
      </c>
      <c r="AF591" s="408">
        <v>2301.1294171369932</v>
      </c>
      <c r="AG591" s="408">
        <v>39.273817764081748</v>
      </c>
      <c r="AH591" s="408">
        <v>0</v>
      </c>
      <c r="AI591" s="408">
        <v>0</v>
      </c>
      <c r="AJ591" s="408">
        <v>0</v>
      </c>
      <c r="AK591" s="408">
        <v>0</v>
      </c>
      <c r="AL591" s="408">
        <v>128.45749001638896</v>
      </c>
      <c r="AM591" s="408"/>
      <c r="AN591" s="408">
        <v>16.316936354325982</v>
      </c>
      <c r="AO591" s="408">
        <v>852.56370188116341</v>
      </c>
      <c r="AP591" s="408">
        <v>828.3883460708895</v>
      </c>
      <c r="AQ591" s="408">
        <v>0</v>
      </c>
      <c r="AR591" s="408">
        <v>0</v>
      </c>
      <c r="AS591" s="408">
        <v>0</v>
      </c>
      <c r="AT591" s="408">
        <v>0</v>
      </c>
      <c r="AU591" s="408">
        <v>0</v>
      </c>
      <c r="AV591" s="408">
        <v>0</v>
      </c>
      <c r="AW591" s="408">
        <v>0</v>
      </c>
      <c r="AX591" s="408">
        <v>0</v>
      </c>
      <c r="AY591" s="408">
        <v>0</v>
      </c>
      <c r="AZ591" s="408">
        <v>0</v>
      </c>
      <c r="BA591" s="408"/>
      <c r="BB591" s="408">
        <v>0</v>
      </c>
      <c r="BC591" s="408">
        <v>0</v>
      </c>
      <c r="BD591" s="408">
        <v>0</v>
      </c>
      <c r="BE591" s="408">
        <v>0</v>
      </c>
      <c r="BF591" s="408">
        <v>0</v>
      </c>
      <c r="BG591" s="408">
        <v>120.76764776441107</v>
      </c>
      <c r="BH591" s="408">
        <v>0</v>
      </c>
      <c r="BI591" s="408">
        <v>0</v>
      </c>
      <c r="BJ591" s="408">
        <v>0</v>
      </c>
      <c r="BK591" s="408">
        <v>0</v>
      </c>
      <c r="BL591" s="408">
        <v>0</v>
      </c>
      <c r="BM591" s="408"/>
      <c r="BN591" s="408"/>
      <c r="BO591" s="408"/>
      <c r="BP591" s="408"/>
      <c r="BQ591" s="408"/>
      <c r="BR591" s="408"/>
      <c r="BS591" s="408"/>
      <c r="BT591" s="408"/>
      <c r="BU591" s="408"/>
      <c r="BV591" s="408">
        <v>2421.8970649014041</v>
      </c>
      <c r="BW591" s="408"/>
      <c r="BX591" s="408"/>
      <c r="BY591" s="408"/>
      <c r="BZ591" s="408"/>
      <c r="CA591" s="408"/>
      <c r="CB591" s="408"/>
      <c r="CC591" s="408"/>
      <c r="CD591" s="408"/>
      <c r="CE591" s="408"/>
      <c r="CF591" s="408"/>
      <c r="CG591" s="408"/>
      <c r="CH591" s="408"/>
      <c r="CI591" s="408">
        <v>7566.0052999999989</v>
      </c>
      <c r="CJ591" s="408">
        <v>-18.922930000002452</v>
      </c>
      <c r="CK591" s="408"/>
      <c r="CL591" s="408"/>
      <c r="CM591" s="408"/>
      <c r="CN591" s="408"/>
      <c r="CO591" s="408">
        <v>-311.11227000000042</v>
      </c>
      <c r="CP591" s="408">
        <v>291.65931000000006</v>
      </c>
      <c r="CQ591" s="408">
        <v>31</v>
      </c>
      <c r="CR591" s="408">
        <v>462.7222262075029</v>
      </c>
      <c r="CS591" s="408">
        <v>84.956150586459671</v>
      </c>
      <c r="CT591" s="408">
        <v>82.547128053402957</v>
      </c>
      <c r="CU591" s="408">
        <v>0</v>
      </c>
      <c r="CV591" s="408">
        <v>0</v>
      </c>
      <c r="CW591" s="408">
        <v>0</v>
      </c>
      <c r="CX591" s="408">
        <v>0</v>
      </c>
      <c r="CY591" s="408">
        <v>0</v>
      </c>
      <c r="CZ591" s="408">
        <v>20.863653618422937</v>
      </c>
      <c r="DA591" s="408">
        <v>0</v>
      </c>
      <c r="DB591" s="408">
        <v>0</v>
      </c>
      <c r="DC591" s="408">
        <v>291.62637997728916</v>
      </c>
      <c r="DD591" s="408">
        <v>0</v>
      </c>
      <c r="DE591" s="408">
        <v>0</v>
      </c>
      <c r="DF591" s="408">
        <v>0</v>
      </c>
      <c r="DG591" s="408">
        <v>15.305106993820061</v>
      </c>
      <c r="DH591" s="408">
        <v>0</v>
      </c>
      <c r="DI591" s="408">
        <v>-28.232184426714753</v>
      </c>
      <c r="DJ591" s="408"/>
      <c r="DK591" s="408">
        <v>0</v>
      </c>
      <c r="DL591" s="408">
        <v>0</v>
      </c>
      <c r="DM591" s="408">
        <v>0</v>
      </c>
      <c r="DN591" s="408">
        <v>0</v>
      </c>
      <c r="DO591" s="408">
        <v>-3.88237913456841</v>
      </c>
      <c r="DP591" s="408">
        <v>-0.46162946060879051</v>
      </c>
      <c r="DQ591" s="408">
        <v>0</v>
      </c>
      <c r="DR591" s="408">
        <v>0</v>
      </c>
      <c r="DS591" s="408"/>
      <c r="DT591" s="408"/>
      <c r="DU591" s="408"/>
      <c r="DV591" s="408">
        <v>1940.9418923232047</v>
      </c>
      <c r="DW591" s="408">
        <v>0</v>
      </c>
      <c r="DX591" s="408">
        <v>0</v>
      </c>
      <c r="DY591" s="408">
        <v>-311.11227000000054</v>
      </c>
      <c r="DZ591" s="408">
        <v>291.65931</v>
      </c>
      <c r="EA591" s="408">
        <v>0</v>
      </c>
      <c r="EB591" s="408">
        <v>0</v>
      </c>
      <c r="EC591" s="408">
        <v>-482.16288940827621</v>
      </c>
      <c r="ED591" s="408">
        <v>0</v>
      </c>
      <c r="EE591" s="408">
        <v>0</v>
      </c>
      <c r="EF591" s="408">
        <v>0</v>
      </c>
      <c r="EG591" s="408">
        <v>0</v>
      </c>
      <c r="EH591" s="408">
        <v>0</v>
      </c>
      <c r="EI591" s="408">
        <v>0</v>
      </c>
      <c r="EJ591" s="408">
        <v>0</v>
      </c>
      <c r="EK591" s="408">
        <v>0</v>
      </c>
      <c r="EL591" s="408">
        <v>0</v>
      </c>
      <c r="EM591" s="408">
        <v>0</v>
      </c>
      <c r="EN591" s="408">
        <v>0</v>
      </c>
      <c r="EO591" s="408">
        <v>0</v>
      </c>
      <c r="EP591" s="408">
        <v>212.32827658457441</v>
      </c>
      <c r="EQ591" s="408">
        <v>0</v>
      </c>
      <c r="ER591" s="408">
        <v>0</v>
      </c>
      <c r="ES591" s="408">
        <v>0</v>
      </c>
      <c r="ET591" s="408">
        <v>0</v>
      </c>
      <c r="EU591" s="408">
        <v>0</v>
      </c>
      <c r="EV591" s="408">
        <v>240</v>
      </c>
      <c r="EW591" s="408">
        <v>0</v>
      </c>
      <c r="EX591" s="408">
        <v>0</v>
      </c>
      <c r="EY591" s="408">
        <v>0</v>
      </c>
      <c r="EZ591" s="408"/>
      <c r="FA591" s="408">
        <v>0</v>
      </c>
      <c r="FB591" s="408"/>
      <c r="FC591" s="408"/>
      <c r="FD591" s="408"/>
      <c r="FE591" s="408"/>
      <c r="FF591" s="408">
        <v>0</v>
      </c>
      <c r="FG591" s="408">
        <v>0</v>
      </c>
      <c r="FH591" s="408">
        <v>0</v>
      </c>
      <c r="FI591" s="408">
        <v>0</v>
      </c>
    </row>
    <row r="592" spans="1:165">
      <c r="A592" s="408">
        <v>590</v>
      </c>
      <c r="B592" s="408" t="s">
        <v>1036</v>
      </c>
      <c r="C592" s="408" t="s">
        <v>2316</v>
      </c>
      <c r="D592" s="408" t="s">
        <v>1958</v>
      </c>
      <c r="E592" s="408" t="s">
        <v>998</v>
      </c>
      <c r="F592" s="408" t="s">
        <v>1322</v>
      </c>
      <c r="G592" s="408" t="s">
        <v>1322</v>
      </c>
      <c r="H592" s="408" t="s">
        <v>1322</v>
      </c>
      <c r="I592" s="408" t="s">
        <v>1322</v>
      </c>
      <c r="J592" s="408" t="s">
        <v>2236</v>
      </c>
      <c r="K592" s="826">
        <v>44621</v>
      </c>
      <c r="L592" s="408">
        <v>0</v>
      </c>
      <c r="M592" s="408">
        <v>0</v>
      </c>
      <c r="N592" s="408">
        <v>0</v>
      </c>
      <c r="O592" s="408">
        <v>0</v>
      </c>
      <c r="P592" s="408">
        <v>0</v>
      </c>
      <c r="Q592" s="408">
        <v>0</v>
      </c>
      <c r="R592" s="408"/>
      <c r="S592" s="408"/>
      <c r="T592" s="408"/>
      <c r="U592" s="408"/>
      <c r="V592" s="408"/>
      <c r="W592" s="408"/>
      <c r="X592" s="408"/>
      <c r="Y592" s="408"/>
      <c r="Z592" s="408"/>
      <c r="AA592" s="408">
        <v>0</v>
      </c>
      <c r="AB592" s="408"/>
      <c r="AC592" s="408"/>
      <c r="AD592" s="408"/>
      <c r="AE592" s="408"/>
      <c r="AF592" s="408"/>
      <c r="AG592" s="408"/>
      <c r="AH592" s="408"/>
      <c r="AI592" s="408"/>
      <c r="AJ592" s="408"/>
      <c r="AK592" s="408"/>
      <c r="AL592" s="408"/>
      <c r="AM592" s="408"/>
      <c r="AN592" s="408"/>
      <c r="AO592" s="408"/>
      <c r="AP592" s="408"/>
      <c r="AQ592" s="408"/>
      <c r="AR592" s="408"/>
      <c r="AS592" s="408"/>
      <c r="AT592" s="408"/>
      <c r="AU592" s="408"/>
      <c r="AV592" s="408"/>
      <c r="AW592" s="408"/>
      <c r="AX592" s="408"/>
      <c r="AY592" s="408"/>
      <c r="AZ592" s="408">
        <v>0</v>
      </c>
      <c r="BA592" s="408"/>
      <c r="BB592" s="408"/>
      <c r="BC592" s="408"/>
      <c r="BD592" s="408"/>
      <c r="BE592" s="408"/>
      <c r="BF592" s="408"/>
      <c r="BG592" s="408"/>
      <c r="BH592" s="408"/>
      <c r="BI592" s="408">
        <v>8.08</v>
      </c>
      <c r="BJ592" s="408">
        <v>86.99</v>
      </c>
      <c r="BK592" s="408">
        <v>3865.55</v>
      </c>
      <c r="BL592" s="408">
        <v>6</v>
      </c>
      <c r="BM592" s="408"/>
      <c r="BN592" s="408"/>
      <c r="BO592" s="408"/>
      <c r="BP592" s="408"/>
      <c r="BQ592" s="408"/>
      <c r="BR592" s="408"/>
      <c r="BS592" s="408"/>
      <c r="BT592" s="408"/>
      <c r="BU592" s="408"/>
      <c r="BV592" s="408"/>
      <c r="BW592" s="408"/>
      <c r="BX592" s="408"/>
      <c r="BY592" s="408"/>
      <c r="BZ592" s="408"/>
      <c r="CA592" s="408"/>
      <c r="CB592" s="408"/>
      <c r="CC592" s="408"/>
      <c r="CD592" s="408"/>
      <c r="CE592" s="408"/>
      <c r="CF592" s="408"/>
      <c r="CG592" s="408"/>
      <c r="CH592" s="408"/>
      <c r="CI592" s="408"/>
      <c r="CJ592" s="408">
        <v>-0.03</v>
      </c>
      <c r="CK592" s="408"/>
      <c r="CL592" s="408"/>
      <c r="CM592" s="408"/>
      <c r="CN592" s="408"/>
      <c r="CO592" s="408">
        <v>0</v>
      </c>
      <c r="CP592" s="408">
        <v>0</v>
      </c>
      <c r="CQ592" s="408">
        <v>31</v>
      </c>
      <c r="CR592" s="408"/>
      <c r="CS592" s="408"/>
      <c r="CT592" s="408"/>
      <c r="CU592" s="408"/>
      <c r="CV592" s="408"/>
      <c r="CW592" s="408"/>
      <c r="CX592" s="408"/>
      <c r="CY592" s="408"/>
      <c r="CZ592" s="408"/>
      <c r="DA592" s="408"/>
      <c r="DB592" s="408"/>
      <c r="DC592" s="408"/>
      <c r="DD592" s="408"/>
      <c r="DE592" s="408"/>
      <c r="DF592" s="408"/>
      <c r="DG592" s="408"/>
      <c r="DH592" s="408"/>
      <c r="DI592" s="408"/>
      <c r="DJ592" s="408"/>
      <c r="DK592" s="408">
        <v>0</v>
      </c>
      <c r="DL592" s="408"/>
      <c r="DM592" s="408"/>
      <c r="DN592" s="408"/>
      <c r="DO592" s="408"/>
      <c r="DP592" s="408"/>
      <c r="DQ592" s="408"/>
      <c r="DR592" s="408"/>
      <c r="DS592" s="408"/>
      <c r="DT592" s="408"/>
      <c r="DU592" s="408"/>
      <c r="DV592" s="408"/>
      <c r="DW592" s="408"/>
      <c r="DX592" s="408"/>
      <c r="DY592" s="408"/>
      <c r="DZ592" s="408"/>
      <c r="EA592" s="408"/>
      <c r="EB592" s="408"/>
      <c r="EC592" s="408"/>
      <c r="ED592" s="408"/>
      <c r="EE592" s="408"/>
      <c r="EF592" s="408"/>
      <c r="EG592" s="408"/>
      <c r="EH592" s="408"/>
      <c r="EI592" s="408"/>
      <c r="EJ592" s="408"/>
      <c r="EK592" s="408"/>
      <c r="EL592" s="408"/>
      <c r="EM592" s="408"/>
      <c r="EN592" s="408"/>
      <c r="EO592" s="408"/>
      <c r="EP592" s="408"/>
      <c r="EQ592" s="408"/>
      <c r="ER592" s="408"/>
      <c r="ES592" s="408"/>
      <c r="ET592" s="408"/>
      <c r="EU592" s="408"/>
      <c r="EV592" s="408">
        <v>240</v>
      </c>
      <c r="EW592" s="408"/>
      <c r="EX592" s="408"/>
      <c r="EY592" s="408"/>
      <c r="EZ592" s="408"/>
      <c r="FA592" s="408">
        <v>0</v>
      </c>
      <c r="FB592" s="408"/>
      <c r="FC592" s="408"/>
      <c r="FD592" s="408"/>
      <c r="FE592" s="408"/>
      <c r="FF592" s="408">
        <v>0</v>
      </c>
      <c r="FG592" s="408">
        <v>0</v>
      </c>
      <c r="FH592" s="408">
        <v>0</v>
      </c>
      <c r="FI592" s="408">
        <v>0</v>
      </c>
    </row>
    <row r="593" spans="1:165">
      <c r="A593" s="408">
        <v>591</v>
      </c>
      <c r="B593" s="408" t="s">
        <v>1036</v>
      </c>
      <c r="C593" s="408" t="s">
        <v>2316</v>
      </c>
      <c r="D593" s="408" t="s">
        <v>1958</v>
      </c>
      <c r="E593" s="408" t="s">
        <v>998</v>
      </c>
      <c r="F593" s="408" t="s">
        <v>1322</v>
      </c>
      <c r="G593" s="408" t="s">
        <v>1322</v>
      </c>
      <c r="H593" s="408" t="s">
        <v>1322</v>
      </c>
      <c r="I593" s="408" t="s">
        <v>2317</v>
      </c>
      <c r="J593" s="408" t="s">
        <v>2236</v>
      </c>
      <c r="K593" s="826">
        <v>44621</v>
      </c>
      <c r="L593" s="408">
        <v>0</v>
      </c>
      <c r="M593" s="408">
        <v>0</v>
      </c>
      <c r="N593" s="408">
        <v>0.622</v>
      </c>
      <c r="O593" s="408">
        <v>0.622</v>
      </c>
      <c r="P593" s="408">
        <v>0.622</v>
      </c>
      <c r="Q593" s="408">
        <v>0.622</v>
      </c>
      <c r="R593" s="408"/>
      <c r="S593" s="408">
        <v>970.82</v>
      </c>
      <c r="T593" s="408">
        <v>173.25</v>
      </c>
      <c r="U593" s="408"/>
      <c r="V593" s="408">
        <v>711.61153999999999</v>
      </c>
      <c r="W593" s="408">
        <v>711.61153999999999</v>
      </c>
      <c r="X593" s="408">
        <v>683.65886</v>
      </c>
      <c r="Y593" s="408">
        <v>0</v>
      </c>
      <c r="Z593" s="408">
        <v>38.281103950008387</v>
      </c>
      <c r="AA593" s="408">
        <v>0</v>
      </c>
      <c r="AB593" s="408">
        <v>0</v>
      </c>
      <c r="AC593" s="408">
        <v>40.47325862608659</v>
      </c>
      <c r="AD593" s="408">
        <v>2.7988608416456238</v>
      </c>
      <c r="AE593" s="408">
        <v>268.10243254875138</v>
      </c>
      <c r="AF593" s="408">
        <v>105.95177270406468</v>
      </c>
      <c r="AG593" s="408">
        <v>1.8082992559966575</v>
      </c>
      <c r="AH593" s="408">
        <v>0</v>
      </c>
      <c r="AI593" s="408">
        <v>0</v>
      </c>
      <c r="AJ593" s="408">
        <v>0</v>
      </c>
      <c r="AK593" s="408">
        <v>0</v>
      </c>
      <c r="AL593" s="408">
        <v>5.9146168324964048</v>
      </c>
      <c r="AM593" s="408"/>
      <c r="AN593" s="408">
        <v>0.7512868763336118</v>
      </c>
      <c r="AO593" s="408">
        <v>117.76473963359607</v>
      </c>
      <c r="AP593" s="408">
        <v>114.42539446060277</v>
      </c>
      <c r="AQ593" s="408">
        <v>0</v>
      </c>
      <c r="AR593" s="408">
        <v>0</v>
      </c>
      <c r="AS593" s="408">
        <v>0</v>
      </c>
      <c r="AT593" s="408">
        <v>0</v>
      </c>
      <c r="AU593" s="408">
        <v>0</v>
      </c>
      <c r="AV593" s="408">
        <v>0</v>
      </c>
      <c r="AW593" s="408">
        <v>0</v>
      </c>
      <c r="AX593" s="408">
        <v>0</v>
      </c>
      <c r="AY593" s="408">
        <v>0</v>
      </c>
      <c r="AZ593" s="408">
        <v>0</v>
      </c>
      <c r="BA593" s="408"/>
      <c r="BB593" s="408">
        <v>0</v>
      </c>
      <c r="BC593" s="408">
        <v>0</v>
      </c>
      <c r="BD593" s="408">
        <v>0</v>
      </c>
      <c r="BE593" s="408">
        <v>0</v>
      </c>
      <c r="BF593" s="408">
        <v>0</v>
      </c>
      <c r="BG593" s="408">
        <v>5.5605505151723795</v>
      </c>
      <c r="BH593" s="408">
        <v>0</v>
      </c>
      <c r="BI593" s="408">
        <v>0</v>
      </c>
      <c r="BJ593" s="408">
        <v>0</v>
      </c>
      <c r="BK593" s="408">
        <v>0</v>
      </c>
      <c r="BL593" s="408">
        <v>0</v>
      </c>
      <c r="BM593" s="408"/>
      <c r="BN593" s="408"/>
      <c r="BO593" s="408"/>
      <c r="BP593" s="408"/>
      <c r="BQ593" s="408"/>
      <c r="BR593" s="408"/>
      <c r="BS593" s="408"/>
      <c r="BT593" s="408"/>
      <c r="BU593" s="408"/>
      <c r="BV593" s="408">
        <v>111.51232321923706</v>
      </c>
      <c r="BW593" s="408"/>
      <c r="BX593" s="408"/>
      <c r="BY593" s="408"/>
      <c r="BZ593" s="408"/>
      <c r="CA593" s="408"/>
      <c r="CB593" s="408"/>
      <c r="CC593" s="408"/>
      <c r="CD593" s="408"/>
      <c r="CE593" s="408"/>
      <c r="CF593" s="408"/>
      <c r="CG593" s="408"/>
      <c r="CH593" s="408"/>
      <c r="CI593" s="408">
        <v>681.4606</v>
      </c>
      <c r="CJ593" s="408">
        <v>-30.180939999999964</v>
      </c>
      <c r="CK593" s="408"/>
      <c r="CL593" s="408"/>
      <c r="CM593" s="408"/>
      <c r="CN593" s="408"/>
      <c r="CO593" s="408">
        <v>-41.381660000000053</v>
      </c>
      <c r="CP593" s="408">
        <v>13.428980000000003</v>
      </c>
      <c r="CQ593" s="408">
        <v>31</v>
      </c>
      <c r="CR593" s="408">
        <v>38.651394509613795</v>
      </c>
      <c r="CS593" s="408">
        <v>11.7350045891138</v>
      </c>
      <c r="CT593" s="408">
        <v>11.402245980283084</v>
      </c>
      <c r="CU593" s="408">
        <v>0</v>
      </c>
      <c r="CV593" s="408">
        <v>0</v>
      </c>
      <c r="CW593" s="408">
        <v>0</v>
      </c>
      <c r="CX593" s="408">
        <v>0</v>
      </c>
      <c r="CY593" s="408">
        <v>0</v>
      </c>
      <c r="CZ593" s="408">
        <v>2.8818993006127291</v>
      </c>
      <c r="DA593" s="408">
        <v>0</v>
      </c>
      <c r="DB593" s="408">
        <v>0</v>
      </c>
      <c r="DC593" s="408">
        <v>13.427463790500681</v>
      </c>
      <c r="DD593" s="408">
        <v>0</v>
      </c>
      <c r="DE593" s="408">
        <v>0</v>
      </c>
      <c r="DF593" s="408">
        <v>0</v>
      </c>
      <c r="DG593" s="408">
        <v>0.70469883412214696</v>
      </c>
      <c r="DH593" s="408">
        <v>0</v>
      </c>
      <c r="DI593" s="408">
        <v>-1.2999051531139685</v>
      </c>
      <c r="DJ593" s="408"/>
      <c r="DK593" s="408">
        <v>0</v>
      </c>
      <c r="DL593" s="408">
        <v>0</v>
      </c>
      <c r="DM593" s="408">
        <v>0</v>
      </c>
      <c r="DN593" s="408">
        <v>0</v>
      </c>
      <c r="DO593" s="408">
        <v>-0.1787578519284585</v>
      </c>
      <c r="DP593" s="408">
        <v>-2.1254979976213617E-2</v>
      </c>
      <c r="DQ593" s="408">
        <v>0</v>
      </c>
      <c r="DR593" s="408">
        <v>0</v>
      </c>
      <c r="DS593" s="408"/>
      <c r="DT593" s="408"/>
      <c r="DU593" s="408"/>
      <c r="DV593" s="408">
        <v>268.10243254875138</v>
      </c>
      <c r="DW593" s="408">
        <v>0</v>
      </c>
      <c r="DX593" s="408">
        <v>0</v>
      </c>
      <c r="DY593" s="408">
        <v>-41.381660000000011</v>
      </c>
      <c r="DZ593" s="408">
        <v>13.42898000000001</v>
      </c>
      <c r="EA593" s="408">
        <v>0</v>
      </c>
      <c r="EB593" s="408">
        <v>0</v>
      </c>
      <c r="EC593" s="408">
        <v>-66.601191950350312</v>
      </c>
      <c r="ED593" s="408">
        <v>0</v>
      </c>
      <c r="EE593" s="408">
        <v>0</v>
      </c>
      <c r="EF593" s="408">
        <v>0</v>
      </c>
      <c r="EG593" s="408">
        <v>0</v>
      </c>
      <c r="EH593" s="408">
        <v>0</v>
      </c>
      <c r="EI593" s="408">
        <v>0</v>
      </c>
      <c r="EJ593" s="408">
        <v>0</v>
      </c>
      <c r="EK593" s="408">
        <v>0</v>
      </c>
      <c r="EL593" s="408">
        <v>0</v>
      </c>
      <c r="EM593" s="408">
        <v>0</v>
      </c>
      <c r="EN593" s="408">
        <v>0</v>
      </c>
      <c r="EO593" s="408">
        <v>0</v>
      </c>
      <c r="EP593" s="408">
        <v>9.7763112025764514</v>
      </c>
      <c r="EQ593" s="408">
        <v>0</v>
      </c>
      <c r="ER593" s="408">
        <v>0</v>
      </c>
      <c r="ES593" s="408">
        <v>0</v>
      </c>
      <c r="ET593" s="408">
        <v>0</v>
      </c>
      <c r="EU593" s="408">
        <v>0</v>
      </c>
      <c r="EV593" s="408">
        <v>240</v>
      </c>
      <c r="EW593" s="408">
        <v>0</v>
      </c>
      <c r="EX593" s="408">
        <v>0</v>
      </c>
      <c r="EY593" s="408">
        <v>0</v>
      </c>
      <c r="EZ593" s="408"/>
      <c r="FA593" s="408">
        <v>0</v>
      </c>
      <c r="FB593" s="408"/>
      <c r="FC593" s="408"/>
      <c r="FD593" s="408"/>
      <c r="FE593" s="408"/>
      <c r="FF593" s="408">
        <v>0</v>
      </c>
      <c r="FG593" s="408">
        <v>0</v>
      </c>
      <c r="FH593" s="408">
        <v>0</v>
      </c>
      <c r="FI593" s="408">
        <v>0</v>
      </c>
    </row>
    <row r="594" spans="1:165">
      <c r="A594" s="408">
        <v>592</v>
      </c>
      <c r="B594" s="408" t="s">
        <v>1036</v>
      </c>
      <c r="C594" s="408" t="s">
        <v>2235</v>
      </c>
      <c r="D594" s="408" t="s">
        <v>2245</v>
      </c>
      <c r="E594" s="408" t="s">
        <v>974</v>
      </c>
      <c r="F594" s="408" t="s">
        <v>1322</v>
      </c>
      <c r="G594" s="408" t="s">
        <v>1322</v>
      </c>
      <c r="H594" s="408" t="s">
        <v>1322</v>
      </c>
      <c r="I594" s="408" t="s">
        <v>1322</v>
      </c>
      <c r="J594" s="408" t="s">
        <v>2236</v>
      </c>
      <c r="K594" s="826">
        <v>44621</v>
      </c>
      <c r="L594" s="408">
        <v>0</v>
      </c>
      <c r="M594" s="408">
        <v>0</v>
      </c>
      <c r="N594" s="408">
        <v>7012.3050000000003</v>
      </c>
      <c r="O594" s="408">
        <v>7012.3050000000003</v>
      </c>
      <c r="P594" s="408">
        <v>7012.3050000000003</v>
      </c>
      <c r="Q594" s="408">
        <v>7012.3050000000003</v>
      </c>
      <c r="R594" s="408"/>
      <c r="S594" s="408">
        <v>368.24</v>
      </c>
      <c r="T594" s="408">
        <v>173.25</v>
      </c>
      <c r="U594" s="408"/>
      <c r="V594" s="408">
        <v>3797093.0344500002</v>
      </c>
      <c r="W594" s="408">
        <v>3797093.0344500002</v>
      </c>
      <c r="X594" s="408">
        <v>3568491.8914500005</v>
      </c>
      <c r="Y594" s="408">
        <v>0</v>
      </c>
      <c r="Z594" s="408">
        <v>431573.59587486106</v>
      </c>
      <c r="AA594" s="408">
        <v>0</v>
      </c>
      <c r="AB594" s="408">
        <v>0</v>
      </c>
      <c r="AC594" s="408">
        <v>17948.256661440599</v>
      </c>
      <c r="AD594" s="408">
        <v>17244.249969709967</v>
      </c>
      <c r="AE594" s="408">
        <v>1651658.0246428179</v>
      </c>
      <c r="AF594" s="408">
        <v>1194479.3335877433</v>
      </c>
      <c r="AG594" s="408">
        <v>20386.408222382062</v>
      </c>
      <c r="AH594" s="408">
        <v>0</v>
      </c>
      <c r="AI594" s="408">
        <v>0</v>
      </c>
      <c r="AJ594" s="408">
        <v>0</v>
      </c>
      <c r="AK594" s="408">
        <v>0</v>
      </c>
      <c r="AL594" s="408">
        <v>66680.220558840359</v>
      </c>
      <c r="AM594" s="408"/>
      <c r="AN594" s="408">
        <v>8469.859677409273</v>
      </c>
      <c r="AO594" s="408">
        <v>38100.626766434558</v>
      </c>
      <c r="AP594" s="408">
        <v>177657.60174209665</v>
      </c>
      <c r="AQ594" s="408">
        <v>0</v>
      </c>
      <c r="AR594" s="408">
        <v>0</v>
      </c>
      <c r="AS594" s="408">
        <v>0</v>
      </c>
      <c r="AT594" s="408">
        <v>0</v>
      </c>
      <c r="AU594" s="408">
        <v>0</v>
      </c>
      <c r="AV594" s="408">
        <v>0</v>
      </c>
      <c r="AW594" s="408">
        <v>0</v>
      </c>
      <c r="AX594" s="408">
        <v>0</v>
      </c>
      <c r="AY594" s="408">
        <v>0</v>
      </c>
      <c r="AZ594" s="408">
        <v>0</v>
      </c>
      <c r="BA594" s="408"/>
      <c r="BB594" s="408">
        <v>0</v>
      </c>
      <c r="BC594" s="408">
        <v>0</v>
      </c>
      <c r="BD594" s="408">
        <v>0</v>
      </c>
      <c r="BE594" s="408">
        <v>0</v>
      </c>
      <c r="BF594" s="408">
        <v>0</v>
      </c>
      <c r="BG594" s="408">
        <v>62688.546913658931</v>
      </c>
      <c r="BH594" s="408">
        <v>0</v>
      </c>
      <c r="BI594" s="408">
        <v>2844.85</v>
      </c>
      <c r="BJ594" s="408">
        <v>31269.279999999999</v>
      </c>
      <c r="BK594" s="408">
        <v>183473.68</v>
      </c>
      <c r="BL594" s="408">
        <v>15685</v>
      </c>
      <c r="BM594" s="408"/>
      <c r="BN594" s="408"/>
      <c r="BO594" s="408"/>
      <c r="BP594" s="408"/>
      <c r="BQ594" s="408"/>
      <c r="BR594" s="408">
        <v>428171.34330000007</v>
      </c>
      <c r="BS594" s="408"/>
      <c r="BT594" s="408"/>
      <c r="BU594" s="408"/>
      <c r="BV594" s="408">
        <v>1257167.8805014023</v>
      </c>
      <c r="BW594" s="408"/>
      <c r="BX594" s="408"/>
      <c r="BY594" s="408"/>
      <c r="BZ594" s="408"/>
      <c r="CA594" s="408"/>
      <c r="CB594" s="408"/>
      <c r="CC594" s="408"/>
      <c r="CD594" s="408"/>
      <c r="CE594" s="408"/>
      <c r="CF594" s="408"/>
      <c r="CG594" s="408"/>
      <c r="CH594" s="408"/>
      <c r="CI594" s="408">
        <v>3140322.7873</v>
      </c>
      <c r="CJ594" s="408">
        <v>-201110.69824999943</v>
      </c>
      <c r="CK594" s="408"/>
      <c r="CL594" s="408"/>
      <c r="CM594" s="408"/>
      <c r="CN594" s="408"/>
      <c r="CO594" s="408">
        <v>-379996.80794999999</v>
      </c>
      <c r="CP594" s="408">
        <v>151395.66495000003</v>
      </c>
      <c r="CQ594" s="408">
        <v>31</v>
      </c>
      <c r="CR594" s="408">
        <v>181669.13816067902</v>
      </c>
      <c r="CS594" s="408">
        <v>3796.6460193715029</v>
      </c>
      <c r="CT594" s="408">
        <v>17703.200280669495</v>
      </c>
      <c r="CU594" s="408">
        <v>0</v>
      </c>
      <c r="CV594" s="408">
        <v>0</v>
      </c>
      <c r="CW594" s="408">
        <v>0</v>
      </c>
      <c r="CX594" s="408">
        <v>0</v>
      </c>
      <c r="CY594" s="408">
        <v>0</v>
      </c>
      <c r="CZ594" s="408">
        <v>17755.863809963044</v>
      </c>
      <c r="DA594" s="408">
        <v>0</v>
      </c>
      <c r="DB594" s="408">
        <v>0</v>
      </c>
      <c r="DC594" s="408">
        <v>151378.57150393375</v>
      </c>
      <c r="DD594" s="408">
        <v>0</v>
      </c>
      <c r="DE594" s="408">
        <v>0</v>
      </c>
      <c r="DF594" s="408">
        <v>0</v>
      </c>
      <c r="DG594" s="408">
        <v>7944.6353022651238</v>
      </c>
      <c r="DH594" s="408">
        <v>0</v>
      </c>
      <c r="DI594" s="408">
        <v>-14654.873641007813</v>
      </c>
      <c r="DJ594" s="408"/>
      <c r="DK594" s="408">
        <v>0</v>
      </c>
      <c r="DL594" s="408">
        <v>0</v>
      </c>
      <c r="DM594" s="408">
        <v>0</v>
      </c>
      <c r="DN594" s="408">
        <v>0</v>
      </c>
      <c r="DO594" s="408">
        <v>-2015.2806734199185</v>
      </c>
      <c r="DP594" s="408">
        <v>-239.62444109662647</v>
      </c>
      <c r="DQ594" s="408">
        <v>0</v>
      </c>
      <c r="DR594" s="408">
        <v>0</v>
      </c>
      <c r="DS594" s="408"/>
      <c r="DT594" s="408"/>
      <c r="DU594" s="408"/>
      <c r="DV594" s="408">
        <v>1651658.0246428179</v>
      </c>
      <c r="DW594" s="408">
        <v>0</v>
      </c>
      <c r="DX594" s="408">
        <v>0</v>
      </c>
      <c r="DY594" s="408">
        <v>-379996.80794999981</v>
      </c>
      <c r="DZ594" s="408">
        <v>151395.66495000012</v>
      </c>
      <c r="EA594" s="408">
        <v>0</v>
      </c>
      <c r="EB594" s="408">
        <v>0</v>
      </c>
      <c r="EC594" s="408">
        <v>-410299.86967973877</v>
      </c>
      <c r="ED594" s="408">
        <v>0</v>
      </c>
      <c r="EE594" s="408">
        <v>0</v>
      </c>
      <c r="EF594" s="408">
        <v>0</v>
      </c>
      <c r="EG594" s="408">
        <v>0</v>
      </c>
      <c r="EH594" s="408">
        <v>0</v>
      </c>
      <c r="EI594" s="408">
        <v>0</v>
      </c>
      <c r="EJ594" s="408">
        <v>0</v>
      </c>
      <c r="EK594" s="408">
        <v>0</v>
      </c>
      <c r="EL594" s="408">
        <v>0</v>
      </c>
      <c r="EM594" s="408">
        <v>0</v>
      </c>
      <c r="EN594" s="408">
        <v>0</v>
      </c>
      <c r="EO594" s="408">
        <v>0</v>
      </c>
      <c r="EP594" s="408">
        <v>110216.19924016538</v>
      </c>
      <c r="EQ594" s="408">
        <v>0</v>
      </c>
      <c r="ER594" s="408">
        <v>0</v>
      </c>
      <c r="ES594" s="408">
        <v>0</v>
      </c>
      <c r="ET594" s="408">
        <v>0</v>
      </c>
      <c r="EU594" s="408">
        <v>0</v>
      </c>
      <c r="EV594" s="408">
        <v>240</v>
      </c>
      <c r="EW594" s="408">
        <v>0</v>
      </c>
      <c r="EX594" s="408">
        <v>0</v>
      </c>
      <c r="EY594" s="408">
        <v>0</v>
      </c>
      <c r="EZ594" s="408"/>
      <c r="FA594" s="408">
        <v>0</v>
      </c>
      <c r="FB594" s="408"/>
      <c r="FC594" s="408"/>
      <c r="FD594" s="408"/>
      <c r="FE594" s="408"/>
      <c r="FF594" s="408">
        <v>0</v>
      </c>
      <c r="FG594" s="408">
        <v>0</v>
      </c>
      <c r="FH594" s="408">
        <v>0</v>
      </c>
      <c r="FI594" s="408">
        <v>0</v>
      </c>
    </row>
    <row r="595" spans="1:165">
      <c r="A595" s="408">
        <v>593</v>
      </c>
      <c r="B595" s="408" t="s">
        <v>2237</v>
      </c>
      <c r="C595" s="408" t="s">
        <v>2235</v>
      </c>
      <c r="D595" s="408" t="s">
        <v>2245</v>
      </c>
      <c r="E595" s="408" t="s">
        <v>974</v>
      </c>
      <c r="F595" s="408" t="s">
        <v>1322</v>
      </c>
      <c r="G595" s="408" t="s">
        <v>1322</v>
      </c>
      <c r="H595" s="408" t="s">
        <v>1322</v>
      </c>
      <c r="I595" s="408" t="s">
        <v>1322</v>
      </c>
      <c r="J595" s="408" t="s">
        <v>2236</v>
      </c>
      <c r="K595" s="826">
        <v>44621</v>
      </c>
      <c r="L595" s="408">
        <v>0</v>
      </c>
      <c r="M595" s="408">
        <v>0</v>
      </c>
      <c r="N595" s="408">
        <v>-0.4</v>
      </c>
      <c r="O595" s="408">
        <v>-0.4</v>
      </c>
      <c r="P595" s="408">
        <v>-0.4</v>
      </c>
      <c r="Q595" s="408">
        <v>-0.4</v>
      </c>
      <c r="R595" s="408"/>
      <c r="S595" s="408">
        <v>368.24</v>
      </c>
      <c r="T595" s="408">
        <v>173.25</v>
      </c>
      <c r="U595" s="408"/>
      <c r="V595" s="408">
        <v>-216.596</v>
      </c>
      <c r="W595" s="408">
        <v>-216.596</v>
      </c>
      <c r="X595" s="408">
        <v>-203.55600000000001</v>
      </c>
      <c r="Y595" s="408">
        <v>0</v>
      </c>
      <c r="Z595" s="408">
        <v>-24.61807327974816</v>
      </c>
      <c r="AA595" s="408">
        <v>0</v>
      </c>
      <c r="AB595" s="408">
        <v>0</v>
      </c>
      <c r="AC595" s="408">
        <v>-1.023814945952328</v>
      </c>
      <c r="AD595" s="408">
        <v>-0.98365658480114415</v>
      </c>
      <c r="AE595" s="408">
        <v>-94.214842317487211</v>
      </c>
      <c r="AF595" s="408">
        <v>-68.1361882341252</v>
      </c>
      <c r="AG595" s="408">
        <v>-1.1628934122165002</v>
      </c>
      <c r="AH595" s="408">
        <v>0</v>
      </c>
      <c r="AI595" s="408">
        <v>0</v>
      </c>
      <c r="AJ595" s="408">
        <v>0</v>
      </c>
      <c r="AK595" s="408">
        <v>0</v>
      </c>
      <c r="AL595" s="408">
        <v>-3.8036121109301639</v>
      </c>
      <c r="AM595" s="408"/>
      <c r="AN595" s="408">
        <v>-0.48314268574508801</v>
      </c>
      <c r="AO595" s="408">
        <v>-2.1733582190982599</v>
      </c>
      <c r="AP595" s="408">
        <v>-10.134048746715761</v>
      </c>
      <c r="AQ595" s="408">
        <v>0</v>
      </c>
      <c r="AR595" s="408">
        <v>0</v>
      </c>
      <c r="AS595" s="408">
        <v>0</v>
      </c>
      <c r="AT595" s="408">
        <v>0</v>
      </c>
      <c r="AU595" s="408">
        <v>0</v>
      </c>
      <c r="AV595" s="408">
        <v>0</v>
      </c>
      <c r="AW595" s="408">
        <v>0</v>
      </c>
      <c r="AX595" s="408">
        <v>0</v>
      </c>
      <c r="AY595" s="408">
        <v>0</v>
      </c>
      <c r="AZ595" s="408">
        <v>0</v>
      </c>
      <c r="BA595" s="408"/>
      <c r="BB595" s="408">
        <v>0</v>
      </c>
      <c r="BC595" s="408">
        <v>0</v>
      </c>
      <c r="BD595" s="408">
        <v>0</v>
      </c>
      <c r="BE595" s="408">
        <v>0</v>
      </c>
      <c r="BF595" s="408">
        <v>0</v>
      </c>
      <c r="BG595" s="408">
        <v>-3.5759167300143924</v>
      </c>
      <c r="BH595" s="408">
        <v>0</v>
      </c>
      <c r="BI595" s="408">
        <v>-0.16</v>
      </c>
      <c r="BJ595" s="408">
        <v>-1.58</v>
      </c>
      <c r="BK595" s="408">
        <v>-35.74</v>
      </c>
      <c r="BL595" s="408">
        <v>0</v>
      </c>
      <c r="BM595" s="408"/>
      <c r="BN595" s="408"/>
      <c r="BO595" s="408"/>
      <c r="BP595" s="408"/>
      <c r="BQ595" s="408"/>
      <c r="BR595" s="408">
        <v>-24.423999999999999</v>
      </c>
      <c r="BS595" s="408"/>
      <c r="BT595" s="408"/>
      <c r="BU595" s="408"/>
      <c r="BV595" s="408">
        <v>-71.712104964139598</v>
      </c>
      <c r="BW595" s="408"/>
      <c r="BX595" s="408"/>
      <c r="BY595" s="408"/>
      <c r="BZ595" s="408"/>
      <c r="CA595" s="408"/>
      <c r="CB595" s="408"/>
      <c r="CC595" s="408"/>
      <c r="CD595" s="408"/>
      <c r="CE595" s="408"/>
      <c r="CF595" s="408"/>
      <c r="CG595" s="408"/>
      <c r="CH595" s="408"/>
      <c r="CI595" s="408">
        <v>-179.13200000000001</v>
      </c>
      <c r="CJ595" s="408">
        <v>11.442000000000036</v>
      </c>
      <c r="CK595" s="408"/>
      <c r="CL595" s="408"/>
      <c r="CM595" s="408"/>
      <c r="CN595" s="408"/>
      <c r="CO595" s="408">
        <v>21.676000000000002</v>
      </c>
      <c r="CP595" s="408">
        <v>-8.636000000000001</v>
      </c>
      <c r="CQ595" s="408">
        <v>31</v>
      </c>
      <c r="CR595" s="408">
        <v>-10.362877151560198</v>
      </c>
      <c r="CS595" s="408">
        <v>-0.21657050110464438</v>
      </c>
      <c r="CT595" s="408">
        <v>-1.0098362966624794</v>
      </c>
      <c r="CU595" s="408">
        <v>0</v>
      </c>
      <c r="CV595" s="408">
        <v>0</v>
      </c>
      <c r="CW595" s="408">
        <v>0</v>
      </c>
      <c r="CX595" s="408">
        <v>0</v>
      </c>
      <c r="CY595" s="408">
        <v>0</v>
      </c>
      <c r="CZ595" s="408">
        <v>-1.0128403604785041</v>
      </c>
      <c r="DA595" s="408">
        <v>0</v>
      </c>
      <c r="DB595" s="408">
        <v>0</v>
      </c>
      <c r="DC595" s="408">
        <v>-8.6350249456595947</v>
      </c>
      <c r="DD595" s="408">
        <v>0</v>
      </c>
      <c r="DE595" s="408">
        <v>0</v>
      </c>
      <c r="DF595" s="408">
        <v>0</v>
      </c>
      <c r="DG595" s="408">
        <v>-0.45318252998208841</v>
      </c>
      <c r="DH595" s="408">
        <v>0</v>
      </c>
      <c r="DI595" s="408">
        <v>0.83595186695431778</v>
      </c>
      <c r="DJ595" s="408"/>
      <c r="DK595" s="408">
        <v>0</v>
      </c>
      <c r="DL595" s="408">
        <v>0</v>
      </c>
      <c r="DM595" s="408">
        <v>0</v>
      </c>
      <c r="DN595" s="408">
        <v>0</v>
      </c>
      <c r="DO595" s="408">
        <v>0.11495681796042367</v>
      </c>
      <c r="DP595" s="408">
        <v>1.3668797412355993E-2</v>
      </c>
      <c r="DQ595" s="408">
        <v>0</v>
      </c>
      <c r="DR595" s="408">
        <v>0</v>
      </c>
      <c r="DS595" s="408"/>
      <c r="DT595" s="408"/>
      <c r="DU595" s="408"/>
      <c r="DV595" s="408">
        <v>-94.214842317487211</v>
      </c>
      <c r="DW595" s="408">
        <v>0</v>
      </c>
      <c r="DX595" s="408">
        <v>0</v>
      </c>
      <c r="DY595" s="408">
        <v>21.676000000000016</v>
      </c>
      <c r="DZ595" s="408">
        <v>-8.6360000000000099</v>
      </c>
      <c r="EA595" s="408">
        <v>0</v>
      </c>
      <c r="EB595" s="408">
        <v>0</v>
      </c>
      <c r="EC595" s="408">
        <v>23.404564957156808</v>
      </c>
      <c r="ED595" s="408">
        <v>0</v>
      </c>
      <c r="EE595" s="408">
        <v>0</v>
      </c>
      <c r="EF595" s="408">
        <v>0</v>
      </c>
      <c r="EG595" s="408">
        <v>0</v>
      </c>
      <c r="EH595" s="408">
        <v>0</v>
      </c>
      <c r="EI595" s="408">
        <v>0</v>
      </c>
      <c r="EJ595" s="408">
        <v>0</v>
      </c>
      <c r="EK595" s="408">
        <v>0</v>
      </c>
      <c r="EL595" s="408">
        <v>0</v>
      </c>
      <c r="EM595" s="408">
        <v>0</v>
      </c>
      <c r="EN595" s="408">
        <v>0</v>
      </c>
      <c r="EO595" s="408">
        <v>0</v>
      </c>
      <c r="EP595" s="408">
        <v>-6.2870168505314803</v>
      </c>
      <c r="EQ595" s="408">
        <v>0</v>
      </c>
      <c r="ER595" s="408">
        <v>0</v>
      </c>
      <c r="ES595" s="408">
        <v>0</v>
      </c>
      <c r="ET595" s="408">
        <v>0</v>
      </c>
      <c r="EU595" s="408">
        <v>0</v>
      </c>
      <c r="EV595" s="408">
        <v>240</v>
      </c>
      <c r="EW595" s="408">
        <v>0</v>
      </c>
      <c r="EX595" s="408">
        <v>0</v>
      </c>
      <c r="EY595" s="408">
        <v>0</v>
      </c>
      <c r="EZ595" s="408"/>
      <c r="FA595" s="408">
        <v>0</v>
      </c>
      <c r="FB595" s="408"/>
      <c r="FC595" s="408"/>
      <c r="FD595" s="408"/>
      <c r="FE595" s="408"/>
      <c r="FF595" s="408">
        <v>0</v>
      </c>
      <c r="FG595" s="408">
        <v>0</v>
      </c>
      <c r="FH595" s="408">
        <v>0</v>
      </c>
      <c r="FI595" s="408">
        <v>0</v>
      </c>
    </row>
    <row r="596" spans="1:165">
      <c r="A596" s="408">
        <v>594</v>
      </c>
      <c r="B596" s="408" t="s">
        <v>2238</v>
      </c>
      <c r="C596" s="408" t="s">
        <v>2235</v>
      </c>
      <c r="D596" s="408" t="s">
        <v>2245</v>
      </c>
      <c r="E596" s="408" t="s">
        <v>974</v>
      </c>
      <c r="F596" s="408" t="s">
        <v>1322</v>
      </c>
      <c r="G596" s="408" t="s">
        <v>1322</v>
      </c>
      <c r="H596" s="408" t="s">
        <v>1322</v>
      </c>
      <c r="I596" s="408" t="s">
        <v>1322</v>
      </c>
      <c r="J596" s="408" t="s">
        <v>2236</v>
      </c>
      <c r="K596" s="826">
        <v>44621</v>
      </c>
      <c r="L596" s="408">
        <v>0</v>
      </c>
      <c r="M596" s="408">
        <v>0</v>
      </c>
      <c r="N596" s="408">
        <v>239.12700000000001</v>
      </c>
      <c r="O596" s="408">
        <v>239.12700000000001</v>
      </c>
      <c r="P596" s="408">
        <v>239.12700000000001</v>
      </c>
      <c r="Q596" s="408">
        <v>239.12700000000001</v>
      </c>
      <c r="R596" s="408"/>
      <c r="S596" s="408">
        <v>368.24</v>
      </c>
      <c r="T596" s="408">
        <v>173.25</v>
      </c>
      <c r="U596" s="408"/>
      <c r="V596" s="408">
        <v>129484.87923000001</v>
      </c>
      <c r="W596" s="408">
        <v>129484.87923000001</v>
      </c>
      <c r="X596" s="408">
        <v>121689.33903</v>
      </c>
      <c r="Y596" s="408">
        <v>0</v>
      </c>
      <c r="Z596" s="408">
        <v>14717.115022915847</v>
      </c>
      <c r="AA596" s="408">
        <v>0</v>
      </c>
      <c r="AB596" s="408">
        <v>0</v>
      </c>
      <c r="AC596" s="408">
        <v>612.05449145185582</v>
      </c>
      <c r="AD596" s="408">
        <v>588.04712038435798</v>
      </c>
      <c r="AE596" s="408">
        <v>56323.281497134412</v>
      </c>
      <c r="AF596" s="408">
        <v>40733.005709654142</v>
      </c>
      <c r="AG596" s="408">
        <v>695.19803245773755</v>
      </c>
      <c r="AH596" s="408">
        <v>0</v>
      </c>
      <c r="AI596" s="408">
        <v>0</v>
      </c>
      <c r="AJ596" s="408">
        <v>0</v>
      </c>
      <c r="AK596" s="408">
        <v>0</v>
      </c>
      <c r="AL596" s="408">
        <v>2273.8658831259932</v>
      </c>
      <c r="AM596" s="408"/>
      <c r="AN596" s="408">
        <v>288.83115253541416</v>
      </c>
      <c r="AO596" s="408">
        <v>1299.271577145774</v>
      </c>
      <c r="AP596" s="408">
        <v>6058.3116866397495</v>
      </c>
      <c r="AQ596" s="408">
        <v>0</v>
      </c>
      <c r="AR596" s="408">
        <v>0</v>
      </c>
      <c r="AS596" s="408">
        <v>0</v>
      </c>
      <c r="AT596" s="408">
        <v>0</v>
      </c>
      <c r="AU596" s="408">
        <v>0</v>
      </c>
      <c r="AV596" s="408">
        <v>0</v>
      </c>
      <c r="AW596" s="408">
        <v>0</v>
      </c>
      <c r="AX596" s="408">
        <v>0</v>
      </c>
      <c r="AY596" s="408">
        <v>0</v>
      </c>
      <c r="AZ596" s="408">
        <v>0</v>
      </c>
      <c r="BA596" s="408"/>
      <c r="BB596" s="408">
        <v>0</v>
      </c>
      <c r="BC596" s="408">
        <v>0</v>
      </c>
      <c r="BD596" s="408">
        <v>0</v>
      </c>
      <c r="BE596" s="408">
        <v>0</v>
      </c>
      <c r="BF596" s="408">
        <v>0</v>
      </c>
      <c r="BG596" s="408">
        <v>2137.745599745379</v>
      </c>
      <c r="BH596" s="408">
        <v>0</v>
      </c>
      <c r="BI596" s="408">
        <v>100.12</v>
      </c>
      <c r="BJ596" s="408">
        <v>1081.83</v>
      </c>
      <c r="BK596" s="408">
        <v>5319.64</v>
      </c>
      <c r="BL596" s="408">
        <v>364</v>
      </c>
      <c r="BM596" s="408"/>
      <c r="BN596" s="408"/>
      <c r="BO596" s="408"/>
      <c r="BP596" s="408"/>
      <c r="BQ596" s="408"/>
      <c r="BR596" s="408">
        <v>14601.094620000002</v>
      </c>
      <c r="BS596" s="408"/>
      <c r="BT596" s="408"/>
      <c r="BU596" s="408"/>
      <c r="BV596" s="408">
        <v>42870.751309399522</v>
      </c>
      <c r="BW596" s="408"/>
      <c r="BX596" s="408"/>
      <c r="BY596" s="408"/>
      <c r="BZ596" s="408"/>
      <c r="CA596" s="408"/>
      <c r="CB596" s="408"/>
      <c r="CC596" s="408"/>
      <c r="CD596" s="408"/>
      <c r="CE596" s="408"/>
      <c r="CF596" s="408"/>
      <c r="CG596" s="408"/>
      <c r="CH596" s="408"/>
      <c r="CI596" s="408">
        <v>107089.5879</v>
      </c>
      <c r="CJ596" s="408">
        <v>-6856.8488699999871</v>
      </c>
      <c r="CK596" s="408"/>
      <c r="CL596" s="408"/>
      <c r="CM596" s="408"/>
      <c r="CN596" s="408"/>
      <c r="CO596" s="408">
        <v>-12958.29213</v>
      </c>
      <c r="CP596" s="408">
        <v>5162.7519300000013</v>
      </c>
      <c r="CQ596" s="408">
        <v>31</v>
      </c>
      <c r="CR596" s="408">
        <v>6195.1093115528492</v>
      </c>
      <c r="CS596" s="408">
        <v>129.46963554412559</v>
      </c>
      <c r="CT596" s="408">
        <v>603.69781028002217</v>
      </c>
      <c r="CU596" s="408">
        <v>0</v>
      </c>
      <c r="CV596" s="408">
        <v>0</v>
      </c>
      <c r="CW596" s="408">
        <v>0</v>
      </c>
      <c r="CX596" s="408">
        <v>0</v>
      </c>
      <c r="CY596" s="408">
        <v>0</v>
      </c>
      <c r="CZ596" s="408">
        <v>605.49369220035817</v>
      </c>
      <c r="DA596" s="408">
        <v>0</v>
      </c>
      <c r="DB596" s="408">
        <v>0</v>
      </c>
      <c r="DC596" s="408">
        <v>5162.1690254518544</v>
      </c>
      <c r="DD596" s="408">
        <v>0</v>
      </c>
      <c r="DE596" s="408">
        <v>0</v>
      </c>
      <c r="DF596" s="408">
        <v>0</v>
      </c>
      <c r="DG596" s="408">
        <v>270.92044711756716</v>
      </c>
      <c r="DH596" s="408">
        <v>0</v>
      </c>
      <c r="DI596" s="408">
        <v>-499.74665522296527</v>
      </c>
      <c r="DJ596" s="408"/>
      <c r="DK596" s="408">
        <v>0</v>
      </c>
      <c r="DL596" s="408">
        <v>0</v>
      </c>
      <c r="DM596" s="408">
        <v>0</v>
      </c>
      <c r="DN596" s="408">
        <v>0</v>
      </c>
      <c r="DO596" s="408">
        <v>-68.723197521055226</v>
      </c>
      <c r="DP596" s="408">
        <v>-8.1714462970611521</v>
      </c>
      <c r="DQ596" s="408">
        <v>0</v>
      </c>
      <c r="DR596" s="408">
        <v>0</v>
      </c>
      <c r="DS596" s="408"/>
      <c r="DT596" s="408"/>
      <c r="DU596" s="408"/>
      <c r="DV596" s="408">
        <v>56323.281497134412</v>
      </c>
      <c r="DW596" s="408">
        <v>0</v>
      </c>
      <c r="DX596" s="408">
        <v>0</v>
      </c>
      <c r="DY596" s="408">
        <v>-12958.292130000002</v>
      </c>
      <c r="DZ596" s="408">
        <v>5162.7519300000058</v>
      </c>
      <c r="EA596" s="408">
        <v>0</v>
      </c>
      <c r="EB596" s="408">
        <v>0</v>
      </c>
      <c r="EC596" s="408">
        <v>-13991.658511275098</v>
      </c>
      <c r="ED596" s="408">
        <v>0</v>
      </c>
      <c r="EE596" s="408">
        <v>0</v>
      </c>
      <c r="EF596" s="408">
        <v>0</v>
      </c>
      <c r="EG596" s="408">
        <v>0</v>
      </c>
      <c r="EH596" s="408">
        <v>0</v>
      </c>
      <c r="EI596" s="408">
        <v>0</v>
      </c>
      <c r="EJ596" s="408">
        <v>0</v>
      </c>
      <c r="EK596" s="408">
        <v>0</v>
      </c>
      <c r="EL596" s="408">
        <v>0</v>
      </c>
      <c r="EM596" s="408">
        <v>0</v>
      </c>
      <c r="EN596" s="408">
        <v>0</v>
      </c>
      <c r="EO596" s="408">
        <v>0</v>
      </c>
      <c r="EP596" s="408">
        <v>3758.4886960426034</v>
      </c>
      <c r="EQ596" s="408">
        <v>0</v>
      </c>
      <c r="ER596" s="408">
        <v>0</v>
      </c>
      <c r="ES596" s="408">
        <v>0</v>
      </c>
      <c r="ET596" s="408">
        <v>0</v>
      </c>
      <c r="EU596" s="408">
        <v>0</v>
      </c>
      <c r="EV596" s="408">
        <v>240</v>
      </c>
      <c r="EW596" s="408">
        <v>0</v>
      </c>
      <c r="EX596" s="408">
        <v>0</v>
      </c>
      <c r="EY596" s="408">
        <v>0</v>
      </c>
      <c r="EZ596" s="408"/>
      <c r="FA596" s="408">
        <v>0</v>
      </c>
      <c r="FB596" s="408"/>
      <c r="FC596" s="408"/>
      <c r="FD596" s="408"/>
      <c r="FE596" s="408"/>
      <c r="FF596" s="408">
        <v>0</v>
      </c>
      <c r="FG596" s="408">
        <v>0</v>
      </c>
      <c r="FH596" s="408">
        <v>0</v>
      </c>
      <c r="FI596" s="408">
        <v>0</v>
      </c>
    </row>
    <row r="597" spans="1:165">
      <c r="A597" s="408">
        <v>595</v>
      </c>
      <c r="B597" s="408" t="s">
        <v>1036</v>
      </c>
      <c r="C597" s="408" t="s">
        <v>2243</v>
      </c>
      <c r="D597" s="408" t="s">
        <v>597</v>
      </c>
      <c r="E597" s="408" t="s">
        <v>974</v>
      </c>
      <c r="F597" s="408" t="s">
        <v>1322</v>
      </c>
      <c r="G597" s="408" t="s">
        <v>1322</v>
      </c>
      <c r="H597" s="408" t="s">
        <v>1322</v>
      </c>
      <c r="I597" s="408" t="s">
        <v>973</v>
      </c>
      <c r="J597" s="408" t="s">
        <v>2236</v>
      </c>
      <c r="K597" s="826">
        <v>44621</v>
      </c>
      <c r="L597" s="408">
        <v>0</v>
      </c>
      <c r="M597" s="408">
        <v>0</v>
      </c>
      <c r="N597" s="408">
        <v>6.8540000000000001</v>
      </c>
      <c r="O597" s="408">
        <v>6.5798399999999999</v>
      </c>
      <c r="P597" s="408">
        <v>6.8540000000000001</v>
      </c>
      <c r="Q597" s="408">
        <v>6.5798399999999999</v>
      </c>
      <c r="R597" s="408"/>
      <c r="S597" s="408">
        <v>1358.36</v>
      </c>
      <c r="T597" s="408">
        <v>173.25</v>
      </c>
      <c r="U597" s="408"/>
      <c r="V597" s="408">
        <v>10497.65494</v>
      </c>
      <c r="W597" s="408">
        <v>10497.65494</v>
      </c>
      <c r="X597" s="408">
        <v>9204.3736800000006</v>
      </c>
      <c r="Y597" s="408">
        <v>0</v>
      </c>
      <c r="Z597" s="408">
        <v>366.99269651418138</v>
      </c>
      <c r="AA597" s="408">
        <v>0</v>
      </c>
      <c r="AB597" s="408">
        <v>0</v>
      </c>
      <c r="AC597" s="408">
        <v>129.82907345177264</v>
      </c>
      <c r="AD597" s="408">
        <v>124.73701175974645</v>
      </c>
      <c r="AE597" s="408">
        <v>6912.311890949667</v>
      </c>
      <c r="AF597" s="408">
        <v>1167.5135853917352</v>
      </c>
      <c r="AG597" s="408">
        <v>19.926178618329729</v>
      </c>
      <c r="AH597" s="408">
        <v>0</v>
      </c>
      <c r="AI597" s="408">
        <v>0</v>
      </c>
      <c r="AJ597" s="408">
        <v>0</v>
      </c>
      <c r="AK597" s="408">
        <v>0</v>
      </c>
      <c r="AL597" s="408">
        <v>65.174893520788359</v>
      </c>
      <c r="AM597" s="408"/>
      <c r="AN597" s="408">
        <v>5.4887779725550425</v>
      </c>
      <c r="AO597" s="408">
        <v>275.60497531349506</v>
      </c>
      <c r="AP597" s="408">
        <v>1285.0982774776378</v>
      </c>
      <c r="AQ597" s="408">
        <v>0</v>
      </c>
      <c r="AR597" s="408">
        <v>0</v>
      </c>
      <c r="AS597" s="408">
        <v>0</v>
      </c>
      <c r="AT597" s="408">
        <v>0</v>
      </c>
      <c r="AU597" s="408">
        <v>0</v>
      </c>
      <c r="AV597" s="408">
        <v>0</v>
      </c>
      <c r="AW597" s="408">
        <v>0</v>
      </c>
      <c r="AX597" s="408">
        <v>0</v>
      </c>
      <c r="AY597" s="408">
        <v>0</v>
      </c>
      <c r="AZ597" s="408">
        <v>0</v>
      </c>
      <c r="BA597" s="408"/>
      <c r="BB597" s="408">
        <v>0</v>
      </c>
      <c r="BC597" s="408">
        <v>0</v>
      </c>
      <c r="BD597" s="408">
        <v>0</v>
      </c>
      <c r="BE597" s="408">
        <v>0</v>
      </c>
      <c r="BF597" s="408">
        <v>0</v>
      </c>
      <c r="BG597" s="408">
        <v>51.258712219917093</v>
      </c>
      <c r="BH597" s="408">
        <v>0</v>
      </c>
      <c r="BI597" s="408">
        <v>0</v>
      </c>
      <c r="BJ597" s="408">
        <v>0</v>
      </c>
      <c r="BK597" s="408">
        <v>0</v>
      </c>
      <c r="BL597" s="408">
        <v>0</v>
      </c>
      <c r="BM597" s="408"/>
      <c r="BN597" s="408"/>
      <c r="BO597" s="408"/>
      <c r="BP597" s="408"/>
      <c r="BQ597" s="408"/>
      <c r="BR597" s="408">
        <v>368.17494720000019</v>
      </c>
      <c r="BS597" s="408"/>
      <c r="BT597" s="408"/>
      <c r="BU597" s="408"/>
      <c r="BV597" s="408">
        <v>1218.7722976116522</v>
      </c>
      <c r="BW597" s="408"/>
      <c r="BX597" s="408"/>
      <c r="BY597" s="408"/>
      <c r="BZ597" s="408"/>
      <c r="CA597" s="408"/>
      <c r="CB597" s="408"/>
      <c r="CC597" s="408"/>
      <c r="CD597" s="408"/>
      <c r="CE597" s="408"/>
      <c r="CF597" s="408"/>
      <c r="CG597" s="408"/>
      <c r="CH597" s="408"/>
      <c r="CI597" s="408">
        <v>8836.4135999999999</v>
      </c>
      <c r="CJ597" s="408">
        <v>-1241.3651424</v>
      </c>
      <c r="CK597" s="408"/>
      <c r="CL597" s="408"/>
      <c r="CM597" s="408"/>
      <c r="CN597" s="408"/>
      <c r="CO597" s="408">
        <v>-1441.2591199999999</v>
      </c>
      <c r="CP597" s="408">
        <v>147.97786000000002</v>
      </c>
      <c r="CQ597" s="408">
        <v>31</v>
      </c>
      <c r="CR597" s="408">
        <v>423.82881792536045</v>
      </c>
      <c r="CS597" s="408">
        <v>27.463446700167424</v>
      </c>
      <c r="CT597" s="408">
        <v>128.05729652681293</v>
      </c>
      <c r="CU597" s="408">
        <v>0</v>
      </c>
      <c r="CV597" s="408">
        <v>0</v>
      </c>
      <c r="CW597" s="408">
        <v>0</v>
      </c>
      <c r="CX597" s="408">
        <v>0</v>
      </c>
      <c r="CY597" s="408">
        <v>0</v>
      </c>
      <c r="CZ597" s="408">
        <v>128.43779211958773</v>
      </c>
      <c r="DA597" s="408">
        <v>0</v>
      </c>
      <c r="DB597" s="408">
        <v>0</v>
      </c>
      <c r="DC597" s="408">
        <v>147.96115244387738</v>
      </c>
      <c r="DD597" s="408">
        <v>0</v>
      </c>
      <c r="DE597" s="408">
        <v>0</v>
      </c>
      <c r="DF597" s="408">
        <v>0</v>
      </c>
      <c r="DG597" s="408">
        <v>6.4961112467938946</v>
      </c>
      <c r="DH597" s="408">
        <v>0</v>
      </c>
      <c r="DI597" s="408">
        <v>-12.461910659027865</v>
      </c>
      <c r="DJ597" s="408"/>
      <c r="DK597" s="408">
        <v>0</v>
      </c>
      <c r="DL597" s="408">
        <v>0</v>
      </c>
      <c r="DM597" s="408">
        <v>0</v>
      </c>
      <c r="DN597" s="408">
        <v>0</v>
      </c>
      <c r="DO597" s="408">
        <v>-1.969785075751858</v>
      </c>
      <c r="DP597" s="408">
        <v>-0.15528537709839974</v>
      </c>
      <c r="DQ597" s="408">
        <v>0</v>
      </c>
      <c r="DR597" s="408">
        <v>0</v>
      </c>
      <c r="DS597" s="408"/>
      <c r="DT597" s="408"/>
      <c r="DU597" s="408"/>
      <c r="DV597" s="408">
        <v>6912.311890949667</v>
      </c>
      <c r="DW597" s="408">
        <v>0</v>
      </c>
      <c r="DX597" s="408">
        <v>0</v>
      </c>
      <c r="DY597" s="408">
        <v>-1441.2591200000006</v>
      </c>
      <c r="DZ597" s="408">
        <v>147.97785999999996</v>
      </c>
      <c r="EA597" s="408">
        <v>0</v>
      </c>
      <c r="EB597" s="408">
        <v>0</v>
      </c>
      <c r="EC597" s="408">
        <v>-1717.1355242594354</v>
      </c>
      <c r="ED597" s="408">
        <v>0</v>
      </c>
      <c r="EE597" s="408">
        <v>0</v>
      </c>
      <c r="EF597" s="408">
        <v>0</v>
      </c>
      <c r="EG597" s="408">
        <v>0</v>
      </c>
      <c r="EH597" s="408">
        <v>0</v>
      </c>
      <c r="EI597" s="408">
        <v>0</v>
      </c>
      <c r="EJ597" s="408">
        <v>0</v>
      </c>
      <c r="EK597" s="408">
        <v>0</v>
      </c>
      <c r="EL597" s="408">
        <v>0</v>
      </c>
      <c r="EM597" s="408">
        <v>0</v>
      </c>
      <c r="EN597" s="408">
        <v>0</v>
      </c>
      <c r="EO597" s="408">
        <v>0</v>
      </c>
      <c r="EP597" s="408">
        <v>93.723389348455726</v>
      </c>
      <c r="EQ597" s="408">
        <v>0</v>
      </c>
      <c r="ER597" s="408">
        <v>0</v>
      </c>
      <c r="ES597" s="408">
        <v>0</v>
      </c>
      <c r="ET597" s="408">
        <v>0</v>
      </c>
      <c r="EU597" s="408">
        <v>0</v>
      </c>
      <c r="EV597" s="408">
        <v>240</v>
      </c>
      <c r="EW597" s="408">
        <v>0</v>
      </c>
      <c r="EX597" s="408">
        <v>0</v>
      </c>
      <c r="EY597" s="408">
        <v>0</v>
      </c>
      <c r="EZ597" s="408"/>
      <c r="FA597" s="408">
        <v>0</v>
      </c>
      <c r="FB597" s="408"/>
      <c r="FC597" s="408"/>
      <c r="FD597" s="408"/>
      <c r="FE597" s="408"/>
      <c r="FF597" s="408">
        <v>0</v>
      </c>
      <c r="FG597" s="408">
        <v>0</v>
      </c>
      <c r="FH597" s="408">
        <v>0</v>
      </c>
      <c r="FI597" s="408">
        <v>0</v>
      </c>
    </row>
    <row r="598" spans="1:165">
      <c r="A598" s="408">
        <v>596</v>
      </c>
      <c r="B598" s="408" t="s">
        <v>1036</v>
      </c>
      <c r="C598" s="408" t="s">
        <v>2243</v>
      </c>
      <c r="D598" s="408" t="s">
        <v>597</v>
      </c>
      <c r="E598" s="408" t="s">
        <v>974</v>
      </c>
      <c r="F598" s="408" t="s">
        <v>1322</v>
      </c>
      <c r="G598" s="408" t="s">
        <v>1322</v>
      </c>
      <c r="H598" s="408" t="s">
        <v>1322</v>
      </c>
      <c r="I598" s="408" t="s">
        <v>2244</v>
      </c>
      <c r="J598" s="408" t="s">
        <v>2236</v>
      </c>
      <c r="K598" s="826">
        <v>44621</v>
      </c>
      <c r="L598" s="408">
        <v>0</v>
      </c>
      <c r="M598" s="408">
        <v>0</v>
      </c>
      <c r="N598" s="408">
        <v>79.988</v>
      </c>
      <c r="O598" s="408">
        <v>76.788480000000007</v>
      </c>
      <c r="P598" s="408">
        <v>79.988</v>
      </c>
      <c r="Q598" s="408">
        <v>76.788480000000007</v>
      </c>
      <c r="R598" s="408"/>
      <c r="S598" s="408">
        <v>85.01</v>
      </c>
      <c r="T598" s="408">
        <v>173.25</v>
      </c>
      <c r="U598" s="408"/>
      <c r="V598" s="408">
        <v>20657.70088</v>
      </c>
      <c r="W598" s="408">
        <v>20657.70088</v>
      </c>
      <c r="X598" s="408">
        <v>22290.255959999999</v>
      </c>
      <c r="Y598" s="408">
        <v>0</v>
      </c>
      <c r="Z598" s="408">
        <v>4282.9022189635743</v>
      </c>
      <c r="AA598" s="408">
        <v>0</v>
      </c>
      <c r="AB598" s="408">
        <v>0</v>
      </c>
      <c r="AC598" s="408">
        <v>0</v>
      </c>
      <c r="AD598" s="408">
        <v>0</v>
      </c>
      <c r="AE598" s="408">
        <v>0</v>
      </c>
      <c r="AF598" s="408">
        <v>13625.193561178015</v>
      </c>
      <c r="AG598" s="408">
        <v>232.54379564093352</v>
      </c>
      <c r="AH598" s="408">
        <v>0</v>
      </c>
      <c r="AI598" s="408">
        <v>0</v>
      </c>
      <c r="AJ598" s="408">
        <v>0</v>
      </c>
      <c r="AK598" s="408">
        <v>0</v>
      </c>
      <c r="AL598" s="408">
        <v>760.60831382270487</v>
      </c>
      <c r="AM598" s="408"/>
      <c r="AN598" s="408">
        <v>64.055496420883088</v>
      </c>
      <c r="AO598" s="408">
        <v>0</v>
      </c>
      <c r="AP598" s="408">
        <v>0</v>
      </c>
      <c r="AQ598" s="408">
        <v>0</v>
      </c>
      <c r="AR598" s="408">
        <v>0</v>
      </c>
      <c r="AS598" s="408">
        <v>0</v>
      </c>
      <c r="AT598" s="408">
        <v>0</v>
      </c>
      <c r="AU598" s="408">
        <v>0</v>
      </c>
      <c r="AV598" s="408">
        <v>0</v>
      </c>
      <c r="AW598" s="408">
        <v>0</v>
      </c>
      <c r="AX598" s="408">
        <v>0</v>
      </c>
      <c r="AY598" s="408">
        <v>0</v>
      </c>
      <c r="AZ598" s="408">
        <v>0</v>
      </c>
      <c r="BA598" s="408"/>
      <c r="BB598" s="408">
        <v>0</v>
      </c>
      <c r="BC598" s="408">
        <v>0</v>
      </c>
      <c r="BD598" s="408">
        <v>0</v>
      </c>
      <c r="BE598" s="408">
        <v>0</v>
      </c>
      <c r="BF598" s="408">
        <v>0</v>
      </c>
      <c r="BG598" s="408">
        <v>598.20278276141346</v>
      </c>
      <c r="BH598" s="408">
        <v>0</v>
      </c>
      <c r="BI598" s="408">
        <v>0</v>
      </c>
      <c r="BJ598" s="408">
        <v>0</v>
      </c>
      <c r="BK598" s="408">
        <v>0</v>
      </c>
      <c r="BL598" s="408">
        <v>0</v>
      </c>
      <c r="BM598" s="408"/>
      <c r="BN598" s="408"/>
      <c r="BO598" s="408"/>
      <c r="BP598" s="408"/>
      <c r="BQ598" s="408"/>
      <c r="BR598" s="408">
        <v>891.61023839999791</v>
      </c>
      <c r="BS598" s="408"/>
      <c r="BT598" s="408"/>
      <c r="BU598" s="408"/>
      <c r="BV598" s="408">
        <v>14223.396343939428</v>
      </c>
      <c r="BW598" s="408"/>
      <c r="BX598" s="408"/>
      <c r="BY598" s="408"/>
      <c r="BZ598" s="408"/>
      <c r="CA598" s="408"/>
      <c r="CB598" s="408"/>
      <c r="CC598" s="408"/>
      <c r="CD598" s="408"/>
      <c r="CE598" s="408"/>
      <c r="CF598" s="408"/>
      <c r="CG598" s="408"/>
      <c r="CH598" s="408"/>
      <c r="CI598" s="408">
        <v>21399.069300000003</v>
      </c>
      <c r="CJ598" s="408">
        <v>1567.6464552000034</v>
      </c>
      <c r="CK598" s="408"/>
      <c r="CL598" s="408"/>
      <c r="CM598" s="408"/>
      <c r="CN598" s="408"/>
      <c r="CO598" s="408">
        <v>-94.385840000000542</v>
      </c>
      <c r="CP598" s="408">
        <v>1726.9409200000002</v>
      </c>
      <c r="CQ598" s="408">
        <v>31</v>
      </c>
      <c r="CR598" s="408">
        <v>1632.3233386216052</v>
      </c>
      <c r="CS598" s="408">
        <v>0</v>
      </c>
      <c r="CT598" s="408">
        <v>0</v>
      </c>
      <c r="CU598" s="408">
        <v>0</v>
      </c>
      <c r="CV598" s="408">
        <v>0</v>
      </c>
      <c r="CW598" s="408">
        <v>0</v>
      </c>
      <c r="CX598" s="408">
        <v>0</v>
      </c>
      <c r="CY598" s="408">
        <v>0</v>
      </c>
      <c r="CZ598" s="408">
        <v>0</v>
      </c>
      <c r="DA598" s="408">
        <v>0</v>
      </c>
      <c r="DB598" s="408">
        <v>0</v>
      </c>
      <c r="DC598" s="408">
        <v>1726.7459383835503</v>
      </c>
      <c r="DD598" s="408">
        <v>0</v>
      </c>
      <c r="DE598" s="408">
        <v>0</v>
      </c>
      <c r="DF598" s="408">
        <v>0</v>
      </c>
      <c r="DG598" s="408">
        <v>75.811343216888076</v>
      </c>
      <c r="DH598" s="408">
        <v>0</v>
      </c>
      <c r="DI598" s="408">
        <v>-145.43380650632025</v>
      </c>
      <c r="DJ598" s="408"/>
      <c r="DK598" s="408">
        <v>0</v>
      </c>
      <c r="DL598" s="408">
        <v>0</v>
      </c>
      <c r="DM598" s="408">
        <v>0</v>
      </c>
      <c r="DN598" s="408">
        <v>0</v>
      </c>
      <c r="DO598" s="408">
        <v>-22.987914887545912</v>
      </c>
      <c r="DP598" s="408">
        <v>-1.8122215849645045</v>
      </c>
      <c r="DQ598" s="408">
        <v>0</v>
      </c>
      <c r="DR598" s="408">
        <v>0</v>
      </c>
      <c r="DS598" s="408"/>
      <c r="DT598" s="408"/>
      <c r="DU598" s="408"/>
      <c r="DV598" s="408">
        <v>0</v>
      </c>
      <c r="DW598" s="408">
        <v>0</v>
      </c>
      <c r="DX598" s="408">
        <v>0</v>
      </c>
      <c r="DY598" s="408">
        <v>-94.385839999999916</v>
      </c>
      <c r="DZ598" s="408">
        <v>1726.9409199999991</v>
      </c>
      <c r="EA598" s="408">
        <v>0</v>
      </c>
      <c r="EB598" s="408">
        <v>0</v>
      </c>
      <c r="EC598" s="408">
        <v>0</v>
      </c>
      <c r="ED598" s="408">
        <v>0</v>
      </c>
      <c r="EE598" s="408">
        <v>0</v>
      </c>
      <c r="EF598" s="408">
        <v>0</v>
      </c>
      <c r="EG598" s="408">
        <v>0</v>
      </c>
      <c r="EH598" s="408">
        <v>0</v>
      </c>
      <c r="EI598" s="408">
        <v>0</v>
      </c>
      <c r="EJ598" s="408">
        <v>0</v>
      </c>
      <c r="EK598" s="408">
        <v>0</v>
      </c>
      <c r="EL598" s="408">
        <v>0</v>
      </c>
      <c r="EM598" s="408">
        <v>0</v>
      </c>
      <c r="EN598" s="408">
        <v>0</v>
      </c>
      <c r="EO598" s="408">
        <v>0</v>
      </c>
      <c r="EP598" s="408">
        <v>1093.7768408526811</v>
      </c>
      <c r="EQ598" s="408">
        <v>0</v>
      </c>
      <c r="ER598" s="408">
        <v>0</v>
      </c>
      <c r="ES598" s="408">
        <v>0</v>
      </c>
      <c r="ET598" s="408">
        <v>0</v>
      </c>
      <c r="EU598" s="408">
        <v>0</v>
      </c>
      <c r="EV598" s="408">
        <v>240</v>
      </c>
      <c r="EW598" s="408">
        <v>0</v>
      </c>
      <c r="EX598" s="408">
        <v>0</v>
      </c>
      <c r="EY598" s="408">
        <v>0</v>
      </c>
      <c r="EZ598" s="408"/>
      <c r="FA598" s="408">
        <v>0</v>
      </c>
      <c r="FB598" s="408"/>
      <c r="FC598" s="408"/>
      <c r="FD598" s="408"/>
      <c r="FE598" s="408"/>
      <c r="FF598" s="408">
        <v>0</v>
      </c>
      <c r="FG598" s="408">
        <v>0</v>
      </c>
      <c r="FH598" s="408">
        <v>0</v>
      </c>
      <c r="FI598" s="408">
        <v>0</v>
      </c>
    </row>
    <row r="599" spans="1:165">
      <c r="A599" s="408">
        <v>597</v>
      </c>
      <c r="B599" s="408" t="s">
        <v>2238</v>
      </c>
      <c r="C599" s="408" t="s">
        <v>2243</v>
      </c>
      <c r="D599" s="408" t="s">
        <v>597</v>
      </c>
      <c r="E599" s="408" t="s">
        <v>974</v>
      </c>
      <c r="F599" s="408" t="s">
        <v>1322</v>
      </c>
      <c r="G599" s="408" t="s">
        <v>1322</v>
      </c>
      <c r="H599" s="408" t="s">
        <v>1322</v>
      </c>
      <c r="I599" s="408" t="s">
        <v>2244</v>
      </c>
      <c r="J599" s="408" t="s">
        <v>2236</v>
      </c>
      <c r="K599" s="826">
        <v>44621</v>
      </c>
      <c r="L599" s="408">
        <v>0</v>
      </c>
      <c r="M599" s="408">
        <v>0</v>
      </c>
      <c r="N599" s="408">
        <v>49.683</v>
      </c>
      <c r="O599" s="408">
        <v>47.695679999999996</v>
      </c>
      <c r="P599" s="408">
        <v>49.683</v>
      </c>
      <c r="Q599" s="408">
        <v>47.695679999999996</v>
      </c>
      <c r="R599" s="408"/>
      <c r="S599" s="408">
        <v>85.01</v>
      </c>
      <c r="T599" s="408">
        <v>173.25</v>
      </c>
      <c r="U599" s="408"/>
      <c r="V599" s="408">
        <v>12831.131580000001</v>
      </c>
      <c r="W599" s="408">
        <v>12831.131580000001</v>
      </c>
      <c r="X599" s="408">
        <v>13845.161609999999</v>
      </c>
      <c r="Y599" s="408">
        <v>0</v>
      </c>
      <c r="Z599" s="408">
        <v>2660.2419230980558</v>
      </c>
      <c r="AA599" s="408">
        <v>0</v>
      </c>
      <c r="AB599" s="408">
        <v>0</v>
      </c>
      <c r="AC599" s="408">
        <v>0</v>
      </c>
      <c r="AD599" s="408">
        <v>0</v>
      </c>
      <c r="AE599" s="408">
        <v>0</v>
      </c>
      <c r="AF599" s="408">
        <v>8463.0256000901063</v>
      </c>
      <c r="AG599" s="408">
        <v>144.44008349788095</v>
      </c>
      <c r="AH599" s="408">
        <v>0</v>
      </c>
      <c r="AI599" s="408">
        <v>0</v>
      </c>
      <c r="AJ599" s="408">
        <v>0</v>
      </c>
      <c r="AK599" s="408">
        <v>0</v>
      </c>
      <c r="AL599" s="408">
        <v>472.43715126835832</v>
      </c>
      <c r="AM599" s="408"/>
      <c r="AN599" s="408">
        <v>39.786833383491711</v>
      </c>
      <c r="AO599" s="408">
        <v>0</v>
      </c>
      <c r="AP599" s="408">
        <v>0</v>
      </c>
      <c r="AQ599" s="408">
        <v>0</v>
      </c>
      <c r="AR599" s="408">
        <v>0</v>
      </c>
      <c r="AS599" s="408">
        <v>0</v>
      </c>
      <c r="AT599" s="408">
        <v>0</v>
      </c>
      <c r="AU599" s="408">
        <v>0</v>
      </c>
      <c r="AV599" s="408">
        <v>0</v>
      </c>
      <c r="AW599" s="408">
        <v>0</v>
      </c>
      <c r="AX599" s="408">
        <v>0</v>
      </c>
      <c r="AY599" s="408">
        <v>0</v>
      </c>
      <c r="AZ599" s="408">
        <v>0</v>
      </c>
      <c r="BA599" s="408"/>
      <c r="BB599" s="408">
        <v>0</v>
      </c>
      <c r="BC599" s="408">
        <v>0</v>
      </c>
      <c r="BD599" s="408">
        <v>0</v>
      </c>
      <c r="BE599" s="408">
        <v>0</v>
      </c>
      <c r="BF599" s="408">
        <v>0</v>
      </c>
      <c r="BG599" s="408">
        <v>371.56209501344335</v>
      </c>
      <c r="BH599" s="408">
        <v>0</v>
      </c>
      <c r="BI599" s="408">
        <v>0</v>
      </c>
      <c r="BJ599" s="408">
        <v>0</v>
      </c>
      <c r="BK599" s="408">
        <v>0</v>
      </c>
      <c r="BL599" s="408">
        <v>0</v>
      </c>
      <c r="BM599" s="408"/>
      <c r="BN599" s="408"/>
      <c r="BO599" s="408"/>
      <c r="BP599" s="408"/>
      <c r="BQ599" s="408"/>
      <c r="BR599" s="408">
        <v>553.80646440000112</v>
      </c>
      <c r="BS599" s="408"/>
      <c r="BT599" s="408"/>
      <c r="BU599" s="408"/>
      <c r="BV599" s="408">
        <v>8834.5876951035498</v>
      </c>
      <c r="BW599" s="408"/>
      <c r="BX599" s="408"/>
      <c r="BY599" s="408"/>
      <c r="BZ599" s="408"/>
      <c r="CA599" s="408"/>
      <c r="CB599" s="408"/>
      <c r="CC599" s="408"/>
      <c r="CD599" s="408"/>
      <c r="CE599" s="408"/>
      <c r="CF599" s="408"/>
      <c r="CG599" s="408"/>
      <c r="CH599" s="408"/>
      <c r="CI599" s="408">
        <v>13292.559000000001</v>
      </c>
      <c r="CJ599" s="408">
        <v>974.64268320000156</v>
      </c>
      <c r="CK599" s="408"/>
      <c r="CL599" s="408"/>
      <c r="CM599" s="408"/>
      <c r="CN599" s="408"/>
      <c r="CO599" s="408">
        <v>-58.625940000000341</v>
      </c>
      <c r="CP599" s="408">
        <v>1072.6559700000003</v>
      </c>
      <c r="CQ599" s="408">
        <v>31</v>
      </c>
      <c r="CR599" s="408">
        <v>1013.8860883224643</v>
      </c>
      <c r="CS599" s="408">
        <v>0</v>
      </c>
      <c r="CT599" s="408">
        <v>0</v>
      </c>
      <c r="CU599" s="408">
        <v>0</v>
      </c>
      <c r="CV599" s="408">
        <v>0</v>
      </c>
      <c r="CW599" s="408">
        <v>0</v>
      </c>
      <c r="CX599" s="408">
        <v>0</v>
      </c>
      <c r="CY599" s="408">
        <v>0</v>
      </c>
      <c r="CZ599" s="408">
        <v>0</v>
      </c>
      <c r="DA599" s="408">
        <v>0</v>
      </c>
      <c r="DB599" s="408">
        <v>0</v>
      </c>
      <c r="DC599" s="408">
        <v>1072.5348609380144</v>
      </c>
      <c r="DD599" s="408">
        <v>0</v>
      </c>
      <c r="DE599" s="408">
        <v>0</v>
      </c>
      <c r="DF599" s="408">
        <v>0</v>
      </c>
      <c r="DG599" s="408">
        <v>47.088750375614438</v>
      </c>
      <c r="DH599" s="408">
        <v>0</v>
      </c>
      <c r="DI599" s="408">
        <v>-90.333397617811897</v>
      </c>
      <c r="DJ599" s="408"/>
      <c r="DK599" s="408">
        <v>0</v>
      </c>
      <c r="DL599" s="408">
        <v>0</v>
      </c>
      <c r="DM599" s="408">
        <v>0</v>
      </c>
      <c r="DN599" s="408">
        <v>0</v>
      </c>
      <c r="DO599" s="408">
        <v>-14.278498966819313</v>
      </c>
      <c r="DP599" s="408">
        <v>-1.1256264065333781</v>
      </c>
      <c r="DQ599" s="408">
        <v>0</v>
      </c>
      <c r="DR599" s="408">
        <v>0</v>
      </c>
      <c r="DS599" s="408"/>
      <c r="DT599" s="408"/>
      <c r="DU599" s="408"/>
      <c r="DV599" s="408">
        <v>0</v>
      </c>
      <c r="DW599" s="408">
        <v>0</v>
      </c>
      <c r="DX599" s="408">
        <v>0</v>
      </c>
      <c r="DY599" s="408">
        <v>-58.62594000000081</v>
      </c>
      <c r="DZ599" s="408">
        <v>1072.6559699999998</v>
      </c>
      <c r="EA599" s="408">
        <v>0</v>
      </c>
      <c r="EB599" s="408">
        <v>0</v>
      </c>
      <c r="EC599" s="408">
        <v>0</v>
      </c>
      <c r="ED599" s="408">
        <v>0</v>
      </c>
      <c r="EE599" s="408">
        <v>0</v>
      </c>
      <c r="EF599" s="408">
        <v>0</v>
      </c>
      <c r="EG599" s="408">
        <v>0</v>
      </c>
      <c r="EH599" s="408">
        <v>0</v>
      </c>
      <c r="EI599" s="408">
        <v>0</v>
      </c>
      <c r="EJ599" s="408">
        <v>0</v>
      </c>
      <c r="EK599" s="408">
        <v>0</v>
      </c>
      <c r="EL599" s="408">
        <v>0</v>
      </c>
      <c r="EM599" s="408">
        <v>0</v>
      </c>
      <c r="EN599" s="408">
        <v>0</v>
      </c>
      <c r="EO599" s="408">
        <v>0</v>
      </c>
      <c r="EP599" s="408">
        <v>679.37834155227984</v>
      </c>
      <c r="EQ599" s="408">
        <v>0</v>
      </c>
      <c r="ER599" s="408">
        <v>0</v>
      </c>
      <c r="ES599" s="408">
        <v>0</v>
      </c>
      <c r="ET599" s="408">
        <v>0</v>
      </c>
      <c r="EU599" s="408">
        <v>0</v>
      </c>
      <c r="EV599" s="408">
        <v>240</v>
      </c>
      <c r="EW599" s="408">
        <v>0</v>
      </c>
      <c r="EX599" s="408">
        <v>0</v>
      </c>
      <c r="EY599" s="408">
        <v>0</v>
      </c>
      <c r="EZ599" s="408"/>
      <c r="FA599" s="408">
        <v>0</v>
      </c>
      <c r="FB599" s="408"/>
      <c r="FC599" s="408"/>
      <c r="FD599" s="408"/>
      <c r="FE599" s="408"/>
      <c r="FF599" s="408">
        <v>0</v>
      </c>
      <c r="FG599" s="408">
        <v>0</v>
      </c>
      <c r="FH599" s="408">
        <v>0</v>
      </c>
      <c r="FI599" s="408">
        <v>0</v>
      </c>
    </row>
    <row r="600" spans="1:165">
      <c r="A600" s="408">
        <v>598</v>
      </c>
      <c r="B600" s="408" t="s">
        <v>1036</v>
      </c>
      <c r="C600" s="408" t="s">
        <v>2243</v>
      </c>
      <c r="D600" s="408" t="s">
        <v>597</v>
      </c>
      <c r="E600" s="408" t="s">
        <v>974</v>
      </c>
      <c r="F600" s="408" t="s">
        <v>1322</v>
      </c>
      <c r="G600" s="408" t="s">
        <v>1322</v>
      </c>
      <c r="H600" s="408" t="s">
        <v>1322</v>
      </c>
      <c r="I600" s="408" t="s">
        <v>1322</v>
      </c>
      <c r="J600" s="408" t="s">
        <v>2236</v>
      </c>
      <c r="K600" s="826">
        <v>44621</v>
      </c>
      <c r="L600" s="408">
        <v>670</v>
      </c>
      <c r="M600" s="408">
        <v>643.20000000000005</v>
      </c>
      <c r="N600" s="408">
        <v>0</v>
      </c>
      <c r="O600" s="408">
        <v>0</v>
      </c>
      <c r="P600" s="408">
        <v>0</v>
      </c>
      <c r="Q600" s="408">
        <v>0</v>
      </c>
      <c r="R600" s="408">
        <v>27.19</v>
      </c>
      <c r="S600" s="408"/>
      <c r="T600" s="408"/>
      <c r="U600" s="408">
        <v>18217.3</v>
      </c>
      <c r="V600" s="408"/>
      <c r="W600" s="408">
        <v>18217.3</v>
      </c>
      <c r="X600" s="408">
        <v>14579.2</v>
      </c>
      <c r="Y600" s="408">
        <v>0</v>
      </c>
      <c r="Z600" s="408">
        <v>0</v>
      </c>
      <c r="AA600" s="408">
        <v>0</v>
      </c>
      <c r="AB600" s="408">
        <v>0</v>
      </c>
      <c r="AC600" s="408">
        <v>156.24441099646788</v>
      </c>
      <c r="AD600" s="408">
        <v>150.1033423781841</v>
      </c>
      <c r="AE600" s="408">
        <v>16034.460262916864</v>
      </c>
      <c r="AF600" s="408"/>
      <c r="AG600" s="408"/>
      <c r="AH600" s="408"/>
      <c r="AI600" s="408">
        <v>0</v>
      </c>
      <c r="AJ600" s="408">
        <v>0</v>
      </c>
      <c r="AK600" s="408">
        <v>0</v>
      </c>
      <c r="AL600" s="408">
        <v>0</v>
      </c>
      <c r="AM600" s="408"/>
      <c r="AN600" s="408">
        <v>0</v>
      </c>
      <c r="AO600" s="408">
        <v>331.57283683061087</v>
      </c>
      <c r="AP600" s="408">
        <v>1546.4195248176984</v>
      </c>
      <c r="AQ600" s="408">
        <v>0</v>
      </c>
      <c r="AR600" s="408">
        <v>0</v>
      </c>
      <c r="AS600" s="408"/>
      <c r="AT600" s="408"/>
      <c r="AU600" s="408">
        <v>0</v>
      </c>
      <c r="AV600" s="408">
        <v>0</v>
      </c>
      <c r="AW600" s="408">
        <v>0</v>
      </c>
      <c r="AX600" s="408"/>
      <c r="AY600" s="408"/>
      <c r="AZ600" s="408">
        <v>0</v>
      </c>
      <c r="BA600" s="408"/>
      <c r="BB600" s="408">
        <v>0</v>
      </c>
      <c r="BC600" s="408">
        <v>0</v>
      </c>
      <c r="BD600" s="408">
        <v>0</v>
      </c>
      <c r="BE600" s="408">
        <v>0</v>
      </c>
      <c r="BF600" s="408"/>
      <c r="BG600" s="408">
        <v>0</v>
      </c>
      <c r="BH600" s="408">
        <v>0</v>
      </c>
      <c r="BI600" s="408">
        <v>39.9</v>
      </c>
      <c r="BJ600" s="408">
        <v>427.73</v>
      </c>
      <c r="BK600" s="408">
        <v>28.23</v>
      </c>
      <c r="BL600" s="408">
        <v>4</v>
      </c>
      <c r="BM600" s="408"/>
      <c r="BN600" s="408"/>
      <c r="BO600" s="408"/>
      <c r="BP600" s="408"/>
      <c r="BQ600" s="408"/>
      <c r="BR600" s="408">
        <v>583.1679999999991</v>
      </c>
      <c r="BS600" s="408"/>
      <c r="BT600" s="408"/>
      <c r="BU600" s="408"/>
      <c r="BV600" s="408">
        <v>0</v>
      </c>
      <c r="BW600" s="408"/>
      <c r="BX600" s="408"/>
      <c r="BY600" s="408"/>
      <c r="BZ600" s="408"/>
      <c r="CA600" s="408"/>
      <c r="CB600" s="408"/>
      <c r="CC600" s="408"/>
      <c r="CD600" s="408"/>
      <c r="CE600" s="408"/>
      <c r="CF600" s="408"/>
      <c r="CG600" s="408"/>
      <c r="CH600" s="408"/>
      <c r="CI600" s="408">
        <v>13996.032000000003</v>
      </c>
      <c r="CJ600" s="408">
        <v>-3492.6059999999961</v>
      </c>
      <c r="CK600" s="408"/>
      <c r="CL600" s="408"/>
      <c r="CM600" s="408"/>
      <c r="CN600" s="408"/>
      <c r="CO600" s="408">
        <v>-3638.1</v>
      </c>
      <c r="CP600" s="408">
        <v>0</v>
      </c>
      <c r="CQ600" s="408">
        <v>31</v>
      </c>
      <c r="CR600" s="408">
        <v>341.69463258886526</v>
      </c>
      <c r="CS600" s="408">
        <v>33.040524472255413</v>
      </c>
      <c r="CT600" s="408">
        <v>154.09740026507529</v>
      </c>
      <c r="CU600" s="408">
        <v>0</v>
      </c>
      <c r="CV600" s="408">
        <v>0</v>
      </c>
      <c r="CW600" s="408"/>
      <c r="CX600" s="408"/>
      <c r="CY600" s="408"/>
      <c r="CZ600" s="408">
        <v>154.5567078515345</v>
      </c>
      <c r="DA600" s="408">
        <v>0</v>
      </c>
      <c r="DB600" s="408">
        <v>0</v>
      </c>
      <c r="DC600" s="408"/>
      <c r="DD600" s="408"/>
      <c r="DE600" s="408">
        <v>0</v>
      </c>
      <c r="DF600" s="408">
        <v>0</v>
      </c>
      <c r="DG600" s="408">
        <v>0</v>
      </c>
      <c r="DH600" s="408">
        <v>0</v>
      </c>
      <c r="DI600" s="408">
        <v>0</v>
      </c>
      <c r="DJ600" s="408"/>
      <c r="DK600" s="408">
        <v>0</v>
      </c>
      <c r="DL600" s="408">
        <v>0</v>
      </c>
      <c r="DM600" s="408"/>
      <c r="DN600" s="408">
        <v>0</v>
      </c>
      <c r="DO600" s="408">
        <v>0</v>
      </c>
      <c r="DP600" s="408">
        <v>0</v>
      </c>
      <c r="DQ600" s="408">
        <v>0</v>
      </c>
      <c r="DR600" s="408">
        <v>0</v>
      </c>
      <c r="DS600" s="408"/>
      <c r="DT600" s="408"/>
      <c r="DU600" s="408">
        <v>16034.460262916864</v>
      </c>
      <c r="DV600" s="408"/>
      <c r="DW600" s="408">
        <v>0</v>
      </c>
      <c r="DX600" s="408">
        <v>0</v>
      </c>
      <c r="DY600" s="408">
        <v>-3638.0999999999985</v>
      </c>
      <c r="DZ600" s="408"/>
      <c r="EA600" s="408">
        <v>0</v>
      </c>
      <c r="EB600" s="408"/>
      <c r="EC600" s="408">
        <v>-3983.2319149010218</v>
      </c>
      <c r="ED600" s="408"/>
      <c r="EE600" s="408">
        <v>0</v>
      </c>
      <c r="EF600" s="408">
        <v>0</v>
      </c>
      <c r="EG600" s="408"/>
      <c r="EH600" s="408">
        <v>0</v>
      </c>
      <c r="EI600" s="408">
        <v>0</v>
      </c>
      <c r="EJ600" s="408">
        <v>0</v>
      </c>
      <c r="EK600" s="408">
        <v>0</v>
      </c>
      <c r="EL600" s="408">
        <v>0</v>
      </c>
      <c r="EM600" s="408"/>
      <c r="EN600" s="408"/>
      <c r="EO600" s="408">
        <v>0</v>
      </c>
      <c r="EP600" s="408">
        <v>0</v>
      </c>
      <c r="EQ600" s="408"/>
      <c r="ER600" s="408">
        <v>0</v>
      </c>
      <c r="ES600" s="408"/>
      <c r="ET600" s="408">
        <v>0</v>
      </c>
      <c r="EU600" s="408"/>
      <c r="EV600" s="408">
        <v>240</v>
      </c>
      <c r="EW600" s="408"/>
      <c r="EX600" s="408"/>
      <c r="EY600" s="408"/>
      <c r="EZ600" s="408"/>
      <c r="FA600" s="408">
        <v>0</v>
      </c>
      <c r="FB600" s="408"/>
      <c r="FC600" s="408"/>
      <c r="FD600" s="408"/>
      <c r="FE600" s="408"/>
      <c r="FF600" s="408">
        <v>0</v>
      </c>
      <c r="FG600" s="408">
        <v>0</v>
      </c>
      <c r="FH600" s="408">
        <v>0</v>
      </c>
      <c r="FI600" s="408">
        <v>0</v>
      </c>
    </row>
    <row r="601" spans="1:165">
      <c r="A601" s="408">
        <v>599</v>
      </c>
      <c r="B601" s="408" t="s">
        <v>2238</v>
      </c>
      <c r="C601" s="408" t="s">
        <v>2243</v>
      </c>
      <c r="D601" s="408" t="s">
        <v>597</v>
      </c>
      <c r="E601" s="408" t="s">
        <v>974</v>
      </c>
      <c r="F601" s="408" t="s">
        <v>1322</v>
      </c>
      <c r="G601" s="408" t="s">
        <v>1322</v>
      </c>
      <c r="H601" s="408" t="s">
        <v>1322</v>
      </c>
      <c r="I601" s="408" t="s">
        <v>1322</v>
      </c>
      <c r="J601" s="408" t="s">
        <v>2236</v>
      </c>
      <c r="K601" s="826">
        <v>44621</v>
      </c>
      <c r="L601" s="408">
        <v>160</v>
      </c>
      <c r="M601" s="408">
        <v>153.6</v>
      </c>
      <c r="N601" s="408">
        <v>0</v>
      </c>
      <c r="O601" s="408">
        <v>0</v>
      </c>
      <c r="P601" s="408">
        <v>0</v>
      </c>
      <c r="Q601" s="408">
        <v>0</v>
      </c>
      <c r="R601" s="408">
        <v>27.19</v>
      </c>
      <c r="S601" s="408"/>
      <c r="T601" s="408"/>
      <c r="U601" s="408">
        <v>4350.4000000000005</v>
      </c>
      <c r="V601" s="408"/>
      <c r="W601" s="408">
        <v>4350.4000000000005</v>
      </c>
      <c r="X601" s="408">
        <v>3481.6000000000004</v>
      </c>
      <c r="Y601" s="408">
        <v>0</v>
      </c>
      <c r="Z601" s="408">
        <v>0</v>
      </c>
      <c r="AA601" s="408">
        <v>0</v>
      </c>
      <c r="AB601" s="408">
        <v>0</v>
      </c>
      <c r="AC601" s="408">
        <v>37.312098148410243</v>
      </c>
      <c r="AD601" s="408">
        <v>35.845574299267838</v>
      </c>
      <c r="AE601" s="408">
        <v>3829.1248389055199</v>
      </c>
      <c r="AF601" s="408"/>
      <c r="AG601" s="408"/>
      <c r="AH601" s="408"/>
      <c r="AI601" s="408">
        <v>0</v>
      </c>
      <c r="AJ601" s="408">
        <v>0</v>
      </c>
      <c r="AK601" s="408">
        <v>0</v>
      </c>
      <c r="AL601" s="408">
        <v>0</v>
      </c>
      <c r="AM601" s="408"/>
      <c r="AN601" s="408">
        <v>0</v>
      </c>
      <c r="AO601" s="408">
        <v>79.181572974474236</v>
      </c>
      <c r="AP601" s="408">
        <v>369.2942148818384</v>
      </c>
      <c r="AQ601" s="408">
        <v>0</v>
      </c>
      <c r="AR601" s="408">
        <v>0</v>
      </c>
      <c r="AS601" s="408"/>
      <c r="AT601" s="408"/>
      <c r="AU601" s="408">
        <v>0</v>
      </c>
      <c r="AV601" s="408">
        <v>0</v>
      </c>
      <c r="AW601" s="408">
        <v>0</v>
      </c>
      <c r="AX601" s="408"/>
      <c r="AY601" s="408"/>
      <c r="AZ601" s="408">
        <v>0</v>
      </c>
      <c r="BA601" s="408"/>
      <c r="BB601" s="408">
        <v>0</v>
      </c>
      <c r="BC601" s="408">
        <v>0</v>
      </c>
      <c r="BD601" s="408">
        <v>0</v>
      </c>
      <c r="BE601" s="408">
        <v>0</v>
      </c>
      <c r="BF601" s="408"/>
      <c r="BG601" s="408">
        <v>0</v>
      </c>
      <c r="BH601" s="408">
        <v>0</v>
      </c>
      <c r="BI601" s="408">
        <v>17.22</v>
      </c>
      <c r="BJ601" s="408">
        <v>184.6</v>
      </c>
      <c r="BK601" s="408">
        <v>5.78</v>
      </c>
      <c r="BL601" s="408">
        <v>1</v>
      </c>
      <c r="BM601" s="408"/>
      <c r="BN601" s="408"/>
      <c r="BO601" s="408"/>
      <c r="BP601" s="408"/>
      <c r="BQ601" s="408"/>
      <c r="BR601" s="408">
        <v>139.26400000000012</v>
      </c>
      <c r="BS601" s="408"/>
      <c r="BT601" s="408"/>
      <c r="BU601" s="408"/>
      <c r="BV601" s="408">
        <v>0</v>
      </c>
      <c r="BW601" s="408"/>
      <c r="BX601" s="408"/>
      <c r="BY601" s="408"/>
      <c r="BZ601" s="408"/>
      <c r="CA601" s="408"/>
      <c r="CB601" s="408"/>
      <c r="CC601" s="408"/>
      <c r="CD601" s="408"/>
      <c r="CE601" s="408"/>
      <c r="CF601" s="408"/>
      <c r="CG601" s="408"/>
      <c r="CH601" s="408"/>
      <c r="CI601" s="408">
        <v>3342.3360000000002</v>
      </c>
      <c r="CJ601" s="408">
        <v>-834.07800000000043</v>
      </c>
      <c r="CK601" s="408"/>
      <c r="CL601" s="408"/>
      <c r="CM601" s="408"/>
      <c r="CN601" s="408"/>
      <c r="CO601" s="408">
        <v>-868.8</v>
      </c>
      <c r="CP601" s="408">
        <v>0</v>
      </c>
      <c r="CQ601" s="408">
        <v>31</v>
      </c>
      <c r="CR601" s="408">
        <v>81.598718230176928</v>
      </c>
      <c r="CS601" s="408">
        <v>7.8902745008371227</v>
      </c>
      <c r="CT601" s="408">
        <v>36.799379167779193</v>
      </c>
      <c r="CU601" s="408">
        <v>0</v>
      </c>
      <c r="CV601" s="408">
        <v>0</v>
      </c>
      <c r="CW601" s="408"/>
      <c r="CX601" s="408"/>
      <c r="CY601" s="408"/>
      <c r="CZ601" s="408">
        <v>36.909064561560484</v>
      </c>
      <c r="DA601" s="408">
        <v>0</v>
      </c>
      <c r="DB601" s="408">
        <v>0</v>
      </c>
      <c r="DC601" s="408"/>
      <c r="DD601" s="408"/>
      <c r="DE601" s="408">
        <v>0</v>
      </c>
      <c r="DF601" s="408">
        <v>0</v>
      </c>
      <c r="DG601" s="408">
        <v>0</v>
      </c>
      <c r="DH601" s="408">
        <v>0</v>
      </c>
      <c r="DI601" s="408">
        <v>0</v>
      </c>
      <c r="DJ601" s="408"/>
      <c r="DK601" s="408">
        <v>0</v>
      </c>
      <c r="DL601" s="408">
        <v>0</v>
      </c>
      <c r="DM601" s="408"/>
      <c r="DN601" s="408">
        <v>0</v>
      </c>
      <c r="DO601" s="408">
        <v>0</v>
      </c>
      <c r="DP601" s="408">
        <v>0</v>
      </c>
      <c r="DQ601" s="408">
        <v>0</v>
      </c>
      <c r="DR601" s="408">
        <v>0</v>
      </c>
      <c r="DS601" s="408"/>
      <c r="DT601" s="408"/>
      <c r="DU601" s="408">
        <v>3829.1248389055199</v>
      </c>
      <c r="DV601" s="408"/>
      <c r="DW601" s="408">
        <v>0</v>
      </c>
      <c r="DX601" s="408">
        <v>0</v>
      </c>
      <c r="DY601" s="408">
        <v>-868.80000000000018</v>
      </c>
      <c r="DZ601" s="408"/>
      <c r="EA601" s="408">
        <v>0</v>
      </c>
      <c r="EB601" s="408"/>
      <c r="EC601" s="408">
        <v>-951.21956176740832</v>
      </c>
      <c r="ED601" s="408"/>
      <c r="EE601" s="408">
        <v>0</v>
      </c>
      <c r="EF601" s="408">
        <v>0</v>
      </c>
      <c r="EG601" s="408"/>
      <c r="EH601" s="408">
        <v>0</v>
      </c>
      <c r="EI601" s="408">
        <v>0</v>
      </c>
      <c r="EJ601" s="408">
        <v>0</v>
      </c>
      <c r="EK601" s="408">
        <v>0</v>
      </c>
      <c r="EL601" s="408">
        <v>0</v>
      </c>
      <c r="EM601" s="408"/>
      <c r="EN601" s="408"/>
      <c r="EO601" s="408">
        <v>0</v>
      </c>
      <c r="EP601" s="408">
        <v>0</v>
      </c>
      <c r="EQ601" s="408"/>
      <c r="ER601" s="408">
        <v>0</v>
      </c>
      <c r="ES601" s="408"/>
      <c r="ET601" s="408">
        <v>0</v>
      </c>
      <c r="EU601" s="408"/>
      <c r="EV601" s="408">
        <v>240</v>
      </c>
      <c r="EW601" s="408"/>
      <c r="EX601" s="408"/>
      <c r="EY601" s="408"/>
      <c r="EZ601" s="408"/>
      <c r="FA601" s="408">
        <v>0</v>
      </c>
      <c r="FB601" s="408"/>
      <c r="FC601" s="408"/>
      <c r="FD601" s="408"/>
      <c r="FE601" s="408"/>
      <c r="FF601" s="408">
        <v>0</v>
      </c>
      <c r="FG601" s="408">
        <v>0</v>
      </c>
      <c r="FH601" s="408">
        <v>0</v>
      </c>
      <c r="FI601" s="408">
        <v>0</v>
      </c>
    </row>
    <row r="602" spans="1:165">
      <c r="A602" s="408">
        <v>600</v>
      </c>
      <c r="B602" s="408" t="s">
        <v>1036</v>
      </c>
      <c r="C602" s="408" t="s">
        <v>2235</v>
      </c>
      <c r="D602" s="408" t="s">
        <v>1958</v>
      </c>
      <c r="E602" s="408" t="s">
        <v>2246</v>
      </c>
      <c r="F602" s="408" t="s">
        <v>1322</v>
      </c>
      <c r="G602" s="408" t="s">
        <v>1322</v>
      </c>
      <c r="H602" s="408" t="s">
        <v>1322</v>
      </c>
      <c r="I602" s="408" t="s">
        <v>1322</v>
      </c>
      <c r="J602" s="408" t="s">
        <v>2236</v>
      </c>
      <c r="K602" s="826">
        <v>44621</v>
      </c>
      <c r="L602" s="408">
        <v>0</v>
      </c>
      <c r="M602" s="408">
        <v>0</v>
      </c>
      <c r="N602" s="408">
        <v>601.60199999999998</v>
      </c>
      <c r="O602" s="408">
        <v>601.60199999999998</v>
      </c>
      <c r="P602" s="408">
        <v>601.60199999999998</v>
      </c>
      <c r="Q602" s="408">
        <v>601.60199999999998</v>
      </c>
      <c r="R602" s="408"/>
      <c r="S602" s="408">
        <v>368.24</v>
      </c>
      <c r="T602" s="408">
        <v>173.25</v>
      </c>
      <c r="U602" s="408"/>
      <c r="V602" s="408">
        <v>325761.46698000003</v>
      </c>
      <c r="W602" s="408">
        <v>325761.46698000003</v>
      </c>
      <c r="X602" s="408">
        <v>306149.24178000004</v>
      </c>
      <c r="Y602" s="408">
        <v>0</v>
      </c>
      <c r="Z602" s="408">
        <v>37025.705303107628</v>
      </c>
      <c r="AA602" s="408">
        <v>0</v>
      </c>
      <c r="AB602" s="408">
        <v>0</v>
      </c>
      <c r="AC602" s="408">
        <v>1539.822797787031</v>
      </c>
      <c r="AD602" s="408">
        <v>1479.4244218238446</v>
      </c>
      <c r="AE602" s="408">
        <v>141699.59391971235</v>
      </c>
      <c r="AF602" s="408">
        <v>102477.16778506547</v>
      </c>
      <c r="AG602" s="408">
        <v>1748.9975064406772</v>
      </c>
      <c r="AH602" s="408">
        <v>0</v>
      </c>
      <c r="AI602" s="408">
        <v>0</v>
      </c>
      <c r="AJ602" s="408">
        <v>0</v>
      </c>
      <c r="AK602" s="408">
        <v>0</v>
      </c>
      <c r="AL602" s="408">
        <v>5720.6516328995212</v>
      </c>
      <c r="AM602" s="408"/>
      <c r="AN602" s="408">
        <v>726.64901507404102</v>
      </c>
      <c r="AO602" s="408">
        <v>3268.7416283148782</v>
      </c>
      <c r="AP602" s="408">
        <v>15241.659985304235</v>
      </c>
      <c r="AQ602" s="408">
        <v>0</v>
      </c>
      <c r="AR602" s="408">
        <v>0</v>
      </c>
      <c r="AS602" s="408">
        <v>0</v>
      </c>
      <c r="AT602" s="408">
        <v>0</v>
      </c>
      <c r="AU602" s="408">
        <v>0</v>
      </c>
      <c r="AV602" s="408">
        <v>0</v>
      </c>
      <c r="AW602" s="408">
        <v>0</v>
      </c>
      <c r="AX602" s="408">
        <v>0</v>
      </c>
      <c r="AY602" s="408">
        <v>0</v>
      </c>
      <c r="AZ602" s="408">
        <v>0</v>
      </c>
      <c r="BA602" s="408"/>
      <c r="BB602" s="408">
        <v>0</v>
      </c>
      <c r="BC602" s="408">
        <v>0</v>
      </c>
      <c r="BD602" s="408">
        <v>0</v>
      </c>
      <c r="BE602" s="408">
        <v>0</v>
      </c>
      <c r="BF602" s="408">
        <v>0</v>
      </c>
      <c r="BG602" s="408">
        <v>5378.1966415252955</v>
      </c>
      <c r="BH602" s="408">
        <v>0</v>
      </c>
      <c r="BI602" s="408">
        <v>273.55</v>
      </c>
      <c r="BJ602" s="408">
        <v>2961.12</v>
      </c>
      <c r="BK602" s="408">
        <v>118231.86</v>
      </c>
      <c r="BL602" s="408">
        <v>585</v>
      </c>
      <c r="BM602" s="408"/>
      <c r="BN602" s="408"/>
      <c r="BO602" s="408"/>
      <c r="BP602" s="408"/>
      <c r="BQ602" s="408"/>
      <c r="BR602" s="408"/>
      <c r="BS602" s="408"/>
      <c r="BT602" s="408"/>
      <c r="BU602" s="408"/>
      <c r="BV602" s="408">
        <v>107855.36442659076</v>
      </c>
      <c r="BW602" s="408"/>
      <c r="BX602" s="408"/>
      <c r="BY602" s="408"/>
      <c r="BZ602" s="408"/>
      <c r="CA602" s="408"/>
      <c r="CB602" s="408"/>
      <c r="CC602" s="408"/>
      <c r="CD602" s="408"/>
      <c r="CE602" s="408"/>
      <c r="CF602" s="408"/>
      <c r="CG602" s="408"/>
      <c r="CH602" s="408"/>
      <c r="CI602" s="408">
        <v>306148.22400000005</v>
      </c>
      <c r="CJ602" s="408">
        <v>-19613.272980000009</v>
      </c>
      <c r="CK602" s="408"/>
      <c r="CL602" s="408"/>
      <c r="CM602" s="408"/>
      <c r="CN602" s="408"/>
      <c r="CO602" s="408">
        <v>-32600.812379999996</v>
      </c>
      <c r="CP602" s="408">
        <v>12988.587180000002</v>
      </c>
      <c r="CQ602" s="408">
        <v>31</v>
      </c>
      <c r="CR602" s="408">
        <v>15585.819050332328</v>
      </c>
      <c r="CS602" s="408">
        <v>325.72311651389009</v>
      </c>
      <c r="CT602" s="408">
        <v>1518.7988393618543</v>
      </c>
      <c r="CU602" s="408">
        <v>0</v>
      </c>
      <c r="CV602" s="408">
        <v>0</v>
      </c>
      <c r="CW602" s="408">
        <v>0</v>
      </c>
      <c r="CX602" s="408">
        <v>0</v>
      </c>
      <c r="CY602" s="408">
        <v>0</v>
      </c>
      <c r="CZ602" s="408">
        <v>1523.3169663614726</v>
      </c>
      <c r="DA602" s="408">
        <v>0</v>
      </c>
      <c r="DB602" s="408">
        <v>0</v>
      </c>
      <c r="DC602" s="408">
        <v>12987.120693396762</v>
      </c>
      <c r="DD602" s="408">
        <v>0</v>
      </c>
      <c r="DE602" s="408">
        <v>0</v>
      </c>
      <c r="DF602" s="408">
        <v>0</v>
      </c>
      <c r="DG602" s="408">
        <v>681.58879100571085</v>
      </c>
      <c r="DH602" s="408">
        <v>0</v>
      </c>
      <c r="DI602" s="408">
        <v>-1257.2757876586329</v>
      </c>
      <c r="DJ602" s="408"/>
      <c r="DK602" s="408">
        <v>0</v>
      </c>
      <c r="DL602" s="408">
        <v>0</v>
      </c>
      <c r="DM602" s="408">
        <v>0</v>
      </c>
      <c r="DN602" s="408">
        <v>0</v>
      </c>
      <c r="DO602" s="408">
        <v>-172.89562899656721</v>
      </c>
      <c r="DP602" s="408">
        <v>-20.557939652170489</v>
      </c>
      <c r="DQ602" s="408">
        <v>0</v>
      </c>
      <c r="DR602" s="408">
        <v>0</v>
      </c>
      <c r="DS602" s="408"/>
      <c r="DT602" s="408"/>
      <c r="DU602" s="408"/>
      <c r="DV602" s="408">
        <v>141699.59391971235</v>
      </c>
      <c r="DW602" s="408">
        <v>0</v>
      </c>
      <c r="DX602" s="408">
        <v>0</v>
      </c>
      <c r="DY602" s="408">
        <v>-32600.812379999988</v>
      </c>
      <c r="DZ602" s="408">
        <v>12988.587180000002</v>
      </c>
      <c r="EA602" s="408">
        <v>0</v>
      </c>
      <c r="EB602" s="408">
        <v>0</v>
      </c>
      <c r="EC602" s="408">
        <v>-35200.582718388643</v>
      </c>
      <c r="ED602" s="408">
        <v>0</v>
      </c>
      <c r="EE602" s="408">
        <v>0</v>
      </c>
      <c r="EF602" s="408">
        <v>0</v>
      </c>
      <c r="EG602" s="408">
        <v>0</v>
      </c>
      <c r="EH602" s="408">
        <v>0</v>
      </c>
      <c r="EI602" s="408">
        <v>0</v>
      </c>
      <c r="EJ602" s="408">
        <v>0</v>
      </c>
      <c r="EK602" s="408">
        <v>0</v>
      </c>
      <c r="EL602" s="408">
        <v>0</v>
      </c>
      <c r="EM602" s="408">
        <v>0</v>
      </c>
      <c r="EN602" s="408">
        <v>0</v>
      </c>
      <c r="EO602" s="408">
        <v>0</v>
      </c>
      <c r="EP602" s="408">
        <v>9455.704778283598</v>
      </c>
      <c r="EQ602" s="408">
        <v>0</v>
      </c>
      <c r="ER602" s="408">
        <v>0</v>
      </c>
      <c r="ES602" s="408">
        <v>0</v>
      </c>
      <c r="ET602" s="408">
        <v>0</v>
      </c>
      <c r="EU602" s="408">
        <v>0</v>
      </c>
      <c r="EV602" s="408">
        <v>240</v>
      </c>
      <c r="EW602" s="408">
        <v>0</v>
      </c>
      <c r="EX602" s="408">
        <v>0</v>
      </c>
      <c r="EY602" s="408">
        <v>0</v>
      </c>
      <c r="EZ602" s="408"/>
      <c r="FA602" s="408">
        <v>0</v>
      </c>
      <c r="FB602" s="408"/>
      <c r="FC602" s="408"/>
      <c r="FD602" s="408"/>
      <c r="FE602" s="408"/>
      <c r="FF602" s="408">
        <v>0</v>
      </c>
      <c r="FG602" s="408">
        <v>0</v>
      </c>
      <c r="FH602" s="408">
        <v>0</v>
      </c>
      <c r="FI602" s="408">
        <v>0</v>
      </c>
    </row>
    <row r="603" spans="1:165">
      <c r="A603" s="408">
        <v>601</v>
      </c>
      <c r="B603" s="408" t="s">
        <v>2238</v>
      </c>
      <c r="C603" s="408" t="s">
        <v>2235</v>
      </c>
      <c r="D603" s="408" t="s">
        <v>1958</v>
      </c>
      <c r="E603" s="408" t="s">
        <v>2246</v>
      </c>
      <c r="F603" s="408" t="s">
        <v>1322</v>
      </c>
      <c r="G603" s="408" t="s">
        <v>1322</v>
      </c>
      <c r="H603" s="408" t="s">
        <v>1322</v>
      </c>
      <c r="I603" s="408" t="s">
        <v>1322</v>
      </c>
      <c r="J603" s="408" t="s">
        <v>2236</v>
      </c>
      <c r="K603" s="826">
        <v>44621</v>
      </c>
      <c r="L603" s="408">
        <v>0</v>
      </c>
      <c r="M603" s="408">
        <v>0</v>
      </c>
      <c r="N603" s="408">
        <v>3.0979999999999999</v>
      </c>
      <c r="O603" s="408">
        <v>3.0979999999999999</v>
      </c>
      <c r="P603" s="408">
        <v>3.0979999999999999</v>
      </c>
      <c r="Q603" s="408">
        <v>3.0979999999999999</v>
      </c>
      <c r="R603" s="408"/>
      <c r="S603" s="408">
        <v>368.24</v>
      </c>
      <c r="T603" s="408">
        <v>173.25</v>
      </c>
      <c r="U603" s="408"/>
      <c r="V603" s="408">
        <v>1677.53602</v>
      </c>
      <c r="W603" s="408">
        <v>1677.53602</v>
      </c>
      <c r="X603" s="408">
        <v>1576.5412200000001</v>
      </c>
      <c r="Y603" s="408">
        <v>0</v>
      </c>
      <c r="Z603" s="408">
        <v>190.6669775516495</v>
      </c>
      <c r="AA603" s="408">
        <v>0</v>
      </c>
      <c r="AB603" s="408">
        <v>0</v>
      </c>
      <c r="AC603" s="408">
        <v>7.9294467564007798</v>
      </c>
      <c r="AD603" s="408">
        <v>7.6184202492848607</v>
      </c>
      <c r="AE603" s="408">
        <v>729.69395374893838</v>
      </c>
      <c r="AF603" s="408">
        <v>527.71477787329968</v>
      </c>
      <c r="AG603" s="408">
        <v>9.0066094776167933</v>
      </c>
      <c r="AH603" s="408">
        <v>0</v>
      </c>
      <c r="AI603" s="408">
        <v>0</v>
      </c>
      <c r="AJ603" s="408">
        <v>0</v>
      </c>
      <c r="AK603" s="408">
        <v>0</v>
      </c>
      <c r="AL603" s="408">
        <v>29.458975799154118</v>
      </c>
      <c r="AM603" s="408"/>
      <c r="AN603" s="408">
        <v>3.7419401010957061</v>
      </c>
      <c r="AO603" s="408">
        <v>16.832659406916022</v>
      </c>
      <c r="AP603" s="408">
        <v>78.488207543313564</v>
      </c>
      <c r="AQ603" s="408">
        <v>0</v>
      </c>
      <c r="AR603" s="408">
        <v>0</v>
      </c>
      <c r="AS603" s="408">
        <v>0</v>
      </c>
      <c r="AT603" s="408">
        <v>0</v>
      </c>
      <c r="AU603" s="408">
        <v>0</v>
      </c>
      <c r="AV603" s="408">
        <v>0</v>
      </c>
      <c r="AW603" s="408">
        <v>0</v>
      </c>
      <c r="AX603" s="408">
        <v>0</v>
      </c>
      <c r="AY603" s="408">
        <v>0</v>
      </c>
      <c r="AZ603" s="408">
        <v>0</v>
      </c>
      <c r="BA603" s="408"/>
      <c r="BB603" s="408">
        <v>0</v>
      </c>
      <c r="BC603" s="408">
        <v>0</v>
      </c>
      <c r="BD603" s="408">
        <v>0</v>
      </c>
      <c r="BE603" s="408">
        <v>0</v>
      </c>
      <c r="BF603" s="408">
        <v>0</v>
      </c>
      <c r="BG603" s="408">
        <v>27.695475073961465</v>
      </c>
      <c r="BH603" s="408">
        <v>0</v>
      </c>
      <c r="BI603" s="408">
        <v>1.41</v>
      </c>
      <c r="BJ603" s="408">
        <v>15.25</v>
      </c>
      <c r="BK603" s="408">
        <v>776.93</v>
      </c>
      <c r="BL603" s="408">
        <v>2</v>
      </c>
      <c r="BM603" s="408"/>
      <c r="BN603" s="408"/>
      <c r="BO603" s="408"/>
      <c r="BP603" s="408"/>
      <c r="BQ603" s="408"/>
      <c r="BR603" s="408"/>
      <c r="BS603" s="408"/>
      <c r="BT603" s="408"/>
      <c r="BU603" s="408"/>
      <c r="BV603" s="408">
        <v>555.41025294726114</v>
      </c>
      <c r="BW603" s="408"/>
      <c r="BX603" s="408"/>
      <c r="BY603" s="408"/>
      <c r="BZ603" s="408"/>
      <c r="CA603" s="408"/>
      <c r="CB603" s="408"/>
      <c r="CC603" s="408"/>
      <c r="CD603" s="408"/>
      <c r="CE603" s="408"/>
      <c r="CF603" s="408"/>
      <c r="CG603" s="408"/>
      <c r="CH603" s="408"/>
      <c r="CI603" s="408">
        <v>1577.5590000000002</v>
      </c>
      <c r="CJ603" s="408">
        <v>-100.00701999999978</v>
      </c>
      <c r="CK603" s="408"/>
      <c r="CL603" s="408"/>
      <c r="CM603" s="408"/>
      <c r="CN603" s="408"/>
      <c r="CO603" s="408">
        <v>-167.88061999999999</v>
      </c>
      <c r="CP603" s="408">
        <v>66.88582000000001</v>
      </c>
      <c r="CQ603" s="408">
        <v>31</v>
      </c>
      <c r="CR603" s="408">
        <v>80.260483538833682</v>
      </c>
      <c r="CS603" s="408">
        <v>1.6773385310554687</v>
      </c>
      <c r="CT603" s="408">
        <v>7.8211821176509062</v>
      </c>
      <c r="CU603" s="408">
        <v>0</v>
      </c>
      <c r="CV603" s="408">
        <v>0</v>
      </c>
      <c r="CW603" s="408">
        <v>0</v>
      </c>
      <c r="CX603" s="408">
        <v>0</v>
      </c>
      <c r="CY603" s="408">
        <v>0</v>
      </c>
      <c r="CZ603" s="408">
        <v>7.844448591906013</v>
      </c>
      <c r="DA603" s="408">
        <v>0</v>
      </c>
      <c r="DB603" s="408">
        <v>0</v>
      </c>
      <c r="DC603" s="408">
        <v>66.878268204133519</v>
      </c>
      <c r="DD603" s="408">
        <v>0</v>
      </c>
      <c r="DE603" s="408">
        <v>0</v>
      </c>
      <c r="DF603" s="408">
        <v>0</v>
      </c>
      <c r="DG603" s="408">
        <v>3.5098986947112749</v>
      </c>
      <c r="DH603" s="408">
        <v>0</v>
      </c>
      <c r="DI603" s="408">
        <v>-6.4744472095612196</v>
      </c>
      <c r="DJ603" s="408"/>
      <c r="DK603" s="408">
        <v>0</v>
      </c>
      <c r="DL603" s="408">
        <v>0</v>
      </c>
      <c r="DM603" s="408">
        <v>0</v>
      </c>
      <c r="DN603" s="408">
        <v>0</v>
      </c>
      <c r="DO603" s="408">
        <v>-0.89034055510348153</v>
      </c>
      <c r="DP603" s="408">
        <v>-0.10586483595869689</v>
      </c>
      <c r="DQ603" s="408">
        <v>0</v>
      </c>
      <c r="DR603" s="408">
        <v>0</v>
      </c>
      <c r="DS603" s="408"/>
      <c r="DT603" s="408"/>
      <c r="DU603" s="408"/>
      <c r="DV603" s="408">
        <v>729.69395374893838</v>
      </c>
      <c r="DW603" s="408">
        <v>0</v>
      </c>
      <c r="DX603" s="408">
        <v>0</v>
      </c>
      <c r="DY603" s="408">
        <v>-167.88062000000002</v>
      </c>
      <c r="DZ603" s="408">
        <v>66.885820000000081</v>
      </c>
      <c r="EA603" s="408">
        <v>0</v>
      </c>
      <c r="EB603" s="408">
        <v>0</v>
      </c>
      <c r="EC603" s="408">
        <v>-181.26835559317954</v>
      </c>
      <c r="ED603" s="408">
        <v>0</v>
      </c>
      <c r="EE603" s="408">
        <v>0</v>
      </c>
      <c r="EF603" s="408">
        <v>0</v>
      </c>
      <c r="EG603" s="408">
        <v>0</v>
      </c>
      <c r="EH603" s="408">
        <v>0</v>
      </c>
      <c r="EI603" s="408">
        <v>0</v>
      </c>
      <c r="EJ603" s="408">
        <v>0</v>
      </c>
      <c r="EK603" s="408">
        <v>0</v>
      </c>
      <c r="EL603" s="408">
        <v>0</v>
      </c>
      <c r="EM603" s="408">
        <v>0</v>
      </c>
      <c r="EN603" s="408">
        <v>0</v>
      </c>
      <c r="EO603" s="408">
        <v>0</v>
      </c>
      <c r="EP603" s="408">
        <v>48.692945507366311</v>
      </c>
      <c r="EQ603" s="408">
        <v>0</v>
      </c>
      <c r="ER603" s="408">
        <v>0</v>
      </c>
      <c r="ES603" s="408">
        <v>0</v>
      </c>
      <c r="ET603" s="408">
        <v>0</v>
      </c>
      <c r="EU603" s="408">
        <v>0</v>
      </c>
      <c r="EV603" s="408">
        <v>240</v>
      </c>
      <c r="EW603" s="408">
        <v>0</v>
      </c>
      <c r="EX603" s="408">
        <v>0</v>
      </c>
      <c r="EY603" s="408">
        <v>0</v>
      </c>
      <c r="EZ603" s="408"/>
      <c r="FA603" s="408">
        <v>0</v>
      </c>
      <c r="FB603" s="408"/>
      <c r="FC603" s="408"/>
      <c r="FD603" s="408"/>
      <c r="FE603" s="408"/>
      <c r="FF603" s="408">
        <v>0</v>
      </c>
      <c r="FG603" s="408">
        <v>0</v>
      </c>
      <c r="FH603" s="408">
        <v>0</v>
      </c>
      <c r="FI603" s="408">
        <v>0</v>
      </c>
    </row>
    <row r="604" spans="1:165">
      <c r="A604" s="408">
        <v>602</v>
      </c>
      <c r="B604" s="408" t="s">
        <v>1036</v>
      </c>
      <c r="C604" s="408" t="s">
        <v>2243</v>
      </c>
      <c r="D604" s="408" t="s">
        <v>597</v>
      </c>
      <c r="E604" s="408" t="s">
        <v>2246</v>
      </c>
      <c r="F604" s="408" t="s">
        <v>1322</v>
      </c>
      <c r="G604" s="408" t="s">
        <v>1322</v>
      </c>
      <c r="H604" s="408" t="s">
        <v>1322</v>
      </c>
      <c r="I604" s="408" t="s">
        <v>973</v>
      </c>
      <c r="J604" s="408" t="s">
        <v>2236</v>
      </c>
      <c r="K604" s="826">
        <v>44621</v>
      </c>
      <c r="L604" s="408">
        <v>0</v>
      </c>
      <c r="M604" s="408">
        <v>0</v>
      </c>
      <c r="N604" s="408">
        <v>5.157</v>
      </c>
      <c r="O604" s="408">
        <v>5.157</v>
      </c>
      <c r="P604" s="408">
        <v>5.157</v>
      </c>
      <c r="Q604" s="408">
        <v>5.157</v>
      </c>
      <c r="R604" s="408"/>
      <c r="S604" s="408">
        <v>1358.36</v>
      </c>
      <c r="T604" s="408">
        <v>173.25</v>
      </c>
      <c r="U604" s="408"/>
      <c r="V604" s="408">
        <v>7898.5127699999994</v>
      </c>
      <c r="W604" s="408">
        <v>7898.5127699999994</v>
      </c>
      <c r="X604" s="408">
        <v>6925.4384399999999</v>
      </c>
      <c r="Y604" s="408">
        <v>0</v>
      </c>
      <c r="Z604" s="408">
        <v>276.12800349046302</v>
      </c>
      <c r="AA604" s="408">
        <v>0</v>
      </c>
      <c r="AB604" s="408">
        <v>0</v>
      </c>
      <c r="AC604" s="408">
        <v>97.684349546365851</v>
      </c>
      <c r="AD604" s="408">
        <v>93.853044885470155</v>
      </c>
      <c r="AE604" s="408">
        <v>5200.8742955394564</v>
      </c>
      <c r="AF604" s="408">
        <v>878.44580680845911</v>
      </c>
      <c r="AG604" s="408">
        <v>14.992603317001228</v>
      </c>
      <c r="AH604" s="408">
        <v>0</v>
      </c>
      <c r="AI604" s="408">
        <v>0</v>
      </c>
      <c r="AJ604" s="408">
        <v>0</v>
      </c>
      <c r="AK604" s="408">
        <v>0</v>
      </c>
      <c r="AL604" s="408">
        <v>49.038069140167138</v>
      </c>
      <c r="AM604" s="408"/>
      <c r="AN604" s="408">
        <v>4.1297969075673118</v>
      </c>
      <c r="AO604" s="408">
        <v>207.36721005131224</v>
      </c>
      <c r="AP604" s="408">
        <v>966.91739377767396</v>
      </c>
      <c r="AQ604" s="408">
        <v>0</v>
      </c>
      <c r="AR604" s="408">
        <v>0</v>
      </c>
      <c r="AS604" s="408">
        <v>0</v>
      </c>
      <c r="AT604" s="408">
        <v>0</v>
      </c>
      <c r="AU604" s="408">
        <v>0</v>
      </c>
      <c r="AV604" s="408">
        <v>0</v>
      </c>
      <c r="AW604" s="408">
        <v>0</v>
      </c>
      <c r="AX604" s="408">
        <v>0</v>
      </c>
      <c r="AY604" s="408">
        <v>0</v>
      </c>
      <c r="AZ604" s="408">
        <v>0</v>
      </c>
      <c r="BA604" s="408"/>
      <c r="BB604" s="408">
        <v>0</v>
      </c>
      <c r="BC604" s="408">
        <v>0</v>
      </c>
      <c r="BD604" s="408">
        <v>0</v>
      </c>
      <c r="BE604" s="408">
        <v>0</v>
      </c>
      <c r="BF604" s="408">
        <v>0</v>
      </c>
      <c r="BG604" s="408">
        <v>38.567431998557403</v>
      </c>
      <c r="BH604" s="408">
        <v>0</v>
      </c>
      <c r="BI604" s="408">
        <v>0</v>
      </c>
      <c r="BJ604" s="408">
        <v>0</v>
      </c>
      <c r="BK604" s="408">
        <v>0</v>
      </c>
      <c r="BL604" s="408">
        <v>0</v>
      </c>
      <c r="BM604" s="408"/>
      <c r="BN604" s="408"/>
      <c r="BO604" s="408"/>
      <c r="BP604" s="408"/>
      <c r="BQ604" s="408"/>
      <c r="BR604" s="408"/>
      <c r="BS604" s="408"/>
      <c r="BT604" s="408"/>
      <c r="BU604" s="408"/>
      <c r="BV604" s="408">
        <v>917.01323880701648</v>
      </c>
      <c r="BW604" s="408"/>
      <c r="BX604" s="408"/>
      <c r="BY604" s="408"/>
      <c r="BZ604" s="408"/>
      <c r="CA604" s="408"/>
      <c r="CB604" s="408"/>
      <c r="CC604" s="408"/>
      <c r="CD604" s="408"/>
      <c r="CE604" s="408"/>
      <c r="CF604" s="408"/>
      <c r="CG604" s="408"/>
      <c r="CH604" s="408"/>
      <c r="CI604" s="408">
        <v>6929.4671999999991</v>
      </c>
      <c r="CJ604" s="408">
        <v>-969.07557000000088</v>
      </c>
      <c r="CK604" s="408"/>
      <c r="CL604" s="408"/>
      <c r="CM604" s="408"/>
      <c r="CN604" s="408"/>
      <c r="CO604" s="408">
        <v>-1084.4139599999999</v>
      </c>
      <c r="CP604" s="408">
        <v>111.33963000000001</v>
      </c>
      <c r="CQ604" s="408">
        <v>31</v>
      </c>
      <c r="CR604" s="408">
        <v>318.89191917728158</v>
      </c>
      <c r="CS604" s="408">
        <v>20.6636992460991</v>
      </c>
      <c r="CT604" s="408">
        <v>96.351251559494472</v>
      </c>
      <c r="CU604" s="408">
        <v>0</v>
      </c>
      <c r="CV604" s="408">
        <v>0</v>
      </c>
      <c r="CW604" s="408">
        <v>0</v>
      </c>
      <c r="CX604" s="408">
        <v>0</v>
      </c>
      <c r="CY604" s="408">
        <v>0</v>
      </c>
      <c r="CZ604" s="408">
        <v>96.637539241423099</v>
      </c>
      <c r="DA604" s="408">
        <v>0</v>
      </c>
      <c r="DB604" s="408">
        <v>0</v>
      </c>
      <c r="DC604" s="408">
        <v>111.32705911191636</v>
      </c>
      <c r="DD604" s="408">
        <v>0</v>
      </c>
      <c r="DE604" s="408">
        <v>0</v>
      </c>
      <c r="DF604" s="408">
        <v>0</v>
      </c>
      <c r="DG604" s="408">
        <v>4.8877218703992042</v>
      </c>
      <c r="DH604" s="408">
        <v>0</v>
      </c>
      <c r="DI604" s="408">
        <v>-9.3764332168962596</v>
      </c>
      <c r="DJ604" s="408"/>
      <c r="DK604" s="408">
        <v>0</v>
      </c>
      <c r="DL604" s="408">
        <v>0</v>
      </c>
      <c r="DM604" s="408">
        <v>0</v>
      </c>
      <c r="DN604" s="408">
        <v>0</v>
      </c>
      <c r="DO604" s="408">
        <v>-1.4820807755547634</v>
      </c>
      <c r="DP604" s="408">
        <v>-0.11683785959971527</v>
      </c>
      <c r="DQ604" s="408">
        <v>0</v>
      </c>
      <c r="DR604" s="408">
        <v>0</v>
      </c>
      <c r="DS604" s="408"/>
      <c r="DT604" s="408"/>
      <c r="DU604" s="408"/>
      <c r="DV604" s="408">
        <v>5200.8742955394564</v>
      </c>
      <c r="DW604" s="408">
        <v>0</v>
      </c>
      <c r="DX604" s="408">
        <v>0</v>
      </c>
      <c r="DY604" s="408">
        <v>-1084.4139599999999</v>
      </c>
      <c r="DZ604" s="408">
        <v>111.33963000000006</v>
      </c>
      <c r="EA604" s="408">
        <v>0</v>
      </c>
      <c r="EB604" s="408">
        <v>0</v>
      </c>
      <c r="EC604" s="408">
        <v>-1291.985395186156</v>
      </c>
      <c r="ED604" s="408">
        <v>0</v>
      </c>
      <c r="EE604" s="408">
        <v>0</v>
      </c>
      <c r="EF604" s="408">
        <v>0</v>
      </c>
      <c r="EG604" s="408">
        <v>0</v>
      </c>
      <c r="EH604" s="408">
        <v>0</v>
      </c>
      <c r="EI604" s="408">
        <v>0</v>
      </c>
      <c r="EJ604" s="408">
        <v>0</v>
      </c>
      <c r="EK604" s="408">
        <v>0</v>
      </c>
      <c r="EL604" s="408">
        <v>0</v>
      </c>
      <c r="EM604" s="408">
        <v>0</v>
      </c>
      <c r="EN604" s="408">
        <v>0</v>
      </c>
      <c r="EO604" s="408">
        <v>0</v>
      </c>
      <c r="EP604" s="408">
        <v>70.518167328565241</v>
      </c>
      <c r="EQ604" s="408">
        <v>0</v>
      </c>
      <c r="ER604" s="408">
        <v>0</v>
      </c>
      <c r="ES604" s="408">
        <v>0</v>
      </c>
      <c r="ET604" s="408">
        <v>0</v>
      </c>
      <c r="EU604" s="408">
        <v>0</v>
      </c>
      <c r="EV604" s="408">
        <v>240</v>
      </c>
      <c r="EW604" s="408">
        <v>0</v>
      </c>
      <c r="EX604" s="408">
        <v>0</v>
      </c>
      <c r="EY604" s="408">
        <v>0</v>
      </c>
      <c r="EZ604" s="408"/>
      <c r="FA604" s="408">
        <v>0</v>
      </c>
      <c r="FB604" s="408"/>
      <c r="FC604" s="408"/>
      <c r="FD604" s="408"/>
      <c r="FE604" s="408"/>
      <c r="FF604" s="408">
        <v>0</v>
      </c>
      <c r="FG604" s="408">
        <v>0</v>
      </c>
      <c r="FH604" s="408">
        <v>0</v>
      </c>
      <c r="FI604" s="408">
        <v>0</v>
      </c>
    </row>
    <row r="605" spans="1:165">
      <c r="A605" s="408">
        <v>603</v>
      </c>
      <c r="B605" s="408" t="s">
        <v>2238</v>
      </c>
      <c r="C605" s="408" t="s">
        <v>2243</v>
      </c>
      <c r="D605" s="408" t="s">
        <v>597</v>
      </c>
      <c r="E605" s="408" t="s">
        <v>2246</v>
      </c>
      <c r="F605" s="408" t="s">
        <v>1322</v>
      </c>
      <c r="G605" s="408" t="s">
        <v>1322</v>
      </c>
      <c r="H605" s="408" t="s">
        <v>1322</v>
      </c>
      <c r="I605" s="408" t="s">
        <v>973</v>
      </c>
      <c r="J605" s="408" t="s">
        <v>2236</v>
      </c>
      <c r="K605" s="826">
        <v>44621</v>
      </c>
      <c r="L605" s="408">
        <v>0</v>
      </c>
      <c r="M605" s="408">
        <v>0</v>
      </c>
      <c r="N605" s="408">
        <v>1.0089999999999999</v>
      </c>
      <c r="O605" s="408">
        <v>1.0089999999999999</v>
      </c>
      <c r="P605" s="408">
        <v>1.0089999999999999</v>
      </c>
      <c r="Q605" s="408">
        <v>1.0089999999999999</v>
      </c>
      <c r="R605" s="408"/>
      <c r="S605" s="408">
        <v>1358.36</v>
      </c>
      <c r="T605" s="408">
        <v>173.25</v>
      </c>
      <c r="U605" s="408"/>
      <c r="V605" s="408">
        <v>1545.3944899999997</v>
      </c>
      <c r="W605" s="408">
        <v>1545.3944899999997</v>
      </c>
      <c r="X605" s="408">
        <v>1355.0062799999998</v>
      </c>
      <c r="Y605" s="408">
        <v>0</v>
      </c>
      <c r="Z605" s="408">
        <v>54.026208167903263</v>
      </c>
      <c r="AA605" s="408">
        <v>0</v>
      </c>
      <c r="AB605" s="408">
        <v>0</v>
      </c>
      <c r="AC605" s="408">
        <v>19.112567130557132</v>
      </c>
      <c r="AD605" s="408">
        <v>18.362947894015779</v>
      </c>
      <c r="AE605" s="408">
        <v>1017.5842862515631</v>
      </c>
      <c r="AF605" s="408">
        <v>171.8735348205808</v>
      </c>
      <c r="AG605" s="408">
        <v>2.9333986323161212</v>
      </c>
      <c r="AH605" s="408">
        <v>0</v>
      </c>
      <c r="AI605" s="408">
        <v>0</v>
      </c>
      <c r="AJ605" s="408">
        <v>0</v>
      </c>
      <c r="AK605" s="408">
        <v>0</v>
      </c>
      <c r="AL605" s="408">
        <v>9.5946115498213373</v>
      </c>
      <c r="AM605" s="408"/>
      <c r="AN605" s="408">
        <v>0.80802115178115508</v>
      </c>
      <c r="AO605" s="408">
        <v>40.572719593130508</v>
      </c>
      <c r="AP605" s="408">
        <v>189.18356608913572</v>
      </c>
      <c r="AQ605" s="408">
        <v>0</v>
      </c>
      <c r="AR605" s="408">
        <v>0</v>
      </c>
      <c r="AS605" s="408">
        <v>0</v>
      </c>
      <c r="AT605" s="408">
        <v>0</v>
      </c>
      <c r="AU605" s="408">
        <v>0</v>
      </c>
      <c r="AV605" s="408">
        <v>0</v>
      </c>
      <c r="AW605" s="408">
        <v>0</v>
      </c>
      <c r="AX605" s="408">
        <v>0</v>
      </c>
      <c r="AY605" s="408">
        <v>0</v>
      </c>
      <c r="AZ605" s="408">
        <v>0</v>
      </c>
      <c r="BA605" s="408"/>
      <c r="BB605" s="408">
        <v>0</v>
      </c>
      <c r="BC605" s="408">
        <v>0</v>
      </c>
      <c r="BD605" s="408">
        <v>0</v>
      </c>
      <c r="BE605" s="408">
        <v>0</v>
      </c>
      <c r="BF605" s="408">
        <v>0</v>
      </c>
      <c r="BG605" s="408">
        <v>7.5459644922521649</v>
      </c>
      <c r="BH605" s="408">
        <v>0</v>
      </c>
      <c r="BI605" s="408">
        <v>0</v>
      </c>
      <c r="BJ605" s="408">
        <v>0</v>
      </c>
      <c r="BK605" s="408">
        <v>0</v>
      </c>
      <c r="BL605" s="408">
        <v>0</v>
      </c>
      <c r="BM605" s="408"/>
      <c r="BN605" s="408"/>
      <c r="BO605" s="408"/>
      <c r="BP605" s="408"/>
      <c r="BQ605" s="408"/>
      <c r="BR605" s="408"/>
      <c r="BS605" s="408"/>
      <c r="BT605" s="408"/>
      <c r="BU605" s="408"/>
      <c r="BV605" s="408">
        <v>179.41949931283295</v>
      </c>
      <c r="BW605" s="408"/>
      <c r="BX605" s="408"/>
      <c r="BY605" s="408"/>
      <c r="BZ605" s="408"/>
      <c r="CA605" s="408"/>
      <c r="CB605" s="408"/>
      <c r="CC605" s="408"/>
      <c r="CD605" s="408"/>
      <c r="CE605" s="408"/>
      <c r="CF605" s="408"/>
      <c r="CG605" s="408"/>
      <c r="CH605" s="408"/>
      <c r="CI605" s="408">
        <v>1356.3491999999999</v>
      </c>
      <c r="CJ605" s="408">
        <v>-189.07528999999977</v>
      </c>
      <c r="CK605" s="408"/>
      <c r="CL605" s="408"/>
      <c r="CM605" s="408"/>
      <c r="CN605" s="408"/>
      <c r="CO605" s="408">
        <v>-212.17251999999996</v>
      </c>
      <c r="CP605" s="408">
        <v>21.784310000000001</v>
      </c>
      <c r="CQ605" s="408">
        <v>31</v>
      </c>
      <c r="CR605" s="408">
        <v>62.393241506666186</v>
      </c>
      <c r="CS605" s="408">
        <v>4.0429847855951166</v>
      </c>
      <c r="CT605" s="408">
        <v>18.851737991764566</v>
      </c>
      <c r="CU605" s="408">
        <v>0</v>
      </c>
      <c r="CV605" s="408">
        <v>0</v>
      </c>
      <c r="CW605" s="408">
        <v>0</v>
      </c>
      <c r="CX605" s="408">
        <v>0</v>
      </c>
      <c r="CY605" s="408">
        <v>0</v>
      </c>
      <c r="CZ605" s="408">
        <v>18.907752005932888</v>
      </c>
      <c r="DA605" s="408">
        <v>0</v>
      </c>
      <c r="DB605" s="408">
        <v>0</v>
      </c>
      <c r="DC605" s="408">
        <v>21.781850425426342</v>
      </c>
      <c r="DD605" s="408">
        <v>0</v>
      </c>
      <c r="DE605" s="408">
        <v>0</v>
      </c>
      <c r="DF605" s="408">
        <v>0</v>
      </c>
      <c r="DG605" s="408">
        <v>0.95631401342501388</v>
      </c>
      <c r="DH605" s="408">
        <v>0</v>
      </c>
      <c r="DI605" s="408">
        <v>-1.8345590684212354</v>
      </c>
      <c r="DJ605" s="408"/>
      <c r="DK605" s="408">
        <v>0</v>
      </c>
      <c r="DL605" s="408">
        <v>0</v>
      </c>
      <c r="DM605" s="408">
        <v>0</v>
      </c>
      <c r="DN605" s="408">
        <v>0</v>
      </c>
      <c r="DO605" s="408">
        <v>-0.2899785733051683</v>
      </c>
      <c r="DP605" s="408">
        <v>-2.2860073751427623E-2</v>
      </c>
      <c r="DQ605" s="408">
        <v>0</v>
      </c>
      <c r="DR605" s="408">
        <v>0</v>
      </c>
      <c r="DS605" s="408"/>
      <c r="DT605" s="408"/>
      <c r="DU605" s="408"/>
      <c r="DV605" s="408">
        <v>1017.5842862515631</v>
      </c>
      <c r="DW605" s="408">
        <v>0</v>
      </c>
      <c r="DX605" s="408">
        <v>0</v>
      </c>
      <c r="DY605" s="408">
        <v>-212.17251999999985</v>
      </c>
      <c r="DZ605" s="408">
        <v>21.784310000000005</v>
      </c>
      <c r="EA605" s="408">
        <v>0</v>
      </c>
      <c r="EB605" s="408">
        <v>0</v>
      </c>
      <c r="EC605" s="408">
        <v>-252.78519754563331</v>
      </c>
      <c r="ED605" s="408">
        <v>0</v>
      </c>
      <c r="EE605" s="408">
        <v>0</v>
      </c>
      <c r="EF605" s="408">
        <v>0</v>
      </c>
      <c r="EG605" s="408">
        <v>0</v>
      </c>
      <c r="EH605" s="408">
        <v>0</v>
      </c>
      <c r="EI605" s="408">
        <v>0</v>
      </c>
      <c r="EJ605" s="408">
        <v>0</v>
      </c>
      <c r="EK605" s="408">
        <v>0</v>
      </c>
      <c r="EL605" s="408">
        <v>0</v>
      </c>
      <c r="EM605" s="408">
        <v>0</v>
      </c>
      <c r="EN605" s="408">
        <v>0</v>
      </c>
      <c r="EO605" s="408">
        <v>0</v>
      </c>
      <c r="EP605" s="408">
        <v>13.797330004755153</v>
      </c>
      <c r="EQ605" s="408">
        <v>0</v>
      </c>
      <c r="ER605" s="408">
        <v>0</v>
      </c>
      <c r="ES605" s="408">
        <v>0</v>
      </c>
      <c r="ET605" s="408">
        <v>0</v>
      </c>
      <c r="EU605" s="408">
        <v>0</v>
      </c>
      <c r="EV605" s="408">
        <v>240</v>
      </c>
      <c r="EW605" s="408">
        <v>0</v>
      </c>
      <c r="EX605" s="408">
        <v>0</v>
      </c>
      <c r="EY605" s="408">
        <v>0</v>
      </c>
      <c r="EZ605" s="408"/>
      <c r="FA605" s="408">
        <v>0</v>
      </c>
      <c r="FB605" s="408"/>
      <c r="FC605" s="408"/>
      <c r="FD605" s="408"/>
      <c r="FE605" s="408"/>
      <c r="FF605" s="408">
        <v>0</v>
      </c>
      <c r="FG605" s="408">
        <v>0</v>
      </c>
      <c r="FH605" s="408">
        <v>0</v>
      </c>
      <c r="FI605" s="408">
        <v>0</v>
      </c>
    </row>
    <row r="606" spans="1:165">
      <c r="A606" s="408">
        <v>604</v>
      </c>
      <c r="B606" s="408" t="s">
        <v>1036</v>
      </c>
      <c r="C606" s="408" t="s">
        <v>2243</v>
      </c>
      <c r="D606" s="408" t="s">
        <v>597</v>
      </c>
      <c r="E606" s="408" t="s">
        <v>2246</v>
      </c>
      <c r="F606" s="408" t="s">
        <v>1322</v>
      </c>
      <c r="G606" s="408" t="s">
        <v>1322</v>
      </c>
      <c r="H606" s="408" t="s">
        <v>1322</v>
      </c>
      <c r="I606" s="408" t="s">
        <v>2244</v>
      </c>
      <c r="J606" s="408" t="s">
        <v>2236</v>
      </c>
      <c r="K606" s="826">
        <v>44621</v>
      </c>
      <c r="L606" s="408">
        <v>0</v>
      </c>
      <c r="M606" s="408">
        <v>0</v>
      </c>
      <c r="N606" s="408">
        <v>32.353000000000002</v>
      </c>
      <c r="O606" s="408">
        <v>32.353000000000002</v>
      </c>
      <c r="P606" s="408">
        <v>32.353000000000002</v>
      </c>
      <c r="Q606" s="408">
        <v>32.353000000000002</v>
      </c>
      <c r="R606" s="408"/>
      <c r="S606" s="408">
        <v>85.01</v>
      </c>
      <c r="T606" s="408">
        <v>173.25</v>
      </c>
      <c r="U606" s="408"/>
      <c r="V606" s="408">
        <v>8355.4857800000009</v>
      </c>
      <c r="W606" s="408">
        <v>8355.4857800000009</v>
      </c>
      <c r="X606" s="408">
        <v>9015.8105100000012</v>
      </c>
      <c r="Y606" s="408">
        <v>0</v>
      </c>
      <c r="Z606" s="408">
        <v>1732.3190414828291</v>
      </c>
      <c r="AA606" s="408">
        <v>0</v>
      </c>
      <c r="AB606" s="408">
        <v>0</v>
      </c>
      <c r="AC606" s="408">
        <v>0</v>
      </c>
      <c r="AD606" s="408">
        <v>0</v>
      </c>
      <c r="AE606" s="408">
        <v>0</v>
      </c>
      <c r="AF606" s="408">
        <v>5511.0252448466317</v>
      </c>
      <c r="AG606" s="408">
        <v>94.057726413601074</v>
      </c>
      <c r="AH606" s="408">
        <v>0</v>
      </c>
      <c r="AI606" s="408">
        <v>0</v>
      </c>
      <c r="AJ606" s="408">
        <v>0</v>
      </c>
      <c r="AK606" s="408">
        <v>0</v>
      </c>
      <c r="AL606" s="408">
        <v>307.645656562309</v>
      </c>
      <c r="AM606" s="408"/>
      <c r="AN606" s="408">
        <v>25.908729755773752</v>
      </c>
      <c r="AO606" s="408">
        <v>0</v>
      </c>
      <c r="AP606" s="408">
        <v>0</v>
      </c>
      <c r="AQ606" s="408">
        <v>0</v>
      </c>
      <c r="AR606" s="408">
        <v>0</v>
      </c>
      <c r="AS606" s="408">
        <v>0</v>
      </c>
      <c r="AT606" s="408">
        <v>0</v>
      </c>
      <c r="AU606" s="408">
        <v>0</v>
      </c>
      <c r="AV606" s="408">
        <v>0</v>
      </c>
      <c r="AW606" s="408">
        <v>0</v>
      </c>
      <c r="AX606" s="408">
        <v>0</v>
      </c>
      <c r="AY606" s="408">
        <v>0</v>
      </c>
      <c r="AZ606" s="408">
        <v>0</v>
      </c>
      <c r="BA606" s="408"/>
      <c r="BB606" s="408">
        <v>0</v>
      </c>
      <c r="BC606" s="408">
        <v>0</v>
      </c>
      <c r="BD606" s="408">
        <v>0</v>
      </c>
      <c r="BE606" s="408">
        <v>0</v>
      </c>
      <c r="BF606" s="408">
        <v>0</v>
      </c>
      <c r="BG606" s="408">
        <v>241.95697642996464</v>
      </c>
      <c r="BH606" s="408">
        <v>0</v>
      </c>
      <c r="BI606" s="408">
        <v>0</v>
      </c>
      <c r="BJ606" s="408">
        <v>0</v>
      </c>
      <c r="BK606" s="408">
        <v>0</v>
      </c>
      <c r="BL606" s="408">
        <v>0</v>
      </c>
      <c r="BM606" s="408"/>
      <c r="BN606" s="408"/>
      <c r="BO606" s="408"/>
      <c r="BP606" s="408"/>
      <c r="BQ606" s="408"/>
      <c r="BR606" s="408"/>
      <c r="BS606" s="408"/>
      <c r="BT606" s="408"/>
      <c r="BU606" s="408"/>
      <c r="BV606" s="408">
        <v>5752.9822212765966</v>
      </c>
      <c r="BW606" s="408"/>
      <c r="BX606" s="408"/>
      <c r="BY606" s="408"/>
      <c r="BZ606" s="408"/>
      <c r="CA606" s="408"/>
      <c r="CB606" s="408"/>
      <c r="CC606" s="408"/>
      <c r="CD606" s="408"/>
      <c r="CE606" s="408"/>
      <c r="CF606" s="408"/>
      <c r="CG606" s="408"/>
      <c r="CH606" s="408"/>
      <c r="CI606" s="408">
        <v>9014.9745000000003</v>
      </c>
      <c r="CJ606" s="408">
        <v>659.45871999999872</v>
      </c>
      <c r="CK606" s="408"/>
      <c r="CL606" s="408"/>
      <c r="CM606" s="408"/>
      <c r="CN606" s="408"/>
      <c r="CO606" s="408">
        <v>-38.176540000000223</v>
      </c>
      <c r="CP606" s="408">
        <v>698.50127000000009</v>
      </c>
      <c r="CQ606" s="408">
        <v>31</v>
      </c>
      <c r="CR606" s="408">
        <v>660.23099682983593</v>
      </c>
      <c r="CS606" s="408">
        <v>0</v>
      </c>
      <c r="CT606" s="408">
        <v>0</v>
      </c>
      <c r="CU606" s="408">
        <v>0</v>
      </c>
      <c r="CV606" s="408">
        <v>0</v>
      </c>
      <c r="CW606" s="408">
        <v>0</v>
      </c>
      <c r="CX606" s="408">
        <v>0</v>
      </c>
      <c r="CY606" s="408">
        <v>0</v>
      </c>
      <c r="CZ606" s="408">
        <v>0</v>
      </c>
      <c r="DA606" s="408">
        <v>0</v>
      </c>
      <c r="DB606" s="408">
        <v>0</v>
      </c>
      <c r="DC606" s="408">
        <v>698.42240516731272</v>
      </c>
      <c r="DD606" s="408">
        <v>0</v>
      </c>
      <c r="DE606" s="408">
        <v>0</v>
      </c>
      <c r="DF606" s="408">
        <v>0</v>
      </c>
      <c r="DG606" s="408">
        <v>30.663654386857786</v>
      </c>
      <c r="DH606" s="408">
        <v>0</v>
      </c>
      <c r="DI606" s="408">
        <v>-58.824072884670159</v>
      </c>
      <c r="DJ606" s="408"/>
      <c r="DK606" s="408">
        <v>0</v>
      </c>
      <c r="DL606" s="408">
        <v>0</v>
      </c>
      <c r="DM606" s="408">
        <v>0</v>
      </c>
      <c r="DN606" s="408">
        <v>0</v>
      </c>
      <c r="DO606" s="408">
        <v>-9.2979948286839544</v>
      </c>
      <c r="DP606" s="408">
        <v>-0.73299501098111008</v>
      </c>
      <c r="DQ606" s="408">
        <v>0</v>
      </c>
      <c r="DR606" s="408">
        <v>0</v>
      </c>
      <c r="DS606" s="408"/>
      <c r="DT606" s="408"/>
      <c r="DU606" s="408"/>
      <c r="DV606" s="408">
        <v>0</v>
      </c>
      <c r="DW606" s="408">
        <v>0</v>
      </c>
      <c r="DX606" s="408">
        <v>0</v>
      </c>
      <c r="DY606" s="408">
        <v>-38.176539999999932</v>
      </c>
      <c r="DZ606" s="408">
        <v>698.50127000000066</v>
      </c>
      <c r="EA606" s="408">
        <v>0</v>
      </c>
      <c r="EB606" s="408">
        <v>0</v>
      </c>
      <c r="EC606" s="408">
        <v>0</v>
      </c>
      <c r="ED606" s="408">
        <v>0</v>
      </c>
      <c r="EE606" s="408">
        <v>0</v>
      </c>
      <c r="EF606" s="408">
        <v>0</v>
      </c>
      <c r="EG606" s="408">
        <v>0</v>
      </c>
      <c r="EH606" s="408">
        <v>0</v>
      </c>
      <c r="EI606" s="408">
        <v>0</v>
      </c>
      <c r="EJ606" s="408">
        <v>0</v>
      </c>
      <c r="EK606" s="408">
        <v>0</v>
      </c>
      <c r="EL606" s="408">
        <v>0</v>
      </c>
      <c r="EM606" s="408">
        <v>0</v>
      </c>
      <c r="EN606" s="408">
        <v>0</v>
      </c>
      <c r="EO606" s="408">
        <v>0</v>
      </c>
      <c r="EP606" s="408">
        <v>442.40338715940885</v>
      </c>
      <c r="EQ606" s="408">
        <v>0</v>
      </c>
      <c r="ER606" s="408">
        <v>0</v>
      </c>
      <c r="ES606" s="408">
        <v>0</v>
      </c>
      <c r="ET606" s="408">
        <v>0</v>
      </c>
      <c r="EU606" s="408">
        <v>0</v>
      </c>
      <c r="EV606" s="408">
        <v>240</v>
      </c>
      <c r="EW606" s="408">
        <v>0</v>
      </c>
      <c r="EX606" s="408">
        <v>0</v>
      </c>
      <c r="EY606" s="408">
        <v>0</v>
      </c>
      <c r="EZ606" s="408"/>
      <c r="FA606" s="408">
        <v>0</v>
      </c>
      <c r="FB606" s="408"/>
      <c r="FC606" s="408"/>
      <c r="FD606" s="408"/>
      <c r="FE606" s="408"/>
      <c r="FF606" s="408">
        <v>0</v>
      </c>
      <c r="FG606" s="408">
        <v>0</v>
      </c>
      <c r="FH606" s="408">
        <v>0</v>
      </c>
      <c r="FI606" s="408">
        <v>0</v>
      </c>
    </row>
    <row r="607" spans="1:165">
      <c r="A607" s="408">
        <v>605</v>
      </c>
      <c r="B607" s="408" t="s">
        <v>2238</v>
      </c>
      <c r="C607" s="408" t="s">
        <v>2243</v>
      </c>
      <c r="D607" s="408" t="s">
        <v>597</v>
      </c>
      <c r="E607" s="408" t="s">
        <v>2246</v>
      </c>
      <c r="F607" s="408" t="s">
        <v>1322</v>
      </c>
      <c r="G607" s="408" t="s">
        <v>1322</v>
      </c>
      <c r="H607" s="408" t="s">
        <v>1322</v>
      </c>
      <c r="I607" s="408" t="s">
        <v>2244</v>
      </c>
      <c r="J607" s="408" t="s">
        <v>2236</v>
      </c>
      <c r="K607" s="826">
        <v>44621</v>
      </c>
      <c r="L607" s="408">
        <v>0</v>
      </c>
      <c r="M607" s="408">
        <v>0</v>
      </c>
      <c r="N607" s="408">
        <v>5.0049999999999999</v>
      </c>
      <c r="O607" s="408">
        <v>5.0049999999999999</v>
      </c>
      <c r="P607" s="408">
        <v>5.0049999999999999</v>
      </c>
      <c r="Q607" s="408">
        <v>5.0049999999999999</v>
      </c>
      <c r="R607" s="408"/>
      <c r="S607" s="408">
        <v>85.01</v>
      </c>
      <c r="T607" s="408">
        <v>173.25</v>
      </c>
      <c r="U607" s="408"/>
      <c r="V607" s="408">
        <v>1292.5913</v>
      </c>
      <c r="W607" s="408">
        <v>1292.5913</v>
      </c>
      <c r="X607" s="408">
        <v>1394.74335</v>
      </c>
      <c r="Y607" s="408">
        <v>0</v>
      </c>
      <c r="Z607" s="408">
        <v>267.98926846417828</v>
      </c>
      <c r="AA607" s="408">
        <v>0</v>
      </c>
      <c r="AB607" s="408">
        <v>0</v>
      </c>
      <c r="AC607" s="408">
        <v>0</v>
      </c>
      <c r="AD607" s="408">
        <v>0</v>
      </c>
      <c r="AE607" s="408">
        <v>0</v>
      </c>
      <c r="AF607" s="408">
        <v>852.55405527949154</v>
      </c>
      <c r="AG607" s="408">
        <v>14.550703820358956</v>
      </c>
      <c r="AH607" s="408">
        <v>0</v>
      </c>
      <c r="AI607" s="408">
        <v>0</v>
      </c>
      <c r="AJ607" s="408">
        <v>0</v>
      </c>
      <c r="AK607" s="408">
        <v>0</v>
      </c>
      <c r="AL607" s="408">
        <v>47.592696538013676</v>
      </c>
      <c r="AM607" s="408"/>
      <c r="AN607" s="408">
        <v>4.0080732058123703</v>
      </c>
      <c r="AO607" s="408">
        <v>0</v>
      </c>
      <c r="AP607" s="408">
        <v>0</v>
      </c>
      <c r="AQ607" s="408">
        <v>0</v>
      </c>
      <c r="AR607" s="408">
        <v>0</v>
      </c>
      <c r="AS607" s="408">
        <v>0</v>
      </c>
      <c r="AT607" s="408">
        <v>0</v>
      </c>
      <c r="AU607" s="408">
        <v>0</v>
      </c>
      <c r="AV607" s="408">
        <v>0</v>
      </c>
      <c r="AW607" s="408">
        <v>0</v>
      </c>
      <c r="AX607" s="408">
        <v>0</v>
      </c>
      <c r="AY607" s="408">
        <v>0</v>
      </c>
      <c r="AZ607" s="408">
        <v>0</v>
      </c>
      <c r="BA607" s="408"/>
      <c r="BB607" s="408">
        <v>0</v>
      </c>
      <c r="BC607" s="408">
        <v>0</v>
      </c>
      <c r="BD607" s="408">
        <v>0</v>
      </c>
      <c r="BE607" s="408">
        <v>0</v>
      </c>
      <c r="BF607" s="408">
        <v>0</v>
      </c>
      <c r="BG607" s="408">
        <v>37.43067619794062</v>
      </c>
      <c r="BH607" s="408">
        <v>0</v>
      </c>
      <c r="BI607" s="408">
        <v>0</v>
      </c>
      <c r="BJ607" s="408">
        <v>0</v>
      </c>
      <c r="BK607" s="408">
        <v>0</v>
      </c>
      <c r="BL607" s="408">
        <v>0</v>
      </c>
      <c r="BM607" s="408"/>
      <c r="BN607" s="408"/>
      <c r="BO607" s="408"/>
      <c r="BP607" s="408"/>
      <c r="BQ607" s="408"/>
      <c r="BR607" s="408"/>
      <c r="BS607" s="408"/>
      <c r="BT607" s="408"/>
      <c r="BU607" s="408"/>
      <c r="BV607" s="408">
        <v>889.98473147743221</v>
      </c>
      <c r="BW607" s="408"/>
      <c r="BX607" s="408"/>
      <c r="BY607" s="408"/>
      <c r="BZ607" s="408"/>
      <c r="CA607" s="408"/>
      <c r="CB607" s="408"/>
      <c r="CC607" s="408"/>
      <c r="CD607" s="408"/>
      <c r="CE607" s="408"/>
      <c r="CF607" s="408"/>
      <c r="CG607" s="408"/>
      <c r="CH607" s="408"/>
      <c r="CI607" s="408">
        <v>1396.1367</v>
      </c>
      <c r="CJ607" s="408">
        <v>103.5154</v>
      </c>
      <c r="CK607" s="408"/>
      <c r="CL607" s="408"/>
      <c r="CM607" s="408"/>
      <c r="CN607" s="408"/>
      <c r="CO607" s="408">
        <v>-5.9059000000000337</v>
      </c>
      <c r="CP607" s="408">
        <v>108.05795000000002</v>
      </c>
      <c r="CQ607" s="408">
        <v>31</v>
      </c>
      <c r="CR607" s="408">
        <v>102.13754950494013</v>
      </c>
      <c r="CS607" s="408">
        <v>0</v>
      </c>
      <c r="CT607" s="408">
        <v>0</v>
      </c>
      <c r="CU607" s="408">
        <v>0</v>
      </c>
      <c r="CV607" s="408">
        <v>0</v>
      </c>
      <c r="CW607" s="408">
        <v>0</v>
      </c>
      <c r="CX607" s="408">
        <v>0</v>
      </c>
      <c r="CY607" s="408">
        <v>0</v>
      </c>
      <c r="CZ607" s="408">
        <v>0</v>
      </c>
      <c r="DA607" s="408">
        <v>0</v>
      </c>
      <c r="DB607" s="408">
        <v>0</v>
      </c>
      <c r="DC607" s="408">
        <v>108.04574963256573</v>
      </c>
      <c r="DD607" s="408">
        <v>0</v>
      </c>
      <c r="DE607" s="408">
        <v>0</v>
      </c>
      <c r="DF607" s="408">
        <v>0</v>
      </c>
      <c r="DG607" s="408">
        <v>4.7436587088128803</v>
      </c>
      <c r="DH607" s="408">
        <v>0</v>
      </c>
      <c r="DI607" s="408">
        <v>-9.1000675296811551</v>
      </c>
      <c r="DJ607" s="408"/>
      <c r="DK607" s="408">
        <v>0</v>
      </c>
      <c r="DL607" s="408">
        <v>0</v>
      </c>
      <c r="DM607" s="408">
        <v>0</v>
      </c>
      <c r="DN607" s="408">
        <v>0</v>
      </c>
      <c r="DO607" s="408">
        <v>-1.4383971847298014</v>
      </c>
      <c r="DP607" s="408">
        <v>-0.1133941220276462</v>
      </c>
      <c r="DQ607" s="408">
        <v>0</v>
      </c>
      <c r="DR607" s="408">
        <v>0</v>
      </c>
      <c r="DS607" s="408"/>
      <c r="DT607" s="408"/>
      <c r="DU607" s="408"/>
      <c r="DV607" s="408">
        <v>0</v>
      </c>
      <c r="DW607" s="408">
        <v>0</v>
      </c>
      <c r="DX607" s="408">
        <v>0</v>
      </c>
      <c r="DY607" s="408">
        <v>-5.905900000000031</v>
      </c>
      <c r="DZ607" s="408">
        <v>108.05795000000001</v>
      </c>
      <c r="EA607" s="408">
        <v>0</v>
      </c>
      <c r="EB607" s="408">
        <v>0</v>
      </c>
      <c r="EC607" s="408">
        <v>0</v>
      </c>
      <c r="ED607" s="408">
        <v>0</v>
      </c>
      <c r="EE607" s="408">
        <v>0</v>
      </c>
      <c r="EF607" s="408">
        <v>0</v>
      </c>
      <c r="EG607" s="408">
        <v>0</v>
      </c>
      <c r="EH607" s="408">
        <v>0</v>
      </c>
      <c r="EI607" s="408">
        <v>0</v>
      </c>
      <c r="EJ607" s="408">
        <v>0</v>
      </c>
      <c r="EK607" s="408">
        <v>0</v>
      </c>
      <c r="EL607" s="408">
        <v>0</v>
      </c>
      <c r="EM607" s="408">
        <v>0</v>
      </c>
      <c r="EN607" s="408">
        <v>0</v>
      </c>
      <c r="EO607" s="408">
        <v>0</v>
      </c>
      <c r="EP607" s="408">
        <v>68.439679557779527</v>
      </c>
      <c r="EQ607" s="408">
        <v>0</v>
      </c>
      <c r="ER607" s="408">
        <v>0</v>
      </c>
      <c r="ES607" s="408">
        <v>0</v>
      </c>
      <c r="ET607" s="408">
        <v>0</v>
      </c>
      <c r="EU607" s="408">
        <v>0</v>
      </c>
      <c r="EV607" s="408">
        <v>240</v>
      </c>
      <c r="EW607" s="408">
        <v>0</v>
      </c>
      <c r="EX607" s="408">
        <v>0</v>
      </c>
      <c r="EY607" s="408">
        <v>0</v>
      </c>
      <c r="EZ607" s="408"/>
      <c r="FA607" s="408">
        <v>0</v>
      </c>
      <c r="FB607" s="408"/>
      <c r="FC607" s="408"/>
      <c r="FD607" s="408"/>
      <c r="FE607" s="408"/>
      <c r="FF607" s="408">
        <v>0</v>
      </c>
      <c r="FG607" s="408">
        <v>0</v>
      </c>
      <c r="FH607" s="408">
        <v>0</v>
      </c>
      <c r="FI607" s="408">
        <v>0</v>
      </c>
    </row>
    <row r="608" spans="1:165">
      <c r="A608" s="408">
        <v>606</v>
      </c>
      <c r="B608" s="408" t="s">
        <v>1036</v>
      </c>
      <c r="C608" s="408" t="s">
        <v>2243</v>
      </c>
      <c r="D608" s="408" t="s">
        <v>597</v>
      </c>
      <c r="E608" s="408" t="s">
        <v>2246</v>
      </c>
      <c r="F608" s="408" t="s">
        <v>1322</v>
      </c>
      <c r="G608" s="408" t="s">
        <v>1322</v>
      </c>
      <c r="H608" s="408" t="s">
        <v>1322</v>
      </c>
      <c r="I608" s="408" t="s">
        <v>1322</v>
      </c>
      <c r="J608" s="408" t="s">
        <v>2236</v>
      </c>
      <c r="K608" s="826">
        <v>44621</v>
      </c>
      <c r="L608" s="408">
        <v>304</v>
      </c>
      <c r="M608" s="408">
        <v>304</v>
      </c>
      <c r="N608" s="408">
        <v>0</v>
      </c>
      <c r="O608" s="408">
        <v>0</v>
      </c>
      <c r="P608" s="408">
        <v>0</v>
      </c>
      <c r="Q608" s="408">
        <v>0</v>
      </c>
      <c r="R608" s="408">
        <v>27.19</v>
      </c>
      <c r="S608" s="408"/>
      <c r="T608" s="408"/>
      <c r="U608" s="408">
        <v>8265.76</v>
      </c>
      <c r="V608" s="408"/>
      <c r="W608" s="408">
        <v>8265.76</v>
      </c>
      <c r="X608" s="408">
        <v>6615.0400000000009</v>
      </c>
      <c r="Y608" s="408">
        <v>0</v>
      </c>
      <c r="Z608" s="408">
        <v>0</v>
      </c>
      <c r="AA608" s="408">
        <v>0</v>
      </c>
      <c r="AB608" s="408">
        <v>0</v>
      </c>
      <c r="AC608" s="408">
        <v>70.892986481979463</v>
      </c>
      <c r="AD608" s="408">
        <v>68.106591168608901</v>
      </c>
      <c r="AE608" s="408">
        <v>7275.3371939204881</v>
      </c>
      <c r="AF608" s="408"/>
      <c r="AG608" s="408"/>
      <c r="AH608" s="408"/>
      <c r="AI608" s="408">
        <v>0</v>
      </c>
      <c r="AJ608" s="408">
        <v>0</v>
      </c>
      <c r="AK608" s="408">
        <v>0</v>
      </c>
      <c r="AL608" s="408">
        <v>0</v>
      </c>
      <c r="AM608" s="408"/>
      <c r="AN608" s="408">
        <v>0</v>
      </c>
      <c r="AO608" s="408">
        <v>150.44498865150106</v>
      </c>
      <c r="AP608" s="408">
        <v>701.65900827549297</v>
      </c>
      <c r="AQ608" s="408">
        <v>0</v>
      </c>
      <c r="AR608" s="408">
        <v>0</v>
      </c>
      <c r="AS608" s="408"/>
      <c r="AT608" s="408"/>
      <c r="AU608" s="408">
        <v>0</v>
      </c>
      <c r="AV608" s="408">
        <v>0</v>
      </c>
      <c r="AW608" s="408">
        <v>0</v>
      </c>
      <c r="AX608" s="408"/>
      <c r="AY608" s="408"/>
      <c r="AZ608" s="408">
        <v>0</v>
      </c>
      <c r="BA608" s="408"/>
      <c r="BB608" s="408">
        <v>0</v>
      </c>
      <c r="BC608" s="408">
        <v>0</v>
      </c>
      <c r="BD608" s="408">
        <v>0</v>
      </c>
      <c r="BE608" s="408">
        <v>0</v>
      </c>
      <c r="BF608" s="408"/>
      <c r="BG608" s="408">
        <v>0</v>
      </c>
      <c r="BH608" s="408">
        <v>0</v>
      </c>
      <c r="BI608" s="408">
        <v>21.03</v>
      </c>
      <c r="BJ608" s="408">
        <v>225.66</v>
      </c>
      <c r="BK608" s="408">
        <v>9458.77</v>
      </c>
      <c r="BL608" s="408">
        <v>5</v>
      </c>
      <c r="BM608" s="408"/>
      <c r="BN608" s="408"/>
      <c r="BO608" s="408"/>
      <c r="BP608" s="408"/>
      <c r="BQ608" s="408"/>
      <c r="BR608" s="408"/>
      <c r="BS608" s="408"/>
      <c r="BT608" s="408"/>
      <c r="BU608" s="408"/>
      <c r="BV608" s="408">
        <v>0</v>
      </c>
      <c r="BW608" s="408"/>
      <c r="BX608" s="408"/>
      <c r="BY608" s="408"/>
      <c r="BZ608" s="408"/>
      <c r="CA608" s="408"/>
      <c r="CB608" s="408"/>
      <c r="CC608" s="408"/>
      <c r="CD608" s="408"/>
      <c r="CE608" s="408"/>
      <c r="CF608" s="408"/>
      <c r="CG608" s="408"/>
      <c r="CH608" s="408"/>
      <c r="CI608" s="408">
        <v>6615.0400000000009</v>
      </c>
      <c r="CJ608" s="408">
        <v>-1650.75</v>
      </c>
      <c r="CK608" s="408"/>
      <c r="CL608" s="408"/>
      <c r="CM608" s="408"/>
      <c r="CN608" s="408"/>
      <c r="CO608" s="408">
        <v>-1650.7199999999998</v>
      </c>
      <c r="CP608" s="408">
        <v>0</v>
      </c>
      <c r="CQ608" s="408">
        <v>31</v>
      </c>
      <c r="CR608" s="408">
        <v>155.03756463733578</v>
      </c>
      <c r="CS608" s="408">
        <v>14.991521551590523</v>
      </c>
      <c r="CT608" s="408">
        <v>69.918820418780456</v>
      </c>
      <c r="CU608" s="408">
        <v>0</v>
      </c>
      <c r="CV608" s="408">
        <v>0</v>
      </c>
      <c r="CW608" s="408"/>
      <c r="CX608" s="408"/>
      <c r="CY608" s="408"/>
      <c r="CZ608" s="408">
        <v>70.127222666964911</v>
      </c>
      <c r="DA608" s="408">
        <v>0</v>
      </c>
      <c r="DB608" s="408">
        <v>0</v>
      </c>
      <c r="DC608" s="408"/>
      <c r="DD608" s="408"/>
      <c r="DE608" s="408">
        <v>0</v>
      </c>
      <c r="DF608" s="408">
        <v>0</v>
      </c>
      <c r="DG608" s="408">
        <v>0</v>
      </c>
      <c r="DH608" s="408">
        <v>0</v>
      </c>
      <c r="DI608" s="408">
        <v>0</v>
      </c>
      <c r="DJ608" s="408"/>
      <c r="DK608" s="408">
        <v>0</v>
      </c>
      <c r="DL608" s="408">
        <v>0</v>
      </c>
      <c r="DM608" s="408"/>
      <c r="DN608" s="408">
        <v>0</v>
      </c>
      <c r="DO608" s="408">
        <v>0</v>
      </c>
      <c r="DP608" s="408">
        <v>0</v>
      </c>
      <c r="DQ608" s="408">
        <v>0</v>
      </c>
      <c r="DR608" s="408">
        <v>0</v>
      </c>
      <c r="DS608" s="408"/>
      <c r="DT608" s="408"/>
      <c r="DU608" s="408">
        <v>7275.3371939204881</v>
      </c>
      <c r="DV608" s="408"/>
      <c r="DW608" s="408">
        <v>0</v>
      </c>
      <c r="DX608" s="408">
        <v>0</v>
      </c>
      <c r="DY608" s="408">
        <v>-1650.7199999999993</v>
      </c>
      <c r="DZ608" s="408"/>
      <c r="EA608" s="408">
        <v>0</v>
      </c>
      <c r="EB608" s="408"/>
      <c r="EC608" s="408">
        <v>-1807.3171673580755</v>
      </c>
      <c r="ED608" s="408"/>
      <c r="EE608" s="408">
        <v>0</v>
      </c>
      <c r="EF608" s="408">
        <v>0</v>
      </c>
      <c r="EG608" s="408"/>
      <c r="EH608" s="408">
        <v>0</v>
      </c>
      <c r="EI608" s="408">
        <v>0</v>
      </c>
      <c r="EJ608" s="408">
        <v>0</v>
      </c>
      <c r="EK608" s="408">
        <v>0</v>
      </c>
      <c r="EL608" s="408">
        <v>0</v>
      </c>
      <c r="EM608" s="408"/>
      <c r="EN608" s="408"/>
      <c r="EO608" s="408">
        <v>0</v>
      </c>
      <c r="EP608" s="408">
        <v>0</v>
      </c>
      <c r="EQ608" s="408"/>
      <c r="ER608" s="408">
        <v>0</v>
      </c>
      <c r="ES608" s="408"/>
      <c r="ET608" s="408">
        <v>0</v>
      </c>
      <c r="EU608" s="408"/>
      <c r="EV608" s="408">
        <v>240</v>
      </c>
      <c r="EW608" s="408"/>
      <c r="EX608" s="408"/>
      <c r="EY608" s="408"/>
      <c r="EZ608" s="408"/>
      <c r="FA608" s="408">
        <v>0</v>
      </c>
      <c r="FB608" s="408"/>
      <c r="FC608" s="408"/>
      <c r="FD608" s="408"/>
      <c r="FE608" s="408"/>
      <c r="FF608" s="408">
        <v>0</v>
      </c>
      <c r="FG608" s="408">
        <v>0</v>
      </c>
      <c r="FH608" s="408">
        <v>0</v>
      </c>
      <c r="FI608" s="408">
        <v>0</v>
      </c>
    </row>
    <row r="609" spans="1:165">
      <c r="A609" s="408">
        <v>607</v>
      </c>
      <c r="B609" s="408" t="s">
        <v>2238</v>
      </c>
      <c r="C609" s="408" t="s">
        <v>2243</v>
      </c>
      <c r="D609" s="408" t="s">
        <v>597</v>
      </c>
      <c r="E609" s="408" t="s">
        <v>2246</v>
      </c>
      <c r="F609" s="408" t="s">
        <v>1322</v>
      </c>
      <c r="G609" s="408" t="s">
        <v>1322</v>
      </c>
      <c r="H609" s="408" t="s">
        <v>1322</v>
      </c>
      <c r="I609" s="408" t="s">
        <v>1322</v>
      </c>
      <c r="J609" s="408" t="s">
        <v>2236</v>
      </c>
      <c r="K609" s="826">
        <v>44621</v>
      </c>
      <c r="L609" s="408">
        <v>51</v>
      </c>
      <c r="M609" s="408">
        <v>51</v>
      </c>
      <c r="N609" s="408">
        <v>0</v>
      </c>
      <c r="O609" s="408">
        <v>0</v>
      </c>
      <c r="P609" s="408">
        <v>0</v>
      </c>
      <c r="Q609" s="408">
        <v>0</v>
      </c>
      <c r="R609" s="408">
        <v>27.19</v>
      </c>
      <c r="S609" s="408"/>
      <c r="T609" s="408"/>
      <c r="U609" s="408">
        <v>1386.69</v>
      </c>
      <c r="V609" s="408"/>
      <c r="W609" s="408">
        <v>1386.69</v>
      </c>
      <c r="X609" s="408">
        <v>1109.76</v>
      </c>
      <c r="Y609" s="408">
        <v>0</v>
      </c>
      <c r="Z609" s="408">
        <v>0</v>
      </c>
      <c r="AA609" s="408">
        <v>0</v>
      </c>
      <c r="AB609" s="408">
        <v>0</v>
      </c>
      <c r="AC609" s="408">
        <v>11.893231284805765</v>
      </c>
      <c r="AD609" s="408">
        <v>11.425776807891625</v>
      </c>
      <c r="AE609" s="408">
        <v>1220.5335424011344</v>
      </c>
      <c r="AF609" s="408"/>
      <c r="AG609" s="408"/>
      <c r="AH609" s="408"/>
      <c r="AI609" s="408">
        <v>0</v>
      </c>
      <c r="AJ609" s="408">
        <v>0</v>
      </c>
      <c r="AK609" s="408">
        <v>0</v>
      </c>
      <c r="AL609" s="408">
        <v>0</v>
      </c>
      <c r="AM609" s="408"/>
      <c r="AN609" s="408">
        <v>0</v>
      </c>
      <c r="AO609" s="408">
        <v>25.239126385613663</v>
      </c>
      <c r="AP609" s="408">
        <v>117.712530993586</v>
      </c>
      <c r="AQ609" s="408">
        <v>0</v>
      </c>
      <c r="AR609" s="408">
        <v>0</v>
      </c>
      <c r="AS609" s="408"/>
      <c r="AT609" s="408"/>
      <c r="AU609" s="408">
        <v>0</v>
      </c>
      <c r="AV609" s="408">
        <v>0</v>
      </c>
      <c r="AW609" s="408">
        <v>0</v>
      </c>
      <c r="AX609" s="408"/>
      <c r="AY609" s="408"/>
      <c r="AZ609" s="408">
        <v>0</v>
      </c>
      <c r="BA609" s="408"/>
      <c r="BB609" s="408">
        <v>0</v>
      </c>
      <c r="BC609" s="408">
        <v>0</v>
      </c>
      <c r="BD609" s="408">
        <v>0</v>
      </c>
      <c r="BE609" s="408">
        <v>0</v>
      </c>
      <c r="BF609" s="408"/>
      <c r="BG609" s="408">
        <v>0</v>
      </c>
      <c r="BH609" s="408">
        <v>0</v>
      </c>
      <c r="BI609" s="408">
        <v>3.69</v>
      </c>
      <c r="BJ609" s="408">
        <v>39.64</v>
      </c>
      <c r="BK609" s="408">
        <v>1792.43</v>
      </c>
      <c r="BL609" s="408">
        <v>1</v>
      </c>
      <c r="BM609" s="408"/>
      <c r="BN609" s="408"/>
      <c r="BO609" s="408"/>
      <c r="BP609" s="408"/>
      <c r="BQ609" s="408"/>
      <c r="BR609" s="408"/>
      <c r="BS609" s="408"/>
      <c r="BT609" s="408"/>
      <c r="BU609" s="408"/>
      <c r="BV609" s="408">
        <v>0</v>
      </c>
      <c r="BW609" s="408"/>
      <c r="BX609" s="408"/>
      <c r="BY609" s="408"/>
      <c r="BZ609" s="408"/>
      <c r="CA609" s="408"/>
      <c r="CB609" s="408"/>
      <c r="CC609" s="408"/>
      <c r="CD609" s="408"/>
      <c r="CE609" s="408"/>
      <c r="CF609" s="408"/>
      <c r="CG609" s="408"/>
      <c r="CH609" s="408"/>
      <c r="CI609" s="408">
        <v>1109.76</v>
      </c>
      <c r="CJ609" s="408">
        <v>-276.96000000000004</v>
      </c>
      <c r="CK609" s="408"/>
      <c r="CL609" s="408"/>
      <c r="CM609" s="408"/>
      <c r="CN609" s="408"/>
      <c r="CO609" s="408">
        <v>-276.93</v>
      </c>
      <c r="CP609" s="408">
        <v>0</v>
      </c>
      <c r="CQ609" s="408">
        <v>31</v>
      </c>
      <c r="CR609" s="408">
        <v>26.009591435868828</v>
      </c>
      <c r="CS609" s="408">
        <v>2.5150249971418326</v>
      </c>
      <c r="CT609" s="408">
        <v>11.729802109729604</v>
      </c>
      <c r="CU609" s="408">
        <v>0</v>
      </c>
      <c r="CV609" s="408">
        <v>0</v>
      </c>
      <c r="CW609" s="408"/>
      <c r="CX609" s="408"/>
      <c r="CY609" s="408"/>
      <c r="CZ609" s="408">
        <v>11.764764328997403</v>
      </c>
      <c r="DA609" s="408">
        <v>0</v>
      </c>
      <c r="DB609" s="408">
        <v>0</v>
      </c>
      <c r="DC609" s="408"/>
      <c r="DD609" s="408"/>
      <c r="DE609" s="408">
        <v>0</v>
      </c>
      <c r="DF609" s="408">
        <v>0</v>
      </c>
      <c r="DG609" s="408">
        <v>0</v>
      </c>
      <c r="DH609" s="408">
        <v>0</v>
      </c>
      <c r="DI609" s="408">
        <v>0</v>
      </c>
      <c r="DJ609" s="408"/>
      <c r="DK609" s="408">
        <v>0</v>
      </c>
      <c r="DL609" s="408">
        <v>0</v>
      </c>
      <c r="DM609" s="408"/>
      <c r="DN609" s="408">
        <v>0</v>
      </c>
      <c r="DO609" s="408">
        <v>0</v>
      </c>
      <c r="DP609" s="408">
        <v>0</v>
      </c>
      <c r="DQ609" s="408">
        <v>0</v>
      </c>
      <c r="DR609" s="408">
        <v>0</v>
      </c>
      <c r="DS609" s="408"/>
      <c r="DT609" s="408"/>
      <c r="DU609" s="408">
        <v>1220.5335424011344</v>
      </c>
      <c r="DV609" s="408"/>
      <c r="DW609" s="408">
        <v>0</v>
      </c>
      <c r="DX609" s="408">
        <v>0</v>
      </c>
      <c r="DY609" s="408">
        <v>-276.93000000000006</v>
      </c>
      <c r="DZ609" s="408"/>
      <c r="EA609" s="408">
        <v>0</v>
      </c>
      <c r="EB609" s="408"/>
      <c r="EC609" s="408">
        <v>-303.20123531336128</v>
      </c>
      <c r="ED609" s="408"/>
      <c r="EE609" s="408">
        <v>0</v>
      </c>
      <c r="EF609" s="408">
        <v>0</v>
      </c>
      <c r="EG609" s="408"/>
      <c r="EH609" s="408">
        <v>0</v>
      </c>
      <c r="EI609" s="408">
        <v>0</v>
      </c>
      <c r="EJ609" s="408">
        <v>0</v>
      </c>
      <c r="EK609" s="408">
        <v>0</v>
      </c>
      <c r="EL609" s="408">
        <v>0</v>
      </c>
      <c r="EM609" s="408"/>
      <c r="EN609" s="408"/>
      <c r="EO609" s="408">
        <v>0</v>
      </c>
      <c r="EP609" s="408">
        <v>0</v>
      </c>
      <c r="EQ609" s="408"/>
      <c r="ER609" s="408">
        <v>0</v>
      </c>
      <c r="ES609" s="408"/>
      <c r="ET609" s="408">
        <v>0</v>
      </c>
      <c r="EU609" s="408"/>
      <c r="EV609" s="408">
        <v>240</v>
      </c>
      <c r="EW609" s="408"/>
      <c r="EX609" s="408"/>
      <c r="EY609" s="408"/>
      <c r="EZ609" s="408"/>
      <c r="FA609" s="408">
        <v>0</v>
      </c>
      <c r="FB609" s="408"/>
      <c r="FC609" s="408"/>
      <c r="FD609" s="408"/>
      <c r="FE609" s="408"/>
      <c r="FF609" s="408">
        <v>0</v>
      </c>
      <c r="FG609" s="408">
        <v>0</v>
      </c>
      <c r="FH609" s="408">
        <v>0</v>
      </c>
      <c r="FI609" s="408">
        <v>0</v>
      </c>
    </row>
    <row r="610" spans="1:165">
      <c r="A610" s="408">
        <v>608</v>
      </c>
      <c r="B610" s="408" t="s">
        <v>1036</v>
      </c>
      <c r="C610" s="408" t="s">
        <v>2235</v>
      </c>
      <c r="D610" s="408" t="s">
        <v>2248</v>
      </c>
      <c r="E610" s="408" t="s">
        <v>2249</v>
      </c>
      <c r="F610" s="408" t="s">
        <v>2250</v>
      </c>
      <c r="G610" s="408" t="s">
        <v>1322</v>
      </c>
      <c r="H610" s="408" t="s">
        <v>1322</v>
      </c>
      <c r="I610" s="408" t="s">
        <v>1322</v>
      </c>
      <c r="J610" s="408" t="s">
        <v>2236</v>
      </c>
      <c r="K610" s="826">
        <v>44621</v>
      </c>
      <c r="L610" s="408">
        <v>0</v>
      </c>
      <c r="M610" s="408">
        <v>0</v>
      </c>
      <c r="N610" s="408">
        <v>1615.191</v>
      </c>
      <c r="O610" s="408">
        <v>1615.191</v>
      </c>
      <c r="P610" s="408">
        <v>1615.191</v>
      </c>
      <c r="Q610" s="408">
        <v>1615.191</v>
      </c>
      <c r="R610" s="408"/>
      <c r="S610" s="408">
        <v>199.07</v>
      </c>
      <c r="T610" s="408">
        <v>95.29</v>
      </c>
      <c r="U610" s="408"/>
      <c r="V610" s="408">
        <v>475447.62276000006</v>
      </c>
      <c r="W610" s="408">
        <v>475447.62276000006</v>
      </c>
      <c r="X610" s="408">
        <v>448813.12316999998</v>
      </c>
      <c r="Y610" s="408">
        <v>0</v>
      </c>
      <c r="Z610" s="408">
        <v>54673.974298335816</v>
      </c>
      <c r="AA610" s="408">
        <v>0</v>
      </c>
      <c r="AB610" s="408">
        <v>0</v>
      </c>
      <c r="AC610" s="408">
        <v>2273.7779437555678</v>
      </c>
      <c r="AD610" s="408">
        <v>2932.5130681457417</v>
      </c>
      <c r="AE610" s="408">
        <v>202892.80481747279</v>
      </c>
      <c r="AF610" s="408">
        <v>151322.81726383918</v>
      </c>
      <c r="AG610" s="408">
        <v>2582.6555883856527</v>
      </c>
      <c r="AH610" s="408">
        <v>0</v>
      </c>
      <c r="AI610" s="408">
        <v>0</v>
      </c>
      <c r="AJ610" s="408">
        <v>0</v>
      </c>
      <c r="AK610" s="408">
        <v>0</v>
      </c>
      <c r="AL610" s="408">
        <v>8447.3950674649368</v>
      </c>
      <c r="AM610" s="408"/>
      <c r="AN610" s="408">
        <v>1073.0056118805282</v>
      </c>
      <c r="AO610" s="408">
        <v>4826.7843734873677</v>
      </c>
      <c r="AP610" s="408">
        <v>22506.583452727842</v>
      </c>
      <c r="AQ610" s="408">
        <v>0</v>
      </c>
      <c r="AR610" s="408">
        <v>0</v>
      </c>
      <c r="AS610" s="408">
        <v>0</v>
      </c>
      <c r="AT610" s="408">
        <v>0</v>
      </c>
      <c r="AU610" s="408">
        <v>0</v>
      </c>
      <c r="AV610" s="408">
        <v>0</v>
      </c>
      <c r="AW610" s="408">
        <v>0</v>
      </c>
      <c r="AX610" s="408">
        <v>0</v>
      </c>
      <c r="AY610" s="408">
        <v>0</v>
      </c>
      <c r="AZ610" s="408">
        <v>0</v>
      </c>
      <c r="BA610" s="408"/>
      <c r="BB610" s="408">
        <v>0</v>
      </c>
      <c r="BC610" s="408">
        <v>0</v>
      </c>
      <c r="BD610" s="408">
        <v>0</v>
      </c>
      <c r="BE610" s="408">
        <v>0</v>
      </c>
      <c r="BF610" s="408">
        <v>0</v>
      </c>
      <c r="BG610" s="408">
        <v>7941.7092137194313</v>
      </c>
      <c r="BH610" s="408">
        <v>0</v>
      </c>
      <c r="BI610" s="408">
        <v>478.31</v>
      </c>
      <c r="BJ610" s="408">
        <v>5128.33</v>
      </c>
      <c r="BK610" s="408">
        <v>170943.74</v>
      </c>
      <c r="BL610" s="408">
        <v>67</v>
      </c>
      <c r="BM610" s="408"/>
      <c r="BN610" s="408"/>
      <c r="BO610" s="408"/>
      <c r="BP610" s="408"/>
      <c r="BQ610" s="408"/>
      <c r="BR610" s="408"/>
      <c r="BS610" s="408"/>
      <c r="BT610" s="408"/>
      <c r="BU610" s="408"/>
      <c r="BV610" s="408">
        <v>159264.52647755863</v>
      </c>
      <c r="BW610" s="408"/>
      <c r="BX610" s="408"/>
      <c r="BY610" s="408"/>
      <c r="BZ610" s="408"/>
      <c r="CA610" s="408"/>
      <c r="CB610" s="408"/>
      <c r="CC610" s="408"/>
      <c r="CD610" s="408"/>
      <c r="CE610" s="408"/>
      <c r="CF610" s="408"/>
      <c r="CG610" s="408"/>
      <c r="CH610" s="408"/>
      <c r="CI610" s="408">
        <v>448812.84530000004</v>
      </c>
      <c r="CJ610" s="408">
        <v>-26634.80746000004</v>
      </c>
      <c r="CK610" s="408"/>
      <c r="CL610" s="408"/>
      <c r="CM610" s="408"/>
      <c r="CN610" s="408"/>
      <c r="CO610" s="408">
        <v>-45806.81675999998</v>
      </c>
      <c r="CP610" s="408">
        <v>19172.317169999984</v>
      </c>
      <c r="CQ610" s="408">
        <v>31</v>
      </c>
      <c r="CR610" s="408">
        <v>23784.897812582145</v>
      </c>
      <c r="CS610" s="408">
        <v>480.97874584336023</v>
      </c>
      <c r="CT610" s="408">
        <v>2242.7329345335129</v>
      </c>
      <c r="CU610" s="408">
        <v>0</v>
      </c>
      <c r="CV610" s="408">
        <v>0</v>
      </c>
      <c r="CW610" s="408">
        <v>0</v>
      </c>
      <c r="CX610" s="408">
        <v>0</v>
      </c>
      <c r="CY610" s="408">
        <v>0</v>
      </c>
      <c r="CZ610" s="408">
        <v>3019.5168099739844</v>
      </c>
      <c r="DA610" s="408">
        <v>0</v>
      </c>
      <c r="DB610" s="408">
        <v>0</v>
      </c>
      <c r="DC610" s="408">
        <v>19177.42004338163</v>
      </c>
      <c r="DD610" s="408">
        <v>0</v>
      </c>
      <c r="DE610" s="408">
        <v>0</v>
      </c>
      <c r="DF610" s="408">
        <v>0</v>
      </c>
      <c r="DG610" s="408">
        <v>1006.4674727033753</v>
      </c>
      <c r="DH610" s="408">
        <v>0</v>
      </c>
      <c r="DI610" s="408">
        <v>-1856.5551564143461</v>
      </c>
      <c r="DJ610" s="408"/>
      <c r="DK610" s="408">
        <v>0</v>
      </c>
      <c r="DL610" s="408">
        <v>0</v>
      </c>
      <c r="DM610" s="408">
        <v>0</v>
      </c>
      <c r="DN610" s="408">
        <v>0</v>
      </c>
      <c r="DO610" s="408">
        <v>-255.30617441767936</v>
      </c>
      <c r="DP610" s="408">
        <v>-30.356863021732579</v>
      </c>
      <c r="DQ610" s="408">
        <v>0</v>
      </c>
      <c r="DR610" s="408">
        <v>0</v>
      </c>
      <c r="DS610" s="408"/>
      <c r="DT610" s="408"/>
      <c r="DU610" s="408"/>
      <c r="DV610" s="408">
        <v>202892.80481747279</v>
      </c>
      <c r="DW610" s="408">
        <v>0</v>
      </c>
      <c r="DX610" s="408">
        <v>0</v>
      </c>
      <c r="DY610" s="408">
        <v>-45806.816760000016</v>
      </c>
      <c r="DZ610" s="408">
        <v>19172.317169999966</v>
      </c>
      <c r="EA610" s="408">
        <v>0</v>
      </c>
      <c r="EB610" s="408">
        <v>0</v>
      </c>
      <c r="EC610" s="408">
        <v>-50402.014299278264</v>
      </c>
      <c r="ED610" s="408">
        <v>0</v>
      </c>
      <c r="EE610" s="408">
        <v>0</v>
      </c>
      <c r="EF610" s="408">
        <v>0</v>
      </c>
      <c r="EG610" s="408">
        <v>0</v>
      </c>
      <c r="EH610" s="408">
        <v>0</v>
      </c>
      <c r="EI610" s="408">
        <v>0</v>
      </c>
      <c r="EJ610" s="408">
        <v>0</v>
      </c>
      <c r="EK610" s="408">
        <v>0</v>
      </c>
      <c r="EL610" s="408">
        <v>0</v>
      </c>
      <c r="EM610" s="408">
        <v>0</v>
      </c>
      <c r="EN610" s="408">
        <v>0</v>
      </c>
      <c r="EO610" s="408">
        <v>0</v>
      </c>
      <c r="EP610" s="408">
        <v>13962.757921511862</v>
      </c>
      <c r="EQ610" s="408">
        <v>0</v>
      </c>
      <c r="ER610" s="408">
        <v>0</v>
      </c>
      <c r="ES610" s="408">
        <v>0</v>
      </c>
      <c r="ET610" s="408">
        <v>0</v>
      </c>
      <c r="EU610" s="408">
        <v>0</v>
      </c>
      <c r="EV610" s="408">
        <v>240</v>
      </c>
      <c r="EW610" s="408">
        <v>0</v>
      </c>
      <c r="EX610" s="408">
        <v>0</v>
      </c>
      <c r="EY610" s="408">
        <v>0</v>
      </c>
      <c r="EZ610" s="408"/>
      <c r="FA610" s="408">
        <v>0</v>
      </c>
      <c r="FB610" s="408"/>
      <c r="FC610" s="408"/>
      <c r="FD610" s="408"/>
      <c r="FE610" s="408"/>
      <c r="FF610" s="408">
        <v>0</v>
      </c>
      <c r="FG610" s="408">
        <v>0</v>
      </c>
      <c r="FH610" s="408">
        <v>0</v>
      </c>
      <c r="FI610" s="408">
        <v>0</v>
      </c>
    </row>
    <row r="611" spans="1:165">
      <c r="A611" s="408">
        <v>609</v>
      </c>
      <c r="B611" s="408" t="s">
        <v>1036</v>
      </c>
      <c r="C611" s="408" t="s">
        <v>2235</v>
      </c>
      <c r="D611" s="408" t="s">
        <v>1958</v>
      </c>
      <c r="E611" s="408" t="s">
        <v>1001</v>
      </c>
      <c r="F611" s="408" t="s">
        <v>2251</v>
      </c>
      <c r="G611" s="408" t="s">
        <v>1322</v>
      </c>
      <c r="H611" s="408" t="s">
        <v>1322</v>
      </c>
      <c r="I611" s="408" t="s">
        <v>1322</v>
      </c>
      <c r="J611" s="408" t="s">
        <v>2236</v>
      </c>
      <c r="K611" s="826">
        <v>44621</v>
      </c>
      <c r="L611" s="408">
        <v>0</v>
      </c>
      <c r="M611" s="408">
        <v>0</v>
      </c>
      <c r="N611" s="408">
        <v>639.76700000000005</v>
      </c>
      <c r="O611" s="408">
        <v>601.38098000000002</v>
      </c>
      <c r="P611" s="408">
        <v>639.76700000000005</v>
      </c>
      <c r="Q611" s="408">
        <v>601.38098000000002</v>
      </c>
      <c r="R611" s="408"/>
      <c r="S611" s="408">
        <v>368.24</v>
      </c>
      <c r="T611" s="408">
        <v>173.25</v>
      </c>
      <c r="U611" s="408"/>
      <c r="V611" s="408">
        <v>346427.43283000001</v>
      </c>
      <c r="W611" s="408">
        <v>346427.43283000001</v>
      </c>
      <c r="X611" s="408">
        <v>325571.02863000002</v>
      </c>
      <c r="Y611" s="408">
        <v>0</v>
      </c>
      <c r="Z611" s="408">
        <v>39374.577219911604</v>
      </c>
      <c r="AA611" s="408">
        <v>0</v>
      </c>
      <c r="AB611" s="408">
        <v>0</v>
      </c>
      <c r="AC611" s="408">
        <v>1637.5075413177076</v>
      </c>
      <c r="AD611" s="408">
        <v>1573.2775557211839</v>
      </c>
      <c r="AE611" s="408">
        <v>150688.8675623296</v>
      </c>
      <c r="AF611" s="408">
        <v>108978.21184495396</v>
      </c>
      <c r="AG611" s="408">
        <v>1859.9520741337842</v>
      </c>
      <c r="AH611" s="408">
        <v>0</v>
      </c>
      <c r="AI611" s="408">
        <v>0</v>
      </c>
      <c r="AJ611" s="408">
        <v>0</v>
      </c>
      <c r="AK611" s="408">
        <v>0</v>
      </c>
      <c r="AL611" s="408">
        <v>6083.563773433646</v>
      </c>
      <c r="AM611" s="408"/>
      <c r="AN611" s="408">
        <v>772.74686657769428</v>
      </c>
      <c r="AO611" s="408">
        <v>3476.1071693945914</v>
      </c>
      <c r="AP611" s="408">
        <v>16208.574911350255</v>
      </c>
      <c r="AQ611" s="408">
        <v>0</v>
      </c>
      <c r="AR611" s="408">
        <v>0</v>
      </c>
      <c r="AS611" s="408">
        <v>0</v>
      </c>
      <c r="AT611" s="408">
        <v>0</v>
      </c>
      <c r="AU611" s="408">
        <v>0</v>
      </c>
      <c r="AV611" s="408">
        <v>0</v>
      </c>
      <c r="AW611" s="408">
        <v>0</v>
      </c>
      <c r="AX611" s="408">
        <v>0</v>
      </c>
      <c r="AY611" s="408">
        <v>0</v>
      </c>
      <c r="AZ611" s="408">
        <v>0</v>
      </c>
      <c r="BA611" s="408"/>
      <c r="BB611" s="408">
        <v>0</v>
      </c>
      <c r="BC611" s="408">
        <v>0</v>
      </c>
      <c r="BD611" s="408">
        <v>0</v>
      </c>
      <c r="BE611" s="408">
        <v>0</v>
      </c>
      <c r="BF611" s="408">
        <v>0</v>
      </c>
      <c r="BG611" s="408">
        <v>5719.3837965277944</v>
      </c>
      <c r="BH611" s="408">
        <v>0</v>
      </c>
      <c r="BI611" s="408">
        <v>279.14</v>
      </c>
      <c r="BJ611" s="408">
        <v>3001.2</v>
      </c>
      <c r="BK611" s="408">
        <v>139951.67999999999</v>
      </c>
      <c r="BL611" s="408">
        <v>201</v>
      </c>
      <c r="BM611" s="408"/>
      <c r="BN611" s="408"/>
      <c r="BO611" s="408"/>
      <c r="BP611" s="408"/>
      <c r="BQ611" s="408">
        <v>19534.261717800015</v>
      </c>
      <c r="BR611" s="408"/>
      <c r="BS611" s="408"/>
      <c r="BT611" s="408"/>
      <c r="BU611" s="408"/>
      <c r="BV611" s="408">
        <v>114697.59564148175</v>
      </c>
      <c r="BW611" s="408"/>
      <c r="BX611" s="408"/>
      <c r="BY611" s="408"/>
      <c r="BZ611" s="408"/>
      <c r="CA611" s="408"/>
      <c r="CB611" s="408"/>
      <c r="CC611" s="408"/>
      <c r="CD611" s="408"/>
      <c r="CE611" s="408"/>
      <c r="CF611" s="408"/>
      <c r="CG611" s="408"/>
      <c r="CH611" s="408"/>
      <c r="CI611" s="408">
        <v>306036.26819999999</v>
      </c>
      <c r="CJ611" s="408">
        <v>-19605.548660200031</v>
      </c>
      <c r="CK611" s="408"/>
      <c r="CL611" s="408"/>
      <c r="CM611" s="408"/>
      <c r="CN611" s="408"/>
      <c r="CO611" s="408">
        <v>-34668.973729999998</v>
      </c>
      <c r="CP611" s="408">
        <v>13812.569530000002</v>
      </c>
      <c r="CQ611" s="408">
        <v>31</v>
      </c>
      <c r="CR611" s="408">
        <v>16574.567066555552</v>
      </c>
      <c r="CS611" s="408">
        <v>346.38664945053688</v>
      </c>
      <c r="CT611" s="408">
        <v>1615.1498450171621</v>
      </c>
      <c r="CU611" s="408">
        <v>0</v>
      </c>
      <c r="CV611" s="408">
        <v>0</v>
      </c>
      <c r="CW611" s="408">
        <v>0</v>
      </c>
      <c r="CX611" s="408">
        <v>0</v>
      </c>
      <c r="CY611" s="408">
        <v>0</v>
      </c>
      <c r="CZ611" s="408">
        <v>1619.954597255628</v>
      </c>
      <c r="DA611" s="408">
        <v>0</v>
      </c>
      <c r="DB611" s="408">
        <v>0</v>
      </c>
      <c r="DC611" s="408">
        <v>13811.010011024511</v>
      </c>
      <c r="DD611" s="408">
        <v>0</v>
      </c>
      <c r="DE611" s="408">
        <v>0</v>
      </c>
      <c r="DF611" s="408">
        <v>0</v>
      </c>
      <c r="DG611" s="408">
        <v>724.82806914762659</v>
      </c>
      <c r="DH611" s="408">
        <v>0</v>
      </c>
      <c r="DI611" s="408">
        <v>-1337.0360451644083</v>
      </c>
      <c r="DJ611" s="408"/>
      <c r="DK611" s="408">
        <v>0</v>
      </c>
      <c r="DL611" s="408">
        <v>0</v>
      </c>
      <c r="DM611" s="408">
        <v>0</v>
      </c>
      <c r="DN611" s="408">
        <v>0</v>
      </c>
      <c r="DO611" s="408">
        <v>-183.86394639021637</v>
      </c>
      <c r="DP611" s="408">
        <v>-21.862113785276847</v>
      </c>
      <c r="DQ611" s="408">
        <v>0</v>
      </c>
      <c r="DR611" s="408">
        <v>0</v>
      </c>
      <c r="DS611" s="408"/>
      <c r="DT611" s="408"/>
      <c r="DU611" s="408"/>
      <c r="DV611" s="408">
        <v>150688.8675623296</v>
      </c>
      <c r="DW611" s="408">
        <v>0</v>
      </c>
      <c r="DX611" s="408">
        <v>0</v>
      </c>
      <c r="DY611" s="408">
        <v>-34668.973729999998</v>
      </c>
      <c r="DZ611" s="408">
        <v>13812.569530000008</v>
      </c>
      <c r="EA611" s="408">
        <v>0</v>
      </c>
      <c r="EB611" s="408">
        <v>0</v>
      </c>
      <c r="EC611" s="408">
        <v>-37433.670772363359</v>
      </c>
      <c r="ED611" s="408">
        <v>0</v>
      </c>
      <c r="EE611" s="408">
        <v>0</v>
      </c>
      <c r="EF611" s="408">
        <v>0</v>
      </c>
      <c r="EG611" s="408">
        <v>0</v>
      </c>
      <c r="EH611" s="408">
        <v>0</v>
      </c>
      <c r="EI611" s="408">
        <v>0</v>
      </c>
      <c r="EJ611" s="408">
        <v>0</v>
      </c>
      <c r="EK611" s="408">
        <v>0</v>
      </c>
      <c r="EL611" s="408">
        <v>0</v>
      </c>
      <c r="EM611" s="408">
        <v>0</v>
      </c>
      <c r="EN611" s="408">
        <v>0</v>
      </c>
      <c r="EO611" s="408">
        <v>0</v>
      </c>
      <c r="EP611" s="408">
        <v>10055.564773534934</v>
      </c>
      <c r="EQ611" s="408">
        <v>0</v>
      </c>
      <c r="ER611" s="408">
        <v>0</v>
      </c>
      <c r="ES611" s="408">
        <v>0</v>
      </c>
      <c r="ET611" s="408">
        <v>0</v>
      </c>
      <c r="EU611" s="408">
        <v>0</v>
      </c>
      <c r="EV611" s="408">
        <v>240</v>
      </c>
      <c r="EW611" s="408">
        <v>0</v>
      </c>
      <c r="EX611" s="408">
        <v>0</v>
      </c>
      <c r="EY611" s="408">
        <v>0</v>
      </c>
      <c r="EZ611" s="408"/>
      <c r="FA611" s="408">
        <v>0</v>
      </c>
      <c r="FB611" s="408"/>
      <c r="FC611" s="408"/>
      <c r="FD611" s="408"/>
      <c r="FE611" s="408"/>
      <c r="FF611" s="408">
        <v>0</v>
      </c>
      <c r="FG611" s="408">
        <v>0</v>
      </c>
      <c r="FH611" s="408">
        <v>0</v>
      </c>
      <c r="FI611" s="408">
        <v>0</v>
      </c>
    </row>
    <row r="612" spans="1:165">
      <c r="A612" s="408">
        <v>610</v>
      </c>
      <c r="B612" s="408" t="s">
        <v>1036</v>
      </c>
      <c r="C612" s="408" t="s">
        <v>2247</v>
      </c>
      <c r="D612" s="408" t="s">
        <v>597</v>
      </c>
      <c r="E612" s="408" t="s">
        <v>1001</v>
      </c>
      <c r="F612" s="408" t="s">
        <v>2251</v>
      </c>
      <c r="G612" s="408" t="s">
        <v>1322</v>
      </c>
      <c r="H612" s="408" t="s">
        <v>1322</v>
      </c>
      <c r="I612" s="408" t="s">
        <v>973</v>
      </c>
      <c r="J612" s="408" t="s">
        <v>2236</v>
      </c>
      <c r="K612" s="826">
        <v>44621</v>
      </c>
      <c r="L612" s="408">
        <v>65</v>
      </c>
      <c r="M612" s="408">
        <v>61.1</v>
      </c>
      <c r="N612" s="408">
        <v>3.6739999999999999</v>
      </c>
      <c r="O612" s="408">
        <v>3.45356</v>
      </c>
      <c r="P612" s="408">
        <v>3.6739999999999999</v>
      </c>
      <c r="Q612" s="408">
        <v>3.45356</v>
      </c>
      <c r="R612" s="408">
        <v>52.95</v>
      </c>
      <c r="S612" s="408">
        <v>85.01</v>
      </c>
      <c r="T612" s="408">
        <v>173.25</v>
      </c>
      <c r="U612" s="408">
        <v>3441.75</v>
      </c>
      <c r="V612" s="408">
        <v>948.84724000000006</v>
      </c>
      <c r="W612" s="408">
        <v>4390.5972400000001</v>
      </c>
      <c r="X612" s="408">
        <v>3900.08358</v>
      </c>
      <c r="Y612" s="408">
        <v>0</v>
      </c>
      <c r="Z612" s="408">
        <v>196.7217926748034</v>
      </c>
      <c r="AA612" s="408">
        <v>0</v>
      </c>
      <c r="AB612" s="408">
        <v>0</v>
      </c>
      <c r="AC612" s="408">
        <v>51.198306474712865</v>
      </c>
      <c r="AD612" s="408">
        <v>49.188863943031343</v>
      </c>
      <c r="AE612" s="408">
        <v>2725.6914092779475</v>
      </c>
      <c r="AF612" s="408">
        <v>625.83088893043998</v>
      </c>
      <c r="AG612" s="408">
        <v>10.681175991208553</v>
      </c>
      <c r="AH612" s="408">
        <v>0</v>
      </c>
      <c r="AI612" s="408">
        <v>0</v>
      </c>
      <c r="AJ612" s="408">
        <v>0</v>
      </c>
      <c r="AK612" s="408">
        <v>0</v>
      </c>
      <c r="AL612" s="408">
        <v>34.936177238893556</v>
      </c>
      <c r="AM612" s="408"/>
      <c r="AN612" s="408">
        <v>2.9421900016293003</v>
      </c>
      <c r="AO612" s="408">
        <v>108.68330737188015</v>
      </c>
      <c r="AP612" s="408">
        <v>506.76761947441048</v>
      </c>
      <c r="AQ612" s="408">
        <v>0</v>
      </c>
      <c r="AR612" s="408">
        <v>0</v>
      </c>
      <c r="AS612" s="408">
        <v>0</v>
      </c>
      <c r="AT612" s="408">
        <v>0</v>
      </c>
      <c r="AU612" s="408">
        <v>0</v>
      </c>
      <c r="AV612" s="408">
        <v>0</v>
      </c>
      <c r="AW612" s="408">
        <v>0</v>
      </c>
      <c r="AX612" s="408">
        <v>0</v>
      </c>
      <c r="AY612" s="408">
        <v>0</v>
      </c>
      <c r="AZ612" s="408">
        <v>0</v>
      </c>
      <c r="BA612" s="408"/>
      <c r="BB612" s="408">
        <v>0</v>
      </c>
      <c r="BC612" s="408">
        <v>0</v>
      </c>
      <c r="BD612" s="408">
        <v>0</v>
      </c>
      <c r="BE612" s="408">
        <v>0</v>
      </c>
      <c r="BF612" s="408">
        <v>0</v>
      </c>
      <c r="BG612" s="408">
        <v>27.476584285960808</v>
      </c>
      <c r="BH612" s="408">
        <v>0</v>
      </c>
      <c r="BI612" s="408">
        <v>0</v>
      </c>
      <c r="BJ612" s="408">
        <v>0</v>
      </c>
      <c r="BK612" s="408">
        <v>0</v>
      </c>
      <c r="BL612" s="408">
        <v>0</v>
      </c>
      <c r="BM612" s="408"/>
      <c r="BN612" s="408"/>
      <c r="BO612" s="408"/>
      <c r="BP612" s="408"/>
      <c r="BQ612" s="408">
        <v>234.00501479999991</v>
      </c>
      <c r="BR612" s="408"/>
      <c r="BS612" s="408"/>
      <c r="BT612" s="408"/>
      <c r="BU612" s="408"/>
      <c r="BV612" s="408">
        <v>653.30747321640081</v>
      </c>
      <c r="BW612" s="408"/>
      <c r="BX612" s="408"/>
      <c r="BY612" s="408"/>
      <c r="BZ612" s="408"/>
      <c r="CA612" s="408"/>
      <c r="CB612" s="408"/>
      <c r="CC612" s="408"/>
      <c r="CD612" s="408"/>
      <c r="CE612" s="408"/>
      <c r="CF612" s="408"/>
      <c r="CG612" s="408"/>
      <c r="CH612" s="408"/>
      <c r="CI612" s="408">
        <v>3665.0865000000003</v>
      </c>
      <c r="CJ612" s="408">
        <v>-462.10490560000108</v>
      </c>
      <c r="CK612" s="408"/>
      <c r="CL612" s="408"/>
      <c r="CM612" s="408"/>
      <c r="CN612" s="408"/>
      <c r="CO612" s="408">
        <v>-569.83532000000025</v>
      </c>
      <c r="CP612" s="408">
        <v>79.321660000000008</v>
      </c>
      <c r="CQ612" s="408">
        <v>31</v>
      </c>
      <c r="CR612" s="408">
        <v>186.95229681820547</v>
      </c>
      <c r="CS612" s="408">
        <v>10.830059275274195</v>
      </c>
      <c r="CT612" s="408">
        <v>50.498310093914142</v>
      </c>
      <c r="CU612" s="408">
        <v>0</v>
      </c>
      <c r="CV612" s="408">
        <v>0</v>
      </c>
      <c r="CW612" s="408">
        <v>0</v>
      </c>
      <c r="CX612" s="408">
        <v>0</v>
      </c>
      <c r="CY612" s="408">
        <v>0</v>
      </c>
      <c r="CZ612" s="408">
        <v>50.648231768467902</v>
      </c>
      <c r="DA612" s="408">
        <v>0</v>
      </c>
      <c r="DB612" s="408">
        <v>0</v>
      </c>
      <c r="DC612" s="408">
        <v>79.312704125883329</v>
      </c>
      <c r="DD612" s="408">
        <v>0</v>
      </c>
      <c r="DE612" s="408">
        <v>0</v>
      </c>
      <c r="DF612" s="408">
        <v>0</v>
      </c>
      <c r="DG612" s="408">
        <v>3.4821582609747281</v>
      </c>
      <c r="DH612" s="408">
        <v>0</v>
      </c>
      <c r="DI612" s="408">
        <v>-6.6800495712384702</v>
      </c>
      <c r="DJ612" s="408"/>
      <c r="DK612" s="408">
        <v>0</v>
      </c>
      <c r="DL612" s="408">
        <v>0</v>
      </c>
      <c r="DM612" s="408">
        <v>0</v>
      </c>
      <c r="DN612" s="408">
        <v>0</v>
      </c>
      <c r="DO612" s="408">
        <v>-1.0558783729664967</v>
      </c>
      <c r="DP612" s="408">
        <v>-8.323876210381087E-2</v>
      </c>
      <c r="DQ612" s="408">
        <v>0</v>
      </c>
      <c r="DR612" s="408">
        <v>0</v>
      </c>
      <c r="DS612" s="408"/>
      <c r="DT612" s="408"/>
      <c r="DU612" s="408">
        <v>2725.6914092779475</v>
      </c>
      <c r="DV612" s="408">
        <v>0</v>
      </c>
      <c r="DW612" s="408">
        <v>0</v>
      </c>
      <c r="DX612" s="408">
        <v>0</v>
      </c>
      <c r="DY612" s="408">
        <v>-569.83532000000014</v>
      </c>
      <c r="DZ612" s="408">
        <v>79.321660000000065</v>
      </c>
      <c r="EA612" s="408">
        <v>0</v>
      </c>
      <c r="EB612" s="408">
        <v>0</v>
      </c>
      <c r="EC612" s="408">
        <v>-677.10798078540483</v>
      </c>
      <c r="ED612" s="408">
        <v>0</v>
      </c>
      <c r="EE612" s="408">
        <v>0</v>
      </c>
      <c r="EF612" s="408">
        <v>0</v>
      </c>
      <c r="EG612" s="408">
        <v>0</v>
      </c>
      <c r="EH612" s="408">
        <v>0</v>
      </c>
      <c r="EI612" s="408">
        <v>0</v>
      </c>
      <c r="EJ612" s="408">
        <v>0</v>
      </c>
      <c r="EK612" s="408">
        <v>0</v>
      </c>
      <c r="EL612" s="408">
        <v>0</v>
      </c>
      <c r="EM612" s="408">
        <v>0</v>
      </c>
      <c r="EN612" s="408">
        <v>0</v>
      </c>
      <c r="EO612" s="408">
        <v>0</v>
      </c>
      <c r="EP612" s="408">
        <v>50.239237301754642</v>
      </c>
      <c r="EQ612" s="408">
        <v>0</v>
      </c>
      <c r="ER612" s="408">
        <v>0</v>
      </c>
      <c r="ES612" s="408">
        <v>0</v>
      </c>
      <c r="ET612" s="408">
        <v>0</v>
      </c>
      <c r="EU612" s="408">
        <v>0</v>
      </c>
      <c r="EV612" s="408">
        <v>240</v>
      </c>
      <c r="EW612" s="408">
        <v>0</v>
      </c>
      <c r="EX612" s="408">
        <v>0</v>
      </c>
      <c r="EY612" s="408">
        <v>0</v>
      </c>
      <c r="EZ612" s="408"/>
      <c r="FA612" s="408">
        <v>0</v>
      </c>
      <c r="FB612" s="408"/>
      <c r="FC612" s="408"/>
      <c r="FD612" s="408"/>
      <c r="FE612" s="408"/>
      <c r="FF612" s="408">
        <v>0</v>
      </c>
      <c r="FG612" s="408">
        <v>0</v>
      </c>
      <c r="FH612" s="408">
        <v>0</v>
      </c>
      <c r="FI612" s="408">
        <v>0</v>
      </c>
    </row>
    <row r="613" spans="1:165">
      <c r="A613" s="408">
        <v>611</v>
      </c>
      <c r="B613" s="408" t="s">
        <v>1036</v>
      </c>
      <c r="C613" s="408" t="s">
        <v>2247</v>
      </c>
      <c r="D613" s="408" t="s">
        <v>597</v>
      </c>
      <c r="E613" s="408" t="s">
        <v>1001</v>
      </c>
      <c r="F613" s="408" t="s">
        <v>2251</v>
      </c>
      <c r="G613" s="408" t="s">
        <v>1322</v>
      </c>
      <c r="H613" s="408" t="s">
        <v>1322</v>
      </c>
      <c r="I613" s="408" t="s">
        <v>2244</v>
      </c>
      <c r="J613" s="408" t="s">
        <v>2236</v>
      </c>
      <c r="K613" s="826">
        <v>44621</v>
      </c>
      <c r="L613" s="408">
        <v>78</v>
      </c>
      <c r="M613" s="408">
        <v>73.319999999999993</v>
      </c>
      <c r="N613" s="408">
        <v>24.161999999999999</v>
      </c>
      <c r="O613" s="408">
        <v>22.71228</v>
      </c>
      <c r="P613" s="408">
        <v>24.161999999999999</v>
      </c>
      <c r="Q613" s="408">
        <v>22.71228</v>
      </c>
      <c r="R613" s="408">
        <v>27.19</v>
      </c>
      <c r="S613" s="408">
        <v>85.01</v>
      </c>
      <c r="T613" s="408">
        <v>173.25</v>
      </c>
      <c r="U613" s="408">
        <v>2120.8200000000002</v>
      </c>
      <c r="V613" s="408">
        <v>6240.0781200000001</v>
      </c>
      <c r="W613" s="408">
        <v>8360.8981200000017</v>
      </c>
      <c r="X613" s="408">
        <v>8430.5045399999999</v>
      </c>
      <c r="Y613" s="408">
        <v>0</v>
      </c>
      <c r="Z613" s="408">
        <v>1293.7376033229721</v>
      </c>
      <c r="AA613" s="408">
        <v>0</v>
      </c>
      <c r="AB613" s="408">
        <v>0</v>
      </c>
      <c r="AC613" s="408">
        <v>18.189647847349992</v>
      </c>
      <c r="AD613" s="408">
        <v>17.474717470893072</v>
      </c>
      <c r="AE613" s="408">
        <v>1866.698358966441</v>
      </c>
      <c r="AF613" s="408">
        <v>4115.7664502823327</v>
      </c>
      <c r="AG613" s="408">
        <v>70.244576564937688</v>
      </c>
      <c r="AH613" s="408">
        <v>0</v>
      </c>
      <c r="AI613" s="408">
        <v>0</v>
      </c>
      <c r="AJ613" s="408">
        <v>0</v>
      </c>
      <c r="AK613" s="408">
        <v>0</v>
      </c>
      <c r="AL613" s="408">
        <v>229.75718956073655</v>
      </c>
      <c r="AM613" s="408"/>
      <c r="AN613" s="408">
        <v>19.349263696071628</v>
      </c>
      <c r="AO613" s="408">
        <v>38.601016825056192</v>
      </c>
      <c r="AP613" s="408">
        <v>180.03092975489622</v>
      </c>
      <c r="AQ613" s="408">
        <v>0</v>
      </c>
      <c r="AR613" s="408">
        <v>0</v>
      </c>
      <c r="AS613" s="408">
        <v>0</v>
      </c>
      <c r="AT613" s="408">
        <v>0</v>
      </c>
      <c r="AU613" s="408">
        <v>0</v>
      </c>
      <c r="AV613" s="408">
        <v>0</v>
      </c>
      <c r="AW613" s="408">
        <v>0</v>
      </c>
      <c r="AX613" s="408">
        <v>0</v>
      </c>
      <c r="AY613" s="408">
        <v>0</v>
      </c>
      <c r="AZ613" s="408">
        <v>0</v>
      </c>
      <c r="BA613" s="408"/>
      <c r="BB613" s="408">
        <v>0</v>
      </c>
      <c r="BC613" s="408">
        <v>0</v>
      </c>
      <c r="BD613" s="408">
        <v>0</v>
      </c>
      <c r="BE613" s="408">
        <v>0</v>
      </c>
      <c r="BF613" s="408">
        <v>0</v>
      </c>
      <c r="BG613" s="408">
        <v>180.6993003585697</v>
      </c>
      <c r="BH613" s="408">
        <v>0</v>
      </c>
      <c r="BI613" s="408">
        <v>0</v>
      </c>
      <c r="BJ613" s="408">
        <v>0</v>
      </c>
      <c r="BK613" s="408">
        <v>0</v>
      </c>
      <c r="BL613" s="408">
        <v>0</v>
      </c>
      <c r="BM613" s="408"/>
      <c r="BN613" s="408"/>
      <c r="BO613" s="408"/>
      <c r="BP613" s="408"/>
      <c r="BQ613" s="408">
        <v>505.83027239999996</v>
      </c>
      <c r="BR613" s="408"/>
      <c r="BS613" s="408"/>
      <c r="BT613" s="408"/>
      <c r="BU613" s="408"/>
      <c r="BV613" s="408">
        <v>4296.4657506409021</v>
      </c>
      <c r="BW613" s="408"/>
      <c r="BX613" s="408"/>
      <c r="BY613" s="408"/>
      <c r="BZ613" s="408"/>
      <c r="CA613" s="408"/>
      <c r="CB613" s="408"/>
      <c r="CC613" s="408"/>
      <c r="CD613" s="408"/>
      <c r="CE613" s="408"/>
      <c r="CF613" s="408"/>
      <c r="CG613" s="408"/>
      <c r="CH613" s="408"/>
      <c r="CI613" s="408">
        <v>7924.0389000000005</v>
      </c>
      <c r="CJ613" s="408">
        <v>64.764667200000076</v>
      </c>
      <c r="CK613" s="408"/>
      <c r="CL613" s="408"/>
      <c r="CM613" s="408"/>
      <c r="CN613" s="408"/>
      <c r="CO613" s="408">
        <v>-452.05116000000015</v>
      </c>
      <c r="CP613" s="408">
        <v>521.65758000000005</v>
      </c>
      <c r="CQ613" s="408">
        <v>31</v>
      </c>
      <c r="CR613" s="408">
        <v>532.85579294707441</v>
      </c>
      <c r="CS613" s="408">
        <v>3.8465088191580961</v>
      </c>
      <c r="CT613" s="408">
        <v>17.939697344292341</v>
      </c>
      <c r="CU613" s="408">
        <v>0</v>
      </c>
      <c r="CV613" s="408">
        <v>0</v>
      </c>
      <c r="CW613" s="408">
        <v>0</v>
      </c>
      <c r="CX613" s="408">
        <v>0</v>
      </c>
      <c r="CY613" s="408">
        <v>0</v>
      </c>
      <c r="CZ613" s="408">
        <v>17.993168973760735</v>
      </c>
      <c r="DA613" s="408">
        <v>0</v>
      </c>
      <c r="DB613" s="408">
        <v>0</v>
      </c>
      <c r="DC613" s="408">
        <v>521.59868184256811</v>
      </c>
      <c r="DD613" s="408">
        <v>0</v>
      </c>
      <c r="DE613" s="408">
        <v>0</v>
      </c>
      <c r="DF613" s="408">
        <v>0</v>
      </c>
      <c r="DG613" s="408">
        <v>22.900355988478879</v>
      </c>
      <c r="DH613" s="408">
        <v>0</v>
      </c>
      <c r="DI613" s="408">
        <v>-43.931235095335978</v>
      </c>
      <c r="DJ613" s="408"/>
      <c r="DK613" s="408">
        <v>0</v>
      </c>
      <c r="DL613" s="408">
        <v>0</v>
      </c>
      <c r="DM613" s="408">
        <v>0</v>
      </c>
      <c r="DN613" s="408">
        <v>0</v>
      </c>
      <c r="DO613" s="408">
        <v>-6.9439665888994</v>
      </c>
      <c r="DP613" s="408">
        <v>-0.54741833694945186</v>
      </c>
      <c r="DQ613" s="408">
        <v>0</v>
      </c>
      <c r="DR613" s="408">
        <v>0</v>
      </c>
      <c r="DS613" s="408"/>
      <c r="DT613" s="408"/>
      <c r="DU613" s="408">
        <v>1866.698358966441</v>
      </c>
      <c r="DV613" s="408">
        <v>0</v>
      </c>
      <c r="DW613" s="408">
        <v>0</v>
      </c>
      <c r="DX613" s="408">
        <v>0</v>
      </c>
      <c r="DY613" s="408">
        <v>-452.05116000000089</v>
      </c>
      <c r="DZ613" s="408">
        <v>521.65758000000005</v>
      </c>
      <c r="EA613" s="408">
        <v>0</v>
      </c>
      <c r="EB613" s="408">
        <v>0</v>
      </c>
      <c r="EC613" s="408">
        <v>-463.71953636161152</v>
      </c>
      <c r="ED613" s="408">
        <v>0</v>
      </c>
      <c r="EE613" s="408">
        <v>0</v>
      </c>
      <c r="EF613" s="408">
        <v>0</v>
      </c>
      <c r="EG613" s="408">
        <v>0</v>
      </c>
      <c r="EH613" s="408">
        <v>0</v>
      </c>
      <c r="EI613" s="408">
        <v>0</v>
      </c>
      <c r="EJ613" s="408">
        <v>0</v>
      </c>
      <c r="EK613" s="408">
        <v>0</v>
      </c>
      <c r="EL613" s="408">
        <v>0</v>
      </c>
      <c r="EM613" s="408">
        <v>0</v>
      </c>
      <c r="EN613" s="408">
        <v>0</v>
      </c>
      <c r="EO613" s="408">
        <v>0</v>
      </c>
      <c r="EP613" s="408">
        <v>330.39750998502876</v>
      </c>
      <c r="EQ613" s="408">
        <v>0</v>
      </c>
      <c r="ER613" s="408">
        <v>0</v>
      </c>
      <c r="ES613" s="408">
        <v>0</v>
      </c>
      <c r="ET613" s="408">
        <v>0</v>
      </c>
      <c r="EU613" s="408">
        <v>0</v>
      </c>
      <c r="EV613" s="408">
        <v>240</v>
      </c>
      <c r="EW613" s="408">
        <v>0</v>
      </c>
      <c r="EX613" s="408">
        <v>0</v>
      </c>
      <c r="EY613" s="408">
        <v>0</v>
      </c>
      <c r="EZ613" s="408"/>
      <c r="FA613" s="408">
        <v>0</v>
      </c>
      <c r="FB613" s="408"/>
      <c r="FC613" s="408"/>
      <c r="FD613" s="408"/>
      <c r="FE613" s="408"/>
      <c r="FF613" s="408">
        <v>0</v>
      </c>
      <c r="FG613" s="408">
        <v>0</v>
      </c>
      <c r="FH613" s="408">
        <v>0</v>
      </c>
      <c r="FI613" s="408">
        <v>0</v>
      </c>
    </row>
    <row r="614" spans="1:165">
      <c r="A614" s="408">
        <v>612</v>
      </c>
      <c r="B614" s="408" t="s">
        <v>1036</v>
      </c>
      <c r="C614" s="408" t="s">
        <v>2247</v>
      </c>
      <c r="D614" s="408" t="s">
        <v>597</v>
      </c>
      <c r="E614" s="408" t="s">
        <v>1001</v>
      </c>
      <c r="F614" s="408" t="s">
        <v>2251</v>
      </c>
      <c r="G614" s="408" t="s">
        <v>1322</v>
      </c>
      <c r="H614" s="408" t="s">
        <v>1322</v>
      </c>
      <c r="I614" s="408" t="s">
        <v>1322</v>
      </c>
      <c r="J614" s="408" t="s">
        <v>2236</v>
      </c>
      <c r="K614" s="826">
        <v>44621</v>
      </c>
      <c r="L614" s="408">
        <v>0</v>
      </c>
      <c r="M614" s="408">
        <v>0</v>
      </c>
      <c r="N614" s="408">
        <v>0</v>
      </c>
      <c r="O614" s="408">
        <v>0</v>
      </c>
      <c r="P614" s="408">
        <v>0</v>
      </c>
      <c r="Q614" s="408">
        <v>0</v>
      </c>
      <c r="R614" s="408"/>
      <c r="S614" s="408"/>
      <c r="T614" s="408"/>
      <c r="U614" s="408"/>
      <c r="V614" s="408"/>
      <c r="W614" s="408"/>
      <c r="X614" s="408"/>
      <c r="Y614" s="408"/>
      <c r="Z614" s="408"/>
      <c r="AA614" s="408">
        <v>0</v>
      </c>
      <c r="AB614" s="408"/>
      <c r="AC614" s="408"/>
      <c r="AD614" s="408"/>
      <c r="AE614" s="408"/>
      <c r="AF614" s="408"/>
      <c r="AG614" s="408"/>
      <c r="AH614" s="408"/>
      <c r="AI614" s="408"/>
      <c r="AJ614" s="408"/>
      <c r="AK614" s="408"/>
      <c r="AL614" s="408"/>
      <c r="AM614" s="408"/>
      <c r="AN614" s="408"/>
      <c r="AO614" s="408"/>
      <c r="AP614" s="408"/>
      <c r="AQ614" s="408"/>
      <c r="AR614" s="408"/>
      <c r="AS614" s="408"/>
      <c r="AT614" s="408"/>
      <c r="AU614" s="408"/>
      <c r="AV614" s="408"/>
      <c r="AW614" s="408"/>
      <c r="AX614" s="408"/>
      <c r="AY614" s="408"/>
      <c r="AZ614" s="408">
        <v>0</v>
      </c>
      <c r="BA614" s="408"/>
      <c r="BB614" s="408"/>
      <c r="BC614" s="408"/>
      <c r="BD614" s="408"/>
      <c r="BE614" s="408"/>
      <c r="BF614" s="408"/>
      <c r="BG614" s="408"/>
      <c r="BH614" s="408"/>
      <c r="BI614" s="408">
        <v>11.35</v>
      </c>
      <c r="BJ614" s="408">
        <v>121.55</v>
      </c>
      <c r="BK614" s="408">
        <v>5618.16</v>
      </c>
      <c r="BL614" s="408">
        <v>1</v>
      </c>
      <c r="BM614" s="408"/>
      <c r="BN614" s="408"/>
      <c r="BO614" s="408"/>
      <c r="BP614" s="408"/>
      <c r="BQ614" s="408"/>
      <c r="BR614" s="408"/>
      <c r="BS614" s="408"/>
      <c r="BT614" s="408"/>
      <c r="BU614" s="408"/>
      <c r="BV614" s="408"/>
      <c r="BW614" s="408"/>
      <c r="BX614" s="408"/>
      <c r="BY614" s="408"/>
      <c r="BZ614" s="408"/>
      <c r="CA614" s="408"/>
      <c r="CB614" s="408"/>
      <c r="CC614" s="408"/>
      <c r="CD614" s="408"/>
      <c r="CE614" s="408"/>
      <c r="CF614" s="408"/>
      <c r="CG614" s="408"/>
      <c r="CH614" s="408"/>
      <c r="CI614" s="408"/>
      <c r="CJ614" s="408">
        <v>-0.03</v>
      </c>
      <c r="CK614" s="408"/>
      <c r="CL614" s="408"/>
      <c r="CM614" s="408"/>
      <c r="CN614" s="408"/>
      <c r="CO614" s="408">
        <v>0</v>
      </c>
      <c r="CP614" s="408">
        <v>0</v>
      </c>
      <c r="CQ614" s="408">
        <v>31</v>
      </c>
      <c r="CR614" s="408"/>
      <c r="CS614" s="408"/>
      <c r="CT614" s="408"/>
      <c r="CU614" s="408"/>
      <c r="CV614" s="408"/>
      <c r="CW614" s="408"/>
      <c r="CX614" s="408"/>
      <c r="CY614" s="408"/>
      <c r="CZ614" s="408"/>
      <c r="DA614" s="408"/>
      <c r="DB614" s="408"/>
      <c r="DC614" s="408"/>
      <c r="DD614" s="408"/>
      <c r="DE614" s="408"/>
      <c r="DF614" s="408"/>
      <c r="DG614" s="408"/>
      <c r="DH614" s="408"/>
      <c r="DI614" s="408"/>
      <c r="DJ614" s="408"/>
      <c r="DK614" s="408">
        <v>0</v>
      </c>
      <c r="DL614" s="408"/>
      <c r="DM614" s="408"/>
      <c r="DN614" s="408"/>
      <c r="DO614" s="408"/>
      <c r="DP614" s="408"/>
      <c r="DQ614" s="408"/>
      <c r="DR614" s="408"/>
      <c r="DS614" s="408"/>
      <c r="DT614" s="408"/>
      <c r="DU614" s="408"/>
      <c r="DV614" s="408"/>
      <c r="DW614" s="408"/>
      <c r="DX614" s="408"/>
      <c r="DY614" s="408"/>
      <c r="DZ614" s="408"/>
      <c r="EA614" s="408"/>
      <c r="EB614" s="408"/>
      <c r="EC614" s="408"/>
      <c r="ED614" s="408"/>
      <c r="EE614" s="408"/>
      <c r="EF614" s="408"/>
      <c r="EG614" s="408"/>
      <c r="EH614" s="408"/>
      <c r="EI614" s="408"/>
      <c r="EJ614" s="408"/>
      <c r="EK614" s="408"/>
      <c r="EL614" s="408"/>
      <c r="EM614" s="408"/>
      <c r="EN614" s="408"/>
      <c r="EO614" s="408"/>
      <c r="EP614" s="408"/>
      <c r="EQ614" s="408"/>
      <c r="ER614" s="408"/>
      <c r="ES614" s="408"/>
      <c r="ET614" s="408"/>
      <c r="EU614" s="408"/>
      <c r="EV614" s="408">
        <v>240</v>
      </c>
      <c r="EW614" s="408"/>
      <c r="EX614" s="408"/>
      <c r="EY614" s="408"/>
      <c r="EZ614" s="408"/>
      <c r="FA614" s="408">
        <v>0</v>
      </c>
      <c r="FB614" s="408"/>
      <c r="FC614" s="408"/>
      <c r="FD614" s="408"/>
      <c r="FE614" s="408"/>
      <c r="FF614" s="408">
        <v>0</v>
      </c>
      <c r="FG614" s="408">
        <v>0</v>
      </c>
      <c r="FH614" s="408">
        <v>0</v>
      </c>
      <c r="FI614" s="408">
        <v>0</v>
      </c>
    </row>
    <row r="615" spans="1:165">
      <c r="A615" s="408">
        <v>613</v>
      </c>
      <c r="B615" s="408" t="s">
        <v>1036</v>
      </c>
      <c r="C615" s="408" t="s">
        <v>2235</v>
      </c>
      <c r="D615" s="408" t="s">
        <v>1958</v>
      </c>
      <c r="E615" s="408" t="s">
        <v>2252</v>
      </c>
      <c r="F615" s="408" t="s">
        <v>1322</v>
      </c>
      <c r="G615" s="408" t="s">
        <v>1322</v>
      </c>
      <c r="H615" s="408" t="s">
        <v>1322</v>
      </c>
      <c r="I615" s="408" t="s">
        <v>1322</v>
      </c>
      <c r="J615" s="408" t="s">
        <v>2236</v>
      </c>
      <c r="K615" s="826">
        <v>44621</v>
      </c>
      <c r="L615" s="408">
        <v>0</v>
      </c>
      <c r="M615" s="408">
        <v>0</v>
      </c>
      <c r="N615" s="408">
        <v>20.754000000000001</v>
      </c>
      <c r="O615" s="408">
        <v>20.754000000000001</v>
      </c>
      <c r="P615" s="408">
        <v>20.754000000000001</v>
      </c>
      <c r="Q615" s="408">
        <v>20.754000000000001</v>
      </c>
      <c r="R615" s="408"/>
      <c r="S615" s="408">
        <v>368.24</v>
      </c>
      <c r="T615" s="408">
        <v>173.25</v>
      </c>
      <c r="U615" s="408"/>
      <c r="V615" s="408">
        <v>11238.083460000002</v>
      </c>
      <c r="W615" s="408">
        <v>11238.083460000002</v>
      </c>
      <c r="X615" s="408">
        <v>10561.503060000001</v>
      </c>
      <c r="Y615" s="408">
        <v>0</v>
      </c>
      <c r="Z615" s="408">
        <v>1277.3087321197333</v>
      </c>
      <c r="AA615" s="408">
        <v>0</v>
      </c>
      <c r="AB615" s="408">
        <v>0</v>
      </c>
      <c r="AC615" s="408">
        <v>53.120638470736537</v>
      </c>
      <c r="AD615" s="408">
        <v>51.037021902407361</v>
      </c>
      <c r="AE615" s="408">
        <v>4888.3370936428237</v>
      </c>
      <c r="AF615" s="408">
        <v>3535.2461265275861</v>
      </c>
      <c r="AG615" s="408">
        <v>60.33672469285311</v>
      </c>
      <c r="AH615" s="408">
        <v>0</v>
      </c>
      <c r="AI615" s="408">
        <v>0</v>
      </c>
      <c r="AJ615" s="408">
        <v>0</v>
      </c>
      <c r="AK615" s="408">
        <v>0</v>
      </c>
      <c r="AL615" s="408">
        <v>197.35041437561156</v>
      </c>
      <c r="AM615" s="408"/>
      <c r="AN615" s="408">
        <v>25.067858249883891</v>
      </c>
      <c r="AO615" s="408">
        <v>112.76469119791322</v>
      </c>
      <c r="AP615" s="408">
        <v>525.80511922334722</v>
      </c>
      <c r="AQ615" s="408">
        <v>0</v>
      </c>
      <c r="AR615" s="408">
        <v>0</v>
      </c>
      <c r="AS615" s="408">
        <v>0</v>
      </c>
      <c r="AT615" s="408">
        <v>0</v>
      </c>
      <c r="AU615" s="408">
        <v>0</v>
      </c>
      <c r="AV615" s="408">
        <v>0</v>
      </c>
      <c r="AW615" s="408">
        <v>0</v>
      </c>
      <c r="AX615" s="408">
        <v>0</v>
      </c>
      <c r="AY615" s="408">
        <v>0</v>
      </c>
      <c r="AZ615" s="408">
        <v>0</v>
      </c>
      <c r="BA615" s="408"/>
      <c r="BB615" s="408">
        <v>0</v>
      </c>
      <c r="BC615" s="408">
        <v>0</v>
      </c>
      <c r="BD615" s="408">
        <v>0</v>
      </c>
      <c r="BE615" s="408">
        <v>0</v>
      </c>
      <c r="BF615" s="408">
        <v>0</v>
      </c>
      <c r="BG615" s="408">
        <v>185.53643953679676</v>
      </c>
      <c r="BH615" s="408">
        <v>0</v>
      </c>
      <c r="BI615" s="408">
        <v>9.52</v>
      </c>
      <c r="BJ615" s="408">
        <v>102.15</v>
      </c>
      <c r="BK615" s="408">
        <v>4540.04</v>
      </c>
      <c r="BL615" s="408">
        <v>5</v>
      </c>
      <c r="BM615" s="408"/>
      <c r="BN615" s="408"/>
      <c r="BO615" s="408"/>
      <c r="BP615" s="408"/>
      <c r="BQ615" s="408"/>
      <c r="BR615" s="408"/>
      <c r="BS615" s="408"/>
      <c r="BT615" s="408"/>
      <c r="BU615" s="408"/>
      <c r="BV615" s="408">
        <v>3720.782566064383</v>
      </c>
      <c r="BW615" s="408"/>
      <c r="BX615" s="408"/>
      <c r="BY615" s="408"/>
      <c r="BZ615" s="408"/>
      <c r="CA615" s="408"/>
      <c r="CB615" s="408"/>
      <c r="CC615" s="408"/>
      <c r="CD615" s="408"/>
      <c r="CE615" s="408"/>
      <c r="CF615" s="408"/>
      <c r="CG615" s="408"/>
      <c r="CH615" s="408"/>
      <c r="CI615" s="408">
        <v>10559.467500000001</v>
      </c>
      <c r="CJ615" s="408">
        <v>-678.64596000000165</v>
      </c>
      <c r="CK615" s="408"/>
      <c r="CL615" s="408"/>
      <c r="CM615" s="408"/>
      <c r="CN615" s="408"/>
      <c r="CO615" s="408">
        <v>-1124.6592600000001</v>
      </c>
      <c r="CP615" s="408">
        <v>448.07886000000008</v>
      </c>
      <c r="CQ615" s="408">
        <v>31</v>
      </c>
      <c r="CR615" s="408">
        <v>537.67788100870166</v>
      </c>
      <c r="CS615" s="408">
        <v>11.236760449814454</v>
      </c>
      <c r="CT615" s="408">
        <v>52.395356252332817</v>
      </c>
      <c r="CU615" s="408">
        <v>0</v>
      </c>
      <c r="CV615" s="408">
        <v>0</v>
      </c>
      <c r="CW615" s="408">
        <v>0</v>
      </c>
      <c r="CX615" s="408">
        <v>0</v>
      </c>
      <c r="CY615" s="408">
        <v>0</v>
      </c>
      <c r="CZ615" s="408">
        <v>52.551222103427193</v>
      </c>
      <c r="DA615" s="408">
        <v>0</v>
      </c>
      <c r="DB615" s="408">
        <v>0</v>
      </c>
      <c r="DC615" s="408">
        <v>448.02826930554829</v>
      </c>
      <c r="DD615" s="408">
        <v>0</v>
      </c>
      <c r="DE615" s="408">
        <v>0</v>
      </c>
      <c r="DF615" s="408">
        <v>0</v>
      </c>
      <c r="DG615" s="408">
        <v>23.513375568120637</v>
      </c>
      <c r="DH615" s="408">
        <v>0</v>
      </c>
      <c r="DI615" s="408">
        <v>-43.373362616924851</v>
      </c>
      <c r="DJ615" s="408"/>
      <c r="DK615" s="408">
        <v>0</v>
      </c>
      <c r="DL615" s="408">
        <v>0</v>
      </c>
      <c r="DM615" s="408">
        <v>0</v>
      </c>
      <c r="DN615" s="408">
        <v>0</v>
      </c>
      <c r="DO615" s="408">
        <v>-5.9645344998765779</v>
      </c>
      <c r="DP615" s="408">
        <v>-0.70920555374009098</v>
      </c>
      <c r="DQ615" s="408">
        <v>0</v>
      </c>
      <c r="DR615" s="408">
        <v>0</v>
      </c>
      <c r="DS615" s="408"/>
      <c r="DT615" s="408"/>
      <c r="DU615" s="408"/>
      <c r="DV615" s="408">
        <v>4888.3370936428237</v>
      </c>
      <c r="DW615" s="408">
        <v>0</v>
      </c>
      <c r="DX615" s="408">
        <v>0</v>
      </c>
      <c r="DY615" s="408">
        <v>-1124.6592599999994</v>
      </c>
      <c r="DZ615" s="408">
        <v>448.07886000000008</v>
      </c>
      <c r="EA615" s="408">
        <v>0</v>
      </c>
      <c r="EB615" s="408">
        <v>0</v>
      </c>
      <c r="EC615" s="408">
        <v>-1214.345852802081</v>
      </c>
      <c r="ED615" s="408">
        <v>0</v>
      </c>
      <c r="EE615" s="408">
        <v>0</v>
      </c>
      <c r="EF615" s="408">
        <v>0</v>
      </c>
      <c r="EG615" s="408">
        <v>0</v>
      </c>
      <c r="EH615" s="408">
        <v>0</v>
      </c>
      <c r="EI615" s="408">
        <v>0</v>
      </c>
      <c r="EJ615" s="408">
        <v>0</v>
      </c>
      <c r="EK615" s="408">
        <v>0</v>
      </c>
      <c r="EL615" s="408">
        <v>0</v>
      </c>
      <c r="EM615" s="408">
        <v>0</v>
      </c>
      <c r="EN615" s="408">
        <v>0</v>
      </c>
      <c r="EO615" s="408">
        <v>0</v>
      </c>
      <c r="EP615" s="408">
        <v>326.20186928982588</v>
      </c>
      <c r="EQ615" s="408">
        <v>0</v>
      </c>
      <c r="ER615" s="408">
        <v>0</v>
      </c>
      <c r="ES615" s="408">
        <v>0</v>
      </c>
      <c r="ET615" s="408">
        <v>0</v>
      </c>
      <c r="EU615" s="408">
        <v>0</v>
      </c>
      <c r="EV615" s="408">
        <v>240</v>
      </c>
      <c r="EW615" s="408">
        <v>0</v>
      </c>
      <c r="EX615" s="408">
        <v>0</v>
      </c>
      <c r="EY615" s="408">
        <v>0</v>
      </c>
      <c r="EZ615" s="408"/>
      <c r="FA615" s="408">
        <v>0</v>
      </c>
      <c r="FB615" s="408"/>
      <c r="FC615" s="408"/>
      <c r="FD615" s="408"/>
      <c r="FE615" s="408"/>
      <c r="FF615" s="408">
        <v>0</v>
      </c>
      <c r="FG615" s="408">
        <v>0</v>
      </c>
      <c r="FH615" s="408">
        <v>0</v>
      </c>
      <c r="FI615" s="408">
        <v>0</v>
      </c>
    </row>
    <row r="616" spans="1:165">
      <c r="A616" s="408">
        <v>614</v>
      </c>
      <c r="B616" s="408" t="s">
        <v>2238</v>
      </c>
      <c r="C616" s="408" t="s">
        <v>2235</v>
      </c>
      <c r="D616" s="408" t="s">
        <v>1958</v>
      </c>
      <c r="E616" s="408" t="s">
        <v>2252</v>
      </c>
      <c r="F616" s="408" t="s">
        <v>1322</v>
      </c>
      <c r="G616" s="408" t="s">
        <v>1322</v>
      </c>
      <c r="H616" s="408" t="s">
        <v>1322</v>
      </c>
      <c r="I616" s="408" t="s">
        <v>1322</v>
      </c>
      <c r="J616" s="408" t="s">
        <v>2236</v>
      </c>
      <c r="K616" s="826">
        <v>44621</v>
      </c>
      <c r="L616" s="408">
        <v>0</v>
      </c>
      <c r="M616" s="408">
        <v>0</v>
      </c>
      <c r="N616" s="408">
        <v>4.7560000000000002</v>
      </c>
      <c r="O616" s="408">
        <v>4.7560000000000002</v>
      </c>
      <c r="P616" s="408">
        <v>4.7560000000000002</v>
      </c>
      <c r="Q616" s="408">
        <v>4.7560000000000002</v>
      </c>
      <c r="R616" s="408"/>
      <c r="S616" s="408">
        <v>368.24</v>
      </c>
      <c r="T616" s="408">
        <v>173.25</v>
      </c>
      <c r="U616" s="408"/>
      <c r="V616" s="408">
        <v>2575.3264400000003</v>
      </c>
      <c r="W616" s="408">
        <v>2575.3264400000003</v>
      </c>
      <c r="X616" s="408">
        <v>2420.2808400000004</v>
      </c>
      <c r="Y616" s="408">
        <v>0</v>
      </c>
      <c r="Z616" s="408">
        <v>292.70889129620565</v>
      </c>
      <c r="AA616" s="408">
        <v>0</v>
      </c>
      <c r="AB616" s="408">
        <v>0</v>
      </c>
      <c r="AC616" s="408">
        <v>12.173159707373181</v>
      </c>
      <c r="AD616" s="408">
        <v>11.695676793285603</v>
      </c>
      <c r="AE616" s="408">
        <v>1120.2144751549229</v>
      </c>
      <c r="AF616" s="408">
        <v>810.13927810374867</v>
      </c>
      <c r="AG616" s="408">
        <v>13.826802671254187</v>
      </c>
      <c r="AH616" s="408">
        <v>0</v>
      </c>
      <c r="AI616" s="408">
        <v>0</v>
      </c>
      <c r="AJ616" s="408">
        <v>0</v>
      </c>
      <c r="AK616" s="408">
        <v>0</v>
      </c>
      <c r="AL616" s="408">
        <v>45.224947998959649</v>
      </c>
      <c r="AM616" s="408"/>
      <c r="AN616" s="408">
        <v>5.7445665335090963</v>
      </c>
      <c r="AO616" s="408">
        <v>25.841229225078312</v>
      </c>
      <c r="AP616" s="408">
        <v>120.49383959845039</v>
      </c>
      <c r="AQ616" s="408">
        <v>0</v>
      </c>
      <c r="AR616" s="408">
        <v>0</v>
      </c>
      <c r="AS616" s="408">
        <v>0</v>
      </c>
      <c r="AT616" s="408">
        <v>0</v>
      </c>
      <c r="AU616" s="408">
        <v>0</v>
      </c>
      <c r="AV616" s="408">
        <v>0</v>
      </c>
      <c r="AW616" s="408">
        <v>0</v>
      </c>
      <c r="AX616" s="408">
        <v>0</v>
      </c>
      <c r="AY616" s="408">
        <v>0</v>
      </c>
      <c r="AZ616" s="408">
        <v>0</v>
      </c>
      <c r="BA616" s="408"/>
      <c r="BB616" s="408">
        <v>0</v>
      </c>
      <c r="BC616" s="408">
        <v>0</v>
      </c>
      <c r="BD616" s="408">
        <v>0</v>
      </c>
      <c r="BE616" s="408">
        <v>0</v>
      </c>
      <c r="BF616" s="408">
        <v>0</v>
      </c>
      <c r="BG616" s="408">
        <v>42.517649919871126</v>
      </c>
      <c r="BH616" s="408">
        <v>0</v>
      </c>
      <c r="BI616" s="408">
        <v>2.1800000000000002</v>
      </c>
      <c r="BJ616" s="408">
        <v>23.41</v>
      </c>
      <c r="BK616" s="408">
        <v>1078.29</v>
      </c>
      <c r="BL616" s="408">
        <v>1</v>
      </c>
      <c r="BM616" s="408"/>
      <c r="BN616" s="408"/>
      <c r="BO616" s="408"/>
      <c r="BP616" s="408"/>
      <c r="BQ616" s="408"/>
      <c r="BR616" s="408"/>
      <c r="BS616" s="408"/>
      <c r="BT616" s="408"/>
      <c r="BU616" s="408"/>
      <c r="BV616" s="408">
        <v>852.6569280236198</v>
      </c>
      <c r="BW616" s="408"/>
      <c r="BX616" s="408"/>
      <c r="BY616" s="408"/>
      <c r="BZ616" s="408"/>
      <c r="CA616" s="408"/>
      <c r="CB616" s="408"/>
      <c r="CC616" s="408"/>
      <c r="CD616" s="408"/>
      <c r="CE616" s="408"/>
      <c r="CF616" s="408"/>
      <c r="CG616" s="408"/>
      <c r="CH616" s="408"/>
      <c r="CI616" s="408">
        <v>2422.3163999999997</v>
      </c>
      <c r="CJ616" s="408">
        <v>-153.04004000000077</v>
      </c>
      <c r="CK616" s="408"/>
      <c r="CL616" s="408"/>
      <c r="CM616" s="408"/>
      <c r="CN616" s="408"/>
      <c r="CO616" s="408">
        <v>-257.72764000000001</v>
      </c>
      <c r="CP616" s="408">
        <v>102.68204000000001</v>
      </c>
      <c r="CQ616" s="408">
        <v>31</v>
      </c>
      <c r="CR616" s="408">
        <v>123.2146093320514</v>
      </c>
      <c r="CS616" s="408">
        <v>2.5750232581342196</v>
      </c>
      <c r="CT616" s="408">
        <v>12.006953567316884</v>
      </c>
      <c r="CU616" s="408">
        <v>0</v>
      </c>
      <c r="CV616" s="408">
        <v>0</v>
      </c>
      <c r="CW616" s="408">
        <v>0</v>
      </c>
      <c r="CX616" s="408">
        <v>0</v>
      </c>
      <c r="CY616" s="408">
        <v>0</v>
      </c>
      <c r="CZ616" s="408">
        <v>12.042671886089416</v>
      </c>
      <c r="DA616" s="408">
        <v>0</v>
      </c>
      <c r="DB616" s="408">
        <v>0</v>
      </c>
      <c r="DC616" s="408">
        <v>102.67044660389263</v>
      </c>
      <c r="DD616" s="408">
        <v>0</v>
      </c>
      <c r="DE616" s="408">
        <v>0</v>
      </c>
      <c r="DF616" s="408">
        <v>0</v>
      </c>
      <c r="DG616" s="408">
        <v>5.3883402814870252</v>
      </c>
      <c r="DH616" s="408">
        <v>0</v>
      </c>
      <c r="DI616" s="408">
        <v>-9.9394676980869008</v>
      </c>
      <c r="DJ616" s="408"/>
      <c r="DK616" s="408">
        <v>0</v>
      </c>
      <c r="DL616" s="408">
        <v>0</v>
      </c>
      <c r="DM616" s="408">
        <v>0</v>
      </c>
      <c r="DN616" s="408">
        <v>0</v>
      </c>
      <c r="DO616" s="408">
        <v>-1.3668365655494341</v>
      </c>
      <c r="DP616" s="408">
        <v>-0.16252200123291249</v>
      </c>
      <c r="DQ616" s="408">
        <v>0</v>
      </c>
      <c r="DR616" s="408">
        <v>0</v>
      </c>
      <c r="DS616" s="408"/>
      <c r="DT616" s="408"/>
      <c r="DU616" s="408"/>
      <c r="DV616" s="408">
        <v>1120.2144751549229</v>
      </c>
      <c r="DW616" s="408">
        <v>0</v>
      </c>
      <c r="DX616" s="408">
        <v>0</v>
      </c>
      <c r="DY616" s="408">
        <v>-257.72764000000006</v>
      </c>
      <c r="DZ616" s="408">
        <v>102.68203999999992</v>
      </c>
      <c r="EA616" s="408">
        <v>0</v>
      </c>
      <c r="EB616" s="408">
        <v>0</v>
      </c>
      <c r="EC616" s="408">
        <v>-278.28027734059447</v>
      </c>
      <c r="ED616" s="408">
        <v>0</v>
      </c>
      <c r="EE616" s="408">
        <v>0</v>
      </c>
      <c r="EF616" s="408">
        <v>0</v>
      </c>
      <c r="EG616" s="408">
        <v>0</v>
      </c>
      <c r="EH616" s="408">
        <v>0</v>
      </c>
      <c r="EI616" s="408">
        <v>0</v>
      </c>
      <c r="EJ616" s="408">
        <v>0</v>
      </c>
      <c r="EK616" s="408">
        <v>0</v>
      </c>
      <c r="EL616" s="408">
        <v>0</v>
      </c>
      <c r="EM616" s="408">
        <v>0</v>
      </c>
      <c r="EN616" s="408">
        <v>0</v>
      </c>
      <c r="EO616" s="408">
        <v>0</v>
      </c>
      <c r="EP616" s="408">
        <v>74.752630352819295</v>
      </c>
      <c r="EQ616" s="408">
        <v>0</v>
      </c>
      <c r="ER616" s="408">
        <v>0</v>
      </c>
      <c r="ES616" s="408">
        <v>0</v>
      </c>
      <c r="ET616" s="408">
        <v>0</v>
      </c>
      <c r="EU616" s="408">
        <v>0</v>
      </c>
      <c r="EV616" s="408">
        <v>240</v>
      </c>
      <c r="EW616" s="408">
        <v>0</v>
      </c>
      <c r="EX616" s="408">
        <v>0</v>
      </c>
      <c r="EY616" s="408">
        <v>0</v>
      </c>
      <c r="EZ616" s="408"/>
      <c r="FA616" s="408">
        <v>0</v>
      </c>
      <c r="FB616" s="408"/>
      <c r="FC616" s="408"/>
      <c r="FD616" s="408"/>
      <c r="FE616" s="408"/>
      <c r="FF616" s="408">
        <v>0</v>
      </c>
      <c r="FG616" s="408">
        <v>0</v>
      </c>
      <c r="FH616" s="408">
        <v>0</v>
      </c>
      <c r="FI616" s="408">
        <v>0</v>
      </c>
    </row>
    <row r="617" spans="1:165">
      <c r="A617" s="408">
        <v>615</v>
      </c>
      <c r="B617" s="408" t="s">
        <v>1036</v>
      </c>
      <c r="C617" s="408" t="s">
        <v>2235</v>
      </c>
      <c r="D617" s="408" t="s">
        <v>2245</v>
      </c>
      <c r="E617" s="408" t="s">
        <v>974</v>
      </c>
      <c r="F617" s="408" t="s">
        <v>2253</v>
      </c>
      <c r="G617" s="408" t="s">
        <v>2254</v>
      </c>
      <c r="H617" s="408" t="s">
        <v>1322</v>
      </c>
      <c r="I617" s="408" t="s">
        <v>1322</v>
      </c>
      <c r="J617" s="408" t="s">
        <v>2236</v>
      </c>
      <c r="K617" s="826">
        <v>44621</v>
      </c>
      <c r="L617" s="408">
        <v>0</v>
      </c>
      <c r="M617" s="408">
        <v>0</v>
      </c>
      <c r="N617" s="408">
        <v>0</v>
      </c>
      <c r="O617" s="408">
        <v>0</v>
      </c>
      <c r="P617" s="408">
        <v>0</v>
      </c>
      <c r="Q617" s="408">
        <v>0</v>
      </c>
      <c r="R617" s="408"/>
      <c r="S617" s="408"/>
      <c r="T617" s="408"/>
      <c r="U617" s="408"/>
      <c r="V617" s="408"/>
      <c r="W617" s="408"/>
      <c r="X617" s="408"/>
      <c r="Y617" s="408"/>
      <c r="Z617" s="408"/>
      <c r="AA617" s="408">
        <v>0</v>
      </c>
      <c r="AB617" s="408"/>
      <c r="AC617" s="408"/>
      <c r="AD617" s="408"/>
      <c r="AE617" s="408"/>
      <c r="AF617" s="408"/>
      <c r="AG617" s="408"/>
      <c r="AH617" s="408"/>
      <c r="AI617" s="408"/>
      <c r="AJ617" s="408"/>
      <c r="AK617" s="408"/>
      <c r="AL617" s="408"/>
      <c r="AM617" s="408"/>
      <c r="AN617" s="408"/>
      <c r="AO617" s="408"/>
      <c r="AP617" s="408"/>
      <c r="AQ617" s="408"/>
      <c r="AR617" s="408"/>
      <c r="AS617" s="408"/>
      <c r="AT617" s="408"/>
      <c r="AU617" s="408"/>
      <c r="AV617" s="408"/>
      <c r="AW617" s="408"/>
      <c r="AX617" s="408"/>
      <c r="AY617" s="408"/>
      <c r="AZ617" s="408">
        <v>0</v>
      </c>
      <c r="BA617" s="408"/>
      <c r="BB617" s="408"/>
      <c r="BC617" s="408"/>
      <c r="BD617" s="408"/>
      <c r="BE617" s="408"/>
      <c r="BF617" s="408"/>
      <c r="BG617" s="408"/>
      <c r="BH617" s="408"/>
      <c r="BI617" s="408">
        <v>0.28000000000000003</v>
      </c>
      <c r="BJ617" s="408">
        <v>3.04</v>
      </c>
      <c r="BK617" s="408">
        <v>35.76</v>
      </c>
      <c r="BL617" s="408">
        <v>4</v>
      </c>
      <c r="BM617" s="408"/>
      <c r="BN617" s="408"/>
      <c r="BO617" s="408"/>
      <c r="BP617" s="408"/>
      <c r="BQ617" s="408"/>
      <c r="BR617" s="408"/>
      <c r="BS617" s="408"/>
      <c r="BT617" s="408"/>
      <c r="BU617" s="408"/>
      <c r="BV617" s="408"/>
      <c r="BW617" s="408"/>
      <c r="BX617" s="408"/>
      <c r="BY617" s="408"/>
      <c r="BZ617" s="408"/>
      <c r="CA617" s="408"/>
      <c r="CB617" s="408"/>
      <c r="CC617" s="408"/>
      <c r="CD617" s="408"/>
      <c r="CE617" s="408"/>
      <c r="CF617" s="408"/>
      <c r="CG617" s="408"/>
      <c r="CH617" s="408"/>
      <c r="CI617" s="408"/>
      <c r="CJ617" s="408">
        <v>-0.03</v>
      </c>
      <c r="CK617" s="408"/>
      <c r="CL617" s="408"/>
      <c r="CM617" s="408"/>
      <c r="CN617" s="408"/>
      <c r="CO617" s="408">
        <v>0</v>
      </c>
      <c r="CP617" s="408">
        <v>0</v>
      </c>
      <c r="CQ617" s="408">
        <v>31</v>
      </c>
      <c r="CR617" s="408"/>
      <c r="CS617" s="408"/>
      <c r="CT617" s="408"/>
      <c r="CU617" s="408"/>
      <c r="CV617" s="408"/>
      <c r="CW617" s="408"/>
      <c r="CX617" s="408"/>
      <c r="CY617" s="408"/>
      <c r="CZ617" s="408"/>
      <c r="DA617" s="408"/>
      <c r="DB617" s="408"/>
      <c r="DC617" s="408"/>
      <c r="DD617" s="408"/>
      <c r="DE617" s="408"/>
      <c r="DF617" s="408"/>
      <c r="DG617" s="408"/>
      <c r="DH617" s="408"/>
      <c r="DI617" s="408"/>
      <c r="DJ617" s="408"/>
      <c r="DK617" s="408">
        <v>0</v>
      </c>
      <c r="DL617" s="408"/>
      <c r="DM617" s="408"/>
      <c r="DN617" s="408"/>
      <c r="DO617" s="408"/>
      <c r="DP617" s="408"/>
      <c r="DQ617" s="408"/>
      <c r="DR617" s="408"/>
      <c r="DS617" s="408"/>
      <c r="DT617" s="408"/>
      <c r="DU617" s="408"/>
      <c r="DV617" s="408"/>
      <c r="DW617" s="408"/>
      <c r="DX617" s="408"/>
      <c r="DY617" s="408"/>
      <c r="DZ617" s="408"/>
      <c r="EA617" s="408"/>
      <c r="EB617" s="408"/>
      <c r="EC617" s="408"/>
      <c r="ED617" s="408"/>
      <c r="EE617" s="408"/>
      <c r="EF617" s="408"/>
      <c r="EG617" s="408"/>
      <c r="EH617" s="408"/>
      <c r="EI617" s="408"/>
      <c r="EJ617" s="408"/>
      <c r="EK617" s="408"/>
      <c r="EL617" s="408"/>
      <c r="EM617" s="408"/>
      <c r="EN617" s="408"/>
      <c r="EO617" s="408"/>
      <c r="EP617" s="408"/>
      <c r="EQ617" s="408"/>
      <c r="ER617" s="408"/>
      <c r="ES617" s="408"/>
      <c r="ET617" s="408"/>
      <c r="EU617" s="408"/>
      <c r="EV617" s="408">
        <v>240</v>
      </c>
      <c r="EW617" s="408"/>
      <c r="EX617" s="408"/>
      <c r="EY617" s="408"/>
      <c r="EZ617" s="408"/>
      <c r="FA617" s="408">
        <v>0</v>
      </c>
      <c r="FB617" s="408"/>
      <c r="FC617" s="408"/>
      <c r="FD617" s="408"/>
      <c r="FE617" s="408"/>
      <c r="FF617" s="408">
        <v>0</v>
      </c>
      <c r="FG617" s="408">
        <v>0</v>
      </c>
      <c r="FH617" s="408">
        <v>0</v>
      </c>
      <c r="FI617" s="408">
        <v>0</v>
      </c>
    </row>
    <row r="618" spans="1:165">
      <c r="A618" s="408">
        <v>616</v>
      </c>
      <c r="B618" s="408" t="s">
        <v>1036</v>
      </c>
      <c r="C618" s="408" t="s">
        <v>2235</v>
      </c>
      <c r="D618" s="408" t="s">
        <v>2245</v>
      </c>
      <c r="E618" s="408" t="s">
        <v>974</v>
      </c>
      <c r="F618" s="408" t="s">
        <v>2253</v>
      </c>
      <c r="G618" s="408" t="s">
        <v>2254</v>
      </c>
      <c r="H618" s="408" t="s">
        <v>1322</v>
      </c>
      <c r="I618" s="408" t="s">
        <v>1322</v>
      </c>
      <c r="J618" s="408" t="s">
        <v>2236</v>
      </c>
      <c r="K618" s="826">
        <v>44621</v>
      </c>
      <c r="L618" s="408">
        <v>0</v>
      </c>
      <c r="M618" s="408">
        <v>0</v>
      </c>
      <c r="N618" s="408">
        <v>0.52200000000000002</v>
      </c>
      <c r="O618" s="408">
        <v>0.52200000000000002</v>
      </c>
      <c r="P618" s="408">
        <v>0.52200000000000002</v>
      </c>
      <c r="Q618" s="408">
        <v>0.52200000000000002</v>
      </c>
      <c r="R618" s="408"/>
      <c r="S618" s="408">
        <v>368.24</v>
      </c>
      <c r="T618" s="408">
        <v>173.25</v>
      </c>
      <c r="U618" s="408"/>
      <c r="V618" s="408">
        <v>282.65778</v>
      </c>
      <c r="W618" s="408">
        <v>282.65778</v>
      </c>
      <c r="X618" s="408">
        <v>265.64058</v>
      </c>
      <c r="Y618" s="408">
        <v>0</v>
      </c>
      <c r="Z618" s="408">
        <v>32.126585630071347</v>
      </c>
      <c r="AA618" s="408">
        <v>0</v>
      </c>
      <c r="AB618" s="408">
        <v>0</v>
      </c>
      <c r="AC618" s="408">
        <v>1.3360785044677881</v>
      </c>
      <c r="AD618" s="408">
        <v>1.283671843165493</v>
      </c>
      <c r="AE618" s="408">
        <v>122.95036922432081</v>
      </c>
      <c r="AF618" s="408">
        <v>88.917725645533395</v>
      </c>
      <c r="AG618" s="408">
        <v>1.5175759029425326</v>
      </c>
      <c r="AH618" s="408">
        <v>0</v>
      </c>
      <c r="AI618" s="408">
        <v>0</v>
      </c>
      <c r="AJ618" s="408">
        <v>0</v>
      </c>
      <c r="AK618" s="408">
        <v>0</v>
      </c>
      <c r="AL618" s="408">
        <v>4.9637138047638638</v>
      </c>
      <c r="AM618" s="408"/>
      <c r="AN618" s="408">
        <v>0.63050120489733985</v>
      </c>
      <c r="AO618" s="408">
        <v>2.8362324759232291</v>
      </c>
      <c r="AP618" s="408">
        <v>13.224933614464067</v>
      </c>
      <c r="AQ618" s="408">
        <v>0</v>
      </c>
      <c r="AR618" s="408">
        <v>0</v>
      </c>
      <c r="AS618" s="408">
        <v>0</v>
      </c>
      <c r="AT618" s="408">
        <v>0</v>
      </c>
      <c r="AU618" s="408">
        <v>0</v>
      </c>
      <c r="AV618" s="408">
        <v>0</v>
      </c>
      <c r="AW618" s="408">
        <v>0</v>
      </c>
      <c r="AX618" s="408">
        <v>0</v>
      </c>
      <c r="AY618" s="408">
        <v>0</v>
      </c>
      <c r="AZ618" s="408">
        <v>0</v>
      </c>
      <c r="BA618" s="408"/>
      <c r="BB618" s="408">
        <v>0</v>
      </c>
      <c r="BC618" s="408">
        <v>0</v>
      </c>
      <c r="BD618" s="408">
        <v>0</v>
      </c>
      <c r="BE618" s="408">
        <v>0</v>
      </c>
      <c r="BF618" s="408">
        <v>0</v>
      </c>
      <c r="BG618" s="408">
        <v>4.6665713326687817</v>
      </c>
      <c r="BH618" s="408">
        <v>0</v>
      </c>
      <c r="BI618" s="408">
        <v>0</v>
      </c>
      <c r="BJ618" s="408">
        <v>0</v>
      </c>
      <c r="BK618" s="408">
        <v>0</v>
      </c>
      <c r="BL618" s="408">
        <v>0</v>
      </c>
      <c r="BM618" s="408"/>
      <c r="BN618" s="408"/>
      <c r="BO618" s="408"/>
      <c r="BP618" s="408"/>
      <c r="BQ618" s="408"/>
      <c r="BR618" s="408">
        <v>31.873320000000003</v>
      </c>
      <c r="BS618" s="408"/>
      <c r="BT618" s="408"/>
      <c r="BU618" s="408"/>
      <c r="BV618" s="408">
        <v>93.584296978202175</v>
      </c>
      <c r="BW618" s="408"/>
      <c r="BX618" s="408"/>
      <c r="BY618" s="408"/>
      <c r="BZ618" s="408"/>
      <c r="CA618" s="408"/>
      <c r="CB618" s="408"/>
      <c r="CC618" s="408"/>
      <c r="CD618" s="408"/>
      <c r="CE618" s="408"/>
      <c r="CF618" s="408"/>
      <c r="CG618" s="408"/>
      <c r="CH618" s="408"/>
      <c r="CI618" s="408">
        <v>232.8716</v>
      </c>
      <c r="CJ618" s="408">
        <v>-15.896619999999984</v>
      </c>
      <c r="CK618" s="408"/>
      <c r="CL618" s="408"/>
      <c r="CM618" s="408"/>
      <c r="CN618" s="408"/>
      <c r="CO618" s="408">
        <v>-28.287179999999999</v>
      </c>
      <c r="CP618" s="408">
        <v>11.269980000000002</v>
      </c>
      <c r="CQ618" s="408">
        <v>31</v>
      </c>
      <c r="CR618" s="408">
        <v>13.523554682786084</v>
      </c>
      <c r="CS618" s="408">
        <v>0.28262450394156069</v>
      </c>
      <c r="CT618" s="408">
        <v>1.3178363671445368</v>
      </c>
      <c r="CU618" s="408">
        <v>0</v>
      </c>
      <c r="CV618" s="408">
        <v>0</v>
      </c>
      <c r="CW618" s="408">
        <v>0</v>
      </c>
      <c r="CX618" s="408">
        <v>0</v>
      </c>
      <c r="CY618" s="408">
        <v>0</v>
      </c>
      <c r="CZ618" s="408">
        <v>1.3217566704244481</v>
      </c>
      <c r="DA618" s="408">
        <v>0</v>
      </c>
      <c r="DB618" s="408">
        <v>0</v>
      </c>
      <c r="DC618" s="408">
        <v>11.268707554085765</v>
      </c>
      <c r="DD618" s="408">
        <v>0</v>
      </c>
      <c r="DE618" s="408">
        <v>0</v>
      </c>
      <c r="DF618" s="408">
        <v>0</v>
      </c>
      <c r="DG618" s="408">
        <v>0.5914032016266253</v>
      </c>
      <c r="DH618" s="408">
        <v>0</v>
      </c>
      <c r="DI618" s="408">
        <v>-1.0909171863753855</v>
      </c>
      <c r="DJ618" s="408"/>
      <c r="DK618" s="408">
        <v>0</v>
      </c>
      <c r="DL618" s="408">
        <v>0</v>
      </c>
      <c r="DM618" s="408">
        <v>0</v>
      </c>
      <c r="DN618" s="408">
        <v>0</v>
      </c>
      <c r="DO618" s="408">
        <v>-0.15001864743835291</v>
      </c>
      <c r="DP618" s="408">
        <v>-1.7837780623124577E-2</v>
      </c>
      <c r="DQ618" s="408">
        <v>0</v>
      </c>
      <c r="DR618" s="408">
        <v>0</v>
      </c>
      <c r="DS618" s="408"/>
      <c r="DT618" s="408"/>
      <c r="DU618" s="408"/>
      <c r="DV618" s="408">
        <v>122.95036922432081</v>
      </c>
      <c r="DW618" s="408">
        <v>0</v>
      </c>
      <c r="DX618" s="408">
        <v>0</v>
      </c>
      <c r="DY618" s="408">
        <v>-28.287180000000006</v>
      </c>
      <c r="DZ618" s="408">
        <v>11.26997999999999</v>
      </c>
      <c r="EA618" s="408">
        <v>0</v>
      </c>
      <c r="EB618" s="408">
        <v>0</v>
      </c>
      <c r="EC618" s="408">
        <v>-30.542957269089641</v>
      </c>
      <c r="ED618" s="408">
        <v>0</v>
      </c>
      <c r="EE618" s="408">
        <v>0</v>
      </c>
      <c r="EF618" s="408">
        <v>0</v>
      </c>
      <c r="EG618" s="408">
        <v>0</v>
      </c>
      <c r="EH618" s="408">
        <v>0</v>
      </c>
      <c r="EI618" s="408">
        <v>0</v>
      </c>
      <c r="EJ618" s="408">
        <v>0</v>
      </c>
      <c r="EK618" s="408">
        <v>0</v>
      </c>
      <c r="EL618" s="408">
        <v>0</v>
      </c>
      <c r="EM618" s="408">
        <v>0</v>
      </c>
      <c r="EN618" s="408">
        <v>0</v>
      </c>
      <c r="EO618" s="408">
        <v>0</v>
      </c>
      <c r="EP618" s="408">
        <v>8.2045569899435815</v>
      </c>
      <c r="EQ618" s="408">
        <v>0</v>
      </c>
      <c r="ER618" s="408">
        <v>0</v>
      </c>
      <c r="ES618" s="408">
        <v>0</v>
      </c>
      <c r="ET618" s="408">
        <v>0</v>
      </c>
      <c r="EU618" s="408">
        <v>0</v>
      </c>
      <c r="EV618" s="408">
        <v>240</v>
      </c>
      <c r="EW618" s="408">
        <v>0</v>
      </c>
      <c r="EX618" s="408">
        <v>0</v>
      </c>
      <c r="EY618" s="408">
        <v>0</v>
      </c>
      <c r="EZ618" s="408"/>
      <c r="FA618" s="408">
        <v>0</v>
      </c>
      <c r="FB618" s="408"/>
      <c r="FC618" s="408"/>
      <c r="FD618" s="408"/>
      <c r="FE618" s="408"/>
      <c r="FF618" s="408">
        <v>0</v>
      </c>
      <c r="FG618" s="408">
        <v>0</v>
      </c>
      <c r="FH618" s="408">
        <v>0</v>
      </c>
      <c r="FI618" s="408">
        <v>0</v>
      </c>
    </row>
    <row r="619" spans="1:165">
      <c r="A619" s="408">
        <v>617</v>
      </c>
      <c r="B619" s="408" t="s">
        <v>1036</v>
      </c>
      <c r="C619" s="408" t="s">
        <v>2235</v>
      </c>
      <c r="D619" s="408" t="s">
        <v>2245</v>
      </c>
      <c r="E619" s="408" t="s">
        <v>974</v>
      </c>
      <c r="F619" s="408" t="s">
        <v>2253</v>
      </c>
      <c r="G619" s="408" t="s">
        <v>2255</v>
      </c>
      <c r="H619" s="408" t="s">
        <v>1322</v>
      </c>
      <c r="I619" s="408" t="s">
        <v>1322</v>
      </c>
      <c r="J619" s="408" t="s">
        <v>2236</v>
      </c>
      <c r="K619" s="826">
        <v>44621</v>
      </c>
      <c r="L619" s="408">
        <v>0</v>
      </c>
      <c r="M619" s="408">
        <v>0</v>
      </c>
      <c r="N619" s="408">
        <v>0.41399999999999998</v>
      </c>
      <c r="O619" s="408">
        <v>0.1656</v>
      </c>
      <c r="P619" s="408">
        <v>0.41399999999999998</v>
      </c>
      <c r="Q619" s="408">
        <v>0.1656</v>
      </c>
      <c r="R619" s="408"/>
      <c r="S619" s="408">
        <v>368.24</v>
      </c>
      <c r="T619" s="408">
        <v>173.25</v>
      </c>
      <c r="U619" s="408"/>
      <c r="V619" s="408">
        <v>224.17685999999998</v>
      </c>
      <c r="W619" s="408">
        <v>224.17685999999998</v>
      </c>
      <c r="X619" s="408">
        <v>210.68045999999998</v>
      </c>
      <c r="Y619" s="408">
        <v>0</v>
      </c>
      <c r="Z619" s="408">
        <v>25.479705844539343</v>
      </c>
      <c r="AA619" s="408">
        <v>0</v>
      </c>
      <c r="AB619" s="408">
        <v>0</v>
      </c>
      <c r="AC619" s="408">
        <v>1.0596484690606593</v>
      </c>
      <c r="AD619" s="408">
        <v>1.0180845652691841</v>
      </c>
      <c r="AE619" s="408">
        <v>97.512361798599258</v>
      </c>
      <c r="AF619" s="408">
        <v>70.520954822319581</v>
      </c>
      <c r="AG619" s="408">
        <v>1.2035946816440775</v>
      </c>
      <c r="AH619" s="408">
        <v>0</v>
      </c>
      <c r="AI619" s="408">
        <v>0</v>
      </c>
      <c r="AJ619" s="408">
        <v>0</v>
      </c>
      <c r="AK619" s="408">
        <v>0</v>
      </c>
      <c r="AL619" s="408">
        <v>3.9367385348127195</v>
      </c>
      <c r="AM619" s="408"/>
      <c r="AN619" s="408">
        <v>0.50005267974616596</v>
      </c>
      <c r="AO619" s="408">
        <v>2.2494257567666986</v>
      </c>
      <c r="AP619" s="408">
        <v>10.488740452850811</v>
      </c>
      <c r="AQ619" s="408">
        <v>0</v>
      </c>
      <c r="AR619" s="408">
        <v>0</v>
      </c>
      <c r="AS619" s="408">
        <v>0</v>
      </c>
      <c r="AT619" s="408">
        <v>0</v>
      </c>
      <c r="AU619" s="408">
        <v>0</v>
      </c>
      <c r="AV619" s="408">
        <v>0</v>
      </c>
      <c r="AW619" s="408">
        <v>0</v>
      </c>
      <c r="AX619" s="408">
        <v>0</v>
      </c>
      <c r="AY619" s="408">
        <v>0</v>
      </c>
      <c r="AZ619" s="408">
        <v>0</v>
      </c>
      <c r="BA619" s="408"/>
      <c r="BB619" s="408">
        <v>0</v>
      </c>
      <c r="BC619" s="408">
        <v>0</v>
      </c>
      <c r="BD619" s="408">
        <v>0</v>
      </c>
      <c r="BE619" s="408">
        <v>0</v>
      </c>
      <c r="BF619" s="408">
        <v>0</v>
      </c>
      <c r="BG619" s="408">
        <v>3.7010738155648957</v>
      </c>
      <c r="BH619" s="408">
        <v>0</v>
      </c>
      <c r="BI619" s="408">
        <v>0</v>
      </c>
      <c r="BJ619" s="408">
        <v>0</v>
      </c>
      <c r="BK619" s="408">
        <v>0</v>
      </c>
      <c r="BL619" s="408">
        <v>0</v>
      </c>
      <c r="BM619" s="408"/>
      <c r="BN619" s="408"/>
      <c r="BO619" s="408"/>
      <c r="BP619" s="408"/>
      <c r="BQ619" s="408"/>
      <c r="BR619" s="408"/>
      <c r="BS619" s="408">
        <v>136.519812</v>
      </c>
      <c r="BT619" s="408"/>
      <c r="BU619" s="408"/>
      <c r="BV619" s="408">
        <v>74.222028637884478</v>
      </c>
      <c r="BW619" s="408"/>
      <c r="BX619" s="408"/>
      <c r="BY619" s="408"/>
      <c r="BZ619" s="408"/>
      <c r="CA619" s="408"/>
      <c r="CB619" s="408"/>
      <c r="CC619" s="408"/>
      <c r="CD619" s="408"/>
      <c r="CE619" s="408"/>
      <c r="CF619" s="408"/>
      <c r="CG619" s="408"/>
      <c r="CH619" s="408"/>
      <c r="CI619" s="408">
        <v>76.131100000000004</v>
      </c>
      <c r="CJ619" s="408">
        <v>-2.8089559999999949</v>
      </c>
      <c r="CK619" s="408"/>
      <c r="CL619" s="408"/>
      <c r="CM619" s="408"/>
      <c r="CN619" s="408"/>
      <c r="CO619" s="408">
        <v>-22.434659999999997</v>
      </c>
      <c r="CP619" s="408">
        <v>8.9382600000000014</v>
      </c>
      <c r="CQ619" s="408">
        <v>31</v>
      </c>
      <c r="CR619" s="408">
        <v>10.725577851864827</v>
      </c>
      <c r="CS619" s="408">
        <v>0.22415046864330668</v>
      </c>
      <c r="CT619" s="408">
        <v>1.0451805670456675</v>
      </c>
      <c r="CU619" s="408">
        <v>0</v>
      </c>
      <c r="CV619" s="408">
        <v>0</v>
      </c>
      <c r="CW619" s="408">
        <v>0</v>
      </c>
      <c r="CX619" s="408">
        <v>0</v>
      </c>
      <c r="CY619" s="408">
        <v>0</v>
      </c>
      <c r="CZ619" s="408">
        <v>1.0482897730952516</v>
      </c>
      <c r="DA619" s="408">
        <v>0</v>
      </c>
      <c r="DB619" s="408">
        <v>0</v>
      </c>
      <c r="DC619" s="408">
        <v>8.9372508187576756</v>
      </c>
      <c r="DD619" s="408">
        <v>0</v>
      </c>
      <c r="DE619" s="408">
        <v>0</v>
      </c>
      <c r="DF619" s="408">
        <v>0</v>
      </c>
      <c r="DG619" s="408">
        <v>0.46904391853146077</v>
      </c>
      <c r="DH619" s="408">
        <v>0</v>
      </c>
      <c r="DI619" s="408">
        <v>-0.8652101822977194</v>
      </c>
      <c r="DJ619" s="408"/>
      <c r="DK619" s="408">
        <v>0</v>
      </c>
      <c r="DL619" s="408">
        <v>0</v>
      </c>
      <c r="DM619" s="408">
        <v>0</v>
      </c>
      <c r="DN619" s="408">
        <v>0</v>
      </c>
      <c r="DO619" s="408">
        <v>-0.11898030658903869</v>
      </c>
      <c r="DP619" s="408">
        <v>-1.414720532178837E-2</v>
      </c>
      <c r="DQ619" s="408">
        <v>0</v>
      </c>
      <c r="DR619" s="408">
        <v>0</v>
      </c>
      <c r="DS619" s="408"/>
      <c r="DT619" s="408"/>
      <c r="DU619" s="408"/>
      <c r="DV619" s="408">
        <v>97.512361798599258</v>
      </c>
      <c r="DW619" s="408">
        <v>0</v>
      </c>
      <c r="DX619" s="408">
        <v>0</v>
      </c>
      <c r="DY619" s="408">
        <v>-22.434660000000008</v>
      </c>
      <c r="DZ619" s="408">
        <v>8.9382599999999996</v>
      </c>
      <c r="EA619" s="408">
        <v>0</v>
      </c>
      <c r="EB619" s="408">
        <v>0</v>
      </c>
      <c r="EC619" s="408">
        <v>-24.22372473065731</v>
      </c>
      <c r="ED619" s="408">
        <v>0</v>
      </c>
      <c r="EE619" s="408">
        <v>0</v>
      </c>
      <c r="EF619" s="408">
        <v>0</v>
      </c>
      <c r="EG619" s="408">
        <v>0</v>
      </c>
      <c r="EH619" s="408">
        <v>0</v>
      </c>
      <c r="EI619" s="408">
        <v>0</v>
      </c>
      <c r="EJ619" s="408">
        <v>0</v>
      </c>
      <c r="EK619" s="408">
        <v>0</v>
      </c>
      <c r="EL619" s="408">
        <v>0</v>
      </c>
      <c r="EM619" s="408">
        <v>0</v>
      </c>
      <c r="EN619" s="408">
        <v>0</v>
      </c>
      <c r="EO619" s="408">
        <v>0</v>
      </c>
      <c r="EP619" s="408">
        <v>6.5070624403000812</v>
      </c>
      <c r="EQ619" s="408">
        <v>0</v>
      </c>
      <c r="ER619" s="408">
        <v>0</v>
      </c>
      <c r="ES619" s="408">
        <v>0</v>
      </c>
      <c r="ET619" s="408">
        <v>0</v>
      </c>
      <c r="EU619" s="408">
        <v>0</v>
      </c>
      <c r="EV619" s="408">
        <v>240</v>
      </c>
      <c r="EW619" s="408">
        <v>0</v>
      </c>
      <c r="EX619" s="408">
        <v>0</v>
      </c>
      <c r="EY619" s="408">
        <v>0</v>
      </c>
      <c r="EZ619" s="408"/>
      <c r="FA619" s="408">
        <v>0</v>
      </c>
      <c r="FB619" s="408"/>
      <c r="FC619" s="408"/>
      <c r="FD619" s="408"/>
      <c r="FE619" s="408"/>
      <c r="FF619" s="408">
        <v>0</v>
      </c>
      <c r="FG619" s="408">
        <v>0</v>
      </c>
      <c r="FH619" s="408">
        <v>0</v>
      </c>
      <c r="FI619" s="408">
        <v>0</v>
      </c>
    </row>
    <row r="620" spans="1:165">
      <c r="A620" s="408">
        <v>618</v>
      </c>
      <c r="B620" s="408" t="s">
        <v>1036</v>
      </c>
      <c r="C620" s="408" t="s">
        <v>2235</v>
      </c>
      <c r="D620" s="408" t="s">
        <v>1955</v>
      </c>
      <c r="E620" s="408" t="s">
        <v>969</v>
      </c>
      <c r="F620" s="408" t="s">
        <v>969</v>
      </c>
      <c r="G620" s="408" t="s">
        <v>1322</v>
      </c>
      <c r="H620" s="408" t="s">
        <v>1322</v>
      </c>
      <c r="I620" s="408" t="s">
        <v>1322</v>
      </c>
      <c r="J620" s="408" t="s">
        <v>2236</v>
      </c>
      <c r="K620" s="826">
        <v>44652</v>
      </c>
      <c r="L620" s="408">
        <v>0</v>
      </c>
      <c r="M620" s="408">
        <v>0</v>
      </c>
      <c r="N620" s="408">
        <v>8348.2999999999993</v>
      </c>
      <c r="O620" s="408">
        <v>8348.2999999999993</v>
      </c>
      <c r="P620" s="408">
        <v>8348.2999999999993</v>
      </c>
      <c r="Q620" s="408">
        <v>8348.2999999999993</v>
      </c>
      <c r="R620" s="408"/>
      <c r="S620" s="408">
        <v>368.24</v>
      </c>
      <c r="T620" s="408">
        <v>173.25</v>
      </c>
      <c r="U620" s="408"/>
      <c r="V620" s="408">
        <v>4520520.9669999992</v>
      </c>
      <c r="W620" s="408">
        <v>4520520.9669999992</v>
      </c>
      <c r="X620" s="408">
        <v>4248366.3870000001</v>
      </c>
      <c r="Y620" s="408">
        <v>0</v>
      </c>
      <c r="Z620" s="408">
        <v>513797.65290330385</v>
      </c>
      <c r="AA620" s="408">
        <v>0</v>
      </c>
      <c r="AB620" s="408">
        <v>0</v>
      </c>
      <c r="AC620" s="408">
        <v>21367.785783234547</v>
      </c>
      <c r="AD620" s="408">
        <v>20529.650667238475</v>
      </c>
      <c r="AE620" s="408">
        <v>1966334.420297696</v>
      </c>
      <c r="AF620" s="408">
        <v>1422053.3505873685</v>
      </c>
      <c r="AG620" s="408">
        <v>24270.457683017517</v>
      </c>
      <c r="AH620" s="408">
        <v>0</v>
      </c>
      <c r="AI620" s="408">
        <v>0</v>
      </c>
      <c r="AJ620" s="408">
        <v>0</v>
      </c>
      <c r="AK620" s="408">
        <v>0</v>
      </c>
      <c r="AL620" s="408">
        <v>79384.237464195714</v>
      </c>
      <c r="AM620" s="408"/>
      <c r="AN620" s="408">
        <v>10083.550208514294</v>
      </c>
      <c r="AO620" s="408">
        <v>45359.616051245001</v>
      </c>
      <c r="AP620" s="408">
        <v>211505.19788051792</v>
      </c>
      <c r="AQ620" s="408">
        <v>0</v>
      </c>
      <c r="AR620" s="408">
        <v>0</v>
      </c>
      <c r="AS620" s="408">
        <v>0</v>
      </c>
      <c r="AT620" s="408">
        <v>0</v>
      </c>
      <c r="AU620" s="408">
        <v>0</v>
      </c>
      <c r="AV620" s="408">
        <v>0</v>
      </c>
      <c r="AW620" s="408">
        <v>0</v>
      </c>
      <c r="AX620" s="408">
        <v>0</v>
      </c>
      <c r="AY620" s="408">
        <v>0</v>
      </c>
      <c r="AZ620" s="408">
        <v>0</v>
      </c>
      <c r="BA620" s="408"/>
      <c r="BB620" s="408">
        <v>0</v>
      </c>
      <c r="BC620" s="408">
        <v>0</v>
      </c>
      <c r="BD620" s="408">
        <v>0</v>
      </c>
      <c r="BE620" s="408">
        <v>0</v>
      </c>
      <c r="BF620" s="408">
        <v>0</v>
      </c>
      <c r="BG620" s="408">
        <v>74632.064092947869</v>
      </c>
      <c r="BH620" s="408">
        <v>0</v>
      </c>
      <c r="BI620" s="408">
        <v>3505.15</v>
      </c>
      <c r="BJ620" s="408">
        <v>39956.36</v>
      </c>
      <c r="BK620" s="408">
        <v>1755318.63</v>
      </c>
      <c r="BL620" s="408">
        <v>45673</v>
      </c>
      <c r="BM620" s="408"/>
      <c r="BN620" s="408"/>
      <c r="BO620" s="408"/>
      <c r="BP620" s="408"/>
      <c r="BQ620" s="408"/>
      <c r="BR620" s="408"/>
      <c r="BS620" s="408"/>
      <c r="BT620" s="408"/>
      <c r="BU620" s="408"/>
      <c r="BV620" s="408">
        <v>1496685.4146803163</v>
      </c>
      <c r="BW620" s="408"/>
      <c r="BX620" s="408"/>
      <c r="BY620" s="408"/>
      <c r="BZ620" s="408"/>
      <c r="CA620" s="408"/>
      <c r="CB620" s="408"/>
      <c r="CC620" s="408"/>
      <c r="CD620" s="408"/>
      <c r="CE620" s="408"/>
      <c r="CF620" s="408"/>
      <c r="CG620" s="408"/>
      <c r="CH620" s="408"/>
      <c r="CI620" s="408">
        <v>4248366.3870000001</v>
      </c>
      <c r="CJ620" s="408">
        <v>-272154.60999999847</v>
      </c>
      <c r="CK620" s="408"/>
      <c r="CL620" s="408"/>
      <c r="CM620" s="408"/>
      <c r="CN620" s="408"/>
      <c r="CO620" s="408">
        <v>-452394.37699999992</v>
      </c>
      <c r="CP620" s="408">
        <v>180239.79700000002</v>
      </c>
      <c r="CQ620" s="408">
        <v>30</v>
      </c>
      <c r="CR620" s="408">
        <v>216281.01831092453</v>
      </c>
      <c r="CS620" s="408">
        <v>4519.9887859297523</v>
      </c>
      <c r="CT620" s="408">
        <v>21076.040888568474</v>
      </c>
      <c r="CU620" s="408">
        <v>0</v>
      </c>
      <c r="CV620" s="408">
        <v>0</v>
      </c>
      <c r="CW620" s="408">
        <v>0</v>
      </c>
      <c r="CX620" s="408">
        <v>0</v>
      </c>
      <c r="CY620" s="408">
        <v>0</v>
      </c>
      <c r="CZ620" s="408">
        <v>21138.737953456741</v>
      </c>
      <c r="DA620" s="408">
        <v>0</v>
      </c>
      <c r="DB620" s="408">
        <v>0</v>
      </c>
      <c r="DC620" s="408">
        <v>180219.44688462489</v>
      </c>
      <c r="DD620" s="408">
        <v>0</v>
      </c>
      <c r="DE620" s="408">
        <v>0</v>
      </c>
      <c r="DF620" s="408">
        <v>0</v>
      </c>
      <c r="DG620" s="408">
        <v>9458.2592876236595</v>
      </c>
      <c r="DH620" s="408">
        <v>0</v>
      </c>
      <c r="DI620" s="408">
        <v>-17446.942427236878</v>
      </c>
      <c r="DJ620" s="408"/>
      <c r="DK620" s="408">
        <v>0</v>
      </c>
      <c r="DL620" s="408">
        <v>0</v>
      </c>
      <c r="DM620" s="408">
        <v>0</v>
      </c>
      <c r="DN620" s="408">
        <v>0</v>
      </c>
      <c r="DO620" s="408">
        <v>-2399.2350084475183</v>
      </c>
      <c r="DP620" s="408">
        <v>-285.27805359392914</v>
      </c>
      <c r="DQ620" s="408">
        <v>0</v>
      </c>
      <c r="DR620" s="408">
        <v>0</v>
      </c>
      <c r="DS620" s="408"/>
      <c r="DT620" s="408"/>
      <c r="DU620" s="408"/>
      <c r="DV620" s="408">
        <v>1966334.420297696</v>
      </c>
      <c r="DW620" s="408">
        <v>0</v>
      </c>
      <c r="DX620" s="408">
        <v>0</v>
      </c>
      <c r="DY620" s="408">
        <v>-452394.37699999986</v>
      </c>
      <c r="DZ620" s="408">
        <v>180239.79700000002</v>
      </c>
      <c r="EA620" s="408">
        <v>0</v>
      </c>
      <c r="EB620" s="408">
        <v>0</v>
      </c>
      <c r="EC620" s="408">
        <v>-488470.82407958061</v>
      </c>
      <c r="ED620" s="408">
        <v>0</v>
      </c>
      <c r="EE620" s="408">
        <v>0</v>
      </c>
      <c r="EF620" s="408">
        <v>0</v>
      </c>
      <c r="EG620" s="408">
        <v>0</v>
      </c>
      <c r="EH620" s="408">
        <v>0</v>
      </c>
      <c r="EI620" s="408">
        <v>0</v>
      </c>
      <c r="EJ620" s="408">
        <v>0</v>
      </c>
      <c r="EK620" s="408">
        <v>0</v>
      </c>
      <c r="EL620" s="408">
        <v>0</v>
      </c>
      <c r="EM620" s="408">
        <v>0</v>
      </c>
      <c r="EN620" s="408">
        <v>0</v>
      </c>
      <c r="EO620" s="408">
        <v>0</v>
      </c>
      <c r="EP620" s="408">
        <v>131214.75693322989</v>
      </c>
      <c r="EQ620" s="408">
        <v>0</v>
      </c>
      <c r="ER620" s="408">
        <v>0</v>
      </c>
      <c r="ES620" s="408">
        <v>0</v>
      </c>
      <c r="ET620" s="408">
        <v>0</v>
      </c>
      <c r="EU620" s="408">
        <v>0</v>
      </c>
      <c r="EV620" s="408">
        <v>240</v>
      </c>
      <c r="EW620" s="408">
        <v>0</v>
      </c>
      <c r="EX620" s="408">
        <v>0</v>
      </c>
      <c r="EY620" s="408">
        <v>0</v>
      </c>
      <c r="EZ620" s="408"/>
      <c r="FA620" s="408">
        <v>0</v>
      </c>
      <c r="FB620" s="408"/>
      <c r="FC620" s="408"/>
      <c r="FD620" s="408"/>
      <c r="FE620" s="408"/>
      <c r="FF620" s="408">
        <v>0</v>
      </c>
      <c r="FG620" s="408">
        <v>0</v>
      </c>
      <c r="FH620" s="408">
        <v>0</v>
      </c>
      <c r="FI620" s="408">
        <v>0</v>
      </c>
    </row>
    <row r="621" spans="1:165">
      <c r="A621" s="408">
        <v>619</v>
      </c>
      <c r="B621" s="408" t="s">
        <v>2237</v>
      </c>
      <c r="C621" s="408" t="s">
        <v>2235</v>
      </c>
      <c r="D621" s="408" t="s">
        <v>1955</v>
      </c>
      <c r="E621" s="408" t="s">
        <v>969</v>
      </c>
      <c r="F621" s="408" t="s">
        <v>969</v>
      </c>
      <c r="G621" s="408" t="s">
        <v>1322</v>
      </c>
      <c r="H621" s="408" t="s">
        <v>1322</v>
      </c>
      <c r="I621" s="408" t="s">
        <v>1322</v>
      </c>
      <c r="J621" s="408" t="s">
        <v>2236</v>
      </c>
      <c r="K621" s="826">
        <v>44652</v>
      </c>
      <c r="L621" s="408">
        <v>0</v>
      </c>
      <c r="M621" s="408">
        <v>0</v>
      </c>
      <c r="N621" s="408">
        <v>-2.8730000000000002</v>
      </c>
      <c r="O621" s="408">
        <v>-2.8730000000000002</v>
      </c>
      <c r="P621" s="408">
        <v>-2.8730000000000002</v>
      </c>
      <c r="Q621" s="408">
        <v>-2.8730000000000002</v>
      </c>
      <c r="R621" s="408"/>
      <c r="S621" s="408">
        <v>368.24</v>
      </c>
      <c r="T621" s="408">
        <v>173.25</v>
      </c>
      <c r="U621" s="408"/>
      <c r="V621" s="408">
        <v>-1555.7007700000001</v>
      </c>
      <c r="W621" s="408">
        <v>-1555.7007700000001</v>
      </c>
      <c r="X621" s="408">
        <v>-1462.04097</v>
      </c>
      <c r="Y621" s="408">
        <v>0</v>
      </c>
      <c r="Z621" s="408">
        <v>-176.81931133179117</v>
      </c>
      <c r="AA621" s="408">
        <v>0</v>
      </c>
      <c r="AB621" s="408">
        <v>0</v>
      </c>
      <c r="AC621" s="408">
        <v>-7.3535508493025965</v>
      </c>
      <c r="AD621" s="408">
        <v>-7.0651134203342183</v>
      </c>
      <c r="AE621" s="408">
        <v>-676.69810494535193</v>
      </c>
      <c r="AF621" s="408">
        <v>-489.38817199160428</v>
      </c>
      <c r="AG621" s="408">
        <v>-8.3524819332450129</v>
      </c>
      <c r="AH621" s="408">
        <v>0</v>
      </c>
      <c r="AI621" s="408">
        <v>0</v>
      </c>
      <c r="AJ621" s="408">
        <v>0</v>
      </c>
      <c r="AK621" s="408">
        <v>0</v>
      </c>
      <c r="AL621" s="408">
        <v>-27.319443986755903</v>
      </c>
      <c r="AM621" s="408"/>
      <c r="AN621" s="408">
        <v>-3.4701723403640945</v>
      </c>
      <c r="AO621" s="408">
        <v>-15.610145408673253</v>
      </c>
      <c r="AP621" s="408">
        <v>-72.787805123285949</v>
      </c>
      <c r="AQ621" s="408">
        <v>0</v>
      </c>
      <c r="AR621" s="408">
        <v>0</v>
      </c>
      <c r="AS621" s="408">
        <v>0</v>
      </c>
      <c r="AT621" s="408">
        <v>0</v>
      </c>
      <c r="AU621" s="408">
        <v>0</v>
      </c>
      <c r="AV621" s="408">
        <v>0</v>
      </c>
      <c r="AW621" s="408">
        <v>0</v>
      </c>
      <c r="AX621" s="408">
        <v>0</v>
      </c>
      <c r="AY621" s="408">
        <v>0</v>
      </c>
      <c r="AZ621" s="408">
        <v>0</v>
      </c>
      <c r="BA621" s="408"/>
      <c r="BB621" s="408">
        <v>0</v>
      </c>
      <c r="BC621" s="408">
        <v>0</v>
      </c>
      <c r="BD621" s="408">
        <v>0</v>
      </c>
      <c r="BE621" s="408">
        <v>0</v>
      </c>
      <c r="BF621" s="408">
        <v>0</v>
      </c>
      <c r="BG621" s="408">
        <v>-25.684021913328372</v>
      </c>
      <c r="BH621" s="408">
        <v>0</v>
      </c>
      <c r="BI621" s="408">
        <v>-1.28</v>
      </c>
      <c r="BJ621" s="408">
        <v>-13.18</v>
      </c>
      <c r="BK621" s="408">
        <v>-655.29</v>
      </c>
      <c r="BL621" s="408">
        <v>0</v>
      </c>
      <c r="BM621" s="408"/>
      <c r="BN621" s="408"/>
      <c r="BO621" s="408"/>
      <c r="BP621" s="408"/>
      <c r="BQ621" s="408"/>
      <c r="BR621" s="408"/>
      <c r="BS621" s="408"/>
      <c r="BT621" s="408"/>
      <c r="BU621" s="408"/>
      <c r="BV621" s="408">
        <v>-515.07219390493265</v>
      </c>
      <c r="BW621" s="408"/>
      <c r="BX621" s="408"/>
      <c r="BY621" s="408"/>
      <c r="BZ621" s="408"/>
      <c r="CA621" s="408"/>
      <c r="CB621" s="408"/>
      <c r="CC621" s="408"/>
      <c r="CD621" s="408"/>
      <c r="CE621" s="408"/>
      <c r="CF621" s="408"/>
      <c r="CG621" s="408"/>
      <c r="CH621" s="408"/>
      <c r="CI621" s="408">
        <v>-1460.5143000000003</v>
      </c>
      <c r="CJ621" s="408">
        <v>95.156469999999899</v>
      </c>
      <c r="CK621" s="408"/>
      <c r="CL621" s="408"/>
      <c r="CM621" s="408"/>
      <c r="CN621" s="408"/>
      <c r="CO621" s="408">
        <v>155.68787</v>
      </c>
      <c r="CP621" s="408">
        <v>-62.028070000000014</v>
      </c>
      <c r="CQ621" s="408">
        <v>30</v>
      </c>
      <c r="CR621" s="408">
        <v>-74.431365141081301</v>
      </c>
      <c r="CS621" s="408">
        <v>-1.5555176241841071</v>
      </c>
      <c r="CT621" s="408">
        <v>-7.2531492007782674</v>
      </c>
      <c r="CU621" s="408">
        <v>0</v>
      </c>
      <c r="CV621" s="408">
        <v>0</v>
      </c>
      <c r="CW621" s="408">
        <v>0</v>
      </c>
      <c r="CX621" s="408">
        <v>0</v>
      </c>
      <c r="CY621" s="408">
        <v>0</v>
      </c>
      <c r="CZ621" s="408">
        <v>-7.2747258891368558</v>
      </c>
      <c r="DA621" s="408">
        <v>0</v>
      </c>
      <c r="DB621" s="408">
        <v>0</v>
      </c>
      <c r="DC621" s="408">
        <v>-62.02106667220005</v>
      </c>
      <c r="DD621" s="408">
        <v>0</v>
      </c>
      <c r="DE621" s="408">
        <v>0</v>
      </c>
      <c r="DF621" s="408">
        <v>0</v>
      </c>
      <c r="DG621" s="408">
        <v>-3.2549835215963476</v>
      </c>
      <c r="DH621" s="408">
        <v>0</v>
      </c>
      <c r="DI621" s="408">
        <v>6.0042242843994131</v>
      </c>
      <c r="DJ621" s="408"/>
      <c r="DK621" s="408">
        <v>0</v>
      </c>
      <c r="DL621" s="408">
        <v>0</v>
      </c>
      <c r="DM621" s="408">
        <v>0</v>
      </c>
      <c r="DN621" s="408">
        <v>0</v>
      </c>
      <c r="DO621" s="408">
        <v>0.82567734500074152</v>
      </c>
      <c r="DP621" s="408">
        <v>9.8176137414246689E-2</v>
      </c>
      <c r="DQ621" s="408">
        <v>0</v>
      </c>
      <c r="DR621" s="408">
        <v>0</v>
      </c>
      <c r="DS621" s="408"/>
      <c r="DT621" s="408"/>
      <c r="DU621" s="408"/>
      <c r="DV621" s="408">
        <v>-676.69810494535193</v>
      </c>
      <c r="DW621" s="408">
        <v>0</v>
      </c>
      <c r="DX621" s="408">
        <v>0</v>
      </c>
      <c r="DY621" s="408">
        <v>155.68786999999998</v>
      </c>
      <c r="DZ621" s="408">
        <v>-62.028070000000014</v>
      </c>
      <c r="EA621" s="408">
        <v>0</v>
      </c>
      <c r="EB621" s="408">
        <v>0</v>
      </c>
      <c r="EC621" s="408">
        <v>168.10328780477886</v>
      </c>
      <c r="ED621" s="408">
        <v>0</v>
      </c>
      <c r="EE621" s="408">
        <v>0</v>
      </c>
      <c r="EF621" s="408">
        <v>0</v>
      </c>
      <c r="EG621" s="408">
        <v>0</v>
      </c>
      <c r="EH621" s="408">
        <v>0</v>
      </c>
      <c r="EI621" s="408">
        <v>0</v>
      </c>
      <c r="EJ621" s="408">
        <v>0</v>
      </c>
      <c r="EK621" s="408">
        <v>0</v>
      </c>
      <c r="EL621" s="408">
        <v>0</v>
      </c>
      <c r="EM621" s="408">
        <v>0</v>
      </c>
      <c r="EN621" s="408">
        <v>0</v>
      </c>
      <c r="EO621" s="408">
        <v>0</v>
      </c>
      <c r="EP621" s="408">
        <v>-45.156498528942357</v>
      </c>
      <c r="EQ621" s="408">
        <v>0</v>
      </c>
      <c r="ER621" s="408">
        <v>0</v>
      </c>
      <c r="ES621" s="408">
        <v>0</v>
      </c>
      <c r="ET621" s="408">
        <v>0</v>
      </c>
      <c r="EU621" s="408">
        <v>0</v>
      </c>
      <c r="EV621" s="408">
        <v>240</v>
      </c>
      <c r="EW621" s="408">
        <v>0</v>
      </c>
      <c r="EX621" s="408">
        <v>0</v>
      </c>
      <c r="EY621" s="408">
        <v>0</v>
      </c>
      <c r="EZ621" s="408"/>
      <c r="FA621" s="408">
        <v>0</v>
      </c>
      <c r="FB621" s="408"/>
      <c r="FC621" s="408"/>
      <c r="FD621" s="408"/>
      <c r="FE621" s="408"/>
      <c r="FF621" s="408">
        <v>0</v>
      </c>
      <c r="FG621" s="408">
        <v>0</v>
      </c>
      <c r="FH621" s="408">
        <v>0</v>
      </c>
      <c r="FI621" s="408">
        <v>0</v>
      </c>
    </row>
    <row r="622" spans="1:165">
      <c r="A622" s="408">
        <v>620</v>
      </c>
      <c r="B622" s="408" t="s">
        <v>2238</v>
      </c>
      <c r="C622" s="408" t="s">
        <v>2235</v>
      </c>
      <c r="D622" s="408" t="s">
        <v>1955</v>
      </c>
      <c r="E622" s="408" t="s">
        <v>969</v>
      </c>
      <c r="F622" s="408" t="s">
        <v>969</v>
      </c>
      <c r="G622" s="408" t="s">
        <v>1322</v>
      </c>
      <c r="H622" s="408" t="s">
        <v>1322</v>
      </c>
      <c r="I622" s="408" t="s">
        <v>1322</v>
      </c>
      <c r="J622" s="408" t="s">
        <v>2236</v>
      </c>
      <c r="K622" s="826">
        <v>44652</v>
      </c>
      <c r="L622" s="408">
        <v>0</v>
      </c>
      <c r="M622" s="408">
        <v>0</v>
      </c>
      <c r="N622" s="408">
        <v>168.22800000000001</v>
      </c>
      <c r="O622" s="408">
        <v>168.22800000000001</v>
      </c>
      <c r="P622" s="408">
        <v>168.22800000000001</v>
      </c>
      <c r="Q622" s="408">
        <v>168.22800000000001</v>
      </c>
      <c r="R622" s="408"/>
      <c r="S622" s="408">
        <v>368.24</v>
      </c>
      <c r="T622" s="408">
        <v>173.25</v>
      </c>
      <c r="U622" s="408"/>
      <c r="V622" s="408">
        <v>91093.779720000006</v>
      </c>
      <c r="W622" s="408">
        <v>91093.779720000006</v>
      </c>
      <c r="X622" s="408">
        <v>85609.546919999993</v>
      </c>
      <c r="Y622" s="408">
        <v>0</v>
      </c>
      <c r="Z622" s="408">
        <v>10353.623079263683</v>
      </c>
      <c r="AA622" s="408">
        <v>0</v>
      </c>
      <c r="AB622" s="408">
        <v>0</v>
      </c>
      <c r="AC622" s="408">
        <v>430.58585181917061</v>
      </c>
      <c r="AD622" s="408">
        <v>413.69644986981717</v>
      </c>
      <c r="AE622" s="408">
        <v>39623.936233465596</v>
      </c>
      <c r="AF622" s="408">
        <v>28656.036685626037</v>
      </c>
      <c r="AG622" s="408">
        <v>489.07808237589347</v>
      </c>
      <c r="AH622" s="408">
        <v>0</v>
      </c>
      <c r="AI622" s="408">
        <v>0</v>
      </c>
      <c r="AJ622" s="408">
        <v>0</v>
      </c>
      <c r="AK622" s="408">
        <v>0</v>
      </c>
      <c r="AL622" s="408">
        <v>1599.6851454938992</v>
      </c>
      <c r="AM622" s="408"/>
      <c r="AN622" s="408">
        <v>203.19531934381166</v>
      </c>
      <c r="AO622" s="408">
        <v>914.04926620615515</v>
      </c>
      <c r="AP622" s="408">
        <v>4262.0768814062476</v>
      </c>
      <c r="AQ622" s="408">
        <v>0</v>
      </c>
      <c r="AR622" s="408">
        <v>0</v>
      </c>
      <c r="AS622" s="408">
        <v>0</v>
      </c>
      <c r="AT622" s="408">
        <v>0</v>
      </c>
      <c r="AU622" s="408">
        <v>0</v>
      </c>
      <c r="AV622" s="408">
        <v>0</v>
      </c>
      <c r="AW622" s="408">
        <v>0</v>
      </c>
      <c r="AX622" s="408">
        <v>0</v>
      </c>
      <c r="AY622" s="408">
        <v>0</v>
      </c>
      <c r="AZ622" s="408">
        <v>0</v>
      </c>
      <c r="BA622" s="408"/>
      <c r="BB622" s="408">
        <v>0</v>
      </c>
      <c r="BC622" s="408">
        <v>0</v>
      </c>
      <c r="BD622" s="408">
        <v>0</v>
      </c>
      <c r="BE622" s="408">
        <v>0</v>
      </c>
      <c r="BF622" s="408">
        <v>0</v>
      </c>
      <c r="BG622" s="408">
        <v>1503.9232991421529</v>
      </c>
      <c r="BH622" s="408">
        <v>0</v>
      </c>
      <c r="BI622" s="408">
        <v>68.12</v>
      </c>
      <c r="BJ622" s="408">
        <v>801.79</v>
      </c>
      <c r="BK622" s="408">
        <v>81168.44</v>
      </c>
      <c r="BL622" s="408">
        <v>1755</v>
      </c>
      <c r="BM622" s="408"/>
      <c r="BN622" s="408"/>
      <c r="BO622" s="408"/>
      <c r="BP622" s="408"/>
      <c r="BQ622" s="408"/>
      <c r="BR622" s="408"/>
      <c r="BS622" s="408"/>
      <c r="BT622" s="408"/>
      <c r="BU622" s="408"/>
      <c r="BV622" s="408">
        <v>30159.959984768189</v>
      </c>
      <c r="BW622" s="408"/>
      <c r="BX622" s="408"/>
      <c r="BY622" s="408"/>
      <c r="BZ622" s="408"/>
      <c r="CA622" s="408"/>
      <c r="CB622" s="408"/>
      <c r="CC622" s="408"/>
      <c r="CD622" s="408"/>
      <c r="CE622" s="408"/>
      <c r="CF622" s="408"/>
      <c r="CG622" s="408"/>
      <c r="CH622" s="408"/>
      <c r="CI622" s="408">
        <v>85610.564699999988</v>
      </c>
      <c r="CJ622" s="408">
        <v>-5483.2450200000167</v>
      </c>
      <c r="CK622" s="408"/>
      <c r="CL622" s="408"/>
      <c r="CM622" s="408"/>
      <c r="CN622" s="408"/>
      <c r="CO622" s="408">
        <v>-9116.2753200000006</v>
      </c>
      <c r="CP622" s="408">
        <v>3632.0425200000009</v>
      </c>
      <c r="CQ622" s="408">
        <v>30</v>
      </c>
      <c r="CR622" s="408">
        <v>4358.3152436316741</v>
      </c>
      <c r="CS622" s="408">
        <v>91.083055649580274</v>
      </c>
      <c r="CT622" s="408">
        <v>424.7068512873393</v>
      </c>
      <c r="CU622" s="408">
        <v>0</v>
      </c>
      <c r="CV622" s="408">
        <v>0</v>
      </c>
      <c r="CW622" s="408">
        <v>0</v>
      </c>
      <c r="CX622" s="408">
        <v>0</v>
      </c>
      <c r="CY622" s="408">
        <v>0</v>
      </c>
      <c r="CZ622" s="408">
        <v>425.97027040644451</v>
      </c>
      <c r="DA622" s="408">
        <v>0</v>
      </c>
      <c r="DB622" s="408">
        <v>0</v>
      </c>
      <c r="DC622" s="408">
        <v>3631.6324413960574</v>
      </c>
      <c r="DD622" s="408">
        <v>0</v>
      </c>
      <c r="DE622" s="408">
        <v>0</v>
      </c>
      <c r="DF622" s="408">
        <v>0</v>
      </c>
      <c r="DG622" s="408">
        <v>190.59497663456682</v>
      </c>
      <c r="DH622" s="408">
        <v>0</v>
      </c>
      <c r="DI622" s="408">
        <v>-351.57627668497844</v>
      </c>
      <c r="DJ622" s="408"/>
      <c r="DK622" s="408">
        <v>0</v>
      </c>
      <c r="DL622" s="408">
        <v>0</v>
      </c>
      <c r="DM622" s="408">
        <v>0</v>
      </c>
      <c r="DN622" s="408">
        <v>0</v>
      </c>
      <c r="DO622" s="408">
        <v>-48.34738892961559</v>
      </c>
      <c r="DP622" s="408">
        <v>-5.7486861277145636</v>
      </c>
      <c r="DQ622" s="408">
        <v>0</v>
      </c>
      <c r="DR622" s="408">
        <v>0</v>
      </c>
      <c r="DS622" s="408"/>
      <c r="DT622" s="408"/>
      <c r="DU622" s="408"/>
      <c r="DV622" s="408">
        <v>39623.936233465596</v>
      </c>
      <c r="DW622" s="408">
        <v>0</v>
      </c>
      <c r="DX622" s="408">
        <v>0</v>
      </c>
      <c r="DY622" s="408">
        <v>-9116.2753200000006</v>
      </c>
      <c r="DZ622" s="408">
        <v>3632.0425199999991</v>
      </c>
      <c r="EA622" s="408">
        <v>0</v>
      </c>
      <c r="EB622" s="408">
        <v>0</v>
      </c>
      <c r="EC622" s="408">
        <v>-9843.2578840314418</v>
      </c>
      <c r="ED622" s="408">
        <v>0</v>
      </c>
      <c r="EE622" s="408">
        <v>0</v>
      </c>
      <c r="EF622" s="408">
        <v>0</v>
      </c>
      <c r="EG622" s="408">
        <v>0</v>
      </c>
      <c r="EH622" s="408">
        <v>0</v>
      </c>
      <c r="EI622" s="408">
        <v>0</v>
      </c>
      <c r="EJ622" s="408">
        <v>0</v>
      </c>
      <c r="EK622" s="408">
        <v>0</v>
      </c>
      <c r="EL622" s="408">
        <v>0</v>
      </c>
      <c r="EM622" s="408">
        <v>0</v>
      </c>
      <c r="EN622" s="408">
        <v>0</v>
      </c>
      <c r="EO622" s="408">
        <v>0</v>
      </c>
      <c r="EP622" s="408">
        <v>2644.1306768280247</v>
      </c>
      <c r="EQ622" s="408">
        <v>0</v>
      </c>
      <c r="ER622" s="408">
        <v>0</v>
      </c>
      <c r="ES622" s="408">
        <v>0</v>
      </c>
      <c r="ET622" s="408">
        <v>0</v>
      </c>
      <c r="EU622" s="408">
        <v>0</v>
      </c>
      <c r="EV622" s="408">
        <v>240</v>
      </c>
      <c r="EW622" s="408">
        <v>0</v>
      </c>
      <c r="EX622" s="408">
        <v>0</v>
      </c>
      <c r="EY622" s="408">
        <v>0</v>
      </c>
      <c r="EZ622" s="408"/>
      <c r="FA622" s="408">
        <v>0</v>
      </c>
      <c r="FB622" s="408"/>
      <c r="FC622" s="408"/>
      <c r="FD622" s="408"/>
      <c r="FE622" s="408"/>
      <c r="FF622" s="408">
        <v>0</v>
      </c>
      <c r="FG622" s="408">
        <v>0</v>
      </c>
      <c r="FH622" s="408">
        <v>0</v>
      </c>
      <c r="FI622" s="408">
        <v>0</v>
      </c>
    </row>
    <row r="623" spans="1:165">
      <c r="A623" s="408">
        <v>621</v>
      </c>
      <c r="B623" s="408" t="s">
        <v>1036</v>
      </c>
      <c r="C623" s="408" t="s">
        <v>2235</v>
      </c>
      <c r="D623" s="408" t="s">
        <v>1955</v>
      </c>
      <c r="E623" s="408" t="s">
        <v>969</v>
      </c>
      <c r="F623" s="408" t="s">
        <v>2239</v>
      </c>
      <c r="G623" s="408" t="s">
        <v>1322</v>
      </c>
      <c r="H623" s="408" t="s">
        <v>1322</v>
      </c>
      <c r="I623" s="408" t="s">
        <v>1322</v>
      </c>
      <c r="J623" s="408" t="s">
        <v>2236</v>
      </c>
      <c r="K623" s="826">
        <v>44652</v>
      </c>
      <c r="L623" s="408">
        <v>0</v>
      </c>
      <c r="M623" s="408">
        <v>0</v>
      </c>
      <c r="N623" s="408">
        <v>58.154000000000003</v>
      </c>
      <c r="O623" s="408">
        <v>58.154000000000003</v>
      </c>
      <c r="P623" s="408">
        <v>58.154000000000003</v>
      </c>
      <c r="Q623" s="408">
        <v>58.154000000000003</v>
      </c>
      <c r="R623" s="408"/>
      <c r="S623" s="408">
        <v>281.47000000000003</v>
      </c>
      <c r="T623" s="408">
        <v>173.25</v>
      </c>
      <c r="U623" s="408"/>
      <c r="V623" s="408">
        <v>26443.786880000003</v>
      </c>
      <c r="W623" s="408">
        <v>26443.786880000003</v>
      </c>
      <c r="X623" s="408">
        <v>24686.373</v>
      </c>
      <c r="Y623" s="408">
        <v>0</v>
      </c>
      <c r="Z623" s="408">
        <v>0</v>
      </c>
      <c r="AA623" s="408">
        <v>0</v>
      </c>
      <c r="AB623" s="408">
        <v>0</v>
      </c>
      <c r="AC623" s="408">
        <v>148.84733591727922</v>
      </c>
      <c r="AD623" s="408">
        <v>143.00891258131435</v>
      </c>
      <c r="AE623" s="408">
        <v>13697.424850327878</v>
      </c>
      <c r="AF623" s="408">
        <v>9905.9797264182926</v>
      </c>
      <c r="AG623" s="408">
        <v>169.06725873509586</v>
      </c>
      <c r="AH623" s="408">
        <v>0</v>
      </c>
      <c r="AI623" s="408">
        <v>0</v>
      </c>
      <c r="AJ623" s="408">
        <v>0</v>
      </c>
      <c r="AK623" s="408">
        <v>0</v>
      </c>
      <c r="AL623" s="408">
        <v>0</v>
      </c>
      <c r="AM623" s="408"/>
      <c r="AN623" s="408">
        <v>70.24169936704962</v>
      </c>
      <c r="AO623" s="408">
        <v>315.97368468360054</v>
      </c>
      <c r="AP623" s="408">
        <v>1473.3386770412708</v>
      </c>
      <c r="AQ623" s="408">
        <v>0</v>
      </c>
      <c r="AR623" s="408">
        <v>0</v>
      </c>
      <c r="AS623" s="408">
        <v>0</v>
      </c>
      <c r="AT623" s="408">
        <v>0</v>
      </c>
      <c r="AU623" s="408">
        <v>0</v>
      </c>
      <c r="AV623" s="408">
        <v>0</v>
      </c>
      <c r="AW623" s="408">
        <v>0</v>
      </c>
      <c r="AX623" s="408">
        <v>0</v>
      </c>
      <c r="AY623" s="408">
        <v>0</v>
      </c>
      <c r="AZ623" s="408">
        <v>0</v>
      </c>
      <c r="BA623" s="408"/>
      <c r="BB623" s="408">
        <v>0</v>
      </c>
      <c r="BC623" s="408">
        <v>0</v>
      </c>
      <c r="BD623" s="408">
        <v>0</v>
      </c>
      <c r="BE623" s="408">
        <v>0</v>
      </c>
      <c r="BF623" s="408">
        <v>0</v>
      </c>
      <c r="BG623" s="408">
        <v>519.88465379314243</v>
      </c>
      <c r="BH623" s="408">
        <v>0</v>
      </c>
      <c r="BI623" s="408">
        <v>0</v>
      </c>
      <c r="BJ623" s="408">
        <v>58.09</v>
      </c>
      <c r="BK623" s="408">
        <v>2725.62</v>
      </c>
      <c r="BL623" s="408">
        <v>118</v>
      </c>
      <c r="BM623" s="408"/>
      <c r="BN623" s="408"/>
      <c r="BO623" s="408"/>
      <c r="BP623" s="408"/>
      <c r="BQ623" s="408"/>
      <c r="BR623" s="408"/>
      <c r="BS623" s="408"/>
      <c r="BT623" s="408">
        <v>16046.433220000001</v>
      </c>
      <c r="BU623" s="408"/>
      <c r="BV623" s="408">
        <v>10425.864380211435</v>
      </c>
      <c r="BW623" s="408"/>
      <c r="BX623" s="408"/>
      <c r="BY623" s="408"/>
      <c r="BZ623" s="408"/>
      <c r="CA623" s="408"/>
      <c r="CB623" s="408"/>
      <c r="CC623" s="408"/>
      <c r="CD623" s="408"/>
      <c r="CE623" s="408"/>
      <c r="CF623" s="408"/>
      <c r="CG623" s="408"/>
      <c r="CH623" s="408"/>
      <c r="CI623" s="408">
        <v>8639.3454999999994</v>
      </c>
      <c r="CJ623" s="408">
        <v>-616.47514000000047</v>
      </c>
      <c r="CK623" s="408"/>
      <c r="CL623" s="408"/>
      <c r="CM623" s="408"/>
      <c r="CN623" s="408"/>
      <c r="CO623" s="408">
        <v>-3012.9587400000019</v>
      </c>
      <c r="CP623" s="408">
        <v>1255.5448600000002</v>
      </c>
      <c r="CQ623" s="408">
        <v>30</v>
      </c>
      <c r="CR623" s="408">
        <v>1644.8547538359126</v>
      </c>
      <c r="CS623" s="408">
        <v>31.486102303098676</v>
      </c>
      <c r="CT623" s="408">
        <v>146.81504999027493</v>
      </c>
      <c r="CU623" s="408">
        <v>0</v>
      </c>
      <c r="CV623" s="408">
        <v>0</v>
      </c>
      <c r="CW623" s="408">
        <v>0</v>
      </c>
      <c r="CX623" s="408">
        <v>0</v>
      </c>
      <c r="CY623" s="408">
        <v>0</v>
      </c>
      <c r="CZ623" s="408">
        <v>147.25179580816729</v>
      </c>
      <c r="DA623" s="408">
        <v>0</v>
      </c>
      <c r="DB623" s="408">
        <v>0</v>
      </c>
      <c r="DC623" s="408">
        <v>1255.4031017247216</v>
      </c>
      <c r="DD623" s="408">
        <v>0</v>
      </c>
      <c r="DE623" s="408">
        <v>0</v>
      </c>
      <c r="DF623" s="408">
        <v>0</v>
      </c>
      <c r="DG623" s="408">
        <v>65.885942121445851</v>
      </c>
      <c r="DH623" s="408">
        <v>0</v>
      </c>
      <c r="DI623" s="408">
        <v>0</v>
      </c>
      <c r="DJ623" s="408"/>
      <c r="DK623" s="408">
        <v>0</v>
      </c>
      <c r="DL623" s="408">
        <v>0</v>
      </c>
      <c r="DM623" s="408">
        <v>0</v>
      </c>
      <c r="DN623" s="408">
        <v>0</v>
      </c>
      <c r="DO623" s="408">
        <v>0</v>
      </c>
      <c r="DP623" s="408">
        <v>-1.9872381117953779</v>
      </c>
      <c r="DQ623" s="408">
        <v>0</v>
      </c>
      <c r="DR623" s="408">
        <v>0</v>
      </c>
      <c r="DS623" s="408"/>
      <c r="DT623" s="408"/>
      <c r="DU623" s="408"/>
      <c r="DV623" s="408">
        <v>13697.424850327878</v>
      </c>
      <c r="DW623" s="408">
        <v>0</v>
      </c>
      <c r="DX623" s="408">
        <v>0</v>
      </c>
      <c r="DY623" s="408">
        <v>-3012.9587400000019</v>
      </c>
      <c r="DZ623" s="408">
        <v>1255.54486</v>
      </c>
      <c r="EA623" s="408">
        <v>0</v>
      </c>
      <c r="EB623" s="408">
        <v>0</v>
      </c>
      <c r="EC623" s="408">
        <v>-3402.6726762962426</v>
      </c>
      <c r="ED623" s="408">
        <v>0</v>
      </c>
      <c r="EE623" s="408">
        <v>0</v>
      </c>
      <c r="EF623" s="408">
        <v>0</v>
      </c>
      <c r="EG623" s="408">
        <v>0</v>
      </c>
      <c r="EH623" s="408">
        <v>0</v>
      </c>
      <c r="EI623" s="408">
        <v>0</v>
      </c>
      <c r="EJ623" s="408">
        <v>0</v>
      </c>
      <c r="EK623" s="408">
        <v>0</v>
      </c>
      <c r="EL623" s="408">
        <v>0</v>
      </c>
      <c r="EM623" s="408">
        <v>0</v>
      </c>
      <c r="EN623" s="408">
        <v>0</v>
      </c>
      <c r="EO623" s="408">
        <v>0</v>
      </c>
      <c r="EP623" s="408">
        <v>0</v>
      </c>
      <c r="EQ623" s="408">
        <v>0</v>
      </c>
      <c r="ER623" s="408">
        <v>0</v>
      </c>
      <c r="ES623" s="408">
        <v>0</v>
      </c>
      <c r="ET623" s="408">
        <v>0</v>
      </c>
      <c r="EU623" s="408">
        <v>0</v>
      </c>
      <c r="EV623" s="408">
        <v>240</v>
      </c>
      <c r="EW623" s="408">
        <v>0</v>
      </c>
      <c r="EX623" s="408">
        <v>0</v>
      </c>
      <c r="EY623" s="408">
        <v>0</v>
      </c>
      <c r="EZ623" s="408"/>
      <c r="FA623" s="408">
        <v>0</v>
      </c>
      <c r="FB623" s="408"/>
      <c r="FC623" s="408"/>
      <c r="FD623" s="408"/>
      <c r="FE623" s="408"/>
      <c r="FF623" s="408">
        <v>0</v>
      </c>
      <c r="FG623" s="408">
        <v>0</v>
      </c>
      <c r="FH623" s="408">
        <v>0</v>
      </c>
      <c r="FI623" s="408">
        <v>0</v>
      </c>
    </row>
    <row r="624" spans="1:165">
      <c r="A624" s="408">
        <v>622</v>
      </c>
      <c r="B624" s="408" t="s">
        <v>2237</v>
      </c>
      <c r="C624" s="408" t="s">
        <v>2235</v>
      </c>
      <c r="D624" s="408" t="s">
        <v>1955</v>
      </c>
      <c r="E624" s="408" t="s">
        <v>969</v>
      </c>
      <c r="F624" s="408" t="s">
        <v>2239</v>
      </c>
      <c r="G624" s="408" t="s">
        <v>1322</v>
      </c>
      <c r="H624" s="408" t="s">
        <v>1322</v>
      </c>
      <c r="I624" s="408" t="s">
        <v>1322</v>
      </c>
      <c r="J624" s="408" t="s">
        <v>2236</v>
      </c>
      <c r="K624" s="826">
        <v>44652</v>
      </c>
      <c r="L624" s="408">
        <v>0</v>
      </c>
      <c r="M624" s="408">
        <v>0</v>
      </c>
      <c r="N624" s="408">
        <v>0</v>
      </c>
      <c r="O624" s="408">
        <v>0</v>
      </c>
      <c r="P624" s="408">
        <v>0</v>
      </c>
      <c r="Q624" s="408">
        <v>0</v>
      </c>
      <c r="R624" s="408"/>
      <c r="S624" s="408"/>
      <c r="T624" s="408"/>
      <c r="U624" s="408"/>
      <c r="V624" s="408"/>
      <c r="W624" s="408"/>
      <c r="X624" s="408"/>
      <c r="Y624" s="408"/>
      <c r="Z624" s="408"/>
      <c r="AA624" s="408">
        <v>0</v>
      </c>
      <c r="AB624" s="408"/>
      <c r="AC624" s="408"/>
      <c r="AD624" s="408"/>
      <c r="AE624" s="408"/>
      <c r="AF624" s="408"/>
      <c r="AG624" s="408"/>
      <c r="AH624" s="408"/>
      <c r="AI624" s="408"/>
      <c r="AJ624" s="408"/>
      <c r="AK624" s="408"/>
      <c r="AL624" s="408"/>
      <c r="AM624" s="408"/>
      <c r="AN624" s="408"/>
      <c r="AO624" s="408"/>
      <c r="AP624" s="408"/>
      <c r="AQ624" s="408"/>
      <c r="AR624" s="408"/>
      <c r="AS624" s="408"/>
      <c r="AT624" s="408"/>
      <c r="AU624" s="408"/>
      <c r="AV624" s="408"/>
      <c r="AW624" s="408"/>
      <c r="AX624" s="408"/>
      <c r="AY624" s="408"/>
      <c r="AZ624" s="408">
        <v>0</v>
      </c>
      <c r="BA624" s="408"/>
      <c r="BB624" s="408"/>
      <c r="BC624" s="408"/>
      <c r="BD624" s="408"/>
      <c r="BE624" s="408"/>
      <c r="BF624" s="408"/>
      <c r="BG624" s="408"/>
      <c r="BH624" s="408"/>
      <c r="BI624" s="408">
        <v>0</v>
      </c>
      <c r="BJ624" s="408">
        <v>0</v>
      </c>
      <c r="BK624" s="408">
        <v>1.76</v>
      </c>
      <c r="BL624" s="408">
        <v>0</v>
      </c>
      <c r="BM624" s="408"/>
      <c r="BN624" s="408"/>
      <c r="BO624" s="408"/>
      <c r="BP624" s="408"/>
      <c r="BQ624" s="408"/>
      <c r="BR624" s="408"/>
      <c r="BS624" s="408"/>
      <c r="BT624" s="408"/>
      <c r="BU624" s="408"/>
      <c r="BV624" s="408"/>
      <c r="BW624" s="408"/>
      <c r="BX624" s="408"/>
      <c r="BY624" s="408"/>
      <c r="BZ624" s="408"/>
      <c r="CA624" s="408"/>
      <c r="CB624" s="408"/>
      <c r="CC624" s="408"/>
      <c r="CD624" s="408"/>
      <c r="CE624" s="408"/>
      <c r="CF624" s="408"/>
      <c r="CG624" s="408"/>
      <c r="CH624" s="408"/>
      <c r="CI624" s="408"/>
      <c r="CJ624" s="408">
        <v>-0.03</v>
      </c>
      <c r="CK624" s="408"/>
      <c r="CL624" s="408"/>
      <c r="CM624" s="408"/>
      <c r="CN624" s="408"/>
      <c r="CO624" s="408">
        <v>0</v>
      </c>
      <c r="CP624" s="408">
        <v>0</v>
      </c>
      <c r="CQ624" s="408">
        <v>30</v>
      </c>
      <c r="CR624" s="408"/>
      <c r="CS624" s="408"/>
      <c r="CT624" s="408"/>
      <c r="CU624" s="408"/>
      <c r="CV624" s="408"/>
      <c r="CW624" s="408"/>
      <c r="CX624" s="408"/>
      <c r="CY624" s="408"/>
      <c r="CZ624" s="408"/>
      <c r="DA624" s="408"/>
      <c r="DB624" s="408"/>
      <c r="DC624" s="408"/>
      <c r="DD624" s="408"/>
      <c r="DE624" s="408"/>
      <c r="DF624" s="408"/>
      <c r="DG624" s="408"/>
      <c r="DH624" s="408"/>
      <c r="DI624" s="408"/>
      <c r="DJ624" s="408"/>
      <c r="DK624" s="408">
        <v>0</v>
      </c>
      <c r="DL624" s="408"/>
      <c r="DM624" s="408"/>
      <c r="DN624" s="408"/>
      <c r="DO624" s="408"/>
      <c r="DP624" s="408"/>
      <c r="DQ624" s="408"/>
      <c r="DR624" s="408"/>
      <c r="DS624" s="408"/>
      <c r="DT624" s="408"/>
      <c r="DU624" s="408"/>
      <c r="DV624" s="408"/>
      <c r="DW624" s="408"/>
      <c r="DX624" s="408"/>
      <c r="DY624" s="408"/>
      <c r="DZ624" s="408"/>
      <c r="EA624" s="408"/>
      <c r="EB624" s="408"/>
      <c r="EC624" s="408"/>
      <c r="ED624" s="408"/>
      <c r="EE624" s="408"/>
      <c r="EF624" s="408"/>
      <c r="EG624" s="408"/>
      <c r="EH624" s="408"/>
      <c r="EI624" s="408"/>
      <c r="EJ624" s="408"/>
      <c r="EK624" s="408"/>
      <c r="EL624" s="408"/>
      <c r="EM624" s="408"/>
      <c r="EN624" s="408"/>
      <c r="EO624" s="408"/>
      <c r="EP624" s="408"/>
      <c r="EQ624" s="408"/>
      <c r="ER624" s="408"/>
      <c r="ES624" s="408"/>
      <c r="ET624" s="408"/>
      <c r="EU624" s="408"/>
      <c r="EV624" s="408">
        <v>240</v>
      </c>
      <c r="EW624" s="408"/>
      <c r="EX624" s="408"/>
      <c r="EY624" s="408"/>
      <c r="EZ624" s="408"/>
      <c r="FA624" s="408">
        <v>0</v>
      </c>
      <c r="FB624" s="408"/>
      <c r="FC624" s="408"/>
      <c r="FD624" s="408"/>
      <c r="FE624" s="408"/>
      <c r="FF624" s="408">
        <v>0</v>
      </c>
      <c r="FG624" s="408">
        <v>0</v>
      </c>
      <c r="FH624" s="408">
        <v>0</v>
      </c>
      <c r="FI624" s="408">
        <v>0</v>
      </c>
    </row>
    <row r="625" spans="1:165">
      <c r="A625" s="408">
        <v>623</v>
      </c>
      <c r="B625" s="408" t="s">
        <v>2238</v>
      </c>
      <c r="C625" s="408" t="s">
        <v>2235</v>
      </c>
      <c r="D625" s="408" t="s">
        <v>1955</v>
      </c>
      <c r="E625" s="408" t="s">
        <v>969</v>
      </c>
      <c r="F625" s="408" t="s">
        <v>2239</v>
      </c>
      <c r="G625" s="408" t="s">
        <v>1322</v>
      </c>
      <c r="H625" s="408" t="s">
        <v>1322</v>
      </c>
      <c r="I625" s="408" t="s">
        <v>1322</v>
      </c>
      <c r="J625" s="408" t="s">
        <v>2236</v>
      </c>
      <c r="K625" s="826">
        <v>44652</v>
      </c>
      <c r="L625" s="408">
        <v>0</v>
      </c>
      <c r="M625" s="408">
        <v>0</v>
      </c>
      <c r="N625" s="408">
        <v>0.191</v>
      </c>
      <c r="O625" s="408">
        <v>-1.7954000000000001</v>
      </c>
      <c r="P625" s="408">
        <v>0.191</v>
      </c>
      <c r="Q625" s="408">
        <v>-1.7954000000000001</v>
      </c>
      <c r="R625" s="408"/>
      <c r="S625" s="408">
        <v>281.47000000000003</v>
      </c>
      <c r="T625" s="408">
        <v>173.25</v>
      </c>
      <c r="U625" s="408"/>
      <c r="V625" s="408">
        <v>86.851520000000008</v>
      </c>
      <c r="W625" s="408">
        <v>86.851520000000008</v>
      </c>
      <c r="X625" s="408">
        <v>81.079499999999996</v>
      </c>
      <c r="Y625" s="408">
        <v>0</v>
      </c>
      <c r="Z625" s="408">
        <v>0</v>
      </c>
      <c r="AA625" s="408">
        <v>0</v>
      </c>
      <c r="AB625" s="408">
        <v>0</v>
      </c>
      <c r="AC625" s="408">
        <v>0.4888716366922366</v>
      </c>
      <c r="AD625" s="408">
        <v>0.46969601924254628</v>
      </c>
      <c r="AE625" s="408">
        <v>44.987587206600139</v>
      </c>
      <c r="AF625" s="408">
        <v>32.535029881794785</v>
      </c>
      <c r="AG625" s="408">
        <v>0.55528160433337881</v>
      </c>
      <c r="AH625" s="408">
        <v>0</v>
      </c>
      <c r="AI625" s="408">
        <v>0</v>
      </c>
      <c r="AJ625" s="408">
        <v>0</v>
      </c>
      <c r="AK625" s="408">
        <v>0</v>
      </c>
      <c r="AL625" s="408">
        <v>0</v>
      </c>
      <c r="AM625" s="408"/>
      <c r="AN625" s="408">
        <v>0.23070063244327951</v>
      </c>
      <c r="AO625" s="408">
        <v>1.0377785496194192</v>
      </c>
      <c r="AP625" s="408">
        <v>4.8390082765567755</v>
      </c>
      <c r="AQ625" s="408">
        <v>0</v>
      </c>
      <c r="AR625" s="408">
        <v>0</v>
      </c>
      <c r="AS625" s="408">
        <v>0</v>
      </c>
      <c r="AT625" s="408">
        <v>0</v>
      </c>
      <c r="AU625" s="408">
        <v>0</v>
      </c>
      <c r="AV625" s="408">
        <v>0</v>
      </c>
      <c r="AW625" s="408">
        <v>0</v>
      </c>
      <c r="AX625" s="408">
        <v>0</v>
      </c>
      <c r="AY625" s="408">
        <v>0</v>
      </c>
      <c r="AZ625" s="408">
        <v>0</v>
      </c>
      <c r="BA625" s="408"/>
      <c r="BB625" s="408">
        <v>0</v>
      </c>
      <c r="BC625" s="408">
        <v>0</v>
      </c>
      <c r="BD625" s="408">
        <v>0</v>
      </c>
      <c r="BE625" s="408">
        <v>0</v>
      </c>
      <c r="BF625" s="408">
        <v>0</v>
      </c>
      <c r="BG625" s="408">
        <v>1.7075002385818723</v>
      </c>
      <c r="BH625" s="408">
        <v>0</v>
      </c>
      <c r="BI625" s="408">
        <v>0</v>
      </c>
      <c r="BJ625" s="408">
        <v>0.19</v>
      </c>
      <c r="BK625" s="408">
        <v>17.170000000000002</v>
      </c>
      <c r="BL625" s="408">
        <v>0</v>
      </c>
      <c r="BM625" s="408"/>
      <c r="BN625" s="408"/>
      <c r="BO625" s="408"/>
      <c r="BP625" s="408"/>
      <c r="BQ625" s="408"/>
      <c r="BR625" s="408"/>
      <c r="BS625" s="408"/>
      <c r="BT625" s="408">
        <v>347.82207800000003</v>
      </c>
      <c r="BU625" s="408"/>
      <c r="BV625" s="408">
        <v>34.242530120376657</v>
      </c>
      <c r="BW625" s="408"/>
      <c r="BX625" s="408"/>
      <c r="BY625" s="408"/>
      <c r="BZ625" s="408"/>
      <c r="CA625" s="408"/>
      <c r="CB625" s="408"/>
      <c r="CC625" s="408"/>
      <c r="CD625" s="408"/>
      <c r="CE625" s="408"/>
      <c r="CF625" s="408"/>
      <c r="CG625" s="408"/>
      <c r="CH625" s="408"/>
      <c r="CI625" s="408">
        <v>-267.42599999999999</v>
      </c>
      <c r="CJ625" s="408">
        <v>18.299864000000071</v>
      </c>
      <c r="CK625" s="408"/>
      <c r="CL625" s="408"/>
      <c r="CM625" s="408"/>
      <c r="CN625" s="408"/>
      <c r="CO625" s="408">
        <v>-9.8957100000000064</v>
      </c>
      <c r="CP625" s="408">
        <v>4.1236900000000007</v>
      </c>
      <c r="CQ625" s="408">
        <v>30</v>
      </c>
      <c r="CR625" s="408">
        <v>5.4023327369167902</v>
      </c>
      <c r="CS625" s="408">
        <v>0.1034124142774675</v>
      </c>
      <c r="CT625" s="408">
        <v>0.48219683165633409</v>
      </c>
      <c r="CU625" s="408">
        <v>0</v>
      </c>
      <c r="CV625" s="408">
        <v>0</v>
      </c>
      <c r="CW625" s="408">
        <v>0</v>
      </c>
      <c r="CX625" s="408">
        <v>0</v>
      </c>
      <c r="CY625" s="408">
        <v>0</v>
      </c>
      <c r="CZ625" s="408">
        <v>0.48363127212848572</v>
      </c>
      <c r="DA625" s="408">
        <v>0</v>
      </c>
      <c r="DB625" s="408">
        <v>0</v>
      </c>
      <c r="DC625" s="408">
        <v>4.1232244115524566</v>
      </c>
      <c r="DD625" s="408">
        <v>0</v>
      </c>
      <c r="DE625" s="408">
        <v>0</v>
      </c>
      <c r="DF625" s="408">
        <v>0</v>
      </c>
      <c r="DG625" s="408">
        <v>0.21639465806644709</v>
      </c>
      <c r="DH625" s="408">
        <v>0</v>
      </c>
      <c r="DI625" s="408">
        <v>0</v>
      </c>
      <c r="DJ625" s="408"/>
      <c r="DK625" s="408">
        <v>0</v>
      </c>
      <c r="DL625" s="408">
        <v>0</v>
      </c>
      <c r="DM625" s="408">
        <v>0</v>
      </c>
      <c r="DN625" s="408">
        <v>0</v>
      </c>
      <c r="DO625" s="408">
        <v>0</v>
      </c>
      <c r="DP625" s="408">
        <v>-6.5268507643999885E-3</v>
      </c>
      <c r="DQ625" s="408">
        <v>0</v>
      </c>
      <c r="DR625" s="408">
        <v>0</v>
      </c>
      <c r="DS625" s="408"/>
      <c r="DT625" s="408"/>
      <c r="DU625" s="408"/>
      <c r="DV625" s="408">
        <v>44.987587206600139</v>
      </c>
      <c r="DW625" s="408">
        <v>0</v>
      </c>
      <c r="DX625" s="408">
        <v>0</v>
      </c>
      <c r="DY625" s="408">
        <v>-9.8957100000000082</v>
      </c>
      <c r="DZ625" s="408">
        <v>4.1236900000000034</v>
      </c>
      <c r="EA625" s="408">
        <v>0</v>
      </c>
      <c r="EB625" s="408">
        <v>0</v>
      </c>
      <c r="EC625" s="408">
        <v>-11.175679767042375</v>
      </c>
      <c r="ED625" s="408">
        <v>0</v>
      </c>
      <c r="EE625" s="408">
        <v>0</v>
      </c>
      <c r="EF625" s="408">
        <v>0</v>
      </c>
      <c r="EG625" s="408">
        <v>0</v>
      </c>
      <c r="EH625" s="408">
        <v>0</v>
      </c>
      <c r="EI625" s="408">
        <v>0</v>
      </c>
      <c r="EJ625" s="408">
        <v>0</v>
      </c>
      <c r="EK625" s="408">
        <v>0</v>
      </c>
      <c r="EL625" s="408">
        <v>0</v>
      </c>
      <c r="EM625" s="408">
        <v>0</v>
      </c>
      <c r="EN625" s="408">
        <v>0</v>
      </c>
      <c r="EO625" s="408">
        <v>0</v>
      </c>
      <c r="EP625" s="408">
        <v>0</v>
      </c>
      <c r="EQ625" s="408">
        <v>0</v>
      </c>
      <c r="ER625" s="408">
        <v>0</v>
      </c>
      <c r="ES625" s="408">
        <v>0</v>
      </c>
      <c r="ET625" s="408">
        <v>0</v>
      </c>
      <c r="EU625" s="408">
        <v>0</v>
      </c>
      <c r="EV625" s="408">
        <v>240</v>
      </c>
      <c r="EW625" s="408">
        <v>0</v>
      </c>
      <c r="EX625" s="408">
        <v>0</v>
      </c>
      <c r="EY625" s="408">
        <v>0</v>
      </c>
      <c r="EZ625" s="408"/>
      <c r="FA625" s="408">
        <v>0</v>
      </c>
      <c r="FB625" s="408"/>
      <c r="FC625" s="408"/>
      <c r="FD625" s="408"/>
      <c r="FE625" s="408"/>
      <c r="FF625" s="408">
        <v>0</v>
      </c>
      <c r="FG625" s="408">
        <v>0</v>
      </c>
      <c r="FH625" s="408">
        <v>0</v>
      </c>
      <c r="FI625" s="408">
        <v>0</v>
      </c>
    </row>
    <row r="626" spans="1:165">
      <c r="A626" s="408">
        <v>624</v>
      </c>
      <c r="B626" s="408" t="s">
        <v>1036</v>
      </c>
      <c r="C626" s="408" t="s">
        <v>2235</v>
      </c>
      <c r="D626" s="408" t="s">
        <v>1955</v>
      </c>
      <c r="E626" s="408" t="s">
        <v>969</v>
      </c>
      <c r="F626" s="408" t="s">
        <v>2240</v>
      </c>
      <c r="G626" s="408" t="s">
        <v>1322</v>
      </c>
      <c r="H626" s="408" t="s">
        <v>1322</v>
      </c>
      <c r="I626" s="408" t="s">
        <v>1322</v>
      </c>
      <c r="J626" s="408" t="s">
        <v>2236</v>
      </c>
      <c r="K626" s="826">
        <v>44652</v>
      </c>
      <c r="L626" s="408">
        <v>0</v>
      </c>
      <c r="M626" s="408">
        <v>0</v>
      </c>
      <c r="N626" s="408">
        <v>117.84</v>
      </c>
      <c r="O626" s="408">
        <v>117.84</v>
      </c>
      <c r="P626" s="408">
        <v>117.84</v>
      </c>
      <c r="Q626" s="408">
        <v>117.84</v>
      </c>
      <c r="R626" s="408"/>
      <c r="S626" s="408">
        <v>281.47000000000003</v>
      </c>
      <c r="T626" s="408">
        <v>173.25</v>
      </c>
      <c r="U626" s="408"/>
      <c r="V626" s="408">
        <v>53584.2048</v>
      </c>
      <c r="W626" s="408">
        <v>53584.2048</v>
      </c>
      <c r="X626" s="408">
        <v>50023.08</v>
      </c>
      <c r="Y626" s="408">
        <v>0</v>
      </c>
      <c r="Z626" s="408">
        <v>0</v>
      </c>
      <c r="AA626" s="408">
        <v>0</v>
      </c>
      <c r="AB626" s="408">
        <v>0</v>
      </c>
      <c r="AC626" s="408">
        <v>301.61588307755585</v>
      </c>
      <c r="AD626" s="408">
        <v>289.78522988241707</v>
      </c>
      <c r="AE626" s="408">
        <v>27755.692546731731</v>
      </c>
      <c r="AF626" s="408">
        <v>20072.921053773283</v>
      </c>
      <c r="AG626" s="408">
        <v>342.58839923898091</v>
      </c>
      <c r="AH626" s="408">
        <v>0</v>
      </c>
      <c r="AI626" s="408">
        <v>0</v>
      </c>
      <c r="AJ626" s="408">
        <v>0</v>
      </c>
      <c r="AK626" s="408">
        <v>0</v>
      </c>
      <c r="AL626" s="408">
        <v>0</v>
      </c>
      <c r="AM626" s="408"/>
      <c r="AN626" s="408">
        <v>142.33383522050292</v>
      </c>
      <c r="AO626" s="408">
        <v>640.27133134634732</v>
      </c>
      <c r="AP626" s="408">
        <v>2985.490760782463</v>
      </c>
      <c r="AQ626" s="408">
        <v>0</v>
      </c>
      <c r="AR626" s="408">
        <v>0</v>
      </c>
      <c r="AS626" s="408">
        <v>0</v>
      </c>
      <c r="AT626" s="408">
        <v>0</v>
      </c>
      <c r="AU626" s="408">
        <v>0</v>
      </c>
      <c r="AV626" s="408">
        <v>0</v>
      </c>
      <c r="AW626" s="408">
        <v>0</v>
      </c>
      <c r="AX626" s="408">
        <v>0</v>
      </c>
      <c r="AY626" s="408">
        <v>0</v>
      </c>
      <c r="AZ626" s="408">
        <v>0</v>
      </c>
      <c r="BA626" s="408"/>
      <c r="BB626" s="408">
        <v>0</v>
      </c>
      <c r="BC626" s="408">
        <v>0</v>
      </c>
      <c r="BD626" s="408">
        <v>0</v>
      </c>
      <c r="BE626" s="408">
        <v>0</v>
      </c>
      <c r="BF626" s="408">
        <v>0</v>
      </c>
      <c r="BG626" s="408">
        <v>1053.4650686622399</v>
      </c>
      <c r="BH626" s="408">
        <v>0</v>
      </c>
      <c r="BI626" s="408">
        <v>16.899999999999999</v>
      </c>
      <c r="BJ626" s="408">
        <v>235.6</v>
      </c>
      <c r="BK626" s="408">
        <v>10042.709999999999</v>
      </c>
      <c r="BL626" s="408">
        <v>367</v>
      </c>
      <c r="BM626" s="408"/>
      <c r="BN626" s="408"/>
      <c r="BO626" s="408"/>
      <c r="BP626" s="408"/>
      <c r="BQ626" s="408"/>
      <c r="BR626" s="408"/>
      <c r="BS626" s="408"/>
      <c r="BT626" s="408">
        <v>20010.410400000001</v>
      </c>
      <c r="BU626" s="408"/>
      <c r="BV626" s="408">
        <v>21126.386122435524</v>
      </c>
      <c r="BW626" s="408"/>
      <c r="BX626" s="408"/>
      <c r="BY626" s="408"/>
      <c r="BZ626" s="408"/>
      <c r="CA626" s="408"/>
      <c r="CB626" s="408"/>
      <c r="CC626" s="408"/>
      <c r="CD626" s="408"/>
      <c r="CE626" s="408"/>
      <c r="CF626" s="408"/>
      <c r="CG626" s="408"/>
      <c r="CH626" s="408"/>
      <c r="CI626" s="408">
        <v>30012.669600000001</v>
      </c>
      <c r="CJ626" s="408">
        <v>-2137.6475999999966</v>
      </c>
      <c r="CK626" s="408"/>
      <c r="CL626" s="408"/>
      <c r="CM626" s="408"/>
      <c r="CN626" s="408"/>
      <c r="CO626" s="408">
        <v>-6105.2904000000035</v>
      </c>
      <c r="CP626" s="408">
        <v>2544.1656000000003</v>
      </c>
      <c r="CQ626" s="408">
        <v>30</v>
      </c>
      <c r="CR626" s="408">
        <v>3333.041307425523</v>
      </c>
      <c r="CS626" s="408">
        <v>63.80166962542819</v>
      </c>
      <c r="CT626" s="408">
        <v>297.4977729967668</v>
      </c>
      <c r="CU626" s="408">
        <v>0</v>
      </c>
      <c r="CV626" s="408">
        <v>0</v>
      </c>
      <c r="CW626" s="408">
        <v>0</v>
      </c>
      <c r="CX626" s="408">
        <v>0</v>
      </c>
      <c r="CY626" s="408">
        <v>0</v>
      </c>
      <c r="CZ626" s="408">
        <v>298.38277019696727</v>
      </c>
      <c r="DA626" s="408">
        <v>0</v>
      </c>
      <c r="DB626" s="408">
        <v>0</v>
      </c>
      <c r="DC626" s="408">
        <v>2543.8783489913185</v>
      </c>
      <c r="DD626" s="408">
        <v>0</v>
      </c>
      <c r="DE626" s="408">
        <v>0</v>
      </c>
      <c r="DF626" s="408">
        <v>0</v>
      </c>
      <c r="DG626" s="408">
        <v>133.50757333272327</v>
      </c>
      <c r="DH626" s="408">
        <v>0</v>
      </c>
      <c r="DI626" s="408">
        <v>0</v>
      </c>
      <c r="DJ626" s="408"/>
      <c r="DK626" s="408">
        <v>0</v>
      </c>
      <c r="DL626" s="408">
        <v>0</v>
      </c>
      <c r="DM626" s="408">
        <v>0</v>
      </c>
      <c r="DN626" s="408">
        <v>0</v>
      </c>
      <c r="DO626" s="408">
        <v>0</v>
      </c>
      <c r="DP626" s="408">
        <v>-4.026827717680078</v>
      </c>
      <c r="DQ626" s="408">
        <v>0</v>
      </c>
      <c r="DR626" s="408">
        <v>0</v>
      </c>
      <c r="DS626" s="408"/>
      <c r="DT626" s="408"/>
      <c r="DU626" s="408"/>
      <c r="DV626" s="408">
        <v>27755.692546731731</v>
      </c>
      <c r="DW626" s="408">
        <v>0</v>
      </c>
      <c r="DX626" s="408">
        <v>0</v>
      </c>
      <c r="DY626" s="408">
        <v>-6105.2904000000017</v>
      </c>
      <c r="DZ626" s="408">
        <v>2544.1656000000039</v>
      </c>
      <c r="EA626" s="408">
        <v>0</v>
      </c>
      <c r="EB626" s="408">
        <v>0</v>
      </c>
      <c r="EC626" s="408">
        <v>-6894.9848363783967</v>
      </c>
      <c r="ED626" s="408">
        <v>0</v>
      </c>
      <c r="EE626" s="408">
        <v>0</v>
      </c>
      <c r="EF626" s="408">
        <v>0</v>
      </c>
      <c r="EG626" s="408">
        <v>0</v>
      </c>
      <c r="EH626" s="408">
        <v>0</v>
      </c>
      <c r="EI626" s="408">
        <v>0</v>
      </c>
      <c r="EJ626" s="408">
        <v>0</v>
      </c>
      <c r="EK626" s="408">
        <v>0</v>
      </c>
      <c r="EL626" s="408">
        <v>0</v>
      </c>
      <c r="EM626" s="408">
        <v>0</v>
      </c>
      <c r="EN626" s="408">
        <v>0</v>
      </c>
      <c r="EO626" s="408">
        <v>0</v>
      </c>
      <c r="EP626" s="408">
        <v>0</v>
      </c>
      <c r="EQ626" s="408">
        <v>0</v>
      </c>
      <c r="ER626" s="408">
        <v>0</v>
      </c>
      <c r="ES626" s="408">
        <v>0</v>
      </c>
      <c r="ET626" s="408">
        <v>0</v>
      </c>
      <c r="EU626" s="408">
        <v>0</v>
      </c>
      <c r="EV626" s="408">
        <v>240</v>
      </c>
      <c r="EW626" s="408">
        <v>0</v>
      </c>
      <c r="EX626" s="408">
        <v>0</v>
      </c>
      <c r="EY626" s="408">
        <v>0</v>
      </c>
      <c r="EZ626" s="408"/>
      <c r="FA626" s="408">
        <v>0</v>
      </c>
      <c r="FB626" s="408"/>
      <c r="FC626" s="408"/>
      <c r="FD626" s="408"/>
      <c r="FE626" s="408"/>
      <c r="FF626" s="408">
        <v>0</v>
      </c>
      <c r="FG626" s="408">
        <v>0</v>
      </c>
      <c r="FH626" s="408">
        <v>0</v>
      </c>
      <c r="FI626" s="408">
        <v>0</v>
      </c>
    </row>
    <row r="627" spans="1:165">
      <c r="A627" s="408">
        <v>625</v>
      </c>
      <c r="B627" s="408" t="s">
        <v>2237</v>
      </c>
      <c r="C627" s="408" t="s">
        <v>2235</v>
      </c>
      <c r="D627" s="408" t="s">
        <v>1955</v>
      </c>
      <c r="E627" s="408" t="s">
        <v>969</v>
      </c>
      <c r="F627" s="408" t="s">
        <v>2240</v>
      </c>
      <c r="G627" s="408" t="s">
        <v>1322</v>
      </c>
      <c r="H627" s="408" t="s">
        <v>1322</v>
      </c>
      <c r="I627" s="408" t="s">
        <v>1322</v>
      </c>
      <c r="J627" s="408" t="s">
        <v>2236</v>
      </c>
      <c r="K627" s="826">
        <v>44652</v>
      </c>
      <c r="L627" s="408">
        <v>0</v>
      </c>
      <c r="M627" s="408">
        <v>0</v>
      </c>
      <c r="N627" s="408">
        <v>0.14000000000000001</v>
      </c>
      <c r="O627" s="408">
        <v>0.14000000000000001</v>
      </c>
      <c r="P627" s="408">
        <v>0.14000000000000001</v>
      </c>
      <c r="Q627" s="408">
        <v>0.14000000000000001</v>
      </c>
      <c r="R627" s="408"/>
      <c r="S627" s="408">
        <v>281.47000000000003</v>
      </c>
      <c r="T627" s="408">
        <v>173.25</v>
      </c>
      <c r="U627" s="408"/>
      <c r="V627" s="408">
        <v>63.660800000000009</v>
      </c>
      <c r="W627" s="408">
        <v>63.660800000000009</v>
      </c>
      <c r="X627" s="408">
        <v>59.430000000000007</v>
      </c>
      <c r="Y627" s="408">
        <v>0</v>
      </c>
      <c r="Z627" s="408">
        <v>0</v>
      </c>
      <c r="AA627" s="408">
        <v>0</v>
      </c>
      <c r="AB627" s="408">
        <v>0</v>
      </c>
      <c r="AC627" s="408">
        <v>0.35833523108331483</v>
      </c>
      <c r="AD627" s="408">
        <v>0.34427980468040048</v>
      </c>
      <c r="AE627" s="408">
        <v>32.975194811120524</v>
      </c>
      <c r="AF627" s="408">
        <v>23.847665881943822</v>
      </c>
      <c r="AG627" s="408">
        <v>0.40701269427577508</v>
      </c>
      <c r="AH627" s="408">
        <v>0</v>
      </c>
      <c r="AI627" s="408">
        <v>0</v>
      </c>
      <c r="AJ627" s="408">
        <v>0</v>
      </c>
      <c r="AK627" s="408">
        <v>0</v>
      </c>
      <c r="AL627" s="408">
        <v>0</v>
      </c>
      <c r="AM627" s="408"/>
      <c r="AN627" s="408">
        <v>0.1690999400107808</v>
      </c>
      <c r="AO627" s="408">
        <v>0.760675376684391</v>
      </c>
      <c r="AP627" s="408">
        <v>3.5469170613505163</v>
      </c>
      <c r="AQ627" s="408">
        <v>0</v>
      </c>
      <c r="AR627" s="408">
        <v>0</v>
      </c>
      <c r="AS627" s="408">
        <v>0</v>
      </c>
      <c r="AT627" s="408">
        <v>0</v>
      </c>
      <c r="AU627" s="408">
        <v>0</v>
      </c>
      <c r="AV627" s="408">
        <v>0</v>
      </c>
      <c r="AW627" s="408">
        <v>0</v>
      </c>
      <c r="AX627" s="408">
        <v>0</v>
      </c>
      <c r="AY627" s="408">
        <v>0</v>
      </c>
      <c r="AZ627" s="408">
        <v>0</v>
      </c>
      <c r="BA627" s="408"/>
      <c r="BB627" s="408">
        <v>0</v>
      </c>
      <c r="BC627" s="408">
        <v>0</v>
      </c>
      <c r="BD627" s="408">
        <v>0</v>
      </c>
      <c r="BE627" s="408">
        <v>0</v>
      </c>
      <c r="BF627" s="408">
        <v>0</v>
      </c>
      <c r="BG627" s="408">
        <v>1.2515708555050373</v>
      </c>
      <c r="BH627" s="408">
        <v>0</v>
      </c>
      <c r="BI627" s="408">
        <v>0.02</v>
      </c>
      <c r="BJ627" s="408">
        <v>0.28000000000000003</v>
      </c>
      <c r="BK627" s="408">
        <v>11.98</v>
      </c>
      <c r="BL627" s="408">
        <v>0</v>
      </c>
      <c r="BM627" s="408"/>
      <c r="BN627" s="408"/>
      <c r="BO627" s="408"/>
      <c r="BP627" s="408"/>
      <c r="BQ627" s="408"/>
      <c r="BR627" s="408"/>
      <c r="BS627" s="408"/>
      <c r="BT627" s="408">
        <v>23.773400000000002</v>
      </c>
      <c r="BU627" s="408"/>
      <c r="BV627" s="408">
        <v>25.099236737448859</v>
      </c>
      <c r="BW627" s="408"/>
      <c r="BX627" s="408"/>
      <c r="BY627" s="408"/>
      <c r="BZ627" s="408"/>
      <c r="CA627" s="408"/>
      <c r="CB627" s="408"/>
      <c r="CC627" s="408"/>
      <c r="CD627" s="408"/>
      <c r="CE627" s="408"/>
      <c r="CF627" s="408"/>
      <c r="CG627" s="408"/>
      <c r="CH627" s="408"/>
      <c r="CI627" s="408">
        <v>35.656600000000005</v>
      </c>
      <c r="CJ627" s="408">
        <v>-2.5696000000000012</v>
      </c>
      <c r="CK627" s="408"/>
      <c r="CL627" s="408"/>
      <c r="CM627" s="408"/>
      <c r="CN627" s="408"/>
      <c r="CO627" s="408">
        <v>-7.2534000000000054</v>
      </c>
      <c r="CP627" s="408">
        <v>3.0226000000000006</v>
      </c>
      <c r="CQ627" s="408">
        <v>30</v>
      </c>
      <c r="CR627" s="408">
        <v>3.9598250427662407</v>
      </c>
      <c r="CS627" s="408">
        <v>7.5799675386625465E-2</v>
      </c>
      <c r="CT627" s="408">
        <v>0.35344270383186815</v>
      </c>
      <c r="CU627" s="408">
        <v>0</v>
      </c>
      <c r="CV627" s="408">
        <v>0</v>
      </c>
      <c r="CW627" s="408">
        <v>0</v>
      </c>
      <c r="CX627" s="408">
        <v>0</v>
      </c>
      <c r="CY627" s="408">
        <v>0</v>
      </c>
      <c r="CZ627" s="408">
        <v>0.35449412616747639</v>
      </c>
      <c r="DA627" s="408">
        <v>0</v>
      </c>
      <c r="DB627" s="408">
        <v>0</v>
      </c>
      <c r="DC627" s="408">
        <v>3.0222587309808588</v>
      </c>
      <c r="DD627" s="408">
        <v>0</v>
      </c>
      <c r="DE627" s="408">
        <v>0</v>
      </c>
      <c r="DF627" s="408">
        <v>0</v>
      </c>
      <c r="DG627" s="408">
        <v>0.1586138854937309</v>
      </c>
      <c r="DH627" s="408">
        <v>0</v>
      </c>
      <c r="DI627" s="408">
        <v>0</v>
      </c>
      <c r="DJ627" s="408"/>
      <c r="DK627" s="408">
        <v>0</v>
      </c>
      <c r="DL627" s="408">
        <v>0</v>
      </c>
      <c r="DM627" s="408">
        <v>0</v>
      </c>
      <c r="DN627" s="408">
        <v>0</v>
      </c>
      <c r="DO627" s="408">
        <v>0</v>
      </c>
      <c r="DP627" s="408">
        <v>-4.7840790943246003E-3</v>
      </c>
      <c r="DQ627" s="408">
        <v>0</v>
      </c>
      <c r="DR627" s="408">
        <v>0</v>
      </c>
      <c r="DS627" s="408"/>
      <c r="DT627" s="408"/>
      <c r="DU627" s="408"/>
      <c r="DV627" s="408">
        <v>32.975194811120524</v>
      </c>
      <c r="DW627" s="408">
        <v>0</v>
      </c>
      <c r="DX627" s="408">
        <v>0</v>
      </c>
      <c r="DY627" s="408">
        <v>-7.2534000000000063</v>
      </c>
      <c r="DZ627" s="408">
        <v>3.0226000000000006</v>
      </c>
      <c r="EA627" s="408">
        <v>0</v>
      </c>
      <c r="EB627" s="408">
        <v>0</v>
      </c>
      <c r="EC627" s="408">
        <v>-8.1915977350048834</v>
      </c>
      <c r="ED627" s="408">
        <v>0</v>
      </c>
      <c r="EE627" s="408">
        <v>0</v>
      </c>
      <c r="EF627" s="408">
        <v>0</v>
      </c>
      <c r="EG627" s="408">
        <v>0</v>
      </c>
      <c r="EH627" s="408">
        <v>0</v>
      </c>
      <c r="EI627" s="408">
        <v>0</v>
      </c>
      <c r="EJ627" s="408">
        <v>0</v>
      </c>
      <c r="EK627" s="408">
        <v>0</v>
      </c>
      <c r="EL627" s="408">
        <v>0</v>
      </c>
      <c r="EM627" s="408">
        <v>0</v>
      </c>
      <c r="EN627" s="408">
        <v>0</v>
      </c>
      <c r="EO627" s="408">
        <v>0</v>
      </c>
      <c r="EP627" s="408">
        <v>0</v>
      </c>
      <c r="EQ627" s="408">
        <v>0</v>
      </c>
      <c r="ER627" s="408">
        <v>0</v>
      </c>
      <c r="ES627" s="408">
        <v>0</v>
      </c>
      <c r="ET627" s="408">
        <v>0</v>
      </c>
      <c r="EU627" s="408">
        <v>0</v>
      </c>
      <c r="EV627" s="408">
        <v>240</v>
      </c>
      <c r="EW627" s="408">
        <v>0</v>
      </c>
      <c r="EX627" s="408">
        <v>0</v>
      </c>
      <c r="EY627" s="408">
        <v>0</v>
      </c>
      <c r="EZ627" s="408"/>
      <c r="FA627" s="408">
        <v>0</v>
      </c>
      <c r="FB627" s="408"/>
      <c r="FC627" s="408"/>
      <c r="FD627" s="408"/>
      <c r="FE627" s="408"/>
      <c r="FF627" s="408">
        <v>0</v>
      </c>
      <c r="FG627" s="408">
        <v>0</v>
      </c>
      <c r="FH627" s="408">
        <v>0</v>
      </c>
      <c r="FI627" s="408">
        <v>0</v>
      </c>
    </row>
    <row r="628" spans="1:165">
      <c r="A628" s="408">
        <v>626</v>
      </c>
      <c r="B628" s="408" t="s">
        <v>2238</v>
      </c>
      <c r="C628" s="408" t="s">
        <v>2235</v>
      </c>
      <c r="D628" s="408" t="s">
        <v>1955</v>
      </c>
      <c r="E628" s="408" t="s">
        <v>969</v>
      </c>
      <c r="F628" s="408" t="s">
        <v>2240</v>
      </c>
      <c r="G628" s="408" t="s">
        <v>1322</v>
      </c>
      <c r="H628" s="408" t="s">
        <v>1322</v>
      </c>
      <c r="I628" s="408" t="s">
        <v>1322</v>
      </c>
      <c r="J628" s="408" t="s">
        <v>2236</v>
      </c>
      <c r="K628" s="826">
        <v>44652</v>
      </c>
      <c r="L628" s="408">
        <v>0</v>
      </c>
      <c r="M628" s="408">
        <v>0</v>
      </c>
      <c r="N628" s="408">
        <v>0.29199999999999998</v>
      </c>
      <c r="O628" s="408">
        <v>-1.5768</v>
      </c>
      <c r="P628" s="408">
        <v>0.29199999999999998</v>
      </c>
      <c r="Q628" s="408">
        <v>-1.5768</v>
      </c>
      <c r="R628" s="408"/>
      <c r="S628" s="408">
        <v>281.47000000000003</v>
      </c>
      <c r="T628" s="408">
        <v>173.25</v>
      </c>
      <c r="U628" s="408"/>
      <c r="V628" s="408">
        <v>132.77823999999998</v>
      </c>
      <c r="W628" s="408">
        <v>132.77823999999998</v>
      </c>
      <c r="X628" s="408">
        <v>123.95399999999998</v>
      </c>
      <c r="Y628" s="408">
        <v>0</v>
      </c>
      <c r="Z628" s="408">
        <v>0</v>
      </c>
      <c r="AA628" s="408">
        <v>0</v>
      </c>
      <c r="AB628" s="408">
        <v>0</v>
      </c>
      <c r="AC628" s="408">
        <v>0.7473849105451994</v>
      </c>
      <c r="AD628" s="408">
        <v>0.71806930690483517</v>
      </c>
      <c r="AE628" s="408">
        <v>68.77683489176566</v>
      </c>
      <c r="AF628" s="408">
        <v>49.739417410911393</v>
      </c>
      <c r="AG628" s="408">
        <v>0.84891219091804504</v>
      </c>
      <c r="AH628" s="408">
        <v>0</v>
      </c>
      <c r="AI628" s="408">
        <v>0</v>
      </c>
      <c r="AJ628" s="408">
        <v>0</v>
      </c>
      <c r="AK628" s="408">
        <v>0</v>
      </c>
      <c r="AL628" s="408">
        <v>0</v>
      </c>
      <c r="AM628" s="408"/>
      <c r="AN628" s="408">
        <v>0.35269416059391417</v>
      </c>
      <c r="AO628" s="408">
        <v>1.5865514999417296</v>
      </c>
      <c r="AP628" s="408">
        <v>7.3978555851025041</v>
      </c>
      <c r="AQ628" s="408">
        <v>0</v>
      </c>
      <c r="AR628" s="408">
        <v>0</v>
      </c>
      <c r="AS628" s="408">
        <v>0</v>
      </c>
      <c r="AT628" s="408">
        <v>0</v>
      </c>
      <c r="AU628" s="408">
        <v>0</v>
      </c>
      <c r="AV628" s="408">
        <v>0</v>
      </c>
      <c r="AW628" s="408">
        <v>0</v>
      </c>
      <c r="AX628" s="408">
        <v>0</v>
      </c>
      <c r="AY628" s="408">
        <v>0</v>
      </c>
      <c r="AZ628" s="408">
        <v>0</v>
      </c>
      <c r="BA628" s="408"/>
      <c r="BB628" s="408">
        <v>0</v>
      </c>
      <c r="BC628" s="408">
        <v>0</v>
      </c>
      <c r="BD628" s="408">
        <v>0</v>
      </c>
      <c r="BE628" s="408">
        <v>0</v>
      </c>
      <c r="BF628" s="408">
        <v>0</v>
      </c>
      <c r="BG628" s="408">
        <v>2.6104192129105059</v>
      </c>
      <c r="BH628" s="408">
        <v>0</v>
      </c>
      <c r="BI628" s="408">
        <v>0.04</v>
      </c>
      <c r="BJ628" s="408">
        <v>0.57999999999999996</v>
      </c>
      <c r="BK628" s="408">
        <v>62.92</v>
      </c>
      <c r="BL628" s="408">
        <v>1</v>
      </c>
      <c r="BM628" s="408"/>
      <c r="BN628" s="408"/>
      <c r="BO628" s="408"/>
      <c r="BP628" s="408"/>
      <c r="BQ628" s="408"/>
      <c r="BR628" s="408"/>
      <c r="BS628" s="408"/>
      <c r="BT628" s="408">
        <v>525.54919199999995</v>
      </c>
      <c r="BU628" s="408"/>
      <c r="BV628" s="408">
        <v>52.349836623821901</v>
      </c>
      <c r="BW628" s="408"/>
      <c r="BX628" s="408"/>
      <c r="BY628" s="408"/>
      <c r="BZ628" s="408"/>
      <c r="CA628" s="408"/>
      <c r="CB628" s="408"/>
      <c r="CC628" s="408"/>
      <c r="CD628" s="408"/>
      <c r="CE628" s="408"/>
      <c r="CF628" s="408"/>
      <c r="CG628" s="408"/>
      <c r="CH628" s="408"/>
      <c r="CI628" s="408">
        <v>-402.41020000000003</v>
      </c>
      <c r="CJ628" s="408">
        <v>27.758144000000016</v>
      </c>
      <c r="CK628" s="408"/>
      <c r="CL628" s="408"/>
      <c r="CM628" s="408"/>
      <c r="CN628" s="408"/>
      <c r="CO628" s="408">
        <v>-15.128520000000009</v>
      </c>
      <c r="CP628" s="408">
        <v>6.3042800000000003</v>
      </c>
      <c r="CQ628" s="408">
        <v>30</v>
      </c>
      <c r="CR628" s="408">
        <v>8.2590636606267225</v>
      </c>
      <c r="CS628" s="408">
        <v>0.15809646580639014</v>
      </c>
      <c r="CT628" s="408">
        <v>0.73718049656361107</v>
      </c>
      <c r="CU628" s="408">
        <v>0</v>
      </c>
      <c r="CV628" s="408">
        <v>0</v>
      </c>
      <c r="CW628" s="408">
        <v>0</v>
      </c>
      <c r="CX628" s="408">
        <v>0</v>
      </c>
      <c r="CY628" s="408">
        <v>0</v>
      </c>
      <c r="CZ628" s="408">
        <v>0.73937346314930785</v>
      </c>
      <c r="DA628" s="408">
        <v>0</v>
      </c>
      <c r="DB628" s="408">
        <v>0</v>
      </c>
      <c r="DC628" s="408">
        <v>6.3035682103315054</v>
      </c>
      <c r="DD628" s="408">
        <v>0</v>
      </c>
      <c r="DE628" s="408">
        <v>0</v>
      </c>
      <c r="DF628" s="408">
        <v>0</v>
      </c>
      <c r="DG628" s="408">
        <v>0.33082324688692433</v>
      </c>
      <c r="DH628" s="408">
        <v>0</v>
      </c>
      <c r="DI628" s="408">
        <v>0</v>
      </c>
      <c r="DJ628" s="408"/>
      <c r="DK628" s="408">
        <v>0</v>
      </c>
      <c r="DL628" s="408">
        <v>0</v>
      </c>
      <c r="DM628" s="408">
        <v>0</v>
      </c>
      <c r="DN628" s="408">
        <v>0</v>
      </c>
      <c r="DO628" s="408">
        <v>0</v>
      </c>
      <c r="DP628" s="408">
        <v>-9.978222111019841E-3</v>
      </c>
      <c r="DQ628" s="408">
        <v>0</v>
      </c>
      <c r="DR628" s="408">
        <v>0</v>
      </c>
      <c r="DS628" s="408"/>
      <c r="DT628" s="408"/>
      <c r="DU628" s="408"/>
      <c r="DV628" s="408">
        <v>68.77683489176566</v>
      </c>
      <c r="DW628" s="408">
        <v>0</v>
      </c>
      <c r="DX628" s="408">
        <v>0</v>
      </c>
      <c r="DY628" s="408">
        <v>-15.128520000000009</v>
      </c>
      <c r="DZ628" s="408">
        <v>6.3042799999999986</v>
      </c>
      <c r="EA628" s="408">
        <v>0</v>
      </c>
      <c r="EB628" s="408">
        <v>0</v>
      </c>
      <c r="EC628" s="408">
        <v>-17.085332418724477</v>
      </c>
      <c r="ED628" s="408">
        <v>0</v>
      </c>
      <c r="EE628" s="408">
        <v>0</v>
      </c>
      <c r="EF628" s="408">
        <v>0</v>
      </c>
      <c r="EG628" s="408">
        <v>0</v>
      </c>
      <c r="EH628" s="408">
        <v>0</v>
      </c>
      <c r="EI628" s="408">
        <v>0</v>
      </c>
      <c r="EJ628" s="408">
        <v>0</v>
      </c>
      <c r="EK628" s="408">
        <v>0</v>
      </c>
      <c r="EL628" s="408">
        <v>0</v>
      </c>
      <c r="EM628" s="408">
        <v>0</v>
      </c>
      <c r="EN628" s="408">
        <v>0</v>
      </c>
      <c r="EO628" s="408">
        <v>0</v>
      </c>
      <c r="EP628" s="408">
        <v>0</v>
      </c>
      <c r="EQ628" s="408">
        <v>0</v>
      </c>
      <c r="ER628" s="408">
        <v>0</v>
      </c>
      <c r="ES628" s="408">
        <v>0</v>
      </c>
      <c r="ET628" s="408">
        <v>0</v>
      </c>
      <c r="EU628" s="408">
        <v>0</v>
      </c>
      <c r="EV628" s="408">
        <v>240</v>
      </c>
      <c r="EW628" s="408">
        <v>0</v>
      </c>
      <c r="EX628" s="408">
        <v>0</v>
      </c>
      <c r="EY628" s="408">
        <v>0</v>
      </c>
      <c r="EZ628" s="408"/>
      <c r="FA628" s="408">
        <v>0</v>
      </c>
      <c r="FB628" s="408"/>
      <c r="FC628" s="408"/>
      <c r="FD628" s="408"/>
      <c r="FE628" s="408"/>
      <c r="FF628" s="408">
        <v>0</v>
      </c>
      <c r="FG628" s="408">
        <v>0</v>
      </c>
      <c r="FH628" s="408">
        <v>0</v>
      </c>
      <c r="FI628" s="408">
        <v>0</v>
      </c>
    </row>
    <row r="629" spans="1:165">
      <c r="A629" s="408">
        <v>627</v>
      </c>
      <c r="B629" s="408" t="s">
        <v>1036</v>
      </c>
      <c r="C629" s="408" t="s">
        <v>2235</v>
      </c>
      <c r="D629" s="408" t="s">
        <v>1955</v>
      </c>
      <c r="E629" s="408" t="s">
        <v>969</v>
      </c>
      <c r="F629" s="408" t="s">
        <v>2241</v>
      </c>
      <c r="G629" s="408" t="s">
        <v>1322</v>
      </c>
      <c r="H629" s="408" t="s">
        <v>1322</v>
      </c>
      <c r="I629" s="408" t="s">
        <v>1322</v>
      </c>
      <c r="J629" s="408" t="s">
        <v>2236</v>
      </c>
      <c r="K629" s="826">
        <v>44652</v>
      </c>
      <c r="L629" s="408">
        <v>0</v>
      </c>
      <c r="M629" s="408">
        <v>0</v>
      </c>
      <c r="N629" s="408">
        <v>112.874</v>
      </c>
      <c r="O629" s="408">
        <v>112.874</v>
      </c>
      <c r="P629" s="408">
        <v>112.874</v>
      </c>
      <c r="Q629" s="408">
        <v>112.874</v>
      </c>
      <c r="R629" s="408"/>
      <c r="S629" s="408">
        <v>281.47000000000003</v>
      </c>
      <c r="T629" s="408">
        <v>173.25</v>
      </c>
      <c r="U629" s="408"/>
      <c r="V629" s="408">
        <v>51326.065280000003</v>
      </c>
      <c r="W629" s="408">
        <v>51326.065280000003</v>
      </c>
      <c r="X629" s="408">
        <v>47915.012999999992</v>
      </c>
      <c r="Y629" s="408">
        <v>0</v>
      </c>
      <c r="Z629" s="408">
        <v>0</v>
      </c>
      <c r="AA629" s="408">
        <v>0</v>
      </c>
      <c r="AB629" s="408">
        <v>0</v>
      </c>
      <c r="AC629" s="408">
        <v>288.90522052355766</v>
      </c>
      <c r="AD629" s="408">
        <v>277.57313338211083</v>
      </c>
      <c r="AE629" s="408">
        <v>26586.015279360126</v>
      </c>
      <c r="AF629" s="408">
        <v>19227.01027684662</v>
      </c>
      <c r="AG629" s="408">
        <v>328.15107752631309</v>
      </c>
      <c r="AH629" s="408">
        <v>0</v>
      </c>
      <c r="AI629" s="408">
        <v>0</v>
      </c>
      <c r="AJ629" s="408">
        <v>0</v>
      </c>
      <c r="AK629" s="408">
        <v>0</v>
      </c>
      <c r="AL629" s="408">
        <v>0</v>
      </c>
      <c r="AM629" s="408"/>
      <c r="AN629" s="408">
        <v>136.33561877697764</v>
      </c>
      <c r="AO629" s="408">
        <v>613.28908905624246</v>
      </c>
      <c r="AP629" s="408">
        <v>2859.6765455919867</v>
      </c>
      <c r="AQ629" s="408">
        <v>0</v>
      </c>
      <c r="AR629" s="408">
        <v>0</v>
      </c>
      <c r="AS629" s="408">
        <v>0</v>
      </c>
      <c r="AT629" s="408">
        <v>0</v>
      </c>
      <c r="AU629" s="408">
        <v>0</v>
      </c>
      <c r="AV629" s="408">
        <v>0</v>
      </c>
      <c r="AW629" s="408">
        <v>0</v>
      </c>
      <c r="AX629" s="408">
        <v>0</v>
      </c>
      <c r="AY629" s="408">
        <v>0</v>
      </c>
      <c r="AZ629" s="408">
        <v>0</v>
      </c>
      <c r="BA629" s="408"/>
      <c r="BB629" s="408">
        <v>0</v>
      </c>
      <c r="BC629" s="408">
        <v>0</v>
      </c>
      <c r="BD629" s="408">
        <v>0</v>
      </c>
      <c r="BE629" s="408">
        <v>0</v>
      </c>
      <c r="BF629" s="408">
        <v>0</v>
      </c>
      <c r="BG629" s="408">
        <v>1009.0700624591112</v>
      </c>
      <c r="BH629" s="408">
        <v>0</v>
      </c>
      <c r="BI629" s="408">
        <v>29.82</v>
      </c>
      <c r="BJ629" s="408">
        <v>326.06</v>
      </c>
      <c r="BK629" s="408">
        <v>14484.09</v>
      </c>
      <c r="BL629" s="408">
        <v>971</v>
      </c>
      <c r="BM629" s="408"/>
      <c r="BN629" s="408"/>
      <c r="BO629" s="408"/>
      <c r="BP629" s="408"/>
      <c r="BQ629" s="408"/>
      <c r="BR629" s="408"/>
      <c r="BS629" s="408"/>
      <c r="BT629" s="408">
        <v>4792.63004</v>
      </c>
      <c r="BU629" s="408"/>
      <c r="BV629" s="408">
        <v>20236.080339305732</v>
      </c>
      <c r="BW629" s="408"/>
      <c r="BX629" s="408"/>
      <c r="BY629" s="408"/>
      <c r="BZ629" s="408"/>
      <c r="CA629" s="408"/>
      <c r="CB629" s="408"/>
      <c r="CC629" s="408"/>
      <c r="CD629" s="408"/>
      <c r="CE629" s="408"/>
      <c r="CF629" s="408"/>
      <c r="CG629" s="408"/>
      <c r="CH629" s="408"/>
      <c r="CI629" s="408">
        <v>43120.854800000001</v>
      </c>
      <c r="CJ629" s="408">
        <v>-3071.7309599999935</v>
      </c>
      <c r="CK629" s="408"/>
      <c r="CL629" s="408"/>
      <c r="CM629" s="408"/>
      <c r="CN629" s="408"/>
      <c r="CO629" s="408">
        <v>-5848.0019400000028</v>
      </c>
      <c r="CP629" s="408">
        <v>2436.9496600000002</v>
      </c>
      <c r="CQ629" s="408">
        <v>30</v>
      </c>
      <c r="CR629" s="408">
        <v>3192.5806562656871</v>
      </c>
      <c r="CS629" s="408">
        <v>61.112946854213988</v>
      </c>
      <c r="CT629" s="408">
        <v>284.96065537370214</v>
      </c>
      <c r="CU629" s="408">
        <v>0</v>
      </c>
      <c r="CV629" s="408">
        <v>0</v>
      </c>
      <c r="CW629" s="408">
        <v>0</v>
      </c>
      <c r="CX629" s="408">
        <v>0</v>
      </c>
      <c r="CY629" s="408">
        <v>0</v>
      </c>
      <c r="CZ629" s="408">
        <v>285.80835712162667</v>
      </c>
      <c r="DA629" s="408">
        <v>0</v>
      </c>
      <c r="DB629" s="408">
        <v>0</v>
      </c>
      <c r="DC629" s="408">
        <v>2436.6745142909531</v>
      </c>
      <c r="DD629" s="408">
        <v>0</v>
      </c>
      <c r="DE629" s="408">
        <v>0</v>
      </c>
      <c r="DF629" s="408">
        <v>0</v>
      </c>
      <c r="DG629" s="408">
        <v>127.88131222299546</v>
      </c>
      <c r="DH629" s="408">
        <v>0</v>
      </c>
      <c r="DI629" s="408">
        <v>0</v>
      </c>
      <c r="DJ629" s="408"/>
      <c r="DK629" s="408">
        <v>0</v>
      </c>
      <c r="DL629" s="408">
        <v>0</v>
      </c>
      <c r="DM629" s="408">
        <v>0</v>
      </c>
      <c r="DN629" s="408">
        <v>0</v>
      </c>
      <c r="DO629" s="408">
        <v>0</v>
      </c>
      <c r="DP629" s="408">
        <v>-3.857129597805681</v>
      </c>
      <c r="DQ629" s="408">
        <v>0</v>
      </c>
      <c r="DR629" s="408">
        <v>0</v>
      </c>
      <c r="DS629" s="408"/>
      <c r="DT629" s="408"/>
      <c r="DU629" s="408"/>
      <c r="DV629" s="408">
        <v>26586.015279360126</v>
      </c>
      <c r="DW629" s="408">
        <v>0</v>
      </c>
      <c r="DX629" s="408">
        <v>0</v>
      </c>
      <c r="DY629" s="408">
        <v>-5848.0019400000056</v>
      </c>
      <c r="DZ629" s="408">
        <v>2436.9496599999984</v>
      </c>
      <c r="EA629" s="408">
        <v>0</v>
      </c>
      <c r="EB629" s="408">
        <v>0</v>
      </c>
      <c r="EC629" s="408">
        <v>-6604.4171624352966</v>
      </c>
      <c r="ED629" s="408">
        <v>0</v>
      </c>
      <c r="EE629" s="408">
        <v>0</v>
      </c>
      <c r="EF629" s="408">
        <v>0</v>
      </c>
      <c r="EG629" s="408">
        <v>0</v>
      </c>
      <c r="EH629" s="408">
        <v>0</v>
      </c>
      <c r="EI629" s="408">
        <v>0</v>
      </c>
      <c r="EJ629" s="408">
        <v>0</v>
      </c>
      <c r="EK629" s="408">
        <v>0</v>
      </c>
      <c r="EL629" s="408">
        <v>0</v>
      </c>
      <c r="EM629" s="408">
        <v>0</v>
      </c>
      <c r="EN629" s="408">
        <v>0</v>
      </c>
      <c r="EO629" s="408">
        <v>0</v>
      </c>
      <c r="EP629" s="408">
        <v>0</v>
      </c>
      <c r="EQ629" s="408">
        <v>0</v>
      </c>
      <c r="ER629" s="408">
        <v>0</v>
      </c>
      <c r="ES629" s="408">
        <v>0</v>
      </c>
      <c r="ET629" s="408">
        <v>0</v>
      </c>
      <c r="EU629" s="408">
        <v>0</v>
      </c>
      <c r="EV629" s="408">
        <v>240</v>
      </c>
      <c r="EW629" s="408">
        <v>0</v>
      </c>
      <c r="EX629" s="408">
        <v>0</v>
      </c>
      <c r="EY629" s="408">
        <v>0</v>
      </c>
      <c r="EZ629" s="408"/>
      <c r="FA629" s="408">
        <v>0</v>
      </c>
      <c r="FB629" s="408"/>
      <c r="FC629" s="408"/>
      <c r="FD629" s="408"/>
      <c r="FE629" s="408"/>
      <c r="FF629" s="408">
        <v>0</v>
      </c>
      <c r="FG629" s="408">
        <v>0</v>
      </c>
      <c r="FH629" s="408">
        <v>0</v>
      </c>
      <c r="FI629" s="408">
        <v>0</v>
      </c>
    </row>
    <row r="630" spans="1:165">
      <c r="A630" s="408">
        <v>628</v>
      </c>
      <c r="B630" s="408" t="s">
        <v>2237</v>
      </c>
      <c r="C630" s="408" t="s">
        <v>2235</v>
      </c>
      <c r="D630" s="408" t="s">
        <v>1955</v>
      </c>
      <c r="E630" s="408" t="s">
        <v>969</v>
      </c>
      <c r="F630" s="408" t="s">
        <v>2241</v>
      </c>
      <c r="G630" s="408" t="s">
        <v>1322</v>
      </c>
      <c r="H630" s="408" t="s">
        <v>1322</v>
      </c>
      <c r="I630" s="408" t="s">
        <v>1322</v>
      </c>
      <c r="J630" s="408" t="s">
        <v>2236</v>
      </c>
      <c r="K630" s="826">
        <v>44652</v>
      </c>
      <c r="L630" s="408">
        <v>0</v>
      </c>
      <c r="M630" s="408">
        <v>0</v>
      </c>
      <c r="N630" s="408">
        <v>0.23200000000000001</v>
      </c>
      <c r="O630" s="408">
        <v>0.23200000000000001</v>
      </c>
      <c r="P630" s="408">
        <v>0.23200000000000001</v>
      </c>
      <c r="Q630" s="408">
        <v>0.23200000000000001</v>
      </c>
      <c r="R630" s="408"/>
      <c r="S630" s="408">
        <v>281.47000000000003</v>
      </c>
      <c r="T630" s="408">
        <v>173.25</v>
      </c>
      <c r="U630" s="408"/>
      <c r="V630" s="408">
        <v>105.49504000000002</v>
      </c>
      <c r="W630" s="408">
        <v>105.49504000000002</v>
      </c>
      <c r="X630" s="408">
        <v>98.484000000000009</v>
      </c>
      <c r="Y630" s="408">
        <v>0</v>
      </c>
      <c r="Z630" s="408">
        <v>0</v>
      </c>
      <c r="AA630" s="408">
        <v>0</v>
      </c>
      <c r="AB630" s="408">
        <v>0</v>
      </c>
      <c r="AC630" s="408">
        <v>0.59381266865235027</v>
      </c>
      <c r="AD630" s="408">
        <v>0.57052081918466357</v>
      </c>
      <c r="AE630" s="408">
        <v>54.644608544142585</v>
      </c>
      <c r="AF630" s="408">
        <v>39.518989175792619</v>
      </c>
      <c r="AG630" s="408">
        <v>0.67447817908557006</v>
      </c>
      <c r="AH630" s="408">
        <v>0</v>
      </c>
      <c r="AI630" s="408">
        <v>0</v>
      </c>
      <c r="AJ630" s="408">
        <v>0</v>
      </c>
      <c r="AK630" s="408">
        <v>0</v>
      </c>
      <c r="AL630" s="408">
        <v>0</v>
      </c>
      <c r="AM630" s="408"/>
      <c r="AN630" s="408">
        <v>0.28022275773215105</v>
      </c>
      <c r="AO630" s="408">
        <v>1.2605477670769909</v>
      </c>
      <c r="AP630" s="408">
        <v>5.8777482730951416</v>
      </c>
      <c r="AQ630" s="408">
        <v>0</v>
      </c>
      <c r="AR630" s="408">
        <v>0</v>
      </c>
      <c r="AS630" s="408">
        <v>0</v>
      </c>
      <c r="AT630" s="408">
        <v>0</v>
      </c>
      <c r="AU630" s="408">
        <v>0</v>
      </c>
      <c r="AV630" s="408">
        <v>0</v>
      </c>
      <c r="AW630" s="408">
        <v>0</v>
      </c>
      <c r="AX630" s="408">
        <v>0</v>
      </c>
      <c r="AY630" s="408">
        <v>0</v>
      </c>
      <c r="AZ630" s="408">
        <v>0</v>
      </c>
      <c r="BA630" s="408"/>
      <c r="BB630" s="408">
        <v>0</v>
      </c>
      <c r="BC630" s="408">
        <v>0</v>
      </c>
      <c r="BD630" s="408">
        <v>0</v>
      </c>
      <c r="BE630" s="408">
        <v>0</v>
      </c>
      <c r="BF630" s="408">
        <v>0</v>
      </c>
      <c r="BG630" s="408">
        <v>2.0740317034083477</v>
      </c>
      <c r="BH630" s="408">
        <v>0</v>
      </c>
      <c r="BI630" s="408">
        <v>0.06</v>
      </c>
      <c r="BJ630" s="408">
        <v>0.67</v>
      </c>
      <c r="BK630" s="408">
        <v>29.77</v>
      </c>
      <c r="BL630" s="408">
        <v>0</v>
      </c>
      <c r="BM630" s="408"/>
      <c r="BN630" s="408"/>
      <c r="BO630" s="408"/>
      <c r="BP630" s="408"/>
      <c r="BQ630" s="408"/>
      <c r="BR630" s="408"/>
      <c r="BS630" s="408"/>
      <c r="BT630" s="408">
        <v>9.8507200000000026</v>
      </c>
      <c r="BU630" s="408"/>
      <c r="BV630" s="408">
        <v>41.593020879200964</v>
      </c>
      <c r="BW630" s="408"/>
      <c r="BX630" s="408"/>
      <c r="BY630" s="408"/>
      <c r="BZ630" s="408"/>
      <c r="CA630" s="408"/>
      <c r="CB630" s="408"/>
      <c r="CC630" s="408"/>
      <c r="CD630" s="408"/>
      <c r="CE630" s="408"/>
      <c r="CF630" s="408"/>
      <c r="CG630" s="408"/>
      <c r="CH630" s="408"/>
      <c r="CI630" s="408">
        <v>87.869200000000006</v>
      </c>
      <c r="CJ630" s="408">
        <v>-7.1044799999999952</v>
      </c>
      <c r="CK630" s="408"/>
      <c r="CL630" s="408"/>
      <c r="CM630" s="408"/>
      <c r="CN630" s="408"/>
      <c r="CO630" s="408">
        <v>-12.019920000000008</v>
      </c>
      <c r="CP630" s="408">
        <v>5.0088800000000013</v>
      </c>
      <c r="CQ630" s="408">
        <v>30</v>
      </c>
      <c r="CR630" s="408">
        <v>6.5619957851554744</v>
      </c>
      <c r="CS630" s="408">
        <v>0.12561089064069342</v>
      </c>
      <c r="CT630" s="408">
        <v>0.58570505206423817</v>
      </c>
      <c r="CU630" s="408">
        <v>0</v>
      </c>
      <c r="CV630" s="408">
        <v>0</v>
      </c>
      <c r="CW630" s="408">
        <v>0</v>
      </c>
      <c r="CX630" s="408">
        <v>0</v>
      </c>
      <c r="CY630" s="408">
        <v>0</v>
      </c>
      <c r="CZ630" s="408">
        <v>0.58744740907753235</v>
      </c>
      <c r="DA630" s="408">
        <v>0</v>
      </c>
      <c r="DB630" s="408">
        <v>0</v>
      </c>
      <c r="DC630" s="408">
        <v>5.0083144684825669</v>
      </c>
      <c r="DD630" s="408">
        <v>0</v>
      </c>
      <c r="DE630" s="408">
        <v>0</v>
      </c>
      <c r="DF630" s="408">
        <v>0</v>
      </c>
      <c r="DG630" s="408">
        <v>0.2628458673896108</v>
      </c>
      <c r="DH630" s="408">
        <v>0</v>
      </c>
      <c r="DI630" s="408">
        <v>0</v>
      </c>
      <c r="DJ630" s="408"/>
      <c r="DK630" s="408">
        <v>0</v>
      </c>
      <c r="DL630" s="408">
        <v>0</v>
      </c>
      <c r="DM630" s="408">
        <v>0</v>
      </c>
      <c r="DN630" s="408">
        <v>0</v>
      </c>
      <c r="DO630" s="408">
        <v>0</v>
      </c>
      <c r="DP630" s="408">
        <v>-7.9279024991664726E-3</v>
      </c>
      <c r="DQ630" s="408">
        <v>0</v>
      </c>
      <c r="DR630" s="408">
        <v>0</v>
      </c>
      <c r="DS630" s="408"/>
      <c r="DT630" s="408"/>
      <c r="DU630" s="408"/>
      <c r="DV630" s="408">
        <v>54.644608544142585</v>
      </c>
      <c r="DW630" s="408">
        <v>0</v>
      </c>
      <c r="DX630" s="408">
        <v>0</v>
      </c>
      <c r="DY630" s="408">
        <v>-12.019920000000013</v>
      </c>
      <c r="DZ630" s="408">
        <v>5.0088799999999978</v>
      </c>
      <c r="EA630" s="408">
        <v>0</v>
      </c>
      <c r="EB630" s="408">
        <v>0</v>
      </c>
      <c r="EC630" s="408">
        <v>-13.574647675150956</v>
      </c>
      <c r="ED630" s="408">
        <v>0</v>
      </c>
      <c r="EE630" s="408">
        <v>0</v>
      </c>
      <c r="EF630" s="408">
        <v>0</v>
      </c>
      <c r="EG630" s="408">
        <v>0</v>
      </c>
      <c r="EH630" s="408">
        <v>0</v>
      </c>
      <c r="EI630" s="408">
        <v>0</v>
      </c>
      <c r="EJ630" s="408">
        <v>0</v>
      </c>
      <c r="EK630" s="408">
        <v>0</v>
      </c>
      <c r="EL630" s="408">
        <v>0</v>
      </c>
      <c r="EM630" s="408">
        <v>0</v>
      </c>
      <c r="EN630" s="408">
        <v>0</v>
      </c>
      <c r="EO630" s="408">
        <v>0</v>
      </c>
      <c r="EP630" s="408">
        <v>0</v>
      </c>
      <c r="EQ630" s="408">
        <v>0</v>
      </c>
      <c r="ER630" s="408">
        <v>0</v>
      </c>
      <c r="ES630" s="408">
        <v>0</v>
      </c>
      <c r="ET630" s="408">
        <v>0</v>
      </c>
      <c r="EU630" s="408">
        <v>0</v>
      </c>
      <c r="EV630" s="408">
        <v>240</v>
      </c>
      <c r="EW630" s="408">
        <v>0</v>
      </c>
      <c r="EX630" s="408">
        <v>0</v>
      </c>
      <c r="EY630" s="408">
        <v>0</v>
      </c>
      <c r="EZ630" s="408"/>
      <c r="FA630" s="408">
        <v>0</v>
      </c>
      <c r="FB630" s="408"/>
      <c r="FC630" s="408"/>
      <c r="FD630" s="408"/>
      <c r="FE630" s="408"/>
      <c r="FF630" s="408">
        <v>0</v>
      </c>
      <c r="FG630" s="408">
        <v>0</v>
      </c>
      <c r="FH630" s="408">
        <v>0</v>
      </c>
      <c r="FI630" s="408">
        <v>0</v>
      </c>
    </row>
    <row r="631" spans="1:165">
      <c r="A631" s="408">
        <v>629</v>
      </c>
      <c r="B631" s="408" t="s">
        <v>2238</v>
      </c>
      <c r="C631" s="408" t="s">
        <v>2235</v>
      </c>
      <c r="D631" s="408" t="s">
        <v>1955</v>
      </c>
      <c r="E631" s="408" t="s">
        <v>969</v>
      </c>
      <c r="F631" s="408" t="s">
        <v>2241</v>
      </c>
      <c r="G631" s="408" t="s">
        <v>1322</v>
      </c>
      <c r="H631" s="408" t="s">
        <v>1322</v>
      </c>
      <c r="I631" s="408" t="s">
        <v>1322</v>
      </c>
      <c r="J631" s="408" t="s">
        <v>2236</v>
      </c>
      <c r="K631" s="826">
        <v>44652</v>
      </c>
      <c r="L631" s="408">
        <v>0</v>
      </c>
      <c r="M631" s="408">
        <v>0</v>
      </c>
      <c r="N631" s="408">
        <v>0.36</v>
      </c>
      <c r="O631" s="408">
        <v>-0.18</v>
      </c>
      <c r="P631" s="408">
        <v>0.36</v>
      </c>
      <c r="Q631" s="408">
        <v>-0.18</v>
      </c>
      <c r="R631" s="408"/>
      <c r="S631" s="408">
        <v>281.47000000000003</v>
      </c>
      <c r="T631" s="408">
        <v>173.25</v>
      </c>
      <c r="U631" s="408"/>
      <c r="V631" s="408">
        <v>163.69919999999999</v>
      </c>
      <c r="W631" s="408">
        <v>163.69919999999999</v>
      </c>
      <c r="X631" s="408">
        <v>152.82</v>
      </c>
      <c r="Y631" s="408">
        <v>0</v>
      </c>
      <c r="Z631" s="408">
        <v>0</v>
      </c>
      <c r="AA631" s="408">
        <v>0</v>
      </c>
      <c r="AB631" s="408">
        <v>0</v>
      </c>
      <c r="AC631" s="408">
        <v>0.9214334513570952</v>
      </c>
      <c r="AD631" s="408">
        <v>0.88529092632102968</v>
      </c>
      <c r="AE631" s="408">
        <v>84.793358085738475</v>
      </c>
      <c r="AF631" s="408">
        <v>61.322569410712674</v>
      </c>
      <c r="AG631" s="408">
        <v>1.0466040709948501</v>
      </c>
      <c r="AH631" s="408">
        <v>0</v>
      </c>
      <c r="AI631" s="408">
        <v>0</v>
      </c>
      <c r="AJ631" s="408">
        <v>0</v>
      </c>
      <c r="AK631" s="408">
        <v>0</v>
      </c>
      <c r="AL631" s="408">
        <v>0</v>
      </c>
      <c r="AM631" s="408"/>
      <c r="AN631" s="408">
        <v>0.43482841717057913</v>
      </c>
      <c r="AO631" s="408">
        <v>1.9560223971884338</v>
      </c>
      <c r="AP631" s="408">
        <v>9.1206438720441838</v>
      </c>
      <c r="AQ631" s="408">
        <v>0</v>
      </c>
      <c r="AR631" s="408">
        <v>0</v>
      </c>
      <c r="AS631" s="408">
        <v>0</v>
      </c>
      <c r="AT631" s="408">
        <v>0</v>
      </c>
      <c r="AU631" s="408">
        <v>0</v>
      </c>
      <c r="AV631" s="408">
        <v>0</v>
      </c>
      <c r="AW631" s="408">
        <v>0</v>
      </c>
      <c r="AX631" s="408">
        <v>0</v>
      </c>
      <c r="AY631" s="408">
        <v>0</v>
      </c>
      <c r="AZ631" s="408">
        <v>0</v>
      </c>
      <c r="BA631" s="408"/>
      <c r="BB631" s="408">
        <v>0</v>
      </c>
      <c r="BC631" s="408">
        <v>0</v>
      </c>
      <c r="BD631" s="408">
        <v>0</v>
      </c>
      <c r="BE631" s="408">
        <v>0</v>
      </c>
      <c r="BF631" s="408">
        <v>0</v>
      </c>
      <c r="BG631" s="408">
        <v>3.2183250570129527</v>
      </c>
      <c r="BH631" s="408">
        <v>0</v>
      </c>
      <c r="BI631" s="408">
        <v>0.09</v>
      </c>
      <c r="BJ631" s="408">
        <v>1.05</v>
      </c>
      <c r="BK631" s="408">
        <v>132.51</v>
      </c>
      <c r="BL631" s="408">
        <v>7</v>
      </c>
      <c r="BM631" s="408"/>
      <c r="BN631" s="408"/>
      <c r="BO631" s="408"/>
      <c r="BP631" s="408"/>
      <c r="BQ631" s="408"/>
      <c r="BR631" s="408"/>
      <c r="BS631" s="408"/>
      <c r="BT631" s="408">
        <v>221.58720000000002</v>
      </c>
      <c r="BU631" s="408"/>
      <c r="BV631" s="408">
        <v>64.540894467725622</v>
      </c>
      <c r="BW631" s="408"/>
      <c r="BX631" s="408"/>
      <c r="BY631" s="408"/>
      <c r="BZ631" s="408"/>
      <c r="CA631" s="408"/>
      <c r="CB631" s="408"/>
      <c r="CC631" s="408"/>
      <c r="CD631" s="408"/>
      <c r="CE631" s="408"/>
      <c r="CF631" s="408"/>
      <c r="CG631" s="408"/>
      <c r="CH631" s="408"/>
      <c r="CI631" s="408">
        <v>-68.767200000000003</v>
      </c>
      <c r="CJ631" s="408">
        <v>4.8659999999999997</v>
      </c>
      <c r="CK631" s="408"/>
      <c r="CL631" s="408"/>
      <c r="CM631" s="408"/>
      <c r="CN631" s="408"/>
      <c r="CO631" s="408">
        <v>-18.651600000000009</v>
      </c>
      <c r="CP631" s="408">
        <v>7.7724000000000011</v>
      </c>
      <c r="CQ631" s="408">
        <v>30</v>
      </c>
      <c r="CR631" s="408">
        <v>10.18240725282746</v>
      </c>
      <c r="CS631" s="408">
        <v>0.19491345099417967</v>
      </c>
      <c r="CT631" s="408">
        <v>0.90885266699623202</v>
      </c>
      <c r="CU631" s="408">
        <v>0</v>
      </c>
      <c r="CV631" s="408">
        <v>0</v>
      </c>
      <c r="CW631" s="408">
        <v>0</v>
      </c>
      <c r="CX631" s="408">
        <v>0</v>
      </c>
      <c r="CY631" s="408">
        <v>0</v>
      </c>
      <c r="CZ631" s="408">
        <v>0.9115563244306536</v>
      </c>
      <c r="DA631" s="408">
        <v>0</v>
      </c>
      <c r="DB631" s="408">
        <v>0</v>
      </c>
      <c r="DC631" s="408">
        <v>7.7715224510936451</v>
      </c>
      <c r="DD631" s="408">
        <v>0</v>
      </c>
      <c r="DE631" s="408">
        <v>0</v>
      </c>
      <c r="DF631" s="408">
        <v>0</v>
      </c>
      <c r="DG631" s="408">
        <v>0.40786427698387939</v>
      </c>
      <c r="DH631" s="408">
        <v>0</v>
      </c>
      <c r="DI631" s="408">
        <v>0</v>
      </c>
      <c r="DJ631" s="408"/>
      <c r="DK631" s="408">
        <v>0</v>
      </c>
      <c r="DL631" s="408">
        <v>0</v>
      </c>
      <c r="DM631" s="408">
        <v>0</v>
      </c>
      <c r="DN631" s="408">
        <v>0</v>
      </c>
      <c r="DO631" s="408">
        <v>0</v>
      </c>
      <c r="DP631" s="408">
        <v>-1.2301917671120377E-2</v>
      </c>
      <c r="DQ631" s="408">
        <v>0</v>
      </c>
      <c r="DR631" s="408">
        <v>0</v>
      </c>
      <c r="DS631" s="408"/>
      <c r="DT631" s="408"/>
      <c r="DU631" s="408"/>
      <c r="DV631" s="408">
        <v>84.793358085738475</v>
      </c>
      <c r="DW631" s="408">
        <v>0</v>
      </c>
      <c r="DX631" s="408">
        <v>0</v>
      </c>
      <c r="DY631" s="408">
        <v>-18.651600000000002</v>
      </c>
      <c r="DZ631" s="408">
        <v>7.7723999999999975</v>
      </c>
      <c r="EA631" s="408">
        <v>0</v>
      </c>
      <c r="EB631" s="408">
        <v>0</v>
      </c>
      <c r="EC631" s="408">
        <v>-21.064108461441123</v>
      </c>
      <c r="ED631" s="408">
        <v>0</v>
      </c>
      <c r="EE631" s="408">
        <v>0</v>
      </c>
      <c r="EF631" s="408">
        <v>0</v>
      </c>
      <c r="EG631" s="408">
        <v>0</v>
      </c>
      <c r="EH631" s="408">
        <v>0</v>
      </c>
      <c r="EI631" s="408">
        <v>0</v>
      </c>
      <c r="EJ631" s="408">
        <v>0</v>
      </c>
      <c r="EK631" s="408">
        <v>0</v>
      </c>
      <c r="EL631" s="408">
        <v>0</v>
      </c>
      <c r="EM631" s="408">
        <v>0</v>
      </c>
      <c r="EN631" s="408">
        <v>0</v>
      </c>
      <c r="EO631" s="408">
        <v>0</v>
      </c>
      <c r="EP631" s="408">
        <v>0</v>
      </c>
      <c r="EQ631" s="408">
        <v>0</v>
      </c>
      <c r="ER631" s="408">
        <v>0</v>
      </c>
      <c r="ES631" s="408">
        <v>0</v>
      </c>
      <c r="ET631" s="408">
        <v>0</v>
      </c>
      <c r="EU631" s="408">
        <v>0</v>
      </c>
      <c r="EV631" s="408">
        <v>240</v>
      </c>
      <c r="EW631" s="408">
        <v>0</v>
      </c>
      <c r="EX631" s="408">
        <v>0</v>
      </c>
      <c r="EY631" s="408">
        <v>0</v>
      </c>
      <c r="EZ631" s="408"/>
      <c r="FA631" s="408">
        <v>0</v>
      </c>
      <c r="FB631" s="408"/>
      <c r="FC631" s="408"/>
      <c r="FD631" s="408"/>
      <c r="FE631" s="408"/>
      <c r="FF631" s="408">
        <v>0</v>
      </c>
      <c r="FG631" s="408">
        <v>0</v>
      </c>
      <c r="FH631" s="408">
        <v>0</v>
      </c>
      <c r="FI631" s="408">
        <v>0</v>
      </c>
    </row>
    <row r="632" spans="1:165">
      <c r="A632" s="408">
        <v>630</v>
      </c>
      <c r="B632" s="408" t="s">
        <v>1036</v>
      </c>
      <c r="C632" s="408" t="s">
        <v>2235</v>
      </c>
      <c r="D632" s="408" t="s">
        <v>1955</v>
      </c>
      <c r="E632" s="408" t="s">
        <v>969</v>
      </c>
      <c r="F632" s="408" t="s">
        <v>2242</v>
      </c>
      <c r="G632" s="408" t="s">
        <v>1322</v>
      </c>
      <c r="H632" s="408" t="s">
        <v>1322</v>
      </c>
      <c r="I632" s="408" t="s">
        <v>1322</v>
      </c>
      <c r="J632" s="408" t="s">
        <v>2236</v>
      </c>
      <c r="K632" s="826">
        <v>44652</v>
      </c>
      <c r="L632" s="408">
        <v>0</v>
      </c>
      <c r="M632" s="408">
        <v>0</v>
      </c>
      <c r="N632" s="408">
        <v>39.238999999999997</v>
      </c>
      <c r="O632" s="408">
        <v>39.238999999999997</v>
      </c>
      <c r="P632" s="408">
        <v>39.238999999999997</v>
      </c>
      <c r="Q632" s="408">
        <v>39.238999999999997</v>
      </c>
      <c r="R632" s="408"/>
      <c r="S632" s="408">
        <v>281.47000000000003</v>
      </c>
      <c r="T632" s="408">
        <v>173.25</v>
      </c>
      <c r="U632" s="408"/>
      <c r="V632" s="408">
        <v>17842.75808</v>
      </c>
      <c r="W632" s="408">
        <v>17842.75808</v>
      </c>
      <c r="X632" s="408">
        <v>16656.9555</v>
      </c>
      <c r="Y632" s="408">
        <v>0</v>
      </c>
      <c r="Z632" s="408">
        <v>0</v>
      </c>
      <c r="AA632" s="408">
        <v>0</v>
      </c>
      <c r="AB632" s="408">
        <v>0</v>
      </c>
      <c r="AC632" s="408">
        <v>100.43368666055849</v>
      </c>
      <c r="AD632" s="408">
        <v>96.494251827530221</v>
      </c>
      <c r="AE632" s="408">
        <v>9242.2404942397006</v>
      </c>
      <c r="AF632" s="408">
        <v>6683.9897252970959</v>
      </c>
      <c r="AG632" s="408">
        <v>114.0769365049081</v>
      </c>
      <c r="AH632" s="408">
        <v>0</v>
      </c>
      <c r="AI632" s="408">
        <v>0</v>
      </c>
      <c r="AJ632" s="408">
        <v>0</v>
      </c>
      <c r="AK632" s="408">
        <v>0</v>
      </c>
      <c r="AL632" s="408">
        <v>0</v>
      </c>
      <c r="AM632" s="408"/>
      <c r="AN632" s="408">
        <v>47.395089614878763</v>
      </c>
      <c r="AO632" s="408">
        <v>213.20100789799153</v>
      </c>
      <c r="AP632" s="408">
        <v>994.12484693094916</v>
      </c>
      <c r="AQ632" s="408">
        <v>0</v>
      </c>
      <c r="AR632" s="408">
        <v>0</v>
      </c>
      <c r="AS632" s="408">
        <v>0</v>
      </c>
      <c r="AT632" s="408">
        <v>0</v>
      </c>
      <c r="AU632" s="408">
        <v>0</v>
      </c>
      <c r="AV632" s="408">
        <v>0</v>
      </c>
      <c r="AW632" s="408">
        <v>0</v>
      </c>
      <c r="AX632" s="408">
        <v>0</v>
      </c>
      <c r="AY632" s="408">
        <v>0</v>
      </c>
      <c r="AZ632" s="408">
        <v>0</v>
      </c>
      <c r="BA632" s="408"/>
      <c r="BB632" s="408">
        <v>0</v>
      </c>
      <c r="BC632" s="408">
        <v>0</v>
      </c>
      <c r="BD632" s="408">
        <v>0</v>
      </c>
      <c r="BE632" s="408">
        <v>0</v>
      </c>
      <c r="BF632" s="408">
        <v>0</v>
      </c>
      <c r="BG632" s="408">
        <v>350.78849142258679</v>
      </c>
      <c r="BH632" s="408">
        <v>0</v>
      </c>
      <c r="BI632" s="408">
        <v>13.22</v>
      </c>
      <c r="BJ632" s="408">
        <v>123.48</v>
      </c>
      <c r="BK632" s="408">
        <v>5598.67</v>
      </c>
      <c r="BL632" s="408">
        <v>481</v>
      </c>
      <c r="BM632" s="408"/>
      <c r="BN632" s="408"/>
      <c r="BO632" s="408"/>
      <c r="BP632" s="408"/>
      <c r="BQ632" s="408"/>
      <c r="BR632" s="408"/>
      <c r="BS632" s="408"/>
      <c r="BT632" s="408"/>
      <c r="BU632" s="408"/>
      <c r="BV632" s="408">
        <v>7034.7782167196829</v>
      </c>
      <c r="BW632" s="408"/>
      <c r="BX632" s="408"/>
      <c r="BY632" s="408"/>
      <c r="BZ632" s="408"/>
      <c r="CA632" s="408"/>
      <c r="CB632" s="408"/>
      <c r="CC632" s="408"/>
      <c r="CD632" s="408"/>
      <c r="CE632" s="408"/>
      <c r="CF632" s="408"/>
      <c r="CG632" s="408"/>
      <c r="CH632" s="408"/>
      <c r="CI632" s="408">
        <v>16657.38</v>
      </c>
      <c r="CJ632" s="408">
        <v>-1185.4080799999974</v>
      </c>
      <c r="CK632" s="408"/>
      <c r="CL632" s="408"/>
      <c r="CM632" s="408"/>
      <c r="CN632" s="408"/>
      <c r="CO632" s="408">
        <v>-2032.972590000001</v>
      </c>
      <c r="CP632" s="408">
        <v>847.17001000000005</v>
      </c>
      <c r="CQ632" s="408">
        <v>30</v>
      </c>
      <c r="CR632" s="408">
        <v>1109.8541060936004</v>
      </c>
      <c r="CS632" s="408">
        <v>21.245024732112824</v>
      </c>
      <c r="CT632" s="408">
        <v>99.062416111847824</v>
      </c>
      <c r="CU632" s="408">
        <v>0</v>
      </c>
      <c r="CV632" s="408">
        <v>0</v>
      </c>
      <c r="CW632" s="408">
        <v>0</v>
      </c>
      <c r="CX632" s="408">
        <v>0</v>
      </c>
      <c r="CY632" s="408">
        <v>0</v>
      </c>
      <c r="CZ632" s="408">
        <v>99.35710726204006</v>
      </c>
      <c r="DA632" s="408">
        <v>0</v>
      </c>
      <c r="DB632" s="408">
        <v>0</v>
      </c>
      <c r="DC632" s="408">
        <v>847.07435960684234</v>
      </c>
      <c r="DD632" s="408">
        <v>0</v>
      </c>
      <c r="DE632" s="408">
        <v>0</v>
      </c>
      <c r="DF632" s="408">
        <v>0</v>
      </c>
      <c r="DG632" s="408">
        <v>44.456073234917881</v>
      </c>
      <c r="DH632" s="408">
        <v>0</v>
      </c>
      <c r="DI632" s="408">
        <v>0</v>
      </c>
      <c r="DJ632" s="408"/>
      <c r="DK632" s="408">
        <v>0</v>
      </c>
      <c r="DL632" s="408">
        <v>0</v>
      </c>
      <c r="DM632" s="408">
        <v>0</v>
      </c>
      <c r="DN632" s="408">
        <v>0</v>
      </c>
      <c r="DO632" s="408">
        <v>0</v>
      </c>
      <c r="DP632" s="408">
        <v>-1.3408748541585922</v>
      </c>
      <c r="DQ632" s="408">
        <v>0</v>
      </c>
      <c r="DR632" s="408">
        <v>0</v>
      </c>
      <c r="DS632" s="408"/>
      <c r="DT632" s="408"/>
      <c r="DU632" s="408"/>
      <c r="DV632" s="408">
        <v>9242.2404942397006</v>
      </c>
      <c r="DW632" s="408">
        <v>0</v>
      </c>
      <c r="DX632" s="408">
        <v>0</v>
      </c>
      <c r="DY632" s="408">
        <v>-2032.9725899999994</v>
      </c>
      <c r="DZ632" s="408">
        <v>847.17001000000073</v>
      </c>
      <c r="EA632" s="408">
        <v>0</v>
      </c>
      <c r="EB632" s="408">
        <v>0</v>
      </c>
      <c r="EC632" s="408">
        <v>-2295.9293108846905</v>
      </c>
      <c r="ED632" s="408">
        <v>0</v>
      </c>
      <c r="EE632" s="408">
        <v>0</v>
      </c>
      <c r="EF632" s="408">
        <v>0</v>
      </c>
      <c r="EG632" s="408">
        <v>0</v>
      </c>
      <c r="EH632" s="408">
        <v>0</v>
      </c>
      <c r="EI632" s="408">
        <v>0</v>
      </c>
      <c r="EJ632" s="408">
        <v>0</v>
      </c>
      <c r="EK632" s="408">
        <v>0</v>
      </c>
      <c r="EL632" s="408">
        <v>0</v>
      </c>
      <c r="EM632" s="408">
        <v>0</v>
      </c>
      <c r="EN632" s="408">
        <v>0</v>
      </c>
      <c r="EO632" s="408">
        <v>0</v>
      </c>
      <c r="EP632" s="408">
        <v>0</v>
      </c>
      <c r="EQ632" s="408">
        <v>0</v>
      </c>
      <c r="ER632" s="408">
        <v>0</v>
      </c>
      <c r="ES632" s="408">
        <v>0</v>
      </c>
      <c r="ET632" s="408">
        <v>0</v>
      </c>
      <c r="EU632" s="408">
        <v>0</v>
      </c>
      <c r="EV632" s="408">
        <v>240</v>
      </c>
      <c r="EW632" s="408">
        <v>0</v>
      </c>
      <c r="EX632" s="408">
        <v>0</v>
      </c>
      <c r="EY632" s="408">
        <v>0</v>
      </c>
      <c r="EZ632" s="408"/>
      <c r="FA632" s="408">
        <v>0</v>
      </c>
      <c r="FB632" s="408"/>
      <c r="FC632" s="408"/>
      <c r="FD632" s="408"/>
      <c r="FE632" s="408"/>
      <c r="FF632" s="408">
        <v>0</v>
      </c>
      <c r="FG632" s="408">
        <v>0</v>
      </c>
      <c r="FH632" s="408">
        <v>0</v>
      </c>
      <c r="FI632" s="408">
        <v>0</v>
      </c>
    </row>
    <row r="633" spans="1:165">
      <c r="A633" s="408">
        <v>631</v>
      </c>
      <c r="B633" s="408" t="s">
        <v>2237</v>
      </c>
      <c r="C633" s="408" t="s">
        <v>2235</v>
      </c>
      <c r="D633" s="408" t="s">
        <v>1955</v>
      </c>
      <c r="E633" s="408" t="s">
        <v>969</v>
      </c>
      <c r="F633" s="408" t="s">
        <v>2242</v>
      </c>
      <c r="G633" s="408" t="s">
        <v>1322</v>
      </c>
      <c r="H633" s="408" t="s">
        <v>1322</v>
      </c>
      <c r="I633" s="408" t="s">
        <v>1322</v>
      </c>
      <c r="J633" s="408" t="s">
        <v>2236</v>
      </c>
      <c r="K633" s="826">
        <v>44652</v>
      </c>
      <c r="L633" s="408">
        <v>0</v>
      </c>
      <c r="M633" s="408">
        <v>0</v>
      </c>
      <c r="N633" s="408">
        <v>0.10100000000000001</v>
      </c>
      <c r="O633" s="408">
        <v>0.10100000000000001</v>
      </c>
      <c r="P633" s="408">
        <v>0.10100000000000001</v>
      </c>
      <c r="Q633" s="408">
        <v>0.10100000000000001</v>
      </c>
      <c r="R633" s="408"/>
      <c r="S633" s="408">
        <v>281.47000000000003</v>
      </c>
      <c r="T633" s="408">
        <v>173.25</v>
      </c>
      <c r="U633" s="408"/>
      <c r="V633" s="408">
        <v>45.926720000000003</v>
      </c>
      <c r="W633" s="408">
        <v>45.926720000000003</v>
      </c>
      <c r="X633" s="408">
        <v>42.874499999999998</v>
      </c>
      <c r="Y633" s="408">
        <v>0</v>
      </c>
      <c r="Z633" s="408">
        <v>0</v>
      </c>
      <c r="AA633" s="408">
        <v>0</v>
      </c>
      <c r="AB633" s="408">
        <v>0</v>
      </c>
      <c r="AC633" s="408">
        <v>0.25851327385296285</v>
      </c>
      <c r="AD633" s="408">
        <v>0.24837328766228889</v>
      </c>
      <c r="AE633" s="408">
        <v>23.78924768516552</v>
      </c>
      <c r="AF633" s="408">
        <v>17.204387529116612</v>
      </c>
      <c r="AG633" s="408">
        <v>0.29363058658466629</v>
      </c>
      <c r="AH633" s="408">
        <v>0</v>
      </c>
      <c r="AI633" s="408">
        <v>0</v>
      </c>
      <c r="AJ633" s="408">
        <v>0</v>
      </c>
      <c r="AK633" s="408">
        <v>0</v>
      </c>
      <c r="AL633" s="408">
        <v>0</v>
      </c>
      <c r="AM633" s="408"/>
      <c r="AN633" s="408">
        <v>0.12199352815063472</v>
      </c>
      <c r="AO633" s="408">
        <v>0.54877295032231066</v>
      </c>
      <c r="AP633" s="408">
        <v>2.5588473085457295</v>
      </c>
      <c r="AQ633" s="408">
        <v>0</v>
      </c>
      <c r="AR633" s="408">
        <v>0</v>
      </c>
      <c r="AS633" s="408">
        <v>0</v>
      </c>
      <c r="AT633" s="408">
        <v>0</v>
      </c>
      <c r="AU633" s="408">
        <v>0</v>
      </c>
      <c r="AV633" s="408">
        <v>0</v>
      </c>
      <c r="AW633" s="408">
        <v>0</v>
      </c>
      <c r="AX633" s="408">
        <v>0</v>
      </c>
      <c r="AY633" s="408">
        <v>0</v>
      </c>
      <c r="AZ633" s="408">
        <v>0</v>
      </c>
      <c r="BA633" s="408"/>
      <c r="BB633" s="408">
        <v>0</v>
      </c>
      <c r="BC633" s="408">
        <v>0</v>
      </c>
      <c r="BD633" s="408">
        <v>0</v>
      </c>
      <c r="BE633" s="408">
        <v>0</v>
      </c>
      <c r="BF633" s="408">
        <v>0</v>
      </c>
      <c r="BG633" s="408">
        <v>0.90291897432863411</v>
      </c>
      <c r="BH633" s="408">
        <v>0</v>
      </c>
      <c r="BI633" s="408">
        <v>0.03</v>
      </c>
      <c r="BJ633" s="408">
        <v>0.32</v>
      </c>
      <c r="BK633" s="408">
        <v>14.41</v>
      </c>
      <c r="BL633" s="408">
        <v>0</v>
      </c>
      <c r="BM633" s="408"/>
      <c r="BN633" s="408"/>
      <c r="BO633" s="408"/>
      <c r="BP633" s="408"/>
      <c r="BQ633" s="408"/>
      <c r="BR633" s="408"/>
      <c r="BS633" s="408"/>
      <c r="BT633" s="408"/>
      <c r="BU633" s="408"/>
      <c r="BV633" s="408">
        <v>18.107306503445248</v>
      </c>
      <c r="BW633" s="408"/>
      <c r="BX633" s="408"/>
      <c r="BY633" s="408"/>
      <c r="BZ633" s="408"/>
      <c r="CA633" s="408"/>
      <c r="CB633" s="408"/>
      <c r="CC633" s="408"/>
      <c r="CD633" s="408"/>
      <c r="CE633" s="408"/>
      <c r="CF633" s="408"/>
      <c r="CG633" s="408"/>
      <c r="CH633" s="408"/>
      <c r="CI633" s="408">
        <v>42.45</v>
      </c>
      <c r="CJ633" s="408">
        <v>-3.5067200000000085</v>
      </c>
      <c r="CK633" s="408"/>
      <c r="CL633" s="408"/>
      <c r="CM633" s="408"/>
      <c r="CN633" s="408"/>
      <c r="CO633" s="408">
        <v>-5.2328100000000033</v>
      </c>
      <c r="CP633" s="408">
        <v>2.1805900000000005</v>
      </c>
      <c r="CQ633" s="408">
        <v>30</v>
      </c>
      <c r="CR633" s="408">
        <v>2.8567309237099252</v>
      </c>
      <c r="CS633" s="408">
        <v>5.4684051528922639E-2</v>
      </c>
      <c r="CT633" s="408">
        <v>0.25498366490727653</v>
      </c>
      <c r="CU633" s="408">
        <v>0</v>
      </c>
      <c r="CV633" s="408">
        <v>0</v>
      </c>
      <c r="CW633" s="408">
        <v>0</v>
      </c>
      <c r="CX633" s="408">
        <v>0</v>
      </c>
      <c r="CY633" s="408">
        <v>0</v>
      </c>
      <c r="CZ633" s="408">
        <v>0.25574219102082224</v>
      </c>
      <c r="DA633" s="408">
        <v>0</v>
      </c>
      <c r="DB633" s="408">
        <v>0</v>
      </c>
      <c r="DC633" s="408">
        <v>2.1803437987790488</v>
      </c>
      <c r="DD633" s="408">
        <v>0</v>
      </c>
      <c r="DE633" s="408">
        <v>0</v>
      </c>
      <c r="DF633" s="408">
        <v>0</v>
      </c>
      <c r="DG633" s="408">
        <v>0.11442858882047724</v>
      </c>
      <c r="DH633" s="408">
        <v>0</v>
      </c>
      <c r="DI633" s="408">
        <v>0</v>
      </c>
      <c r="DJ633" s="408"/>
      <c r="DK633" s="408">
        <v>0</v>
      </c>
      <c r="DL633" s="408">
        <v>0</v>
      </c>
      <c r="DM633" s="408">
        <v>0</v>
      </c>
      <c r="DN633" s="408">
        <v>0</v>
      </c>
      <c r="DO633" s="408">
        <v>0</v>
      </c>
      <c r="DP633" s="408">
        <v>-3.4513713466198803E-3</v>
      </c>
      <c r="DQ633" s="408">
        <v>0</v>
      </c>
      <c r="DR633" s="408">
        <v>0</v>
      </c>
      <c r="DS633" s="408"/>
      <c r="DT633" s="408"/>
      <c r="DU633" s="408"/>
      <c r="DV633" s="408">
        <v>23.78924768516552</v>
      </c>
      <c r="DW633" s="408">
        <v>0</v>
      </c>
      <c r="DX633" s="408">
        <v>0</v>
      </c>
      <c r="DY633" s="408">
        <v>-5.2328100000000042</v>
      </c>
      <c r="DZ633" s="408">
        <v>2.1805899999999987</v>
      </c>
      <c r="EA633" s="408">
        <v>0</v>
      </c>
      <c r="EB633" s="408">
        <v>0</v>
      </c>
      <c r="EC633" s="408">
        <v>-5.9096526516820944</v>
      </c>
      <c r="ED633" s="408">
        <v>0</v>
      </c>
      <c r="EE633" s="408">
        <v>0</v>
      </c>
      <c r="EF633" s="408">
        <v>0</v>
      </c>
      <c r="EG633" s="408">
        <v>0</v>
      </c>
      <c r="EH633" s="408">
        <v>0</v>
      </c>
      <c r="EI633" s="408">
        <v>0</v>
      </c>
      <c r="EJ633" s="408">
        <v>0</v>
      </c>
      <c r="EK633" s="408">
        <v>0</v>
      </c>
      <c r="EL633" s="408">
        <v>0</v>
      </c>
      <c r="EM633" s="408">
        <v>0</v>
      </c>
      <c r="EN633" s="408">
        <v>0</v>
      </c>
      <c r="EO633" s="408">
        <v>0</v>
      </c>
      <c r="EP633" s="408">
        <v>0</v>
      </c>
      <c r="EQ633" s="408">
        <v>0</v>
      </c>
      <c r="ER633" s="408">
        <v>0</v>
      </c>
      <c r="ES633" s="408">
        <v>0</v>
      </c>
      <c r="ET633" s="408">
        <v>0</v>
      </c>
      <c r="EU633" s="408">
        <v>0</v>
      </c>
      <c r="EV633" s="408">
        <v>240</v>
      </c>
      <c r="EW633" s="408">
        <v>0</v>
      </c>
      <c r="EX633" s="408">
        <v>0</v>
      </c>
      <c r="EY633" s="408">
        <v>0</v>
      </c>
      <c r="EZ633" s="408"/>
      <c r="FA633" s="408">
        <v>0</v>
      </c>
      <c r="FB633" s="408"/>
      <c r="FC633" s="408"/>
      <c r="FD633" s="408"/>
      <c r="FE633" s="408"/>
      <c r="FF633" s="408">
        <v>0</v>
      </c>
      <c r="FG633" s="408">
        <v>0</v>
      </c>
      <c r="FH633" s="408">
        <v>0</v>
      </c>
      <c r="FI633" s="408">
        <v>0</v>
      </c>
    </row>
    <row r="634" spans="1:165">
      <c r="A634" s="408">
        <v>632</v>
      </c>
      <c r="B634" s="408" t="s">
        <v>2238</v>
      </c>
      <c r="C634" s="408" t="s">
        <v>2235</v>
      </c>
      <c r="D634" s="408" t="s">
        <v>1955</v>
      </c>
      <c r="E634" s="408" t="s">
        <v>969</v>
      </c>
      <c r="F634" s="408" t="s">
        <v>2242</v>
      </c>
      <c r="G634" s="408" t="s">
        <v>1322</v>
      </c>
      <c r="H634" s="408" t="s">
        <v>1322</v>
      </c>
      <c r="I634" s="408" t="s">
        <v>1322</v>
      </c>
      <c r="J634" s="408" t="s">
        <v>2236</v>
      </c>
      <c r="K634" s="826">
        <v>44652</v>
      </c>
      <c r="L634" s="408">
        <v>0</v>
      </c>
      <c r="M634" s="408">
        <v>0</v>
      </c>
      <c r="N634" s="408">
        <v>0.42899999999999999</v>
      </c>
      <c r="O634" s="408">
        <v>0.42899999999999999</v>
      </c>
      <c r="P634" s="408">
        <v>0.42899999999999999</v>
      </c>
      <c r="Q634" s="408">
        <v>0.42899999999999999</v>
      </c>
      <c r="R634" s="408"/>
      <c r="S634" s="408">
        <v>281.47000000000003</v>
      </c>
      <c r="T634" s="408">
        <v>173.25</v>
      </c>
      <c r="U634" s="408"/>
      <c r="V634" s="408">
        <v>195.07488000000001</v>
      </c>
      <c r="W634" s="408">
        <v>195.07488000000001</v>
      </c>
      <c r="X634" s="408">
        <v>182.1105</v>
      </c>
      <c r="Y634" s="408">
        <v>0</v>
      </c>
      <c r="Z634" s="408">
        <v>0</v>
      </c>
      <c r="AA634" s="408">
        <v>0</v>
      </c>
      <c r="AB634" s="408">
        <v>0</v>
      </c>
      <c r="AC634" s="408">
        <v>1.0980415295338717</v>
      </c>
      <c r="AD634" s="408">
        <v>1.054971687199227</v>
      </c>
      <c r="AE634" s="408">
        <v>101.04541838550503</v>
      </c>
      <c r="AF634" s="408">
        <v>73.076061881099278</v>
      </c>
      <c r="AG634" s="408">
        <v>1.2472031846021963</v>
      </c>
      <c r="AH634" s="408">
        <v>0</v>
      </c>
      <c r="AI634" s="408">
        <v>0</v>
      </c>
      <c r="AJ634" s="408">
        <v>0</v>
      </c>
      <c r="AK634" s="408">
        <v>0</v>
      </c>
      <c r="AL634" s="408">
        <v>0</v>
      </c>
      <c r="AM634" s="408"/>
      <c r="AN634" s="408">
        <v>0.51817053046160688</v>
      </c>
      <c r="AO634" s="408">
        <v>2.3309266899828835</v>
      </c>
      <c r="AP634" s="408">
        <v>10.868767280852653</v>
      </c>
      <c r="AQ634" s="408">
        <v>0</v>
      </c>
      <c r="AR634" s="408">
        <v>0</v>
      </c>
      <c r="AS634" s="408">
        <v>0</v>
      </c>
      <c r="AT634" s="408">
        <v>0</v>
      </c>
      <c r="AU634" s="408">
        <v>0</v>
      </c>
      <c r="AV634" s="408">
        <v>0</v>
      </c>
      <c r="AW634" s="408">
        <v>0</v>
      </c>
      <c r="AX634" s="408">
        <v>0</v>
      </c>
      <c r="AY634" s="408">
        <v>0</v>
      </c>
      <c r="AZ634" s="408">
        <v>0</v>
      </c>
      <c r="BA634" s="408"/>
      <c r="BB634" s="408">
        <v>0</v>
      </c>
      <c r="BC634" s="408">
        <v>0</v>
      </c>
      <c r="BD634" s="408">
        <v>0</v>
      </c>
      <c r="BE634" s="408">
        <v>0</v>
      </c>
      <c r="BF634" s="408">
        <v>0</v>
      </c>
      <c r="BG634" s="408">
        <v>3.8351706929404354</v>
      </c>
      <c r="BH634" s="408">
        <v>0</v>
      </c>
      <c r="BI634" s="408">
        <v>0.11</v>
      </c>
      <c r="BJ634" s="408">
        <v>1.4</v>
      </c>
      <c r="BK634" s="408">
        <v>131.46</v>
      </c>
      <c r="BL634" s="408">
        <v>8</v>
      </c>
      <c r="BM634" s="408"/>
      <c r="BN634" s="408"/>
      <c r="BO634" s="408"/>
      <c r="BP634" s="408"/>
      <c r="BQ634" s="408"/>
      <c r="BR634" s="408"/>
      <c r="BS634" s="408"/>
      <c r="BT634" s="408"/>
      <c r="BU634" s="408"/>
      <c r="BV634" s="408">
        <v>76.911232574039715</v>
      </c>
      <c r="BW634" s="408"/>
      <c r="BX634" s="408"/>
      <c r="BY634" s="408"/>
      <c r="BZ634" s="408"/>
      <c r="CA634" s="408"/>
      <c r="CB634" s="408"/>
      <c r="CC634" s="408"/>
      <c r="CD634" s="408"/>
      <c r="CE634" s="408"/>
      <c r="CF634" s="408"/>
      <c r="CG634" s="408"/>
      <c r="CH634" s="408"/>
      <c r="CI634" s="408">
        <v>182.535</v>
      </c>
      <c r="CJ634" s="408">
        <v>-12.569880000000012</v>
      </c>
      <c r="CK634" s="408"/>
      <c r="CL634" s="408"/>
      <c r="CM634" s="408"/>
      <c r="CN634" s="408"/>
      <c r="CO634" s="408">
        <v>-22.226490000000013</v>
      </c>
      <c r="CP634" s="408">
        <v>9.2621100000000016</v>
      </c>
      <c r="CQ634" s="408">
        <v>30</v>
      </c>
      <c r="CR634" s="408">
        <v>12.134035309619392</v>
      </c>
      <c r="CS634" s="408">
        <v>0.23227186243473108</v>
      </c>
      <c r="CT634" s="408">
        <v>1.0830494281705096</v>
      </c>
      <c r="CU634" s="408">
        <v>0</v>
      </c>
      <c r="CV634" s="408">
        <v>0</v>
      </c>
      <c r="CW634" s="408">
        <v>0</v>
      </c>
      <c r="CX634" s="408">
        <v>0</v>
      </c>
      <c r="CY634" s="408">
        <v>0</v>
      </c>
      <c r="CZ634" s="408">
        <v>1.0862712866131954</v>
      </c>
      <c r="DA634" s="408">
        <v>0</v>
      </c>
      <c r="DB634" s="408">
        <v>0</v>
      </c>
      <c r="DC634" s="408">
        <v>9.2610642542199173</v>
      </c>
      <c r="DD634" s="408">
        <v>0</v>
      </c>
      <c r="DE634" s="408">
        <v>0</v>
      </c>
      <c r="DF634" s="408">
        <v>0</v>
      </c>
      <c r="DG634" s="408">
        <v>0.48603826340578937</v>
      </c>
      <c r="DH634" s="408">
        <v>0</v>
      </c>
      <c r="DI634" s="408">
        <v>0</v>
      </c>
      <c r="DJ634" s="408"/>
      <c r="DK634" s="408">
        <v>0</v>
      </c>
      <c r="DL634" s="408">
        <v>0</v>
      </c>
      <c r="DM634" s="408">
        <v>0</v>
      </c>
      <c r="DN634" s="408">
        <v>0</v>
      </c>
      <c r="DO634" s="408">
        <v>0</v>
      </c>
      <c r="DP634" s="408">
        <v>-1.4659785224751865E-2</v>
      </c>
      <c r="DQ634" s="408">
        <v>0</v>
      </c>
      <c r="DR634" s="408">
        <v>0</v>
      </c>
      <c r="DS634" s="408"/>
      <c r="DT634" s="408"/>
      <c r="DU634" s="408"/>
      <c r="DV634" s="408">
        <v>101.04541838550503</v>
      </c>
      <c r="DW634" s="408">
        <v>0</v>
      </c>
      <c r="DX634" s="408">
        <v>0</v>
      </c>
      <c r="DY634" s="408">
        <v>-22.226490000000013</v>
      </c>
      <c r="DZ634" s="408">
        <v>9.2621100000000069</v>
      </c>
      <c r="EA634" s="408">
        <v>0</v>
      </c>
      <c r="EB634" s="408">
        <v>0</v>
      </c>
      <c r="EC634" s="408">
        <v>-25.101395916550686</v>
      </c>
      <c r="ED634" s="408">
        <v>0</v>
      </c>
      <c r="EE634" s="408">
        <v>0</v>
      </c>
      <c r="EF634" s="408">
        <v>0</v>
      </c>
      <c r="EG634" s="408">
        <v>0</v>
      </c>
      <c r="EH634" s="408">
        <v>0</v>
      </c>
      <c r="EI634" s="408">
        <v>0</v>
      </c>
      <c r="EJ634" s="408">
        <v>0</v>
      </c>
      <c r="EK634" s="408">
        <v>0</v>
      </c>
      <c r="EL634" s="408">
        <v>0</v>
      </c>
      <c r="EM634" s="408">
        <v>0</v>
      </c>
      <c r="EN634" s="408">
        <v>0</v>
      </c>
      <c r="EO634" s="408">
        <v>0</v>
      </c>
      <c r="EP634" s="408">
        <v>0</v>
      </c>
      <c r="EQ634" s="408">
        <v>0</v>
      </c>
      <c r="ER634" s="408">
        <v>0</v>
      </c>
      <c r="ES634" s="408">
        <v>0</v>
      </c>
      <c r="ET634" s="408">
        <v>0</v>
      </c>
      <c r="EU634" s="408">
        <v>0</v>
      </c>
      <c r="EV634" s="408">
        <v>240</v>
      </c>
      <c r="EW634" s="408">
        <v>0</v>
      </c>
      <c r="EX634" s="408">
        <v>0</v>
      </c>
      <c r="EY634" s="408">
        <v>0</v>
      </c>
      <c r="EZ634" s="408"/>
      <c r="FA634" s="408">
        <v>0</v>
      </c>
      <c r="FB634" s="408"/>
      <c r="FC634" s="408"/>
      <c r="FD634" s="408"/>
      <c r="FE634" s="408"/>
      <c r="FF634" s="408">
        <v>0</v>
      </c>
      <c r="FG634" s="408">
        <v>0</v>
      </c>
      <c r="FH634" s="408">
        <v>0</v>
      </c>
      <c r="FI634" s="408">
        <v>0</v>
      </c>
    </row>
    <row r="635" spans="1:165">
      <c r="A635" s="408">
        <v>633</v>
      </c>
      <c r="B635" s="408" t="s">
        <v>1036</v>
      </c>
      <c r="C635" s="408" t="s">
        <v>2316</v>
      </c>
      <c r="D635" s="408" t="s">
        <v>1955</v>
      </c>
      <c r="E635" s="408" t="s">
        <v>969</v>
      </c>
      <c r="F635" s="408" t="s">
        <v>969</v>
      </c>
      <c r="G635" s="408" t="s">
        <v>1322</v>
      </c>
      <c r="H635" s="408" t="s">
        <v>1322</v>
      </c>
      <c r="I635" s="408" t="s">
        <v>973</v>
      </c>
      <c r="J635" s="408" t="s">
        <v>2236</v>
      </c>
      <c r="K635" s="826">
        <v>44652</v>
      </c>
      <c r="L635" s="408">
        <v>0</v>
      </c>
      <c r="M635" s="408">
        <v>0</v>
      </c>
      <c r="N635" s="408">
        <v>0.42499999999999999</v>
      </c>
      <c r="O635" s="408">
        <v>0.42499999999999999</v>
      </c>
      <c r="P635" s="408">
        <v>0.42499999999999999</v>
      </c>
      <c r="Q635" s="408">
        <v>0.42499999999999999</v>
      </c>
      <c r="R635" s="408"/>
      <c r="S635" s="408">
        <v>775.22</v>
      </c>
      <c r="T635" s="408">
        <v>173.25</v>
      </c>
      <c r="U635" s="408"/>
      <c r="V635" s="408">
        <v>403.09974999999997</v>
      </c>
      <c r="W635" s="408">
        <v>403.09974999999997</v>
      </c>
      <c r="X635" s="408">
        <v>355.51249999999999</v>
      </c>
      <c r="Y635" s="408">
        <v>0</v>
      </c>
      <c r="Z635" s="408">
        <v>26.15670285973242</v>
      </c>
      <c r="AA635" s="408">
        <v>0</v>
      </c>
      <c r="AB635" s="408">
        <v>0</v>
      </c>
      <c r="AC635" s="408">
        <v>2.7193156911699061</v>
      </c>
      <c r="AD635" s="408">
        <v>2.6126648319497598</v>
      </c>
      <c r="AE635" s="408">
        <v>250.25812913700713</v>
      </c>
      <c r="AF635" s="408">
        <v>72.394699998758028</v>
      </c>
      <c r="AG635" s="408">
        <v>1.2355742504800313</v>
      </c>
      <c r="AH635" s="408">
        <v>0</v>
      </c>
      <c r="AI635" s="408">
        <v>0</v>
      </c>
      <c r="AJ635" s="408">
        <v>0</v>
      </c>
      <c r="AK635" s="408">
        <v>0</v>
      </c>
      <c r="AL635" s="408">
        <v>4.041337867863299</v>
      </c>
      <c r="AM635" s="408"/>
      <c r="AN635" s="408">
        <v>0.51333910360415591</v>
      </c>
      <c r="AO635" s="408">
        <v>5.7726555956192147</v>
      </c>
      <c r="AP635" s="408">
        <v>26.916841259629752</v>
      </c>
      <c r="AQ635" s="408">
        <v>0</v>
      </c>
      <c r="AR635" s="408">
        <v>0</v>
      </c>
      <c r="AS635" s="408">
        <v>0</v>
      </c>
      <c r="AT635" s="408">
        <v>0</v>
      </c>
      <c r="AU635" s="408">
        <v>0</v>
      </c>
      <c r="AV635" s="408">
        <v>0</v>
      </c>
      <c r="AW635" s="408">
        <v>0</v>
      </c>
      <c r="AX635" s="408">
        <v>0</v>
      </c>
      <c r="AY635" s="408">
        <v>0</v>
      </c>
      <c r="AZ635" s="408">
        <v>0</v>
      </c>
      <c r="BA635" s="408"/>
      <c r="BB635" s="408">
        <v>0</v>
      </c>
      <c r="BC635" s="408">
        <v>0</v>
      </c>
      <c r="BD635" s="408">
        <v>0</v>
      </c>
      <c r="BE635" s="408">
        <v>0</v>
      </c>
      <c r="BF635" s="408">
        <v>0</v>
      </c>
      <c r="BG635" s="408">
        <v>3.7994115256402914</v>
      </c>
      <c r="BH635" s="408">
        <v>0</v>
      </c>
      <c r="BI635" s="408">
        <v>0</v>
      </c>
      <c r="BJ635" s="408">
        <v>0</v>
      </c>
      <c r="BK635" s="408">
        <v>0</v>
      </c>
      <c r="BL635" s="408">
        <v>0</v>
      </c>
      <c r="BM635" s="408"/>
      <c r="BN635" s="408"/>
      <c r="BO635" s="408"/>
      <c r="BP635" s="408"/>
      <c r="BQ635" s="408"/>
      <c r="BR635" s="408"/>
      <c r="BS635" s="408"/>
      <c r="BT635" s="408"/>
      <c r="BU635" s="408"/>
      <c r="BV635" s="408">
        <v>76.194111524398323</v>
      </c>
      <c r="BW635" s="408"/>
      <c r="BX635" s="408"/>
      <c r="BY635" s="408"/>
      <c r="BZ635" s="408"/>
      <c r="CA635" s="408"/>
      <c r="CB635" s="408"/>
      <c r="CC635" s="408"/>
      <c r="CD635" s="408"/>
      <c r="CE635" s="408"/>
      <c r="CF635" s="408"/>
      <c r="CG635" s="408"/>
      <c r="CH635" s="408"/>
      <c r="CI635" s="408">
        <v>359.69499999999999</v>
      </c>
      <c r="CJ635" s="408">
        <v>-43.434749999999951</v>
      </c>
      <c r="CK635" s="408"/>
      <c r="CL635" s="408"/>
      <c r="CM635" s="408"/>
      <c r="CN635" s="408"/>
      <c r="CO635" s="408">
        <v>-56.763000000000027</v>
      </c>
      <c r="CP635" s="408">
        <v>9.1757500000000007</v>
      </c>
      <c r="CQ635" s="408">
        <v>30</v>
      </c>
      <c r="CR635" s="408">
        <v>14.578974461860042</v>
      </c>
      <c r="CS635" s="408">
        <v>0.57523279138330707</v>
      </c>
      <c r="CT635" s="408">
        <v>2.6822056983182705</v>
      </c>
      <c r="CU635" s="408">
        <v>0</v>
      </c>
      <c r="CV635" s="408">
        <v>0</v>
      </c>
      <c r="CW635" s="408">
        <v>0</v>
      </c>
      <c r="CX635" s="408">
        <v>0</v>
      </c>
      <c r="CY635" s="408">
        <v>0</v>
      </c>
      <c r="CZ635" s="408">
        <v>2.6901791042617353</v>
      </c>
      <c r="DA635" s="408">
        <v>0</v>
      </c>
      <c r="DB635" s="408">
        <v>0</v>
      </c>
      <c r="DC635" s="408">
        <v>9.1747140047633167</v>
      </c>
      <c r="DD635" s="408">
        <v>0</v>
      </c>
      <c r="DE635" s="408">
        <v>0</v>
      </c>
      <c r="DF635" s="408">
        <v>0</v>
      </c>
      <c r="DG635" s="408">
        <v>0.48150643810596883</v>
      </c>
      <c r="DH635" s="408">
        <v>0</v>
      </c>
      <c r="DI635" s="408">
        <v>-0.88819885863896531</v>
      </c>
      <c r="DJ635" s="408"/>
      <c r="DK635" s="408">
        <v>0</v>
      </c>
      <c r="DL635" s="408">
        <v>0</v>
      </c>
      <c r="DM635" s="408">
        <v>0</v>
      </c>
      <c r="DN635" s="408">
        <v>0</v>
      </c>
      <c r="DO635" s="408">
        <v>-0.12214161908295029</v>
      </c>
      <c r="DP635" s="408">
        <v>-1.452309725062817E-2</v>
      </c>
      <c r="DQ635" s="408">
        <v>0</v>
      </c>
      <c r="DR635" s="408">
        <v>0</v>
      </c>
      <c r="DS635" s="408"/>
      <c r="DT635" s="408"/>
      <c r="DU635" s="408"/>
      <c r="DV635" s="408">
        <v>250.25812913700713</v>
      </c>
      <c r="DW635" s="408">
        <v>0</v>
      </c>
      <c r="DX635" s="408">
        <v>0</v>
      </c>
      <c r="DY635" s="408">
        <v>-56.763000000000034</v>
      </c>
      <c r="DZ635" s="408">
        <v>9.1757500000000078</v>
      </c>
      <c r="EA635" s="408">
        <v>0</v>
      </c>
      <c r="EB635" s="408">
        <v>0</v>
      </c>
      <c r="EC635" s="408">
        <v>-62.168364297696428</v>
      </c>
      <c r="ED635" s="408">
        <v>0</v>
      </c>
      <c r="EE635" s="408">
        <v>0</v>
      </c>
      <c r="EF635" s="408">
        <v>0</v>
      </c>
      <c r="EG635" s="408">
        <v>0</v>
      </c>
      <c r="EH635" s="408">
        <v>0</v>
      </c>
      <c r="EI635" s="408">
        <v>0</v>
      </c>
      <c r="EJ635" s="408">
        <v>0</v>
      </c>
      <c r="EK635" s="408">
        <v>0</v>
      </c>
      <c r="EL635" s="408">
        <v>0</v>
      </c>
      <c r="EM635" s="408">
        <v>0</v>
      </c>
      <c r="EN635" s="408">
        <v>0</v>
      </c>
      <c r="EO635" s="408">
        <v>0</v>
      </c>
      <c r="EP635" s="408">
        <v>6.6799554036896973</v>
      </c>
      <c r="EQ635" s="408">
        <v>0</v>
      </c>
      <c r="ER635" s="408">
        <v>0</v>
      </c>
      <c r="ES635" s="408">
        <v>0</v>
      </c>
      <c r="ET635" s="408">
        <v>0</v>
      </c>
      <c r="EU635" s="408">
        <v>0</v>
      </c>
      <c r="EV635" s="408">
        <v>240</v>
      </c>
      <c r="EW635" s="408">
        <v>0</v>
      </c>
      <c r="EX635" s="408">
        <v>0</v>
      </c>
      <c r="EY635" s="408">
        <v>0</v>
      </c>
      <c r="EZ635" s="408"/>
      <c r="FA635" s="408">
        <v>0</v>
      </c>
      <c r="FB635" s="408"/>
      <c r="FC635" s="408"/>
      <c r="FD635" s="408"/>
      <c r="FE635" s="408"/>
      <c r="FF635" s="408">
        <v>0</v>
      </c>
      <c r="FG635" s="408">
        <v>0</v>
      </c>
      <c r="FH635" s="408">
        <v>0</v>
      </c>
      <c r="FI635" s="408">
        <v>0</v>
      </c>
    </row>
    <row r="636" spans="1:165">
      <c r="A636" s="408">
        <v>634</v>
      </c>
      <c r="B636" s="408" t="s">
        <v>1036</v>
      </c>
      <c r="C636" s="408" t="s">
        <v>2316</v>
      </c>
      <c r="D636" s="408" t="s">
        <v>1955</v>
      </c>
      <c r="E636" s="408" t="s">
        <v>969</v>
      </c>
      <c r="F636" s="408" t="s">
        <v>969</v>
      </c>
      <c r="G636" s="408" t="s">
        <v>1322</v>
      </c>
      <c r="H636" s="408" t="s">
        <v>1322</v>
      </c>
      <c r="I636" s="408" t="s">
        <v>2244</v>
      </c>
      <c r="J636" s="408" t="s">
        <v>2236</v>
      </c>
      <c r="K636" s="826">
        <v>44652</v>
      </c>
      <c r="L636" s="408">
        <v>0</v>
      </c>
      <c r="M636" s="408">
        <v>0</v>
      </c>
      <c r="N636" s="408">
        <v>3.5419999999999998</v>
      </c>
      <c r="O636" s="408">
        <v>3.5419999999999998</v>
      </c>
      <c r="P636" s="408">
        <v>3.5419999999999998</v>
      </c>
      <c r="Q636" s="408">
        <v>3.5419999999999998</v>
      </c>
      <c r="R636" s="408"/>
      <c r="S636" s="408">
        <v>232.58</v>
      </c>
      <c r="T636" s="408">
        <v>173.25</v>
      </c>
      <c r="U636" s="408"/>
      <c r="V636" s="408">
        <v>1437.4498599999999</v>
      </c>
      <c r="W636" s="408">
        <v>1437.4498599999999</v>
      </c>
      <c r="X636" s="408">
        <v>1415.7019799999998</v>
      </c>
      <c r="Y636" s="408">
        <v>0</v>
      </c>
      <c r="Z636" s="408">
        <v>217.99303889216995</v>
      </c>
      <c r="AA636" s="408">
        <v>0</v>
      </c>
      <c r="AB636" s="408">
        <v>0</v>
      </c>
      <c r="AC636" s="408">
        <v>4.5329406732039317</v>
      </c>
      <c r="AD636" s="408">
        <v>4.3551395292070652</v>
      </c>
      <c r="AE636" s="408">
        <v>417.13621436067456</v>
      </c>
      <c r="AF636" s="408">
        <v>603.34594681317856</v>
      </c>
      <c r="AG636" s="408">
        <v>10.297421165177107</v>
      </c>
      <c r="AH636" s="408">
        <v>0</v>
      </c>
      <c r="AI636" s="408">
        <v>0</v>
      </c>
      <c r="AJ636" s="408">
        <v>0</v>
      </c>
      <c r="AK636" s="408">
        <v>0</v>
      </c>
      <c r="AL636" s="408">
        <v>33.680985242286603</v>
      </c>
      <c r="AM636" s="408"/>
      <c r="AN636" s="408">
        <v>4.2782284822727537</v>
      </c>
      <c r="AO636" s="408">
        <v>9.6229330444068388</v>
      </c>
      <c r="AP636" s="408">
        <v>44.868500826084023</v>
      </c>
      <c r="AQ636" s="408">
        <v>0</v>
      </c>
      <c r="AR636" s="408">
        <v>0</v>
      </c>
      <c r="AS636" s="408">
        <v>0</v>
      </c>
      <c r="AT636" s="408">
        <v>0</v>
      </c>
      <c r="AU636" s="408">
        <v>0</v>
      </c>
      <c r="AV636" s="408">
        <v>0</v>
      </c>
      <c r="AW636" s="408">
        <v>0</v>
      </c>
      <c r="AX636" s="408">
        <v>0</v>
      </c>
      <c r="AY636" s="408">
        <v>0</v>
      </c>
      <c r="AZ636" s="408">
        <v>0</v>
      </c>
      <c r="BA636" s="408"/>
      <c r="BB636" s="408">
        <v>0</v>
      </c>
      <c r="BC636" s="408">
        <v>0</v>
      </c>
      <c r="BD636" s="408">
        <v>0</v>
      </c>
      <c r="BE636" s="408">
        <v>0</v>
      </c>
      <c r="BF636" s="408">
        <v>0</v>
      </c>
      <c r="BG636" s="408">
        <v>31.664742644277442</v>
      </c>
      <c r="BH636" s="408">
        <v>0</v>
      </c>
      <c r="BI636" s="408">
        <v>0</v>
      </c>
      <c r="BJ636" s="408">
        <v>0</v>
      </c>
      <c r="BK636" s="408">
        <v>0</v>
      </c>
      <c r="BL636" s="408">
        <v>0</v>
      </c>
      <c r="BM636" s="408"/>
      <c r="BN636" s="408"/>
      <c r="BO636" s="408"/>
      <c r="BP636" s="408"/>
      <c r="BQ636" s="408"/>
      <c r="BR636" s="408"/>
      <c r="BS636" s="408"/>
      <c r="BT636" s="408"/>
      <c r="BU636" s="408"/>
      <c r="BV636" s="408">
        <v>635.01068945745601</v>
      </c>
      <c r="BW636" s="408"/>
      <c r="BX636" s="408"/>
      <c r="BY636" s="408"/>
      <c r="BZ636" s="408"/>
      <c r="CA636" s="408"/>
      <c r="CB636" s="408"/>
      <c r="CC636" s="408"/>
      <c r="CD636" s="408"/>
      <c r="CE636" s="408"/>
      <c r="CF636" s="408"/>
      <c r="CG636" s="408"/>
      <c r="CH636" s="408"/>
      <c r="CI636" s="408">
        <v>1414.9025999999999</v>
      </c>
      <c r="CJ636" s="408">
        <v>-22.577260000000024</v>
      </c>
      <c r="CK636" s="408"/>
      <c r="CL636" s="408"/>
      <c r="CM636" s="408"/>
      <c r="CN636" s="408"/>
      <c r="CO636" s="408">
        <v>-98.219660000000061</v>
      </c>
      <c r="CP636" s="408">
        <v>76.47178000000001</v>
      </c>
      <c r="CQ636" s="408">
        <v>30</v>
      </c>
      <c r="CR636" s="408">
        <v>81.849049199700175</v>
      </c>
      <c r="CS636" s="408">
        <v>0.95890470940787154</v>
      </c>
      <c r="CT636" s="408">
        <v>4.4710502034731334</v>
      </c>
      <c r="CU636" s="408">
        <v>0</v>
      </c>
      <c r="CV636" s="408">
        <v>0</v>
      </c>
      <c r="CW636" s="408">
        <v>0</v>
      </c>
      <c r="CX636" s="408">
        <v>0</v>
      </c>
      <c r="CY636" s="408">
        <v>0</v>
      </c>
      <c r="CZ636" s="408">
        <v>4.4843506960185771</v>
      </c>
      <c r="DA636" s="408">
        <v>0</v>
      </c>
      <c r="DB636" s="408">
        <v>0</v>
      </c>
      <c r="DC636" s="408">
        <v>76.463145893815749</v>
      </c>
      <c r="DD636" s="408">
        <v>0</v>
      </c>
      <c r="DE636" s="408">
        <v>0</v>
      </c>
      <c r="DF636" s="408">
        <v>0</v>
      </c>
      <c r="DG636" s="408">
        <v>4.0129313029913867</v>
      </c>
      <c r="DH636" s="408">
        <v>0</v>
      </c>
      <c r="DI636" s="408">
        <v>-7.402353781880521</v>
      </c>
      <c r="DJ636" s="408"/>
      <c r="DK636" s="408">
        <v>0</v>
      </c>
      <c r="DL636" s="408">
        <v>0</v>
      </c>
      <c r="DM636" s="408">
        <v>0</v>
      </c>
      <c r="DN636" s="408">
        <v>0</v>
      </c>
      <c r="DO636" s="408">
        <v>-1.0179426230395521</v>
      </c>
      <c r="DP636" s="408">
        <v>-0.12103720108641181</v>
      </c>
      <c r="DQ636" s="408">
        <v>0</v>
      </c>
      <c r="DR636" s="408">
        <v>0</v>
      </c>
      <c r="DS636" s="408"/>
      <c r="DT636" s="408"/>
      <c r="DU636" s="408"/>
      <c r="DV636" s="408">
        <v>417.13621436067456</v>
      </c>
      <c r="DW636" s="408">
        <v>0</v>
      </c>
      <c r="DX636" s="408">
        <v>0</v>
      </c>
      <c r="DY636" s="408">
        <v>-98.21966000000009</v>
      </c>
      <c r="DZ636" s="408">
        <v>76.471780000000081</v>
      </c>
      <c r="EA636" s="408">
        <v>0</v>
      </c>
      <c r="EB636" s="408">
        <v>0</v>
      </c>
      <c r="EC636" s="408">
        <v>-103.62371134781137</v>
      </c>
      <c r="ED636" s="408">
        <v>0</v>
      </c>
      <c r="EE636" s="408">
        <v>0</v>
      </c>
      <c r="EF636" s="408">
        <v>0</v>
      </c>
      <c r="EG636" s="408">
        <v>0</v>
      </c>
      <c r="EH636" s="408">
        <v>0</v>
      </c>
      <c r="EI636" s="408">
        <v>0</v>
      </c>
      <c r="EJ636" s="408">
        <v>0</v>
      </c>
      <c r="EK636" s="408">
        <v>0</v>
      </c>
      <c r="EL636" s="408">
        <v>0</v>
      </c>
      <c r="EM636" s="408">
        <v>0</v>
      </c>
      <c r="EN636" s="408">
        <v>0</v>
      </c>
      <c r="EO636" s="408">
        <v>0</v>
      </c>
      <c r="EP636" s="408">
        <v>55.671534211456255</v>
      </c>
      <c r="EQ636" s="408">
        <v>0</v>
      </c>
      <c r="ER636" s="408">
        <v>0</v>
      </c>
      <c r="ES636" s="408">
        <v>0</v>
      </c>
      <c r="ET636" s="408">
        <v>0</v>
      </c>
      <c r="EU636" s="408">
        <v>0</v>
      </c>
      <c r="EV636" s="408">
        <v>240</v>
      </c>
      <c r="EW636" s="408">
        <v>0</v>
      </c>
      <c r="EX636" s="408">
        <v>0</v>
      </c>
      <c r="EY636" s="408">
        <v>0</v>
      </c>
      <c r="EZ636" s="408"/>
      <c r="FA636" s="408">
        <v>0</v>
      </c>
      <c r="FB636" s="408"/>
      <c r="FC636" s="408"/>
      <c r="FD636" s="408"/>
      <c r="FE636" s="408"/>
      <c r="FF636" s="408">
        <v>0</v>
      </c>
      <c r="FG636" s="408">
        <v>0</v>
      </c>
      <c r="FH636" s="408">
        <v>0</v>
      </c>
      <c r="FI636" s="408">
        <v>0</v>
      </c>
    </row>
    <row r="637" spans="1:165">
      <c r="A637" s="408">
        <v>635</v>
      </c>
      <c r="B637" s="408" t="s">
        <v>1036</v>
      </c>
      <c r="C637" s="408" t="s">
        <v>2316</v>
      </c>
      <c r="D637" s="408" t="s">
        <v>1955</v>
      </c>
      <c r="E637" s="408" t="s">
        <v>969</v>
      </c>
      <c r="F637" s="408" t="s">
        <v>969</v>
      </c>
      <c r="G637" s="408" t="s">
        <v>1322</v>
      </c>
      <c r="H637" s="408" t="s">
        <v>1322</v>
      </c>
      <c r="I637" s="408" t="s">
        <v>1322</v>
      </c>
      <c r="J637" s="408" t="s">
        <v>2236</v>
      </c>
      <c r="K637" s="826">
        <v>44652</v>
      </c>
      <c r="L637" s="408">
        <v>0</v>
      </c>
      <c r="M637" s="408">
        <v>0</v>
      </c>
      <c r="N637" s="408">
        <v>0</v>
      </c>
      <c r="O637" s="408">
        <v>0</v>
      </c>
      <c r="P637" s="408">
        <v>0</v>
      </c>
      <c r="Q637" s="408">
        <v>0</v>
      </c>
      <c r="R637" s="408"/>
      <c r="S637" s="408"/>
      <c r="T637" s="408"/>
      <c r="U637" s="408"/>
      <c r="V637" s="408"/>
      <c r="W637" s="408"/>
      <c r="X637" s="408"/>
      <c r="Y637" s="408"/>
      <c r="Z637" s="408"/>
      <c r="AA637" s="408">
        <v>0</v>
      </c>
      <c r="AB637" s="408"/>
      <c r="AC637" s="408"/>
      <c r="AD637" s="408"/>
      <c r="AE637" s="408"/>
      <c r="AF637" s="408"/>
      <c r="AG637" s="408"/>
      <c r="AH637" s="408"/>
      <c r="AI637" s="408"/>
      <c r="AJ637" s="408"/>
      <c r="AK637" s="408"/>
      <c r="AL637" s="408"/>
      <c r="AM637" s="408"/>
      <c r="AN637" s="408"/>
      <c r="AO637" s="408"/>
      <c r="AP637" s="408"/>
      <c r="AQ637" s="408"/>
      <c r="AR637" s="408"/>
      <c r="AS637" s="408"/>
      <c r="AT637" s="408"/>
      <c r="AU637" s="408"/>
      <c r="AV637" s="408"/>
      <c r="AW637" s="408"/>
      <c r="AX637" s="408"/>
      <c r="AY637" s="408"/>
      <c r="AZ637" s="408">
        <v>0</v>
      </c>
      <c r="BA637" s="408"/>
      <c r="BB637" s="408"/>
      <c r="BC637" s="408"/>
      <c r="BD637" s="408"/>
      <c r="BE637" s="408"/>
      <c r="BF637" s="408"/>
      <c r="BG637" s="408"/>
      <c r="BH637" s="408"/>
      <c r="BI637" s="408">
        <v>1.65</v>
      </c>
      <c r="BJ637" s="408">
        <v>18.510000000000002</v>
      </c>
      <c r="BK637" s="408">
        <v>818.25</v>
      </c>
      <c r="BL637" s="408">
        <v>14</v>
      </c>
      <c r="BM637" s="408"/>
      <c r="BN637" s="408"/>
      <c r="BO637" s="408"/>
      <c r="BP637" s="408"/>
      <c r="BQ637" s="408"/>
      <c r="BR637" s="408"/>
      <c r="BS637" s="408"/>
      <c r="BT637" s="408"/>
      <c r="BU637" s="408"/>
      <c r="BV637" s="408"/>
      <c r="BW637" s="408"/>
      <c r="BX637" s="408"/>
      <c r="BY637" s="408"/>
      <c r="BZ637" s="408"/>
      <c r="CA637" s="408"/>
      <c r="CB637" s="408"/>
      <c r="CC637" s="408"/>
      <c r="CD637" s="408"/>
      <c r="CE637" s="408"/>
      <c r="CF637" s="408"/>
      <c r="CG637" s="408"/>
      <c r="CH637" s="408"/>
      <c r="CI637" s="408"/>
      <c r="CJ637" s="408">
        <v>-0.03</v>
      </c>
      <c r="CK637" s="408"/>
      <c r="CL637" s="408"/>
      <c r="CM637" s="408"/>
      <c r="CN637" s="408"/>
      <c r="CO637" s="408">
        <v>0</v>
      </c>
      <c r="CP637" s="408">
        <v>0</v>
      </c>
      <c r="CQ637" s="408">
        <v>30</v>
      </c>
      <c r="CR637" s="408"/>
      <c r="CS637" s="408"/>
      <c r="CT637" s="408"/>
      <c r="CU637" s="408"/>
      <c r="CV637" s="408"/>
      <c r="CW637" s="408"/>
      <c r="CX637" s="408"/>
      <c r="CY637" s="408"/>
      <c r="CZ637" s="408"/>
      <c r="DA637" s="408"/>
      <c r="DB637" s="408"/>
      <c r="DC637" s="408"/>
      <c r="DD637" s="408"/>
      <c r="DE637" s="408"/>
      <c r="DF637" s="408"/>
      <c r="DG637" s="408"/>
      <c r="DH637" s="408"/>
      <c r="DI637" s="408"/>
      <c r="DJ637" s="408"/>
      <c r="DK637" s="408">
        <v>0</v>
      </c>
      <c r="DL637" s="408"/>
      <c r="DM637" s="408"/>
      <c r="DN637" s="408"/>
      <c r="DO637" s="408"/>
      <c r="DP637" s="408"/>
      <c r="DQ637" s="408"/>
      <c r="DR637" s="408"/>
      <c r="DS637" s="408"/>
      <c r="DT637" s="408"/>
      <c r="DU637" s="408"/>
      <c r="DV637" s="408"/>
      <c r="DW637" s="408"/>
      <c r="DX637" s="408"/>
      <c r="DY637" s="408"/>
      <c r="DZ637" s="408"/>
      <c r="EA637" s="408"/>
      <c r="EB637" s="408"/>
      <c r="EC637" s="408"/>
      <c r="ED637" s="408"/>
      <c r="EE637" s="408"/>
      <c r="EF637" s="408"/>
      <c r="EG637" s="408"/>
      <c r="EH637" s="408"/>
      <c r="EI637" s="408"/>
      <c r="EJ637" s="408"/>
      <c r="EK637" s="408"/>
      <c r="EL637" s="408"/>
      <c r="EM637" s="408"/>
      <c r="EN637" s="408"/>
      <c r="EO637" s="408"/>
      <c r="EP637" s="408"/>
      <c r="EQ637" s="408"/>
      <c r="ER637" s="408"/>
      <c r="ES637" s="408"/>
      <c r="ET637" s="408"/>
      <c r="EU637" s="408"/>
      <c r="EV637" s="408">
        <v>240</v>
      </c>
      <c r="EW637" s="408"/>
      <c r="EX637" s="408"/>
      <c r="EY637" s="408"/>
      <c r="EZ637" s="408"/>
      <c r="FA637" s="408">
        <v>0</v>
      </c>
      <c r="FB637" s="408"/>
      <c r="FC637" s="408"/>
      <c r="FD637" s="408"/>
      <c r="FE637" s="408"/>
      <c r="FF637" s="408">
        <v>0</v>
      </c>
      <c r="FG637" s="408">
        <v>0</v>
      </c>
      <c r="FH637" s="408">
        <v>0</v>
      </c>
      <c r="FI637" s="408">
        <v>0</v>
      </c>
    </row>
    <row r="638" spans="1:165">
      <c r="A638" s="408">
        <v>636</v>
      </c>
      <c r="B638" s="408" t="s">
        <v>1036</v>
      </c>
      <c r="C638" s="408" t="s">
        <v>2316</v>
      </c>
      <c r="D638" s="408" t="s">
        <v>1955</v>
      </c>
      <c r="E638" s="408" t="s">
        <v>969</v>
      </c>
      <c r="F638" s="408" t="s">
        <v>969</v>
      </c>
      <c r="G638" s="408" t="s">
        <v>1322</v>
      </c>
      <c r="H638" s="408" t="s">
        <v>1322</v>
      </c>
      <c r="I638" s="408" t="s">
        <v>2317</v>
      </c>
      <c r="J638" s="408" t="s">
        <v>2236</v>
      </c>
      <c r="K638" s="826">
        <v>44652</v>
      </c>
      <c r="L638" s="408">
        <v>0</v>
      </c>
      <c r="M638" s="408">
        <v>0</v>
      </c>
      <c r="N638" s="408">
        <v>0.253</v>
      </c>
      <c r="O638" s="408">
        <v>0.253</v>
      </c>
      <c r="P638" s="408">
        <v>0.253</v>
      </c>
      <c r="Q638" s="408">
        <v>0.253</v>
      </c>
      <c r="R638" s="408"/>
      <c r="S638" s="408">
        <v>503.9</v>
      </c>
      <c r="T638" s="408">
        <v>173.25</v>
      </c>
      <c r="U638" s="408"/>
      <c r="V638" s="408">
        <v>171.31895</v>
      </c>
      <c r="W638" s="408">
        <v>171.31895</v>
      </c>
      <c r="X638" s="408">
        <v>156.37676999999999</v>
      </c>
      <c r="Y638" s="408">
        <v>0</v>
      </c>
      <c r="Z638" s="408">
        <v>15.570931349440711</v>
      </c>
      <c r="AA638" s="408">
        <v>0</v>
      </c>
      <c r="AB638" s="408">
        <v>0</v>
      </c>
      <c r="AC638" s="408">
        <v>0.97122968166394374</v>
      </c>
      <c r="AD638" s="408">
        <v>0.93314299128172196</v>
      </c>
      <c r="AE638" s="408">
        <v>89.386277156899709</v>
      </c>
      <c r="AF638" s="408">
        <v>43.096139058084191</v>
      </c>
      <c r="AG638" s="408">
        <v>0.73553008322693636</v>
      </c>
      <c r="AH638" s="408">
        <v>0</v>
      </c>
      <c r="AI638" s="408">
        <v>0</v>
      </c>
      <c r="AJ638" s="408">
        <v>0</v>
      </c>
      <c r="AK638" s="408">
        <v>0</v>
      </c>
      <c r="AL638" s="408">
        <v>2.4057846601633286</v>
      </c>
      <c r="AM638" s="408"/>
      <c r="AN638" s="408">
        <v>0.30558774873376815</v>
      </c>
      <c r="AO638" s="408">
        <v>2.0617788456948403</v>
      </c>
      <c r="AP638" s="408">
        <v>9.6136514351995217</v>
      </c>
      <c r="AQ638" s="408">
        <v>0</v>
      </c>
      <c r="AR638" s="408">
        <v>0</v>
      </c>
      <c r="AS638" s="408">
        <v>0</v>
      </c>
      <c r="AT638" s="408">
        <v>0</v>
      </c>
      <c r="AU638" s="408">
        <v>0</v>
      </c>
      <c r="AV638" s="408">
        <v>0</v>
      </c>
      <c r="AW638" s="408">
        <v>0</v>
      </c>
      <c r="AX638" s="408">
        <v>0</v>
      </c>
      <c r="AY638" s="408">
        <v>0</v>
      </c>
      <c r="AZ638" s="408">
        <v>0</v>
      </c>
      <c r="BA638" s="408"/>
      <c r="BB638" s="408">
        <v>0</v>
      </c>
      <c r="BC638" s="408">
        <v>0</v>
      </c>
      <c r="BD638" s="408">
        <v>0</v>
      </c>
      <c r="BE638" s="408">
        <v>0</v>
      </c>
      <c r="BF638" s="408">
        <v>0</v>
      </c>
      <c r="BG638" s="408">
        <v>2.2617673317341032</v>
      </c>
      <c r="BH638" s="408">
        <v>0</v>
      </c>
      <c r="BI638" s="408">
        <v>0</v>
      </c>
      <c r="BJ638" s="408">
        <v>0</v>
      </c>
      <c r="BK638" s="408">
        <v>0</v>
      </c>
      <c r="BL638" s="408">
        <v>0</v>
      </c>
      <c r="BM638" s="408"/>
      <c r="BN638" s="408"/>
      <c r="BO638" s="408"/>
      <c r="BP638" s="408"/>
      <c r="BQ638" s="408"/>
      <c r="BR638" s="408"/>
      <c r="BS638" s="408"/>
      <c r="BT638" s="408"/>
      <c r="BU638" s="408"/>
      <c r="BV638" s="408">
        <v>45.357906389818297</v>
      </c>
      <c r="BW638" s="408"/>
      <c r="BX638" s="408"/>
      <c r="BY638" s="408"/>
      <c r="BZ638" s="408"/>
      <c r="CA638" s="408"/>
      <c r="CB638" s="408"/>
      <c r="CC638" s="408"/>
      <c r="CD638" s="408"/>
      <c r="CE638" s="408"/>
      <c r="CF638" s="408"/>
      <c r="CG638" s="408"/>
      <c r="CH638" s="408"/>
      <c r="CI638" s="408">
        <v>154.52250000000001</v>
      </c>
      <c r="CJ638" s="408">
        <v>-16.826449999999994</v>
      </c>
      <c r="CK638" s="408"/>
      <c r="CL638" s="408"/>
      <c r="CM638" s="408"/>
      <c r="CN638" s="408"/>
      <c r="CO638" s="408">
        <v>-20.404449999999994</v>
      </c>
      <c r="CP638" s="408">
        <v>5.4622700000000011</v>
      </c>
      <c r="CQ638" s="408">
        <v>30</v>
      </c>
      <c r="CR638" s="408">
        <v>7.262455738878586</v>
      </c>
      <c r="CS638" s="408">
        <v>0.20545185503950103</v>
      </c>
      <c r="CT638" s="408">
        <v>0.95797981688926903</v>
      </c>
      <c r="CU638" s="408">
        <v>0</v>
      </c>
      <c r="CV638" s="408">
        <v>0</v>
      </c>
      <c r="CW638" s="408">
        <v>0</v>
      </c>
      <c r="CX638" s="408">
        <v>0</v>
      </c>
      <c r="CY638" s="408">
        <v>0</v>
      </c>
      <c r="CZ638" s="408">
        <v>0.96082809617833909</v>
      </c>
      <c r="DA638" s="408">
        <v>0</v>
      </c>
      <c r="DB638" s="408">
        <v>0</v>
      </c>
      <c r="DC638" s="408">
        <v>5.4616532781296954</v>
      </c>
      <c r="DD638" s="408">
        <v>0</v>
      </c>
      <c r="DE638" s="408">
        <v>0</v>
      </c>
      <c r="DF638" s="408">
        <v>0</v>
      </c>
      <c r="DG638" s="408">
        <v>0.28663795021367067</v>
      </c>
      <c r="DH638" s="408">
        <v>0</v>
      </c>
      <c r="DI638" s="408">
        <v>-0.52873955584860788</v>
      </c>
      <c r="DJ638" s="408"/>
      <c r="DK638" s="408">
        <v>0</v>
      </c>
      <c r="DL638" s="408">
        <v>0</v>
      </c>
      <c r="DM638" s="408">
        <v>0</v>
      </c>
      <c r="DN638" s="408">
        <v>0</v>
      </c>
      <c r="DO638" s="408">
        <v>-7.2710187359967815E-2</v>
      </c>
      <c r="DP638" s="408">
        <v>-8.6455143633151765E-3</v>
      </c>
      <c r="DQ638" s="408">
        <v>0</v>
      </c>
      <c r="DR638" s="408">
        <v>0</v>
      </c>
      <c r="DS638" s="408"/>
      <c r="DT638" s="408"/>
      <c r="DU638" s="408"/>
      <c r="DV638" s="408">
        <v>89.386277156899709</v>
      </c>
      <c r="DW638" s="408">
        <v>0</v>
      </c>
      <c r="DX638" s="408">
        <v>0</v>
      </c>
      <c r="DY638" s="408">
        <v>-20.404449999999997</v>
      </c>
      <c r="DZ638" s="408">
        <v>5.4622699999999966</v>
      </c>
      <c r="EA638" s="408">
        <v>0</v>
      </c>
      <c r="EB638" s="408">
        <v>0</v>
      </c>
      <c r="EC638" s="408">
        <v>-22.205067466410867</v>
      </c>
      <c r="ED638" s="408">
        <v>0</v>
      </c>
      <c r="EE638" s="408">
        <v>0</v>
      </c>
      <c r="EF638" s="408">
        <v>0</v>
      </c>
      <c r="EG638" s="408">
        <v>0</v>
      </c>
      <c r="EH638" s="408">
        <v>0</v>
      </c>
      <c r="EI638" s="408">
        <v>0</v>
      </c>
      <c r="EJ638" s="408">
        <v>0</v>
      </c>
      <c r="EK638" s="408">
        <v>0</v>
      </c>
      <c r="EL638" s="408">
        <v>0</v>
      </c>
      <c r="EM638" s="408">
        <v>0</v>
      </c>
      <c r="EN638" s="408">
        <v>0</v>
      </c>
      <c r="EO638" s="408">
        <v>0</v>
      </c>
      <c r="EP638" s="408">
        <v>3.9765381579611612</v>
      </c>
      <c r="EQ638" s="408">
        <v>0</v>
      </c>
      <c r="ER638" s="408">
        <v>0</v>
      </c>
      <c r="ES638" s="408">
        <v>0</v>
      </c>
      <c r="ET638" s="408">
        <v>0</v>
      </c>
      <c r="EU638" s="408">
        <v>0</v>
      </c>
      <c r="EV638" s="408">
        <v>240</v>
      </c>
      <c r="EW638" s="408">
        <v>0</v>
      </c>
      <c r="EX638" s="408">
        <v>0</v>
      </c>
      <c r="EY638" s="408">
        <v>0</v>
      </c>
      <c r="EZ638" s="408"/>
      <c r="FA638" s="408">
        <v>0</v>
      </c>
      <c r="FB638" s="408"/>
      <c r="FC638" s="408"/>
      <c r="FD638" s="408"/>
      <c r="FE638" s="408"/>
      <c r="FF638" s="408">
        <v>0</v>
      </c>
      <c r="FG638" s="408">
        <v>0</v>
      </c>
      <c r="FH638" s="408">
        <v>0</v>
      </c>
      <c r="FI638" s="408">
        <v>0</v>
      </c>
    </row>
    <row r="639" spans="1:165">
      <c r="A639" s="408">
        <v>637</v>
      </c>
      <c r="B639" s="408" t="s">
        <v>1036</v>
      </c>
      <c r="C639" s="408" t="s">
        <v>2235</v>
      </c>
      <c r="D639" s="408" t="s">
        <v>1958</v>
      </c>
      <c r="E639" s="408" t="s">
        <v>970</v>
      </c>
      <c r="F639" s="408" t="s">
        <v>1322</v>
      </c>
      <c r="G639" s="408" t="s">
        <v>1322</v>
      </c>
      <c r="H639" s="408" t="s">
        <v>1322</v>
      </c>
      <c r="I639" s="408" t="s">
        <v>1322</v>
      </c>
      <c r="J639" s="408" t="s">
        <v>2236</v>
      </c>
      <c r="K639" s="826">
        <v>44652</v>
      </c>
      <c r="L639" s="408">
        <v>0</v>
      </c>
      <c r="M639" s="408">
        <v>0</v>
      </c>
      <c r="N639" s="408">
        <v>474.49299999999999</v>
      </c>
      <c r="O639" s="408">
        <v>474.49299999999999</v>
      </c>
      <c r="P639" s="408">
        <v>474.49299999999999</v>
      </c>
      <c r="Q639" s="408">
        <v>474.49299999999999</v>
      </c>
      <c r="R639" s="408"/>
      <c r="S639" s="408">
        <v>368.24</v>
      </c>
      <c r="T639" s="408">
        <v>173.25</v>
      </c>
      <c r="U639" s="408"/>
      <c r="V639" s="408">
        <v>256933.21456999998</v>
      </c>
      <c r="W639" s="408">
        <v>256933.21456999998</v>
      </c>
      <c r="X639" s="408">
        <v>241464.74277000001</v>
      </c>
      <c r="Y639" s="408">
        <v>0</v>
      </c>
      <c r="Z639" s="408">
        <v>29202.758611818859</v>
      </c>
      <c r="AA639" s="408">
        <v>0</v>
      </c>
      <c r="AB639" s="408">
        <v>0</v>
      </c>
      <c r="AC639" s="408">
        <v>1214.4825628743949</v>
      </c>
      <c r="AD639" s="408">
        <v>1166.845409730123</v>
      </c>
      <c r="AE639" s="408">
        <v>111760.70793937864</v>
      </c>
      <c r="AF639" s="408">
        <v>80825.360909436917</v>
      </c>
      <c r="AG639" s="408">
        <v>1379.4619596071095</v>
      </c>
      <c r="AH639" s="408">
        <v>0</v>
      </c>
      <c r="AI639" s="408">
        <v>0</v>
      </c>
      <c r="AJ639" s="408">
        <v>0</v>
      </c>
      <c r="AK639" s="408">
        <v>0</v>
      </c>
      <c r="AL639" s="408">
        <v>4511.9683033789661</v>
      </c>
      <c r="AM639" s="408"/>
      <c r="AN639" s="408">
        <v>573.11955596811003</v>
      </c>
      <c r="AO639" s="408">
        <v>2578.1081536364763</v>
      </c>
      <c r="AP639" s="408">
        <v>12021.337979938502</v>
      </c>
      <c r="AQ639" s="408">
        <v>0</v>
      </c>
      <c r="AR639" s="408">
        <v>0</v>
      </c>
      <c r="AS639" s="408">
        <v>0</v>
      </c>
      <c r="AT639" s="408">
        <v>0</v>
      </c>
      <c r="AU639" s="408">
        <v>0</v>
      </c>
      <c r="AV639" s="408">
        <v>0</v>
      </c>
      <c r="AW639" s="408">
        <v>0</v>
      </c>
      <c r="AX639" s="408">
        <v>0</v>
      </c>
      <c r="AY639" s="408">
        <v>0</v>
      </c>
      <c r="AZ639" s="408">
        <v>0</v>
      </c>
      <c r="BA639" s="408"/>
      <c r="BB639" s="408">
        <v>0</v>
      </c>
      <c r="BC639" s="408">
        <v>0</v>
      </c>
      <c r="BD639" s="408">
        <v>0</v>
      </c>
      <c r="BE639" s="408">
        <v>0</v>
      </c>
      <c r="BF639" s="408">
        <v>0</v>
      </c>
      <c r="BG639" s="408">
        <v>4241.868642436797</v>
      </c>
      <c r="BH639" s="408">
        <v>0</v>
      </c>
      <c r="BI639" s="408">
        <v>211.21</v>
      </c>
      <c r="BJ639" s="408">
        <v>2278.94</v>
      </c>
      <c r="BK639" s="408">
        <v>62880.45</v>
      </c>
      <c r="BL639" s="408">
        <v>294</v>
      </c>
      <c r="BM639" s="408"/>
      <c r="BN639" s="408"/>
      <c r="BO639" s="408"/>
      <c r="BP639" s="408"/>
      <c r="BQ639" s="408"/>
      <c r="BR639" s="408"/>
      <c r="BS639" s="408"/>
      <c r="BT639" s="408"/>
      <c r="BU639" s="408"/>
      <c r="BV639" s="408">
        <v>85067.229551873708</v>
      </c>
      <c r="BW639" s="408"/>
      <c r="BX639" s="408"/>
      <c r="BY639" s="408"/>
      <c r="BZ639" s="408"/>
      <c r="CA639" s="408"/>
      <c r="CB639" s="408"/>
      <c r="CC639" s="408"/>
      <c r="CD639" s="408"/>
      <c r="CE639" s="408"/>
      <c r="CF639" s="408"/>
      <c r="CG639" s="408"/>
      <c r="CH639" s="408"/>
      <c r="CI639" s="408">
        <v>241463.21610000002</v>
      </c>
      <c r="CJ639" s="408">
        <v>-15470.02846999999</v>
      </c>
      <c r="CK639" s="408"/>
      <c r="CL639" s="408"/>
      <c r="CM639" s="408"/>
      <c r="CN639" s="408"/>
      <c r="CO639" s="408">
        <v>-25712.775669999999</v>
      </c>
      <c r="CP639" s="408">
        <v>10244.303870000002</v>
      </c>
      <c r="CQ639" s="408">
        <v>30</v>
      </c>
      <c r="CR639" s="408">
        <v>12292.781670688157</v>
      </c>
      <c r="CS639" s="408">
        <v>256.90296695161487</v>
      </c>
      <c r="CT639" s="408">
        <v>1197.9006347806771</v>
      </c>
      <c r="CU639" s="408">
        <v>0</v>
      </c>
      <c r="CV639" s="408">
        <v>0</v>
      </c>
      <c r="CW639" s="408">
        <v>0</v>
      </c>
      <c r="CX639" s="408">
        <v>0</v>
      </c>
      <c r="CY639" s="408">
        <v>0</v>
      </c>
      <c r="CZ639" s="408">
        <v>1201.4641529113171</v>
      </c>
      <c r="DA639" s="408">
        <v>0</v>
      </c>
      <c r="DB639" s="408">
        <v>0</v>
      </c>
      <c r="DC639" s="408">
        <v>10243.147228852147</v>
      </c>
      <c r="DD639" s="408">
        <v>0</v>
      </c>
      <c r="DE639" s="408">
        <v>0</v>
      </c>
      <c r="DF639" s="408">
        <v>0</v>
      </c>
      <c r="DG639" s="408">
        <v>537.57984549697812</v>
      </c>
      <c r="DH639" s="408">
        <v>0</v>
      </c>
      <c r="DI639" s="408">
        <v>-991.6332730168906</v>
      </c>
      <c r="DJ639" s="408"/>
      <c r="DK639" s="408">
        <v>0</v>
      </c>
      <c r="DL639" s="408">
        <v>0</v>
      </c>
      <c r="DM639" s="408">
        <v>0</v>
      </c>
      <c r="DN639" s="408">
        <v>0</v>
      </c>
      <c r="DO639" s="408">
        <v>-136.36551356123891</v>
      </c>
      <c r="DP639" s="408">
        <v>-16.214371726452555</v>
      </c>
      <c r="DQ639" s="408">
        <v>0</v>
      </c>
      <c r="DR639" s="408">
        <v>0</v>
      </c>
      <c r="DS639" s="408"/>
      <c r="DT639" s="408"/>
      <c r="DU639" s="408"/>
      <c r="DV639" s="408">
        <v>111760.70793937864</v>
      </c>
      <c r="DW639" s="408">
        <v>0</v>
      </c>
      <c r="DX639" s="408">
        <v>0</v>
      </c>
      <c r="DY639" s="408">
        <v>-25712.775669999974</v>
      </c>
      <c r="DZ639" s="408">
        <v>10244.303870000003</v>
      </c>
      <c r="EA639" s="408">
        <v>0</v>
      </c>
      <c r="EB639" s="408">
        <v>0</v>
      </c>
      <c r="EC639" s="408">
        <v>-27763.25560054052</v>
      </c>
      <c r="ED639" s="408">
        <v>0</v>
      </c>
      <c r="EE639" s="408">
        <v>0</v>
      </c>
      <c r="EF639" s="408">
        <v>0</v>
      </c>
      <c r="EG639" s="408">
        <v>0</v>
      </c>
      <c r="EH639" s="408">
        <v>0</v>
      </c>
      <c r="EI639" s="408">
        <v>0</v>
      </c>
      <c r="EJ639" s="408">
        <v>0</v>
      </c>
      <c r="EK639" s="408">
        <v>0</v>
      </c>
      <c r="EL639" s="408">
        <v>0</v>
      </c>
      <c r="EM639" s="408">
        <v>0</v>
      </c>
      <c r="EN639" s="408">
        <v>0</v>
      </c>
      <c r="EO639" s="408">
        <v>0</v>
      </c>
      <c r="EP639" s="408">
        <v>7457.8637161480838</v>
      </c>
      <c r="EQ639" s="408">
        <v>0</v>
      </c>
      <c r="ER639" s="408">
        <v>0</v>
      </c>
      <c r="ES639" s="408">
        <v>0</v>
      </c>
      <c r="ET639" s="408">
        <v>0</v>
      </c>
      <c r="EU639" s="408">
        <v>0</v>
      </c>
      <c r="EV639" s="408">
        <v>240</v>
      </c>
      <c r="EW639" s="408">
        <v>0</v>
      </c>
      <c r="EX639" s="408">
        <v>0</v>
      </c>
      <c r="EY639" s="408">
        <v>0</v>
      </c>
      <c r="EZ639" s="408"/>
      <c r="FA639" s="408">
        <v>0</v>
      </c>
      <c r="FB639" s="408"/>
      <c r="FC639" s="408"/>
      <c r="FD639" s="408"/>
      <c r="FE639" s="408"/>
      <c r="FF639" s="408">
        <v>0</v>
      </c>
      <c r="FG639" s="408">
        <v>0</v>
      </c>
      <c r="FH639" s="408">
        <v>0</v>
      </c>
      <c r="FI639" s="408">
        <v>0</v>
      </c>
    </row>
    <row r="640" spans="1:165">
      <c r="A640" s="408">
        <v>638</v>
      </c>
      <c r="B640" s="408" t="s">
        <v>2238</v>
      </c>
      <c r="C640" s="408" t="s">
        <v>2235</v>
      </c>
      <c r="D640" s="408" t="s">
        <v>1958</v>
      </c>
      <c r="E640" s="408" t="s">
        <v>970</v>
      </c>
      <c r="F640" s="408" t="s">
        <v>1322</v>
      </c>
      <c r="G640" s="408" t="s">
        <v>1322</v>
      </c>
      <c r="H640" s="408" t="s">
        <v>1322</v>
      </c>
      <c r="I640" s="408" t="s">
        <v>1322</v>
      </c>
      <c r="J640" s="408" t="s">
        <v>2236</v>
      </c>
      <c r="K640" s="826">
        <v>44652</v>
      </c>
      <c r="L640" s="408">
        <v>0</v>
      </c>
      <c r="M640" s="408">
        <v>0</v>
      </c>
      <c r="N640" s="408">
        <v>52.598999999999997</v>
      </c>
      <c r="O640" s="408">
        <v>52.598999999999997</v>
      </c>
      <c r="P640" s="408">
        <v>52.598999999999997</v>
      </c>
      <c r="Q640" s="408">
        <v>52.598999999999997</v>
      </c>
      <c r="R640" s="408"/>
      <c r="S640" s="408">
        <v>368.24</v>
      </c>
      <c r="T640" s="408">
        <v>173.25</v>
      </c>
      <c r="U640" s="408"/>
      <c r="V640" s="408">
        <v>28481.83251</v>
      </c>
      <c r="W640" s="408">
        <v>28481.83251</v>
      </c>
      <c r="X640" s="408">
        <v>26767.105109999997</v>
      </c>
      <c r="Y640" s="408">
        <v>0</v>
      </c>
      <c r="Z640" s="408">
        <v>3237.2150911036833</v>
      </c>
      <c r="AA640" s="408">
        <v>0</v>
      </c>
      <c r="AB640" s="408">
        <v>0</v>
      </c>
      <c r="AC640" s="408">
        <v>134.62910585536625</v>
      </c>
      <c r="AD640" s="408">
        <v>129.34838175988844</v>
      </c>
      <c r="AE640" s="408">
        <v>12389.016227643773</v>
      </c>
      <c r="AF640" s="408">
        <v>8959.7384123168777</v>
      </c>
      <c r="AG640" s="408">
        <v>152.9175764729392</v>
      </c>
      <c r="AH640" s="408">
        <v>0</v>
      </c>
      <c r="AI640" s="408">
        <v>0</v>
      </c>
      <c r="AJ640" s="408">
        <v>0</v>
      </c>
      <c r="AK640" s="408">
        <v>0</v>
      </c>
      <c r="AL640" s="408">
        <v>500.16548355703918</v>
      </c>
      <c r="AM640" s="408"/>
      <c r="AN640" s="408">
        <v>63.532055318764698</v>
      </c>
      <c r="AO640" s="408">
        <v>285.7911724158734</v>
      </c>
      <c r="AP640" s="408">
        <v>1332.6020750712555</v>
      </c>
      <c r="AQ640" s="408">
        <v>0</v>
      </c>
      <c r="AR640" s="408">
        <v>0</v>
      </c>
      <c r="AS640" s="408">
        <v>0</v>
      </c>
      <c r="AT640" s="408">
        <v>0</v>
      </c>
      <c r="AU640" s="408">
        <v>0</v>
      </c>
      <c r="AV640" s="408">
        <v>0</v>
      </c>
      <c r="AW640" s="408">
        <v>0</v>
      </c>
      <c r="AX640" s="408">
        <v>0</v>
      </c>
      <c r="AY640" s="408">
        <v>0</v>
      </c>
      <c r="AZ640" s="408">
        <v>0</v>
      </c>
      <c r="BA640" s="408"/>
      <c r="BB640" s="408">
        <v>0</v>
      </c>
      <c r="BC640" s="408">
        <v>0</v>
      </c>
      <c r="BD640" s="408">
        <v>0</v>
      </c>
      <c r="BE640" s="408">
        <v>0</v>
      </c>
      <c r="BF640" s="408">
        <v>0</v>
      </c>
      <c r="BG640" s="408">
        <v>470.22411020506752</v>
      </c>
      <c r="BH640" s="408">
        <v>0</v>
      </c>
      <c r="BI640" s="408">
        <v>24.53</v>
      </c>
      <c r="BJ640" s="408">
        <v>265.74</v>
      </c>
      <c r="BK640" s="408">
        <v>13169.16</v>
      </c>
      <c r="BL640" s="408">
        <v>60</v>
      </c>
      <c r="BM640" s="408"/>
      <c r="BN640" s="408"/>
      <c r="BO640" s="408"/>
      <c r="BP640" s="408"/>
      <c r="BQ640" s="408"/>
      <c r="BR640" s="408"/>
      <c r="BS640" s="408"/>
      <c r="BT640" s="408"/>
      <c r="BU640" s="408"/>
      <c r="BV640" s="408">
        <v>9429.9625225219461</v>
      </c>
      <c r="BW640" s="408"/>
      <c r="BX640" s="408"/>
      <c r="BY640" s="408"/>
      <c r="BZ640" s="408"/>
      <c r="CA640" s="408"/>
      <c r="CB640" s="408"/>
      <c r="CC640" s="408"/>
      <c r="CD640" s="408"/>
      <c r="CE640" s="408"/>
      <c r="CF640" s="408"/>
      <c r="CG640" s="408"/>
      <c r="CH640" s="408"/>
      <c r="CI640" s="408">
        <v>26767.614000000001</v>
      </c>
      <c r="CJ640" s="408">
        <v>-1714.248509999994</v>
      </c>
      <c r="CK640" s="408"/>
      <c r="CL640" s="408"/>
      <c r="CM640" s="408"/>
      <c r="CN640" s="408"/>
      <c r="CO640" s="408">
        <v>-2850.3398099999995</v>
      </c>
      <c r="CP640" s="408">
        <v>1135.6124100000002</v>
      </c>
      <c r="CQ640" s="408">
        <v>30</v>
      </c>
      <c r="CR640" s="408">
        <v>1362.6924382372854</v>
      </c>
      <c r="CS640" s="408">
        <v>28.478479469007937</v>
      </c>
      <c r="CT640" s="408">
        <v>132.79094842037466</v>
      </c>
      <c r="CU640" s="408">
        <v>0</v>
      </c>
      <c r="CV640" s="408">
        <v>0</v>
      </c>
      <c r="CW640" s="408">
        <v>0</v>
      </c>
      <c r="CX640" s="408">
        <v>0</v>
      </c>
      <c r="CY640" s="408">
        <v>0</v>
      </c>
      <c r="CZ640" s="408">
        <v>133.18597530202206</v>
      </c>
      <c r="DA640" s="408">
        <v>0</v>
      </c>
      <c r="DB640" s="408">
        <v>0</v>
      </c>
      <c r="DC640" s="408">
        <v>1135.4841927918733</v>
      </c>
      <c r="DD640" s="408">
        <v>0</v>
      </c>
      <c r="DE640" s="408">
        <v>0</v>
      </c>
      <c r="DF640" s="408">
        <v>0</v>
      </c>
      <c r="DG640" s="408">
        <v>59.592369736319597</v>
      </c>
      <c r="DH640" s="408">
        <v>0</v>
      </c>
      <c r="DI640" s="408">
        <v>-109.92558062482567</v>
      </c>
      <c r="DJ640" s="408"/>
      <c r="DK640" s="408">
        <v>0</v>
      </c>
      <c r="DL640" s="408">
        <v>0</v>
      </c>
      <c r="DM640" s="408">
        <v>0</v>
      </c>
      <c r="DN640" s="408">
        <v>0</v>
      </c>
      <c r="DO640" s="408">
        <v>-15.116534169750821</v>
      </c>
      <c r="DP640" s="408">
        <v>-1.7974126877312813</v>
      </c>
      <c r="DQ640" s="408">
        <v>0</v>
      </c>
      <c r="DR640" s="408">
        <v>0</v>
      </c>
      <c r="DS640" s="408"/>
      <c r="DT640" s="408"/>
      <c r="DU640" s="408"/>
      <c r="DV640" s="408">
        <v>12389.016227643773</v>
      </c>
      <c r="DW640" s="408">
        <v>0</v>
      </c>
      <c r="DX640" s="408">
        <v>0</v>
      </c>
      <c r="DY640" s="408">
        <v>-2850.3398100000013</v>
      </c>
      <c r="DZ640" s="408">
        <v>1135.6124099999997</v>
      </c>
      <c r="EA640" s="408">
        <v>0</v>
      </c>
      <c r="EB640" s="408">
        <v>0</v>
      </c>
      <c r="EC640" s="408">
        <v>-3077.6417804537268</v>
      </c>
      <c r="ED640" s="408">
        <v>0</v>
      </c>
      <c r="EE640" s="408">
        <v>0</v>
      </c>
      <c r="EF640" s="408">
        <v>0</v>
      </c>
      <c r="EG640" s="408">
        <v>0</v>
      </c>
      <c r="EH640" s="408">
        <v>0</v>
      </c>
      <c r="EI640" s="408">
        <v>0</v>
      </c>
      <c r="EJ640" s="408">
        <v>0</v>
      </c>
      <c r="EK640" s="408">
        <v>0</v>
      </c>
      <c r="EL640" s="408">
        <v>0</v>
      </c>
      <c r="EM640" s="408">
        <v>0</v>
      </c>
      <c r="EN640" s="408">
        <v>0</v>
      </c>
      <c r="EO640" s="408">
        <v>0</v>
      </c>
      <c r="EP640" s="408">
        <v>826.72699830276326</v>
      </c>
      <c r="EQ640" s="408">
        <v>0</v>
      </c>
      <c r="ER640" s="408">
        <v>0</v>
      </c>
      <c r="ES640" s="408">
        <v>0</v>
      </c>
      <c r="ET640" s="408">
        <v>0</v>
      </c>
      <c r="EU640" s="408">
        <v>0</v>
      </c>
      <c r="EV640" s="408">
        <v>240</v>
      </c>
      <c r="EW640" s="408">
        <v>0</v>
      </c>
      <c r="EX640" s="408">
        <v>0</v>
      </c>
      <c r="EY640" s="408">
        <v>0</v>
      </c>
      <c r="EZ640" s="408"/>
      <c r="FA640" s="408">
        <v>0</v>
      </c>
      <c r="FB640" s="408"/>
      <c r="FC640" s="408"/>
      <c r="FD640" s="408"/>
      <c r="FE640" s="408"/>
      <c r="FF640" s="408">
        <v>0</v>
      </c>
      <c r="FG640" s="408">
        <v>0</v>
      </c>
      <c r="FH640" s="408">
        <v>0</v>
      </c>
      <c r="FI640" s="408">
        <v>0</v>
      </c>
    </row>
    <row r="641" spans="1:165">
      <c r="A641" s="408">
        <v>639</v>
      </c>
      <c r="B641" s="408" t="s">
        <v>1036</v>
      </c>
      <c r="C641" s="408" t="s">
        <v>2247</v>
      </c>
      <c r="D641" s="408" t="s">
        <v>597</v>
      </c>
      <c r="E641" s="408" t="s">
        <v>970</v>
      </c>
      <c r="F641" s="408" t="s">
        <v>1322</v>
      </c>
      <c r="G641" s="408" t="s">
        <v>1322</v>
      </c>
      <c r="H641" s="408" t="s">
        <v>1322</v>
      </c>
      <c r="I641" s="408" t="s">
        <v>973</v>
      </c>
      <c r="J641" s="408" t="s">
        <v>2236</v>
      </c>
      <c r="K641" s="826">
        <v>44652</v>
      </c>
      <c r="L641" s="408">
        <v>10527</v>
      </c>
      <c r="M641" s="408">
        <v>10527</v>
      </c>
      <c r="N641" s="408">
        <v>432.99599999999998</v>
      </c>
      <c r="O641" s="408">
        <v>432.99599999999998</v>
      </c>
      <c r="P641" s="408">
        <v>432.99599999999998</v>
      </c>
      <c r="Q641" s="408">
        <v>432.99599999999998</v>
      </c>
      <c r="R641" s="408">
        <v>52.95</v>
      </c>
      <c r="S641" s="408">
        <v>85.01</v>
      </c>
      <c r="T641" s="408">
        <v>173.25</v>
      </c>
      <c r="U641" s="408">
        <v>557404.65</v>
      </c>
      <c r="V641" s="408">
        <v>111825.54696000001</v>
      </c>
      <c r="W641" s="408">
        <v>669230.19696000009</v>
      </c>
      <c r="X641" s="408">
        <v>586482.74531999999</v>
      </c>
      <c r="Y641" s="408">
        <v>0</v>
      </c>
      <c r="Z641" s="408">
        <v>23184.471785797268</v>
      </c>
      <c r="AA641" s="408">
        <v>0</v>
      </c>
      <c r="AB641" s="408">
        <v>0</v>
      </c>
      <c r="AC641" s="408">
        <v>8291.7626501431132</v>
      </c>
      <c r="AD641" s="408">
        <v>7966.3257035121687</v>
      </c>
      <c r="AE641" s="408">
        <v>441436.20716106077</v>
      </c>
      <c r="AF641" s="408">
        <v>73756.742401558178</v>
      </c>
      <c r="AG641" s="408">
        <v>1258.8204897902392</v>
      </c>
      <c r="AH641" s="408">
        <v>0</v>
      </c>
      <c r="AI641" s="408">
        <v>0</v>
      </c>
      <c r="AJ641" s="408">
        <v>0</v>
      </c>
      <c r="AK641" s="408">
        <v>0</v>
      </c>
      <c r="AL641" s="408">
        <v>4117.3720739607934</v>
      </c>
      <c r="AM641" s="408"/>
      <c r="AN641" s="408">
        <v>346.74918398080581</v>
      </c>
      <c r="AO641" s="408">
        <v>17601.679641596649</v>
      </c>
      <c r="AP641" s="408">
        <v>82072.965080109527</v>
      </c>
      <c r="AQ641" s="408">
        <v>0</v>
      </c>
      <c r="AR641" s="408">
        <v>0</v>
      </c>
      <c r="AS641" s="408">
        <v>0</v>
      </c>
      <c r="AT641" s="408">
        <v>0</v>
      </c>
      <c r="AU641" s="408">
        <v>0</v>
      </c>
      <c r="AV641" s="408">
        <v>0</v>
      </c>
      <c r="AW641" s="408">
        <v>0</v>
      </c>
      <c r="AX641" s="408">
        <v>0</v>
      </c>
      <c r="AY641" s="408">
        <v>0</v>
      </c>
      <c r="AZ641" s="408">
        <v>0</v>
      </c>
      <c r="BA641" s="408"/>
      <c r="BB641" s="408">
        <v>0</v>
      </c>
      <c r="BC641" s="408">
        <v>0</v>
      </c>
      <c r="BD641" s="408">
        <v>0</v>
      </c>
      <c r="BE641" s="408">
        <v>0</v>
      </c>
      <c r="BF641" s="408">
        <v>0</v>
      </c>
      <c r="BG641" s="408">
        <v>3238.2283858148849</v>
      </c>
      <c r="BH641" s="408">
        <v>0</v>
      </c>
      <c r="BI641" s="408">
        <v>0</v>
      </c>
      <c r="BJ641" s="408">
        <v>0</v>
      </c>
      <c r="BK641" s="408">
        <v>0</v>
      </c>
      <c r="BL641" s="408">
        <v>0</v>
      </c>
      <c r="BM641" s="408"/>
      <c r="BN641" s="408"/>
      <c r="BO641" s="408"/>
      <c r="BP641" s="408"/>
      <c r="BQ641" s="408"/>
      <c r="BR641" s="408"/>
      <c r="BS641" s="408"/>
      <c r="BT641" s="408"/>
      <c r="BU641" s="408"/>
      <c r="BV641" s="408">
        <v>76994.970787373066</v>
      </c>
      <c r="BW641" s="408"/>
      <c r="BX641" s="408"/>
      <c r="BY641" s="408"/>
      <c r="BZ641" s="408"/>
      <c r="CA641" s="408"/>
      <c r="CB641" s="408"/>
      <c r="CC641" s="408"/>
      <c r="CD641" s="408"/>
      <c r="CE641" s="408"/>
      <c r="CF641" s="408"/>
      <c r="CG641" s="408"/>
      <c r="CH641" s="408"/>
      <c r="CI641" s="408">
        <v>586483.86</v>
      </c>
      <c r="CJ641" s="408">
        <v>-82746.36696000013</v>
      </c>
      <c r="CK641" s="408"/>
      <c r="CL641" s="408"/>
      <c r="CM641" s="408"/>
      <c r="CN641" s="408"/>
      <c r="CO641" s="408">
        <v>-92095.835280000028</v>
      </c>
      <c r="CP641" s="408">
        <v>9348.3836400000018</v>
      </c>
      <c r="CQ641" s="408">
        <v>30</v>
      </c>
      <c r="CR641" s="408">
        <v>26971.235116683529</v>
      </c>
      <c r="CS641" s="408">
        <v>1753.9697537047941</v>
      </c>
      <c r="CT641" s="408">
        <v>8178.3955439789861</v>
      </c>
      <c r="CU641" s="408">
        <v>0</v>
      </c>
      <c r="CV641" s="408">
        <v>0</v>
      </c>
      <c r="CW641" s="408">
        <v>0</v>
      </c>
      <c r="CX641" s="408">
        <v>0</v>
      </c>
      <c r="CY641" s="408">
        <v>0</v>
      </c>
      <c r="CZ641" s="408">
        <v>8202.6759357947958</v>
      </c>
      <c r="DA641" s="408">
        <v>0</v>
      </c>
      <c r="DB641" s="408">
        <v>0</v>
      </c>
      <c r="DC641" s="408">
        <v>9347.3281534270645</v>
      </c>
      <c r="DD641" s="408">
        <v>0</v>
      </c>
      <c r="DE641" s="408">
        <v>0</v>
      </c>
      <c r="DF641" s="408">
        <v>0</v>
      </c>
      <c r="DG641" s="408">
        <v>410.38666259363436</v>
      </c>
      <c r="DH641" s="408">
        <v>0</v>
      </c>
      <c r="DI641" s="408">
        <v>-787.27129671964576</v>
      </c>
      <c r="DJ641" s="408"/>
      <c r="DK641" s="408">
        <v>0</v>
      </c>
      <c r="DL641" s="408">
        <v>0</v>
      </c>
      <c r="DM641" s="408">
        <v>0</v>
      </c>
      <c r="DN641" s="408">
        <v>0</v>
      </c>
      <c r="DO641" s="408">
        <v>-124.43960587397942</v>
      </c>
      <c r="DP641" s="408">
        <v>-9.8100302220744879</v>
      </c>
      <c r="DQ641" s="408">
        <v>0</v>
      </c>
      <c r="DR641" s="408">
        <v>0</v>
      </c>
      <c r="DS641" s="408"/>
      <c r="DT641" s="408"/>
      <c r="DU641" s="408">
        <v>441436.20716106077</v>
      </c>
      <c r="DV641" s="408">
        <v>0</v>
      </c>
      <c r="DW641" s="408">
        <v>0</v>
      </c>
      <c r="DX641" s="408">
        <v>0</v>
      </c>
      <c r="DY641" s="408">
        <v>-92095.835280000058</v>
      </c>
      <c r="DZ641" s="408">
        <v>9348.38364</v>
      </c>
      <c r="EA641" s="408">
        <v>0</v>
      </c>
      <c r="EB641" s="408">
        <v>0</v>
      </c>
      <c r="EC641" s="408">
        <v>-109660.24174966081</v>
      </c>
      <c r="ED641" s="408">
        <v>0</v>
      </c>
      <c r="EE641" s="408">
        <v>0</v>
      </c>
      <c r="EF641" s="408">
        <v>0</v>
      </c>
      <c r="EG641" s="408">
        <v>0</v>
      </c>
      <c r="EH641" s="408">
        <v>0</v>
      </c>
      <c r="EI641" s="408">
        <v>0</v>
      </c>
      <c r="EJ641" s="408">
        <v>0</v>
      </c>
      <c r="EK641" s="408">
        <v>0</v>
      </c>
      <c r="EL641" s="408">
        <v>0</v>
      </c>
      <c r="EM641" s="408">
        <v>0</v>
      </c>
      <c r="EN641" s="408">
        <v>0</v>
      </c>
      <c r="EO641" s="408">
        <v>0</v>
      </c>
      <c r="EP641" s="408">
        <v>5920.9005973626981</v>
      </c>
      <c r="EQ641" s="408">
        <v>0</v>
      </c>
      <c r="ER641" s="408">
        <v>0</v>
      </c>
      <c r="ES641" s="408">
        <v>0</v>
      </c>
      <c r="ET641" s="408">
        <v>0</v>
      </c>
      <c r="EU641" s="408">
        <v>0</v>
      </c>
      <c r="EV641" s="408">
        <v>240</v>
      </c>
      <c r="EW641" s="408">
        <v>0</v>
      </c>
      <c r="EX641" s="408">
        <v>0</v>
      </c>
      <c r="EY641" s="408">
        <v>0</v>
      </c>
      <c r="EZ641" s="408"/>
      <c r="FA641" s="408">
        <v>0</v>
      </c>
      <c r="FB641" s="408"/>
      <c r="FC641" s="408"/>
      <c r="FD641" s="408"/>
      <c r="FE641" s="408"/>
      <c r="FF641" s="408">
        <v>0</v>
      </c>
      <c r="FG641" s="408">
        <v>0</v>
      </c>
      <c r="FH641" s="408">
        <v>0</v>
      </c>
      <c r="FI641" s="408">
        <v>0</v>
      </c>
    </row>
    <row r="642" spans="1:165">
      <c r="A642" s="408">
        <v>640</v>
      </c>
      <c r="B642" s="408" t="s">
        <v>1036</v>
      </c>
      <c r="C642" s="408" t="s">
        <v>2247</v>
      </c>
      <c r="D642" s="408" t="s">
        <v>597</v>
      </c>
      <c r="E642" s="408" t="s">
        <v>970</v>
      </c>
      <c r="F642" s="408" t="s">
        <v>1322</v>
      </c>
      <c r="G642" s="408" t="s">
        <v>1322</v>
      </c>
      <c r="H642" s="408" t="s">
        <v>1322</v>
      </c>
      <c r="I642" s="408" t="s">
        <v>2244</v>
      </c>
      <c r="J642" s="408" t="s">
        <v>2236</v>
      </c>
      <c r="K642" s="826">
        <v>44652</v>
      </c>
      <c r="L642" s="408">
        <v>11216</v>
      </c>
      <c r="M642" s="408">
        <v>11216</v>
      </c>
      <c r="N642" s="408">
        <v>4075.2759999999998</v>
      </c>
      <c r="O642" s="408">
        <v>4075.2759999999998</v>
      </c>
      <c r="P642" s="408">
        <v>4075.2759999999998</v>
      </c>
      <c r="Q642" s="408">
        <v>4075.2759999999998</v>
      </c>
      <c r="R642" s="408">
        <v>27.19</v>
      </c>
      <c r="S642" s="408">
        <v>85.01</v>
      </c>
      <c r="T642" s="408">
        <v>173.25</v>
      </c>
      <c r="U642" s="408">
        <v>304963.04000000004</v>
      </c>
      <c r="V642" s="408">
        <v>1052480.7797599998</v>
      </c>
      <c r="W642" s="408">
        <v>1357443.8197599999</v>
      </c>
      <c r="X642" s="408">
        <v>1379717.3229199999</v>
      </c>
      <c r="Y642" s="408">
        <v>0</v>
      </c>
      <c r="Z642" s="408">
        <v>218207.83896695756</v>
      </c>
      <c r="AA642" s="408">
        <v>0</v>
      </c>
      <c r="AB642" s="408">
        <v>0</v>
      </c>
      <c r="AC642" s="408">
        <v>2615.5780802035579</v>
      </c>
      <c r="AD642" s="408">
        <v>2512.7747583786759</v>
      </c>
      <c r="AE642" s="408">
        <v>268421.65120727691</v>
      </c>
      <c r="AF642" s="408">
        <v>694184.43160503195</v>
      </c>
      <c r="AG642" s="408">
        <v>11847.779033410023</v>
      </c>
      <c r="AH642" s="408">
        <v>0</v>
      </c>
      <c r="AI642" s="408">
        <v>0</v>
      </c>
      <c r="AJ642" s="408">
        <v>0</v>
      </c>
      <c r="AK642" s="408">
        <v>0</v>
      </c>
      <c r="AL642" s="408">
        <v>38751.922872457588</v>
      </c>
      <c r="AM642" s="408"/>
      <c r="AN642" s="408">
        <v>3263.5373710070357</v>
      </c>
      <c r="AO642" s="408">
        <v>5550.6282655106443</v>
      </c>
      <c r="AP642" s="408">
        <v>25887.524463216872</v>
      </c>
      <c r="AQ642" s="408">
        <v>0</v>
      </c>
      <c r="AR642" s="408">
        <v>0</v>
      </c>
      <c r="AS642" s="408">
        <v>0</v>
      </c>
      <c r="AT642" s="408">
        <v>0</v>
      </c>
      <c r="AU642" s="408">
        <v>0</v>
      </c>
      <c r="AV642" s="408">
        <v>0</v>
      </c>
      <c r="AW642" s="408">
        <v>0</v>
      </c>
      <c r="AX642" s="408">
        <v>0</v>
      </c>
      <c r="AY642" s="408">
        <v>0</v>
      </c>
      <c r="AZ642" s="408">
        <v>0</v>
      </c>
      <c r="BA642" s="408"/>
      <c r="BB642" s="408">
        <v>0</v>
      </c>
      <c r="BC642" s="408">
        <v>0</v>
      </c>
      <c r="BD642" s="408">
        <v>0</v>
      </c>
      <c r="BE642" s="408">
        <v>0</v>
      </c>
      <c r="BF642" s="408">
        <v>0</v>
      </c>
      <c r="BG642" s="408">
        <v>30477.589684962772</v>
      </c>
      <c r="BH642" s="408">
        <v>0</v>
      </c>
      <c r="BI642" s="408">
        <v>0</v>
      </c>
      <c r="BJ642" s="408">
        <v>0</v>
      </c>
      <c r="BK642" s="408">
        <v>0</v>
      </c>
      <c r="BL642" s="408">
        <v>0</v>
      </c>
      <c r="BM642" s="408"/>
      <c r="BN642" s="408"/>
      <c r="BO642" s="408"/>
      <c r="BP642" s="408"/>
      <c r="BQ642" s="408"/>
      <c r="BR642" s="408"/>
      <c r="BS642" s="408"/>
      <c r="BT642" s="408"/>
      <c r="BU642" s="408"/>
      <c r="BV642" s="408">
        <v>724662.02128999471</v>
      </c>
      <c r="BW642" s="408"/>
      <c r="BX642" s="408"/>
      <c r="BY642" s="408"/>
      <c r="BZ642" s="408"/>
      <c r="CA642" s="408"/>
      <c r="CB642" s="408"/>
      <c r="CC642" s="408"/>
      <c r="CD642" s="408"/>
      <c r="CE642" s="408"/>
      <c r="CF642" s="408"/>
      <c r="CG642" s="408"/>
      <c r="CH642" s="408"/>
      <c r="CI642" s="408">
        <v>1379718.4376000001</v>
      </c>
      <c r="CJ642" s="408">
        <v>22274.587840000167</v>
      </c>
      <c r="CK642" s="408"/>
      <c r="CL642" s="408"/>
      <c r="CM642" s="408"/>
      <c r="CN642" s="408"/>
      <c r="CO642" s="408">
        <v>-65711.705680000028</v>
      </c>
      <c r="CP642" s="408">
        <v>87985.208840000007</v>
      </c>
      <c r="CQ642" s="408">
        <v>30</v>
      </c>
      <c r="CR642" s="408">
        <v>88884.646410931135</v>
      </c>
      <c r="CS642" s="408">
        <v>553.10824250868154</v>
      </c>
      <c r="CT642" s="408">
        <v>2579.6364796613198</v>
      </c>
      <c r="CU642" s="408">
        <v>0</v>
      </c>
      <c r="CV642" s="408">
        <v>0</v>
      </c>
      <c r="CW642" s="408">
        <v>0</v>
      </c>
      <c r="CX642" s="408">
        <v>0</v>
      </c>
      <c r="CY642" s="408">
        <v>0</v>
      </c>
      <c r="CZ642" s="408">
        <v>2587.3254257653898</v>
      </c>
      <c r="DA642" s="408">
        <v>0</v>
      </c>
      <c r="DB642" s="408">
        <v>0</v>
      </c>
      <c r="DC642" s="408">
        <v>87975.274801119696</v>
      </c>
      <c r="DD642" s="408">
        <v>0</v>
      </c>
      <c r="DE642" s="408">
        <v>0</v>
      </c>
      <c r="DF642" s="408">
        <v>0</v>
      </c>
      <c r="DG642" s="408">
        <v>3862.4812164267969</v>
      </c>
      <c r="DH642" s="408">
        <v>0</v>
      </c>
      <c r="DI642" s="408">
        <v>-7409.6477127050748</v>
      </c>
      <c r="DJ642" s="408"/>
      <c r="DK642" s="408">
        <v>0</v>
      </c>
      <c r="DL642" s="408">
        <v>0</v>
      </c>
      <c r="DM642" s="408">
        <v>0</v>
      </c>
      <c r="DN642" s="408">
        <v>0</v>
      </c>
      <c r="DO642" s="408">
        <v>-1171.2019031762102</v>
      </c>
      <c r="DP642" s="408">
        <v>-92.330138669398366</v>
      </c>
      <c r="DQ642" s="408">
        <v>0</v>
      </c>
      <c r="DR642" s="408">
        <v>0</v>
      </c>
      <c r="DS642" s="408"/>
      <c r="DT642" s="408"/>
      <c r="DU642" s="408">
        <v>268421.65120727691</v>
      </c>
      <c r="DV642" s="408">
        <v>0</v>
      </c>
      <c r="DW642" s="408">
        <v>0</v>
      </c>
      <c r="DX642" s="408">
        <v>0</v>
      </c>
      <c r="DY642" s="408">
        <v>-65711.70568000013</v>
      </c>
      <c r="DZ642" s="408">
        <v>87985.208840000094</v>
      </c>
      <c r="EA642" s="408">
        <v>0</v>
      </c>
      <c r="EB642" s="408">
        <v>0</v>
      </c>
      <c r="EC642" s="408">
        <v>-66680.491279895272</v>
      </c>
      <c r="ED642" s="408">
        <v>0</v>
      </c>
      <c r="EE642" s="408">
        <v>0</v>
      </c>
      <c r="EF642" s="408">
        <v>0</v>
      </c>
      <c r="EG642" s="408">
        <v>0</v>
      </c>
      <c r="EH642" s="408">
        <v>0</v>
      </c>
      <c r="EI642" s="408">
        <v>0</v>
      </c>
      <c r="EJ642" s="408">
        <v>0</v>
      </c>
      <c r="EK642" s="408">
        <v>0</v>
      </c>
      <c r="EL642" s="408">
        <v>0</v>
      </c>
      <c r="EM642" s="408">
        <v>0</v>
      </c>
      <c r="EN642" s="408">
        <v>0</v>
      </c>
      <c r="EO642" s="408">
        <v>0</v>
      </c>
      <c r="EP642" s="408">
        <v>55726.390319582322</v>
      </c>
      <c r="EQ642" s="408">
        <v>0</v>
      </c>
      <c r="ER642" s="408">
        <v>0</v>
      </c>
      <c r="ES642" s="408">
        <v>0</v>
      </c>
      <c r="ET642" s="408">
        <v>0</v>
      </c>
      <c r="EU642" s="408">
        <v>0</v>
      </c>
      <c r="EV642" s="408">
        <v>240</v>
      </c>
      <c r="EW642" s="408">
        <v>0</v>
      </c>
      <c r="EX642" s="408">
        <v>0</v>
      </c>
      <c r="EY642" s="408">
        <v>0</v>
      </c>
      <c r="EZ642" s="408"/>
      <c r="FA642" s="408">
        <v>0</v>
      </c>
      <c r="FB642" s="408"/>
      <c r="FC642" s="408"/>
      <c r="FD642" s="408"/>
      <c r="FE642" s="408"/>
      <c r="FF642" s="408">
        <v>0</v>
      </c>
      <c r="FG642" s="408">
        <v>0</v>
      </c>
      <c r="FH642" s="408">
        <v>0</v>
      </c>
      <c r="FI642" s="408">
        <v>0</v>
      </c>
    </row>
    <row r="643" spans="1:165">
      <c r="A643" s="408">
        <v>641</v>
      </c>
      <c r="B643" s="408" t="s">
        <v>1036</v>
      </c>
      <c r="C643" s="408" t="s">
        <v>2247</v>
      </c>
      <c r="D643" s="408" t="s">
        <v>597</v>
      </c>
      <c r="E643" s="408" t="s">
        <v>970</v>
      </c>
      <c r="F643" s="408" t="s">
        <v>1322</v>
      </c>
      <c r="G643" s="408" t="s">
        <v>1322</v>
      </c>
      <c r="H643" s="408" t="s">
        <v>1322</v>
      </c>
      <c r="I643" s="408" t="s">
        <v>1322</v>
      </c>
      <c r="J643" s="408" t="s">
        <v>2236</v>
      </c>
      <c r="K643" s="826">
        <v>44652</v>
      </c>
      <c r="L643" s="408">
        <v>0</v>
      </c>
      <c r="M643" s="408">
        <v>0</v>
      </c>
      <c r="N643" s="408">
        <v>0</v>
      </c>
      <c r="O643" s="408">
        <v>0</v>
      </c>
      <c r="P643" s="408">
        <v>0</v>
      </c>
      <c r="Q643" s="408">
        <v>0</v>
      </c>
      <c r="R643" s="408"/>
      <c r="S643" s="408"/>
      <c r="T643" s="408"/>
      <c r="U643" s="408"/>
      <c r="V643" s="408"/>
      <c r="W643" s="408"/>
      <c r="X643" s="408"/>
      <c r="Y643" s="408"/>
      <c r="Z643" s="408"/>
      <c r="AA643" s="408">
        <v>0</v>
      </c>
      <c r="AB643" s="408"/>
      <c r="AC643" s="408"/>
      <c r="AD643" s="408"/>
      <c r="AE643" s="408"/>
      <c r="AF643" s="408"/>
      <c r="AG643" s="408"/>
      <c r="AH643" s="408"/>
      <c r="AI643" s="408"/>
      <c r="AJ643" s="408"/>
      <c r="AK643" s="408"/>
      <c r="AL643" s="408"/>
      <c r="AM643" s="408"/>
      <c r="AN643" s="408"/>
      <c r="AO643" s="408"/>
      <c r="AP643" s="408"/>
      <c r="AQ643" s="408"/>
      <c r="AR643" s="408"/>
      <c r="AS643" s="408"/>
      <c r="AT643" s="408"/>
      <c r="AU643" s="408"/>
      <c r="AV643" s="408"/>
      <c r="AW643" s="408"/>
      <c r="AX643" s="408"/>
      <c r="AY643" s="408"/>
      <c r="AZ643" s="408">
        <v>0</v>
      </c>
      <c r="BA643" s="408"/>
      <c r="BB643" s="408"/>
      <c r="BC643" s="408"/>
      <c r="BD643" s="408"/>
      <c r="BE643" s="408"/>
      <c r="BF643" s="408"/>
      <c r="BG643" s="408"/>
      <c r="BH643" s="408"/>
      <c r="BI643" s="408">
        <v>1620.23</v>
      </c>
      <c r="BJ643" s="408">
        <v>17360.03</v>
      </c>
      <c r="BK643" s="408">
        <v>459159.07</v>
      </c>
      <c r="BL643" s="408">
        <v>5</v>
      </c>
      <c r="BM643" s="408"/>
      <c r="BN643" s="408"/>
      <c r="BO643" s="408"/>
      <c r="BP643" s="408"/>
      <c r="BQ643" s="408"/>
      <c r="BR643" s="408"/>
      <c r="BS643" s="408"/>
      <c r="BT643" s="408"/>
      <c r="BU643" s="408"/>
      <c r="BV643" s="408"/>
      <c r="BW643" s="408"/>
      <c r="BX643" s="408"/>
      <c r="BY643" s="408"/>
      <c r="BZ643" s="408"/>
      <c r="CA643" s="408"/>
      <c r="CB643" s="408"/>
      <c r="CC643" s="408"/>
      <c r="CD643" s="408"/>
      <c r="CE643" s="408"/>
      <c r="CF643" s="408"/>
      <c r="CG643" s="408"/>
      <c r="CH643" s="408"/>
      <c r="CI643" s="408"/>
      <c r="CJ643" s="408">
        <v>-0.03</v>
      </c>
      <c r="CK643" s="408"/>
      <c r="CL643" s="408"/>
      <c r="CM643" s="408"/>
      <c r="CN643" s="408"/>
      <c r="CO643" s="408">
        <v>0</v>
      </c>
      <c r="CP643" s="408">
        <v>0</v>
      </c>
      <c r="CQ643" s="408">
        <v>30</v>
      </c>
      <c r="CR643" s="408"/>
      <c r="CS643" s="408"/>
      <c r="CT643" s="408"/>
      <c r="CU643" s="408"/>
      <c r="CV643" s="408"/>
      <c r="CW643" s="408"/>
      <c r="CX643" s="408"/>
      <c r="CY643" s="408"/>
      <c r="CZ643" s="408"/>
      <c r="DA643" s="408"/>
      <c r="DB643" s="408"/>
      <c r="DC643" s="408"/>
      <c r="DD643" s="408"/>
      <c r="DE643" s="408"/>
      <c r="DF643" s="408"/>
      <c r="DG643" s="408"/>
      <c r="DH643" s="408"/>
      <c r="DI643" s="408"/>
      <c r="DJ643" s="408"/>
      <c r="DK643" s="408">
        <v>0</v>
      </c>
      <c r="DL643" s="408"/>
      <c r="DM643" s="408"/>
      <c r="DN643" s="408"/>
      <c r="DO643" s="408"/>
      <c r="DP643" s="408"/>
      <c r="DQ643" s="408"/>
      <c r="DR643" s="408"/>
      <c r="DS643" s="408"/>
      <c r="DT643" s="408"/>
      <c r="DU643" s="408"/>
      <c r="DV643" s="408"/>
      <c r="DW643" s="408"/>
      <c r="DX643" s="408"/>
      <c r="DY643" s="408"/>
      <c r="DZ643" s="408"/>
      <c r="EA643" s="408"/>
      <c r="EB643" s="408"/>
      <c r="EC643" s="408"/>
      <c r="ED643" s="408"/>
      <c r="EE643" s="408"/>
      <c r="EF643" s="408"/>
      <c r="EG643" s="408"/>
      <c r="EH643" s="408"/>
      <c r="EI643" s="408"/>
      <c r="EJ643" s="408"/>
      <c r="EK643" s="408"/>
      <c r="EL643" s="408"/>
      <c r="EM643" s="408"/>
      <c r="EN643" s="408"/>
      <c r="EO643" s="408"/>
      <c r="EP643" s="408"/>
      <c r="EQ643" s="408"/>
      <c r="ER643" s="408"/>
      <c r="ES643" s="408"/>
      <c r="ET643" s="408"/>
      <c r="EU643" s="408"/>
      <c r="EV643" s="408">
        <v>240</v>
      </c>
      <c r="EW643" s="408"/>
      <c r="EX643" s="408"/>
      <c r="EY643" s="408"/>
      <c r="EZ643" s="408"/>
      <c r="FA643" s="408">
        <v>0</v>
      </c>
      <c r="FB643" s="408"/>
      <c r="FC643" s="408"/>
      <c r="FD643" s="408"/>
      <c r="FE643" s="408"/>
      <c r="FF643" s="408">
        <v>0</v>
      </c>
      <c r="FG643" s="408">
        <v>0</v>
      </c>
      <c r="FH643" s="408">
        <v>0</v>
      </c>
      <c r="FI643" s="408">
        <v>0</v>
      </c>
    </row>
    <row r="644" spans="1:165">
      <c r="A644" s="408">
        <v>642</v>
      </c>
      <c r="B644" s="408" t="s">
        <v>1036</v>
      </c>
      <c r="C644" s="408" t="s">
        <v>2243</v>
      </c>
      <c r="D644" s="408" t="s">
        <v>597</v>
      </c>
      <c r="E644" s="408" t="s">
        <v>970</v>
      </c>
      <c r="F644" s="408" t="s">
        <v>1322</v>
      </c>
      <c r="G644" s="408" t="s">
        <v>1322</v>
      </c>
      <c r="H644" s="408" t="s">
        <v>1322</v>
      </c>
      <c r="I644" s="408" t="s">
        <v>973</v>
      </c>
      <c r="J644" s="408" t="s">
        <v>2236</v>
      </c>
      <c r="K644" s="826">
        <v>44652</v>
      </c>
      <c r="L644" s="408">
        <v>0</v>
      </c>
      <c r="M644" s="408">
        <v>0</v>
      </c>
      <c r="N644" s="408">
        <v>158.399</v>
      </c>
      <c r="O644" s="408">
        <v>158.399</v>
      </c>
      <c r="P644" s="408">
        <v>158.399</v>
      </c>
      <c r="Q644" s="408">
        <v>158.399</v>
      </c>
      <c r="R644" s="408"/>
      <c r="S644" s="408">
        <v>1358.36</v>
      </c>
      <c r="T644" s="408">
        <v>173.25</v>
      </c>
      <c r="U644" s="408"/>
      <c r="V644" s="408">
        <v>242605.49238999997</v>
      </c>
      <c r="W644" s="408">
        <v>242605.49238999997</v>
      </c>
      <c r="X644" s="408">
        <v>212717.18508</v>
      </c>
      <c r="Y644" s="408">
        <v>0</v>
      </c>
      <c r="Z644" s="408">
        <v>8481.3650620294447</v>
      </c>
      <c r="AA644" s="408">
        <v>0</v>
      </c>
      <c r="AB644" s="408">
        <v>0</v>
      </c>
      <c r="AC644" s="408">
        <v>3000.4078502607726</v>
      </c>
      <c r="AD644" s="408">
        <v>2882.7280311835539</v>
      </c>
      <c r="AE644" s="408">
        <v>159746.61383346023</v>
      </c>
      <c r="AF644" s="408">
        <v>26981.760200242996</v>
      </c>
      <c r="AG644" s="408">
        <v>460.50288400420351</v>
      </c>
      <c r="AH644" s="408">
        <v>0</v>
      </c>
      <c r="AI644" s="408">
        <v>0</v>
      </c>
      <c r="AJ644" s="408">
        <v>0</v>
      </c>
      <c r="AK644" s="408">
        <v>0</v>
      </c>
      <c r="AL644" s="408">
        <v>1506.2208868980676</v>
      </c>
      <c r="AM644" s="408"/>
      <c r="AN644" s="408">
        <v>126.84810943605868</v>
      </c>
      <c r="AO644" s="408">
        <v>6369.3540246107832</v>
      </c>
      <c r="AP644" s="408">
        <v>29699.194930577814</v>
      </c>
      <c r="AQ644" s="408">
        <v>0</v>
      </c>
      <c r="AR644" s="408">
        <v>0</v>
      </c>
      <c r="AS644" s="408">
        <v>0</v>
      </c>
      <c r="AT644" s="408">
        <v>0</v>
      </c>
      <c r="AU644" s="408">
        <v>0</v>
      </c>
      <c r="AV644" s="408">
        <v>0</v>
      </c>
      <c r="AW644" s="408">
        <v>0</v>
      </c>
      <c r="AX644" s="408">
        <v>0</v>
      </c>
      <c r="AY644" s="408">
        <v>0</v>
      </c>
      <c r="AZ644" s="408">
        <v>0</v>
      </c>
      <c r="BA644" s="408"/>
      <c r="BB644" s="408">
        <v>0</v>
      </c>
      <c r="BC644" s="408">
        <v>0</v>
      </c>
      <c r="BD644" s="408">
        <v>0</v>
      </c>
      <c r="BE644" s="408">
        <v>0</v>
      </c>
      <c r="BF644" s="408">
        <v>0</v>
      </c>
      <c r="BG644" s="408">
        <v>1184.611724091428</v>
      </c>
      <c r="BH644" s="408">
        <v>0</v>
      </c>
      <c r="BI644" s="408">
        <v>0</v>
      </c>
      <c r="BJ644" s="408">
        <v>0</v>
      </c>
      <c r="BK644" s="408">
        <v>0</v>
      </c>
      <c r="BL644" s="408">
        <v>0</v>
      </c>
      <c r="BM644" s="408"/>
      <c r="BN644" s="408"/>
      <c r="BO644" s="408"/>
      <c r="BP644" s="408"/>
      <c r="BQ644" s="408"/>
      <c r="BR644" s="408"/>
      <c r="BS644" s="408"/>
      <c r="BT644" s="408"/>
      <c r="BU644" s="408"/>
      <c r="BV644" s="408">
        <v>28166.371924334424</v>
      </c>
      <c r="BW644" s="408"/>
      <c r="BX644" s="408"/>
      <c r="BY644" s="408"/>
      <c r="BZ644" s="408"/>
      <c r="CA644" s="408"/>
      <c r="CB644" s="408"/>
      <c r="CC644" s="408"/>
      <c r="CD644" s="408"/>
      <c r="CE644" s="408"/>
      <c r="CF644" s="408"/>
      <c r="CG644" s="408"/>
      <c r="CH644" s="408"/>
      <c r="CI644" s="408">
        <v>212718.52799999999</v>
      </c>
      <c r="CJ644" s="408">
        <v>-29886.994390000007</v>
      </c>
      <c r="CK644" s="408"/>
      <c r="CL644" s="408"/>
      <c r="CM644" s="408"/>
      <c r="CN644" s="408"/>
      <c r="CO644" s="408">
        <v>-33308.141719999992</v>
      </c>
      <c r="CP644" s="408">
        <v>3419.8344100000004</v>
      </c>
      <c r="CQ644" s="408">
        <v>30</v>
      </c>
      <c r="CR644" s="408">
        <v>9794.8732025910722</v>
      </c>
      <c r="CS644" s="408">
        <v>634.69251442366749</v>
      </c>
      <c r="CT644" s="408">
        <v>2959.461294506953</v>
      </c>
      <c r="CU644" s="408">
        <v>0</v>
      </c>
      <c r="CV644" s="408">
        <v>0</v>
      </c>
      <c r="CW644" s="408">
        <v>0</v>
      </c>
      <c r="CX644" s="408">
        <v>0</v>
      </c>
      <c r="CY644" s="408">
        <v>0</v>
      </c>
      <c r="CZ644" s="408">
        <v>2968.2547175299942</v>
      </c>
      <c r="DA644" s="408">
        <v>0</v>
      </c>
      <c r="DB644" s="408">
        <v>0</v>
      </c>
      <c r="DC644" s="408">
        <v>3419.4482909188337</v>
      </c>
      <c r="DD644" s="408">
        <v>0</v>
      </c>
      <c r="DE644" s="408">
        <v>0</v>
      </c>
      <c r="DF644" s="408">
        <v>0</v>
      </c>
      <c r="DG644" s="408">
        <v>150.1280311323178</v>
      </c>
      <c r="DH644" s="408">
        <v>0</v>
      </c>
      <c r="DI644" s="408">
        <v>-288.00031900778413</v>
      </c>
      <c r="DJ644" s="408"/>
      <c r="DK644" s="408">
        <v>0</v>
      </c>
      <c r="DL644" s="408">
        <v>0</v>
      </c>
      <c r="DM644" s="408">
        <v>0</v>
      </c>
      <c r="DN644" s="408">
        <v>0</v>
      </c>
      <c r="DO644" s="408">
        <v>-45.522612520283019</v>
      </c>
      <c r="DP644" s="408">
        <v>-3.5887143926188116</v>
      </c>
      <c r="DQ644" s="408">
        <v>0</v>
      </c>
      <c r="DR644" s="408">
        <v>0</v>
      </c>
      <c r="DS644" s="408"/>
      <c r="DT644" s="408"/>
      <c r="DU644" s="408"/>
      <c r="DV644" s="408">
        <v>159746.61383346023</v>
      </c>
      <c r="DW644" s="408">
        <v>0</v>
      </c>
      <c r="DX644" s="408">
        <v>0</v>
      </c>
      <c r="DY644" s="408">
        <v>-33308.141719999985</v>
      </c>
      <c r="DZ644" s="408">
        <v>3419.8344099999995</v>
      </c>
      <c r="EA644" s="408">
        <v>0</v>
      </c>
      <c r="EB644" s="408">
        <v>0</v>
      </c>
      <c r="EC644" s="408">
        <v>-39683.7685887322</v>
      </c>
      <c r="ED644" s="408">
        <v>0</v>
      </c>
      <c r="EE644" s="408">
        <v>0</v>
      </c>
      <c r="EF644" s="408">
        <v>0</v>
      </c>
      <c r="EG644" s="408">
        <v>0</v>
      </c>
      <c r="EH644" s="408">
        <v>0</v>
      </c>
      <c r="EI644" s="408">
        <v>0</v>
      </c>
      <c r="EJ644" s="408">
        <v>0</v>
      </c>
      <c r="EK644" s="408">
        <v>0</v>
      </c>
      <c r="EL644" s="408">
        <v>0</v>
      </c>
      <c r="EM644" s="408">
        <v>0</v>
      </c>
      <c r="EN644" s="408">
        <v>0</v>
      </c>
      <c r="EO644" s="408">
        <v>0</v>
      </c>
      <c r="EP644" s="408">
        <v>2165.9893710834608</v>
      </c>
      <c r="EQ644" s="408">
        <v>0</v>
      </c>
      <c r="ER644" s="408">
        <v>0</v>
      </c>
      <c r="ES644" s="408">
        <v>0</v>
      </c>
      <c r="ET644" s="408">
        <v>0</v>
      </c>
      <c r="EU644" s="408">
        <v>0</v>
      </c>
      <c r="EV644" s="408">
        <v>240</v>
      </c>
      <c r="EW644" s="408">
        <v>0</v>
      </c>
      <c r="EX644" s="408">
        <v>0</v>
      </c>
      <c r="EY644" s="408">
        <v>0</v>
      </c>
      <c r="EZ644" s="408"/>
      <c r="FA644" s="408">
        <v>0</v>
      </c>
      <c r="FB644" s="408"/>
      <c r="FC644" s="408"/>
      <c r="FD644" s="408"/>
      <c r="FE644" s="408"/>
      <c r="FF644" s="408">
        <v>0</v>
      </c>
      <c r="FG644" s="408">
        <v>0</v>
      </c>
      <c r="FH644" s="408">
        <v>0</v>
      </c>
      <c r="FI644" s="408">
        <v>0</v>
      </c>
    </row>
    <row r="645" spans="1:165">
      <c r="A645" s="408">
        <v>643</v>
      </c>
      <c r="B645" s="408" t="s">
        <v>2238</v>
      </c>
      <c r="C645" s="408" t="s">
        <v>2243</v>
      </c>
      <c r="D645" s="408" t="s">
        <v>597</v>
      </c>
      <c r="E645" s="408" t="s">
        <v>970</v>
      </c>
      <c r="F645" s="408" t="s">
        <v>1322</v>
      </c>
      <c r="G645" s="408" t="s">
        <v>1322</v>
      </c>
      <c r="H645" s="408" t="s">
        <v>1322</v>
      </c>
      <c r="I645" s="408" t="s">
        <v>973</v>
      </c>
      <c r="J645" s="408" t="s">
        <v>2236</v>
      </c>
      <c r="K645" s="826">
        <v>44652</v>
      </c>
      <c r="L645" s="408">
        <v>0</v>
      </c>
      <c r="M645" s="408">
        <v>0</v>
      </c>
      <c r="N645" s="408">
        <v>1.7470000000000001</v>
      </c>
      <c r="O645" s="408">
        <v>1.7470000000000001</v>
      </c>
      <c r="P645" s="408">
        <v>1.7470000000000001</v>
      </c>
      <c r="Q645" s="408">
        <v>1.7470000000000001</v>
      </c>
      <c r="R645" s="408"/>
      <c r="S645" s="408">
        <v>1358.36</v>
      </c>
      <c r="T645" s="408">
        <v>173.25</v>
      </c>
      <c r="U645" s="408"/>
      <c r="V645" s="408">
        <v>2675.7226700000001</v>
      </c>
      <c r="W645" s="408">
        <v>2675.7226700000001</v>
      </c>
      <c r="X645" s="408">
        <v>2346.08124</v>
      </c>
      <c r="Y645" s="408">
        <v>0</v>
      </c>
      <c r="Z645" s="408">
        <v>93.541908492890997</v>
      </c>
      <c r="AA645" s="408">
        <v>0</v>
      </c>
      <c r="AB645" s="408">
        <v>0</v>
      </c>
      <c r="AC645" s="408">
        <v>33.091828322183666</v>
      </c>
      <c r="AD645" s="408">
        <v>31.793924649004531</v>
      </c>
      <c r="AE645" s="408">
        <v>1761.862981250229</v>
      </c>
      <c r="AF645" s="408">
        <v>297.58480211254181</v>
      </c>
      <c r="AG645" s="408">
        <v>5.0789369778555642</v>
      </c>
      <c r="AH645" s="408">
        <v>0</v>
      </c>
      <c r="AI645" s="408">
        <v>0</v>
      </c>
      <c r="AJ645" s="408">
        <v>0</v>
      </c>
      <c r="AK645" s="408">
        <v>0</v>
      </c>
      <c r="AL645" s="408">
        <v>16.612275894487492</v>
      </c>
      <c r="AM645" s="408"/>
      <c r="AN645" s="408">
        <v>1.3990217563544878</v>
      </c>
      <c r="AO645" s="408">
        <v>70.248306371852337</v>
      </c>
      <c r="AP645" s="408">
        <v>327.55568875889014</v>
      </c>
      <c r="AQ645" s="408">
        <v>0</v>
      </c>
      <c r="AR645" s="408">
        <v>0</v>
      </c>
      <c r="AS645" s="408">
        <v>0</v>
      </c>
      <c r="AT645" s="408">
        <v>0</v>
      </c>
      <c r="AU645" s="408">
        <v>0</v>
      </c>
      <c r="AV645" s="408">
        <v>0</v>
      </c>
      <c r="AW645" s="408">
        <v>0</v>
      </c>
      <c r="AX645" s="408">
        <v>0</v>
      </c>
      <c r="AY645" s="408">
        <v>0</v>
      </c>
      <c r="AZ645" s="408">
        <v>0</v>
      </c>
      <c r="BA645" s="408"/>
      <c r="BB645" s="408">
        <v>0</v>
      </c>
      <c r="BC645" s="408">
        <v>0</v>
      </c>
      <c r="BD645" s="408">
        <v>0</v>
      </c>
      <c r="BE645" s="408">
        <v>0</v>
      </c>
      <c r="BF645" s="408">
        <v>0</v>
      </c>
      <c r="BG645" s="408">
        <v>13.065213050509945</v>
      </c>
      <c r="BH645" s="408">
        <v>0</v>
      </c>
      <c r="BI645" s="408">
        <v>0</v>
      </c>
      <c r="BJ645" s="408">
        <v>0</v>
      </c>
      <c r="BK645" s="408">
        <v>0</v>
      </c>
      <c r="BL645" s="408">
        <v>0</v>
      </c>
      <c r="BM645" s="408"/>
      <c r="BN645" s="408"/>
      <c r="BO645" s="408"/>
      <c r="BP645" s="408"/>
      <c r="BQ645" s="408"/>
      <c r="BR645" s="408"/>
      <c r="BS645" s="408"/>
      <c r="BT645" s="408"/>
      <c r="BU645" s="408"/>
      <c r="BV645" s="408">
        <v>310.65001516305176</v>
      </c>
      <c r="BW645" s="408"/>
      <c r="BX645" s="408"/>
      <c r="BY645" s="408"/>
      <c r="BZ645" s="408"/>
      <c r="CA645" s="408"/>
      <c r="CB645" s="408"/>
      <c r="CC645" s="408"/>
      <c r="CD645" s="408"/>
      <c r="CE645" s="408"/>
      <c r="CF645" s="408"/>
      <c r="CG645" s="408"/>
      <c r="CH645" s="408"/>
      <c r="CI645" s="408">
        <v>2350.1099999999997</v>
      </c>
      <c r="CJ645" s="408">
        <v>-325.64267000000109</v>
      </c>
      <c r="CK645" s="408"/>
      <c r="CL645" s="408"/>
      <c r="CM645" s="408"/>
      <c r="CN645" s="408"/>
      <c r="CO645" s="408">
        <v>-367.35915999999997</v>
      </c>
      <c r="CP645" s="408">
        <v>37.71773000000001</v>
      </c>
      <c r="CQ645" s="408">
        <v>30</v>
      </c>
      <c r="CR645" s="408">
        <v>108.02873430341492</v>
      </c>
      <c r="CS645" s="408">
        <v>7.0000935782305902</v>
      </c>
      <c r="CT645" s="408">
        <v>32.640224253332747</v>
      </c>
      <c r="CU645" s="408">
        <v>0</v>
      </c>
      <c r="CV645" s="408">
        <v>0</v>
      </c>
      <c r="CW645" s="408">
        <v>0</v>
      </c>
      <c r="CX645" s="408">
        <v>0</v>
      </c>
      <c r="CY645" s="408">
        <v>0</v>
      </c>
      <c r="CZ645" s="408">
        <v>32.737207883414037</v>
      </c>
      <c r="DA645" s="408">
        <v>0</v>
      </c>
      <c r="DB645" s="408">
        <v>0</v>
      </c>
      <c r="DC645" s="408">
        <v>37.713471450168299</v>
      </c>
      <c r="DD645" s="408">
        <v>0</v>
      </c>
      <c r="DE645" s="408">
        <v>0</v>
      </c>
      <c r="DF645" s="408">
        <v>0</v>
      </c>
      <c r="DG645" s="408">
        <v>1.6557785742849358</v>
      </c>
      <c r="DH645" s="408">
        <v>0</v>
      </c>
      <c r="DI645" s="408">
        <v>-3.1763872076629269</v>
      </c>
      <c r="DJ645" s="408"/>
      <c r="DK645" s="408">
        <v>0</v>
      </c>
      <c r="DL645" s="408">
        <v>0</v>
      </c>
      <c r="DM645" s="408">
        <v>0</v>
      </c>
      <c r="DN645" s="408">
        <v>0</v>
      </c>
      <c r="DO645" s="408">
        <v>-0.50207390244215233</v>
      </c>
      <c r="DP645" s="408">
        <v>-3.9580325910549163E-2</v>
      </c>
      <c r="DQ645" s="408">
        <v>0</v>
      </c>
      <c r="DR645" s="408">
        <v>0</v>
      </c>
      <c r="DS645" s="408"/>
      <c r="DT645" s="408"/>
      <c r="DU645" s="408"/>
      <c r="DV645" s="408">
        <v>1761.862981250229</v>
      </c>
      <c r="DW645" s="408">
        <v>0</v>
      </c>
      <c r="DX645" s="408">
        <v>0</v>
      </c>
      <c r="DY645" s="408">
        <v>-367.35915999999997</v>
      </c>
      <c r="DZ645" s="408">
        <v>37.717730000000017</v>
      </c>
      <c r="EA645" s="408">
        <v>0</v>
      </c>
      <c r="EB645" s="408">
        <v>0</v>
      </c>
      <c r="EC645" s="408">
        <v>-437.67665025988254</v>
      </c>
      <c r="ED645" s="408">
        <v>0</v>
      </c>
      <c r="EE645" s="408">
        <v>0</v>
      </c>
      <c r="EF645" s="408">
        <v>0</v>
      </c>
      <c r="EG645" s="408">
        <v>0</v>
      </c>
      <c r="EH645" s="408">
        <v>0</v>
      </c>
      <c r="EI645" s="408">
        <v>0</v>
      </c>
      <c r="EJ645" s="408">
        <v>0</v>
      </c>
      <c r="EK645" s="408">
        <v>0</v>
      </c>
      <c r="EL645" s="408">
        <v>0</v>
      </c>
      <c r="EM645" s="408">
        <v>0</v>
      </c>
      <c r="EN645" s="408">
        <v>0</v>
      </c>
      <c r="EO645" s="408">
        <v>0</v>
      </c>
      <c r="EP645" s="408">
        <v>23.888935102385783</v>
      </c>
      <c r="EQ645" s="408">
        <v>0</v>
      </c>
      <c r="ER645" s="408">
        <v>0</v>
      </c>
      <c r="ES645" s="408">
        <v>0</v>
      </c>
      <c r="ET645" s="408">
        <v>0</v>
      </c>
      <c r="EU645" s="408">
        <v>0</v>
      </c>
      <c r="EV645" s="408">
        <v>240</v>
      </c>
      <c r="EW645" s="408">
        <v>0</v>
      </c>
      <c r="EX645" s="408">
        <v>0</v>
      </c>
      <c r="EY645" s="408">
        <v>0</v>
      </c>
      <c r="EZ645" s="408"/>
      <c r="FA645" s="408">
        <v>0</v>
      </c>
      <c r="FB645" s="408"/>
      <c r="FC645" s="408"/>
      <c r="FD645" s="408"/>
      <c r="FE645" s="408"/>
      <c r="FF645" s="408">
        <v>0</v>
      </c>
      <c r="FG645" s="408">
        <v>0</v>
      </c>
      <c r="FH645" s="408">
        <v>0</v>
      </c>
      <c r="FI645" s="408">
        <v>0</v>
      </c>
    </row>
    <row r="646" spans="1:165">
      <c r="A646" s="408">
        <v>644</v>
      </c>
      <c r="B646" s="408" t="s">
        <v>1036</v>
      </c>
      <c r="C646" s="408" t="s">
        <v>2243</v>
      </c>
      <c r="D646" s="408" t="s">
        <v>597</v>
      </c>
      <c r="E646" s="408" t="s">
        <v>970</v>
      </c>
      <c r="F646" s="408" t="s">
        <v>1322</v>
      </c>
      <c r="G646" s="408" t="s">
        <v>1322</v>
      </c>
      <c r="H646" s="408" t="s">
        <v>1322</v>
      </c>
      <c r="I646" s="408" t="s">
        <v>2244</v>
      </c>
      <c r="J646" s="408" t="s">
        <v>2236</v>
      </c>
      <c r="K646" s="826">
        <v>44652</v>
      </c>
      <c r="L646" s="408">
        <v>0</v>
      </c>
      <c r="M646" s="408">
        <v>0</v>
      </c>
      <c r="N646" s="408">
        <v>2901.8679999999999</v>
      </c>
      <c r="O646" s="408">
        <v>2901.8679999999999</v>
      </c>
      <c r="P646" s="408">
        <v>2901.8679999999999</v>
      </c>
      <c r="Q646" s="408">
        <v>2901.8679999999999</v>
      </c>
      <c r="R646" s="408"/>
      <c r="S646" s="408">
        <v>85.01</v>
      </c>
      <c r="T646" s="408">
        <v>173.25</v>
      </c>
      <c r="U646" s="408"/>
      <c r="V646" s="408">
        <v>749436.42968000006</v>
      </c>
      <c r="W646" s="408">
        <v>749436.42968000006</v>
      </c>
      <c r="X646" s="408">
        <v>808663.55556000001</v>
      </c>
      <c r="Y646" s="408">
        <v>0</v>
      </c>
      <c r="Z646" s="408">
        <v>155378.51798193966</v>
      </c>
      <c r="AA646" s="408">
        <v>0</v>
      </c>
      <c r="AB646" s="408">
        <v>0</v>
      </c>
      <c r="AC646" s="408">
        <v>0</v>
      </c>
      <c r="AD646" s="408">
        <v>0</v>
      </c>
      <c r="AE646" s="408">
        <v>0</v>
      </c>
      <c r="AF646" s="408">
        <v>494305.56069646106</v>
      </c>
      <c r="AG646" s="408">
        <v>8436.4079508046761</v>
      </c>
      <c r="AH646" s="408">
        <v>0</v>
      </c>
      <c r="AI646" s="408">
        <v>0</v>
      </c>
      <c r="AJ646" s="408">
        <v>0</v>
      </c>
      <c r="AK646" s="408">
        <v>0</v>
      </c>
      <c r="AL646" s="408">
        <v>27593.950672801733</v>
      </c>
      <c r="AM646" s="408"/>
      <c r="AN646" s="408">
        <v>2323.8560195013652</v>
      </c>
      <c r="AO646" s="408">
        <v>0</v>
      </c>
      <c r="AP646" s="408">
        <v>0</v>
      </c>
      <c r="AQ646" s="408">
        <v>0</v>
      </c>
      <c r="AR646" s="408">
        <v>0</v>
      </c>
      <c r="AS646" s="408">
        <v>0</v>
      </c>
      <c r="AT646" s="408">
        <v>0</v>
      </c>
      <c r="AU646" s="408">
        <v>0</v>
      </c>
      <c r="AV646" s="408">
        <v>0</v>
      </c>
      <c r="AW646" s="408">
        <v>0</v>
      </c>
      <c r="AX646" s="408">
        <v>0</v>
      </c>
      <c r="AY646" s="408">
        <v>0</v>
      </c>
      <c r="AZ646" s="408">
        <v>0</v>
      </c>
      <c r="BA646" s="408"/>
      <c r="BB646" s="408">
        <v>0</v>
      </c>
      <c r="BC646" s="408">
        <v>0</v>
      </c>
      <c r="BD646" s="408">
        <v>0</v>
      </c>
      <c r="BE646" s="408">
        <v>0</v>
      </c>
      <c r="BF646" s="408">
        <v>0</v>
      </c>
      <c r="BG646" s="408">
        <v>21702.0742212119</v>
      </c>
      <c r="BH646" s="408">
        <v>0</v>
      </c>
      <c r="BI646" s="408">
        <v>0</v>
      </c>
      <c r="BJ646" s="408">
        <v>0</v>
      </c>
      <c r="BK646" s="408">
        <v>0</v>
      </c>
      <c r="BL646" s="408">
        <v>0</v>
      </c>
      <c r="BM646" s="408"/>
      <c r="BN646" s="408"/>
      <c r="BO646" s="408"/>
      <c r="BP646" s="408"/>
      <c r="BQ646" s="408"/>
      <c r="BR646" s="408"/>
      <c r="BS646" s="408"/>
      <c r="BT646" s="408"/>
      <c r="BU646" s="408"/>
      <c r="BV646" s="408">
        <v>516007.63491767296</v>
      </c>
      <c r="BW646" s="408"/>
      <c r="BX646" s="408"/>
      <c r="BY646" s="408"/>
      <c r="BZ646" s="408"/>
      <c r="CA646" s="408"/>
      <c r="CB646" s="408"/>
      <c r="CC646" s="408"/>
      <c r="CD646" s="408"/>
      <c r="CE646" s="408"/>
      <c r="CF646" s="408"/>
      <c r="CG646" s="408"/>
      <c r="CH646" s="408"/>
      <c r="CI646" s="408">
        <v>808664.11290000007</v>
      </c>
      <c r="CJ646" s="408">
        <v>59227.653219999978</v>
      </c>
      <c r="CK646" s="408"/>
      <c r="CL646" s="408"/>
      <c r="CM646" s="408"/>
      <c r="CN646" s="408"/>
      <c r="CO646" s="408">
        <v>-3424.2042400000196</v>
      </c>
      <c r="CP646" s="408">
        <v>62651.330120000006</v>
      </c>
      <c r="CQ646" s="408">
        <v>30</v>
      </c>
      <c r="CR646" s="408">
        <v>59218.718582777423</v>
      </c>
      <c r="CS646" s="408">
        <v>0</v>
      </c>
      <c r="CT646" s="408">
        <v>0</v>
      </c>
      <c r="CU646" s="408">
        <v>0</v>
      </c>
      <c r="CV646" s="408">
        <v>0</v>
      </c>
      <c r="CW646" s="408">
        <v>0</v>
      </c>
      <c r="CX646" s="408">
        <v>0</v>
      </c>
      <c r="CY646" s="408">
        <v>0</v>
      </c>
      <c r="CZ646" s="408">
        <v>0</v>
      </c>
      <c r="DA646" s="408">
        <v>0</v>
      </c>
      <c r="DB646" s="408">
        <v>0</v>
      </c>
      <c r="DC646" s="408">
        <v>62644.256422528357</v>
      </c>
      <c r="DD646" s="408">
        <v>0</v>
      </c>
      <c r="DE646" s="408">
        <v>0</v>
      </c>
      <c r="DF646" s="408">
        <v>0</v>
      </c>
      <c r="DG646" s="408">
        <v>2750.3439380670134</v>
      </c>
      <c r="DH646" s="408">
        <v>0</v>
      </c>
      <c r="DI646" s="408">
        <v>-5276.1627896544815</v>
      </c>
      <c r="DJ646" s="408"/>
      <c r="DK646" s="408">
        <v>0</v>
      </c>
      <c r="DL646" s="408">
        <v>0</v>
      </c>
      <c r="DM646" s="408">
        <v>0</v>
      </c>
      <c r="DN646" s="408">
        <v>0</v>
      </c>
      <c r="DO646" s="408">
        <v>-833.97377855295053</v>
      </c>
      <c r="DP646" s="408">
        <v>-65.745209610414349</v>
      </c>
      <c r="DQ646" s="408">
        <v>0</v>
      </c>
      <c r="DR646" s="408">
        <v>0</v>
      </c>
      <c r="DS646" s="408"/>
      <c r="DT646" s="408"/>
      <c r="DU646" s="408"/>
      <c r="DV646" s="408">
        <v>0</v>
      </c>
      <c r="DW646" s="408">
        <v>0</v>
      </c>
      <c r="DX646" s="408">
        <v>0</v>
      </c>
      <c r="DY646" s="408">
        <v>-3424.2042400000209</v>
      </c>
      <c r="DZ646" s="408">
        <v>62651.330119999999</v>
      </c>
      <c r="EA646" s="408">
        <v>0</v>
      </c>
      <c r="EB646" s="408">
        <v>0</v>
      </c>
      <c r="EC646" s="408">
        <v>0</v>
      </c>
      <c r="ED646" s="408">
        <v>0</v>
      </c>
      <c r="EE646" s="408">
        <v>0</v>
      </c>
      <c r="EF646" s="408">
        <v>0</v>
      </c>
      <c r="EG646" s="408">
        <v>0</v>
      </c>
      <c r="EH646" s="408">
        <v>0</v>
      </c>
      <c r="EI646" s="408">
        <v>0</v>
      </c>
      <c r="EJ646" s="408">
        <v>0</v>
      </c>
      <c r="EK646" s="408">
        <v>0</v>
      </c>
      <c r="EL646" s="408">
        <v>0</v>
      </c>
      <c r="EM646" s="408">
        <v>0</v>
      </c>
      <c r="EN646" s="408">
        <v>0</v>
      </c>
      <c r="EO646" s="408">
        <v>0</v>
      </c>
      <c r="EP646" s="408">
        <v>39680.902305489428</v>
      </c>
      <c r="EQ646" s="408">
        <v>0</v>
      </c>
      <c r="ER646" s="408">
        <v>0</v>
      </c>
      <c r="ES646" s="408">
        <v>0</v>
      </c>
      <c r="ET646" s="408">
        <v>0</v>
      </c>
      <c r="EU646" s="408">
        <v>0</v>
      </c>
      <c r="EV646" s="408">
        <v>240</v>
      </c>
      <c r="EW646" s="408">
        <v>0</v>
      </c>
      <c r="EX646" s="408">
        <v>0</v>
      </c>
      <c r="EY646" s="408">
        <v>0</v>
      </c>
      <c r="EZ646" s="408"/>
      <c r="FA646" s="408">
        <v>0</v>
      </c>
      <c r="FB646" s="408"/>
      <c r="FC646" s="408"/>
      <c r="FD646" s="408"/>
      <c r="FE646" s="408"/>
      <c r="FF646" s="408">
        <v>0</v>
      </c>
      <c r="FG646" s="408">
        <v>0</v>
      </c>
      <c r="FH646" s="408">
        <v>0</v>
      </c>
      <c r="FI646" s="408">
        <v>0</v>
      </c>
    </row>
    <row r="647" spans="1:165">
      <c r="A647" s="408">
        <v>645</v>
      </c>
      <c r="B647" s="408" t="s">
        <v>2238</v>
      </c>
      <c r="C647" s="408" t="s">
        <v>2243</v>
      </c>
      <c r="D647" s="408" t="s">
        <v>597</v>
      </c>
      <c r="E647" s="408" t="s">
        <v>970</v>
      </c>
      <c r="F647" s="408" t="s">
        <v>1322</v>
      </c>
      <c r="G647" s="408" t="s">
        <v>1322</v>
      </c>
      <c r="H647" s="408" t="s">
        <v>1322</v>
      </c>
      <c r="I647" s="408" t="s">
        <v>2244</v>
      </c>
      <c r="J647" s="408" t="s">
        <v>2236</v>
      </c>
      <c r="K647" s="826">
        <v>44652</v>
      </c>
      <c r="L647" s="408">
        <v>0</v>
      </c>
      <c r="M647" s="408">
        <v>0</v>
      </c>
      <c r="N647" s="408">
        <v>44.44</v>
      </c>
      <c r="O647" s="408">
        <v>44.44</v>
      </c>
      <c r="P647" s="408">
        <v>44.44</v>
      </c>
      <c r="Q647" s="408">
        <v>44.44</v>
      </c>
      <c r="R647" s="408"/>
      <c r="S647" s="408">
        <v>85.01</v>
      </c>
      <c r="T647" s="408">
        <v>173.25</v>
      </c>
      <c r="U647" s="408"/>
      <c r="V647" s="408">
        <v>11477.0744</v>
      </c>
      <c r="W647" s="408">
        <v>11477.0744</v>
      </c>
      <c r="X647" s="408">
        <v>12384.094799999999</v>
      </c>
      <c r="Y647" s="408">
        <v>0</v>
      </c>
      <c r="Z647" s="408">
        <v>2379.5091090006158</v>
      </c>
      <c r="AA647" s="408">
        <v>0</v>
      </c>
      <c r="AB647" s="408">
        <v>0</v>
      </c>
      <c r="AC647" s="408">
        <v>0</v>
      </c>
      <c r="AD647" s="408">
        <v>0</v>
      </c>
      <c r="AE647" s="408">
        <v>0</v>
      </c>
      <c r="AF647" s="408">
        <v>7569.9305128113092</v>
      </c>
      <c r="AG647" s="408">
        <v>129.19745809725316</v>
      </c>
      <c r="AH647" s="408">
        <v>0</v>
      </c>
      <c r="AI647" s="408">
        <v>0</v>
      </c>
      <c r="AJ647" s="408">
        <v>0</v>
      </c>
      <c r="AK647" s="408">
        <v>0</v>
      </c>
      <c r="AL647" s="408">
        <v>422.58130552434119</v>
      </c>
      <c r="AM647" s="408"/>
      <c r="AN647" s="408">
        <v>35.588166486773574</v>
      </c>
      <c r="AO647" s="408">
        <v>0</v>
      </c>
      <c r="AP647" s="408">
        <v>0</v>
      </c>
      <c r="AQ647" s="408">
        <v>0</v>
      </c>
      <c r="AR647" s="408">
        <v>0</v>
      </c>
      <c r="AS647" s="408">
        <v>0</v>
      </c>
      <c r="AT647" s="408">
        <v>0</v>
      </c>
      <c r="AU647" s="408">
        <v>0</v>
      </c>
      <c r="AV647" s="408">
        <v>0</v>
      </c>
      <c r="AW647" s="408">
        <v>0</v>
      </c>
      <c r="AX647" s="408">
        <v>0</v>
      </c>
      <c r="AY647" s="408">
        <v>0</v>
      </c>
      <c r="AZ647" s="408">
        <v>0</v>
      </c>
      <c r="BA647" s="408"/>
      <c r="BB647" s="408">
        <v>0</v>
      </c>
      <c r="BC647" s="408">
        <v>0</v>
      </c>
      <c r="BD647" s="408">
        <v>0</v>
      </c>
      <c r="BE647" s="408">
        <v>0</v>
      </c>
      <c r="BF647" s="408">
        <v>0</v>
      </c>
      <c r="BG647" s="408">
        <v>332.35149854874749</v>
      </c>
      <c r="BH647" s="408">
        <v>0</v>
      </c>
      <c r="BI647" s="408">
        <v>0</v>
      </c>
      <c r="BJ647" s="408">
        <v>0</v>
      </c>
      <c r="BK647" s="408">
        <v>0</v>
      </c>
      <c r="BL647" s="408">
        <v>0</v>
      </c>
      <c r="BM647" s="408"/>
      <c r="BN647" s="408"/>
      <c r="BO647" s="408"/>
      <c r="BP647" s="408"/>
      <c r="BQ647" s="408"/>
      <c r="BR647" s="408"/>
      <c r="BS647" s="408"/>
      <c r="BT647" s="408"/>
      <c r="BU647" s="408"/>
      <c r="BV647" s="408">
        <v>7902.2820113600565</v>
      </c>
      <c r="BW647" s="408"/>
      <c r="BX647" s="408"/>
      <c r="BY647" s="408"/>
      <c r="BZ647" s="408"/>
      <c r="CA647" s="408"/>
      <c r="CB647" s="408"/>
      <c r="CC647" s="408"/>
      <c r="CD647" s="408"/>
      <c r="CE647" s="408"/>
      <c r="CF647" s="408"/>
      <c r="CG647" s="408"/>
      <c r="CH647" s="408"/>
      <c r="CI647" s="408">
        <v>12384.094799999999</v>
      </c>
      <c r="CJ647" s="408">
        <v>906.99039999999877</v>
      </c>
      <c r="CK647" s="408"/>
      <c r="CL647" s="408"/>
      <c r="CM647" s="408"/>
      <c r="CN647" s="408"/>
      <c r="CO647" s="408">
        <v>-52.439200000000298</v>
      </c>
      <c r="CP647" s="408">
        <v>959.45960000000014</v>
      </c>
      <c r="CQ647" s="408">
        <v>30</v>
      </c>
      <c r="CR647" s="408">
        <v>906.89164835155316</v>
      </c>
      <c r="CS647" s="408">
        <v>0</v>
      </c>
      <c r="CT647" s="408">
        <v>0</v>
      </c>
      <c r="CU647" s="408">
        <v>0</v>
      </c>
      <c r="CV647" s="408">
        <v>0</v>
      </c>
      <c r="CW647" s="408">
        <v>0</v>
      </c>
      <c r="CX647" s="408">
        <v>0</v>
      </c>
      <c r="CY647" s="408">
        <v>0</v>
      </c>
      <c r="CZ647" s="408">
        <v>0</v>
      </c>
      <c r="DA647" s="408">
        <v>0</v>
      </c>
      <c r="DB647" s="408">
        <v>0</v>
      </c>
      <c r="DC647" s="408">
        <v>959.35127146278046</v>
      </c>
      <c r="DD647" s="408">
        <v>0</v>
      </c>
      <c r="DE647" s="408">
        <v>0</v>
      </c>
      <c r="DF647" s="408">
        <v>0</v>
      </c>
      <c r="DG647" s="408">
        <v>42.119519084844057</v>
      </c>
      <c r="DH647" s="408">
        <v>0</v>
      </c>
      <c r="DI647" s="408">
        <v>-80.800599604202034</v>
      </c>
      <c r="DJ647" s="408"/>
      <c r="DK647" s="408">
        <v>0</v>
      </c>
      <c r="DL647" s="408">
        <v>0</v>
      </c>
      <c r="DM647" s="408">
        <v>0</v>
      </c>
      <c r="DN647" s="408">
        <v>0</v>
      </c>
      <c r="DO647" s="408">
        <v>-12.77170247540306</v>
      </c>
      <c r="DP647" s="408">
        <v>-1.0068401164652556</v>
      </c>
      <c r="DQ647" s="408">
        <v>0</v>
      </c>
      <c r="DR647" s="408">
        <v>0</v>
      </c>
      <c r="DS647" s="408"/>
      <c r="DT647" s="408"/>
      <c r="DU647" s="408"/>
      <c r="DV647" s="408">
        <v>0</v>
      </c>
      <c r="DW647" s="408">
        <v>0</v>
      </c>
      <c r="DX647" s="408">
        <v>0</v>
      </c>
      <c r="DY647" s="408">
        <v>-52.439200000000255</v>
      </c>
      <c r="DZ647" s="408">
        <v>959.45960000000014</v>
      </c>
      <c r="EA647" s="408">
        <v>0</v>
      </c>
      <c r="EB647" s="408">
        <v>0</v>
      </c>
      <c r="EC647" s="408">
        <v>0</v>
      </c>
      <c r="ED647" s="408">
        <v>0</v>
      </c>
      <c r="EE647" s="408">
        <v>0</v>
      </c>
      <c r="EF647" s="408">
        <v>0</v>
      </c>
      <c r="EG647" s="408">
        <v>0</v>
      </c>
      <c r="EH647" s="408">
        <v>0</v>
      </c>
      <c r="EI647" s="408">
        <v>0</v>
      </c>
      <c r="EJ647" s="408">
        <v>0</v>
      </c>
      <c r="EK647" s="408">
        <v>0</v>
      </c>
      <c r="EL647" s="408">
        <v>0</v>
      </c>
      <c r="EM647" s="408">
        <v>0</v>
      </c>
      <c r="EN647" s="408">
        <v>0</v>
      </c>
      <c r="EO647" s="408">
        <v>0</v>
      </c>
      <c r="EP647" s="408">
        <v>607.68418772182258</v>
      </c>
      <c r="EQ647" s="408">
        <v>0</v>
      </c>
      <c r="ER647" s="408">
        <v>0</v>
      </c>
      <c r="ES647" s="408">
        <v>0</v>
      </c>
      <c r="ET647" s="408">
        <v>0</v>
      </c>
      <c r="EU647" s="408">
        <v>0</v>
      </c>
      <c r="EV647" s="408">
        <v>240</v>
      </c>
      <c r="EW647" s="408">
        <v>0</v>
      </c>
      <c r="EX647" s="408">
        <v>0</v>
      </c>
      <c r="EY647" s="408">
        <v>0</v>
      </c>
      <c r="EZ647" s="408"/>
      <c r="FA647" s="408">
        <v>0</v>
      </c>
      <c r="FB647" s="408"/>
      <c r="FC647" s="408"/>
      <c r="FD647" s="408"/>
      <c r="FE647" s="408"/>
      <c r="FF647" s="408">
        <v>0</v>
      </c>
      <c r="FG647" s="408">
        <v>0</v>
      </c>
      <c r="FH647" s="408">
        <v>0</v>
      </c>
      <c r="FI647" s="408">
        <v>0</v>
      </c>
    </row>
    <row r="648" spans="1:165">
      <c r="A648" s="408">
        <v>646</v>
      </c>
      <c r="B648" s="408" t="s">
        <v>1036</v>
      </c>
      <c r="C648" s="408" t="s">
        <v>2243</v>
      </c>
      <c r="D648" s="408" t="s">
        <v>597</v>
      </c>
      <c r="E648" s="408" t="s">
        <v>970</v>
      </c>
      <c r="F648" s="408" t="s">
        <v>1322</v>
      </c>
      <c r="G648" s="408" t="s">
        <v>1322</v>
      </c>
      <c r="H648" s="408" t="s">
        <v>1322</v>
      </c>
      <c r="I648" s="408" t="s">
        <v>1322</v>
      </c>
      <c r="J648" s="408" t="s">
        <v>2236</v>
      </c>
      <c r="K648" s="826">
        <v>44652</v>
      </c>
      <c r="L648" s="408">
        <v>17695</v>
      </c>
      <c r="M648" s="408">
        <v>17695</v>
      </c>
      <c r="N648" s="408">
        <v>0</v>
      </c>
      <c r="O648" s="408">
        <v>0</v>
      </c>
      <c r="P648" s="408">
        <v>0</v>
      </c>
      <c r="Q648" s="408">
        <v>0</v>
      </c>
      <c r="R648" s="408">
        <v>27.19</v>
      </c>
      <c r="S648" s="408"/>
      <c r="T648" s="408"/>
      <c r="U648" s="408">
        <v>481127.05000000005</v>
      </c>
      <c r="V648" s="408"/>
      <c r="W648" s="408">
        <v>481127.05000000005</v>
      </c>
      <c r="X648" s="408">
        <v>385043.20000000001</v>
      </c>
      <c r="Y648" s="408">
        <v>0</v>
      </c>
      <c r="Z648" s="408">
        <v>0</v>
      </c>
      <c r="AA648" s="408">
        <v>0</v>
      </c>
      <c r="AB648" s="408">
        <v>0</v>
      </c>
      <c r="AC648" s="408">
        <v>4126.4848546007452</v>
      </c>
      <c r="AD648" s="408">
        <v>3964.2964826596531</v>
      </c>
      <c r="AE648" s="408">
        <v>423477.27515270736</v>
      </c>
      <c r="AF648" s="408"/>
      <c r="AG648" s="408"/>
      <c r="AH648" s="408"/>
      <c r="AI648" s="408">
        <v>0</v>
      </c>
      <c r="AJ648" s="408">
        <v>0</v>
      </c>
      <c r="AK648" s="408">
        <v>0</v>
      </c>
      <c r="AL648" s="408">
        <v>0</v>
      </c>
      <c r="AM648" s="408"/>
      <c r="AN648" s="408">
        <v>0</v>
      </c>
      <c r="AO648" s="408">
        <v>8756.9870861457603</v>
      </c>
      <c r="AP648" s="408">
        <v>40841.632077088318</v>
      </c>
      <c r="AQ648" s="408">
        <v>0</v>
      </c>
      <c r="AR648" s="408">
        <v>0</v>
      </c>
      <c r="AS648" s="408"/>
      <c r="AT648" s="408"/>
      <c r="AU648" s="408">
        <v>0</v>
      </c>
      <c r="AV648" s="408">
        <v>0</v>
      </c>
      <c r="AW648" s="408">
        <v>0</v>
      </c>
      <c r="AX648" s="408"/>
      <c r="AY648" s="408"/>
      <c r="AZ648" s="408">
        <v>0</v>
      </c>
      <c r="BA648" s="408"/>
      <c r="BB648" s="408">
        <v>0</v>
      </c>
      <c r="BC648" s="408">
        <v>0</v>
      </c>
      <c r="BD648" s="408">
        <v>0</v>
      </c>
      <c r="BE648" s="408">
        <v>0</v>
      </c>
      <c r="BF648" s="408"/>
      <c r="BG648" s="408">
        <v>0</v>
      </c>
      <c r="BH648" s="408">
        <v>0</v>
      </c>
      <c r="BI648" s="408">
        <v>1166.6500000000001</v>
      </c>
      <c r="BJ648" s="408">
        <v>12506.16</v>
      </c>
      <c r="BK648" s="408">
        <v>339144.49</v>
      </c>
      <c r="BL648" s="408">
        <v>99</v>
      </c>
      <c r="BM648" s="408"/>
      <c r="BN648" s="408"/>
      <c r="BO648" s="408"/>
      <c r="BP648" s="408"/>
      <c r="BQ648" s="408"/>
      <c r="BR648" s="408"/>
      <c r="BS648" s="408"/>
      <c r="BT648" s="408"/>
      <c r="BU648" s="408"/>
      <c r="BV648" s="408">
        <v>0</v>
      </c>
      <c r="BW648" s="408"/>
      <c r="BX648" s="408"/>
      <c r="BY648" s="408"/>
      <c r="BZ648" s="408"/>
      <c r="CA648" s="408"/>
      <c r="CB648" s="408"/>
      <c r="CC648" s="408"/>
      <c r="CD648" s="408"/>
      <c r="CE648" s="408"/>
      <c r="CF648" s="408"/>
      <c r="CG648" s="408"/>
      <c r="CH648" s="408"/>
      <c r="CI648" s="408">
        <v>385043.20000000001</v>
      </c>
      <c r="CJ648" s="408">
        <v>-96083.880000000063</v>
      </c>
      <c r="CK648" s="408"/>
      <c r="CL648" s="408"/>
      <c r="CM648" s="408"/>
      <c r="CN648" s="408"/>
      <c r="CO648" s="408">
        <v>-96083.849999999991</v>
      </c>
      <c r="CP648" s="408">
        <v>0</v>
      </c>
      <c r="CQ648" s="408">
        <v>30</v>
      </c>
      <c r="CR648" s="408">
        <v>9024.3082442685991</v>
      </c>
      <c r="CS648" s="408">
        <v>872.6150455769548</v>
      </c>
      <c r="CT648" s="408">
        <v>4069.7813398365761</v>
      </c>
      <c r="CU648" s="408">
        <v>0</v>
      </c>
      <c r="CV648" s="408">
        <v>0</v>
      </c>
      <c r="CW648" s="408"/>
      <c r="CX648" s="408"/>
      <c r="CY648" s="408"/>
      <c r="CZ648" s="408">
        <v>4081.9118588550796</v>
      </c>
      <c r="DA648" s="408">
        <v>0</v>
      </c>
      <c r="DB648" s="408">
        <v>0</v>
      </c>
      <c r="DC648" s="408"/>
      <c r="DD648" s="408"/>
      <c r="DE648" s="408">
        <v>0</v>
      </c>
      <c r="DF648" s="408">
        <v>0</v>
      </c>
      <c r="DG648" s="408">
        <v>0</v>
      </c>
      <c r="DH648" s="408">
        <v>0</v>
      </c>
      <c r="DI648" s="408">
        <v>0</v>
      </c>
      <c r="DJ648" s="408"/>
      <c r="DK648" s="408">
        <v>0</v>
      </c>
      <c r="DL648" s="408">
        <v>0</v>
      </c>
      <c r="DM648" s="408"/>
      <c r="DN648" s="408">
        <v>0</v>
      </c>
      <c r="DO648" s="408">
        <v>0</v>
      </c>
      <c r="DP648" s="408">
        <v>0</v>
      </c>
      <c r="DQ648" s="408">
        <v>0</v>
      </c>
      <c r="DR648" s="408">
        <v>0</v>
      </c>
      <c r="DS648" s="408"/>
      <c r="DT648" s="408"/>
      <c r="DU648" s="408">
        <v>423477.27515270736</v>
      </c>
      <c r="DV648" s="408"/>
      <c r="DW648" s="408">
        <v>0</v>
      </c>
      <c r="DX648" s="408">
        <v>0</v>
      </c>
      <c r="DY648" s="408">
        <v>-96083.850000000035</v>
      </c>
      <c r="DZ648" s="408"/>
      <c r="EA648" s="408">
        <v>0</v>
      </c>
      <c r="EB648" s="408"/>
      <c r="EC648" s="408">
        <v>-105198.93840921432</v>
      </c>
      <c r="ED648" s="408"/>
      <c r="EE648" s="408">
        <v>0</v>
      </c>
      <c r="EF648" s="408">
        <v>0</v>
      </c>
      <c r="EG648" s="408"/>
      <c r="EH648" s="408">
        <v>0</v>
      </c>
      <c r="EI648" s="408">
        <v>0</v>
      </c>
      <c r="EJ648" s="408">
        <v>0</v>
      </c>
      <c r="EK648" s="408">
        <v>0</v>
      </c>
      <c r="EL648" s="408">
        <v>0</v>
      </c>
      <c r="EM648" s="408"/>
      <c r="EN648" s="408"/>
      <c r="EO648" s="408">
        <v>0</v>
      </c>
      <c r="EP648" s="408">
        <v>0</v>
      </c>
      <c r="EQ648" s="408"/>
      <c r="ER648" s="408">
        <v>0</v>
      </c>
      <c r="ES648" s="408"/>
      <c r="ET648" s="408">
        <v>0</v>
      </c>
      <c r="EU648" s="408"/>
      <c r="EV648" s="408">
        <v>240</v>
      </c>
      <c r="EW648" s="408"/>
      <c r="EX648" s="408"/>
      <c r="EY648" s="408"/>
      <c r="EZ648" s="408"/>
      <c r="FA648" s="408">
        <v>0</v>
      </c>
      <c r="FB648" s="408"/>
      <c r="FC648" s="408"/>
      <c r="FD648" s="408"/>
      <c r="FE648" s="408"/>
      <c r="FF648" s="408">
        <v>0</v>
      </c>
      <c r="FG648" s="408">
        <v>0</v>
      </c>
      <c r="FH648" s="408">
        <v>0</v>
      </c>
      <c r="FI648" s="408">
        <v>0</v>
      </c>
    </row>
    <row r="649" spans="1:165">
      <c r="A649" s="408">
        <v>647</v>
      </c>
      <c r="B649" s="408" t="s">
        <v>2237</v>
      </c>
      <c r="C649" s="408" t="s">
        <v>2243</v>
      </c>
      <c r="D649" s="408" t="s">
        <v>597</v>
      </c>
      <c r="E649" s="408" t="s">
        <v>970</v>
      </c>
      <c r="F649" s="408" t="s">
        <v>1322</v>
      </c>
      <c r="G649" s="408" t="s">
        <v>1322</v>
      </c>
      <c r="H649" s="408" t="s">
        <v>1322</v>
      </c>
      <c r="I649" s="408" t="s">
        <v>1322</v>
      </c>
      <c r="J649" s="408" t="s">
        <v>2236</v>
      </c>
      <c r="K649" s="826">
        <v>44652</v>
      </c>
      <c r="L649" s="408">
        <v>-43</v>
      </c>
      <c r="M649" s="408">
        <v>-43</v>
      </c>
      <c r="N649" s="408">
        <v>0</v>
      </c>
      <c r="O649" s="408">
        <v>0</v>
      </c>
      <c r="P649" s="408">
        <v>0</v>
      </c>
      <c r="Q649" s="408">
        <v>0</v>
      </c>
      <c r="R649" s="408">
        <v>27.19</v>
      </c>
      <c r="S649" s="408"/>
      <c r="T649" s="408"/>
      <c r="U649" s="408">
        <v>-1169.17</v>
      </c>
      <c r="V649" s="408"/>
      <c r="W649" s="408">
        <v>-1169.17</v>
      </c>
      <c r="X649" s="408">
        <v>-935.68000000000006</v>
      </c>
      <c r="Y649" s="408">
        <v>0</v>
      </c>
      <c r="Z649" s="408">
        <v>0</v>
      </c>
      <c r="AA649" s="408">
        <v>0</v>
      </c>
      <c r="AB649" s="408">
        <v>0</v>
      </c>
      <c r="AC649" s="408">
        <v>-10.027626377385253</v>
      </c>
      <c r="AD649" s="408">
        <v>-9.6334980929282317</v>
      </c>
      <c r="AE649" s="408">
        <v>-1029.0773004558584</v>
      </c>
      <c r="AF649" s="408"/>
      <c r="AG649" s="408"/>
      <c r="AH649" s="408"/>
      <c r="AI649" s="408">
        <v>0</v>
      </c>
      <c r="AJ649" s="408">
        <v>0</v>
      </c>
      <c r="AK649" s="408">
        <v>0</v>
      </c>
      <c r="AL649" s="408">
        <v>0</v>
      </c>
      <c r="AM649" s="408"/>
      <c r="AN649" s="408">
        <v>0</v>
      </c>
      <c r="AO649" s="408">
        <v>-21.280047736889951</v>
      </c>
      <c r="AP649" s="408">
        <v>-99.247820249494069</v>
      </c>
      <c r="AQ649" s="408">
        <v>0</v>
      </c>
      <c r="AR649" s="408">
        <v>0</v>
      </c>
      <c r="AS649" s="408"/>
      <c r="AT649" s="408"/>
      <c r="AU649" s="408">
        <v>0</v>
      </c>
      <c r="AV649" s="408">
        <v>0</v>
      </c>
      <c r="AW649" s="408">
        <v>0</v>
      </c>
      <c r="AX649" s="408"/>
      <c r="AY649" s="408"/>
      <c r="AZ649" s="408">
        <v>0</v>
      </c>
      <c r="BA649" s="408"/>
      <c r="BB649" s="408">
        <v>0</v>
      </c>
      <c r="BC649" s="408">
        <v>0</v>
      </c>
      <c r="BD649" s="408">
        <v>0</v>
      </c>
      <c r="BE649" s="408">
        <v>0</v>
      </c>
      <c r="BF649" s="408"/>
      <c r="BG649" s="408">
        <v>0</v>
      </c>
      <c r="BH649" s="408">
        <v>0</v>
      </c>
      <c r="BI649" s="408">
        <v>-1.98</v>
      </c>
      <c r="BJ649" s="408">
        <v>-21.23</v>
      </c>
      <c r="BK649" s="408">
        <v>-588.67999999999995</v>
      </c>
      <c r="BL649" s="408">
        <v>0</v>
      </c>
      <c r="BM649" s="408"/>
      <c r="BN649" s="408"/>
      <c r="BO649" s="408"/>
      <c r="BP649" s="408"/>
      <c r="BQ649" s="408"/>
      <c r="BR649" s="408"/>
      <c r="BS649" s="408"/>
      <c r="BT649" s="408"/>
      <c r="BU649" s="408"/>
      <c r="BV649" s="408">
        <v>0</v>
      </c>
      <c r="BW649" s="408"/>
      <c r="BX649" s="408"/>
      <c r="BY649" s="408"/>
      <c r="BZ649" s="408"/>
      <c r="CA649" s="408"/>
      <c r="CB649" s="408"/>
      <c r="CC649" s="408"/>
      <c r="CD649" s="408"/>
      <c r="CE649" s="408"/>
      <c r="CF649" s="408"/>
      <c r="CG649" s="408"/>
      <c r="CH649" s="408"/>
      <c r="CI649" s="408">
        <v>-935.68000000000006</v>
      </c>
      <c r="CJ649" s="408">
        <v>233.46000000000004</v>
      </c>
      <c r="CK649" s="408"/>
      <c r="CL649" s="408"/>
      <c r="CM649" s="408"/>
      <c r="CN649" s="408"/>
      <c r="CO649" s="408">
        <v>233.48999999999998</v>
      </c>
      <c r="CP649" s="408">
        <v>0</v>
      </c>
      <c r="CQ649" s="408">
        <v>30</v>
      </c>
      <c r="CR649" s="408">
        <v>-21.929655524359987</v>
      </c>
      <c r="CS649" s="408">
        <v>-2.120511272099975</v>
      </c>
      <c r="CT649" s="408">
        <v>-9.8898331513406532</v>
      </c>
      <c r="CU649" s="408">
        <v>0</v>
      </c>
      <c r="CV649" s="408">
        <v>0</v>
      </c>
      <c r="CW649" s="408"/>
      <c r="CX649" s="408"/>
      <c r="CY649" s="408"/>
      <c r="CZ649" s="408">
        <v>-9.91931110091938</v>
      </c>
      <c r="DA649" s="408">
        <v>0</v>
      </c>
      <c r="DB649" s="408">
        <v>0</v>
      </c>
      <c r="DC649" s="408"/>
      <c r="DD649" s="408"/>
      <c r="DE649" s="408">
        <v>0</v>
      </c>
      <c r="DF649" s="408">
        <v>0</v>
      </c>
      <c r="DG649" s="408">
        <v>0</v>
      </c>
      <c r="DH649" s="408">
        <v>0</v>
      </c>
      <c r="DI649" s="408">
        <v>0</v>
      </c>
      <c r="DJ649" s="408"/>
      <c r="DK649" s="408">
        <v>0</v>
      </c>
      <c r="DL649" s="408">
        <v>0</v>
      </c>
      <c r="DM649" s="408"/>
      <c r="DN649" s="408">
        <v>0</v>
      </c>
      <c r="DO649" s="408">
        <v>0</v>
      </c>
      <c r="DP649" s="408">
        <v>0</v>
      </c>
      <c r="DQ649" s="408">
        <v>0</v>
      </c>
      <c r="DR649" s="408">
        <v>0</v>
      </c>
      <c r="DS649" s="408"/>
      <c r="DT649" s="408"/>
      <c r="DU649" s="408">
        <v>-1029.0773004558584</v>
      </c>
      <c r="DV649" s="408"/>
      <c r="DW649" s="408">
        <v>0</v>
      </c>
      <c r="DX649" s="408">
        <v>0</v>
      </c>
      <c r="DY649" s="408">
        <v>233.49</v>
      </c>
      <c r="DZ649" s="408"/>
      <c r="EA649" s="408">
        <v>0</v>
      </c>
      <c r="EB649" s="408"/>
      <c r="EC649" s="408">
        <v>255.64025722499093</v>
      </c>
      <c r="ED649" s="408"/>
      <c r="EE649" s="408">
        <v>0</v>
      </c>
      <c r="EF649" s="408">
        <v>0</v>
      </c>
      <c r="EG649" s="408"/>
      <c r="EH649" s="408">
        <v>0</v>
      </c>
      <c r="EI649" s="408">
        <v>0</v>
      </c>
      <c r="EJ649" s="408">
        <v>0</v>
      </c>
      <c r="EK649" s="408">
        <v>0</v>
      </c>
      <c r="EL649" s="408">
        <v>0</v>
      </c>
      <c r="EM649" s="408"/>
      <c r="EN649" s="408"/>
      <c r="EO649" s="408">
        <v>0</v>
      </c>
      <c r="EP649" s="408">
        <v>0</v>
      </c>
      <c r="EQ649" s="408"/>
      <c r="ER649" s="408">
        <v>0</v>
      </c>
      <c r="ES649" s="408"/>
      <c r="ET649" s="408">
        <v>0</v>
      </c>
      <c r="EU649" s="408"/>
      <c r="EV649" s="408">
        <v>240</v>
      </c>
      <c r="EW649" s="408"/>
      <c r="EX649" s="408"/>
      <c r="EY649" s="408"/>
      <c r="EZ649" s="408"/>
      <c r="FA649" s="408">
        <v>0</v>
      </c>
      <c r="FB649" s="408"/>
      <c r="FC649" s="408"/>
      <c r="FD649" s="408"/>
      <c r="FE649" s="408"/>
      <c r="FF649" s="408">
        <v>0</v>
      </c>
      <c r="FG649" s="408">
        <v>0</v>
      </c>
      <c r="FH649" s="408">
        <v>0</v>
      </c>
      <c r="FI649" s="408">
        <v>0</v>
      </c>
    </row>
    <row r="650" spans="1:165">
      <c r="A650" s="408">
        <v>648</v>
      </c>
      <c r="B650" s="408" t="s">
        <v>2238</v>
      </c>
      <c r="C650" s="408" t="s">
        <v>2243</v>
      </c>
      <c r="D650" s="408" t="s">
        <v>597</v>
      </c>
      <c r="E650" s="408" t="s">
        <v>970</v>
      </c>
      <c r="F650" s="408" t="s">
        <v>1322</v>
      </c>
      <c r="G650" s="408" t="s">
        <v>1322</v>
      </c>
      <c r="H650" s="408" t="s">
        <v>1322</v>
      </c>
      <c r="I650" s="408" t="s">
        <v>1322</v>
      </c>
      <c r="J650" s="408" t="s">
        <v>2236</v>
      </c>
      <c r="K650" s="826">
        <v>44652</v>
      </c>
      <c r="L650" s="408">
        <v>712</v>
      </c>
      <c r="M650" s="408">
        <v>712</v>
      </c>
      <c r="N650" s="408">
        <v>0</v>
      </c>
      <c r="O650" s="408">
        <v>0</v>
      </c>
      <c r="P650" s="408">
        <v>0</v>
      </c>
      <c r="Q650" s="408">
        <v>0</v>
      </c>
      <c r="R650" s="408">
        <v>27.19</v>
      </c>
      <c r="S650" s="408"/>
      <c r="T650" s="408"/>
      <c r="U650" s="408">
        <v>19359.280000000002</v>
      </c>
      <c r="V650" s="408"/>
      <c r="W650" s="408">
        <v>19359.280000000002</v>
      </c>
      <c r="X650" s="408">
        <v>15493.12</v>
      </c>
      <c r="Y650" s="408">
        <v>0</v>
      </c>
      <c r="Z650" s="408">
        <v>0</v>
      </c>
      <c r="AA650" s="408">
        <v>0</v>
      </c>
      <c r="AB650" s="408">
        <v>0</v>
      </c>
      <c r="AC650" s="408">
        <v>166.03883676042557</v>
      </c>
      <c r="AD650" s="408">
        <v>159.51280563174188</v>
      </c>
      <c r="AE650" s="408">
        <v>17039.605533129565</v>
      </c>
      <c r="AF650" s="408"/>
      <c r="AG650" s="408"/>
      <c r="AH650" s="408"/>
      <c r="AI650" s="408">
        <v>0</v>
      </c>
      <c r="AJ650" s="408">
        <v>0</v>
      </c>
      <c r="AK650" s="408">
        <v>0</v>
      </c>
      <c r="AL650" s="408">
        <v>0</v>
      </c>
      <c r="AM650" s="408"/>
      <c r="AN650" s="408">
        <v>0</v>
      </c>
      <c r="AO650" s="408">
        <v>352.35799973641036</v>
      </c>
      <c r="AP650" s="408">
        <v>1643.3592562241809</v>
      </c>
      <c r="AQ650" s="408">
        <v>0</v>
      </c>
      <c r="AR650" s="408">
        <v>0</v>
      </c>
      <c r="AS650" s="408"/>
      <c r="AT650" s="408"/>
      <c r="AU650" s="408">
        <v>0</v>
      </c>
      <c r="AV650" s="408">
        <v>0</v>
      </c>
      <c r="AW650" s="408">
        <v>0</v>
      </c>
      <c r="AX650" s="408"/>
      <c r="AY650" s="408"/>
      <c r="AZ650" s="408">
        <v>0</v>
      </c>
      <c r="BA650" s="408"/>
      <c r="BB650" s="408">
        <v>0</v>
      </c>
      <c r="BC650" s="408">
        <v>0</v>
      </c>
      <c r="BD650" s="408">
        <v>0</v>
      </c>
      <c r="BE650" s="408">
        <v>0</v>
      </c>
      <c r="BF650" s="408"/>
      <c r="BG650" s="408">
        <v>0</v>
      </c>
      <c r="BH650" s="408">
        <v>0</v>
      </c>
      <c r="BI650" s="408">
        <v>24.71</v>
      </c>
      <c r="BJ650" s="408">
        <v>265.10000000000002</v>
      </c>
      <c r="BK650" s="408">
        <v>7533.03</v>
      </c>
      <c r="BL650" s="408">
        <v>6</v>
      </c>
      <c r="BM650" s="408"/>
      <c r="BN650" s="408"/>
      <c r="BO650" s="408"/>
      <c r="BP650" s="408"/>
      <c r="BQ650" s="408"/>
      <c r="BR650" s="408"/>
      <c r="BS650" s="408"/>
      <c r="BT650" s="408"/>
      <c r="BU650" s="408"/>
      <c r="BV650" s="408">
        <v>0</v>
      </c>
      <c r="BW650" s="408"/>
      <c r="BX650" s="408"/>
      <c r="BY650" s="408"/>
      <c r="BZ650" s="408"/>
      <c r="CA650" s="408"/>
      <c r="CB650" s="408"/>
      <c r="CC650" s="408"/>
      <c r="CD650" s="408"/>
      <c r="CE650" s="408"/>
      <c r="CF650" s="408"/>
      <c r="CG650" s="408"/>
      <c r="CH650" s="408"/>
      <c r="CI650" s="408">
        <v>15493.12</v>
      </c>
      <c r="CJ650" s="408">
        <v>-3866.1899999999969</v>
      </c>
      <c r="CK650" s="408"/>
      <c r="CL650" s="408"/>
      <c r="CM650" s="408"/>
      <c r="CN650" s="408"/>
      <c r="CO650" s="408">
        <v>-3866.16</v>
      </c>
      <c r="CP650" s="408">
        <v>0</v>
      </c>
      <c r="CQ650" s="408">
        <v>30</v>
      </c>
      <c r="CR650" s="408">
        <v>363.11429612428674</v>
      </c>
      <c r="CS650" s="408">
        <v>35.111721528725184</v>
      </c>
      <c r="CT650" s="408">
        <v>163.7572372966174</v>
      </c>
      <c r="CU650" s="408">
        <v>0</v>
      </c>
      <c r="CV650" s="408">
        <v>0</v>
      </c>
      <c r="CW650" s="408"/>
      <c r="CX650" s="408"/>
      <c r="CY650" s="408"/>
      <c r="CZ650" s="408">
        <v>164.24533729894418</v>
      </c>
      <c r="DA650" s="408">
        <v>0</v>
      </c>
      <c r="DB650" s="408">
        <v>0</v>
      </c>
      <c r="DC650" s="408"/>
      <c r="DD650" s="408"/>
      <c r="DE650" s="408">
        <v>0</v>
      </c>
      <c r="DF650" s="408">
        <v>0</v>
      </c>
      <c r="DG650" s="408">
        <v>0</v>
      </c>
      <c r="DH650" s="408">
        <v>0</v>
      </c>
      <c r="DI650" s="408">
        <v>0</v>
      </c>
      <c r="DJ650" s="408"/>
      <c r="DK650" s="408">
        <v>0</v>
      </c>
      <c r="DL650" s="408">
        <v>0</v>
      </c>
      <c r="DM650" s="408"/>
      <c r="DN650" s="408">
        <v>0</v>
      </c>
      <c r="DO650" s="408">
        <v>0</v>
      </c>
      <c r="DP650" s="408">
        <v>0</v>
      </c>
      <c r="DQ650" s="408">
        <v>0</v>
      </c>
      <c r="DR650" s="408">
        <v>0</v>
      </c>
      <c r="DS650" s="408"/>
      <c r="DT650" s="408"/>
      <c r="DU650" s="408">
        <v>17039.605533129565</v>
      </c>
      <c r="DV650" s="408"/>
      <c r="DW650" s="408">
        <v>0</v>
      </c>
      <c r="DX650" s="408">
        <v>0</v>
      </c>
      <c r="DY650" s="408">
        <v>-3866.1600000000017</v>
      </c>
      <c r="DZ650" s="408"/>
      <c r="EA650" s="408">
        <v>0</v>
      </c>
      <c r="EB650" s="408"/>
      <c r="EC650" s="408">
        <v>-4232.9270498649676</v>
      </c>
      <c r="ED650" s="408"/>
      <c r="EE650" s="408">
        <v>0</v>
      </c>
      <c r="EF650" s="408">
        <v>0</v>
      </c>
      <c r="EG650" s="408"/>
      <c r="EH650" s="408">
        <v>0</v>
      </c>
      <c r="EI650" s="408">
        <v>0</v>
      </c>
      <c r="EJ650" s="408">
        <v>0</v>
      </c>
      <c r="EK650" s="408">
        <v>0</v>
      </c>
      <c r="EL650" s="408">
        <v>0</v>
      </c>
      <c r="EM650" s="408"/>
      <c r="EN650" s="408"/>
      <c r="EO650" s="408">
        <v>0</v>
      </c>
      <c r="EP650" s="408">
        <v>0</v>
      </c>
      <c r="EQ650" s="408"/>
      <c r="ER650" s="408">
        <v>0</v>
      </c>
      <c r="ES650" s="408"/>
      <c r="ET650" s="408">
        <v>0</v>
      </c>
      <c r="EU650" s="408"/>
      <c r="EV650" s="408">
        <v>240</v>
      </c>
      <c r="EW650" s="408"/>
      <c r="EX650" s="408"/>
      <c r="EY650" s="408"/>
      <c r="EZ650" s="408"/>
      <c r="FA650" s="408">
        <v>0</v>
      </c>
      <c r="FB650" s="408"/>
      <c r="FC650" s="408"/>
      <c r="FD650" s="408"/>
      <c r="FE650" s="408"/>
      <c r="FF650" s="408">
        <v>0</v>
      </c>
      <c r="FG650" s="408">
        <v>0</v>
      </c>
      <c r="FH650" s="408">
        <v>0</v>
      </c>
      <c r="FI650" s="408">
        <v>0</v>
      </c>
    </row>
    <row r="651" spans="1:165">
      <c r="A651" s="408">
        <v>649</v>
      </c>
      <c r="B651" s="408" t="s">
        <v>1036</v>
      </c>
      <c r="C651" s="408" t="s">
        <v>2316</v>
      </c>
      <c r="D651" s="408" t="s">
        <v>1958</v>
      </c>
      <c r="E651" s="408" t="s">
        <v>970</v>
      </c>
      <c r="F651" s="408" t="s">
        <v>1322</v>
      </c>
      <c r="G651" s="408" t="s">
        <v>1322</v>
      </c>
      <c r="H651" s="408" t="s">
        <v>1322</v>
      </c>
      <c r="I651" s="408" t="s">
        <v>973</v>
      </c>
      <c r="J651" s="408" t="s">
        <v>2236</v>
      </c>
      <c r="K651" s="826">
        <v>44652</v>
      </c>
      <c r="L651" s="408">
        <v>0</v>
      </c>
      <c r="M651" s="408">
        <v>0</v>
      </c>
      <c r="N651" s="408">
        <v>1.4E-2</v>
      </c>
      <c r="O651" s="408">
        <v>1.4E-2</v>
      </c>
      <c r="P651" s="408">
        <v>1.4E-2</v>
      </c>
      <c r="Q651" s="408">
        <v>1.4E-2</v>
      </c>
      <c r="R651" s="408"/>
      <c r="S651" s="408">
        <v>1553.42</v>
      </c>
      <c r="T651" s="408">
        <v>173.25</v>
      </c>
      <c r="U651" s="408"/>
      <c r="V651" s="408">
        <v>24.173380000000002</v>
      </c>
      <c r="W651" s="408">
        <v>24.173380000000002</v>
      </c>
      <c r="X651" s="408">
        <v>22.935360000000003</v>
      </c>
      <c r="Y651" s="408">
        <v>0</v>
      </c>
      <c r="Z651" s="408">
        <v>0.86163256479118555</v>
      </c>
      <c r="AA651" s="408">
        <v>0</v>
      </c>
      <c r="AB651" s="408">
        <v>0</v>
      </c>
      <c r="AC651" s="408">
        <v>1.518289444708498</v>
      </c>
      <c r="AD651" s="408">
        <v>0.10499468145796631</v>
      </c>
      <c r="AE651" s="408">
        <v>10.057430648194986</v>
      </c>
      <c r="AF651" s="408">
        <v>2.384766588194382</v>
      </c>
      <c r="AG651" s="408">
        <v>4.0701269427577506E-2</v>
      </c>
      <c r="AH651" s="408">
        <v>0</v>
      </c>
      <c r="AI651" s="408">
        <v>0</v>
      </c>
      <c r="AJ651" s="408">
        <v>0</v>
      </c>
      <c r="AK651" s="408">
        <v>0</v>
      </c>
      <c r="AL651" s="408">
        <v>0.13312642388255574</v>
      </c>
      <c r="AM651" s="408"/>
      <c r="AN651" s="408">
        <v>1.690999400107808E-2</v>
      </c>
      <c r="AO651" s="408">
        <v>4.4177555060834584</v>
      </c>
      <c r="AP651" s="408">
        <v>4.2924853227450042</v>
      </c>
      <c r="AQ651" s="408">
        <v>0</v>
      </c>
      <c r="AR651" s="408">
        <v>0</v>
      </c>
      <c r="AS651" s="408">
        <v>0</v>
      </c>
      <c r="AT651" s="408">
        <v>0</v>
      </c>
      <c r="AU651" s="408">
        <v>0</v>
      </c>
      <c r="AV651" s="408">
        <v>0</v>
      </c>
      <c r="AW651" s="408">
        <v>0</v>
      </c>
      <c r="AX651" s="408">
        <v>0</v>
      </c>
      <c r="AY651" s="408">
        <v>0</v>
      </c>
      <c r="AZ651" s="408">
        <v>0</v>
      </c>
      <c r="BA651" s="408"/>
      <c r="BB651" s="408">
        <v>0</v>
      </c>
      <c r="BC651" s="408">
        <v>0</v>
      </c>
      <c r="BD651" s="408">
        <v>0</v>
      </c>
      <c r="BE651" s="408">
        <v>0</v>
      </c>
      <c r="BF651" s="408">
        <v>0</v>
      </c>
      <c r="BG651" s="408">
        <v>0.12515708555050373</v>
      </c>
      <c r="BH651" s="408">
        <v>0</v>
      </c>
      <c r="BI651" s="408">
        <v>0</v>
      </c>
      <c r="BJ651" s="408">
        <v>0</v>
      </c>
      <c r="BK651" s="408">
        <v>0</v>
      </c>
      <c r="BL651" s="408">
        <v>0</v>
      </c>
      <c r="BM651" s="408"/>
      <c r="BN651" s="408"/>
      <c r="BO651" s="408"/>
      <c r="BP651" s="408"/>
      <c r="BQ651" s="408"/>
      <c r="BR651" s="408"/>
      <c r="BS651" s="408"/>
      <c r="BT651" s="408"/>
      <c r="BU651" s="408"/>
      <c r="BV651" s="408">
        <v>2.5099236737448858</v>
      </c>
      <c r="BW651" s="408"/>
      <c r="BX651" s="408"/>
      <c r="BY651" s="408"/>
      <c r="BZ651" s="408"/>
      <c r="CA651" s="408"/>
      <c r="CB651" s="408"/>
      <c r="CC651" s="408"/>
      <c r="CD651" s="408"/>
      <c r="CE651" s="408"/>
      <c r="CF651" s="408"/>
      <c r="CG651" s="408"/>
      <c r="CH651" s="408"/>
      <c r="CI651" s="408">
        <v>16.382400000000001</v>
      </c>
      <c r="CJ651" s="408">
        <v>-7.8209800000000058</v>
      </c>
      <c r="CK651" s="408"/>
      <c r="CL651" s="408"/>
      <c r="CM651" s="408"/>
      <c r="CN651" s="408"/>
      <c r="CO651" s="408">
        <v>-1.5402799999999999</v>
      </c>
      <c r="CP651" s="408">
        <v>0.30226000000000003</v>
      </c>
      <c r="CQ651" s="408">
        <v>30</v>
      </c>
      <c r="CR651" s="408">
        <v>1.2603936639929003</v>
      </c>
      <c r="CS651" s="408">
        <v>0.44021989348229162</v>
      </c>
      <c r="CT651" s="408">
        <v>0.42773698747044975</v>
      </c>
      <c r="CU651" s="408">
        <v>0</v>
      </c>
      <c r="CV651" s="408">
        <v>0</v>
      </c>
      <c r="CW651" s="408">
        <v>0</v>
      </c>
      <c r="CX651" s="408">
        <v>0</v>
      </c>
      <c r="CY651" s="408">
        <v>0</v>
      </c>
      <c r="CZ651" s="408">
        <v>0.10810973327414888</v>
      </c>
      <c r="DA651" s="408">
        <v>0</v>
      </c>
      <c r="DB651" s="408">
        <v>0</v>
      </c>
      <c r="DC651" s="408">
        <v>0.3022258730980858</v>
      </c>
      <c r="DD651" s="408">
        <v>0</v>
      </c>
      <c r="DE651" s="408">
        <v>0</v>
      </c>
      <c r="DF651" s="408">
        <v>0</v>
      </c>
      <c r="DG651" s="408">
        <v>1.5861388549373079E-2</v>
      </c>
      <c r="DH651" s="408">
        <v>0</v>
      </c>
      <c r="DI651" s="408">
        <v>-2.9258315343401176E-2</v>
      </c>
      <c r="DJ651" s="408"/>
      <c r="DK651" s="408">
        <v>0</v>
      </c>
      <c r="DL651" s="408">
        <v>0</v>
      </c>
      <c r="DM651" s="408">
        <v>0</v>
      </c>
      <c r="DN651" s="408">
        <v>0</v>
      </c>
      <c r="DO651" s="408">
        <v>-4.0234886286148464E-3</v>
      </c>
      <c r="DP651" s="408">
        <v>-4.7840790943246003E-4</v>
      </c>
      <c r="DQ651" s="408">
        <v>0</v>
      </c>
      <c r="DR651" s="408">
        <v>0</v>
      </c>
      <c r="DS651" s="408"/>
      <c r="DT651" s="408"/>
      <c r="DU651" s="408"/>
      <c r="DV651" s="408">
        <v>10.057430648194986</v>
      </c>
      <c r="DW651" s="408">
        <v>0</v>
      </c>
      <c r="DX651" s="408">
        <v>0</v>
      </c>
      <c r="DY651" s="408">
        <v>-1.5402799999999992</v>
      </c>
      <c r="DZ651" s="408">
        <v>0.30225999999999997</v>
      </c>
      <c r="EA651" s="408">
        <v>0</v>
      </c>
      <c r="EB651" s="408">
        <v>0</v>
      </c>
      <c r="EC651" s="408">
        <v>-2.4984363728440613</v>
      </c>
      <c r="ED651" s="408">
        <v>0</v>
      </c>
      <c r="EE651" s="408">
        <v>0</v>
      </c>
      <c r="EF651" s="408">
        <v>0</v>
      </c>
      <c r="EG651" s="408">
        <v>0</v>
      </c>
      <c r="EH651" s="408">
        <v>0</v>
      </c>
      <c r="EI651" s="408">
        <v>0</v>
      </c>
      <c r="EJ651" s="408">
        <v>0</v>
      </c>
      <c r="EK651" s="408">
        <v>0</v>
      </c>
      <c r="EL651" s="408">
        <v>0</v>
      </c>
      <c r="EM651" s="408">
        <v>0</v>
      </c>
      <c r="EN651" s="408">
        <v>0</v>
      </c>
      <c r="EO651" s="408">
        <v>0</v>
      </c>
      <c r="EP651" s="408">
        <v>0.22004558976860181</v>
      </c>
      <c r="EQ651" s="408">
        <v>0</v>
      </c>
      <c r="ER651" s="408">
        <v>0</v>
      </c>
      <c r="ES651" s="408">
        <v>0</v>
      </c>
      <c r="ET651" s="408">
        <v>0</v>
      </c>
      <c r="EU651" s="408">
        <v>0</v>
      </c>
      <c r="EV651" s="408">
        <v>240</v>
      </c>
      <c r="EW651" s="408">
        <v>0</v>
      </c>
      <c r="EX651" s="408">
        <v>0</v>
      </c>
      <c r="EY651" s="408">
        <v>0</v>
      </c>
      <c r="EZ651" s="408"/>
      <c r="FA651" s="408">
        <v>0</v>
      </c>
      <c r="FB651" s="408"/>
      <c r="FC651" s="408"/>
      <c r="FD651" s="408"/>
      <c r="FE651" s="408"/>
      <c r="FF651" s="408">
        <v>0</v>
      </c>
      <c r="FG651" s="408">
        <v>0</v>
      </c>
      <c r="FH651" s="408">
        <v>0</v>
      </c>
      <c r="FI651" s="408">
        <v>0</v>
      </c>
    </row>
    <row r="652" spans="1:165">
      <c r="A652" s="408">
        <v>650</v>
      </c>
      <c r="B652" s="408" t="s">
        <v>1036</v>
      </c>
      <c r="C652" s="408" t="s">
        <v>2316</v>
      </c>
      <c r="D652" s="408" t="s">
        <v>1958</v>
      </c>
      <c r="E652" s="408" t="s">
        <v>970</v>
      </c>
      <c r="F652" s="408" t="s">
        <v>1322</v>
      </c>
      <c r="G652" s="408" t="s">
        <v>1322</v>
      </c>
      <c r="H652" s="408" t="s">
        <v>1322</v>
      </c>
      <c r="I652" s="408" t="s">
        <v>2244</v>
      </c>
      <c r="J652" s="408" t="s">
        <v>2236</v>
      </c>
      <c r="K652" s="826">
        <v>44652</v>
      </c>
      <c r="L652" s="408">
        <v>0</v>
      </c>
      <c r="M652" s="408">
        <v>0</v>
      </c>
      <c r="N652" s="408">
        <v>1.73</v>
      </c>
      <c r="O652" s="408">
        <v>1.73</v>
      </c>
      <c r="P652" s="408">
        <v>1.73</v>
      </c>
      <c r="Q652" s="408">
        <v>1.73</v>
      </c>
      <c r="R652" s="408"/>
      <c r="S652" s="408">
        <v>388.22</v>
      </c>
      <c r="T652" s="408">
        <v>173.25</v>
      </c>
      <c r="U652" s="408"/>
      <c r="V652" s="408">
        <v>971.34310000000005</v>
      </c>
      <c r="W652" s="408">
        <v>971.34310000000005</v>
      </c>
      <c r="X652" s="408">
        <v>968.85189999999989</v>
      </c>
      <c r="Y652" s="408">
        <v>0</v>
      </c>
      <c r="Z652" s="408">
        <v>106.47316693491079</v>
      </c>
      <c r="AA652" s="408">
        <v>0</v>
      </c>
      <c r="AB652" s="408">
        <v>0</v>
      </c>
      <c r="AC652" s="408">
        <v>37.523439133510024</v>
      </c>
      <c r="AD652" s="408">
        <v>2.5948709839479847</v>
      </c>
      <c r="AE652" s="408">
        <v>248.56240089711631</v>
      </c>
      <c r="AF652" s="408">
        <v>294.68901411259151</v>
      </c>
      <c r="AG652" s="408">
        <v>5.0295140078363625</v>
      </c>
      <c r="AH652" s="408">
        <v>0</v>
      </c>
      <c r="AI652" s="408">
        <v>0</v>
      </c>
      <c r="AJ652" s="408">
        <v>0</v>
      </c>
      <c r="AK652" s="408">
        <v>0</v>
      </c>
      <c r="AL652" s="408">
        <v>16.450622379772959</v>
      </c>
      <c r="AM652" s="408"/>
      <c r="AN652" s="408">
        <v>2.0895921158475055</v>
      </c>
      <c r="AO652" s="408">
        <v>109.18167179320547</v>
      </c>
      <c r="AP652" s="408">
        <v>106.08570869069796</v>
      </c>
      <c r="AQ652" s="408">
        <v>0</v>
      </c>
      <c r="AR652" s="408">
        <v>0</v>
      </c>
      <c r="AS652" s="408">
        <v>0</v>
      </c>
      <c r="AT652" s="408">
        <v>0</v>
      </c>
      <c r="AU652" s="408">
        <v>0</v>
      </c>
      <c r="AV652" s="408">
        <v>0</v>
      </c>
      <c r="AW652" s="408">
        <v>0</v>
      </c>
      <c r="AX652" s="408">
        <v>0</v>
      </c>
      <c r="AY652" s="408">
        <v>0</v>
      </c>
      <c r="AZ652" s="408">
        <v>0</v>
      </c>
      <c r="BA652" s="408"/>
      <c r="BB652" s="408">
        <v>0</v>
      </c>
      <c r="BC652" s="408">
        <v>0</v>
      </c>
      <c r="BD652" s="408">
        <v>0</v>
      </c>
      <c r="BE652" s="408">
        <v>0</v>
      </c>
      <c r="BF652" s="408">
        <v>0</v>
      </c>
      <c r="BG652" s="408">
        <v>15.465839857312247</v>
      </c>
      <c r="BH652" s="408">
        <v>0</v>
      </c>
      <c r="BI652" s="408">
        <v>0</v>
      </c>
      <c r="BJ652" s="408">
        <v>0</v>
      </c>
      <c r="BK652" s="408">
        <v>0</v>
      </c>
      <c r="BL652" s="408">
        <v>0</v>
      </c>
      <c r="BM652" s="408"/>
      <c r="BN652" s="408"/>
      <c r="BO652" s="408"/>
      <c r="BP652" s="408"/>
      <c r="BQ652" s="408"/>
      <c r="BR652" s="408"/>
      <c r="BS652" s="408"/>
      <c r="BT652" s="408"/>
      <c r="BU652" s="408"/>
      <c r="BV652" s="408">
        <v>310.15485396990374</v>
      </c>
      <c r="BW652" s="408"/>
      <c r="BX652" s="408"/>
      <c r="BY652" s="408"/>
      <c r="BZ652" s="408"/>
      <c r="CA652" s="408"/>
      <c r="CB652" s="408"/>
      <c r="CC652" s="408"/>
      <c r="CD652" s="408"/>
      <c r="CE652" s="408"/>
      <c r="CF652" s="408"/>
      <c r="CG652" s="408"/>
      <c r="CH652" s="408"/>
      <c r="CI652" s="408">
        <v>968.85189999999989</v>
      </c>
      <c r="CJ652" s="408">
        <v>-2.5212000000001353</v>
      </c>
      <c r="CK652" s="408"/>
      <c r="CL652" s="408"/>
      <c r="CM652" s="408"/>
      <c r="CN652" s="408"/>
      <c r="CO652" s="408">
        <v>-39.841900000000052</v>
      </c>
      <c r="CP652" s="408">
        <v>37.350700000000003</v>
      </c>
      <c r="CQ652" s="408">
        <v>30</v>
      </c>
      <c r="CR652" s="408">
        <v>59.257491401212405</v>
      </c>
      <c r="CS652" s="408">
        <v>10.879720224633601</v>
      </c>
      <c r="CT652" s="408">
        <v>10.571214118912366</v>
      </c>
      <c r="CU652" s="408">
        <v>0</v>
      </c>
      <c r="CV652" s="408">
        <v>0</v>
      </c>
      <c r="CW652" s="408">
        <v>0</v>
      </c>
      <c r="CX652" s="408">
        <v>0</v>
      </c>
      <c r="CY652" s="408">
        <v>0</v>
      </c>
      <c r="CZ652" s="408">
        <v>2.6718573365809224</v>
      </c>
      <c r="DA652" s="408">
        <v>0</v>
      </c>
      <c r="DB652" s="408">
        <v>0</v>
      </c>
      <c r="DC652" s="408">
        <v>37.346482889977722</v>
      </c>
      <c r="DD652" s="408">
        <v>0</v>
      </c>
      <c r="DE652" s="408">
        <v>0</v>
      </c>
      <c r="DF652" s="408">
        <v>0</v>
      </c>
      <c r="DG652" s="408">
        <v>1.960014442172529</v>
      </c>
      <c r="DH652" s="408">
        <v>0</v>
      </c>
      <c r="DI652" s="408">
        <v>-3.6154918245774468</v>
      </c>
      <c r="DJ652" s="408"/>
      <c r="DK652" s="408">
        <v>0</v>
      </c>
      <c r="DL652" s="408">
        <v>0</v>
      </c>
      <c r="DM652" s="408">
        <v>0</v>
      </c>
      <c r="DN652" s="408">
        <v>0</v>
      </c>
      <c r="DO652" s="408">
        <v>-0.49718823767883258</v>
      </c>
      <c r="DP652" s="408">
        <v>-5.9117548808439668E-2</v>
      </c>
      <c r="DQ652" s="408">
        <v>0</v>
      </c>
      <c r="DR652" s="408">
        <v>0</v>
      </c>
      <c r="DS652" s="408"/>
      <c r="DT652" s="408"/>
      <c r="DU652" s="408"/>
      <c r="DV652" s="408">
        <v>248.56240089711631</v>
      </c>
      <c r="DW652" s="408">
        <v>0</v>
      </c>
      <c r="DX652" s="408">
        <v>0</v>
      </c>
      <c r="DY652" s="408">
        <v>-39.841900000000123</v>
      </c>
      <c r="DZ652" s="408">
        <v>37.350699999999961</v>
      </c>
      <c r="EA652" s="408">
        <v>0</v>
      </c>
      <c r="EB652" s="408">
        <v>0</v>
      </c>
      <c r="EC652" s="408">
        <v>-61.747116639004958</v>
      </c>
      <c r="ED652" s="408">
        <v>0</v>
      </c>
      <c r="EE652" s="408">
        <v>0</v>
      </c>
      <c r="EF652" s="408">
        <v>0</v>
      </c>
      <c r="EG652" s="408">
        <v>0</v>
      </c>
      <c r="EH652" s="408">
        <v>0</v>
      </c>
      <c r="EI652" s="408">
        <v>0</v>
      </c>
      <c r="EJ652" s="408">
        <v>0</v>
      </c>
      <c r="EK652" s="408">
        <v>0</v>
      </c>
      <c r="EL652" s="408">
        <v>0</v>
      </c>
      <c r="EM652" s="408">
        <v>0</v>
      </c>
      <c r="EN652" s="408">
        <v>0</v>
      </c>
      <c r="EO652" s="408">
        <v>0</v>
      </c>
      <c r="EP652" s="408">
        <v>27.191347878548651</v>
      </c>
      <c r="EQ652" s="408">
        <v>0</v>
      </c>
      <c r="ER652" s="408">
        <v>0</v>
      </c>
      <c r="ES652" s="408">
        <v>0</v>
      </c>
      <c r="ET652" s="408">
        <v>0</v>
      </c>
      <c r="EU652" s="408">
        <v>0</v>
      </c>
      <c r="EV652" s="408">
        <v>240</v>
      </c>
      <c r="EW652" s="408">
        <v>0</v>
      </c>
      <c r="EX652" s="408">
        <v>0</v>
      </c>
      <c r="EY652" s="408">
        <v>0</v>
      </c>
      <c r="EZ652" s="408"/>
      <c r="FA652" s="408">
        <v>0</v>
      </c>
      <c r="FB652" s="408"/>
      <c r="FC652" s="408"/>
      <c r="FD652" s="408"/>
      <c r="FE652" s="408"/>
      <c r="FF652" s="408">
        <v>0</v>
      </c>
      <c r="FG652" s="408">
        <v>0</v>
      </c>
      <c r="FH652" s="408">
        <v>0</v>
      </c>
      <c r="FI652" s="408">
        <v>0</v>
      </c>
    </row>
    <row r="653" spans="1:165">
      <c r="A653" s="408">
        <v>651</v>
      </c>
      <c r="B653" s="408" t="s">
        <v>1036</v>
      </c>
      <c r="C653" s="408" t="s">
        <v>2316</v>
      </c>
      <c r="D653" s="408" t="s">
        <v>1958</v>
      </c>
      <c r="E653" s="408" t="s">
        <v>970</v>
      </c>
      <c r="F653" s="408" t="s">
        <v>1322</v>
      </c>
      <c r="G653" s="408" t="s">
        <v>1322</v>
      </c>
      <c r="H653" s="408" t="s">
        <v>1322</v>
      </c>
      <c r="I653" s="408" t="s">
        <v>1322</v>
      </c>
      <c r="J653" s="408" t="s">
        <v>2236</v>
      </c>
      <c r="K653" s="826">
        <v>44652</v>
      </c>
      <c r="L653" s="408">
        <v>0</v>
      </c>
      <c r="M653" s="408">
        <v>0</v>
      </c>
      <c r="N653" s="408">
        <v>0</v>
      </c>
      <c r="O653" s="408">
        <v>0</v>
      </c>
      <c r="P653" s="408">
        <v>0</v>
      </c>
      <c r="Q653" s="408">
        <v>0</v>
      </c>
      <c r="R653" s="408"/>
      <c r="S653" s="408"/>
      <c r="T653" s="408"/>
      <c r="U653" s="408"/>
      <c r="V653" s="408"/>
      <c r="W653" s="408"/>
      <c r="X653" s="408"/>
      <c r="Y653" s="408"/>
      <c r="Z653" s="408"/>
      <c r="AA653" s="408">
        <v>0</v>
      </c>
      <c r="AB653" s="408"/>
      <c r="AC653" s="408"/>
      <c r="AD653" s="408"/>
      <c r="AE653" s="408"/>
      <c r="AF653" s="408"/>
      <c r="AG653" s="408"/>
      <c r="AH653" s="408"/>
      <c r="AI653" s="408"/>
      <c r="AJ653" s="408"/>
      <c r="AK653" s="408"/>
      <c r="AL653" s="408"/>
      <c r="AM653" s="408"/>
      <c r="AN653" s="408"/>
      <c r="AO653" s="408"/>
      <c r="AP653" s="408"/>
      <c r="AQ653" s="408"/>
      <c r="AR653" s="408"/>
      <c r="AS653" s="408"/>
      <c r="AT653" s="408"/>
      <c r="AU653" s="408"/>
      <c r="AV653" s="408"/>
      <c r="AW653" s="408"/>
      <c r="AX653" s="408"/>
      <c r="AY653" s="408"/>
      <c r="AZ653" s="408">
        <v>0</v>
      </c>
      <c r="BA653" s="408"/>
      <c r="BB653" s="408"/>
      <c r="BC653" s="408"/>
      <c r="BD653" s="408"/>
      <c r="BE653" s="408"/>
      <c r="BF653" s="408"/>
      <c r="BG653" s="408"/>
      <c r="BH653" s="408"/>
      <c r="BI653" s="408">
        <v>0.89</v>
      </c>
      <c r="BJ653" s="408">
        <v>9.57</v>
      </c>
      <c r="BK653" s="408">
        <v>261.49</v>
      </c>
      <c r="BL653" s="408">
        <v>1</v>
      </c>
      <c r="BM653" s="408"/>
      <c r="BN653" s="408"/>
      <c r="BO653" s="408"/>
      <c r="BP653" s="408"/>
      <c r="BQ653" s="408"/>
      <c r="BR653" s="408"/>
      <c r="BS653" s="408"/>
      <c r="BT653" s="408"/>
      <c r="BU653" s="408"/>
      <c r="BV653" s="408"/>
      <c r="BW653" s="408"/>
      <c r="BX653" s="408"/>
      <c r="BY653" s="408"/>
      <c r="BZ653" s="408"/>
      <c r="CA653" s="408"/>
      <c r="CB653" s="408"/>
      <c r="CC653" s="408"/>
      <c r="CD653" s="408"/>
      <c r="CE653" s="408"/>
      <c r="CF653" s="408"/>
      <c r="CG653" s="408"/>
      <c r="CH653" s="408"/>
      <c r="CI653" s="408"/>
      <c r="CJ653" s="408">
        <v>-0.03</v>
      </c>
      <c r="CK653" s="408"/>
      <c r="CL653" s="408"/>
      <c r="CM653" s="408"/>
      <c r="CN653" s="408"/>
      <c r="CO653" s="408">
        <v>0</v>
      </c>
      <c r="CP653" s="408">
        <v>0</v>
      </c>
      <c r="CQ653" s="408">
        <v>30</v>
      </c>
      <c r="CR653" s="408"/>
      <c r="CS653" s="408"/>
      <c r="CT653" s="408"/>
      <c r="CU653" s="408"/>
      <c r="CV653" s="408"/>
      <c r="CW653" s="408"/>
      <c r="CX653" s="408"/>
      <c r="CY653" s="408"/>
      <c r="CZ653" s="408"/>
      <c r="DA653" s="408"/>
      <c r="DB653" s="408"/>
      <c r="DC653" s="408"/>
      <c r="DD653" s="408"/>
      <c r="DE653" s="408"/>
      <c r="DF653" s="408"/>
      <c r="DG653" s="408"/>
      <c r="DH653" s="408"/>
      <c r="DI653" s="408"/>
      <c r="DJ653" s="408"/>
      <c r="DK653" s="408">
        <v>0</v>
      </c>
      <c r="DL653" s="408"/>
      <c r="DM653" s="408"/>
      <c r="DN653" s="408"/>
      <c r="DO653" s="408"/>
      <c r="DP653" s="408"/>
      <c r="DQ653" s="408"/>
      <c r="DR653" s="408"/>
      <c r="DS653" s="408"/>
      <c r="DT653" s="408"/>
      <c r="DU653" s="408"/>
      <c r="DV653" s="408"/>
      <c r="DW653" s="408"/>
      <c r="DX653" s="408"/>
      <c r="DY653" s="408"/>
      <c r="DZ653" s="408"/>
      <c r="EA653" s="408"/>
      <c r="EB653" s="408"/>
      <c r="EC653" s="408"/>
      <c r="ED653" s="408"/>
      <c r="EE653" s="408"/>
      <c r="EF653" s="408"/>
      <c r="EG653" s="408"/>
      <c r="EH653" s="408"/>
      <c r="EI653" s="408"/>
      <c r="EJ653" s="408"/>
      <c r="EK653" s="408"/>
      <c r="EL653" s="408"/>
      <c r="EM653" s="408"/>
      <c r="EN653" s="408"/>
      <c r="EO653" s="408"/>
      <c r="EP653" s="408"/>
      <c r="EQ653" s="408"/>
      <c r="ER653" s="408"/>
      <c r="ES653" s="408"/>
      <c r="ET653" s="408"/>
      <c r="EU653" s="408"/>
      <c r="EV653" s="408">
        <v>240</v>
      </c>
      <c r="EW653" s="408"/>
      <c r="EX653" s="408"/>
      <c r="EY653" s="408"/>
      <c r="EZ653" s="408"/>
      <c r="FA653" s="408">
        <v>0</v>
      </c>
      <c r="FB653" s="408"/>
      <c r="FC653" s="408"/>
      <c r="FD653" s="408"/>
      <c r="FE653" s="408"/>
      <c r="FF653" s="408">
        <v>0</v>
      </c>
      <c r="FG653" s="408">
        <v>0</v>
      </c>
      <c r="FH653" s="408">
        <v>0</v>
      </c>
      <c r="FI653" s="408">
        <v>0</v>
      </c>
    </row>
    <row r="654" spans="1:165">
      <c r="A654" s="408">
        <v>652</v>
      </c>
      <c r="B654" s="408" t="s">
        <v>1036</v>
      </c>
      <c r="C654" s="408" t="s">
        <v>2316</v>
      </c>
      <c r="D654" s="408" t="s">
        <v>1958</v>
      </c>
      <c r="E654" s="408" t="s">
        <v>970</v>
      </c>
      <c r="F654" s="408" t="s">
        <v>1322</v>
      </c>
      <c r="G654" s="408" t="s">
        <v>1322</v>
      </c>
      <c r="H654" s="408" t="s">
        <v>1322</v>
      </c>
      <c r="I654" s="408" t="s">
        <v>2317</v>
      </c>
      <c r="J654" s="408" t="s">
        <v>2236</v>
      </c>
      <c r="K654" s="826">
        <v>44652</v>
      </c>
      <c r="L654" s="408">
        <v>0</v>
      </c>
      <c r="M654" s="408">
        <v>0</v>
      </c>
      <c r="N654" s="408">
        <v>8.5000000000000006E-2</v>
      </c>
      <c r="O654" s="408">
        <v>8.5000000000000006E-2</v>
      </c>
      <c r="P654" s="408">
        <v>8.5000000000000006E-2</v>
      </c>
      <c r="Q654" s="408">
        <v>8.5000000000000006E-2</v>
      </c>
      <c r="R654" s="408"/>
      <c r="S654" s="408">
        <v>970.82</v>
      </c>
      <c r="T654" s="408">
        <v>173.25</v>
      </c>
      <c r="U654" s="408"/>
      <c r="V654" s="408">
        <v>97.245950000000022</v>
      </c>
      <c r="W654" s="408">
        <v>97.245950000000022</v>
      </c>
      <c r="X654" s="408">
        <v>93.426050000000004</v>
      </c>
      <c r="Y654" s="408">
        <v>0</v>
      </c>
      <c r="Z654" s="408">
        <v>5.2313405719464843</v>
      </c>
      <c r="AA654" s="408">
        <v>0</v>
      </c>
      <c r="AB654" s="408">
        <v>0</v>
      </c>
      <c r="AC654" s="408">
        <v>5.5309115485809661</v>
      </c>
      <c r="AD654" s="408">
        <v>0.38248098318308366</v>
      </c>
      <c r="AE654" s="408">
        <v>36.637792229330977</v>
      </c>
      <c r="AF654" s="408">
        <v>14.478939999751606</v>
      </c>
      <c r="AG654" s="408">
        <v>0.24711485009600628</v>
      </c>
      <c r="AH654" s="408">
        <v>0</v>
      </c>
      <c r="AI654" s="408">
        <v>0</v>
      </c>
      <c r="AJ654" s="408">
        <v>0</v>
      </c>
      <c r="AK654" s="408">
        <v>0</v>
      </c>
      <c r="AL654" s="408">
        <v>0.80826757357265988</v>
      </c>
      <c r="AM654" s="408"/>
      <c r="AN654" s="408">
        <v>0.10266782072083119</v>
      </c>
      <c r="AO654" s="408">
        <v>16.093252200732582</v>
      </c>
      <c r="AP654" s="408">
        <v>15.636910818571121</v>
      </c>
      <c r="AQ654" s="408">
        <v>0</v>
      </c>
      <c r="AR654" s="408">
        <v>0</v>
      </c>
      <c r="AS654" s="408">
        <v>0</v>
      </c>
      <c r="AT654" s="408">
        <v>0</v>
      </c>
      <c r="AU654" s="408">
        <v>0</v>
      </c>
      <c r="AV654" s="408">
        <v>0</v>
      </c>
      <c r="AW654" s="408">
        <v>0</v>
      </c>
      <c r="AX654" s="408">
        <v>0</v>
      </c>
      <c r="AY654" s="408">
        <v>0</v>
      </c>
      <c r="AZ654" s="408">
        <v>0</v>
      </c>
      <c r="BA654" s="408"/>
      <c r="BB654" s="408">
        <v>0</v>
      </c>
      <c r="BC654" s="408">
        <v>0</v>
      </c>
      <c r="BD654" s="408">
        <v>0</v>
      </c>
      <c r="BE654" s="408">
        <v>0</v>
      </c>
      <c r="BF654" s="408">
        <v>0</v>
      </c>
      <c r="BG654" s="408">
        <v>0.75988230512805843</v>
      </c>
      <c r="BH654" s="408">
        <v>0</v>
      </c>
      <c r="BI654" s="408">
        <v>0</v>
      </c>
      <c r="BJ654" s="408">
        <v>0</v>
      </c>
      <c r="BK654" s="408">
        <v>0</v>
      </c>
      <c r="BL654" s="408">
        <v>0</v>
      </c>
      <c r="BM654" s="408"/>
      <c r="BN654" s="408"/>
      <c r="BO654" s="408"/>
      <c r="BP654" s="408"/>
      <c r="BQ654" s="408"/>
      <c r="BR654" s="408"/>
      <c r="BS654" s="408"/>
      <c r="BT654" s="408"/>
      <c r="BU654" s="408"/>
      <c r="BV654" s="408">
        <v>15.238822304879665</v>
      </c>
      <c r="BW654" s="408"/>
      <c r="BX654" s="408"/>
      <c r="BY654" s="408"/>
      <c r="BZ654" s="408"/>
      <c r="CA654" s="408"/>
      <c r="CB654" s="408"/>
      <c r="CC654" s="408"/>
      <c r="CD654" s="408"/>
      <c r="CE654" s="408"/>
      <c r="CF654" s="408"/>
      <c r="CG654" s="408"/>
      <c r="CH654" s="408"/>
      <c r="CI654" s="408">
        <v>98.921700000000001</v>
      </c>
      <c r="CJ654" s="408">
        <v>1.6457499999999641</v>
      </c>
      <c r="CK654" s="408"/>
      <c r="CL654" s="408"/>
      <c r="CM654" s="408"/>
      <c r="CN654" s="408"/>
      <c r="CO654" s="408">
        <v>-5.6550500000000081</v>
      </c>
      <c r="CP654" s="408">
        <v>1.8351500000000005</v>
      </c>
      <c r="CQ654" s="408">
        <v>30</v>
      </c>
      <c r="CR654" s="408">
        <v>5.281942979609596</v>
      </c>
      <c r="CS654" s="408">
        <v>1.6036581833997943</v>
      </c>
      <c r="CT654" s="408">
        <v>1.5581847400708391</v>
      </c>
      <c r="CU654" s="408">
        <v>0</v>
      </c>
      <c r="CV654" s="408">
        <v>0</v>
      </c>
      <c r="CW654" s="408">
        <v>0</v>
      </c>
      <c r="CX654" s="408">
        <v>0</v>
      </c>
      <c r="CY654" s="408">
        <v>0</v>
      </c>
      <c r="CZ654" s="408">
        <v>0.39382868255961745</v>
      </c>
      <c r="DA654" s="408">
        <v>0</v>
      </c>
      <c r="DB654" s="408">
        <v>0</v>
      </c>
      <c r="DC654" s="408">
        <v>1.834942800952664</v>
      </c>
      <c r="DD654" s="408">
        <v>0</v>
      </c>
      <c r="DE654" s="408">
        <v>0</v>
      </c>
      <c r="DF654" s="408">
        <v>0</v>
      </c>
      <c r="DG654" s="408">
        <v>9.6301287621193721E-2</v>
      </c>
      <c r="DH654" s="408">
        <v>0</v>
      </c>
      <c r="DI654" s="408">
        <v>-0.17763977172779288</v>
      </c>
      <c r="DJ654" s="408"/>
      <c r="DK654" s="408">
        <v>0</v>
      </c>
      <c r="DL654" s="408">
        <v>0</v>
      </c>
      <c r="DM654" s="408">
        <v>0</v>
      </c>
      <c r="DN654" s="408">
        <v>0</v>
      </c>
      <c r="DO654" s="408">
        <v>-2.4428323816589992E-2</v>
      </c>
      <c r="DP654" s="408">
        <v>-2.9046194501256423E-3</v>
      </c>
      <c r="DQ654" s="408">
        <v>0</v>
      </c>
      <c r="DR654" s="408">
        <v>0</v>
      </c>
      <c r="DS654" s="408"/>
      <c r="DT654" s="408"/>
      <c r="DU654" s="408"/>
      <c r="DV654" s="408">
        <v>36.637792229330977</v>
      </c>
      <c r="DW654" s="408">
        <v>0</v>
      </c>
      <c r="DX654" s="408">
        <v>0</v>
      </c>
      <c r="DY654" s="408">
        <v>-5.655050000000017</v>
      </c>
      <c r="DZ654" s="408">
        <v>1.8351500000000023</v>
      </c>
      <c r="EA654" s="408">
        <v>0</v>
      </c>
      <c r="EB654" s="408">
        <v>0</v>
      </c>
      <c r="EC654" s="408">
        <v>-9.1014490607391885</v>
      </c>
      <c r="ED654" s="408">
        <v>0</v>
      </c>
      <c r="EE654" s="408">
        <v>0</v>
      </c>
      <c r="EF654" s="408">
        <v>0</v>
      </c>
      <c r="EG654" s="408">
        <v>0</v>
      </c>
      <c r="EH654" s="408">
        <v>0</v>
      </c>
      <c r="EI654" s="408">
        <v>0</v>
      </c>
      <c r="EJ654" s="408">
        <v>0</v>
      </c>
      <c r="EK654" s="408">
        <v>0</v>
      </c>
      <c r="EL654" s="408">
        <v>0</v>
      </c>
      <c r="EM654" s="408">
        <v>0</v>
      </c>
      <c r="EN654" s="408">
        <v>0</v>
      </c>
      <c r="EO654" s="408">
        <v>0</v>
      </c>
      <c r="EP654" s="408">
        <v>1.3359910807379396</v>
      </c>
      <c r="EQ654" s="408">
        <v>0</v>
      </c>
      <c r="ER654" s="408">
        <v>0</v>
      </c>
      <c r="ES654" s="408">
        <v>0</v>
      </c>
      <c r="ET654" s="408">
        <v>0</v>
      </c>
      <c r="EU654" s="408">
        <v>0</v>
      </c>
      <c r="EV654" s="408">
        <v>240</v>
      </c>
      <c r="EW654" s="408">
        <v>0</v>
      </c>
      <c r="EX654" s="408">
        <v>0</v>
      </c>
      <c r="EY654" s="408">
        <v>0</v>
      </c>
      <c r="EZ654" s="408"/>
      <c r="FA654" s="408">
        <v>0</v>
      </c>
      <c r="FB654" s="408"/>
      <c r="FC654" s="408"/>
      <c r="FD654" s="408"/>
      <c r="FE654" s="408"/>
      <c r="FF654" s="408">
        <v>0</v>
      </c>
      <c r="FG654" s="408">
        <v>0</v>
      </c>
      <c r="FH654" s="408">
        <v>0</v>
      </c>
      <c r="FI654" s="408">
        <v>0</v>
      </c>
    </row>
    <row r="655" spans="1:165">
      <c r="A655" s="408">
        <v>653</v>
      </c>
      <c r="B655" s="408" t="s">
        <v>1036</v>
      </c>
      <c r="C655" s="408" t="s">
        <v>2235</v>
      </c>
      <c r="D655" s="408" t="s">
        <v>1958</v>
      </c>
      <c r="E655" s="408" t="s">
        <v>998</v>
      </c>
      <c r="F655" s="408" t="s">
        <v>1322</v>
      </c>
      <c r="G655" s="408" t="s">
        <v>1322</v>
      </c>
      <c r="H655" s="408" t="s">
        <v>1322</v>
      </c>
      <c r="I655" s="408" t="s">
        <v>1322</v>
      </c>
      <c r="J655" s="408" t="s">
        <v>2236</v>
      </c>
      <c r="K655" s="826">
        <v>44652</v>
      </c>
      <c r="L655" s="408">
        <v>0</v>
      </c>
      <c r="M655" s="408">
        <v>0</v>
      </c>
      <c r="N655" s="408">
        <v>2653.96</v>
      </c>
      <c r="O655" s="408">
        <v>2653.96</v>
      </c>
      <c r="P655" s="408">
        <v>2653.96</v>
      </c>
      <c r="Q655" s="408">
        <v>2653.96</v>
      </c>
      <c r="R655" s="408"/>
      <c r="S655" s="408">
        <v>368.24</v>
      </c>
      <c r="T655" s="408">
        <v>173.25</v>
      </c>
      <c r="U655" s="408"/>
      <c r="V655" s="408">
        <v>1437092.8004000001</v>
      </c>
      <c r="W655" s="408">
        <v>1437092.8004000001</v>
      </c>
      <c r="X655" s="408">
        <v>1350573.7044000002</v>
      </c>
      <c r="Y655" s="408">
        <v>0</v>
      </c>
      <c r="Z655" s="408">
        <v>163338.45440380106</v>
      </c>
      <c r="AA655" s="408">
        <v>0</v>
      </c>
      <c r="AB655" s="408">
        <v>0</v>
      </c>
      <c r="AC655" s="408">
        <v>6792.9097848991014</v>
      </c>
      <c r="AD655" s="408">
        <v>6526.4630744971109</v>
      </c>
      <c r="AE655" s="408">
        <v>625106.05729229585</v>
      </c>
      <c r="AF655" s="408">
        <v>452076.79531459732</v>
      </c>
      <c r="AG655" s="408">
        <v>7715.6815007152563</v>
      </c>
      <c r="AH655" s="408">
        <v>0</v>
      </c>
      <c r="AI655" s="408">
        <v>0</v>
      </c>
      <c r="AJ655" s="408">
        <v>0</v>
      </c>
      <c r="AK655" s="408">
        <v>0</v>
      </c>
      <c r="AL655" s="408">
        <v>25236.585994810546</v>
      </c>
      <c r="AM655" s="408"/>
      <c r="AN655" s="408">
        <v>3205.6034056500844</v>
      </c>
      <c r="AO655" s="408">
        <v>14420.014447895044</v>
      </c>
      <c r="AP655" s="408">
        <v>67238.400029584402</v>
      </c>
      <c r="AQ655" s="408">
        <v>0</v>
      </c>
      <c r="AR655" s="408">
        <v>0</v>
      </c>
      <c r="AS655" s="408">
        <v>0</v>
      </c>
      <c r="AT655" s="408">
        <v>0</v>
      </c>
      <c r="AU655" s="408">
        <v>0</v>
      </c>
      <c r="AV655" s="408">
        <v>0</v>
      </c>
      <c r="AW655" s="408">
        <v>0</v>
      </c>
      <c r="AX655" s="408">
        <v>0</v>
      </c>
      <c r="AY655" s="408">
        <v>0</v>
      </c>
      <c r="AZ655" s="408">
        <v>0</v>
      </c>
      <c r="BA655" s="408"/>
      <c r="BB655" s="408">
        <v>0</v>
      </c>
      <c r="BC655" s="408">
        <v>0</v>
      </c>
      <c r="BD655" s="408">
        <v>0</v>
      </c>
      <c r="BE655" s="408">
        <v>0</v>
      </c>
      <c r="BF655" s="408">
        <v>0</v>
      </c>
      <c r="BG655" s="408">
        <v>23725.849911972491</v>
      </c>
      <c r="BH655" s="408">
        <v>0</v>
      </c>
      <c r="BI655" s="408">
        <v>1162.1500000000001</v>
      </c>
      <c r="BJ655" s="408">
        <v>12671.38</v>
      </c>
      <c r="BK655" s="408">
        <v>563198.25</v>
      </c>
      <c r="BL655" s="408">
        <v>4331</v>
      </c>
      <c r="BM655" s="408"/>
      <c r="BN655" s="408"/>
      <c r="BO655" s="408"/>
      <c r="BP655" s="408"/>
      <c r="BQ655" s="408"/>
      <c r="BR655" s="408"/>
      <c r="BS655" s="408"/>
      <c r="BT655" s="408"/>
      <c r="BU655" s="408"/>
      <c r="BV655" s="408">
        <v>475802.64522656979</v>
      </c>
      <c r="BW655" s="408"/>
      <c r="BX655" s="408"/>
      <c r="BY655" s="408"/>
      <c r="BZ655" s="408"/>
      <c r="CA655" s="408"/>
      <c r="CB655" s="408"/>
      <c r="CC655" s="408"/>
      <c r="CD655" s="408"/>
      <c r="CE655" s="408"/>
      <c r="CF655" s="408"/>
      <c r="CG655" s="408"/>
      <c r="CH655" s="408"/>
      <c r="CI655" s="408">
        <v>1350573.7044000002</v>
      </c>
      <c r="CJ655" s="408">
        <v>-86519.125999999931</v>
      </c>
      <c r="CK655" s="408"/>
      <c r="CL655" s="408"/>
      <c r="CM655" s="408"/>
      <c r="CN655" s="408"/>
      <c r="CO655" s="408">
        <v>-143818.09239999999</v>
      </c>
      <c r="CP655" s="408">
        <v>57298.996400000011</v>
      </c>
      <c r="CQ655" s="408">
        <v>30</v>
      </c>
      <c r="CR655" s="408">
        <v>68756.653612886788</v>
      </c>
      <c r="CS655" s="408">
        <v>1436.9236177792045</v>
      </c>
      <c r="CT655" s="408">
        <v>6700.1628447258845</v>
      </c>
      <c r="CU655" s="408">
        <v>0</v>
      </c>
      <c r="CV655" s="408">
        <v>0</v>
      </c>
      <c r="CW655" s="408">
        <v>0</v>
      </c>
      <c r="CX655" s="408">
        <v>0</v>
      </c>
      <c r="CY655" s="408">
        <v>0</v>
      </c>
      <c r="CZ655" s="408">
        <v>6720.094507738826</v>
      </c>
      <c r="DA655" s="408">
        <v>0</v>
      </c>
      <c r="DB655" s="408">
        <v>0</v>
      </c>
      <c r="DC655" s="408">
        <v>57292.527011956845</v>
      </c>
      <c r="DD655" s="408">
        <v>0</v>
      </c>
      <c r="DE655" s="408">
        <v>0</v>
      </c>
      <c r="DF655" s="408">
        <v>0</v>
      </c>
      <c r="DG655" s="408">
        <v>3006.8207681781569</v>
      </c>
      <c r="DH655" s="408">
        <v>0</v>
      </c>
      <c r="DI655" s="408">
        <v>-5546.4570420552336</v>
      </c>
      <c r="DJ655" s="408"/>
      <c r="DK655" s="408">
        <v>0</v>
      </c>
      <c r="DL655" s="408">
        <v>0</v>
      </c>
      <c r="DM655" s="408">
        <v>0</v>
      </c>
      <c r="DN655" s="408">
        <v>0</v>
      </c>
      <c r="DO655" s="408">
        <v>-762.72699148561514</v>
      </c>
      <c r="DP655" s="408">
        <v>-90.691103951241075</v>
      </c>
      <c r="DQ655" s="408">
        <v>0</v>
      </c>
      <c r="DR655" s="408">
        <v>0</v>
      </c>
      <c r="DS655" s="408"/>
      <c r="DT655" s="408"/>
      <c r="DU655" s="408"/>
      <c r="DV655" s="408">
        <v>625106.05729229585</v>
      </c>
      <c r="DW655" s="408">
        <v>0</v>
      </c>
      <c r="DX655" s="408">
        <v>0</v>
      </c>
      <c r="DY655" s="408">
        <v>-143818.09239999996</v>
      </c>
      <c r="DZ655" s="408">
        <v>57298.996400000004</v>
      </c>
      <c r="EA655" s="408">
        <v>0</v>
      </c>
      <c r="EB655" s="408">
        <v>0</v>
      </c>
      <c r="EC655" s="408">
        <v>-155286.9480342397</v>
      </c>
      <c r="ED655" s="408">
        <v>0</v>
      </c>
      <c r="EE655" s="408">
        <v>0</v>
      </c>
      <c r="EF655" s="408">
        <v>0</v>
      </c>
      <c r="EG655" s="408">
        <v>0</v>
      </c>
      <c r="EH655" s="408">
        <v>0</v>
      </c>
      <c r="EI655" s="408">
        <v>0</v>
      </c>
      <c r="EJ655" s="408">
        <v>0</v>
      </c>
      <c r="EK655" s="408">
        <v>0</v>
      </c>
      <c r="EL655" s="408">
        <v>0</v>
      </c>
      <c r="EM655" s="408">
        <v>0</v>
      </c>
      <c r="EN655" s="408">
        <v>0</v>
      </c>
      <c r="EO655" s="408">
        <v>0</v>
      </c>
      <c r="EP655" s="408">
        <v>41713.728101591318</v>
      </c>
      <c r="EQ655" s="408">
        <v>0</v>
      </c>
      <c r="ER655" s="408">
        <v>0</v>
      </c>
      <c r="ES655" s="408">
        <v>0</v>
      </c>
      <c r="ET655" s="408">
        <v>0</v>
      </c>
      <c r="EU655" s="408">
        <v>0</v>
      </c>
      <c r="EV655" s="408">
        <v>240</v>
      </c>
      <c r="EW655" s="408">
        <v>0</v>
      </c>
      <c r="EX655" s="408">
        <v>0</v>
      </c>
      <c r="EY655" s="408">
        <v>0</v>
      </c>
      <c r="EZ655" s="408"/>
      <c r="FA655" s="408">
        <v>0</v>
      </c>
      <c r="FB655" s="408"/>
      <c r="FC655" s="408"/>
      <c r="FD655" s="408"/>
      <c r="FE655" s="408"/>
      <c r="FF655" s="408">
        <v>0</v>
      </c>
      <c r="FG655" s="408">
        <v>0</v>
      </c>
      <c r="FH655" s="408">
        <v>0</v>
      </c>
      <c r="FI655" s="408">
        <v>0</v>
      </c>
    </row>
    <row r="656" spans="1:165">
      <c r="A656" s="408">
        <v>654</v>
      </c>
      <c r="B656" s="408" t="s">
        <v>2238</v>
      </c>
      <c r="C656" s="408" t="s">
        <v>2235</v>
      </c>
      <c r="D656" s="408" t="s">
        <v>1958</v>
      </c>
      <c r="E656" s="408" t="s">
        <v>998</v>
      </c>
      <c r="F656" s="408" t="s">
        <v>1322</v>
      </c>
      <c r="G656" s="408" t="s">
        <v>1322</v>
      </c>
      <c r="H656" s="408" t="s">
        <v>1322</v>
      </c>
      <c r="I656" s="408" t="s">
        <v>1322</v>
      </c>
      <c r="J656" s="408" t="s">
        <v>2236</v>
      </c>
      <c r="K656" s="826">
        <v>44652</v>
      </c>
      <c r="L656" s="408">
        <v>0</v>
      </c>
      <c r="M656" s="408">
        <v>0</v>
      </c>
      <c r="N656" s="408">
        <v>200.61</v>
      </c>
      <c r="O656" s="408">
        <v>200.61</v>
      </c>
      <c r="P656" s="408">
        <v>200.61</v>
      </c>
      <c r="Q656" s="408">
        <v>200.61</v>
      </c>
      <c r="R656" s="408"/>
      <c r="S656" s="408">
        <v>368.24</v>
      </c>
      <c r="T656" s="408">
        <v>173.25</v>
      </c>
      <c r="U656" s="408"/>
      <c r="V656" s="408">
        <v>108628.3089</v>
      </c>
      <c r="W656" s="408">
        <v>108628.3089</v>
      </c>
      <c r="X656" s="408">
        <v>102088.42290000001</v>
      </c>
      <c r="Y656" s="408">
        <v>0</v>
      </c>
      <c r="Z656" s="408">
        <v>12346.579201625696</v>
      </c>
      <c r="AA656" s="408">
        <v>0</v>
      </c>
      <c r="AB656" s="408">
        <v>0</v>
      </c>
      <c r="AC656" s="408">
        <v>513.46879076874131</v>
      </c>
      <c r="AD656" s="408">
        <v>493.32836869239384</v>
      </c>
      <c r="AE656" s="408">
        <v>47251.098793277772</v>
      </c>
      <c r="AF656" s="408">
        <v>34172.001804119645</v>
      </c>
      <c r="AG656" s="408">
        <v>583.22011856188021</v>
      </c>
      <c r="AH656" s="408">
        <v>0</v>
      </c>
      <c r="AI656" s="408">
        <v>0</v>
      </c>
      <c r="AJ656" s="408">
        <v>0</v>
      </c>
      <c r="AK656" s="408">
        <v>0</v>
      </c>
      <c r="AL656" s="408">
        <v>1907.6065639342505</v>
      </c>
      <c r="AM656" s="408"/>
      <c r="AN656" s="408">
        <v>242.30813546830527</v>
      </c>
      <c r="AO656" s="408">
        <v>1089.9934808332548</v>
      </c>
      <c r="AP656" s="408">
        <v>5082.4787976966218</v>
      </c>
      <c r="AQ656" s="408">
        <v>0</v>
      </c>
      <c r="AR656" s="408">
        <v>0</v>
      </c>
      <c r="AS656" s="408">
        <v>0</v>
      </c>
      <c r="AT656" s="408">
        <v>0</v>
      </c>
      <c r="AU656" s="408">
        <v>0</v>
      </c>
      <c r="AV656" s="408">
        <v>0</v>
      </c>
      <c r="AW656" s="408">
        <v>0</v>
      </c>
      <c r="AX656" s="408">
        <v>0</v>
      </c>
      <c r="AY656" s="408">
        <v>0</v>
      </c>
      <c r="AZ656" s="408">
        <v>0</v>
      </c>
      <c r="BA656" s="408"/>
      <c r="BB656" s="408">
        <v>0</v>
      </c>
      <c r="BC656" s="408">
        <v>0</v>
      </c>
      <c r="BD656" s="408">
        <v>0</v>
      </c>
      <c r="BE656" s="408">
        <v>0</v>
      </c>
      <c r="BF656" s="408">
        <v>0</v>
      </c>
      <c r="BG656" s="408">
        <v>1793.4116380204682</v>
      </c>
      <c r="BH656" s="408">
        <v>0</v>
      </c>
      <c r="BI656" s="408">
        <v>87.94</v>
      </c>
      <c r="BJ656" s="408">
        <v>957.64</v>
      </c>
      <c r="BK656" s="408">
        <v>74311.820000000007</v>
      </c>
      <c r="BL656" s="408">
        <v>331</v>
      </c>
      <c r="BM656" s="408"/>
      <c r="BN656" s="408"/>
      <c r="BO656" s="408"/>
      <c r="BP656" s="408"/>
      <c r="BQ656" s="408"/>
      <c r="BR656" s="408"/>
      <c r="BS656" s="408"/>
      <c r="BT656" s="408"/>
      <c r="BU656" s="408"/>
      <c r="BV656" s="408">
        <v>35965.41344214011</v>
      </c>
      <c r="BW656" s="408"/>
      <c r="BX656" s="408"/>
      <c r="BY656" s="408"/>
      <c r="BZ656" s="408"/>
      <c r="CA656" s="408"/>
      <c r="CB656" s="408"/>
      <c r="CC656" s="408"/>
      <c r="CD656" s="408"/>
      <c r="CE656" s="408"/>
      <c r="CF656" s="408"/>
      <c r="CG656" s="408"/>
      <c r="CH656" s="408"/>
      <c r="CI656" s="408">
        <v>102088.42290000001</v>
      </c>
      <c r="CJ656" s="408">
        <v>-6539.9159999999829</v>
      </c>
      <c r="CK656" s="408"/>
      <c r="CL656" s="408"/>
      <c r="CM656" s="408"/>
      <c r="CN656" s="408"/>
      <c r="CO656" s="408">
        <v>-10871.055899999999</v>
      </c>
      <c r="CP656" s="408">
        <v>4331.1699000000008</v>
      </c>
      <c r="CQ656" s="408">
        <v>30</v>
      </c>
      <c r="CR656" s="408">
        <v>5197.2419634362377</v>
      </c>
      <c r="CS656" s="408">
        <v>108.6155205665068</v>
      </c>
      <c r="CT656" s="408">
        <v>506.45814868365051</v>
      </c>
      <c r="CU656" s="408">
        <v>0</v>
      </c>
      <c r="CV656" s="408">
        <v>0</v>
      </c>
      <c r="CW656" s="408">
        <v>0</v>
      </c>
      <c r="CX656" s="408">
        <v>0</v>
      </c>
      <c r="CY656" s="408">
        <v>0</v>
      </c>
      <c r="CZ656" s="408">
        <v>507.96476178898172</v>
      </c>
      <c r="DA656" s="408">
        <v>0</v>
      </c>
      <c r="DB656" s="408">
        <v>0</v>
      </c>
      <c r="DC656" s="408">
        <v>4330.6808858719305</v>
      </c>
      <c r="DD656" s="408">
        <v>0</v>
      </c>
      <c r="DE656" s="408">
        <v>0</v>
      </c>
      <c r="DF656" s="408">
        <v>0</v>
      </c>
      <c r="DG656" s="408">
        <v>227.28236834926656</v>
      </c>
      <c r="DH656" s="408">
        <v>0</v>
      </c>
      <c r="DI656" s="408">
        <v>-419.25076007426469</v>
      </c>
      <c r="DJ656" s="408"/>
      <c r="DK656" s="408">
        <v>0</v>
      </c>
      <c r="DL656" s="408">
        <v>0</v>
      </c>
      <c r="DM656" s="408">
        <v>0</v>
      </c>
      <c r="DN656" s="408">
        <v>0</v>
      </c>
      <c r="DO656" s="408">
        <v>-57.653718127601451</v>
      </c>
      <c r="DP656" s="408">
        <v>-6.8552436222318534</v>
      </c>
      <c r="DQ656" s="408">
        <v>0</v>
      </c>
      <c r="DR656" s="408">
        <v>0</v>
      </c>
      <c r="DS656" s="408"/>
      <c r="DT656" s="408"/>
      <c r="DU656" s="408"/>
      <c r="DV656" s="408">
        <v>47251.098793277772</v>
      </c>
      <c r="DW656" s="408">
        <v>0</v>
      </c>
      <c r="DX656" s="408">
        <v>0</v>
      </c>
      <c r="DY656" s="408">
        <v>-10871.055899999999</v>
      </c>
      <c r="DZ656" s="408">
        <v>4331.1699000000008</v>
      </c>
      <c r="EA656" s="408">
        <v>0</v>
      </c>
      <c r="EB656" s="408">
        <v>0</v>
      </c>
      <c r="EC656" s="408">
        <v>-11737.974440138067</v>
      </c>
      <c r="ED656" s="408">
        <v>0</v>
      </c>
      <c r="EE656" s="408">
        <v>0</v>
      </c>
      <c r="EF656" s="408">
        <v>0</v>
      </c>
      <c r="EG656" s="408">
        <v>0</v>
      </c>
      <c r="EH656" s="408">
        <v>0</v>
      </c>
      <c r="EI656" s="408">
        <v>0</v>
      </c>
      <c r="EJ656" s="408">
        <v>0</v>
      </c>
      <c r="EK656" s="408">
        <v>0</v>
      </c>
      <c r="EL656" s="408">
        <v>0</v>
      </c>
      <c r="EM656" s="408">
        <v>0</v>
      </c>
      <c r="EN656" s="408">
        <v>0</v>
      </c>
      <c r="EO656" s="408">
        <v>0</v>
      </c>
      <c r="EP656" s="408">
        <v>3153.0961259628007</v>
      </c>
      <c r="EQ656" s="408">
        <v>0</v>
      </c>
      <c r="ER656" s="408">
        <v>0</v>
      </c>
      <c r="ES656" s="408">
        <v>0</v>
      </c>
      <c r="ET656" s="408">
        <v>0</v>
      </c>
      <c r="EU656" s="408">
        <v>0</v>
      </c>
      <c r="EV656" s="408">
        <v>240</v>
      </c>
      <c r="EW656" s="408">
        <v>0</v>
      </c>
      <c r="EX656" s="408">
        <v>0</v>
      </c>
      <c r="EY656" s="408">
        <v>0</v>
      </c>
      <c r="EZ656" s="408"/>
      <c r="FA656" s="408">
        <v>0</v>
      </c>
      <c r="FB656" s="408"/>
      <c r="FC656" s="408"/>
      <c r="FD656" s="408"/>
      <c r="FE656" s="408"/>
      <c r="FF656" s="408">
        <v>0</v>
      </c>
      <c r="FG656" s="408">
        <v>0</v>
      </c>
      <c r="FH656" s="408">
        <v>0</v>
      </c>
      <c r="FI656" s="408">
        <v>0</v>
      </c>
    </row>
    <row r="657" spans="1:165">
      <c r="A657" s="408">
        <v>655</v>
      </c>
      <c r="B657" s="408" t="s">
        <v>1036</v>
      </c>
      <c r="C657" s="408" t="s">
        <v>2243</v>
      </c>
      <c r="D657" s="408" t="s">
        <v>597</v>
      </c>
      <c r="E657" s="408" t="s">
        <v>998</v>
      </c>
      <c r="F657" s="408" t="s">
        <v>1322</v>
      </c>
      <c r="G657" s="408" t="s">
        <v>1322</v>
      </c>
      <c r="H657" s="408" t="s">
        <v>1322</v>
      </c>
      <c r="I657" s="408" t="s">
        <v>973</v>
      </c>
      <c r="J657" s="408" t="s">
        <v>2236</v>
      </c>
      <c r="K657" s="826">
        <v>44652</v>
      </c>
      <c r="L657" s="408">
        <v>0</v>
      </c>
      <c r="M657" s="408">
        <v>0</v>
      </c>
      <c r="N657" s="408">
        <v>73.665999999999997</v>
      </c>
      <c r="O657" s="408">
        <v>73.665999999999997</v>
      </c>
      <c r="P657" s="408">
        <v>73.665999999999997</v>
      </c>
      <c r="Q657" s="408">
        <v>73.665999999999997</v>
      </c>
      <c r="R657" s="408"/>
      <c r="S657" s="408">
        <v>1358.36</v>
      </c>
      <c r="T657" s="408">
        <v>173.25</v>
      </c>
      <c r="U657" s="408"/>
      <c r="V657" s="408">
        <v>112827.58226</v>
      </c>
      <c r="W657" s="408">
        <v>112827.58226</v>
      </c>
      <c r="X657" s="408">
        <v>98927.544719999991</v>
      </c>
      <c r="Y657" s="408">
        <v>0</v>
      </c>
      <c r="Z657" s="408">
        <v>3944.3950950413896</v>
      </c>
      <c r="AA657" s="408">
        <v>0</v>
      </c>
      <c r="AB657" s="408">
        <v>0</v>
      </c>
      <c r="AC657" s="408">
        <v>1395.3878793256906</v>
      </c>
      <c r="AD657" s="408">
        <v>1340.6589886626032</v>
      </c>
      <c r="AE657" s="408">
        <v>74292.729465815311</v>
      </c>
      <c r="AF657" s="408">
        <v>12548.301106137667</v>
      </c>
      <c r="AG657" s="408">
        <v>214.16426526085172</v>
      </c>
      <c r="AH657" s="408">
        <v>0</v>
      </c>
      <c r="AI657" s="408">
        <v>0</v>
      </c>
      <c r="AJ657" s="408">
        <v>0</v>
      </c>
      <c r="AK657" s="408">
        <v>0</v>
      </c>
      <c r="AL657" s="408">
        <v>700.49222440945357</v>
      </c>
      <c r="AM657" s="408"/>
      <c r="AN657" s="408">
        <v>58.99275140447034</v>
      </c>
      <c r="AO657" s="408">
        <v>2962.1704276982678</v>
      </c>
      <c r="AP657" s="408">
        <v>13812.087789417516</v>
      </c>
      <c r="AQ657" s="408">
        <v>0</v>
      </c>
      <c r="AR657" s="408">
        <v>0</v>
      </c>
      <c r="AS657" s="408">
        <v>0</v>
      </c>
      <c r="AT657" s="408">
        <v>0</v>
      </c>
      <c r="AU657" s="408">
        <v>0</v>
      </c>
      <c r="AV657" s="408">
        <v>0</v>
      </c>
      <c r="AW657" s="408">
        <v>0</v>
      </c>
      <c r="AX657" s="408">
        <v>0</v>
      </c>
      <c r="AY657" s="408">
        <v>0</v>
      </c>
      <c r="AZ657" s="408">
        <v>0</v>
      </c>
      <c r="BA657" s="408"/>
      <c r="BB657" s="408">
        <v>0</v>
      </c>
      <c r="BC657" s="408">
        <v>0</v>
      </c>
      <c r="BD657" s="408">
        <v>0</v>
      </c>
      <c r="BE657" s="408">
        <v>0</v>
      </c>
      <c r="BF657" s="408">
        <v>0</v>
      </c>
      <c r="BG657" s="408">
        <v>550.92271584365517</v>
      </c>
      <c r="BH657" s="408">
        <v>0</v>
      </c>
      <c r="BI657" s="408">
        <v>0</v>
      </c>
      <c r="BJ657" s="408">
        <v>0</v>
      </c>
      <c r="BK657" s="408">
        <v>0</v>
      </c>
      <c r="BL657" s="408">
        <v>0</v>
      </c>
      <c r="BM657" s="408"/>
      <c r="BN657" s="408"/>
      <c r="BO657" s="408"/>
      <c r="BP657" s="408"/>
      <c r="BQ657" s="408"/>
      <c r="BR657" s="408"/>
      <c r="BS657" s="408"/>
      <c r="BT657" s="408"/>
      <c r="BU657" s="408"/>
      <c r="BV657" s="408">
        <v>13099.223821981323</v>
      </c>
      <c r="BW657" s="408"/>
      <c r="BX657" s="408"/>
      <c r="BY657" s="408"/>
      <c r="BZ657" s="408"/>
      <c r="CA657" s="408"/>
      <c r="CB657" s="408"/>
      <c r="CC657" s="408"/>
      <c r="CD657" s="408"/>
      <c r="CE657" s="408"/>
      <c r="CF657" s="408"/>
      <c r="CG657" s="408"/>
      <c r="CH657" s="408"/>
      <c r="CI657" s="408">
        <v>98932.916400000002</v>
      </c>
      <c r="CJ657" s="408">
        <v>-13894.695859999978</v>
      </c>
      <c r="CK657" s="408"/>
      <c r="CL657" s="408"/>
      <c r="CM657" s="408"/>
      <c r="CN657" s="408"/>
      <c r="CO657" s="408">
        <v>-15490.486479999998</v>
      </c>
      <c r="CP657" s="408">
        <v>1590.4489400000002</v>
      </c>
      <c r="CQ657" s="408">
        <v>30</v>
      </c>
      <c r="CR657" s="408">
        <v>4555.2631603865884</v>
      </c>
      <c r="CS657" s="408">
        <v>295.17395165079233</v>
      </c>
      <c r="CT657" s="408">
        <v>1376.3450256702963</v>
      </c>
      <c r="CU657" s="408">
        <v>0</v>
      </c>
      <c r="CV657" s="408">
        <v>0</v>
      </c>
      <c r="CW657" s="408">
        <v>0</v>
      </c>
      <c r="CX657" s="408">
        <v>0</v>
      </c>
      <c r="CY657" s="408">
        <v>0</v>
      </c>
      <c r="CZ657" s="408">
        <v>1380.4345483340455</v>
      </c>
      <c r="DA657" s="408">
        <v>0</v>
      </c>
      <c r="DB657" s="408">
        <v>0</v>
      </c>
      <c r="DC657" s="408">
        <v>1590.269369117399</v>
      </c>
      <c r="DD657" s="408">
        <v>0</v>
      </c>
      <c r="DE657" s="408">
        <v>0</v>
      </c>
      <c r="DF657" s="408">
        <v>0</v>
      </c>
      <c r="DG657" s="408">
        <v>69.819453035646234</v>
      </c>
      <c r="DH657" s="408">
        <v>0</v>
      </c>
      <c r="DI657" s="408">
        <v>-133.93917575254545</v>
      </c>
      <c r="DJ657" s="408"/>
      <c r="DK657" s="408">
        <v>0</v>
      </c>
      <c r="DL657" s="408">
        <v>0</v>
      </c>
      <c r="DM657" s="408">
        <v>0</v>
      </c>
      <c r="DN657" s="408">
        <v>0</v>
      </c>
      <c r="DO657" s="408">
        <v>-21.171022379681403</v>
      </c>
      <c r="DP657" s="408">
        <v>-1.6689892893683478</v>
      </c>
      <c r="DQ657" s="408">
        <v>0</v>
      </c>
      <c r="DR657" s="408">
        <v>0</v>
      </c>
      <c r="DS657" s="408"/>
      <c r="DT657" s="408"/>
      <c r="DU657" s="408"/>
      <c r="DV657" s="408">
        <v>74292.729465815311</v>
      </c>
      <c r="DW657" s="408">
        <v>0</v>
      </c>
      <c r="DX657" s="408">
        <v>0</v>
      </c>
      <c r="DY657" s="408">
        <v>-15490.486480000007</v>
      </c>
      <c r="DZ657" s="408">
        <v>1590.4489400000002</v>
      </c>
      <c r="EA657" s="408">
        <v>0</v>
      </c>
      <c r="EB657" s="408">
        <v>0</v>
      </c>
      <c r="EC657" s="408">
        <v>-18455.574194644818</v>
      </c>
      <c r="ED657" s="408">
        <v>0</v>
      </c>
      <c r="EE657" s="408">
        <v>0</v>
      </c>
      <c r="EF657" s="408">
        <v>0</v>
      </c>
      <c r="EG657" s="408">
        <v>0</v>
      </c>
      <c r="EH657" s="408">
        <v>0</v>
      </c>
      <c r="EI657" s="408">
        <v>0</v>
      </c>
      <c r="EJ657" s="408">
        <v>0</v>
      </c>
      <c r="EK657" s="408">
        <v>0</v>
      </c>
      <c r="EL657" s="408">
        <v>0</v>
      </c>
      <c r="EM657" s="408">
        <v>0</v>
      </c>
      <c r="EN657" s="408">
        <v>0</v>
      </c>
      <c r="EO657" s="408">
        <v>0</v>
      </c>
      <c r="EP657" s="408">
        <v>1007.3281587019754</v>
      </c>
      <c r="EQ657" s="408">
        <v>0</v>
      </c>
      <c r="ER657" s="408">
        <v>0</v>
      </c>
      <c r="ES657" s="408">
        <v>0</v>
      </c>
      <c r="ET657" s="408">
        <v>0</v>
      </c>
      <c r="EU657" s="408">
        <v>0</v>
      </c>
      <c r="EV657" s="408">
        <v>240</v>
      </c>
      <c r="EW657" s="408">
        <v>0</v>
      </c>
      <c r="EX657" s="408">
        <v>0</v>
      </c>
      <c r="EY657" s="408">
        <v>0</v>
      </c>
      <c r="EZ657" s="408"/>
      <c r="FA657" s="408">
        <v>0</v>
      </c>
      <c r="FB657" s="408"/>
      <c r="FC657" s="408"/>
      <c r="FD657" s="408"/>
      <c r="FE657" s="408"/>
      <c r="FF657" s="408">
        <v>0</v>
      </c>
      <c r="FG657" s="408">
        <v>0</v>
      </c>
      <c r="FH657" s="408">
        <v>0</v>
      </c>
      <c r="FI657" s="408">
        <v>0</v>
      </c>
    </row>
    <row r="658" spans="1:165">
      <c r="A658" s="408">
        <v>656</v>
      </c>
      <c r="B658" s="408" t="s">
        <v>2238</v>
      </c>
      <c r="C658" s="408" t="s">
        <v>2243</v>
      </c>
      <c r="D658" s="408" t="s">
        <v>597</v>
      </c>
      <c r="E658" s="408" t="s">
        <v>998</v>
      </c>
      <c r="F658" s="408" t="s">
        <v>1322</v>
      </c>
      <c r="G658" s="408" t="s">
        <v>1322</v>
      </c>
      <c r="H658" s="408" t="s">
        <v>1322</v>
      </c>
      <c r="I658" s="408" t="s">
        <v>973</v>
      </c>
      <c r="J658" s="408" t="s">
        <v>2236</v>
      </c>
      <c r="K658" s="826">
        <v>44652</v>
      </c>
      <c r="L658" s="408">
        <v>0</v>
      </c>
      <c r="M658" s="408">
        <v>0</v>
      </c>
      <c r="N658" s="408">
        <v>5.0670000000000002</v>
      </c>
      <c r="O658" s="408">
        <v>5.0670000000000002</v>
      </c>
      <c r="P658" s="408">
        <v>5.0670000000000002</v>
      </c>
      <c r="Q658" s="408">
        <v>5.0670000000000002</v>
      </c>
      <c r="R658" s="408"/>
      <c r="S658" s="408">
        <v>1358.36</v>
      </c>
      <c r="T658" s="408">
        <v>173.25</v>
      </c>
      <c r="U658" s="408"/>
      <c r="V658" s="408">
        <v>7760.6678700000002</v>
      </c>
      <c r="W658" s="408">
        <v>7760.6678700000002</v>
      </c>
      <c r="X658" s="408">
        <v>6804.57564</v>
      </c>
      <c r="Y658" s="408">
        <v>0</v>
      </c>
      <c r="Z658" s="408">
        <v>271.30901564595234</v>
      </c>
      <c r="AA658" s="408">
        <v>0</v>
      </c>
      <c r="AB658" s="408">
        <v>0</v>
      </c>
      <c r="AC658" s="408">
        <v>95.9795615961675</v>
      </c>
      <c r="AD658" s="408">
        <v>92.215120890959341</v>
      </c>
      <c r="AE658" s="408">
        <v>5110.1086010274239</v>
      </c>
      <c r="AF658" s="408">
        <v>863.11516445578104</v>
      </c>
      <c r="AG658" s="408">
        <v>14.730952299252515</v>
      </c>
      <c r="AH658" s="408">
        <v>0</v>
      </c>
      <c r="AI658" s="408">
        <v>0</v>
      </c>
      <c r="AJ658" s="408">
        <v>0</v>
      </c>
      <c r="AK658" s="408">
        <v>0</v>
      </c>
      <c r="AL658" s="408">
        <v>48.182256415207853</v>
      </c>
      <c r="AM658" s="408"/>
      <c r="AN658" s="408">
        <v>4.0577236631071489</v>
      </c>
      <c r="AO658" s="408">
        <v>203.74823605390714</v>
      </c>
      <c r="AP658" s="408">
        <v>950.04274467160644</v>
      </c>
      <c r="AQ658" s="408">
        <v>0</v>
      </c>
      <c r="AR658" s="408">
        <v>0</v>
      </c>
      <c r="AS658" s="408">
        <v>0</v>
      </c>
      <c r="AT658" s="408">
        <v>0</v>
      </c>
      <c r="AU658" s="408">
        <v>0</v>
      </c>
      <c r="AV658" s="408">
        <v>0</v>
      </c>
      <c r="AW658" s="408">
        <v>0</v>
      </c>
      <c r="AX658" s="408">
        <v>0</v>
      </c>
      <c r="AY658" s="408">
        <v>0</v>
      </c>
      <c r="AZ658" s="408">
        <v>0</v>
      </c>
      <c r="BA658" s="408"/>
      <c r="BB658" s="408">
        <v>0</v>
      </c>
      <c r="BC658" s="408">
        <v>0</v>
      </c>
      <c r="BD658" s="408">
        <v>0</v>
      </c>
      <c r="BE658" s="408">
        <v>0</v>
      </c>
      <c r="BF658" s="408">
        <v>0</v>
      </c>
      <c r="BG658" s="408">
        <v>37.894352906086944</v>
      </c>
      <c r="BH658" s="408">
        <v>0</v>
      </c>
      <c r="BI658" s="408">
        <v>0</v>
      </c>
      <c r="BJ658" s="408">
        <v>0</v>
      </c>
      <c r="BK658" s="408">
        <v>0</v>
      </c>
      <c r="BL658" s="408">
        <v>0</v>
      </c>
      <c r="BM658" s="408"/>
      <c r="BN658" s="408"/>
      <c r="BO658" s="408"/>
      <c r="BP658" s="408"/>
      <c r="BQ658" s="408"/>
      <c r="BR658" s="408"/>
      <c r="BS658" s="408"/>
      <c r="BT658" s="408"/>
      <c r="BU658" s="408"/>
      <c r="BV658" s="408">
        <v>901.00951736186801</v>
      </c>
      <c r="BW658" s="408"/>
      <c r="BX658" s="408"/>
      <c r="BY658" s="408"/>
      <c r="BZ658" s="408"/>
      <c r="CA658" s="408"/>
      <c r="CB658" s="408"/>
      <c r="CC658" s="408"/>
      <c r="CD658" s="408"/>
      <c r="CE658" s="408"/>
      <c r="CF658" s="408"/>
      <c r="CG658" s="408"/>
      <c r="CH658" s="408"/>
      <c r="CI658" s="408">
        <v>6808.6044000000002</v>
      </c>
      <c r="CJ658" s="408">
        <v>-952.09347000000071</v>
      </c>
      <c r="CK658" s="408"/>
      <c r="CL658" s="408"/>
      <c r="CM658" s="408"/>
      <c r="CN658" s="408"/>
      <c r="CO658" s="408">
        <v>-1065.48876</v>
      </c>
      <c r="CP658" s="408">
        <v>109.39653000000003</v>
      </c>
      <c r="CQ658" s="408">
        <v>30</v>
      </c>
      <c r="CR658" s="408">
        <v>313.32661517767792</v>
      </c>
      <c r="CS658" s="408">
        <v>20.30307622260699</v>
      </c>
      <c r="CT658" s="408">
        <v>94.669728844668953</v>
      </c>
      <c r="CU658" s="408">
        <v>0</v>
      </c>
      <c r="CV658" s="408">
        <v>0</v>
      </c>
      <c r="CW658" s="408">
        <v>0</v>
      </c>
      <c r="CX658" s="408">
        <v>0</v>
      </c>
      <c r="CY658" s="408">
        <v>0</v>
      </c>
      <c r="CZ658" s="408">
        <v>94.951020231974169</v>
      </c>
      <c r="DA658" s="408">
        <v>0</v>
      </c>
      <c r="DB658" s="408">
        <v>0</v>
      </c>
      <c r="DC658" s="408">
        <v>109.38417849914288</v>
      </c>
      <c r="DD658" s="408">
        <v>0</v>
      </c>
      <c r="DE658" s="408">
        <v>0</v>
      </c>
      <c r="DF658" s="408">
        <v>0</v>
      </c>
      <c r="DG658" s="408">
        <v>4.8024213141967707</v>
      </c>
      <c r="DH658" s="408">
        <v>0</v>
      </c>
      <c r="DI658" s="408">
        <v>-9.2127956389399515</v>
      </c>
      <c r="DJ658" s="408"/>
      <c r="DK658" s="408">
        <v>0</v>
      </c>
      <c r="DL658" s="408">
        <v>0</v>
      </c>
      <c r="DM658" s="408">
        <v>0</v>
      </c>
      <c r="DN658" s="408">
        <v>0</v>
      </c>
      <c r="DO658" s="408">
        <v>-1.4562154915136674</v>
      </c>
      <c r="DP658" s="408">
        <v>-0.11479880445835811</v>
      </c>
      <c r="DQ658" s="408">
        <v>0</v>
      </c>
      <c r="DR658" s="408">
        <v>0</v>
      </c>
      <c r="DS658" s="408"/>
      <c r="DT658" s="408"/>
      <c r="DU658" s="408"/>
      <c r="DV658" s="408">
        <v>5110.1086010274239</v>
      </c>
      <c r="DW658" s="408">
        <v>0</v>
      </c>
      <c r="DX658" s="408">
        <v>0</v>
      </c>
      <c r="DY658" s="408">
        <v>-1065.4887600000002</v>
      </c>
      <c r="DZ658" s="408">
        <v>109.39652999999998</v>
      </c>
      <c r="EA658" s="408">
        <v>0</v>
      </c>
      <c r="EB658" s="408">
        <v>0</v>
      </c>
      <c r="EC658" s="408">
        <v>-1269.4376570502714</v>
      </c>
      <c r="ED658" s="408">
        <v>0</v>
      </c>
      <c r="EE658" s="408">
        <v>0</v>
      </c>
      <c r="EF658" s="408">
        <v>0</v>
      </c>
      <c r="EG658" s="408">
        <v>0</v>
      </c>
      <c r="EH658" s="408">
        <v>0</v>
      </c>
      <c r="EI658" s="408">
        <v>0</v>
      </c>
      <c r="EJ658" s="408">
        <v>0</v>
      </c>
      <c r="EK658" s="408">
        <v>0</v>
      </c>
      <c r="EL658" s="408">
        <v>0</v>
      </c>
      <c r="EM658" s="408">
        <v>0</v>
      </c>
      <c r="EN658" s="408">
        <v>0</v>
      </c>
      <c r="EO658" s="408">
        <v>0</v>
      </c>
      <c r="EP658" s="408">
        <v>69.287483780073714</v>
      </c>
      <c r="EQ658" s="408">
        <v>0</v>
      </c>
      <c r="ER658" s="408">
        <v>0</v>
      </c>
      <c r="ES658" s="408">
        <v>0</v>
      </c>
      <c r="ET658" s="408">
        <v>0</v>
      </c>
      <c r="EU658" s="408">
        <v>0</v>
      </c>
      <c r="EV658" s="408">
        <v>240</v>
      </c>
      <c r="EW658" s="408">
        <v>0</v>
      </c>
      <c r="EX658" s="408">
        <v>0</v>
      </c>
      <c r="EY658" s="408">
        <v>0</v>
      </c>
      <c r="EZ658" s="408"/>
      <c r="FA658" s="408">
        <v>0</v>
      </c>
      <c r="FB658" s="408"/>
      <c r="FC658" s="408"/>
      <c r="FD658" s="408"/>
      <c r="FE658" s="408"/>
      <c r="FF658" s="408">
        <v>0</v>
      </c>
      <c r="FG658" s="408">
        <v>0</v>
      </c>
      <c r="FH658" s="408">
        <v>0</v>
      </c>
      <c r="FI658" s="408">
        <v>0</v>
      </c>
    </row>
    <row r="659" spans="1:165">
      <c r="A659" s="408">
        <v>657</v>
      </c>
      <c r="B659" s="408" t="s">
        <v>1036</v>
      </c>
      <c r="C659" s="408" t="s">
        <v>2243</v>
      </c>
      <c r="D659" s="408" t="s">
        <v>597</v>
      </c>
      <c r="E659" s="408" t="s">
        <v>998</v>
      </c>
      <c r="F659" s="408" t="s">
        <v>1322</v>
      </c>
      <c r="G659" s="408" t="s">
        <v>1322</v>
      </c>
      <c r="H659" s="408" t="s">
        <v>1322</v>
      </c>
      <c r="I659" s="408" t="s">
        <v>2244</v>
      </c>
      <c r="J659" s="408" t="s">
        <v>2236</v>
      </c>
      <c r="K659" s="826">
        <v>44652</v>
      </c>
      <c r="L659" s="408">
        <v>0</v>
      </c>
      <c r="M659" s="408">
        <v>0</v>
      </c>
      <c r="N659" s="408">
        <v>901.64200000000005</v>
      </c>
      <c r="O659" s="408">
        <v>901.64200000000005</v>
      </c>
      <c r="P659" s="408">
        <v>901.64200000000005</v>
      </c>
      <c r="Q659" s="408">
        <v>901.64200000000005</v>
      </c>
      <c r="R659" s="408"/>
      <c r="S659" s="408">
        <v>85.01</v>
      </c>
      <c r="T659" s="408">
        <v>173.25</v>
      </c>
      <c r="U659" s="408"/>
      <c r="V659" s="408">
        <v>232858.06292000003</v>
      </c>
      <c r="W659" s="408">
        <v>232858.06292000003</v>
      </c>
      <c r="X659" s="408">
        <v>251260.57614000002</v>
      </c>
      <c r="Y659" s="408">
        <v>0</v>
      </c>
      <c r="Z659" s="408">
        <v>48277.798201114616</v>
      </c>
      <c r="AA659" s="408">
        <v>0</v>
      </c>
      <c r="AB659" s="408">
        <v>0</v>
      </c>
      <c r="AC659" s="408">
        <v>0</v>
      </c>
      <c r="AD659" s="408">
        <v>0</v>
      </c>
      <c r="AE659" s="408">
        <v>0</v>
      </c>
      <c r="AF659" s="408">
        <v>153586.12257948279</v>
      </c>
      <c r="AG659" s="408">
        <v>2621.283854944274</v>
      </c>
      <c r="AH659" s="408">
        <v>0</v>
      </c>
      <c r="AI659" s="408">
        <v>0</v>
      </c>
      <c r="AJ659" s="408">
        <v>0</v>
      </c>
      <c r="AK659" s="408">
        <v>0</v>
      </c>
      <c r="AL659" s="408">
        <v>8573.7410773082374</v>
      </c>
      <c r="AM659" s="408"/>
      <c r="AN659" s="408">
        <v>722.04738090610942</v>
      </c>
      <c r="AO659" s="408">
        <v>0</v>
      </c>
      <c r="AP659" s="408">
        <v>0</v>
      </c>
      <c r="AQ659" s="408">
        <v>0</v>
      </c>
      <c r="AR659" s="408">
        <v>0</v>
      </c>
      <c r="AS659" s="408">
        <v>0</v>
      </c>
      <c r="AT659" s="408">
        <v>0</v>
      </c>
      <c r="AU659" s="408">
        <v>0</v>
      </c>
      <c r="AV659" s="408">
        <v>0</v>
      </c>
      <c r="AW659" s="408">
        <v>0</v>
      </c>
      <c r="AX659" s="408">
        <v>0</v>
      </c>
      <c r="AY659" s="408">
        <v>0</v>
      </c>
      <c r="AZ659" s="408">
        <v>0</v>
      </c>
      <c r="BA659" s="408"/>
      <c r="BB659" s="408">
        <v>0</v>
      </c>
      <c r="BC659" s="408">
        <v>0</v>
      </c>
      <c r="BD659" s="408">
        <v>0</v>
      </c>
      <c r="BE659" s="408">
        <v>0</v>
      </c>
      <c r="BF659" s="408">
        <v>0</v>
      </c>
      <c r="BG659" s="408">
        <v>6743.0708788139027</v>
      </c>
      <c r="BH659" s="408">
        <v>0</v>
      </c>
      <c r="BI659" s="408">
        <v>0</v>
      </c>
      <c r="BJ659" s="408">
        <v>0</v>
      </c>
      <c r="BK659" s="408">
        <v>0</v>
      </c>
      <c r="BL659" s="408">
        <v>0</v>
      </c>
      <c r="BM659" s="408"/>
      <c r="BN659" s="408"/>
      <c r="BO659" s="408"/>
      <c r="BP659" s="408"/>
      <c r="BQ659" s="408"/>
      <c r="BR659" s="408"/>
      <c r="BS659" s="408"/>
      <c r="BT659" s="408"/>
      <c r="BU659" s="408"/>
      <c r="BV659" s="408">
        <v>160329.19345829671</v>
      </c>
      <c r="BW659" s="408"/>
      <c r="BX659" s="408"/>
      <c r="BY659" s="408"/>
      <c r="BZ659" s="408"/>
      <c r="CA659" s="408"/>
      <c r="CB659" s="408"/>
      <c r="CC659" s="408"/>
      <c r="CD659" s="408"/>
      <c r="CE659" s="408"/>
      <c r="CF659" s="408"/>
      <c r="CG659" s="408"/>
      <c r="CH659" s="408"/>
      <c r="CI659" s="408">
        <v>251260.01880000002</v>
      </c>
      <c r="CJ659" s="408">
        <v>18401.925879999995</v>
      </c>
      <c r="CK659" s="408"/>
      <c r="CL659" s="408"/>
      <c r="CM659" s="408"/>
      <c r="CN659" s="408"/>
      <c r="CO659" s="408">
        <v>-1063.9375600000062</v>
      </c>
      <c r="CP659" s="408">
        <v>19466.450780000003</v>
      </c>
      <c r="CQ659" s="408">
        <v>30</v>
      </c>
      <c r="CR659" s="408">
        <v>18399.900981165469</v>
      </c>
      <c r="CS659" s="408">
        <v>0</v>
      </c>
      <c r="CT659" s="408">
        <v>0</v>
      </c>
      <c r="CU659" s="408">
        <v>0</v>
      </c>
      <c r="CV659" s="408">
        <v>0</v>
      </c>
      <c r="CW659" s="408">
        <v>0</v>
      </c>
      <c r="CX659" s="408">
        <v>0</v>
      </c>
      <c r="CY659" s="408">
        <v>0</v>
      </c>
      <c r="CZ659" s="408">
        <v>0</v>
      </c>
      <c r="DA659" s="408">
        <v>0</v>
      </c>
      <c r="DB659" s="408">
        <v>0</v>
      </c>
      <c r="DC659" s="408">
        <v>19464.252905136032</v>
      </c>
      <c r="DD659" s="408">
        <v>0</v>
      </c>
      <c r="DE659" s="408">
        <v>0</v>
      </c>
      <c r="DF659" s="408">
        <v>0</v>
      </c>
      <c r="DG659" s="408">
        <v>854.56182328300929</v>
      </c>
      <c r="DH659" s="408">
        <v>0</v>
      </c>
      <c r="DI659" s="408">
        <v>-1639.3612562630951</v>
      </c>
      <c r="DJ659" s="408"/>
      <c r="DK659" s="408">
        <v>0</v>
      </c>
      <c r="DL659" s="408">
        <v>0</v>
      </c>
      <c r="DM659" s="408">
        <v>0</v>
      </c>
      <c r="DN659" s="408">
        <v>0</v>
      </c>
      <c r="DO659" s="408">
        <v>-259.12473814868099</v>
      </c>
      <c r="DP659" s="408">
        <v>-20.427752841808456</v>
      </c>
      <c r="DQ659" s="408">
        <v>0</v>
      </c>
      <c r="DR659" s="408">
        <v>0</v>
      </c>
      <c r="DS659" s="408"/>
      <c r="DT659" s="408"/>
      <c r="DU659" s="408"/>
      <c r="DV659" s="408">
        <v>0</v>
      </c>
      <c r="DW659" s="408">
        <v>0</v>
      </c>
      <c r="DX659" s="408">
        <v>0</v>
      </c>
      <c r="DY659" s="408">
        <v>-1063.9375600000058</v>
      </c>
      <c r="DZ659" s="408">
        <v>19466.450779999985</v>
      </c>
      <c r="EA659" s="408">
        <v>0</v>
      </c>
      <c r="EB659" s="408">
        <v>0</v>
      </c>
      <c r="EC659" s="408">
        <v>0</v>
      </c>
      <c r="ED659" s="408">
        <v>0</v>
      </c>
      <c r="EE659" s="408">
        <v>0</v>
      </c>
      <c r="EF659" s="408">
        <v>0</v>
      </c>
      <c r="EG659" s="408">
        <v>0</v>
      </c>
      <c r="EH659" s="408">
        <v>0</v>
      </c>
      <c r="EI659" s="408">
        <v>0</v>
      </c>
      <c r="EJ659" s="408">
        <v>0</v>
      </c>
      <c r="EK659" s="408">
        <v>0</v>
      </c>
      <c r="EL659" s="408">
        <v>0</v>
      </c>
      <c r="EM659" s="408">
        <v>0</v>
      </c>
      <c r="EN659" s="408">
        <v>0</v>
      </c>
      <c r="EO659" s="408">
        <v>0</v>
      </c>
      <c r="EP659" s="408">
        <v>12329.288622544547</v>
      </c>
      <c r="EQ659" s="408">
        <v>0</v>
      </c>
      <c r="ER659" s="408">
        <v>0</v>
      </c>
      <c r="ES659" s="408">
        <v>0</v>
      </c>
      <c r="ET659" s="408">
        <v>0</v>
      </c>
      <c r="EU659" s="408">
        <v>0</v>
      </c>
      <c r="EV659" s="408">
        <v>240</v>
      </c>
      <c r="EW659" s="408">
        <v>0</v>
      </c>
      <c r="EX659" s="408">
        <v>0</v>
      </c>
      <c r="EY659" s="408">
        <v>0</v>
      </c>
      <c r="EZ659" s="408"/>
      <c r="FA659" s="408">
        <v>0</v>
      </c>
      <c r="FB659" s="408"/>
      <c r="FC659" s="408"/>
      <c r="FD659" s="408"/>
      <c r="FE659" s="408"/>
      <c r="FF659" s="408">
        <v>0</v>
      </c>
      <c r="FG659" s="408">
        <v>0</v>
      </c>
      <c r="FH659" s="408">
        <v>0</v>
      </c>
      <c r="FI659" s="408">
        <v>0</v>
      </c>
    </row>
    <row r="660" spans="1:165">
      <c r="A660" s="408">
        <v>658</v>
      </c>
      <c r="B660" s="408" t="s">
        <v>2238</v>
      </c>
      <c r="C660" s="408" t="s">
        <v>2243</v>
      </c>
      <c r="D660" s="408" t="s">
        <v>597</v>
      </c>
      <c r="E660" s="408" t="s">
        <v>998</v>
      </c>
      <c r="F660" s="408" t="s">
        <v>1322</v>
      </c>
      <c r="G660" s="408" t="s">
        <v>1322</v>
      </c>
      <c r="H660" s="408" t="s">
        <v>1322</v>
      </c>
      <c r="I660" s="408" t="s">
        <v>2244</v>
      </c>
      <c r="J660" s="408" t="s">
        <v>2236</v>
      </c>
      <c r="K660" s="826">
        <v>44652</v>
      </c>
      <c r="L660" s="408">
        <v>0</v>
      </c>
      <c r="M660" s="408">
        <v>0</v>
      </c>
      <c r="N660" s="408">
        <v>43.497999999999998</v>
      </c>
      <c r="O660" s="408">
        <v>43.497999999999998</v>
      </c>
      <c r="P660" s="408">
        <v>43.497999999999998</v>
      </c>
      <c r="Q660" s="408">
        <v>43.497999999999998</v>
      </c>
      <c r="R660" s="408"/>
      <c r="S660" s="408">
        <v>85.01</v>
      </c>
      <c r="T660" s="408">
        <v>173.25</v>
      </c>
      <c r="U660" s="408"/>
      <c r="V660" s="408">
        <v>11233.79348</v>
      </c>
      <c r="W660" s="408">
        <v>11233.79348</v>
      </c>
      <c r="X660" s="408">
        <v>12121.587659999997</v>
      </c>
      <c r="Y660" s="408">
        <v>0</v>
      </c>
      <c r="Z660" s="408">
        <v>2329.0703695614038</v>
      </c>
      <c r="AA660" s="408">
        <v>0</v>
      </c>
      <c r="AB660" s="408">
        <v>0</v>
      </c>
      <c r="AC660" s="408">
        <v>0</v>
      </c>
      <c r="AD660" s="408">
        <v>0</v>
      </c>
      <c r="AE660" s="408">
        <v>0</v>
      </c>
      <c r="AF660" s="408">
        <v>7409.4697895199442</v>
      </c>
      <c r="AG660" s="408">
        <v>126.4588441114833</v>
      </c>
      <c r="AH660" s="408">
        <v>0</v>
      </c>
      <c r="AI660" s="408">
        <v>0</v>
      </c>
      <c r="AJ660" s="408">
        <v>0</v>
      </c>
      <c r="AK660" s="408">
        <v>0</v>
      </c>
      <c r="AL660" s="408">
        <v>413.62379900310066</v>
      </c>
      <c r="AM660" s="408"/>
      <c r="AN660" s="408">
        <v>34.83379986142387</v>
      </c>
      <c r="AO660" s="408">
        <v>0</v>
      </c>
      <c r="AP660" s="408">
        <v>0</v>
      </c>
      <c r="AQ660" s="408">
        <v>0</v>
      </c>
      <c r="AR660" s="408">
        <v>0</v>
      </c>
      <c r="AS660" s="408">
        <v>0</v>
      </c>
      <c r="AT660" s="408">
        <v>0</v>
      </c>
      <c r="AU660" s="408">
        <v>0</v>
      </c>
      <c r="AV660" s="408">
        <v>0</v>
      </c>
      <c r="AW660" s="408">
        <v>0</v>
      </c>
      <c r="AX660" s="408">
        <v>0</v>
      </c>
      <c r="AY660" s="408">
        <v>0</v>
      </c>
      <c r="AZ660" s="408">
        <v>0</v>
      </c>
      <c r="BA660" s="408"/>
      <c r="BB660" s="408">
        <v>0</v>
      </c>
      <c r="BC660" s="408">
        <v>0</v>
      </c>
      <c r="BD660" s="408">
        <v>0</v>
      </c>
      <c r="BE660" s="408">
        <v>0</v>
      </c>
      <c r="BF660" s="408">
        <v>0</v>
      </c>
      <c r="BG660" s="408">
        <v>325.30660404755668</v>
      </c>
      <c r="BH660" s="408">
        <v>0</v>
      </c>
      <c r="BI660" s="408">
        <v>0</v>
      </c>
      <c r="BJ660" s="408">
        <v>0</v>
      </c>
      <c r="BK660" s="408">
        <v>0</v>
      </c>
      <c r="BL660" s="408">
        <v>0</v>
      </c>
      <c r="BM660" s="408"/>
      <c r="BN660" s="408"/>
      <c r="BO660" s="408"/>
      <c r="BP660" s="408"/>
      <c r="BQ660" s="408"/>
      <c r="BR660" s="408"/>
      <c r="BS660" s="408"/>
      <c r="BT660" s="408"/>
      <c r="BU660" s="408"/>
      <c r="BV660" s="408">
        <v>7734.7763935675011</v>
      </c>
      <c r="BW660" s="408"/>
      <c r="BX660" s="408"/>
      <c r="BY660" s="408"/>
      <c r="BZ660" s="408"/>
      <c r="CA660" s="408"/>
      <c r="CB660" s="408"/>
      <c r="CC660" s="408"/>
      <c r="CD660" s="408"/>
      <c r="CE660" s="408"/>
      <c r="CF660" s="408"/>
      <c r="CG660" s="408"/>
      <c r="CH660" s="408"/>
      <c r="CI660" s="408">
        <v>12122.145</v>
      </c>
      <c r="CJ660" s="408">
        <v>888.32151999999951</v>
      </c>
      <c r="CK660" s="408"/>
      <c r="CL660" s="408"/>
      <c r="CM660" s="408"/>
      <c r="CN660" s="408"/>
      <c r="CO660" s="408">
        <v>-51.327640000000294</v>
      </c>
      <c r="CP660" s="408">
        <v>939.12182000000007</v>
      </c>
      <c r="CQ660" s="408">
        <v>30</v>
      </c>
      <c r="CR660" s="408">
        <v>887.66815751565809</v>
      </c>
      <c r="CS660" s="408">
        <v>0</v>
      </c>
      <c r="CT660" s="408">
        <v>0</v>
      </c>
      <c r="CU660" s="408">
        <v>0</v>
      </c>
      <c r="CV660" s="408">
        <v>0</v>
      </c>
      <c r="CW660" s="408">
        <v>0</v>
      </c>
      <c r="CX660" s="408">
        <v>0</v>
      </c>
      <c r="CY660" s="408">
        <v>0</v>
      </c>
      <c r="CZ660" s="408">
        <v>0</v>
      </c>
      <c r="DA660" s="408">
        <v>0</v>
      </c>
      <c r="DB660" s="408">
        <v>0</v>
      </c>
      <c r="DC660" s="408">
        <v>939.01578771575259</v>
      </c>
      <c r="DD660" s="408">
        <v>0</v>
      </c>
      <c r="DE660" s="408">
        <v>0</v>
      </c>
      <c r="DF660" s="408">
        <v>0</v>
      </c>
      <c r="DG660" s="408">
        <v>41.226706596591953</v>
      </c>
      <c r="DH660" s="408">
        <v>0</v>
      </c>
      <c r="DI660" s="408">
        <v>-79.087859621592543</v>
      </c>
      <c r="DJ660" s="408"/>
      <c r="DK660" s="408">
        <v>0</v>
      </c>
      <c r="DL660" s="408">
        <v>0</v>
      </c>
      <c r="DM660" s="408">
        <v>0</v>
      </c>
      <c r="DN660" s="408">
        <v>0</v>
      </c>
      <c r="DO660" s="408">
        <v>-12.500979169106301</v>
      </c>
      <c r="DP660" s="408">
        <v>-0.98549800598572546</v>
      </c>
      <c r="DQ660" s="408">
        <v>0</v>
      </c>
      <c r="DR660" s="408">
        <v>0</v>
      </c>
      <c r="DS660" s="408"/>
      <c r="DT660" s="408"/>
      <c r="DU660" s="408"/>
      <c r="DV660" s="408">
        <v>0</v>
      </c>
      <c r="DW660" s="408">
        <v>0</v>
      </c>
      <c r="DX660" s="408">
        <v>0</v>
      </c>
      <c r="DY660" s="408">
        <v>-51.327640000000429</v>
      </c>
      <c r="DZ660" s="408">
        <v>939.12181999999939</v>
      </c>
      <c r="EA660" s="408">
        <v>0</v>
      </c>
      <c r="EB660" s="408">
        <v>0</v>
      </c>
      <c r="EC660" s="408">
        <v>0</v>
      </c>
      <c r="ED660" s="408">
        <v>0</v>
      </c>
      <c r="EE660" s="408">
        <v>0</v>
      </c>
      <c r="EF660" s="408">
        <v>0</v>
      </c>
      <c r="EG660" s="408">
        <v>0</v>
      </c>
      <c r="EH660" s="408">
        <v>0</v>
      </c>
      <c r="EI660" s="408">
        <v>0</v>
      </c>
      <c r="EJ660" s="408">
        <v>0</v>
      </c>
      <c r="EK660" s="408">
        <v>0</v>
      </c>
      <c r="EL660" s="408">
        <v>0</v>
      </c>
      <c r="EM660" s="408">
        <v>0</v>
      </c>
      <c r="EN660" s="408">
        <v>0</v>
      </c>
      <c r="EO660" s="408">
        <v>0</v>
      </c>
      <c r="EP660" s="408">
        <v>594.80303324761121</v>
      </c>
      <c r="EQ660" s="408">
        <v>0</v>
      </c>
      <c r="ER660" s="408">
        <v>0</v>
      </c>
      <c r="ES660" s="408">
        <v>0</v>
      </c>
      <c r="ET660" s="408">
        <v>0</v>
      </c>
      <c r="EU660" s="408">
        <v>0</v>
      </c>
      <c r="EV660" s="408">
        <v>240</v>
      </c>
      <c r="EW660" s="408">
        <v>0</v>
      </c>
      <c r="EX660" s="408">
        <v>0</v>
      </c>
      <c r="EY660" s="408">
        <v>0</v>
      </c>
      <c r="EZ660" s="408"/>
      <c r="FA660" s="408">
        <v>0</v>
      </c>
      <c r="FB660" s="408"/>
      <c r="FC660" s="408"/>
      <c r="FD660" s="408"/>
      <c r="FE660" s="408"/>
      <c r="FF660" s="408">
        <v>0</v>
      </c>
      <c r="FG660" s="408">
        <v>0</v>
      </c>
      <c r="FH660" s="408">
        <v>0</v>
      </c>
      <c r="FI660" s="408">
        <v>0</v>
      </c>
    </row>
    <row r="661" spans="1:165">
      <c r="A661" s="408">
        <v>659</v>
      </c>
      <c r="B661" s="408" t="s">
        <v>1036</v>
      </c>
      <c r="C661" s="408" t="s">
        <v>2243</v>
      </c>
      <c r="D661" s="408" t="s">
        <v>597</v>
      </c>
      <c r="E661" s="408" t="s">
        <v>998</v>
      </c>
      <c r="F661" s="408" t="s">
        <v>1322</v>
      </c>
      <c r="G661" s="408" t="s">
        <v>1322</v>
      </c>
      <c r="H661" s="408" t="s">
        <v>1322</v>
      </c>
      <c r="I661" s="408" t="s">
        <v>1322</v>
      </c>
      <c r="J661" s="408" t="s">
        <v>2236</v>
      </c>
      <c r="K661" s="826">
        <v>44652</v>
      </c>
      <c r="L661" s="408">
        <v>4346</v>
      </c>
      <c r="M661" s="408">
        <v>4346</v>
      </c>
      <c r="N661" s="408">
        <v>0</v>
      </c>
      <c r="O661" s="408">
        <v>0</v>
      </c>
      <c r="P661" s="408">
        <v>0</v>
      </c>
      <c r="Q661" s="408">
        <v>0</v>
      </c>
      <c r="R661" s="408">
        <v>27.19</v>
      </c>
      <c r="S661" s="408"/>
      <c r="T661" s="408"/>
      <c r="U661" s="408">
        <v>118167.74</v>
      </c>
      <c r="V661" s="408"/>
      <c r="W661" s="408">
        <v>118167.74</v>
      </c>
      <c r="X661" s="408">
        <v>94568.960000000006</v>
      </c>
      <c r="Y661" s="408">
        <v>0</v>
      </c>
      <c r="Z661" s="408">
        <v>0</v>
      </c>
      <c r="AA661" s="408">
        <v>0</v>
      </c>
      <c r="AB661" s="408">
        <v>0</v>
      </c>
      <c r="AC661" s="408">
        <v>1013.4898659561932</v>
      </c>
      <c r="AD661" s="408">
        <v>973.65541190386273</v>
      </c>
      <c r="AE661" s="408">
        <v>104008.60343677118</v>
      </c>
      <c r="AF661" s="408"/>
      <c r="AG661" s="408"/>
      <c r="AH661" s="408"/>
      <c r="AI661" s="408">
        <v>0</v>
      </c>
      <c r="AJ661" s="408">
        <v>0</v>
      </c>
      <c r="AK661" s="408">
        <v>0</v>
      </c>
      <c r="AL661" s="408">
        <v>0</v>
      </c>
      <c r="AM661" s="408"/>
      <c r="AN661" s="408">
        <v>0</v>
      </c>
      <c r="AO661" s="408">
        <v>2150.7694759191563</v>
      </c>
      <c r="AP661" s="408">
        <v>10030.954111727935</v>
      </c>
      <c r="AQ661" s="408">
        <v>0</v>
      </c>
      <c r="AR661" s="408">
        <v>0</v>
      </c>
      <c r="AS661" s="408"/>
      <c r="AT661" s="408"/>
      <c r="AU661" s="408">
        <v>0</v>
      </c>
      <c r="AV661" s="408">
        <v>0</v>
      </c>
      <c r="AW661" s="408">
        <v>0</v>
      </c>
      <c r="AX661" s="408"/>
      <c r="AY661" s="408"/>
      <c r="AZ661" s="408">
        <v>0</v>
      </c>
      <c r="BA661" s="408"/>
      <c r="BB661" s="408">
        <v>0</v>
      </c>
      <c r="BC661" s="408">
        <v>0</v>
      </c>
      <c r="BD661" s="408">
        <v>0</v>
      </c>
      <c r="BE661" s="408">
        <v>0</v>
      </c>
      <c r="BF661" s="408"/>
      <c r="BG661" s="408">
        <v>0</v>
      </c>
      <c r="BH661" s="408">
        <v>0</v>
      </c>
      <c r="BI661" s="408">
        <v>363.68</v>
      </c>
      <c r="BJ661" s="408">
        <v>3899.05</v>
      </c>
      <c r="BK661" s="408">
        <v>166600.18</v>
      </c>
      <c r="BL661" s="408">
        <v>44</v>
      </c>
      <c r="BM661" s="408"/>
      <c r="BN661" s="408"/>
      <c r="BO661" s="408"/>
      <c r="BP661" s="408"/>
      <c r="BQ661" s="408"/>
      <c r="BR661" s="408"/>
      <c r="BS661" s="408"/>
      <c r="BT661" s="408"/>
      <c r="BU661" s="408"/>
      <c r="BV661" s="408">
        <v>0</v>
      </c>
      <c r="BW661" s="408"/>
      <c r="BX661" s="408"/>
      <c r="BY661" s="408"/>
      <c r="BZ661" s="408"/>
      <c r="CA661" s="408"/>
      <c r="CB661" s="408"/>
      <c r="CC661" s="408"/>
      <c r="CD661" s="408"/>
      <c r="CE661" s="408"/>
      <c r="CF661" s="408"/>
      <c r="CG661" s="408"/>
      <c r="CH661" s="408"/>
      <c r="CI661" s="408">
        <v>94568.960000000006</v>
      </c>
      <c r="CJ661" s="408">
        <v>-23598.809999999983</v>
      </c>
      <c r="CK661" s="408"/>
      <c r="CL661" s="408"/>
      <c r="CM661" s="408"/>
      <c r="CN661" s="408"/>
      <c r="CO661" s="408">
        <v>-23598.78</v>
      </c>
      <c r="CP661" s="408">
        <v>0</v>
      </c>
      <c r="CQ661" s="408">
        <v>30</v>
      </c>
      <c r="CR661" s="408">
        <v>2216.4251839271801</v>
      </c>
      <c r="CS661" s="408">
        <v>214.31958112898837</v>
      </c>
      <c r="CT661" s="408">
        <v>999.56313664480331</v>
      </c>
      <c r="CU661" s="408">
        <v>0</v>
      </c>
      <c r="CV661" s="408">
        <v>0</v>
      </c>
      <c r="CW661" s="408"/>
      <c r="CX661" s="408"/>
      <c r="CY661" s="408"/>
      <c r="CZ661" s="408">
        <v>1002.5424661533865</v>
      </c>
      <c r="DA661" s="408">
        <v>0</v>
      </c>
      <c r="DB661" s="408">
        <v>0</v>
      </c>
      <c r="DC661" s="408"/>
      <c r="DD661" s="408"/>
      <c r="DE661" s="408">
        <v>0</v>
      </c>
      <c r="DF661" s="408">
        <v>0</v>
      </c>
      <c r="DG661" s="408">
        <v>0</v>
      </c>
      <c r="DH661" s="408">
        <v>0</v>
      </c>
      <c r="DI661" s="408">
        <v>0</v>
      </c>
      <c r="DJ661" s="408"/>
      <c r="DK661" s="408">
        <v>0</v>
      </c>
      <c r="DL661" s="408">
        <v>0</v>
      </c>
      <c r="DM661" s="408"/>
      <c r="DN661" s="408">
        <v>0</v>
      </c>
      <c r="DO661" s="408">
        <v>0</v>
      </c>
      <c r="DP661" s="408">
        <v>0</v>
      </c>
      <c r="DQ661" s="408">
        <v>0</v>
      </c>
      <c r="DR661" s="408">
        <v>0</v>
      </c>
      <c r="DS661" s="408"/>
      <c r="DT661" s="408"/>
      <c r="DU661" s="408">
        <v>104008.60343677118</v>
      </c>
      <c r="DV661" s="408"/>
      <c r="DW661" s="408">
        <v>0</v>
      </c>
      <c r="DX661" s="408">
        <v>0</v>
      </c>
      <c r="DY661" s="408">
        <v>-23598.78</v>
      </c>
      <c r="DZ661" s="408"/>
      <c r="EA661" s="408">
        <v>0</v>
      </c>
      <c r="EB661" s="408"/>
      <c r="EC661" s="408">
        <v>-25837.501346507226</v>
      </c>
      <c r="ED661" s="408"/>
      <c r="EE661" s="408">
        <v>0</v>
      </c>
      <c r="EF661" s="408">
        <v>0</v>
      </c>
      <c r="EG661" s="408"/>
      <c r="EH661" s="408">
        <v>0</v>
      </c>
      <c r="EI661" s="408">
        <v>0</v>
      </c>
      <c r="EJ661" s="408">
        <v>0</v>
      </c>
      <c r="EK661" s="408">
        <v>0</v>
      </c>
      <c r="EL661" s="408">
        <v>0</v>
      </c>
      <c r="EM661" s="408"/>
      <c r="EN661" s="408"/>
      <c r="EO661" s="408">
        <v>0</v>
      </c>
      <c r="EP661" s="408">
        <v>0</v>
      </c>
      <c r="EQ661" s="408"/>
      <c r="ER661" s="408">
        <v>0</v>
      </c>
      <c r="ES661" s="408"/>
      <c r="ET661" s="408">
        <v>0</v>
      </c>
      <c r="EU661" s="408"/>
      <c r="EV661" s="408">
        <v>240</v>
      </c>
      <c r="EW661" s="408"/>
      <c r="EX661" s="408"/>
      <c r="EY661" s="408"/>
      <c r="EZ661" s="408"/>
      <c r="FA661" s="408">
        <v>0</v>
      </c>
      <c r="FB661" s="408"/>
      <c r="FC661" s="408"/>
      <c r="FD661" s="408"/>
      <c r="FE661" s="408"/>
      <c r="FF661" s="408">
        <v>0</v>
      </c>
      <c r="FG661" s="408">
        <v>0</v>
      </c>
      <c r="FH661" s="408">
        <v>0</v>
      </c>
      <c r="FI661" s="408">
        <v>0</v>
      </c>
    </row>
    <row r="662" spans="1:165">
      <c r="A662" s="408">
        <v>660</v>
      </c>
      <c r="B662" s="408" t="s">
        <v>2238</v>
      </c>
      <c r="C662" s="408" t="s">
        <v>2243</v>
      </c>
      <c r="D662" s="408" t="s">
        <v>597</v>
      </c>
      <c r="E662" s="408" t="s">
        <v>998</v>
      </c>
      <c r="F662" s="408" t="s">
        <v>1322</v>
      </c>
      <c r="G662" s="408" t="s">
        <v>1322</v>
      </c>
      <c r="H662" s="408" t="s">
        <v>1322</v>
      </c>
      <c r="I662" s="408" t="s">
        <v>1322</v>
      </c>
      <c r="J662" s="408" t="s">
        <v>2236</v>
      </c>
      <c r="K662" s="826">
        <v>44652</v>
      </c>
      <c r="L662" s="408">
        <v>552</v>
      </c>
      <c r="M662" s="408">
        <v>552</v>
      </c>
      <c r="N662" s="408">
        <v>0</v>
      </c>
      <c r="O662" s="408">
        <v>0</v>
      </c>
      <c r="P662" s="408">
        <v>0</v>
      </c>
      <c r="Q662" s="408">
        <v>0</v>
      </c>
      <c r="R662" s="408">
        <v>27.19</v>
      </c>
      <c r="S662" s="408"/>
      <c r="T662" s="408"/>
      <c r="U662" s="408">
        <v>15008.880000000001</v>
      </c>
      <c r="V662" s="408"/>
      <c r="W662" s="408">
        <v>15008.880000000001</v>
      </c>
      <c r="X662" s="408">
        <v>12011.52</v>
      </c>
      <c r="Y662" s="408">
        <v>0</v>
      </c>
      <c r="Z662" s="408">
        <v>0</v>
      </c>
      <c r="AA662" s="408">
        <v>0</v>
      </c>
      <c r="AB662" s="408">
        <v>0</v>
      </c>
      <c r="AC662" s="408">
        <v>128.72673861201534</v>
      </c>
      <c r="AD662" s="408">
        <v>123.66723133247406</v>
      </c>
      <c r="AE662" s="408">
        <v>13210.480694224043</v>
      </c>
      <c r="AF662" s="408"/>
      <c r="AG662" s="408"/>
      <c r="AH662" s="408"/>
      <c r="AI662" s="408">
        <v>0</v>
      </c>
      <c r="AJ662" s="408">
        <v>0</v>
      </c>
      <c r="AK662" s="408">
        <v>0</v>
      </c>
      <c r="AL662" s="408">
        <v>0</v>
      </c>
      <c r="AM662" s="408"/>
      <c r="AN662" s="408">
        <v>0</v>
      </c>
      <c r="AO662" s="408">
        <v>273.17642676193611</v>
      </c>
      <c r="AP662" s="408">
        <v>1274.0650413423425</v>
      </c>
      <c r="AQ662" s="408">
        <v>0</v>
      </c>
      <c r="AR662" s="408">
        <v>0</v>
      </c>
      <c r="AS662" s="408"/>
      <c r="AT662" s="408"/>
      <c r="AU662" s="408">
        <v>0</v>
      </c>
      <c r="AV662" s="408">
        <v>0</v>
      </c>
      <c r="AW662" s="408">
        <v>0</v>
      </c>
      <c r="AX662" s="408"/>
      <c r="AY662" s="408"/>
      <c r="AZ662" s="408">
        <v>0</v>
      </c>
      <c r="BA662" s="408"/>
      <c r="BB662" s="408">
        <v>0</v>
      </c>
      <c r="BC662" s="408">
        <v>0</v>
      </c>
      <c r="BD662" s="408">
        <v>0</v>
      </c>
      <c r="BE662" s="408">
        <v>0</v>
      </c>
      <c r="BF662" s="408"/>
      <c r="BG662" s="408">
        <v>0</v>
      </c>
      <c r="BH662" s="408">
        <v>0</v>
      </c>
      <c r="BI662" s="408">
        <v>24.55</v>
      </c>
      <c r="BJ662" s="408">
        <v>263.33</v>
      </c>
      <c r="BK662" s="408">
        <v>11110.58</v>
      </c>
      <c r="BL662" s="408">
        <v>5</v>
      </c>
      <c r="BM662" s="408"/>
      <c r="BN662" s="408"/>
      <c r="BO662" s="408"/>
      <c r="BP662" s="408"/>
      <c r="BQ662" s="408"/>
      <c r="BR662" s="408"/>
      <c r="BS662" s="408"/>
      <c r="BT662" s="408"/>
      <c r="BU662" s="408"/>
      <c r="BV662" s="408">
        <v>0</v>
      </c>
      <c r="BW662" s="408"/>
      <c r="BX662" s="408"/>
      <c r="BY662" s="408"/>
      <c r="BZ662" s="408"/>
      <c r="CA662" s="408"/>
      <c r="CB662" s="408"/>
      <c r="CC662" s="408"/>
      <c r="CD662" s="408"/>
      <c r="CE662" s="408"/>
      <c r="CF662" s="408"/>
      <c r="CG662" s="408"/>
      <c r="CH662" s="408"/>
      <c r="CI662" s="408">
        <v>12011.52</v>
      </c>
      <c r="CJ662" s="408">
        <v>-2997.3900000000012</v>
      </c>
      <c r="CK662" s="408"/>
      <c r="CL662" s="408"/>
      <c r="CM662" s="408"/>
      <c r="CN662" s="408"/>
      <c r="CO662" s="408">
        <v>-2997.3599999999997</v>
      </c>
      <c r="CP662" s="408">
        <v>0</v>
      </c>
      <c r="CQ662" s="408">
        <v>30</v>
      </c>
      <c r="CR662" s="408">
        <v>281.51557789411004</v>
      </c>
      <c r="CS662" s="408">
        <v>27.221447027888075</v>
      </c>
      <c r="CT662" s="408">
        <v>126.9578581288381</v>
      </c>
      <c r="CU662" s="408">
        <v>0</v>
      </c>
      <c r="CV662" s="408">
        <v>0</v>
      </c>
      <c r="CW662" s="408"/>
      <c r="CX662" s="408"/>
      <c r="CY662" s="408"/>
      <c r="CZ662" s="408">
        <v>127.33627273738365</v>
      </c>
      <c r="DA662" s="408">
        <v>0</v>
      </c>
      <c r="DB662" s="408">
        <v>0</v>
      </c>
      <c r="DC662" s="408"/>
      <c r="DD662" s="408"/>
      <c r="DE662" s="408">
        <v>0</v>
      </c>
      <c r="DF662" s="408">
        <v>0</v>
      </c>
      <c r="DG662" s="408">
        <v>0</v>
      </c>
      <c r="DH662" s="408">
        <v>0</v>
      </c>
      <c r="DI662" s="408">
        <v>0</v>
      </c>
      <c r="DJ662" s="408"/>
      <c r="DK662" s="408">
        <v>0</v>
      </c>
      <c r="DL662" s="408">
        <v>0</v>
      </c>
      <c r="DM662" s="408"/>
      <c r="DN662" s="408">
        <v>0</v>
      </c>
      <c r="DO662" s="408">
        <v>0</v>
      </c>
      <c r="DP662" s="408">
        <v>0</v>
      </c>
      <c r="DQ662" s="408">
        <v>0</v>
      </c>
      <c r="DR662" s="408">
        <v>0</v>
      </c>
      <c r="DS662" s="408"/>
      <c r="DT662" s="408"/>
      <c r="DU662" s="408">
        <v>13210.480694224043</v>
      </c>
      <c r="DV662" s="408"/>
      <c r="DW662" s="408">
        <v>0</v>
      </c>
      <c r="DX662" s="408">
        <v>0</v>
      </c>
      <c r="DY662" s="408">
        <v>-2997.3600000000006</v>
      </c>
      <c r="DZ662" s="408"/>
      <c r="EA662" s="408">
        <v>0</v>
      </c>
      <c r="EB662" s="408"/>
      <c r="EC662" s="408">
        <v>-3281.7074880975579</v>
      </c>
      <c r="ED662" s="408"/>
      <c r="EE662" s="408">
        <v>0</v>
      </c>
      <c r="EF662" s="408">
        <v>0</v>
      </c>
      <c r="EG662" s="408"/>
      <c r="EH662" s="408">
        <v>0</v>
      </c>
      <c r="EI662" s="408">
        <v>0</v>
      </c>
      <c r="EJ662" s="408">
        <v>0</v>
      </c>
      <c r="EK662" s="408">
        <v>0</v>
      </c>
      <c r="EL662" s="408">
        <v>0</v>
      </c>
      <c r="EM662" s="408"/>
      <c r="EN662" s="408"/>
      <c r="EO662" s="408">
        <v>0</v>
      </c>
      <c r="EP662" s="408">
        <v>0</v>
      </c>
      <c r="EQ662" s="408"/>
      <c r="ER662" s="408">
        <v>0</v>
      </c>
      <c r="ES662" s="408"/>
      <c r="ET662" s="408">
        <v>0</v>
      </c>
      <c r="EU662" s="408"/>
      <c r="EV662" s="408">
        <v>240</v>
      </c>
      <c r="EW662" s="408"/>
      <c r="EX662" s="408"/>
      <c r="EY662" s="408"/>
      <c r="EZ662" s="408"/>
      <c r="FA662" s="408">
        <v>0</v>
      </c>
      <c r="FB662" s="408"/>
      <c r="FC662" s="408"/>
      <c r="FD662" s="408"/>
      <c r="FE662" s="408"/>
      <c r="FF662" s="408">
        <v>0</v>
      </c>
      <c r="FG662" s="408">
        <v>0</v>
      </c>
      <c r="FH662" s="408">
        <v>0</v>
      </c>
      <c r="FI662" s="408">
        <v>0</v>
      </c>
    </row>
    <row r="663" spans="1:165">
      <c r="A663" s="408">
        <v>661</v>
      </c>
      <c r="B663" s="408" t="s">
        <v>1036</v>
      </c>
      <c r="C663" s="408" t="s">
        <v>2316</v>
      </c>
      <c r="D663" s="408" t="s">
        <v>1958</v>
      </c>
      <c r="E663" s="408" t="s">
        <v>998</v>
      </c>
      <c r="F663" s="408" t="s">
        <v>1322</v>
      </c>
      <c r="G663" s="408" t="s">
        <v>1322</v>
      </c>
      <c r="H663" s="408" t="s">
        <v>1322</v>
      </c>
      <c r="I663" s="408" t="s">
        <v>973</v>
      </c>
      <c r="J663" s="408" t="s">
        <v>2236</v>
      </c>
      <c r="K663" s="826">
        <v>44652</v>
      </c>
      <c r="L663" s="408">
        <v>0</v>
      </c>
      <c r="M663" s="408">
        <v>0</v>
      </c>
      <c r="N663" s="408">
        <v>0.68799999999999994</v>
      </c>
      <c r="O663" s="408">
        <v>0.68799999999999994</v>
      </c>
      <c r="P663" s="408">
        <v>0.68799999999999994</v>
      </c>
      <c r="Q663" s="408">
        <v>0.68799999999999994</v>
      </c>
      <c r="R663" s="408"/>
      <c r="S663" s="408">
        <v>1553.42</v>
      </c>
      <c r="T663" s="408">
        <v>173.25</v>
      </c>
      <c r="U663" s="408"/>
      <c r="V663" s="408">
        <v>1187.9489599999999</v>
      </c>
      <c r="W663" s="408">
        <v>1187.9489599999999</v>
      </c>
      <c r="X663" s="408">
        <v>1127.1091200000001</v>
      </c>
      <c r="Y663" s="408">
        <v>0</v>
      </c>
      <c r="Z663" s="408">
        <v>42.343086041166828</v>
      </c>
      <c r="AA663" s="408">
        <v>0</v>
      </c>
      <c r="AB663" s="408">
        <v>0</v>
      </c>
      <c r="AC663" s="408">
        <v>74.613081282817618</v>
      </c>
      <c r="AD663" s="408">
        <v>5.1597386316486293</v>
      </c>
      <c r="AE663" s="408">
        <v>494.25087756843931</v>
      </c>
      <c r="AF663" s="408">
        <v>117.19424376269534</v>
      </c>
      <c r="AG663" s="408">
        <v>2.0001766690123799</v>
      </c>
      <c r="AH663" s="408">
        <v>0</v>
      </c>
      <c r="AI663" s="408">
        <v>0</v>
      </c>
      <c r="AJ663" s="408">
        <v>0</v>
      </c>
      <c r="AK663" s="408">
        <v>0</v>
      </c>
      <c r="AL663" s="408">
        <v>6.5422128307998815</v>
      </c>
      <c r="AM663" s="408"/>
      <c r="AN663" s="408">
        <v>0.83100541948155127</v>
      </c>
      <c r="AO663" s="408">
        <v>217.10112772752993</v>
      </c>
      <c r="AP663" s="408">
        <v>210.94499300346874</v>
      </c>
      <c r="AQ663" s="408">
        <v>0</v>
      </c>
      <c r="AR663" s="408">
        <v>0</v>
      </c>
      <c r="AS663" s="408">
        <v>0</v>
      </c>
      <c r="AT663" s="408">
        <v>0</v>
      </c>
      <c r="AU663" s="408">
        <v>0</v>
      </c>
      <c r="AV663" s="408">
        <v>0</v>
      </c>
      <c r="AW663" s="408">
        <v>0</v>
      </c>
      <c r="AX663" s="408">
        <v>0</v>
      </c>
      <c r="AY663" s="408">
        <v>0</v>
      </c>
      <c r="AZ663" s="408">
        <v>0</v>
      </c>
      <c r="BA663" s="408"/>
      <c r="BB663" s="408">
        <v>0</v>
      </c>
      <c r="BC663" s="408">
        <v>0</v>
      </c>
      <c r="BD663" s="408">
        <v>0</v>
      </c>
      <c r="BE663" s="408">
        <v>0</v>
      </c>
      <c r="BF663" s="408">
        <v>0</v>
      </c>
      <c r="BG663" s="408">
        <v>6.1505767756247538</v>
      </c>
      <c r="BH663" s="408">
        <v>0</v>
      </c>
      <c r="BI663" s="408">
        <v>0</v>
      </c>
      <c r="BJ663" s="408">
        <v>0</v>
      </c>
      <c r="BK663" s="408">
        <v>0</v>
      </c>
      <c r="BL663" s="408">
        <v>0</v>
      </c>
      <c r="BM663" s="408"/>
      <c r="BN663" s="408"/>
      <c r="BO663" s="408"/>
      <c r="BP663" s="408"/>
      <c r="BQ663" s="408"/>
      <c r="BR663" s="408"/>
      <c r="BS663" s="408"/>
      <c r="BT663" s="408"/>
      <c r="BU663" s="408"/>
      <c r="BV663" s="408">
        <v>123.34482053832009</v>
      </c>
      <c r="BW663" s="408"/>
      <c r="BX663" s="408"/>
      <c r="BY663" s="408"/>
      <c r="BZ663" s="408"/>
      <c r="CA663" s="408"/>
      <c r="CB663" s="408"/>
      <c r="CC663" s="408"/>
      <c r="CD663" s="408"/>
      <c r="CE663" s="408"/>
      <c r="CF663" s="408"/>
      <c r="CG663" s="408"/>
      <c r="CH663" s="408"/>
      <c r="CI663" s="408">
        <v>1130.3856000000001</v>
      </c>
      <c r="CJ663" s="408">
        <v>-57.593359999999848</v>
      </c>
      <c r="CK663" s="408"/>
      <c r="CL663" s="408"/>
      <c r="CM663" s="408"/>
      <c r="CN663" s="408"/>
      <c r="CO663" s="408">
        <v>-75.693759999999983</v>
      </c>
      <c r="CP663" s="408">
        <v>14.85392</v>
      </c>
      <c r="CQ663" s="408">
        <v>30</v>
      </c>
      <c r="CR663" s="408">
        <v>61.939345773365517</v>
      </c>
      <c r="CS663" s="408">
        <v>21.63366333684408</v>
      </c>
      <c r="CT663" s="408">
        <v>21.020217669976404</v>
      </c>
      <c r="CU663" s="408">
        <v>0</v>
      </c>
      <c r="CV663" s="408">
        <v>0</v>
      </c>
      <c r="CW663" s="408">
        <v>0</v>
      </c>
      <c r="CX663" s="408">
        <v>0</v>
      </c>
      <c r="CY663" s="408">
        <v>0</v>
      </c>
      <c r="CZ663" s="408">
        <v>5.3128211780438885</v>
      </c>
      <c r="DA663" s="408">
        <v>0</v>
      </c>
      <c r="DB663" s="408">
        <v>0</v>
      </c>
      <c r="DC663" s="408">
        <v>14.852242906534499</v>
      </c>
      <c r="DD663" s="408">
        <v>0</v>
      </c>
      <c r="DE663" s="408">
        <v>0</v>
      </c>
      <c r="DF663" s="408">
        <v>0</v>
      </c>
      <c r="DG663" s="408">
        <v>0.77947395156919175</v>
      </c>
      <c r="DH663" s="408">
        <v>0</v>
      </c>
      <c r="DI663" s="408">
        <v>-1.4378372111614297</v>
      </c>
      <c r="DJ663" s="408"/>
      <c r="DK663" s="408">
        <v>0</v>
      </c>
      <c r="DL663" s="408">
        <v>0</v>
      </c>
      <c r="DM663" s="408">
        <v>0</v>
      </c>
      <c r="DN663" s="408">
        <v>0</v>
      </c>
      <c r="DO663" s="408">
        <v>-0.19772572689192902</v>
      </c>
      <c r="DP663" s="408">
        <v>-2.3510331549252306E-2</v>
      </c>
      <c r="DQ663" s="408">
        <v>0</v>
      </c>
      <c r="DR663" s="408">
        <v>0</v>
      </c>
      <c r="DS663" s="408"/>
      <c r="DT663" s="408"/>
      <c r="DU663" s="408"/>
      <c r="DV663" s="408">
        <v>494.25087756843931</v>
      </c>
      <c r="DW663" s="408">
        <v>0</v>
      </c>
      <c r="DX663" s="408">
        <v>0</v>
      </c>
      <c r="DY663" s="408">
        <v>-75.693759999999997</v>
      </c>
      <c r="DZ663" s="408">
        <v>14.853920000000002</v>
      </c>
      <c r="EA663" s="408">
        <v>0</v>
      </c>
      <c r="EB663" s="408">
        <v>0</v>
      </c>
      <c r="EC663" s="408">
        <v>-122.78030175119392</v>
      </c>
      <c r="ED663" s="408">
        <v>0</v>
      </c>
      <c r="EE663" s="408">
        <v>0</v>
      </c>
      <c r="EF663" s="408">
        <v>0</v>
      </c>
      <c r="EG663" s="408">
        <v>0</v>
      </c>
      <c r="EH663" s="408">
        <v>0</v>
      </c>
      <c r="EI663" s="408">
        <v>0</v>
      </c>
      <c r="EJ663" s="408">
        <v>0</v>
      </c>
      <c r="EK663" s="408">
        <v>0</v>
      </c>
      <c r="EL663" s="408">
        <v>0</v>
      </c>
      <c r="EM663" s="408">
        <v>0</v>
      </c>
      <c r="EN663" s="408">
        <v>0</v>
      </c>
      <c r="EO663" s="408">
        <v>0</v>
      </c>
      <c r="EP663" s="408">
        <v>10.813668982914145</v>
      </c>
      <c r="EQ663" s="408">
        <v>0</v>
      </c>
      <c r="ER663" s="408">
        <v>0</v>
      </c>
      <c r="ES663" s="408">
        <v>0</v>
      </c>
      <c r="ET663" s="408">
        <v>0</v>
      </c>
      <c r="EU663" s="408">
        <v>0</v>
      </c>
      <c r="EV663" s="408">
        <v>240</v>
      </c>
      <c r="EW663" s="408">
        <v>0</v>
      </c>
      <c r="EX663" s="408">
        <v>0</v>
      </c>
      <c r="EY663" s="408">
        <v>0</v>
      </c>
      <c r="EZ663" s="408"/>
      <c r="FA663" s="408">
        <v>0</v>
      </c>
      <c r="FB663" s="408"/>
      <c r="FC663" s="408"/>
      <c r="FD663" s="408"/>
      <c r="FE663" s="408"/>
      <c r="FF663" s="408">
        <v>0</v>
      </c>
      <c r="FG663" s="408">
        <v>0</v>
      </c>
      <c r="FH663" s="408">
        <v>0</v>
      </c>
      <c r="FI663" s="408">
        <v>0</v>
      </c>
    </row>
    <row r="664" spans="1:165">
      <c r="A664" s="408">
        <v>662</v>
      </c>
      <c r="B664" s="408" t="s">
        <v>1036</v>
      </c>
      <c r="C664" s="408" t="s">
        <v>2316</v>
      </c>
      <c r="D664" s="408" t="s">
        <v>1958</v>
      </c>
      <c r="E664" s="408" t="s">
        <v>998</v>
      </c>
      <c r="F664" s="408" t="s">
        <v>1322</v>
      </c>
      <c r="G664" s="408" t="s">
        <v>1322</v>
      </c>
      <c r="H664" s="408" t="s">
        <v>1322</v>
      </c>
      <c r="I664" s="408" t="s">
        <v>2244</v>
      </c>
      <c r="J664" s="408" t="s">
        <v>2236</v>
      </c>
      <c r="K664" s="826">
        <v>44652</v>
      </c>
      <c r="L664" s="408">
        <v>0</v>
      </c>
      <c r="M664" s="408">
        <v>0</v>
      </c>
      <c r="N664" s="408">
        <v>10.207000000000001</v>
      </c>
      <c r="O664" s="408">
        <v>10.207000000000001</v>
      </c>
      <c r="P664" s="408">
        <v>10.207000000000001</v>
      </c>
      <c r="Q664" s="408">
        <v>10.207000000000001</v>
      </c>
      <c r="R664" s="408"/>
      <c r="S664" s="408">
        <v>388.22</v>
      </c>
      <c r="T664" s="408">
        <v>173.25</v>
      </c>
      <c r="U664" s="408"/>
      <c r="V664" s="408">
        <v>5730.9242900000008</v>
      </c>
      <c r="W664" s="408">
        <v>5730.9242900000008</v>
      </c>
      <c r="X664" s="408">
        <v>5716.2262100000007</v>
      </c>
      <c r="Y664" s="408">
        <v>0</v>
      </c>
      <c r="Z664" s="408">
        <v>628.19168491597372</v>
      </c>
      <c r="AA664" s="408">
        <v>0</v>
      </c>
      <c r="AB664" s="408">
        <v>0</v>
      </c>
      <c r="AC664" s="408">
        <v>221.38829088770916</v>
      </c>
      <c r="AD664" s="408">
        <v>15.309738805293112</v>
      </c>
      <c r="AE664" s="408">
        <v>1466.5181652929864</v>
      </c>
      <c r="AF664" s="408">
        <v>1738.6651832642899</v>
      </c>
      <c r="AG664" s="408">
        <v>29.674132646234543</v>
      </c>
      <c r="AH664" s="408">
        <v>0</v>
      </c>
      <c r="AI664" s="408">
        <v>0</v>
      </c>
      <c r="AJ664" s="408">
        <v>0</v>
      </c>
      <c r="AK664" s="408">
        <v>0</v>
      </c>
      <c r="AL664" s="408">
        <v>97.058672040660468</v>
      </c>
      <c r="AM664" s="408"/>
      <c r="AN664" s="408">
        <v>12.328593483500283</v>
      </c>
      <c r="AO664" s="408">
        <v>644.17186357991227</v>
      </c>
      <c r="AP664" s="408">
        <v>625.90568127511801</v>
      </c>
      <c r="AQ664" s="408">
        <v>0</v>
      </c>
      <c r="AR664" s="408">
        <v>0</v>
      </c>
      <c r="AS664" s="408">
        <v>0</v>
      </c>
      <c r="AT664" s="408">
        <v>0</v>
      </c>
      <c r="AU664" s="408">
        <v>0</v>
      </c>
      <c r="AV664" s="408">
        <v>0</v>
      </c>
      <c r="AW664" s="408">
        <v>0</v>
      </c>
      <c r="AX664" s="408">
        <v>0</v>
      </c>
      <c r="AY664" s="408">
        <v>0</v>
      </c>
      <c r="AZ664" s="408">
        <v>0</v>
      </c>
      <c r="BA664" s="408"/>
      <c r="BB664" s="408">
        <v>0</v>
      </c>
      <c r="BC664" s="408">
        <v>0</v>
      </c>
      <c r="BD664" s="408">
        <v>0</v>
      </c>
      <c r="BE664" s="408">
        <v>0</v>
      </c>
      <c r="BF664" s="408">
        <v>0</v>
      </c>
      <c r="BG664" s="408">
        <v>91.248455158142264</v>
      </c>
      <c r="BH664" s="408">
        <v>0</v>
      </c>
      <c r="BI664" s="408">
        <v>0</v>
      </c>
      <c r="BJ664" s="408">
        <v>0</v>
      </c>
      <c r="BK664" s="408">
        <v>0</v>
      </c>
      <c r="BL664" s="408">
        <v>0</v>
      </c>
      <c r="BM664" s="408"/>
      <c r="BN664" s="408"/>
      <c r="BO664" s="408"/>
      <c r="BP664" s="408"/>
      <c r="BQ664" s="408"/>
      <c r="BR664" s="408"/>
      <c r="BS664" s="408"/>
      <c r="BT664" s="408"/>
      <c r="BU664" s="408"/>
      <c r="BV664" s="408">
        <v>1829.9136384224321</v>
      </c>
      <c r="BW664" s="408"/>
      <c r="BX664" s="408"/>
      <c r="BY664" s="408"/>
      <c r="BZ664" s="408"/>
      <c r="CA664" s="408"/>
      <c r="CB664" s="408"/>
      <c r="CC664" s="408"/>
      <c r="CD664" s="408"/>
      <c r="CE664" s="408"/>
      <c r="CF664" s="408"/>
      <c r="CG664" s="408"/>
      <c r="CH664" s="408"/>
      <c r="CI664" s="408">
        <v>5717.9063000000006</v>
      </c>
      <c r="CJ664" s="408">
        <v>-13.047990000000937</v>
      </c>
      <c r="CK664" s="408"/>
      <c r="CL664" s="408"/>
      <c r="CM664" s="408"/>
      <c r="CN664" s="408"/>
      <c r="CO664" s="408">
        <v>-235.06721000000033</v>
      </c>
      <c r="CP664" s="408">
        <v>220.36913000000004</v>
      </c>
      <c r="CQ664" s="408">
        <v>30</v>
      </c>
      <c r="CR664" s="408">
        <v>349.61919926715382</v>
      </c>
      <c r="CS664" s="408">
        <v>64.190349325338275</v>
      </c>
      <c r="CT664" s="408">
        <v>62.37016330158292</v>
      </c>
      <c r="CU664" s="408">
        <v>0</v>
      </c>
      <c r="CV664" s="408">
        <v>0</v>
      </c>
      <c r="CW664" s="408">
        <v>0</v>
      </c>
      <c r="CX664" s="408">
        <v>0</v>
      </c>
      <c r="CY664" s="408">
        <v>0</v>
      </c>
      <c r="CZ664" s="408">
        <v>15.763958285827442</v>
      </c>
      <c r="DA664" s="408">
        <v>0</v>
      </c>
      <c r="DB664" s="408">
        <v>0</v>
      </c>
      <c r="DC664" s="408">
        <v>220.34424905086871</v>
      </c>
      <c r="DD664" s="408">
        <v>0</v>
      </c>
      <c r="DE664" s="408">
        <v>0</v>
      </c>
      <c r="DF664" s="408">
        <v>0</v>
      </c>
      <c r="DG664" s="408">
        <v>11.564085208817929</v>
      </c>
      <c r="DH664" s="408">
        <v>0</v>
      </c>
      <c r="DI664" s="408">
        <v>-21.331401765006945</v>
      </c>
      <c r="DJ664" s="408"/>
      <c r="DK664" s="408">
        <v>0</v>
      </c>
      <c r="DL664" s="408">
        <v>0</v>
      </c>
      <c r="DM664" s="408">
        <v>0</v>
      </c>
      <c r="DN664" s="408">
        <v>0</v>
      </c>
      <c r="DO664" s="408">
        <v>-2.9334106023051163</v>
      </c>
      <c r="DP664" s="408">
        <v>-0.34879353796979373</v>
      </c>
      <c r="DQ664" s="408">
        <v>0</v>
      </c>
      <c r="DR664" s="408">
        <v>0</v>
      </c>
      <c r="DS664" s="408"/>
      <c r="DT664" s="408"/>
      <c r="DU664" s="408"/>
      <c r="DV664" s="408">
        <v>1466.5181652929864</v>
      </c>
      <c r="DW664" s="408">
        <v>0</v>
      </c>
      <c r="DX664" s="408">
        <v>0</v>
      </c>
      <c r="DY664" s="408">
        <v>-235.06721000000016</v>
      </c>
      <c r="DZ664" s="408">
        <v>220.36913000000004</v>
      </c>
      <c r="EA664" s="408">
        <v>0</v>
      </c>
      <c r="EB664" s="408">
        <v>0</v>
      </c>
      <c r="EC664" s="408">
        <v>-364.30798817012942</v>
      </c>
      <c r="ED664" s="408">
        <v>0</v>
      </c>
      <c r="EE664" s="408">
        <v>0</v>
      </c>
      <c r="EF664" s="408">
        <v>0</v>
      </c>
      <c r="EG664" s="408">
        <v>0</v>
      </c>
      <c r="EH664" s="408">
        <v>0</v>
      </c>
      <c r="EI664" s="408">
        <v>0</v>
      </c>
      <c r="EJ664" s="408">
        <v>0</v>
      </c>
      <c r="EK664" s="408">
        <v>0</v>
      </c>
      <c r="EL664" s="408">
        <v>0</v>
      </c>
      <c r="EM664" s="408">
        <v>0</v>
      </c>
      <c r="EN664" s="408">
        <v>0</v>
      </c>
      <c r="EO664" s="408">
        <v>0</v>
      </c>
      <c r="EP664" s="408">
        <v>160.42895248343706</v>
      </c>
      <c r="EQ664" s="408">
        <v>0</v>
      </c>
      <c r="ER664" s="408">
        <v>0</v>
      </c>
      <c r="ES664" s="408">
        <v>0</v>
      </c>
      <c r="ET664" s="408">
        <v>0</v>
      </c>
      <c r="EU664" s="408">
        <v>0</v>
      </c>
      <c r="EV664" s="408">
        <v>240</v>
      </c>
      <c r="EW664" s="408">
        <v>0</v>
      </c>
      <c r="EX664" s="408">
        <v>0</v>
      </c>
      <c r="EY664" s="408">
        <v>0</v>
      </c>
      <c r="EZ664" s="408"/>
      <c r="FA664" s="408">
        <v>0</v>
      </c>
      <c r="FB664" s="408"/>
      <c r="FC664" s="408"/>
      <c r="FD664" s="408"/>
      <c r="FE664" s="408"/>
      <c r="FF664" s="408">
        <v>0</v>
      </c>
      <c r="FG664" s="408">
        <v>0</v>
      </c>
      <c r="FH664" s="408">
        <v>0</v>
      </c>
      <c r="FI664" s="408">
        <v>0</v>
      </c>
    </row>
    <row r="665" spans="1:165">
      <c r="A665" s="408">
        <v>663</v>
      </c>
      <c r="B665" s="408" t="s">
        <v>1036</v>
      </c>
      <c r="C665" s="408" t="s">
        <v>2316</v>
      </c>
      <c r="D665" s="408" t="s">
        <v>1958</v>
      </c>
      <c r="E665" s="408" t="s">
        <v>998</v>
      </c>
      <c r="F665" s="408" t="s">
        <v>1322</v>
      </c>
      <c r="G665" s="408" t="s">
        <v>1322</v>
      </c>
      <c r="H665" s="408" t="s">
        <v>1322</v>
      </c>
      <c r="I665" s="408" t="s">
        <v>1322</v>
      </c>
      <c r="J665" s="408" t="s">
        <v>2236</v>
      </c>
      <c r="K665" s="826">
        <v>44652</v>
      </c>
      <c r="L665" s="408">
        <v>0</v>
      </c>
      <c r="M665" s="408">
        <v>0</v>
      </c>
      <c r="N665" s="408">
        <v>0</v>
      </c>
      <c r="O665" s="408">
        <v>0</v>
      </c>
      <c r="P665" s="408">
        <v>0</v>
      </c>
      <c r="Q665" s="408">
        <v>0</v>
      </c>
      <c r="R665" s="408"/>
      <c r="S665" s="408"/>
      <c r="T665" s="408"/>
      <c r="U665" s="408"/>
      <c r="V665" s="408"/>
      <c r="W665" s="408"/>
      <c r="X665" s="408"/>
      <c r="Y665" s="408"/>
      <c r="Z665" s="408"/>
      <c r="AA665" s="408">
        <v>0</v>
      </c>
      <c r="AB665" s="408"/>
      <c r="AC665" s="408"/>
      <c r="AD665" s="408"/>
      <c r="AE665" s="408"/>
      <c r="AF665" s="408"/>
      <c r="AG665" s="408"/>
      <c r="AH665" s="408"/>
      <c r="AI665" s="408"/>
      <c r="AJ665" s="408"/>
      <c r="AK665" s="408"/>
      <c r="AL665" s="408"/>
      <c r="AM665" s="408"/>
      <c r="AN665" s="408"/>
      <c r="AO665" s="408"/>
      <c r="AP665" s="408"/>
      <c r="AQ665" s="408"/>
      <c r="AR665" s="408"/>
      <c r="AS665" s="408"/>
      <c r="AT665" s="408"/>
      <c r="AU665" s="408"/>
      <c r="AV665" s="408"/>
      <c r="AW665" s="408"/>
      <c r="AX665" s="408"/>
      <c r="AY665" s="408"/>
      <c r="AZ665" s="408">
        <v>0</v>
      </c>
      <c r="BA665" s="408"/>
      <c r="BB665" s="408"/>
      <c r="BC665" s="408"/>
      <c r="BD665" s="408"/>
      <c r="BE665" s="408"/>
      <c r="BF665" s="408"/>
      <c r="BG665" s="408"/>
      <c r="BH665" s="408"/>
      <c r="BI665" s="408">
        <v>6.23</v>
      </c>
      <c r="BJ665" s="408">
        <v>67.06</v>
      </c>
      <c r="BK665" s="408">
        <v>2980</v>
      </c>
      <c r="BL665" s="408">
        <v>6</v>
      </c>
      <c r="BM665" s="408"/>
      <c r="BN665" s="408"/>
      <c r="BO665" s="408"/>
      <c r="BP665" s="408"/>
      <c r="BQ665" s="408"/>
      <c r="BR665" s="408"/>
      <c r="BS665" s="408"/>
      <c r="BT665" s="408"/>
      <c r="BU665" s="408"/>
      <c r="BV665" s="408"/>
      <c r="BW665" s="408"/>
      <c r="BX665" s="408"/>
      <c r="BY665" s="408"/>
      <c r="BZ665" s="408"/>
      <c r="CA665" s="408"/>
      <c r="CB665" s="408"/>
      <c r="CC665" s="408"/>
      <c r="CD665" s="408"/>
      <c r="CE665" s="408"/>
      <c r="CF665" s="408"/>
      <c r="CG665" s="408"/>
      <c r="CH665" s="408"/>
      <c r="CI665" s="408"/>
      <c r="CJ665" s="408">
        <v>-0.03</v>
      </c>
      <c r="CK665" s="408"/>
      <c r="CL665" s="408"/>
      <c r="CM665" s="408"/>
      <c r="CN665" s="408"/>
      <c r="CO665" s="408">
        <v>0</v>
      </c>
      <c r="CP665" s="408">
        <v>0</v>
      </c>
      <c r="CQ665" s="408">
        <v>30</v>
      </c>
      <c r="CR665" s="408"/>
      <c r="CS665" s="408"/>
      <c r="CT665" s="408"/>
      <c r="CU665" s="408"/>
      <c r="CV665" s="408"/>
      <c r="CW665" s="408"/>
      <c r="CX665" s="408"/>
      <c r="CY665" s="408"/>
      <c r="CZ665" s="408"/>
      <c r="DA665" s="408"/>
      <c r="DB665" s="408"/>
      <c r="DC665" s="408"/>
      <c r="DD665" s="408"/>
      <c r="DE665" s="408"/>
      <c r="DF665" s="408"/>
      <c r="DG665" s="408"/>
      <c r="DH665" s="408"/>
      <c r="DI665" s="408"/>
      <c r="DJ665" s="408"/>
      <c r="DK665" s="408">
        <v>0</v>
      </c>
      <c r="DL665" s="408"/>
      <c r="DM665" s="408"/>
      <c r="DN665" s="408"/>
      <c r="DO665" s="408"/>
      <c r="DP665" s="408"/>
      <c r="DQ665" s="408"/>
      <c r="DR665" s="408"/>
      <c r="DS665" s="408"/>
      <c r="DT665" s="408"/>
      <c r="DU665" s="408"/>
      <c r="DV665" s="408"/>
      <c r="DW665" s="408"/>
      <c r="DX665" s="408"/>
      <c r="DY665" s="408"/>
      <c r="DZ665" s="408"/>
      <c r="EA665" s="408"/>
      <c r="EB665" s="408"/>
      <c r="EC665" s="408"/>
      <c r="ED665" s="408"/>
      <c r="EE665" s="408"/>
      <c r="EF665" s="408"/>
      <c r="EG665" s="408"/>
      <c r="EH665" s="408"/>
      <c r="EI665" s="408"/>
      <c r="EJ665" s="408"/>
      <c r="EK665" s="408"/>
      <c r="EL665" s="408"/>
      <c r="EM665" s="408"/>
      <c r="EN665" s="408"/>
      <c r="EO665" s="408"/>
      <c r="EP665" s="408"/>
      <c r="EQ665" s="408"/>
      <c r="ER665" s="408"/>
      <c r="ES665" s="408"/>
      <c r="ET665" s="408"/>
      <c r="EU665" s="408"/>
      <c r="EV665" s="408">
        <v>240</v>
      </c>
      <c r="EW665" s="408"/>
      <c r="EX665" s="408"/>
      <c r="EY665" s="408"/>
      <c r="EZ665" s="408"/>
      <c r="FA665" s="408">
        <v>0</v>
      </c>
      <c r="FB665" s="408"/>
      <c r="FC665" s="408"/>
      <c r="FD665" s="408"/>
      <c r="FE665" s="408"/>
      <c r="FF665" s="408">
        <v>0</v>
      </c>
      <c r="FG665" s="408">
        <v>0</v>
      </c>
      <c r="FH665" s="408">
        <v>0</v>
      </c>
      <c r="FI665" s="408">
        <v>0</v>
      </c>
    </row>
    <row r="666" spans="1:165">
      <c r="A666" s="408">
        <v>664</v>
      </c>
      <c r="B666" s="408" t="s">
        <v>1036</v>
      </c>
      <c r="C666" s="408" t="s">
        <v>2316</v>
      </c>
      <c r="D666" s="408" t="s">
        <v>1958</v>
      </c>
      <c r="E666" s="408" t="s">
        <v>998</v>
      </c>
      <c r="F666" s="408" t="s">
        <v>1322</v>
      </c>
      <c r="G666" s="408" t="s">
        <v>1322</v>
      </c>
      <c r="H666" s="408" t="s">
        <v>1322</v>
      </c>
      <c r="I666" s="408" t="s">
        <v>2317</v>
      </c>
      <c r="J666" s="408" t="s">
        <v>2236</v>
      </c>
      <c r="K666" s="826">
        <v>44652</v>
      </c>
      <c r="L666" s="408">
        <v>0</v>
      </c>
      <c r="M666" s="408">
        <v>0</v>
      </c>
      <c r="N666" s="408">
        <v>0.52900000000000003</v>
      </c>
      <c r="O666" s="408">
        <v>0.52900000000000003</v>
      </c>
      <c r="P666" s="408">
        <v>0.52900000000000003</v>
      </c>
      <c r="Q666" s="408">
        <v>0.52900000000000003</v>
      </c>
      <c r="R666" s="408"/>
      <c r="S666" s="408">
        <v>970.82</v>
      </c>
      <c r="T666" s="408">
        <v>173.25</v>
      </c>
      <c r="U666" s="408"/>
      <c r="V666" s="408">
        <v>605.21303000000012</v>
      </c>
      <c r="W666" s="408">
        <v>605.21303000000012</v>
      </c>
      <c r="X666" s="408">
        <v>581.43977000000007</v>
      </c>
      <c r="Y666" s="408">
        <v>0</v>
      </c>
      <c r="Z666" s="408">
        <v>32.557401912466943</v>
      </c>
      <c r="AA666" s="408">
        <v>0</v>
      </c>
      <c r="AB666" s="408">
        <v>0</v>
      </c>
      <c r="AC666" s="408">
        <v>34.421790696462715</v>
      </c>
      <c r="AD666" s="408">
        <v>2.3803816482806028</v>
      </c>
      <c r="AE666" s="408">
        <v>228.01637752136571</v>
      </c>
      <c r="AF666" s="408">
        <v>90.110108939630578</v>
      </c>
      <c r="AG666" s="408">
        <v>1.5379265376563214</v>
      </c>
      <c r="AH666" s="408">
        <v>0</v>
      </c>
      <c r="AI666" s="408">
        <v>0</v>
      </c>
      <c r="AJ666" s="408">
        <v>0</v>
      </c>
      <c r="AK666" s="408">
        <v>0</v>
      </c>
      <c r="AL666" s="408">
        <v>5.030277016705142</v>
      </c>
      <c r="AM666" s="408"/>
      <c r="AN666" s="408">
        <v>0.63895620189787883</v>
      </c>
      <c r="AO666" s="408">
        <v>100.1568284022063</v>
      </c>
      <c r="AP666" s="408">
        <v>97.316774388519093</v>
      </c>
      <c r="AQ666" s="408">
        <v>0</v>
      </c>
      <c r="AR666" s="408">
        <v>0</v>
      </c>
      <c r="AS666" s="408">
        <v>0</v>
      </c>
      <c r="AT666" s="408">
        <v>0</v>
      </c>
      <c r="AU666" s="408">
        <v>0</v>
      </c>
      <c r="AV666" s="408">
        <v>0</v>
      </c>
      <c r="AW666" s="408">
        <v>0</v>
      </c>
      <c r="AX666" s="408">
        <v>0</v>
      </c>
      <c r="AY666" s="408">
        <v>0</v>
      </c>
      <c r="AZ666" s="408">
        <v>0</v>
      </c>
      <c r="BA666" s="408"/>
      <c r="BB666" s="408">
        <v>0</v>
      </c>
      <c r="BC666" s="408">
        <v>0</v>
      </c>
      <c r="BD666" s="408">
        <v>0</v>
      </c>
      <c r="BE666" s="408">
        <v>0</v>
      </c>
      <c r="BF666" s="408">
        <v>0</v>
      </c>
      <c r="BG666" s="408">
        <v>4.7291498754440342</v>
      </c>
      <c r="BH666" s="408">
        <v>0</v>
      </c>
      <c r="BI666" s="408">
        <v>0</v>
      </c>
      <c r="BJ666" s="408">
        <v>0</v>
      </c>
      <c r="BK666" s="408">
        <v>0</v>
      </c>
      <c r="BL666" s="408">
        <v>0</v>
      </c>
      <c r="BM666" s="408"/>
      <c r="BN666" s="408"/>
      <c r="BO666" s="408"/>
      <c r="BP666" s="408"/>
      <c r="BQ666" s="408"/>
      <c r="BR666" s="408"/>
      <c r="BS666" s="408"/>
      <c r="BT666" s="408"/>
      <c r="BU666" s="408"/>
      <c r="BV666" s="408">
        <v>94.839258815074615</v>
      </c>
      <c r="BW666" s="408"/>
      <c r="BX666" s="408"/>
      <c r="BY666" s="408"/>
      <c r="BZ666" s="408"/>
      <c r="CA666" s="408"/>
      <c r="CB666" s="408"/>
      <c r="CC666" s="408"/>
      <c r="CD666" s="408"/>
      <c r="CE666" s="408"/>
      <c r="CF666" s="408"/>
      <c r="CG666" s="408"/>
      <c r="CH666" s="408"/>
      <c r="CI666" s="408">
        <v>582.53890000000001</v>
      </c>
      <c r="CJ666" s="408">
        <v>-22.704130000000077</v>
      </c>
      <c r="CK666" s="408"/>
      <c r="CL666" s="408"/>
      <c r="CM666" s="408"/>
      <c r="CN666" s="408"/>
      <c r="CO666" s="408">
        <v>-35.194370000000049</v>
      </c>
      <c r="CP666" s="408">
        <v>11.421110000000002</v>
      </c>
      <c r="CQ666" s="408">
        <v>30</v>
      </c>
      <c r="CR666" s="408">
        <v>32.8723274848644</v>
      </c>
      <c r="CS666" s="408">
        <v>9.9804138708057764</v>
      </c>
      <c r="CT666" s="408">
        <v>9.6974085587938106</v>
      </c>
      <c r="CU666" s="408">
        <v>0</v>
      </c>
      <c r="CV666" s="408">
        <v>0</v>
      </c>
      <c r="CW666" s="408">
        <v>0</v>
      </c>
      <c r="CX666" s="408">
        <v>0</v>
      </c>
      <c r="CY666" s="408">
        <v>0</v>
      </c>
      <c r="CZ666" s="408">
        <v>2.4510043891063247</v>
      </c>
      <c r="DA666" s="408">
        <v>0</v>
      </c>
      <c r="DB666" s="408">
        <v>0</v>
      </c>
      <c r="DC666" s="408">
        <v>11.41982049063482</v>
      </c>
      <c r="DD666" s="408">
        <v>0</v>
      </c>
      <c r="DE666" s="408">
        <v>0</v>
      </c>
      <c r="DF666" s="408">
        <v>0</v>
      </c>
      <c r="DG666" s="408">
        <v>0.59933389590131103</v>
      </c>
      <c r="DH666" s="408">
        <v>0</v>
      </c>
      <c r="DI666" s="408">
        <v>-1.1055463440470881</v>
      </c>
      <c r="DJ666" s="408"/>
      <c r="DK666" s="408">
        <v>0</v>
      </c>
      <c r="DL666" s="408">
        <v>0</v>
      </c>
      <c r="DM666" s="408">
        <v>0</v>
      </c>
      <c r="DN666" s="408">
        <v>0</v>
      </c>
      <c r="DO666" s="408">
        <v>-0.15203039175266042</v>
      </c>
      <c r="DP666" s="408">
        <v>-1.8076984577840793E-2</v>
      </c>
      <c r="DQ666" s="408">
        <v>0</v>
      </c>
      <c r="DR666" s="408">
        <v>0</v>
      </c>
      <c r="DS666" s="408"/>
      <c r="DT666" s="408"/>
      <c r="DU666" s="408"/>
      <c r="DV666" s="408">
        <v>228.01637752136571</v>
      </c>
      <c r="DW666" s="408">
        <v>0</v>
      </c>
      <c r="DX666" s="408">
        <v>0</v>
      </c>
      <c r="DY666" s="408">
        <v>-35.194370000000049</v>
      </c>
      <c r="DZ666" s="408">
        <v>11.421109999999999</v>
      </c>
      <c r="EA666" s="408">
        <v>0</v>
      </c>
      <c r="EB666" s="408">
        <v>0</v>
      </c>
      <c r="EC666" s="408">
        <v>-56.643135919188609</v>
      </c>
      <c r="ED666" s="408">
        <v>0</v>
      </c>
      <c r="EE666" s="408">
        <v>0</v>
      </c>
      <c r="EF666" s="408">
        <v>0</v>
      </c>
      <c r="EG666" s="408">
        <v>0</v>
      </c>
      <c r="EH666" s="408">
        <v>0</v>
      </c>
      <c r="EI666" s="408">
        <v>0</v>
      </c>
      <c r="EJ666" s="408">
        <v>0</v>
      </c>
      <c r="EK666" s="408">
        <v>0</v>
      </c>
      <c r="EL666" s="408">
        <v>0</v>
      </c>
      <c r="EM666" s="408">
        <v>0</v>
      </c>
      <c r="EN666" s="408">
        <v>0</v>
      </c>
      <c r="EO666" s="408">
        <v>0</v>
      </c>
      <c r="EP666" s="408">
        <v>8.3145797848278828</v>
      </c>
      <c r="EQ666" s="408">
        <v>0</v>
      </c>
      <c r="ER666" s="408">
        <v>0</v>
      </c>
      <c r="ES666" s="408">
        <v>0</v>
      </c>
      <c r="ET666" s="408">
        <v>0</v>
      </c>
      <c r="EU666" s="408">
        <v>0</v>
      </c>
      <c r="EV666" s="408">
        <v>240</v>
      </c>
      <c r="EW666" s="408">
        <v>0</v>
      </c>
      <c r="EX666" s="408">
        <v>0</v>
      </c>
      <c r="EY666" s="408">
        <v>0</v>
      </c>
      <c r="EZ666" s="408"/>
      <c r="FA666" s="408">
        <v>0</v>
      </c>
      <c r="FB666" s="408"/>
      <c r="FC666" s="408"/>
      <c r="FD666" s="408"/>
      <c r="FE666" s="408"/>
      <c r="FF666" s="408">
        <v>0</v>
      </c>
      <c r="FG666" s="408">
        <v>0</v>
      </c>
      <c r="FH666" s="408">
        <v>0</v>
      </c>
      <c r="FI666" s="408">
        <v>0</v>
      </c>
    </row>
    <row r="667" spans="1:165">
      <c r="A667" s="408">
        <v>665</v>
      </c>
      <c r="B667" s="408" t="s">
        <v>1036</v>
      </c>
      <c r="C667" s="408" t="s">
        <v>2235</v>
      </c>
      <c r="D667" s="408" t="s">
        <v>2245</v>
      </c>
      <c r="E667" s="408" t="s">
        <v>974</v>
      </c>
      <c r="F667" s="408" t="s">
        <v>1322</v>
      </c>
      <c r="G667" s="408" t="s">
        <v>1322</v>
      </c>
      <c r="H667" s="408" t="s">
        <v>1322</v>
      </c>
      <c r="I667" s="408" t="s">
        <v>1322</v>
      </c>
      <c r="J667" s="408" t="s">
        <v>2236</v>
      </c>
      <c r="K667" s="826">
        <v>44652</v>
      </c>
      <c r="L667" s="408">
        <v>0</v>
      </c>
      <c r="M667" s="408">
        <v>0</v>
      </c>
      <c r="N667" s="408">
        <v>5667.2370000000001</v>
      </c>
      <c r="O667" s="408">
        <v>5667.2370000000001</v>
      </c>
      <c r="P667" s="408">
        <v>5667.2370000000001</v>
      </c>
      <c r="Q667" s="408">
        <v>5667.2370000000001</v>
      </c>
      <c r="R667" s="408"/>
      <c r="S667" s="408">
        <v>368.24</v>
      </c>
      <c r="T667" s="408">
        <v>173.25</v>
      </c>
      <c r="U667" s="408"/>
      <c r="V667" s="408">
        <v>3068752.1631300002</v>
      </c>
      <c r="W667" s="408">
        <v>3068752.1631300002</v>
      </c>
      <c r="X667" s="408">
        <v>2884000.2369300001</v>
      </c>
      <c r="Y667" s="408">
        <v>0</v>
      </c>
      <c r="Z667" s="408">
        <v>348791.13939925033</v>
      </c>
      <c r="AA667" s="408">
        <v>0</v>
      </c>
      <c r="AB667" s="408">
        <v>0</v>
      </c>
      <c r="AC667" s="408">
        <v>14505.504857135084</v>
      </c>
      <c r="AD667" s="408">
        <v>13936.537481696703</v>
      </c>
      <c r="AE667" s="408">
        <v>1334844.6008270732</v>
      </c>
      <c r="AF667" s="408">
        <v>965359.81749849755</v>
      </c>
      <c r="AG667" s="408">
        <v>16475.981431924003</v>
      </c>
      <c r="AH667" s="408">
        <v>0</v>
      </c>
      <c r="AI667" s="408">
        <v>0</v>
      </c>
      <c r="AJ667" s="408">
        <v>0</v>
      </c>
      <c r="AK667" s="408">
        <v>0</v>
      </c>
      <c r="AL667" s="408">
        <v>53889.928221778828</v>
      </c>
      <c r="AM667" s="408"/>
      <c r="AN667" s="408">
        <v>6845.2102623348374</v>
      </c>
      <c r="AO667" s="408">
        <v>30792.340283819412</v>
      </c>
      <c r="AP667" s="408">
        <v>143580.14004297796</v>
      </c>
      <c r="AQ667" s="408">
        <v>0</v>
      </c>
      <c r="AR667" s="408">
        <v>0</v>
      </c>
      <c r="AS667" s="408">
        <v>0</v>
      </c>
      <c r="AT667" s="408">
        <v>0</v>
      </c>
      <c r="AU667" s="408">
        <v>0</v>
      </c>
      <c r="AV667" s="408">
        <v>0</v>
      </c>
      <c r="AW667" s="408">
        <v>0</v>
      </c>
      <c r="AX667" s="408">
        <v>0</v>
      </c>
      <c r="AY667" s="408">
        <v>0</v>
      </c>
      <c r="AZ667" s="408">
        <v>0</v>
      </c>
      <c r="BA667" s="408"/>
      <c r="BB667" s="408">
        <v>0</v>
      </c>
      <c r="BC667" s="408">
        <v>0</v>
      </c>
      <c r="BD667" s="408">
        <v>0</v>
      </c>
      <c r="BE667" s="408">
        <v>0</v>
      </c>
      <c r="BF667" s="408">
        <v>0</v>
      </c>
      <c r="BG667" s="408">
        <v>50663.919003141433</v>
      </c>
      <c r="BH667" s="408">
        <v>0</v>
      </c>
      <c r="BI667" s="408">
        <v>2263.88</v>
      </c>
      <c r="BJ667" s="408">
        <v>25042.46</v>
      </c>
      <c r="BK667" s="408">
        <v>171403.63</v>
      </c>
      <c r="BL667" s="408">
        <v>15618</v>
      </c>
      <c r="BM667" s="408"/>
      <c r="BN667" s="408"/>
      <c r="BO667" s="408"/>
      <c r="BP667" s="408"/>
      <c r="BQ667" s="408"/>
      <c r="BR667" s="408">
        <v>346041.49122000003</v>
      </c>
      <c r="BS667" s="408"/>
      <c r="BT667" s="408"/>
      <c r="BU667" s="408"/>
      <c r="BV667" s="408">
        <v>1016023.736501639</v>
      </c>
      <c r="BW667" s="408"/>
      <c r="BX667" s="408"/>
      <c r="BY667" s="408"/>
      <c r="BZ667" s="408"/>
      <c r="CA667" s="408"/>
      <c r="CB667" s="408"/>
      <c r="CC667" s="408"/>
      <c r="CD667" s="408"/>
      <c r="CE667" s="408"/>
      <c r="CF667" s="408"/>
      <c r="CG667" s="408"/>
      <c r="CH667" s="408"/>
      <c r="CI667" s="408">
        <v>2537960.0892000003</v>
      </c>
      <c r="CJ667" s="408">
        <v>-162535.04366999958</v>
      </c>
      <c r="CK667" s="408"/>
      <c r="CL667" s="408"/>
      <c r="CM667" s="408"/>
      <c r="CN667" s="408"/>
      <c r="CO667" s="408">
        <v>-307107.57302999997</v>
      </c>
      <c r="CP667" s="408">
        <v>122355.64683000003</v>
      </c>
      <c r="CQ667" s="408">
        <v>30</v>
      </c>
      <c r="CR667" s="408">
        <v>146822.2020494414</v>
      </c>
      <c r="CS667" s="408">
        <v>3068.390892421954</v>
      </c>
      <c r="CT667" s="408">
        <v>14307.454060971475</v>
      </c>
      <c r="CU667" s="408">
        <v>0</v>
      </c>
      <c r="CV667" s="408">
        <v>0</v>
      </c>
      <c r="CW667" s="408">
        <v>0</v>
      </c>
      <c r="CX667" s="408">
        <v>0</v>
      </c>
      <c r="CY667" s="408">
        <v>0</v>
      </c>
      <c r="CZ667" s="408">
        <v>14350.015914992791</v>
      </c>
      <c r="DA667" s="408">
        <v>0</v>
      </c>
      <c r="DB667" s="408">
        <v>0</v>
      </c>
      <c r="DC667" s="408">
        <v>122341.83216991264</v>
      </c>
      <c r="DD667" s="408">
        <v>0</v>
      </c>
      <c r="DE667" s="408">
        <v>0</v>
      </c>
      <c r="DF667" s="408">
        <v>0</v>
      </c>
      <c r="DG667" s="408">
        <v>6420.7320041702478</v>
      </c>
      <c r="DH667" s="408">
        <v>0</v>
      </c>
      <c r="DI667" s="408">
        <v>-11843.843376556528</v>
      </c>
      <c r="DJ667" s="408"/>
      <c r="DK667" s="408">
        <v>0</v>
      </c>
      <c r="DL667" s="408">
        <v>0</v>
      </c>
      <c r="DM667" s="408">
        <v>0</v>
      </c>
      <c r="DN667" s="408">
        <v>0</v>
      </c>
      <c r="DO667" s="408">
        <v>-1628.7188303689472</v>
      </c>
      <c r="DP667" s="408">
        <v>-193.66078610202021</v>
      </c>
      <c r="DQ667" s="408">
        <v>0</v>
      </c>
      <c r="DR667" s="408">
        <v>0</v>
      </c>
      <c r="DS667" s="408"/>
      <c r="DT667" s="408"/>
      <c r="DU667" s="408"/>
      <c r="DV667" s="408">
        <v>1334844.6008270732</v>
      </c>
      <c r="DW667" s="408">
        <v>0</v>
      </c>
      <c r="DX667" s="408">
        <v>0</v>
      </c>
      <c r="DY667" s="408">
        <v>-307107.57303000009</v>
      </c>
      <c r="DZ667" s="408">
        <v>122355.6468300001</v>
      </c>
      <c r="EA667" s="408">
        <v>0</v>
      </c>
      <c r="EB667" s="408">
        <v>0</v>
      </c>
      <c r="EC667" s="408">
        <v>-331598.04123525636</v>
      </c>
      <c r="ED667" s="408">
        <v>0</v>
      </c>
      <c r="EE667" s="408">
        <v>0</v>
      </c>
      <c r="EF667" s="408">
        <v>0</v>
      </c>
      <c r="EG667" s="408">
        <v>0</v>
      </c>
      <c r="EH667" s="408">
        <v>0</v>
      </c>
      <c r="EI667" s="408">
        <v>0</v>
      </c>
      <c r="EJ667" s="408">
        <v>0</v>
      </c>
      <c r="EK667" s="408">
        <v>0</v>
      </c>
      <c r="EL667" s="408">
        <v>0</v>
      </c>
      <c r="EM667" s="408">
        <v>0</v>
      </c>
      <c r="EN667" s="408">
        <v>0</v>
      </c>
      <c r="EO667" s="408">
        <v>0</v>
      </c>
      <c r="EP667" s="408">
        <v>89075.036287388692</v>
      </c>
      <c r="EQ667" s="408">
        <v>0</v>
      </c>
      <c r="ER667" s="408">
        <v>0</v>
      </c>
      <c r="ES667" s="408">
        <v>0</v>
      </c>
      <c r="ET667" s="408">
        <v>0</v>
      </c>
      <c r="EU667" s="408">
        <v>0</v>
      </c>
      <c r="EV667" s="408">
        <v>240</v>
      </c>
      <c r="EW667" s="408">
        <v>0</v>
      </c>
      <c r="EX667" s="408">
        <v>0</v>
      </c>
      <c r="EY667" s="408">
        <v>0</v>
      </c>
      <c r="EZ667" s="408"/>
      <c r="FA667" s="408">
        <v>0</v>
      </c>
      <c r="FB667" s="408"/>
      <c r="FC667" s="408"/>
      <c r="FD667" s="408"/>
      <c r="FE667" s="408"/>
      <c r="FF667" s="408">
        <v>0</v>
      </c>
      <c r="FG667" s="408">
        <v>0</v>
      </c>
      <c r="FH667" s="408">
        <v>0</v>
      </c>
      <c r="FI667" s="408">
        <v>0</v>
      </c>
    </row>
    <row r="668" spans="1:165">
      <c r="A668" s="408">
        <v>666</v>
      </c>
      <c r="B668" s="408" t="s">
        <v>2237</v>
      </c>
      <c r="C668" s="408" t="s">
        <v>2235</v>
      </c>
      <c r="D668" s="408" t="s">
        <v>2245</v>
      </c>
      <c r="E668" s="408" t="s">
        <v>974</v>
      </c>
      <c r="F668" s="408" t="s">
        <v>1322</v>
      </c>
      <c r="G668" s="408" t="s">
        <v>1322</v>
      </c>
      <c r="H668" s="408" t="s">
        <v>1322</v>
      </c>
      <c r="I668" s="408" t="s">
        <v>1322</v>
      </c>
      <c r="J668" s="408" t="s">
        <v>2236</v>
      </c>
      <c r="K668" s="826">
        <v>44652</v>
      </c>
      <c r="L668" s="408">
        <v>0</v>
      </c>
      <c r="M668" s="408">
        <v>0</v>
      </c>
      <c r="N668" s="408">
        <v>-1.3580000000000001</v>
      </c>
      <c r="O668" s="408">
        <v>-1.3580000000000001</v>
      </c>
      <c r="P668" s="408">
        <v>-1.3580000000000001</v>
      </c>
      <c r="Q668" s="408">
        <v>-1.3580000000000001</v>
      </c>
      <c r="R668" s="408"/>
      <c r="S668" s="408">
        <v>368.24</v>
      </c>
      <c r="T668" s="408">
        <v>173.25</v>
      </c>
      <c r="U668" s="408"/>
      <c r="V668" s="408">
        <v>-735.34342000000004</v>
      </c>
      <c r="W668" s="408">
        <v>-735.34342000000004</v>
      </c>
      <c r="X668" s="408">
        <v>-691.07262000000014</v>
      </c>
      <c r="Y668" s="408">
        <v>0</v>
      </c>
      <c r="Z668" s="408">
        <v>-83.578358784745006</v>
      </c>
      <c r="AA668" s="408">
        <v>0</v>
      </c>
      <c r="AB668" s="408">
        <v>0</v>
      </c>
      <c r="AC668" s="408">
        <v>-3.4758517415081536</v>
      </c>
      <c r="AD668" s="408">
        <v>-3.3395141053998842</v>
      </c>
      <c r="AE668" s="408">
        <v>-319.8593896678691</v>
      </c>
      <c r="AF668" s="408">
        <v>-231.32235905485507</v>
      </c>
      <c r="AG668" s="408">
        <v>-3.9480231344750183</v>
      </c>
      <c r="AH668" s="408">
        <v>0</v>
      </c>
      <c r="AI668" s="408">
        <v>0</v>
      </c>
      <c r="AJ668" s="408">
        <v>0</v>
      </c>
      <c r="AK668" s="408">
        <v>0</v>
      </c>
      <c r="AL668" s="408">
        <v>-12.913263116607908</v>
      </c>
      <c r="AM668" s="408"/>
      <c r="AN668" s="408">
        <v>-1.6402694181045738</v>
      </c>
      <c r="AO668" s="408">
        <v>-7.3785511538385924</v>
      </c>
      <c r="AP668" s="408">
        <v>-34.405095495100007</v>
      </c>
      <c r="AQ668" s="408">
        <v>0</v>
      </c>
      <c r="AR668" s="408">
        <v>0</v>
      </c>
      <c r="AS668" s="408">
        <v>0</v>
      </c>
      <c r="AT668" s="408">
        <v>0</v>
      </c>
      <c r="AU668" s="408">
        <v>0</v>
      </c>
      <c r="AV668" s="408">
        <v>0</v>
      </c>
      <c r="AW668" s="408">
        <v>0</v>
      </c>
      <c r="AX668" s="408">
        <v>0</v>
      </c>
      <c r="AY668" s="408">
        <v>0</v>
      </c>
      <c r="AZ668" s="408">
        <v>0</v>
      </c>
      <c r="BA668" s="408"/>
      <c r="BB668" s="408">
        <v>0</v>
      </c>
      <c r="BC668" s="408">
        <v>0</v>
      </c>
      <c r="BD668" s="408">
        <v>0</v>
      </c>
      <c r="BE668" s="408">
        <v>0</v>
      </c>
      <c r="BF668" s="408">
        <v>0</v>
      </c>
      <c r="BG668" s="408">
        <v>-12.140237298398862</v>
      </c>
      <c r="BH668" s="408">
        <v>0</v>
      </c>
      <c r="BI668" s="408">
        <v>-0.51</v>
      </c>
      <c r="BJ668" s="408">
        <v>-5.04</v>
      </c>
      <c r="BK668" s="408">
        <v>-309.95</v>
      </c>
      <c r="BL668" s="408">
        <v>0</v>
      </c>
      <c r="BM668" s="408"/>
      <c r="BN668" s="408"/>
      <c r="BO668" s="408"/>
      <c r="BP668" s="408"/>
      <c r="BQ668" s="408"/>
      <c r="BR668" s="408">
        <v>-82.919480000000007</v>
      </c>
      <c r="BS668" s="408"/>
      <c r="BT668" s="408"/>
      <c r="BU668" s="408"/>
      <c r="BV668" s="408">
        <v>-243.46259635325393</v>
      </c>
      <c r="BW668" s="408"/>
      <c r="BX668" s="408"/>
      <c r="BY668" s="408"/>
      <c r="BZ668" s="408"/>
      <c r="CA668" s="408"/>
      <c r="CB668" s="408"/>
      <c r="CC668" s="408"/>
      <c r="CD668" s="408"/>
      <c r="CE668" s="408"/>
      <c r="CF668" s="408"/>
      <c r="CG668" s="408"/>
      <c r="CH668" s="408"/>
      <c r="CI668" s="408">
        <v>-609.04880000000003</v>
      </c>
      <c r="CJ668" s="408">
        <v>38.021780000000035</v>
      </c>
      <c r="CK668" s="408"/>
      <c r="CL668" s="408"/>
      <c r="CM668" s="408"/>
      <c r="CN668" s="408"/>
      <c r="CO668" s="408">
        <v>73.590019999999996</v>
      </c>
      <c r="CP668" s="408">
        <v>-29.319220000000005</v>
      </c>
      <c r="CQ668" s="408">
        <v>30</v>
      </c>
      <c r="CR668" s="408">
        <v>-35.181967929546943</v>
      </c>
      <c r="CS668" s="408">
        <v>-0.7352568512502673</v>
      </c>
      <c r="CT668" s="408">
        <v>-3.4283942271691217</v>
      </c>
      <c r="CU668" s="408">
        <v>0</v>
      </c>
      <c r="CV668" s="408">
        <v>0</v>
      </c>
      <c r="CW668" s="408">
        <v>0</v>
      </c>
      <c r="CX668" s="408">
        <v>0</v>
      </c>
      <c r="CY668" s="408">
        <v>0</v>
      </c>
      <c r="CZ668" s="408">
        <v>-3.4385930238245215</v>
      </c>
      <c r="DA668" s="408">
        <v>0</v>
      </c>
      <c r="DB668" s="408">
        <v>0</v>
      </c>
      <c r="DC668" s="408">
        <v>-29.31590969051436</v>
      </c>
      <c r="DD668" s="408">
        <v>0</v>
      </c>
      <c r="DE668" s="408">
        <v>0</v>
      </c>
      <c r="DF668" s="408">
        <v>0</v>
      </c>
      <c r="DG668" s="408">
        <v>-1.5385546892891888</v>
      </c>
      <c r="DH668" s="408">
        <v>0</v>
      </c>
      <c r="DI668" s="408">
        <v>2.8380565883099109</v>
      </c>
      <c r="DJ668" s="408"/>
      <c r="DK668" s="408">
        <v>0</v>
      </c>
      <c r="DL668" s="408">
        <v>0</v>
      </c>
      <c r="DM668" s="408">
        <v>0</v>
      </c>
      <c r="DN668" s="408">
        <v>0</v>
      </c>
      <c r="DO668" s="408">
        <v>0.39027839697563849</v>
      </c>
      <c r="DP668" s="408">
        <v>4.6405567214948595E-2</v>
      </c>
      <c r="DQ668" s="408">
        <v>0</v>
      </c>
      <c r="DR668" s="408">
        <v>0</v>
      </c>
      <c r="DS668" s="408"/>
      <c r="DT668" s="408"/>
      <c r="DU668" s="408"/>
      <c r="DV668" s="408">
        <v>-319.8593896678691</v>
      </c>
      <c r="DW668" s="408">
        <v>0</v>
      </c>
      <c r="DX668" s="408">
        <v>0</v>
      </c>
      <c r="DY668" s="408">
        <v>73.590019999999981</v>
      </c>
      <c r="DZ668" s="408">
        <v>-29.31922000000003</v>
      </c>
      <c r="EA668" s="408">
        <v>0</v>
      </c>
      <c r="EB668" s="408">
        <v>0</v>
      </c>
      <c r="EC668" s="408">
        <v>79.4584980295474</v>
      </c>
      <c r="ED668" s="408">
        <v>0</v>
      </c>
      <c r="EE668" s="408">
        <v>0</v>
      </c>
      <c r="EF668" s="408">
        <v>0</v>
      </c>
      <c r="EG668" s="408">
        <v>0</v>
      </c>
      <c r="EH668" s="408">
        <v>0</v>
      </c>
      <c r="EI668" s="408">
        <v>0</v>
      </c>
      <c r="EJ668" s="408">
        <v>0</v>
      </c>
      <c r="EK668" s="408">
        <v>0</v>
      </c>
      <c r="EL668" s="408">
        <v>0</v>
      </c>
      <c r="EM668" s="408">
        <v>0</v>
      </c>
      <c r="EN668" s="408">
        <v>0</v>
      </c>
      <c r="EO668" s="408">
        <v>0</v>
      </c>
      <c r="EP668" s="408">
        <v>-21.344422207554377</v>
      </c>
      <c r="EQ668" s="408">
        <v>0</v>
      </c>
      <c r="ER668" s="408">
        <v>0</v>
      </c>
      <c r="ES668" s="408">
        <v>0</v>
      </c>
      <c r="ET668" s="408">
        <v>0</v>
      </c>
      <c r="EU668" s="408">
        <v>0</v>
      </c>
      <c r="EV668" s="408">
        <v>240</v>
      </c>
      <c r="EW668" s="408">
        <v>0</v>
      </c>
      <c r="EX668" s="408">
        <v>0</v>
      </c>
      <c r="EY668" s="408">
        <v>0</v>
      </c>
      <c r="EZ668" s="408"/>
      <c r="FA668" s="408">
        <v>0</v>
      </c>
      <c r="FB668" s="408"/>
      <c r="FC668" s="408"/>
      <c r="FD668" s="408"/>
      <c r="FE668" s="408"/>
      <c r="FF668" s="408">
        <v>0</v>
      </c>
      <c r="FG668" s="408">
        <v>0</v>
      </c>
      <c r="FH668" s="408">
        <v>0</v>
      </c>
      <c r="FI668" s="408">
        <v>0</v>
      </c>
    </row>
    <row r="669" spans="1:165">
      <c r="A669" s="408">
        <v>667</v>
      </c>
      <c r="B669" s="408" t="s">
        <v>2238</v>
      </c>
      <c r="C669" s="408" t="s">
        <v>2235</v>
      </c>
      <c r="D669" s="408" t="s">
        <v>2245</v>
      </c>
      <c r="E669" s="408" t="s">
        <v>974</v>
      </c>
      <c r="F669" s="408" t="s">
        <v>1322</v>
      </c>
      <c r="G669" s="408" t="s">
        <v>1322</v>
      </c>
      <c r="H669" s="408" t="s">
        <v>1322</v>
      </c>
      <c r="I669" s="408" t="s">
        <v>1322</v>
      </c>
      <c r="J669" s="408" t="s">
        <v>2236</v>
      </c>
      <c r="K669" s="826">
        <v>44652</v>
      </c>
      <c r="L669" s="408">
        <v>0</v>
      </c>
      <c r="M669" s="408">
        <v>0</v>
      </c>
      <c r="N669" s="408">
        <v>256.72699999999998</v>
      </c>
      <c r="O669" s="408">
        <v>256.72699999999998</v>
      </c>
      <c r="P669" s="408">
        <v>256.72699999999998</v>
      </c>
      <c r="Q669" s="408">
        <v>256.72699999999998</v>
      </c>
      <c r="R669" s="408"/>
      <c r="S669" s="408">
        <v>368.24</v>
      </c>
      <c r="T669" s="408">
        <v>173.25</v>
      </c>
      <c r="U669" s="408"/>
      <c r="V669" s="408">
        <v>139015.10323000001</v>
      </c>
      <c r="W669" s="408">
        <v>139015.10323000001</v>
      </c>
      <c r="X669" s="408">
        <v>130645.80302999998</v>
      </c>
      <c r="Y669" s="408">
        <v>0</v>
      </c>
      <c r="Z669" s="408">
        <v>15800.310247224763</v>
      </c>
      <c r="AA669" s="408">
        <v>0</v>
      </c>
      <c r="AB669" s="408">
        <v>0</v>
      </c>
      <c r="AC669" s="408">
        <v>657.10234907375821</v>
      </c>
      <c r="AD669" s="408">
        <v>631.32801011560821</v>
      </c>
      <c r="AE669" s="408">
        <v>60468.734559103839</v>
      </c>
      <c r="AF669" s="408">
        <v>43730.997991955643</v>
      </c>
      <c r="AG669" s="408">
        <v>746.36534259526343</v>
      </c>
      <c r="AH669" s="408">
        <v>0</v>
      </c>
      <c r="AI669" s="408">
        <v>0</v>
      </c>
      <c r="AJ669" s="408">
        <v>0</v>
      </c>
      <c r="AK669" s="408">
        <v>0</v>
      </c>
      <c r="AL669" s="408">
        <v>2441.2248160069203</v>
      </c>
      <c r="AM669" s="408"/>
      <c r="AN669" s="408">
        <v>310.08943070819794</v>
      </c>
      <c r="AO669" s="408">
        <v>1394.8993387860974</v>
      </c>
      <c r="AP669" s="408">
        <v>6504.2098314952418</v>
      </c>
      <c r="AQ669" s="408">
        <v>0</v>
      </c>
      <c r="AR669" s="408">
        <v>0</v>
      </c>
      <c r="AS669" s="408">
        <v>0</v>
      </c>
      <c r="AT669" s="408">
        <v>0</v>
      </c>
      <c r="AU669" s="408">
        <v>0</v>
      </c>
      <c r="AV669" s="408">
        <v>0</v>
      </c>
      <c r="AW669" s="408">
        <v>0</v>
      </c>
      <c r="AX669" s="408">
        <v>0</v>
      </c>
      <c r="AY669" s="408">
        <v>0</v>
      </c>
      <c r="AZ669" s="408">
        <v>0</v>
      </c>
      <c r="BA669" s="408"/>
      <c r="BB669" s="408">
        <v>0</v>
      </c>
      <c r="BC669" s="408">
        <v>0</v>
      </c>
      <c r="BD669" s="408">
        <v>0</v>
      </c>
      <c r="BE669" s="408">
        <v>0</v>
      </c>
      <c r="BF669" s="408">
        <v>0</v>
      </c>
      <c r="BG669" s="408">
        <v>2295.0859358660118</v>
      </c>
      <c r="BH669" s="408">
        <v>0</v>
      </c>
      <c r="BI669" s="408">
        <v>105.45</v>
      </c>
      <c r="BJ669" s="408">
        <v>1143.44</v>
      </c>
      <c r="BK669" s="408">
        <v>6265.84</v>
      </c>
      <c r="BL669" s="408">
        <v>420</v>
      </c>
      <c r="BM669" s="408"/>
      <c r="BN669" s="408"/>
      <c r="BO669" s="408"/>
      <c r="BP669" s="408"/>
      <c r="BQ669" s="408"/>
      <c r="BR669" s="408">
        <v>15675.750619999999</v>
      </c>
      <c r="BS669" s="408"/>
      <c r="BT669" s="408"/>
      <c r="BU669" s="408"/>
      <c r="BV669" s="408">
        <v>46026.083927821652</v>
      </c>
      <c r="BW669" s="408"/>
      <c r="BX669" s="408"/>
      <c r="BY669" s="408"/>
      <c r="BZ669" s="408"/>
      <c r="CA669" s="408"/>
      <c r="CB669" s="408"/>
      <c r="CC669" s="408"/>
      <c r="CD669" s="408"/>
      <c r="CE669" s="408"/>
      <c r="CF669" s="408"/>
      <c r="CG669" s="408"/>
      <c r="CH669" s="408"/>
      <c r="CI669" s="408">
        <v>114971.3959</v>
      </c>
      <c r="CJ669" s="408">
        <v>-7361.6168699999689</v>
      </c>
      <c r="CK669" s="408"/>
      <c r="CL669" s="408"/>
      <c r="CM669" s="408"/>
      <c r="CN669" s="408"/>
      <c r="CO669" s="408">
        <v>-13912.036129999999</v>
      </c>
      <c r="CP669" s="408">
        <v>5542.7359300000007</v>
      </c>
      <c r="CQ669" s="408">
        <v>30</v>
      </c>
      <c r="CR669" s="408">
        <v>6651.0759062215075</v>
      </c>
      <c r="CS669" s="408">
        <v>138.99873759272987</v>
      </c>
      <c r="CT669" s="408">
        <v>648.13060733317161</v>
      </c>
      <c r="CU669" s="408">
        <v>0</v>
      </c>
      <c r="CV669" s="408">
        <v>0</v>
      </c>
      <c r="CW669" s="408">
        <v>0</v>
      </c>
      <c r="CX669" s="408">
        <v>0</v>
      </c>
      <c r="CY669" s="408">
        <v>0</v>
      </c>
      <c r="CZ669" s="408">
        <v>650.05866806141228</v>
      </c>
      <c r="DA669" s="408">
        <v>0</v>
      </c>
      <c r="DB669" s="408">
        <v>0</v>
      </c>
      <c r="DC669" s="408">
        <v>5542.1101230608838</v>
      </c>
      <c r="DD669" s="408">
        <v>0</v>
      </c>
      <c r="DE669" s="408">
        <v>0</v>
      </c>
      <c r="DF669" s="408">
        <v>0</v>
      </c>
      <c r="DG669" s="408">
        <v>290.86047843677898</v>
      </c>
      <c r="DH669" s="408">
        <v>0</v>
      </c>
      <c r="DI669" s="408">
        <v>-536.52853736895486</v>
      </c>
      <c r="DJ669" s="408"/>
      <c r="DK669" s="408">
        <v>0</v>
      </c>
      <c r="DL669" s="408">
        <v>0</v>
      </c>
      <c r="DM669" s="408">
        <v>0</v>
      </c>
      <c r="DN669" s="408">
        <v>0</v>
      </c>
      <c r="DO669" s="408">
        <v>-73.781297511314278</v>
      </c>
      <c r="DP669" s="408">
        <v>-8.7728733832047396</v>
      </c>
      <c r="DQ669" s="408">
        <v>0</v>
      </c>
      <c r="DR669" s="408">
        <v>0</v>
      </c>
      <c r="DS669" s="408"/>
      <c r="DT669" s="408"/>
      <c r="DU669" s="408"/>
      <c r="DV669" s="408">
        <v>60468.734559103839</v>
      </c>
      <c r="DW669" s="408">
        <v>0</v>
      </c>
      <c r="DX669" s="408">
        <v>0</v>
      </c>
      <c r="DY669" s="408">
        <v>-13912.036130000008</v>
      </c>
      <c r="DZ669" s="408">
        <v>5542.7359300000026</v>
      </c>
      <c r="EA669" s="408">
        <v>0</v>
      </c>
      <c r="EB669" s="408">
        <v>0</v>
      </c>
      <c r="EC669" s="408">
        <v>-15021.459369389988</v>
      </c>
      <c r="ED669" s="408">
        <v>0</v>
      </c>
      <c r="EE669" s="408">
        <v>0</v>
      </c>
      <c r="EF669" s="408">
        <v>0</v>
      </c>
      <c r="EG669" s="408">
        <v>0</v>
      </c>
      <c r="EH669" s="408">
        <v>0</v>
      </c>
      <c r="EI669" s="408">
        <v>0</v>
      </c>
      <c r="EJ669" s="408">
        <v>0</v>
      </c>
      <c r="EK669" s="408">
        <v>0</v>
      </c>
      <c r="EL669" s="408">
        <v>0</v>
      </c>
      <c r="EM669" s="408">
        <v>0</v>
      </c>
      <c r="EN669" s="408">
        <v>0</v>
      </c>
      <c r="EO669" s="408">
        <v>0</v>
      </c>
      <c r="EP669" s="408">
        <v>4035.1174374659877</v>
      </c>
      <c r="EQ669" s="408">
        <v>0</v>
      </c>
      <c r="ER669" s="408">
        <v>0</v>
      </c>
      <c r="ES669" s="408">
        <v>0</v>
      </c>
      <c r="ET669" s="408">
        <v>0</v>
      </c>
      <c r="EU669" s="408">
        <v>0</v>
      </c>
      <c r="EV669" s="408">
        <v>240</v>
      </c>
      <c r="EW669" s="408">
        <v>0</v>
      </c>
      <c r="EX669" s="408">
        <v>0</v>
      </c>
      <c r="EY669" s="408">
        <v>0</v>
      </c>
      <c r="EZ669" s="408"/>
      <c r="FA669" s="408">
        <v>0</v>
      </c>
      <c r="FB669" s="408"/>
      <c r="FC669" s="408"/>
      <c r="FD669" s="408"/>
      <c r="FE669" s="408"/>
      <c r="FF669" s="408">
        <v>0</v>
      </c>
      <c r="FG669" s="408">
        <v>0</v>
      </c>
      <c r="FH669" s="408">
        <v>0</v>
      </c>
      <c r="FI669" s="408">
        <v>0</v>
      </c>
    </row>
    <row r="670" spans="1:165">
      <c r="A670" s="408">
        <v>668</v>
      </c>
      <c r="B670" s="408" t="s">
        <v>1036</v>
      </c>
      <c r="C670" s="408" t="s">
        <v>2243</v>
      </c>
      <c r="D670" s="408" t="s">
        <v>597</v>
      </c>
      <c r="E670" s="408" t="s">
        <v>974</v>
      </c>
      <c r="F670" s="408" t="s">
        <v>1322</v>
      </c>
      <c r="G670" s="408" t="s">
        <v>1322</v>
      </c>
      <c r="H670" s="408" t="s">
        <v>1322</v>
      </c>
      <c r="I670" s="408" t="s">
        <v>973</v>
      </c>
      <c r="J670" s="408" t="s">
        <v>2236</v>
      </c>
      <c r="K670" s="826">
        <v>44652</v>
      </c>
      <c r="L670" s="408">
        <v>0</v>
      </c>
      <c r="M670" s="408">
        <v>0</v>
      </c>
      <c r="N670" s="408">
        <v>5.6340000000000003</v>
      </c>
      <c r="O670" s="408">
        <v>5.4086400000000001</v>
      </c>
      <c r="P670" s="408">
        <v>5.6340000000000003</v>
      </c>
      <c r="Q670" s="408">
        <v>5.4086400000000001</v>
      </c>
      <c r="R670" s="408"/>
      <c r="S670" s="408">
        <v>1358.36</v>
      </c>
      <c r="T670" s="408">
        <v>173.25</v>
      </c>
      <c r="U670" s="408"/>
      <c r="V670" s="408">
        <v>8629.0907399999996</v>
      </c>
      <c r="W670" s="408">
        <v>8629.0907399999996</v>
      </c>
      <c r="X670" s="408">
        <v>7566.0112800000006</v>
      </c>
      <c r="Y670" s="408">
        <v>0</v>
      </c>
      <c r="Z670" s="408">
        <v>301.66863906636974</v>
      </c>
      <c r="AA670" s="408">
        <v>0</v>
      </c>
      <c r="AB670" s="408">
        <v>0</v>
      </c>
      <c r="AC670" s="408">
        <v>106.71972568241715</v>
      </c>
      <c r="AD670" s="408">
        <v>102.53404205637753</v>
      </c>
      <c r="AE670" s="408">
        <v>5681.9324764532284</v>
      </c>
      <c r="AF670" s="408">
        <v>959.69821127765351</v>
      </c>
      <c r="AG670" s="408">
        <v>16.379353711069406</v>
      </c>
      <c r="AH670" s="408">
        <v>0</v>
      </c>
      <c r="AI670" s="408">
        <v>0</v>
      </c>
      <c r="AJ670" s="408">
        <v>0</v>
      </c>
      <c r="AK670" s="408">
        <v>0</v>
      </c>
      <c r="AL670" s="408">
        <v>53.573876582451362</v>
      </c>
      <c r="AM670" s="408"/>
      <c r="AN670" s="408">
        <v>4.5117851032061731</v>
      </c>
      <c r="AO670" s="408">
        <v>226.54777223755929</v>
      </c>
      <c r="AP670" s="408">
        <v>1056.3530340398324</v>
      </c>
      <c r="AQ670" s="408">
        <v>0</v>
      </c>
      <c r="AR670" s="408">
        <v>0</v>
      </c>
      <c r="AS670" s="408">
        <v>0</v>
      </c>
      <c r="AT670" s="408">
        <v>0</v>
      </c>
      <c r="AU670" s="408">
        <v>0</v>
      </c>
      <c r="AV670" s="408">
        <v>0</v>
      </c>
      <c r="AW670" s="408">
        <v>0</v>
      </c>
      <c r="AX670" s="408">
        <v>0</v>
      </c>
      <c r="AY670" s="408">
        <v>0</v>
      </c>
      <c r="AZ670" s="408">
        <v>0</v>
      </c>
      <c r="BA670" s="408"/>
      <c r="BB670" s="408">
        <v>0</v>
      </c>
      <c r="BC670" s="408">
        <v>0</v>
      </c>
      <c r="BD670" s="408">
        <v>0</v>
      </c>
      <c r="BE670" s="408">
        <v>0</v>
      </c>
      <c r="BF670" s="408">
        <v>0</v>
      </c>
      <c r="BG670" s="408">
        <v>42.134751188650846</v>
      </c>
      <c r="BH670" s="408">
        <v>0</v>
      </c>
      <c r="BI670" s="408">
        <v>0</v>
      </c>
      <c r="BJ670" s="408">
        <v>0</v>
      </c>
      <c r="BK670" s="408">
        <v>0</v>
      </c>
      <c r="BL670" s="408">
        <v>0</v>
      </c>
      <c r="BM670" s="408"/>
      <c r="BN670" s="408"/>
      <c r="BO670" s="408"/>
      <c r="BP670" s="408"/>
      <c r="BQ670" s="408"/>
      <c r="BR670" s="408">
        <v>302.64045120000031</v>
      </c>
      <c r="BS670" s="408"/>
      <c r="BT670" s="408"/>
      <c r="BU670" s="408"/>
      <c r="BV670" s="408">
        <v>1001.8329624663044</v>
      </c>
      <c r="BW670" s="408"/>
      <c r="BX670" s="408"/>
      <c r="BY670" s="408"/>
      <c r="BZ670" s="408"/>
      <c r="CA670" s="408"/>
      <c r="CB670" s="408"/>
      <c r="CC670" s="408"/>
      <c r="CD670" s="408"/>
      <c r="CE670" s="408"/>
      <c r="CF670" s="408"/>
      <c r="CG670" s="408"/>
      <c r="CH670" s="408"/>
      <c r="CI670" s="408">
        <v>7265.1971999999996</v>
      </c>
      <c r="CJ670" s="408">
        <v>-1018.759910400001</v>
      </c>
      <c r="CK670" s="408"/>
      <c r="CL670" s="408"/>
      <c r="CM670" s="408"/>
      <c r="CN670" s="408"/>
      <c r="CO670" s="408">
        <v>-1184.7175199999999</v>
      </c>
      <c r="CP670" s="408">
        <v>121.63806000000002</v>
      </c>
      <c r="CQ670" s="408">
        <v>30</v>
      </c>
      <c r="CR670" s="408">
        <v>348.38803037517982</v>
      </c>
      <c r="CS670" s="408">
        <v>22.575001270607402</v>
      </c>
      <c r="CT670" s="408">
        <v>105.26332194806878</v>
      </c>
      <c r="CU670" s="408">
        <v>0</v>
      </c>
      <c r="CV670" s="408">
        <v>0</v>
      </c>
      <c r="CW670" s="408">
        <v>0</v>
      </c>
      <c r="CX670" s="408">
        <v>0</v>
      </c>
      <c r="CY670" s="408">
        <v>0</v>
      </c>
      <c r="CZ670" s="408">
        <v>105.57608999150239</v>
      </c>
      <c r="DA670" s="408">
        <v>0</v>
      </c>
      <c r="DB670" s="408">
        <v>0</v>
      </c>
      <c r="DC670" s="408">
        <v>121.62432635961534</v>
      </c>
      <c r="DD670" s="408">
        <v>0</v>
      </c>
      <c r="DE670" s="408">
        <v>0</v>
      </c>
      <c r="DF670" s="408">
        <v>0</v>
      </c>
      <c r="DG670" s="408">
        <v>5.3398148182720817</v>
      </c>
      <c r="DH670" s="408">
        <v>0</v>
      </c>
      <c r="DI670" s="408">
        <v>-10.243712380064665</v>
      </c>
      <c r="DJ670" s="408"/>
      <c r="DK670" s="408">
        <v>0</v>
      </c>
      <c r="DL670" s="408">
        <v>0</v>
      </c>
      <c r="DM670" s="408">
        <v>0</v>
      </c>
      <c r="DN670" s="408">
        <v>0</v>
      </c>
      <c r="DO670" s="408">
        <v>-1.6191667809725701</v>
      </c>
      <c r="DP670" s="408">
        <v>-0.12764485184890351</v>
      </c>
      <c r="DQ670" s="408">
        <v>0</v>
      </c>
      <c r="DR670" s="408">
        <v>0</v>
      </c>
      <c r="DS670" s="408"/>
      <c r="DT670" s="408"/>
      <c r="DU670" s="408"/>
      <c r="DV670" s="408">
        <v>5681.9324764532284</v>
      </c>
      <c r="DW670" s="408">
        <v>0</v>
      </c>
      <c r="DX670" s="408">
        <v>0</v>
      </c>
      <c r="DY670" s="408">
        <v>-1184.7175200000001</v>
      </c>
      <c r="DZ670" s="408">
        <v>121.63806</v>
      </c>
      <c r="EA670" s="408">
        <v>0</v>
      </c>
      <c r="EB670" s="408">
        <v>0</v>
      </c>
      <c r="EC670" s="408">
        <v>-1411.4884073063413</v>
      </c>
      <c r="ED670" s="408">
        <v>0</v>
      </c>
      <c r="EE670" s="408">
        <v>0</v>
      </c>
      <c r="EF670" s="408">
        <v>0</v>
      </c>
      <c r="EG670" s="408">
        <v>0</v>
      </c>
      <c r="EH670" s="408">
        <v>0</v>
      </c>
      <c r="EI670" s="408">
        <v>0</v>
      </c>
      <c r="EJ670" s="408">
        <v>0</v>
      </c>
      <c r="EK670" s="408">
        <v>0</v>
      </c>
      <c r="EL670" s="408">
        <v>0</v>
      </c>
      <c r="EM670" s="408">
        <v>0</v>
      </c>
      <c r="EN670" s="408">
        <v>0</v>
      </c>
      <c r="EO670" s="408">
        <v>0</v>
      </c>
      <c r="EP670" s="408">
        <v>77.040790135570418</v>
      </c>
      <c r="EQ670" s="408">
        <v>0</v>
      </c>
      <c r="ER670" s="408">
        <v>0</v>
      </c>
      <c r="ES670" s="408">
        <v>0</v>
      </c>
      <c r="ET670" s="408">
        <v>0</v>
      </c>
      <c r="EU670" s="408">
        <v>0</v>
      </c>
      <c r="EV670" s="408">
        <v>240</v>
      </c>
      <c r="EW670" s="408">
        <v>0</v>
      </c>
      <c r="EX670" s="408">
        <v>0</v>
      </c>
      <c r="EY670" s="408">
        <v>0</v>
      </c>
      <c r="EZ670" s="408"/>
      <c r="FA670" s="408">
        <v>0</v>
      </c>
      <c r="FB670" s="408"/>
      <c r="FC670" s="408"/>
      <c r="FD670" s="408"/>
      <c r="FE670" s="408"/>
      <c r="FF670" s="408">
        <v>0</v>
      </c>
      <c r="FG670" s="408">
        <v>0</v>
      </c>
      <c r="FH670" s="408">
        <v>0</v>
      </c>
      <c r="FI670" s="408">
        <v>0</v>
      </c>
    </row>
    <row r="671" spans="1:165">
      <c r="A671" s="408">
        <v>669</v>
      </c>
      <c r="B671" s="408" t="s">
        <v>2238</v>
      </c>
      <c r="C671" s="408" t="s">
        <v>2243</v>
      </c>
      <c r="D671" s="408" t="s">
        <v>597</v>
      </c>
      <c r="E671" s="408" t="s">
        <v>974</v>
      </c>
      <c r="F671" s="408" t="s">
        <v>1322</v>
      </c>
      <c r="G671" s="408" t="s">
        <v>1322</v>
      </c>
      <c r="H671" s="408" t="s">
        <v>1322</v>
      </c>
      <c r="I671" s="408" t="s">
        <v>973</v>
      </c>
      <c r="J671" s="408" t="s">
        <v>2236</v>
      </c>
      <c r="K671" s="826">
        <v>44652</v>
      </c>
      <c r="L671" s="408">
        <v>0</v>
      </c>
      <c r="M671" s="408">
        <v>0</v>
      </c>
      <c r="N671" s="408">
        <v>1.6140000000000001</v>
      </c>
      <c r="O671" s="408">
        <v>1.5494400000000002</v>
      </c>
      <c r="P671" s="408">
        <v>1.6140000000000001</v>
      </c>
      <c r="Q671" s="408">
        <v>1.5494400000000002</v>
      </c>
      <c r="R671" s="408"/>
      <c r="S671" s="408">
        <v>1358.36</v>
      </c>
      <c r="T671" s="408">
        <v>173.25</v>
      </c>
      <c r="U671" s="408"/>
      <c r="V671" s="408">
        <v>2472.01854</v>
      </c>
      <c r="W671" s="408">
        <v>2472.01854</v>
      </c>
      <c r="X671" s="408">
        <v>2167.4728799999998</v>
      </c>
      <c r="Y671" s="408">
        <v>0</v>
      </c>
      <c r="Z671" s="408">
        <v>86.420515344891854</v>
      </c>
      <c r="AA671" s="408">
        <v>0</v>
      </c>
      <c r="AB671" s="408">
        <v>0</v>
      </c>
      <c r="AC671" s="408">
        <v>30.572530573557202</v>
      </c>
      <c r="AD671" s="408">
        <v>29.373436968227427</v>
      </c>
      <c r="AE671" s="408">
        <v>1627.7314549157811</v>
      </c>
      <c r="AF671" s="408">
        <v>274.92951952469519</v>
      </c>
      <c r="AG671" s="408">
        <v>4.6922749182935783</v>
      </c>
      <c r="AH671" s="408">
        <v>0</v>
      </c>
      <c r="AI671" s="408">
        <v>0</v>
      </c>
      <c r="AJ671" s="408">
        <v>0</v>
      </c>
      <c r="AK671" s="408">
        <v>0</v>
      </c>
      <c r="AL671" s="408">
        <v>15.347574867603212</v>
      </c>
      <c r="AM671" s="408"/>
      <c r="AN671" s="408">
        <v>1.2925135173189144</v>
      </c>
      <c r="AO671" s="408">
        <v>64.900267020131466</v>
      </c>
      <c r="AP671" s="408">
        <v>302.61870730214582</v>
      </c>
      <c r="AQ671" s="408">
        <v>0</v>
      </c>
      <c r="AR671" s="408">
        <v>0</v>
      </c>
      <c r="AS671" s="408">
        <v>0</v>
      </c>
      <c r="AT671" s="408">
        <v>0</v>
      </c>
      <c r="AU671" s="408">
        <v>0</v>
      </c>
      <c r="AV671" s="408">
        <v>0</v>
      </c>
      <c r="AW671" s="408">
        <v>0</v>
      </c>
      <c r="AX671" s="408">
        <v>0</v>
      </c>
      <c r="AY671" s="408">
        <v>0</v>
      </c>
      <c r="AZ671" s="408">
        <v>0</v>
      </c>
      <c r="BA671" s="408"/>
      <c r="BB671" s="408">
        <v>0</v>
      </c>
      <c r="BC671" s="408">
        <v>0</v>
      </c>
      <c r="BD671" s="408">
        <v>0</v>
      </c>
      <c r="BE671" s="408">
        <v>0</v>
      </c>
      <c r="BF671" s="408">
        <v>0</v>
      </c>
      <c r="BG671" s="408">
        <v>12.070551724970263</v>
      </c>
      <c r="BH671" s="408">
        <v>0</v>
      </c>
      <c r="BI671" s="408">
        <v>0</v>
      </c>
      <c r="BJ671" s="408">
        <v>0</v>
      </c>
      <c r="BK671" s="408">
        <v>0</v>
      </c>
      <c r="BL671" s="408">
        <v>0</v>
      </c>
      <c r="BM671" s="408"/>
      <c r="BN671" s="408"/>
      <c r="BO671" s="408"/>
      <c r="BP671" s="408"/>
      <c r="BQ671" s="408"/>
      <c r="BR671" s="408">
        <v>86.698915199999931</v>
      </c>
      <c r="BS671" s="408"/>
      <c r="BT671" s="408"/>
      <c r="BU671" s="408"/>
      <c r="BV671" s="408">
        <v>287.00007124966544</v>
      </c>
      <c r="BW671" s="408"/>
      <c r="BX671" s="408"/>
      <c r="BY671" s="408"/>
      <c r="BZ671" s="408"/>
      <c r="CA671" s="408"/>
      <c r="CB671" s="408"/>
      <c r="CC671" s="408"/>
      <c r="CD671" s="408"/>
      <c r="CE671" s="408"/>
      <c r="CF671" s="408"/>
      <c r="CG671" s="408"/>
      <c r="CH671" s="408"/>
      <c r="CI671" s="408">
        <v>2081.5259999999998</v>
      </c>
      <c r="CJ671" s="408">
        <v>-291.64179840000088</v>
      </c>
      <c r="CK671" s="408"/>
      <c r="CL671" s="408"/>
      <c r="CM671" s="408"/>
      <c r="CN671" s="408"/>
      <c r="CO671" s="408">
        <v>-339.39191999999997</v>
      </c>
      <c r="CP671" s="408">
        <v>34.846260000000008</v>
      </c>
      <c r="CQ671" s="408">
        <v>30</v>
      </c>
      <c r="CR671" s="408">
        <v>99.804451726222965</v>
      </c>
      <c r="CS671" s="408">
        <v>6.4671728879588812</v>
      </c>
      <c r="CT671" s="408">
        <v>30.155307352535146</v>
      </c>
      <c r="CU671" s="408">
        <v>0</v>
      </c>
      <c r="CV671" s="408">
        <v>0</v>
      </c>
      <c r="CW671" s="408">
        <v>0</v>
      </c>
      <c r="CX671" s="408">
        <v>0</v>
      </c>
      <c r="CY671" s="408">
        <v>0</v>
      </c>
      <c r="CZ671" s="408">
        <v>30.244907569450628</v>
      </c>
      <c r="DA671" s="408">
        <v>0</v>
      </c>
      <c r="DB671" s="408">
        <v>0</v>
      </c>
      <c r="DC671" s="408">
        <v>34.842325655736488</v>
      </c>
      <c r="DD671" s="408">
        <v>0</v>
      </c>
      <c r="DE671" s="408">
        <v>0</v>
      </c>
      <c r="DF671" s="408">
        <v>0</v>
      </c>
      <c r="DG671" s="408">
        <v>1.5297233078969015</v>
      </c>
      <c r="DH671" s="408">
        <v>0</v>
      </c>
      <c r="DI671" s="408">
        <v>-2.9345672313497175</v>
      </c>
      <c r="DJ671" s="408"/>
      <c r="DK671" s="408">
        <v>0</v>
      </c>
      <c r="DL671" s="408">
        <v>0</v>
      </c>
      <c r="DM671" s="408">
        <v>0</v>
      </c>
      <c r="DN671" s="408">
        <v>0</v>
      </c>
      <c r="DO671" s="408">
        <v>-0.46385076047030971</v>
      </c>
      <c r="DP671" s="408">
        <v>-3.656705553498929E-2</v>
      </c>
      <c r="DQ671" s="408">
        <v>0</v>
      </c>
      <c r="DR671" s="408">
        <v>0</v>
      </c>
      <c r="DS671" s="408"/>
      <c r="DT671" s="408"/>
      <c r="DU671" s="408"/>
      <c r="DV671" s="408">
        <v>1627.7314549157811</v>
      </c>
      <c r="DW671" s="408">
        <v>0</v>
      </c>
      <c r="DX671" s="408">
        <v>0</v>
      </c>
      <c r="DY671" s="408">
        <v>-339.39192000000003</v>
      </c>
      <c r="DZ671" s="408">
        <v>34.846259999999972</v>
      </c>
      <c r="EA671" s="408">
        <v>0</v>
      </c>
      <c r="EB671" s="408">
        <v>0</v>
      </c>
      <c r="EC671" s="408">
        <v>-404.35610390352053</v>
      </c>
      <c r="ED671" s="408">
        <v>0</v>
      </c>
      <c r="EE671" s="408">
        <v>0</v>
      </c>
      <c r="EF671" s="408">
        <v>0</v>
      </c>
      <c r="EG671" s="408">
        <v>0</v>
      </c>
      <c r="EH671" s="408">
        <v>0</v>
      </c>
      <c r="EI671" s="408">
        <v>0</v>
      </c>
      <c r="EJ671" s="408">
        <v>0</v>
      </c>
      <c r="EK671" s="408">
        <v>0</v>
      </c>
      <c r="EL671" s="408">
        <v>0</v>
      </c>
      <c r="EM671" s="408">
        <v>0</v>
      </c>
      <c r="EN671" s="408">
        <v>0</v>
      </c>
      <c r="EO671" s="408">
        <v>0</v>
      </c>
      <c r="EP671" s="408">
        <v>22.070258302948286</v>
      </c>
      <c r="EQ671" s="408">
        <v>0</v>
      </c>
      <c r="ER671" s="408">
        <v>0</v>
      </c>
      <c r="ES671" s="408">
        <v>0</v>
      </c>
      <c r="ET671" s="408">
        <v>0</v>
      </c>
      <c r="EU671" s="408">
        <v>0</v>
      </c>
      <c r="EV671" s="408">
        <v>240</v>
      </c>
      <c r="EW671" s="408">
        <v>0</v>
      </c>
      <c r="EX671" s="408">
        <v>0</v>
      </c>
      <c r="EY671" s="408">
        <v>0</v>
      </c>
      <c r="EZ671" s="408"/>
      <c r="FA671" s="408">
        <v>0</v>
      </c>
      <c r="FB671" s="408"/>
      <c r="FC671" s="408"/>
      <c r="FD671" s="408"/>
      <c r="FE671" s="408"/>
      <c r="FF671" s="408">
        <v>0</v>
      </c>
      <c r="FG671" s="408">
        <v>0</v>
      </c>
      <c r="FH671" s="408">
        <v>0</v>
      </c>
      <c r="FI671" s="408">
        <v>0</v>
      </c>
    </row>
    <row r="672" spans="1:165">
      <c r="A672" s="408">
        <v>670</v>
      </c>
      <c r="B672" s="408" t="s">
        <v>1036</v>
      </c>
      <c r="C672" s="408" t="s">
        <v>2243</v>
      </c>
      <c r="D672" s="408" t="s">
        <v>597</v>
      </c>
      <c r="E672" s="408" t="s">
        <v>974</v>
      </c>
      <c r="F672" s="408" t="s">
        <v>1322</v>
      </c>
      <c r="G672" s="408" t="s">
        <v>1322</v>
      </c>
      <c r="H672" s="408" t="s">
        <v>1322</v>
      </c>
      <c r="I672" s="408" t="s">
        <v>2244</v>
      </c>
      <c r="J672" s="408" t="s">
        <v>2236</v>
      </c>
      <c r="K672" s="826">
        <v>44652</v>
      </c>
      <c r="L672" s="408">
        <v>0</v>
      </c>
      <c r="M672" s="408">
        <v>0</v>
      </c>
      <c r="N672" s="408">
        <v>73.507000000000005</v>
      </c>
      <c r="O672" s="408">
        <v>70.566720000000004</v>
      </c>
      <c r="P672" s="408">
        <v>73.507000000000005</v>
      </c>
      <c r="Q672" s="408">
        <v>70.566720000000004</v>
      </c>
      <c r="R672" s="408"/>
      <c r="S672" s="408">
        <v>85.01</v>
      </c>
      <c r="T672" s="408">
        <v>173.25</v>
      </c>
      <c r="U672" s="408"/>
      <c r="V672" s="408">
        <v>18983.917820000002</v>
      </c>
      <c r="W672" s="408">
        <v>18983.917820000002</v>
      </c>
      <c r="X672" s="408">
        <v>20484.19569</v>
      </c>
      <c r="Y672" s="408">
        <v>0</v>
      </c>
      <c r="Z672" s="408">
        <v>3935.8815498494214</v>
      </c>
      <c r="AA672" s="408">
        <v>0</v>
      </c>
      <c r="AB672" s="408">
        <v>0</v>
      </c>
      <c r="AC672" s="408">
        <v>0</v>
      </c>
      <c r="AD672" s="408">
        <v>0</v>
      </c>
      <c r="AE672" s="408">
        <v>0</v>
      </c>
      <c r="AF672" s="408">
        <v>12521.216971314603</v>
      </c>
      <c r="AG672" s="408">
        <v>213.70201512949569</v>
      </c>
      <c r="AH672" s="408">
        <v>0</v>
      </c>
      <c r="AI672" s="408">
        <v>0</v>
      </c>
      <c r="AJ672" s="408">
        <v>0</v>
      </c>
      <c r="AK672" s="408">
        <v>0</v>
      </c>
      <c r="AL672" s="408">
        <v>698.98028859535896</v>
      </c>
      <c r="AM672" s="408"/>
      <c r="AN672" s="408">
        <v>58.86542200592406</v>
      </c>
      <c r="AO672" s="408">
        <v>0</v>
      </c>
      <c r="AP672" s="408">
        <v>0</v>
      </c>
      <c r="AQ672" s="408">
        <v>0</v>
      </c>
      <c r="AR672" s="408">
        <v>0</v>
      </c>
      <c r="AS672" s="408">
        <v>0</v>
      </c>
      <c r="AT672" s="408">
        <v>0</v>
      </c>
      <c r="AU672" s="408">
        <v>0</v>
      </c>
      <c r="AV672" s="408">
        <v>0</v>
      </c>
      <c r="AW672" s="408">
        <v>0</v>
      </c>
      <c r="AX672" s="408">
        <v>0</v>
      </c>
      <c r="AY672" s="408">
        <v>0</v>
      </c>
      <c r="AZ672" s="408">
        <v>0</v>
      </c>
      <c r="BA672" s="408"/>
      <c r="BB672" s="408">
        <v>0</v>
      </c>
      <c r="BC672" s="408">
        <v>0</v>
      </c>
      <c r="BD672" s="408">
        <v>0</v>
      </c>
      <c r="BE672" s="408">
        <v>0</v>
      </c>
      <c r="BF672" s="408">
        <v>0</v>
      </c>
      <c r="BG672" s="408">
        <v>549.73360944695742</v>
      </c>
      <c r="BH672" s="408">
        <v>0</v>
      </c>
      <c r="BI672" s="408">
        <v>0</v>
      </c>
      <c r="BJ672" s="408">
        <v>0</v>
      </c>
      <c r="BK672" s="408">
        <v>0</v>
      </c>
      <c r="BL672" s="408">
        <v>0</v>
      </c>
      <c r="BM672" s="408"/>
      <c r="BN672" s="408"/>
      <c r="BO672" s="408"/>
      <c r="BP672" s="408"/>
      <c r="BQ672" s="408"/>
      <c r="BR672" s="408">
        <v>819.36782760000028</v>
      </c>
      <c r="BS672" s="408"/>
      <c r="BT672" s="408"/>
      <c r="BU672" s="408"/>
      <c r="BV672" s="408">
        <v>13070.950580761561</v>
      </c>
      <c r="BW672" s="408"/>
      <c r="BX672" s="408"/>
      <c r="BY672" s="408"/>
      <c r="BZ672" s="408"/>
      <c r="CA672" s="408"/>
      <c r="CB672" s="408"/>
      <c r="CC672" s="408"/>
      <c r="CD672" s="408"/>
      <c r="CE672" s="408"/>
      <c r="CF672" s="408"/>
      <c r="CG672" s="408"/>
      <c r="CH672" s="408"/>
      <c r="CI672" s="408">
        <v>19665.741899999997</v>
      </c>
      <c r="CJ672" s="408">
        <v>1441.1507927999992</v>
      </c>
      <c r="CK672" s="408"/>
      <c r="CL672" s="408"/>
      <c r="CM672" s="408"/>
      <c r="CN672" s="408"/>
      <c r="CO672" s="408">
        <v>-86.738260000000508</v>
      </c>
      <c r="CP672" s="408">
        <v>1587.0161300000004</v>
      </c>
      <c r="CQ672" s="408">
        <v>30</v>
      </c>
      <c r="CR672" s="408">
        <v>1500.0649053865382</v>
      </c>
      <c r="CS672" s="408">
        <v>0</v>
      </c>
      <c r="CT672" s="408">
        <v>0</v>
      </c>
      <c r="CU672" s="408">
        <v>0</v>
      </c>
      <c r="CV672" s="408">
        <v>0</v>
      </c>
      <c r="CW672" s="408">
        <v>0</v>
      </c>
      <c r="CX672" s="408">
        <v>0</v>
      </c>
      <c r="CY672" s="408">
        <v>0</v>
      </c>
      <c r="CZ672" s="408">
        <v>0</v>
      </c>
      <c r="DA672" s="408">
        <v>0</v>
      </c>
      <c r="DB672" s="408">
        <v>0</v>
      </c>
      <c r="DC672" s="408">
        <v>1586.8369467015</v>
      </c>
      <c r="DD672" s="408">
        <v>0</v>
      </c>
      <c r="DE672" s="408">
        <v>0</v>
      </c>
      <c r="DF672" s="408">
        <v>0</v>
      </c>
      <c r="DG672" s="408">
        <v>69.668755386355201</v>
      </c>
      <c r="DH672" s="408">
        <v>0</v>
      </c>
      <c r="DI672" s="408">
        <v>-133.65008269815644</v>
      </c>
      <c r="DJ672" s="408"/>
      <c r="DK672" s="408">
        <v>0</v>
      </c>
      <c r="DL672" s="408">
        <v>0</v>
      </c>
      <c r="DM672" s="408">
        <v>0</v>
      </c>
      <c r="DN672" s="408">
        <v>0</v>
      </c>
      <c r="DO672" s="408">
        <v>-21.125327044542132</v>
      </c>
      <c r="DP672" s="408">
        <v>-1.665386958618619</v>
      </c>
      <c r="DQ672" s="408">
        <v>0</v>
      </c>
      <c r="DR672" s="408">
        <v>0</v>
      </c>
      <c r="DS672" s="408"/>
      <c r="DT672" s="408"/>
      <c r="DU672" s="408"/>
      <c r="DV672" s="408">
        <v>0</v>
      </c>
      <c r="DW672" s="408">
        <v>0</v>
      </c>
      <c r="DX672" s="408">
        <v>0</v>
      </c>
      <c r="DY672" s="408">
        <v>-86.738260000000992</v>
      </c>
      <c r="DZ672" s="408">
        <v>1587.01613</v>
      </c>
      <c r="EA672" s="408">
        <v>0</v>
      </c>
      <c r="EB672" s="408">
        <v>0</v>
      </c>
      <c r="EC672" s="408">
        <v>0</v>
      </c>
      <c r="ED672" s="408">
        <v>0</v>
      </c>
      <c r="EE672" s="408">
        <v>0</v>
      </c>
      <c r="EF672" s="408">
        <v>0</v>
      </c>
      <c r="EG672" s="408">
        <v>0</v>
      </c>
      <c r="EH672" s="408">
        <v>0</v>
      </c>
      <c r="EI672" s="408">
        <v>0</v>
      </c>
      <c r="EJ672" s="408">
        <v>0</v>
      </c>
      <c r="EK672" s="408">
        <v>0</v>
      </c>
      <c r="EL672" s="408">
        <v>0</v>
      </c>
      <c r="EM672" s="408">
        <v>0</v>
      </c>
      <c r="EN672" s="408">
        <v>0</v>
      </c>
      <c r="EO672" s="408">
        <v>0</v>
      </c>
      <c r="EP672" s="408">
        <v>1005.1539510996405</v>
      </c>
      <c r="EQ672" s="408">
        <v>0</v>
      </c>
      <c r="ER672" s="408">
        <v>0</v>
      </c>
      <c r="ES672" s="408">
        <v>0</v>
      </c>
      <c r="ET672" s="408">
        <v>0</v>
      </c>
      <c r="EU672" s="408">
        <v>0</v>
      </c>
      <c r="EV672" s="408">
        <v>240</v>
      </c>
      <c r="EW672" s="408">
        <v>0</v>
      </c>
      <c r="EX672" s="408">
        <v>0</v>
      </c>
      <c r="EY672" s="408">
        <v>0</v>
      </c>
      <c r="EZ672" s="408"/>
      <c r="FA672" s="408">
        <v>0</v>
      </c>
      <c r="FB672" s="408"/>
      <c r="FC672" s="408"/>
      <c r="FD672" s="408"/>
      <c r="FE672" s="408"/>
      <c r="FF672" s="408">
        <v>0</v>
      </c>
      <c r="FG672" s="408">
        <v>0</v>
      </c>
      <c r="FH672" s="408">
        <v>0</v>
      </c>
      <c r="FI672" s="408">
        <v>0</v>
      </c>
    </row>
    <row r="673" spans="1:165">
      <c r="A673" s="408">
        <v>671</v>
      </c>
      <c r="B673" s="408" t="s">
        <v>2238</v>
      </c>
      <c r="C673" s="408" t="s">
        <v>2243</v>
      </c>
      <c r="D673" s="408" t="s">
        <v>597</v>
      </c>
      <c r="E673" s="408" t="s">
        <v>974</v>
      </c>
      <c r="F673" s="408" t="s">
        <v>1322</v>
      </c>
      <c r="G673" s="408" t="s">
        <v>1322</v>
      </c>
      <c r="H673" s="408" t="s">
        <v>1322</v>
      </c>
      <c r="I673" s="408" t="s">
        <v>2244</v>
      </c>
      <c r="J673" s="408" t="s">
        <v>2236</v>
      </c>
      <c r="K673" s="826">
        <v>44652</v>
      </c>
      <c r="L673" s="408">
        <v>0</v>
      </c>
      <c r="M673" s="408">
        <v>0</v>
      </c>
      <c r="N673" s="408">
        <v>47.48</v>
      </c>
      <c r="O673" s="408">
        <v>45.580799999999996</v>
      </c>
      <c r="P673" s="408">
        <v>47.48</v>
      </c>
      <c r="Q673" s="408">
        <v>45.580799999999996</v>
      </c>
      <c r="R673" s="408"/>
      <c r="S673" s="408">
        <v>85.01</v>
      </c>
      <c r="T673" s="408">
        <v>173.25</v>
      </c>
      <c r="U673" s="408"/>
      <c r="V673" s="408">
        <v>12262.184799999999</v>
      </c>
      <c r="W673" s="408">
        <v>12262.184799999999</v>
      </c>
      <c r="X673" s="408">
        <v>13231.2516</v>
      </c>
      <c r="Y673" s="408">
        <v>0</v>
      </c>
      <c r="Z673" s="408">
        <v>2542.2838095263105</v>
      </c>
      <c r="AA673" s="408">
        <v>0</v>
      </c>
      <c r="AB673" s="408">
        <v>0</v>
      </c>
      <c r="AC673" s="408">
        <v>0</v>
      </c>
      <c r="AD673" s="408">
        <v>0</v>
      </c>
      <c r="AE673" s="408">
        <v>0</v>
      </c>
      <c r="AF673" s="408">
        <v>8087.7655433906602</v>
      </c>
      <c r="AG673" s="408">
        <v>138.03544803009856</v>
      </c>
      <c r="AH673" s="408">
        <v>0</v>
      </c>
      <c r="AI673" s="408">
        <v>0</v>
      </c>
      <c r="AJ673" s="408">
        <v>0</v>
      </c>
      <c r="AK673" s="408">
        <v>0</v>
      </c>
      <c r="AL673" s="408">
        <v>451.4887575674104</v>
      </c>
      <c r="AM673" s="408"/>
      <c r="AN673" s="408">
        <v>38.022640521872397</v>
      </c>
      <c r="AO673" s="408">
        <v>0</v>
      </c>
      <c r="AP673" s="408">
        <v>0</v>
      </c>
      <c r="AQ673" s="408">
        <v>0</v>
      </c>
      <c r="AR673" s="408">
        <v>0</v>
      </c>
      <c r="AS673" s="408">
        <v>0</v>
      </c>
      <c r="AT673" s="408">
        <v>0</v>
      </c>
      <c r="AU673" s="408">
        <v>0</v>
      </c>
      <c r="AV673" s="408">
        <v>0</v>
      </c>
      <c r="AW673" s="408">
        <v>0</v>
      </c>
      <c r="AX673" s="408">
        <v>0</v>
      </c>
      <c r="AY673" s="408">
        <v>0</v>
      </c>
      <c r="AZ673" s="408">
        <v>0</v>
      </c>
      <c r="BA673" s="408"/>
      <c r="BB673" s="408">
        <v>0</v>
      </c>
      <c r="BC673" s="408">
        <v>0</v>
      </c>
      <c r="BD673" s="408">
        <v>0</v>
      </c>
      <c r="BE673" s="408">
        <v>0</v>
      </c>
      <c r="BF673" s="408">
        <v>0</v>
      </c>
      <c r="BG673" s="408">
        <v>355.08661456108308</v>
      </c>
      <c r="BH673" s="408">
        <v>0</v>
      </c>
      <c r="BI673" s="408">
        <v>0</v>
      </c>
      <c r="BJ673" s="408">
        <v>0</v>
      </c>
      <c r="BK673" s="408">
        <v>0</v>
      </c>
      <c r="BL673" s="408">
        <v>0</v>
      </c>
      <c r="BM673" s="408"/>
      <c r="BN673" s="408"/>
      <c r="BO673" s="408"/>
      <c r="BP673" s="408"/>
      <c r="BQ673" s="408"/>
      <c r="BR673" s="408">
        <v>529.25006400000007</v>
      </c>
      <c r="BS673" s="408"/>
      <c r="BT673" s="408"/>
      <c r="BU673" s="408"/>
      <c r="BV673" s="408">
        <v>8442.8521579517437</v>
      </c>
      <c r="BW673" s="408"/>
      <c r="BX673" s="408"/>
      <c r="BY673" s="408"/>
      <c r="BZ673" s="408"/>
      <c r="CA673" s="408"/>
      <c r="CB673" s="408"/>
      <c r="CC673" s="408"/>
      <c r="CD673" s="408"/>
      <c r="CE673" s="408"/>
      <c r="CF673" s="408"/>
      <c r="CG673" s="408"/>
      <c r="CH673" s="408"/>
      <c r="CI673" s="408">
        <v>12701.7786</v>
      </c>
      <c r="CJ673" s="408">
        <v>930.05119199999899</v>
      </c>
      <c r="CK673" s="408"/>
      <c r="CL673" s="408"/>
      <c r="CM673" s="408"/>
      <c r="CN673" s="408"/>
      <c r="CO673" s="408">
        <v>-56.026400000000322</v>
      </c>
      <c r="CP673" s="408">
        <v>1025.0932</v>
      </c>
      <c r="CQ673" s="408">
        <v>30</v>
      </c>
      <c r="CR673" s="408">
        <v>968.92924085805134</v>
      </c>
      <c r="CS673" s="408">
        <v>0</v>
      </c>
      <c r="CT673" s="408">
        <v>0</v>
      </c>
      <c r="CU673" s="408">
        <v>0</v>
      </c>
      <c r="CV673" s="408">
        <v>0</v>
      </c>
      <c r="CW673" s="408">
        <v>0</v>
      </c>
      <c r="CX673" s="408">
        <v>0</v>
      </c>
      <c r="CY673" s="408">
        <v>0</v>
      </c>
      <c r="CZ673" s="408">
        <v>0</v>
      </c>
      <c r="DA673" s="408">
        <v>0</v>
      </c>
      <c r="DB673" s="408">
        <v>0</v>
      </c>
      <c r="DC673" s="408">
        <v>1024.9774610497952</v>
      </c>
      <c r="DD673" s="408">
        <v>0</v>
      </c>
      <c r="DE673" s="408">
        <v>0</v>
      </c>
      <c r="DF673" s="408">
        <v>0</v>
      </c>
      <c r="DG673" s="408">
        <v>45.000782316570508</v>
      </c>
      <c r="DH673" s="408">
        <v>0</v>
      </c>
      <c r="DI673" s="408">
        <v>-86.327913348503898</v>
      </c>
      <c r="DJ673" s="408"/>
      <c r="DK673" s="408">
        <v>0</v>
      </c>
      <c r="DL673" s="408">
        <v>0</v>
      </c>
      <c r="DM673" s="408">
        <v>0</v>
      </c>
      <c r="DN673" s="408">
        <v>0</v>
      </c>
      <c r="DO673" s="408">
        <v>-13.645374291902272</v>
      </c>
      <c r="DP673" s="408">
        <v>-1.0757148679066262</v>
      </c>
      <c r="DQ673" s="408">
        <v>0</v>
      </c>
      <c r="DR673" s="408">
        <v>0</v>
      </c>
      <c r="DS673" s="408"/>
      <c r="DT673" s="408"/>
      <c r="DU673" s="408"/>
      <c r="DV673" s="408">
        <v>0</v>
      </c>
      <c r="DW673" s="408">
        <v>0</v>
      </c>
      <c r="DX673" s="408">
        <v>0</v>
      </c>
      <c r="DY673" s="408">
        <v>-56.026400000000649</v>
      </c>
      <c r="DZ673" s="408">
        <v>1025.0931999999993</v>
      </c>
      <c r="EA673" s="408">
        <v>0</v>
      </c>
      <c r="EB673" s="408">
        <v>0</v>
      </c>
      <c r="EC673" s="408">
        <v>0</v>
      </c>
      <c r="ED673" s="408">
        <v>0</v>
      </c>
      <c r="EE673" s="408">
        <v>0</v>
      </c>
      <c r="EF673" s="408">
        <v>0</v>
      </c>
      <c r="EG673" s="408">
        <v>0</v>
      </c>
      <c r="EH673" s="408">
        <v>0</v>
      </c>
      <c r="EI673" s="408">
        <v>0</v>
      </c>
      <c r="EJ673" s="408">
        <v>0</v>
      </c>
      <c r="EK673" s="408">
        <v>0</v>
      </c>
      <c r="EL673" s="408">
        <v>0</v>
      </c>
      <c r="EM673" s="408">
        <v>0</v>
      </c>
      <c r="EN673" s="408">
        <v>0</v>
      </c>
      <c r="EO673" s="408">
        <v>0</v>
      </c>
      <c r="EP673" s="408">
        <v>649.25394313753691</v>
      </c>
      <c r="EQ673" s="408">
        <v>0</v>
      </c>
      <c r="ER673" s="408">
        <v>0</v>
      </c>
      <c r="ES673" s="408">
        <v>0</v>
      </c>
      <c r="ET673" s="408">
        <v>0</v>
      </c>
      <c r="EU673" s="408">
        <v>0</v>
      </c>
      <c r="EV673" s="408">
        <v>240</v>
      </c>
      <c r="EW673" s="408">
        <v>0</v>
      </c>
      <c r="EX673" s="408">
        <v>0</v>
      </c>
      <c r="EY673" s="408">
        <v>0</v>
      </c>
      <c r="EZ673" s="408"/>
      <c r="FA673" s="408">
        <v>0</v>
      </c>
      <c r="FB673" s="408"/>
      <c r="FC673" s="408"/>
      <c r="FD673" s="408"/>
      <c r="FE673" s="408"/>
      <c r="FF673" s="408">
        <v>0</v>
      </c>
      <c r="FG673" s="408">
        <v>0</v>
      </c>
      <c r="FH673" s="408">
        <v>0</v>
      </c>
      <c r="FI673" s="408">
        <v>0</v>
      </c>
    </row>
    <row r="674" spans="1:165">
      <c r="A674" s="408">
        <v>672</v>
      </c>
      <c r="B674" s="408" t="s">
        <v>1036</v>
      </c>
      <c r="C674" s="408" t="s">
        <v>2243</v>
      </c>
      <c r="D674" s="408" t="s">
        <v>597</v>
      </c>
      <c r="E674" s="408" t="s">
        <v>974</v>
      </c>
      <c r="F674" s="408" t="s">
        <v>1322</v>
      </c>
      <c r="G674" s="408" t="s">
        <v>1322</v>
      </c>
      <c r="H674" s="408" t="s">
        <v>1322</v>
      </c>
      <c r="I674" s="408" t="s">
        <v>1322</v>
      </c>
      <c r="J674" s="408" t="s">
        <v>2236</v>
      </c>
      <c r="K674" s="826">
        <v>44652</v>
      </c>
      <c r="L674" s="408">
        <v>652</v>
      </c>
      <c r="M674" s="408">
        <v>625.91999999999996</v>
      </c>
      <c r="N674" s="408">
        <v>0</v>
      </c>
      <c r="O674" s="408">
        <v>0</v>
      </c>
      <c r="P674" s="408">
        <v>0</v>
      </c>
      <c r="Q674" s="408">
        <v>0</v>
      </c>
      <c r="R674" s="408">
        <v>27.19</v>
      </c>
      <c r="S674" s="408"/>
      <c r="T674" s="408"/>
      <c r="U674" s="408">
        <v>17727.88</v>
      </c>
      <c r="V674" s="408"/>
      <c r="W674" s="408">
        <v>17727.88</v>
      </c>
      <c r="X674" s="408">
        <v>14187.52</v>
      </c>
      <c r="Y674" s="408">
        <v>0</v>
      </c>
      <c r="Z674" s="408">
        <v>0</v>
      </c>
      <c r="AA674" s="408">
        <v>0</v>
      </c>
      <c r="AB674" s="408">
        <v>0</v>
      </c>
      <c r="AC674" s="408">
        <v>152.04679995477173</v>
      </c>
      <c r="AD674" s="408">
        <v>146.07071526951646</v>
      </c>
      <c r="AE674" s="408">
        <v>15603.683718539993</v>
      </c>
      <c r="AF674" s="408"/>
      <c r="AG674" s="408"/>
      <c r="AH674" s="408"/>
      <c r="AI674" s="408">
        <v>0</v>
      </c>
      <c r="AJ674" s="408">
        <v>0</v>
      </c>
      <c r="AK674" s="408">
        <v>0</v>
      </c>
      <c r="AL674" s="408">
        <v>0</v>
      </c>
      <c r="AM674" s="408"/>
      <c r="AN674" s="408">
        <v>0</v>
      </c>
      <c r="AO674" s="408">
        <v>322.66490987098251</v>
      </c>
      <c r="AP674" s="408">
        <v>1504.8739256434915</v>
      </c>
      <c r="AQ674" s="408">
        <v>0</v>
      </c>
      <c r="AR674" s="408">
        <v>0</v>
      </c>
      <c r="AS674" s="408"/>
      <c r="AT674" s="408"/>
      <c r="AU674" s="408">
        <v>0</v>
      </c>
      <c r="AV674" s="408">
        <v>0</v>
      </c>
      <c r="AW674" s="408">
        <v>0</v>
      </c>
      <c r="AX674" s="408"/>
      <c r="AY674" s="408"/>
      <c r="AZ674" s="408">
        <v>0</v>
      </c>
      <c r="BA674" s="408"/>
      <c r="BB674" s="408">
        <v>0</v>
      </c>
      <c r="BC674" s="408">
        <v>0</v>
      </c>
      <c r="BD674" s="408">
        <v>0</v>
      </c>
      <c r="BE674" s="408">
        <v>0</v>
      </c>
      <c r="BF674" s="408"/>
      <c r="BG674" s="408">
        <v>0</v>
      </c>
      <c r="BH674" s="408">
        <v>0</v>
      </c>
      <c r="BI674" s="408">
        <v>32.57</v>
      </c>
      <c r="BJ674" s="408">
        <v>349.1</v>
      </c>
      <c r="BK674" s="408">
        <v>26.61</v>
      </c>
      <c r="BL674" s="408">
        <v>4</v>
      </c>
      <c r="BM674" s="408"/>
      <c r="BN674" s="408"/>
      <c r="BO674" s="408"/>
      <c r="BP674" s="408"/>
      <c r="BQ674" s="408"/>
      <c r="BR674" s="408">
        <v>567.50080000000094</v>
      </c>
      <c r="BS674" s="408"/>
      <c r="BT674" s="408"/>
      <c r="BU674" s="408"/>
      <c r="BV674" s="408">
        <v>0</v>
      </c>
      <c r="BW674" s="408"/>
      <c r="BX674" s="408"/>
      <c r="BY674" s="408"/>
      <c r="BZ674" s="408"/>
      <c r="CA674" s="408"/>
      <c r="CB674" s="408"/>
      <c r="CC674" s="408"/>
      <c r="CD674" s="408"/>
      <c r="CE674" s="408"/>
      <c r="CF674" s="408"/>
      <c r="CG674" s="408"/>
      <c r="CH674" s="408"/>
      <c r="CI674" s="408">
        <v>13620.019200000001</v>
      </c>
      <c r="CJ674" s="408">
        <v>-3398.7755999999954</v>
      </c>
      <c r="CK674" s="408"/>
      <c r="CL674" s="408"/>
      <c r="CM674" s="408"/>
      <c r="CN674" s="408"/>
      <c r="CO674" s="408">
        <v>-3540.3599999999997</v>
      </c>
      <c r="CP674" s="408">
        <v>0</v>
      </c>
      <c r="CQ674" s="408">
        <v>30</v>
      </c>
      <c r="CR674" s="408">
        <v>332.51477678797028</v>
      </c>
      <c r="CS674" s="408">
        <v>32.152868590911282</v>
      </c>
      <c r="CT674" s="408">
        <v>149.95747010870014</v>
      </c>
      <c r="CU674" s="408">
        <v>0</v>
      </c>
      <c r="CV674" s="408">
        <v>0</v>
      </c>
      <c r="CW674" s="408"/>
      <c r="CX674" s="408"/>
      <c r="CY674" s="408"/>
      <c r="CZ674" s="408">
        <v>150.40443808835894</v>
      </c>
      <c r="DA674" s="408">
        <v>0</v>
      </c>
      <c r="DB674" s="408">
        <v>0</v>
      </c>
      <c r="DC674" s="408"/>
      <c r="DD674" s="408"/>
      <c r="DE674" s="408">
        <v>0</v>
      </c>
      <c r="DF674" s="408">
        <v>0</v>
      </c>
      <c r="DG674" s="408">
        <v>0</v>
      </c>
      <c r="DH674" s="408">
        <v>0</v>
      </c>
      <c r="DI674" s="408">
        <v>0</v>
      </c>
      <c r="DJ674" s="408"/>
      <c r="DK674" s="408">
        <v>0</v>
      </c>
      <c r="DL674" s="408">
        <v>0</v>
      </c>
      <c r="DM674" s="408"/>
      <c r="DN674" s="408">
        <v>0</v>
      </c>
      <c r="DO674" s="408">
        <v>0</v>
      </c>
      <c r="DP674" s="408">
        <v>0</v>
      </c>
      <c r="DQ674" s="408">
        <v>0</v>
      </c>
      <c r="DR674" s="408">
        <v>0</v>
      </c>
      <c r="DS674" s="408"/>
      <c r="DT674" s="408"/>
      <c r="DU674" s="408">
        <v>15603.683718539993</v>
      </c>
      <c r="DV674" s="408"/>
      <c r="DW674" s="408">
        <v>0</v>
      </c>
      <c r="DX674" s="408">
        <v>0</v>
      </c>
      <c r="DY674" s="408">
        <v>-3540.3600000000006</v>
      </c>
      <c r="DZ674" s="408"/>
      <c r="EA674" s="408">
        <v>0</v>
      </c>
      <c r="EB674" s="408"/>
      <c r="EC674" s="408">
        <v>-3876.2197142021869</v>
      </c>
      <c r="ED674" s="408"/>
      <c r="EE674" s="408">
        <v>0</v>
      </c>
      <c r="EF674" s="408">
        <v>0</v>
      </c>
      <c r="EG674" s="408"/>
      <c r="EH674" s="408">
        <v>0</v>
      </c>
      <c r="EI674" s="408">
        <v>0</v>
      </c>
      <c r="EJ674" s="408">
        <v>0</v>
      </c>
      <c r="EK674" s="408">
        <v>0</v>
      </c>
      <c r="EL674" s="408">
        <v>0</v>
      </c>
      <c r="EM674" s="408"/>
      <c r="EN674" s="408"/>
      <c r="EO674" s="408">
        <v>0</v>
      </c>
      <c r="EP674" s="408">
        <v>0</v>
      </c>
      <c r="EQ674" s="408"/>
      <c r="ER674" s="408">
        <v>0</v>
      </c>
      <c r="ES674" s="408"/>
      <c r="ET674" s="408">
        <v>0</v>
      </c>
      <c r="EU674" s="408"/>
      <c r="EV674" s="408">
        <v>240</v>
      </c>
      <c r="EW674" s="408"/>
      <c r="EX674" s="408"/>
      <c r="EY674" s="408"/>
      <c r="EZ674" s="408"/>
      <c r="FA674" s="408">
        <v>0</v>
      </c>
      <c r="FB674" s="408"/>
      <c r="FC674" s="408"/>
      <c r="FD674" s="408"/>
      <c r="FE674" s="408"/>
      <c r="FF674" s="408">
        <v>0</v>
      </c>
      <c r="FG674" s="408">
        <v>0</v>
      </c>
      <c r="FH674" s="408">
        <v>0</v>
      </c>
      <c r="FI674" s="408">
        <v>0</v>
      </c>
    </row>
    <row r="675" spans="1:165">
      <c r="A675" s="408">
        <v>673</v>
      </c>
      <c r="B675" s="408" t="s">
        <v>2238</v>
      </c>
      <c r="C675" s="408" t="s">
        <v>2243</v>
      </c>
      <c r="D675" s="408" t="s">
        <v>597</v>
      </c>
      <c r="E675" s="408" t="s">
        <v>974</v>
      </c>
      <c r="F675" s="408" t="s">
        <v>1322</v>
      </c>
      <c r="G675" s="408" t="s">
        <v>1322</v>
      </c>
      <c r="H675" s="408" t="s">
        <v>1322</v>
      </c>
      <c r="I675" s="408" t="s">
        <v>1322</v>
      </c>
      <c r="J675" s="408" t="s">
        <v>2236</v>
      </c>
      <c r="K675" s="826">
        <v>44652</v>
      </c>
      <c r="L675" s="408">
        <v>152</v>
      </c>
      <c r="M675" s="408">
        <v>145.91999999999999</v>
      </c>
      <c r="N675" s="408">
        <v>0</v>
      </c>
      <c r="O675" s="408">
        <v>0</v>
      </c>
      <c r="P675" s="408">
        <v>0</v>
      </c>
      <c r="Q675" s="408">
        <v>0</v>
      </c>
      <c r="R675" s="408">
        <v>27.19</v>
      </c>
      <c r="S675" s="408"/>
      <c r="T675" s="408"/>
      <c r="U675" s="408">
        <v>4132.88</v>
      </c>
      <c r="V675" s="408"/>
      <c r="W675" s="408">
        <v>4132.88</v>
      </c>
      <c r="X675" s="408">
        <v>3307.5200000000004</v>
      </c>
      <c r="Y675" s="408">
        <v>0</v>
      </c>
      <c r="Z675" s="408">
        <v>0</v>
      </c>
      <c r="AA675" s="408">
        <v>0</v>
      </c>
      <c r="AB675" s="408">
        <v>0</v>
      </c>
      <c r="AC675" s="408">
        <v>35.446493240989732</v>
      </c>
      <c r="AD675" s="408">
        <v>34.05329558430445</v>
      </c>
      <c r="AE675" s="408">
        <v>3637.668596960244</v>
      </c>
      <c r="AF675" s="408"/>
      <c r="AG675" s="408"/>
      <c r="AH675" s="408"/>
      <c r="AI675" s="408">
        <v>0</v>
      </c>
      <c r="AJ675" s="408">
        <v>0</v>
      </c>
      <c r="AK675" s="408">
        <v>0</v>
      </c>
      <c r="AL675" s="408">
        <v>0</v>
      </c>
      <c r="AM675" s="408"/>
      <c r="AN675" s="408">
        <v>0</v>
      </c>
      <c r="AO675" s="408">
        <v>75.222494325750532</v>
      </c>
      <c r="AP675" s="408">
        <v>350.82950413774648</v>
      </c>
      <c r="AQ675" s="408">
        <v>0</v>
      </c>
      <c r="AR675" s="408">
        <v>0</v>
      </c>
      <c r="AS675" s="408"/>
      <c r="AT675" s="408"/>
      <c r="AU675" s="408">
        <v>0</v>
      </c>
      <c r="AV675" s="408">
        <v>0</v>
      </c>
      <c r="AW675" s="408">
        <v>0</v>
      </c>
      <c r="AX675" s="408"/>
      <c r="AY675" s="408"/>
      <c r="AZ675" s="408">
        <v>0</v>
      </c>
      <c r="BA675" s="408"/>
      <c r="BB675" s="408">
        <v>0</v>
      </c>
      <c r="BC675" s="408">
        <v>0</v>
      </c>
      <c r="BD675" s="408">
        <v>0</v>
      </c>
      <c r="BE675" s="408">
        <v>0</v>
      </c>
      <c r="BF675" s="408"/>
      <c r="BG675" s="408">
        <v>0</v>
      </c>
      <c r="BH675" s="408">
        <v>0</v>
      </c>
      <c r="BI675" s="408">
        <v>15.51</v>
      </c>
      <c r="BJ675" s="408">
        <v>166.2</v>
      </c>
      <c r="BK675" s="408">
        <v>6.21</v>
      </c>
      <c r="BL675" s="408">
        <v>1</v>
      </c>
      <c r="BM675" s="408"/>
      <c r="BN675" s="408"/>
      <c r="BO675" s="408"/>
      <c r="BP675" s="408"/>
      <c r="BQ675" s="408"/>
      <c r="BR675" s="408">
        <v>132.30080000000029</v>
      </c>
      <c r="BS675" s="408"/>
      <c r="BT675" s="408"/>
      <c r="BU675" s="408"/>
      <c r="BV675" s="408">
        <v>0</v>
      </c>
      <c r="BW675" s="408"/>
      <c r="BX675" s="408"/>
      <c r="BY675" s="408"/>
      <c r="BZ675" s="408"/>
      <c r="CA675" s="408"/>
      <c r="CB675" s="408"/>
      <c r="CC675" s="408"/>
      <c r="CD675" s="408"/>
      <c r="CE675" s="408"/>
      <c r="CF675" s="408"/>
      <c r="CG675" s="408"/>
      <c r="CH675" s="408"/>
      <c r="CI675" s="408">
        <v>3175.2192</v>
      </c>
      <c r="CJ675" s="408">
        <v>-792.3756000000003</v>
      </c>
      <c r="CK675" s="408"/>
      <c r="CL675" s="408"/>
      <c r="CM675" s="408"/>
      <c r="CN675" s="408"/>
      <c r="CO675" s="408">
        <v>-825.3599999999999</v>
      </c>
      <c r="CP675" s="408">
        <v>0</v>
      </c>
      <c r="CQ675" s="408">
        <v>30</v>
      </c>
      <c r="CR675" s="408">
        <v>77.518782318667888</v>
      </c>
      <c r="CS675" s="408">
        <v>7.4957607757952616</v>
      </c>
      <c r="CT675" s="408">
        <v>34.959410209390228</v>
      </c>
      <c r="CU675" s="408">
        <v>0</v>
      </c>
      <c r="CV675" s="408">
        <v>0</v>
      </c>
      <c r="CW675" s="408"/>
      <c r="CX675" s="408"/>
      <c r="CY675" s="408"/>
      <c r="CZ675" s="408">
        <v>35.063611333482456</v>
      </c>
      <c r="DA675" s="408">
        <v>0</v>
      </c>
      <c r="DB675" s="408">
        <v>0</v>
      </c>
      <c r="DC675" s="408"/>
      <c r="DD675" s="408"/>
      <c r="DE675" s="408">
        <v>0</v>
      </c>
      <c r="DF675" s="408">
        <v>0</v>
      </c>
      <c r="DG675" s="408">
        <v>0</v>
      </c>
      <c r="DH675" s="408">
        <v>0</v>
      </c>
      <c r="DI675" s="408">
        <v>0</v>
      </c>
      <c r="DJ675" s="408"/>
      <c r="DK675" s="408">
        <v>0</v>
      </c>
      <c r="DL675" s="408">
        <v>0</v>
      </c>
      <c r="DM675" s="408"/>
      <c r="DN675" s="408">
        <v>0</v>
      </c>
      <c r="DO675" s="408">
        <v>0</v>
      </c>
      <c r="DP675" s="408">
        <v>0</v>
      </c>
      <c r="DQ675" s="408">
        <v>0</v>
      </c>
      <c r="DR675" s="408">
        <v>0</v>
      </c>
      <c r="DS675" s="408"/>
      <c r="DT675" s="408"/>
      <c r="DU675" s="408">
        <v>3637.668596960244</v>
      </c>
      <c r="DV675" s="408"/>
      <c r="DW675" s="408">
        <v>0</v>
      </c>
      <c r="DX675" s="408">
        <v>0</v>
      </c>
      <c r="DY675" s="408">
        <v>-825.35999999999967</v>
      </c>
      <c r="DZ675" s="408"/>
      <c r="EA675" s="408">
        <v>0</v>
      </c>
      <c r="EB675" s="408"/>
      <c r="EC675" s="408">
        <v>-903.65858367903775</v>
      </c>
      <c r="ED675" s="408"/>
      <c r="EE675" s="408">
        <v>0</v>
      </c>
      <c r="EF675" s="408">
        <v>0</v>
      </c>
      <c r="EG675" s="408"/>
      <c r="EH675" s="408">
        <v>0</v>
      </c>
      <c r="EI675" s="408">
        <v>0</v>
      </c>
      <c r="EJ675" s="408">
        <v>0</v>
      </c>
      <c r="EK675" s="408">
        <v>0</v>
      </c>
      <c r="EL675" s="408">
        <v>0</v>
      </c>
      <c r="EM675" s="408"/>
      <c r="EN675" s="408"/>
      <c r="EO675" s="408">
        <v>0</v>
      </c>
      <c r="EP675" s="408">
        <v>0</v>
      </c>
      <c r="EQ675" s="408"/>
      <c r="ER675" s="408">
        <v>0</v>
      </c>
      <c r="ES675" s="408"/>
      <c r="ET675" s="408">
        <v>0</v>
      </c>
      <c r="EU675" s="408"/>
      <c r="EV675" s="408">
        <v>240</v>
      </c>
      <c r="EW675" s="408"/>
      <c r="EX675" s="408"/>
      <c r="EY675" s="408"/>
      <c r="EZ675" s="408"/>
      <c r="FA675" s="408">
        <v>0</v>
      </c>
      <c r="FB675" s="408"/>
      <c r="FC675" s="408"/>
      <c r="FD675" s="408"/>
      <c r="FE675" s="408"/>
      <c r="FF675" s="408">
        <v>0</v>
      </c>
      <c r="FG675" s="408">
        <v>0</v>
      </c>
      <c r="FH675" s="408">
        <v>0</v>
      </c>
      <c r="FI675" s="408">
        <v>0</v>
      </c>
    </row>
    <row r="676" spans="1:165">
      <c r="A676" s="408">
        <v>674</v>
      </c>
      <c r="B676" s="408" t="s">
        <v>1036</v>
      </c>
      <c r="C676" s="408" t="s">
        <v>2235</v>
      </c>
      <c r="D676" s="408" t="s">
        <v>1958</v>
      </c>
      <c r="E676" s="408" t="s">
        <v>2246</v>
      </c>
      <c r="F676" s="408" t="s">
        <v>1322</v>
      </c>
      <c r="G676" s="408" t="s">
        <v>1322</v>
      </c>
      <c r="H676" s="408" t="s">
        <v>1322</v>
      </c>
      <c r="I676" s="408" t="s">
        <v>1322</v>
      </c>
      <c r="J676" s="408" t="s">
        <v>2236</v>
      </c>
      <c r="K676" s="826">
        <v>44652</v>
      </c>
      <c r="L676" s="408">
        <v>0</v>
      </c>
      <c r="M676" s="408">
        <v>0</v>
      </c>
      <c r="N676" s="408">
        <v>506.37200000000001</v>
      </c>
      <c r="O676" s="408">
        <v>506.37200000000001</v>
      </c>
      <c r="P676" s="408">
        <v>506.37200000000001</v>
      </c>
      <c r="Q676" s="408">
        <v>506.37200000000001</v>
      </c>
      <c r="R676" s="408"/>
      <c r="S676" s="408">
        <v>368.24</v>
      </c>
      <c r="T676" s="408">
        <v>173.25</v>
      </c>
      <c r="U676" s="408"/>
      <c r="V676" s="408">
        <v>274195.37427999999</v>
      </c>
      <c r="W676" s="408">
        <v>274195.37427999999</v>
      </c>
      <c r="X676" s="408">
        <v>257687.64708000002</v>
      </c>
      <c r="Y676" s="408">
        <v>0</v>
      </c>
      <c r="Z676" s="408">
        <v>31164.757507031587</v>
      </c>
      <c r="AA676" s="408">
        <v>0</v>
      </c>
      <c r="AB676" s="408">
        <v>0</v>
      </c>
      <c r="AC676" s="408">
        <v>1296.0780545294306</v>
      </c>
      <c r="AD676" s="408">
        <v>1245.2403803973123</v>
      </c>
      <c r="AE676" s="408">
        <v>119269.39533497658</v>
      </c>
      <c r="AF676" s="408">
        <v>86255.644771226114</v>
      </c>
      <c r="AG676" s="408">
        <v>1472.141657327234</v>
      </c>
      <c r="AH676" s="408">
        <v>0</v>
      </c>
      <c r="AI676" s="408">
        <v>0</v>
      </c>
      <c r="AJ676" s="408">
        <v>0</v>
      </c>
      <c r="AK676" s="408">
        <v>0</v>
      </c>
      <c r="AL676" s="408">
        <v>4815.1066795898223</v>
      </c>
      <c r="AM676" s="408"/>
      <c r="AN676" s="408">
        <v>611.62482016527917</v>
      </c>
      <c r="AO676" s="408">
        <v>2751.3193703030602</v>
      </c>
      <c r="AP676" s="408">
        <v>12828.996329929883</v>
      </c>
      <c r="AQ676" s="408">
        <v>0</v>
      </c>
      <c r="AR676" s="408">
        <v>0</v>
      </c>
      <c r="AS676" s="408">
        <v>0</v>
      </c>
      <c r="AT676" s="408">
        <v>0</v>
      </c>
      <c r="AU676" s="408">
        <v>0</v>
      </c>
      <c r="AV676" s="408">
        <v>0</v>
      </c>
      <c r="AW676" s="408">
        <v>0</v>
      </c>
      <c r="AX676" s="408">
        <v>0</v>
      </c>
      <c r="AY676" s="408">
        <v>0</v>
      </c>
      <c r="AZ676" s="408">
        <v>0</v>
      </c>
      <c r="BA676" s="408"/>
      <c r="BB676" s="408">
        <v>0</v>
      </c>
      <c r="BC676" s="408">
        <v>0</v>
      </c>
      <c r="BD676" s="408">
        <v>0</v>
      </c>
      <c r="BE676" s="408">
        <v>0</v>
      </c>
      <c r="BF676" s="408">
        <v>0</v>
      </c>
      <c r="BG676" s="408">
        <v>4526.8602660271199</v>
      </c>
      <c r="BH676" s="408">
        <v>0</v>
      </c>
      <c r="BI676" s="408">
        <v>225.85</v>
      </c>
      <c r="BJ676" s="408">
        <v>2449.58</v>
      </c>
      <c r="BK676" s="408">
        <v>98031.24</v>
      </c>
      <c r="BL676" s="408">
        <v>588</v>
      </c>
      <c r="BM676" s="408"/>
      <c r="BN676" s="408"/>
      <c r="BO676" s="408"/>
      <c r="BP676" s="408"/>
      <c r="BQ676" s="408"/>
      <c r="BR676" s="408"/>
      <c r="BS676" s="408"/>
      <c r="BT676" s="408"/>
      <c r="BU676" s="408"/>
      <c r="BV676" s="408">
        <v>90782.505037253228</v>
      </c>
      <c r="BW676" s="408"/>
      <c r="BX676" s="408"/>
      <c r="BY676" s="408"/>
      <c r="BZ676" s="408"/>
      <c r="CA676" s="408"/>
      <c r="CB676" s="408"/>
      <c r="CC676" s="408"/>
      <c r="CD676" s="408"/>
      <c r="CE676" s="408"/>
      <c r="CF676" s="408"/>
      <c r="CG676" s="408"/>
      <c r="CH676" s="408"/>
      <c r="CI676" s="408">
        <v>257686.62930000003</v>
      </c>
      <c r="CJ676" s="408">
        <v>-16508.774979999987</v>
      </c>
      <c r="CK676" s="408"/>
      <c r="CL676" s="408"/>
      <c r="CM676" s="408"/>
      <c r="CN676" s="408"/>
      <c r="CO676" s="408">
        <v>-27440.29868</v>
      </c>
      <c r="CP676" s="408">
        <v>10932.571480000002</v>
      </c>
      <c r="CQ676" s="408">
        <v>30</v>
      </c>
      <c r="CR676" s="408">
        <v>13118.677072474617</v>
      </c>
      <c r="CS676" s="408">
        <v>274.1630944634021</v>
      </c>
      <c r="CT676" s="408">
        <v>1278.3820630339324</v>
      </c>
      <c r="CU676" s="408">
        <v>0</v>
      </c>
      <c r="CV676" s="408">
        <v>0</v>
      </c>
      <c r="CW676" s="408">
        <v>0</v>
      </c>
      <c r="CX676" s="408">
        <v>0</v>
      </c>
      <c r="CY676" s="408">
        <v>0</v>
      </c>
      <c r="CZ676" s="408">
        <v>1282.1849975405528</v>
      </c>
      <c r="DA676" s="408">
        <v>0</v>
      </c>
      <c r="DB676" s="408">
        <v>0</v>
      </c>
      <c r="DC676" s="408">
        <v>10931.337129458858</v>
      </c>
      <c r="DD676" s="408">
        <v>0</v>
      </c>
      <c r="DE676" s="408">
        <v>0</v>
      </c>
      <c r="DF676" s="408">
        <v>0</v>
      </c>
      <c r="DG676" s="408">
        <v>573.69736018022468</v>
      </c>
      <c r="DH676" s="408">
        <v>0</v>
      </c>
      <c r="DI676" s="408">
        <v>-1058.2565469334804</v>
      </c>
      <c r="DJ676" s="408"/>
      <c r="DK676" s="408">
        <v>0</v>
      </c>
      <c r="DL676" s="408">
        <v>0</v>
      </c>
      <c r="DM676" s="408">
        <v>0</v>
      </c>
      <c r="DN676" s="408">
        <v>0</v>
      </c>
      <c r="DO676" s="408">
        <v>-145.52728456063869</v>
      </c>
      <c r="DP676" s="408">
        <v>-17.303740708223813</v>
      </c>
      <c r="DQ676" s="408">
        <v>0</v>
      </c>
      <c r="DR676" s="408">
        <v>0</v>
      </c>
      <c r="DS676" s="408"/>
      <c r="DT676" s="408"/>
      <c r="DU676" s="408"/>
      <c r="DV676" s="408">
        <v>119269.39533497658</v>
      </c>
      <c r="DW676" s="408">
        <v>0</v>
      </c>
      <c r="DX676" s="408">
        <v>0</v>
      </c>
      <c r="DY676" s="408">
        <v>-27440.298679999978</v>
      </c>
      <c r="DZ676" s="408">
        <v>10932.571479999999</v>
      </c>
      <c r="EA676" s="408">
        <v>0</v>
      </c>
      <c r="EB676" s="408">
        <v>0</v>
      </c>
      <c r="EC676" s="408">
        <v>-29628.540916213518</v>
      </c>
      <c r="ED676" s="408">
        <v>0</v>
      </c>
      <c r="EE676" s="408">
        <v>0</v>
      </c>
      <c r="EF676" s="408">
        <v>0</v>
      </c>
      <c r="EG676" s="408">
        <v>0</v>
      </c>
      <c r="EH676" s="408">
        <v>0</v>
      </c>
      <c r="EI676" s="408">
        <v>0</v>
      </c>
      <c r="EJ676" s="408">
        <v>0</v>
      </c>
      <c r="EK676" s="408">
        <v>0</v>
      </c>
      <c r="EL676" s="408">
        <v>0</v>
      </c>
      <c r="EM676" s="408">
        <v>0</v>
      </c>
      <c r="EN676" s="408">
        <v>0</v>
      </c>
      <c r="EO676" s="408">
        <v>0</v>
      </c>
      <c r="EP676" s="408">
        <v>7958.9232415933166</v>
      </c>
      <c r="EQ676" s="408">
        <v>0</v>
      </c>
      <c r="ER676" s="408">
        <v>0</v>
      </c>
      <c r="ES676" s="408">
        <v>0</v>
      </c>
      <c r="ET676" s="408">
        <v>0</v>
      </c>
      <c r="EU676" s="408">
        <v>0</v>
      </c>
      <c r="EV676" s="408">
        <v>240</v>
      </c>
      <c r="EW676" s="408">
        <v>0</v>
      </c>
      <c r="EX676" s="408">
        <v>0</v>
      </c>
      <c r="EY676" s="408">
        <v>0</v>
      </c>
      <c r="EZ676" s="408"/>
      <c r="FA676" s="408">
        <v>0</v>
      </c>
      <c r="FB676" s="408"/>
      <c r="FC676" s="408"/>
      <c r="FD676" s="408"/>
      <c r="FE676" s="408"/>
      <c r="FF676" s="408">
        <v>0</v>
      </c>
      <c r="FG676" s="408">
        <v>0</v>
      </c>
      <c r="FH676" s="408">
        <v>0</v>
      </c>
      <c r="FI676" s="408">
        <v>0</v>
      </c>
    </row>
    <row r="677" spans="1:165">
      <c r="A677" s="408">
        <v>675</v>
      </c>
      <c r="B677" s="408" t="s">
        <v>2238</v>
      </c>
      <c r="C677" s="408" t="s">
        <v>2235</v>
      </c>
      <c r="D677" s="408" t="s">
        <v>1958</v>
      </c>
      <c r="E677" s="408" t="s">
        <v>2246</v>
      </c>
      <c r="F677" s="408" t="s">
        <v>1322</v>
      </c>
      <c r="G677" s="408" t="s">
        <v>1322</v>
      </c>
      <c r="H677" s="408" t="s">
        <v>1322</v>
      </c>
      <c r="I677" s="408" t="s">
        <v>1322</v>
      </c>
      <c r="J677" s="408" t="s">
        <v>2236</v>
      </c>
      <c r="K677" s="826">
        <v>44652</v>
      </c>
      <c r="L677" s="408">
        <v>0</v>
      </c>
      <c r="M677" s="408">
        <v>0</v>
      </c>
      <c r="N677" s="408">
        <v>1.899</v>
      </c>
      <c r="O677" s="408">
        <v>1.899</v>
      </c>
      <c r="P677" s="408">
        <v>1.899</v>
      </c>
      <c r="Q677" s="408">
        <v>1.899</v>
      </c>
      <c r="R677" s="408"/>
      <c r="S677" s="408">
        <v>368.24</v>
      </c>
      <c r="T677" s="408">
        <v>173.25</v>
      </c>
      <c r="U677" s="408"/>
      <c r="V677" s="408">
        <v>1028.2895100000001</v>
      </c>
      <c r="W677" s="408">
        <v>1028.2895100000001</v>
      </c>
      <c r="X677" s="408">
        <v>966.38211000000001</v>
      </c>
      <c r="Y677" s="408">
        <v>0</v>
      </c>
      <c r="Z677" s="408">
        <v>116.87430289560439</v>
      </c>
      <c r="AA677" s="408">
        <v>0</v>
      </c>
      <c r="AB677" s="408">
        <v>0</v>
      </c>
      <c r="AC677" s="408">
        <v>4.8605614559086767</v>
      </c>
      <c r="AD677" s="408">
        <v>4.6699096363434318</v>
      </c>
      <c r="AE677" s="408">
        <v>447.28496390227053</v>
      </c>
      <c r="AF677" s="408">
        <v>323.47655364150938</v>
      </c>
      <c r="AG677" s="408">
        <v>5.520836474497834</v>
      </c>
      <c r="AH677" s="408">
        <v>0</v>
      </c>
      <c r="AI677" s="408">
        <v>0</v>
      </c>
      <c r="AJ677" s="408">
        <v>0</v>
      </c>
      <c r="AK677" s="408">
        <v>0</v>
      </c>
      <c r="AL677" s="408">
        <v>18.057648496640955</v>
      </c>
      <c r="AM677" s="408"/>
      <c r="AN677" s="408">
        <v>2.2937199005748052</v>
      </c>
      <c r="AO677" s="408">
        <v>10.318018145168988</v>
      </c>
      <c r="AP677" s="408">
        <v>48.111396425033071</v>
      </c>
      <c r="AQ677" s="408">
        <v>0</v>
      </c>
      <c r="AR677" s="408">
        <v>0</v>
      </c>
      <c r="AS677" s="408">
        <v>0</v>
      </c>
      <c r="AT677" s="408">
        <v>0</v>
      </c>
      <c r="AU677" s="408">
        <v>0</v>
      </c>
      <c r="AV677" s="408">
        <v>0</v>
      </c>
      <c r="AW677" s="408">
        <v>0</v>
      </c>
      <c r="AX677" s="408">
        <v>0</v>
      </c>
      <c r="AY677" s="408">
        <v>0</v>
      </c>
      <c r="AZ677" s="408">
        <v>0</v>
      </c>
      <c r="BA677" s="408"/>
      <c r="BB677" s="408">
        <v>0</v>
      </c>
      <c r="BC677" s="408">
        <v>0</v>
      </c>
      <c r="BD677" s="408">
        <v>0</v>
      </c>
      <c r="BE677" s="408">
        <v>0</v>
      </c>
      <c r="BF677" s="408">
        <v>0</v>
      </c>
      <c r="BG677" s="408">
        <v>16.976664675743326</v>
      </c>
      <c r="BH677" s="408">
        <v>0</v>
      </c>
      <c r="BI677" s="408">
        <v>0.84</v>
      </c>
      <c r="BJ677" s="408">
        <v>9.16</v>
      </c>
      <c r="BK677" s="408">
        <v>480.46</v>
      </c>
      <c r="BL677" s="408">
        <v>2</v>
      </c>
      <c r="BM677" s="408"/>
      <c r="BN677" s="408"/>
      <c r="BO677" s="408"/>
      <c r="BP677" s="408"/>
      <c r="BQ677" s="408"/>
      <c r="BR677" s="408"/>
      <c r="BS677" s="408"/>
      <c r="BT677" s="408"/>
      <c r="BU677" s="408"/>
      <c r="BV677" s="408">
        <v>340.45321831725272</v>
      </c>
      <c r="BW677" s="408"/>
      <c r="BX677" s="408"/>
      <c r="BY677" s="408"/>
      <c r="BZ677" s="408"/>
      <c r="CA677" s="408"/>
      <c r="CB677" s="408"/>
      <c r="CC677" s="408"/>
      <c r="CD677" s="408"/>
      <c r="CE677" s="408"/>
      <c r="CF677" s="408"/>
      <c r="CG677" s="408"/>
      <c r="CH677" s="408"/>
      <c r="CI677" s="408">
        <v>966.89100000000008</v>
      </c>
      <c r="CJ677" s="408">
        <v>-61.42850999999996</v>
      </c>
      <c r="CK677" s="408"/>
      <c r="CL677" s="408"/>
      <c r="CM677" s="408"/>
      <c r="CN677" s="408"/>
      <c r="CO677" s="408">
        <v>-102.90680999999999</v>
      </c>
      <c r="CP677" s="408">
        <v>40.999410000000005</v>
      </c>
      <c r="CQ677" s="408">
        <v>30</v>
      </c>
      <c r="CR677" s="408">
        <v>49.197759277032105</v>
      </c>
      <c r="CS677" s="408">
        <v>1.028168453994299</v>
      </c>
      <c r="CT677" s="408">
        <v>4.7941978184051237</v>
      </c>
      <c r="CU677" s="408">
        <v>0</v>
      </c>
      <c r="CV677" s="408">
        <v>0</v>
      </c>
      <c r="CW677" s="408">
        <v>0</v>
      </c>
      <c r="CX677" s="408">
        <v>0</v>
      </c>
      <c r="CY677" s="408">
        <v>0</v>
      </c>
      <c r="CZ677" s="408">
        <v>4.8084596113716973</v>
      </c>
      <c r="DA677" s="408">
        <v>0</v>
      </c>
      <c r="DB677" s="408">
        <v>0</v>
      </c>
      <c r="DC677" s="408">
        <v>40.994780929518924</v>
      </c>
      <c r="DD677" s="408">
        <v>0</v>
      </c>
      <c r="DE677" s="408">
        <v>0</v>
      </c>
      <c r="DF677" s="408">
        <v>0</v>
      </c>
      <c r="DG677" s="408">
        <v>2.1514840610899633</v>
      </c>
      <c r="DH677" s="408">
        <v>0</v>
      </c>
      <c r="DI677" s="408">
        <v>-3.9686814883656325</v>
      </c>
      <c r="DJ677" s="408"/>
      <c r="DK677" s="408">
        <v>0</v>
      </c>
      <c r="DL677" s="408">
        <v>0</v>
      </c>
      <c r="DM677" s="408">
        <v>0</v>
      </c>
      <c r="DN677" s="408">
        <v>0</v>
      </c>
      <c r="DO677" s="408">
        <v>-0.54575749326711431</v>
      </c>
      <c r="DP677" s="408">
        <v>-6.489261571516014E-2</v>
      </c>
      <c r="DQ677" s="408">
        <v>0</v>
      </c>
      <c r="DR677" s="408">
        <v>0</v>
      </c>
      <c r="DS677" s="408"/>
      <c r="DT677" s="408"/>
      <c r="DU677" s="408"/>
      <c r="DV677" s="408">
        <v>447.28496390227053</v>
      </c>
      <c r="DW677" s="408">
        <v>0</v>
      </c>
      <c r="DX677" s="408">
        <v>0</v>
      </c>
      <c r="DY677" s="408">
        <v>-102.90681000000006</v>
      </c>
      <c r="DZ677" s="408">
        <v>40.999410000000012</v>
      </c>
      <c r="EA677" s="408">
        <v>0</v>
      </c>
      <c r="EB677" s="408">
        <v>0</v>
      </c>
      <c r="EC677" s="408">
        <v>-111.113172134102</v>
      </c>
      <c r="ED677" s="408">
        <v>0</v>
      </c>
      <c r="EE677" s="408">
        <v>0</v>
      </c>
      <c r="EF677" s="408">
        <v>0</v>
      </c>
      <c r="EG677" s="408">
        <v>0</v>
      </c>
      <c r="EH677" s="408">
        <v>0</v>
      </c>
      <c r="EI677" s="408">
        <v>0</v>
      </c>
      <c r="EJ677" s="408">
        <v>0</v>
      </c>
      <c r="EK677" s="408">
        <v>0</v>
      </c>
      <c r="EL677" s="408">
        <v>0</v>
      </c>
      <c r="EM677" s="408">
        <v>0</v>
      </c>
      <c r="EN677" s="408">
        <v>0</v>
      </c>
      <c r="EO677" s="408">
        <v>0</v>
      </c>
      <c r="EP677" s="408">
        <v>29.847612497898201</v>
      </c>
      <c r="EQ677" s="408">
        <v>0</v>
      </c>
      <c r="ER677" s="408">
        <v>0</v>
      </c>
      <c r="ES677" s="408">
        <v>0</v>
      </c>
      <c r="ET677" s="408">
        <v>0</v>
      </c>
      <c r="EU677" s="408">
        <v>0</v>
      </c>
      <c r="EV677" s="408">
        <v>240</v>
      </c>
      <c r="EW677" s="408">
        <v>0</v>
      </c>
      <c r="EX677" s="408">
        <v>0</v>
      </c>
      <c r="EY677" s="408">
        <v>0</v>
      </c>
      <c r="EZ677" s="408"/>
      <c r="FA677" s="408">
        <v>0</v>
      </c>
      <c r="FB677" s="408"/>
      <c r="FC677" s="408"/>
      <c r="FD677" s="408"/>
      <c r="FE677" s="408"/>
      <c r="FF677" s="408">
        <v>0</v>
      </c>
      <c r="FG677" s="408">
        <v>0</v>
      </c>
      <c r="FH677" s="408">
        <v>0</v>
      </c>
      <c r="FI677" s="408">
        <v>0</v>
      </c>
    </row>
    <row r="678" spans="1:165">
      <c r="A678" s="408">
        <v>676</v>
      </c>
      <c r="B678" s="408" t="s">
        <v>1036</v>
      </c>
      <c r="C678" s="408" t="s">
        <v>2243</v>
      </c>
      <c r="D678" s="408" t="s">
        <v>597</v>
      </c>
      <c r="E678" s="408" t="s">
        <v>2246</v>
      </c>
      <c r="F678" s="408" t="s">
        <v>1322</v>
      </c>
      <c r="G678" s="408" t="s">
        <v>1322</v>
      </c>
      <c r="H678" s="408" t="s">
        <v>1322</v>
      </c>
      <c r="I678" s="408" t="s">
        <v>973</v>
      </c>
      <c r="J678" s="408" t="s">
        <v>2236</v>
      </c>
      <c r="K678" s="826">
        <v>44652</v>
      </c>
      <c r="L678" s="408">
        <v>0</v>
      </c>
      <c r="M678" s="408">
        <v>0</v>
      </c>
      <c r="N678" s="408">
        <v>4.085</v>
      </c>
      <c r="O678" s="408">
        <v>4.085</v>
      </c>
      <c r="P678" s="408">
        <v>4.085</v>
      </c>
      <c r="Q678" s="408">
        <v>4.085</v>
      </c>
      <c r="R678" s="408"/>
      <c r="S678" s="408">
        <v>1358.36</v>
      </c>
      <c r="T678" s="408">
        <v>173.25</v>
      </c>
      <c r="U678" s="408"/>
      <c r="V678" s="408">
        <v>6256.6268499999996</v>
      </c>
      <c r="W678" s="408">
        <v>6256.6268499999996</v>
      </c>
      <c r="X678" s="408">
        <v>5485.8281999999999</v>
      </c>
      <c r="Y678" s="408">
        <v>0</v>
      </c>
      <c r="Z678" s="408">
        <v>218.72850383140224</v>
      </c>
      <c r="AA678" s="408">
        <v>0</v>
      </c>
      <c r="AB678" s="408">
        <v>0</v>
      </c>
      <c r="AC678" s="408">
        <v>77.378430850669872</v>
      </c>
      <c r="AD678" s="408">
        <v>74.3435501952968</v>
      </c>
      <c r="AE678" s="408">
        <v>4119.7540231294706</v>
      </c>
      <c r="AF678" s="408">
        <v>695.84082234100356</v>
      </c>
      <c r="AG678" s="408">
        <v>11.876048972261007</v>
      </c>
      <c r="AH678" s="408">
        <v>0</v>
      </c>
      <c r="AI678" s="408">
        <v>0</v>
      </c>
      <c r="AJ678" s="408">
        <v>0</v>
      </c>
      <c r="AK678" s="408">
        <v>0</v>
      </c>
      <c r="AL678" s="408">
        <v>38.844388682874296</v>
      </c>
      <c r="AM678" s="408"/>
      <c r="AN678" s="408">
        <v>3.2713244846640426</v>
      </c>
      <c r="AO678" s="408">
        <v>164.26120865999815</v>
      </c>
      <c r="AP678" s="408">
        <v>765.92157331429087</v>
      </c>
      <c r="AQ678" s="408">
        <v>0</v>
      </c>
      <c r="AR678" s="408">
        <v>0</v>
      </c>
      <c r="AS678" s="408">
        <v>0</v>
      </c>
      <c r="AT678" s="408">
        <v>0</v>
      </c>
      <c r="AU678" s="408">
        <v>0</v>
      </c>
      <c r="AV678" s="408">
        <v>0</v>
      </c>
      <c r="AW678" s="408">
        <v>0</v>
      </c>
      <c r="AX678" s="408">
        <v>0</v>
      </c>
      <c r="AY678" s="408">
        <v>0</v>
      </c>
      <c r="AZ678" s="408">
        <v>0</v>
      </c>
      <c r="BA678" s="408"/>
      <c r="BB678" s="408">
        <v>0</v>
      </c>
      <c r="BC678" s="408">
        <v>0</v>
      </c>
      <c r="BD678" s="408">
        <v>0</v>
      </c>
      <c r="BE678" s="408">
        <v>0</v>
      </c>
      <c r="BF678" s="408">
        <v>0</v>
      </c>
      <c r="BG678" s="408">
        <v>30.550312141575915</v>
      </c>
      <c r="BH678" s="408">
        <v>0</v>
      </c>
      <c r="BI678" s="408">
        <v>0</v>
      </c>
      <c r="BJ678" s="408">
        <v>0</v>
      </c>
      <c r="BK678" s="408">
        <v>0</v>
      </c>
      <c r="BL678" s="408">
        <v>0</v>
      </c>
      <c r="BM678" s="408"/>
      <c r="BN678" s="408"/>
      <c r="BO678" s="408"/>
      <c r="BP678" s="408"/>
      <c r="BQ678" s="408"/>
      <c r="BR678" s="408"/>
      <c r="BS678" s="408"/>
      <c r="BT678" s="408"/>
      <c r="BU678" s="408"/>
      <c r="BV678" s="408">
        <v>726.39113448257945</v>
      </c>
      <c r="BW678" s="408"/>
      <c r="BX678" s="408"/>
      <c r="BY678" s="408"/>
      <c r="BZ678" s="408"/>
      <c r="CA678" s="408"/>
      <c r="CB678" s="408"/>
      <c r="CC678" s="408"/>
      <c r="CD678" s="408"/>
      <c r="CE678" s="408"/>
      <c r="CF678" s="408"/>
      <c r="CG678" s="408"/>
      <c r="CH678" s="408"/>
      <c r="CI678" s="408">
        <v>5492.5427999999993</v>
      </c>
      <c r="CJ678" s="408">
        <v>-764.11405000000104</v>
      </c>
      <c r="CK678" s="408"/>
      <c r="CL678" s="408"/>
      <c r="CM678" s="408"/>
      <c r="CN678" s="408"/>
      <c r="CO678" s="408">
        <v>-858.99379999999985</v>
      </c>
      <c r="CP678" s="408">
        <v>88.195150000000012</v>
      </c>
      <c r="CQ678" s="408">
        <v>30</v>
      </c>
      <c r="CR678" s="408">
        <v>252.60296487089317</v>
      </c>
      <c r="CS678" s="408">
        <v>16.368278344059519</v>
      </c>
      <c r="CT678" s="408">
        <v>76.322447667352094</v>
      </c>
      <c r="CU678" s="408">
        <v>0</v>
      </c>
      <c r="CV678" s="408">
        <v>0</v>
      </c>
      <c r="CW678" s="408">
        <v>0</v>
      </c>
      <c r="CX678" s="408">
        <v>0</v>
      </c>
      <c r="CY678" s="408">
        <v>0</v>
      </c>
      <c r="CZ678" s="408">
        <v>76.549223928875975</v>
      </c>
      <c r="DA678" s="408">
        <v>0</v>
      </c>
      <c r="DB678" s="408">
        <v>0</v>
      </c>
      <c r="DC678" s="408">
        <v>88.185192257548692</v>
      </c>
      <c r="DD678" s="408">
        <v>0</v>
      </c>
      <c r="DE678" s="408">
        <v>0</v>
      </c>
      <c r="DF678" s="408">
        <v>0</v>
      </c>
      <c r="DG678" s="408">
        <v>3.8716974676324867</v>
      </c>
      <c r="DH678" s="408">
        <v>0</v>
      </c>
      <c r="DI678" s="408">
        <v>-7.4273278439056014</v>
      </c>
      <c r="DJ678" s="408"/>
      <c r="DK678" s="408">
        <v>0</v>
      </c>
      <c r="DL678" s="408">
        <v>0</v>
      </c>
      <c r="DM678" s="408">
        <v>0</v>
      </c>
      <c r="DN678" s="408">
        <v>0</v>
      </c>
      <c r="DO678" s="408">
        <v>-1.173996503420824</v>
      </c>
      <c r="DP678" s="408">
        <v>-9.2550447249337697E-2</v>
      </c>
      <c r="DQ678" s="408">
        <v>0</v>
      </c>
      <c r="DR678" s="408">
        <v>0</v>
      </c>
      <c r="DS678" s="408"/>
      <c r="DT678" s="408"/>
      <c r="DU678" s="408"/>
      <c r="DV678" s="408">
        <v>4119.7540231294706</v>
      </c>
      <c r="DW678" s="408">
        <v>0</v>
      </c>
      <c r="DX678" s="408">
        <v>0</v>
      </c>
      <c r="DY678" s="408">
        <v>-858.99380000000019</v>
      </c>
      <c r="DZ678" s="408">
        <v>88.195150000000012</v>
      </c>
      <c r="EA678" s="408">
        <v>0</v>
      </c>
      <c r="EB678" s="408">
        <v>0</v>
      </c>
      <c r="EC678" s="408">
        <v>-1023.4167809454038</v>
      </c>
      <c r="ED678" s="408">
        <v>0</v>
      </c>
      <c r="EE678" s="408">
        <v>0</v>
      </c>
      <c r="EF678" s="408">
        <v>0</v>
      </c>
      <c r="EG678" s="408">
        <v>0</v>
      </c>
      <c r="EH678" s="408">
        <v>0</v>
      </c>
      <c r="EI678" s="408">
        <v>0</v>
      </c>
      <c r="EJ678" s="408">
        <v>0</v>
      </c>
      <c r="EK678" s="408">
        <v>0</v>
      </c>
      <c r="EL678" s="408">
        <v>0</v>
      </c>
      <c r="EM678" s="408">
        <v>0</v>
      </c>
      <c r="EN678" s="408">
        <v>0</v>
      </c>
      <c r="EO678" s="408">
        <v>0</v>
      </c>
      <c r="EP678" s="408">
        <v>55.859358839866012</v>
      </c>
      <c r="EQ678" s="408">
        <v>0</v>
      </c>
      <c r="ER678" s="408">
        <v>0</v>
      </c>
      <c r="ES678" s="408">
        <v>0</v>
      </c>
      <c r="ET678" s="408">
        <v>0</v>
      </c>
      <c r="EU678" s="408">
        <v>0</v>
      </c>
      <c r="EV678" s="408">
        <v>240</v>
      </c>
      <c r="EW678" s="408">
        <v>0</v>
      </c>
      <c r="EX678" s="408">
        <v>0</v>
      </c>
      <c r="EY678" s="408">
        <v>0</v>
      </c>
      <c r="EZ678" s="408"/>
      <c r="FA678" s="408">
        <v>0</v>
      </c>
      <c r="FB678" s="408"/>
      <c r="FC678" s="408"/>
      <c r="FD678" s="408"/>
      <c r="FE678" s="408"/>
      <c r="FF678" s="408">
        <v>0</v>
      </c>
      <c r="FG678" s="408">
        <v>0</v>
      </c>
      <c r="FH678" s="408">
        <v>0</v>
      </c>
      <c r="FI678" s="408">
        <v>0</v>
      </c>
    </row>
    <row r="679" spans="1:165">
      <c r="A679" s="408">
        <v>677</v>
      </c>
      <c r="B679" s="408" t="s">
        <v>2238</v>
      </c>
      <c r="C679" s="408" t="s">
        <v>2243</v>
      </c>
      <c r="D679" s="408" t="s">
        <v>597</v>
      </c>
      <c r="E679" s="408" t="s">
        <v>2246</v>
      </c>
      <c r="F679" s="408" t="s">
        <v>1322</v>
      </c>
      <c r="G679" s="408" t="s">
        <v>1322</v>
      </c>
      <c r="H679" s="408" t="s">
        <v>1322</v>
      </c>
      <c r="I679" s="408" t="s">
        <v>973</v>
      </c>
      <c r="J679" s="408" t="s">
        <v>2236</v>
      </c>
      <c r="K679" s="826">
        <v>44652</v>
      </c>
      <c r="L679" s="408">
        <v>0</v>
      </c>
      <c r="M679" s="408">
        <v>0</v>
      </c>
      <c r="N679" s="408">
        <v>0.68400000000000005</v>
      </c>
      <c r="O679" s="408">
        <v>0.68400000000000005</v>
      </c>
      <c r="P679" s="408">
        <v>0.68400000000000005</v>
      </c>
      <c r="Q679" s="408">
        <v>0.68400000000000005</v>
      </c>
      <c r="R679" s="408"/>
      <c r="S679" s="408">
        <v>1358.36</v>
      </c>
      <c r="T679" s="408">
        <v>173.25</v>
      </c>
      <c r="U679" s="408"/>
      <c r="V679" s="408">
        <v>1047.6212399999999</v>
      </c>
      <c r="W679" s="408">
        <v>1047.6212399999999</v>
      </c>
      <c r="X679" s="408">
        <v>918.55728000000011</v>
      </c>
      <c r="Y679" s="408">
        <v>0</v>
      </c>
      <c r="Z679" s="408">
        <v>36.624307618281307</v>
      </c>
      <c r="AA679" s="408">
        <v>0</v>
      </c>
      <c r="AB679" s="408">
        <v>0</v>
      </c>
      <c r="AC679" s="408">
        <v>12.956388421507514</v>
      </c>
      <c r="AD679" s="408">
        <v>12.448222358282255</v>
      </c>
      <c r="AE679" s="408">
        <v>689.81927829144627</v>
      </c>
      <c r="AF679" s="408">
        <v>116.5128818803541</v>
      </c>
      <c r="AG679" s="408">
        <v>1.9885477348902154</v>
      </c>
      <c r="AH679" s="408">
        <v>0</v>
      </c>
      <c r="AI679" s="408">
        <v>0</v>
      </c>
      <c r="AJ679" s="408">
        <v>0</v>
      </c>
      <c r="AK679" s="408">
        <v>0</v>
      </c>
      <c r="AL679" s="408">
        <v>6.5041767096905811</v>
      </c>
      <c r="AM679" s="408"/>
      <c r="AN679" s="408">
        <v>0.54775665789723504</v>
      </c>
      <c r="AO679" s="408">
        <v>27.504202380278763</v>
      </c>
      <c r="AP679" s="408">
        <v>128.24733320611384</v>
      </c>
      <c r="AQ679" s="408">
        <v>0</v>
      </c>
      <c r="AR679" s="408">
        <v>0</v>
      </c>
      <c r="AS679" s="408">
        <v>0</v>
      </c>
      <c r="AT679" s="408">
        <v>0</v>
      </c>
      <c r="AU679" s="408">
        <v>0</v>
      </c>
      <c r="AV679" s="408">
        <v>0</v>
      </c>
      <c r="AW679" s="408">
        <v>0</v>
      </c>
      <c r="AX679" s="408">
        <v>0</v>
      </c>
      <c r="AY679" s="408">
        <v>0</v>
      </c>
      <c r="AZ679" s="408">
        <v>0</v>
      </c>
      <c r="BA679" s="408"/>
      <c r="BB679" s="408">
        <v>0</v>
      </c>
      <c r="BC679" s="408">
        <v>0</v>
      </c>
      <c r="BD679" s="408">
        <v>0</v>
      </c>
      <c r="BE679" s="408">
        <v>0</v>
      </c>
      <c r="BF679" s="408">
        <v>0</v>
      </c>
      <c r="BG679" s="408">
        <v>5.1154011027755022</v>
      </c>
      <c r="BH679" s="408">
        <v>0</v>
      </c>
      <c r="BI679" s="408">
        <v>0</v>
      </c>
      <c r="BJ679" s="408">
        <v>0</v>
      </c>
      <c r="BK679" s="408">
        <v>0</v>
      </c>
      <c r="BL679" s="408">
        <v>0</v>
      </c>
      <c r="BM679" s="408"/>
      <c r="BN679" s="408"/>
      <c r="BO679" s="408"/>
      <c r="BP679" s="408"/>
      <c r="BQ679" s="408"/>
      <c r="BR679" s="408"/>
      <c r="BS679" s="408"/>
      <c r="BT679" s="408"/>
      <c r="BU679" s="408"/>
      <c r="BV679" s="408">
        <v>121.62828298312961</v>
      </c>
      <c r="BW679" s="408"/>
      <c r="BX679" s="408"/>
      <c r="BY679" s="408"/>
      <c r="BZ679" s="408"/>
      <c r="CA679" s="408"/>
      <c r="CB679" s="408"/>
      <c r="CC679" s="408"/>
      <c r="CD679" s="408"/>
      <c r="CE679" s="408"/>
      <c r="CF679" s="408"/>
      <c r="CG679" s="408"/>
      <c r="CH679" s="408"/>
      <c r="CI679" s="408">
        <v>913.18560000000002</v>
      </c>
      <c r="CJ679" s="408">
        <v>-134.46563999999989</v>
      </c>
      <c r="CK679" s="408"/>
      <c r="CL679" s="408"/>
      <c r="CM679" s="408"/>
      <c r="CN679" s="408"/>
      <c r="CO679" s="408">
        <v>-143.83151999999998</v>
      </c>
      <c r="CP679" s="408">
        <v>14.767560000000003</v>
      </c>
      <c r="CQ679" s="408">
        <v>30</v>
      </c>
      <c r="CR679" s="408">
        <v>42.296310396986712</v>
      </c>
      <c r="CS679" s="408">
        <v>2.7407349785401962</v>
      </c>
      <c r="CT679" s="408">
        <v>12.77957263267291</v>
      </c>
      <c r="CU679" s="408">
        <v>0</v>
      </c>
      <c r="CV679" s="408">
        <v>0</v>
      </c>
      <c r="CW679" s="408">
        <v>0</v>
      </c>
      <c r="CX679" s="408">
        <v>0</v>
      </c>
      <c r="CY679" s="408">
        <v>0</v>
      </c>
      <c r="CZ679" s="408">
        <v>12.817544471811793</v>
      </c>
      <c r="DA679" s="408">
        <v>0</v>
      </c>
      <c r="DB679" s="408">
        <v>0</v>
      </c>
      <c r="DC679" s="408">
        <v>14.765892657077913</v>
      </c>
      <c r="DD679" s="408">
        <v>0</v>
      </c>
      <c r="DE679" s="408">
        <v>0</v>
      </c>
      <c r="DF679" s="408">
        <v>0</v>
      </c>
      <c r="DG679" s="408">
        <v>0.64828422713846301</v>
      </c>
      <c r="DH679" s="408">
        <v>0</v>
      </c>
      <c r="DI679" s="408">
        <v>-1.2436455924679137</v>
      </c>
      <c r="DJ679" s="408"/>
      <c r="DK679" s="408">
        <v>0</v>
      </c>
      <c r="DL679" s="408">
        <v>0</v>
      </c>
      <c r="DM679" s="408">
        <v>0</v>
      </c>
      <c r="DN679" s="408">
        <v>0</v>
      </c>
      <c r="DO679" s="408">
        <v>-0.19657615871232537</v>
      </c>
      <c r="DP679" s="408">
        <v>-1.5496819074307666E-2</v>
      </c>
      <c r="DQ679" s="408">
        <v>0</v>
      </c>
      <c r="DR679" s="408">
        <v>0</v>
      </c>
      <c r="DS679" s="408"/>
      <c r="DT679" s="408"/>
      <c r="DU679" s="408"/>
      <c r="DV679" s="408">
        <v>689.81927829144627</v>
      </c>
      <c r="DW679" s="408">
        <v>0</v>
      </c>
      <c r="DX679" s="408">
        <v>0</v>
      </c>
      <c r="DY679" s="408">
        <v>-143.83151999999995</v>
      </c>
      <c r="DZ679" s="408">
        <v>14.767560000000003</v>
      </c>
      <c r="EA679" s="408">
        <v>0</v>
      </c>
      <c r="EB679" s="408">
        <v>0</v>
      </c>
      <c r="EC679" s="408">
        <v>-171.36280983271877</v>
      </c>
      <c r="ED679" s="408">
        <v>0</v>
      </c>
      <c r="EE679" s="408">
        <v>0</v>
      </c>
      <c r="EF679" s="408">
        <v>0</v>
      </c>
      <c r="EG679" s="408">
        <v>0</v>
      </c>
      <c r="EH679" s="408">
        <v>0</v>
      </c>
      <c r="EI679" s="408">
        <v>0</v>
      </c>
      <c r="EJ679" s="408">
        <v>0</v>
      </c>
      <c r="EK679" s="408">
        <v>0</v>
      </c>
      <c r="EL679" s="408">
        <v>0</v>
      </c>
      <c r="EM679" s="408">
        <v>0</v>
      </c>
      <c r="EN679" s="408">
        <v>0</v>
      </c>
      <c r="EO679" s="408">
        <v>0</v>
      </c>
      <c r="EP679" s="408">
        <v>9.3531949685357052</v>
      </c>
      <c r="EQ679" s="408">
        <v>0</v>
      </c>
      <c r="ER679" s="408">
        <v>0</v>
      </c>
      <c r="ES679" s="408">
        <v>0</v>
      </c>
      <c r="ET679" s="408">
        <v>0</v>
      </c>
      <c r="EU679" s="408">
        <v>0</v>
      </c>
      <c r="EV679" s="408">
        <v>240</v>
      </c>
      <c r="EW679" s="408">
        <v>0</v>
      </c>
      <c r="EX679" s="408">
        <v>0</v>
      </c>
      <c r="EY679" s="408">
        <v>0</v>
      </c>
      <c r="EZ679" s="408"/>
      <c r="FA679" s="408">
        <v>0</v>
      </c>
      <c r="FB679" s="408"/>
      <c r="FC679" s="408"/>
      <c r="FD679" s="408"/>
      <c r="FE679" s="408"/>
      <c r="FF679" s="408">
        <v>0</v>
      </c>
      <c r="FG679" s="408">
        <v>0</v>
      </c>
      <c r="FH679" s="408">
        <v>0</v>
      </c>
      <c r="FI679" s="408">
        <v>0</v>
      </c>
    </row>
    <row r="680" spans="1:165">
      <c r="A680" s="408">
        <v>678</v>
      </c>
      <c r="B680" s="408" t="s">
        <v>1036</v>
      </c>
      <c r="C680" s="408" t="s">
        <v>2243</v>
      </c>
      <c r="D680" s="408" t="s">
        <v>597</v>
      </c>
      <c r="E680" s="408" t="s">
        <v>2246</v>
      </c>
      <c r="F680" s="408" t="s">
        <v>1322</v>
      </c>
      <c r="G680" s="408" t="s">
        <v>1322</v>
      </c>
      <c r="H680" s="408" t="s">
        <v>1322</v>
      </c>
      <c r="I680" s="408" t="s">
        <v>2244</v>
      </c>
      <c r="J680" s="408" t="s">
        <v>2236</v>
      </c>
      <c r="K680" s="826">
        <v>44652</v>
      </c>
      <c r="L680" s="408">
        <v>0</v>
      </c>
      <c r="M680" s="408">
        <v>0</v>
      </c>
      <c r="N680" s="408">
        <v>25.853000000000002</v>
      </c>
      <c r="O680" s="408">
        <v>25.853000000000002</v>
      </c>
      <c r="P680" s="408">
        <v>25.853000000000002</v>
      </c>
      <c r="Q680" s="408">
        <v>25.853000000000002</v>
      </c>
      <c r="R680" s="408"/>
      <c r="S680" s="408">
        <v>85.01</v>
      </c>
      <c r="T680" s="408">
        <v>173.25</v>
      </c>
      <c r="U680" s="408"/>
      <c r="V680" s="408">
        <v>6676.7957800000004</v>
      </c>
      <c r="W680" s="408">
        <v>6676.7957800000004</v>
      </c>
      <c r="X680" s="408">
        <v>7204.4555100000007</v>
      </c>
      <c r="Y680" s="408">
        <v>0</v>
      </c>
      <c r="Z680" s="408">
        <v>1384.2810304903899</v>
      </c>
      <c r="AA680" s="408">
        <v>0</v>
      </c>
      <c r="AB680" s="408">
        <v>0</v>
      </c>
      <c r="AC680" s="408">
        <v>0</v>
      </c>
      <c r="AD680" s="408">
        <v>0</v>
      </c>
      <c r="AE680" s="408">
        <v>0</v>
      </c>
      <c r="AF680" s="408">
        <v>4403.812186042097</v>
      </c>
      <c r="AG680" s="408">
        <v>75.160708465082948</v>
      </c>
      <c r="AH680" s="408">
        <v>0</v>
      </c>
      <c r="AI680" s="408">
        <v>0</v>
      </c>
      <c r="AJ680" s="408">
        <v>0</v>
      </c>
      <c r="AK680" s="408">
        <v>0</v>
      </c>
      <c r="AL680" s="408">
        <v>245.83695975969383</v>
      </c>
      <c r="AM680" s="408"/>
      <c r="AN680" s="408">
        <v>20.703439878095349</v>
      </c>
      <c r="AO680" s="408">
        <v>0</v>
      </c>
      <c r="AP680" s="408">
        <v>0</v>
      </c>
      <c r="AQ680" s="408">
        <v>0</v>
      </c>
      <c r="AR680" s="408">
        <v>0</v>
      </c>
      <c r="AS680" s="408">
        <v>0</v>
      </c>
      <c r="AT680" s="408">
        <v>0</v>
      </c>
      <c r="AU680" s="408">
        <v>0</v>
      </c>
      <c r="AV680" s="408">
        <v>0</v>
      </c>
      <c r="AW680" s="408">
        <v>0</v>
      </c>
      <c r="AX680" s="408">
        <v>0</v>
      </c>
      <c r="AY680" s="408">
        <v>0</v>
      </c>
      <c r="AZ680" s="408">
        <v>0</v>
      </c>
      <c r="BA680" s="408"/>
      <c r="BB680" s="408">
        <v>0</v>
      </c>
      <c r="BC680" s="408">
        <v>0</v>
      </c>
      <c r="BD680" s="408">
        <v>0</v>
      </c>
      <c r="BE680" s="408">
        <v>0</v>
      </c>
      <c r="BF680" s="408">
        <v>0</v>
      </c>
      <c r="BG680" s="408">
        <v>193.34570864043138</v>
      </c>
      <c r="BH680" s="408">
        <v>0</v>
      </c>
      <c r="BI680" s="408">
        <v>0</v>
      </c>
      <c r="BJ680" s="408">
        <v>0</v>
      </c>
      <c r="BK680" s="408">
        <v>0</v>
      </c>
      <c r="BL680" s="408">
        <v>0</v>
      </c>
      <c r="BM680" s="408"/>
      <c r="BN680" s="408"/>
      <c r="BO680" s="408"/>
      <c r="BP680" s="408"/>
      <c r="BQ680" s="408"/>
      <c r="BR680" s="408"/>
      <c r="BS680" s="408"/>
      <c r="BT680" s="408"/>
      <c r="BU680" s="408"/>
      <c r="BV680" s="408">
        <v>4597.1578946825284</v>
      </c>
      <c r="BW680" s="408"/>
      <c r="BX680" s="408"/>
      <c r="BY680" s="408"/>
      <c r="BZ680" s="408"/>
      <c r="CA680" s="408"/>
      <c r="CB680" s="408"/>
      <c r="CC680" s="408"/>
      <c r="CD680" s="408"/>
      <c r="CE680" s="408"/>
      <c r="CF680" s="408"/>
      <c r="CG680" s="408"/>
      <c r="CH680" s="408"/>
      <c r="CI680" s="408">
        <v>7203.6195000000007</v>
      </c>
      <c r="CJ680" s="408">
        <v>526.79371999999967</v>
      </c>
      <c r="CK680" s="408"/>
      <c r="CL680" s="408"/>
      <c r="CM680" s="408"/>
      <c r="CN680" s="408"/>
      <c r="CO680" s="408">
        <v>-30.506540000000179</v>
      </c>
      <c r="CP680" s="408">
        <v>558.16627000000017</v>
      </c>
      <c r="CQ680" s="408">
        <v>30</v>
      </c>
      <c r="CR680" s="408">
        <v>527.58482864160214</v>
      </c>
      <c r="CS680" s="408">
        <v>0</v>
      </c>
      <c r="CT680" s="408">
        <v>0</v>
      </c>
      <c r="CU680" s="408">
        <v>0</v>
      </c>
      <c r="CV680" s="408">
        <v>0</v>
      </c>
      <c r="CW680" s="408">
        <v>0</v>
      </c>
      <c r="CX680" s="408">
        <v>0</v>
      </c>
      <c r="CY680" s="408">
        <v>0</v>
      </c>
      <c r="CZ680" s="408">
        <v>0</v>
      </c>
      <c r="DA680" s="408">
        <v>0</v>
      </c>
      <c r="DB680" s="408">
        <v>0</v>
      </c>
      <c r="DC680" s="408">
        <v>558.1032498003442</v>
      </c>
      <c r="DD680" s="408">
        <v>0</v>
      </c>
      <c r="DE680" s="408">
        <v>0</v>
      </c>
      <c r="DF680" s="408">
        <v>0</v>
      </c>
      <c r="DG680" s="408">
        <v>24.503058661126744</v>
      </c>
      <c r="DH680" s="408">
        <v>0</v>
      </c>
      <c r="DI680" s="408">
        <v>-47.005803365603697</v>
      </c>
      <c r="DJ680" s="408"/>
      <c r="DK680" s="408">
        <v>0</v>
      </c>
      <c r="DL680" s="408">
        <v>0</v>
      </c>
      <c r="DM680" s="408">
        <v>0</v>
      </c>
      <c r="DN680" s="408">
        <v>0</v>
      </c>
      <c r="DO680" s="408">
        <v>-7.4299465368270887</v>
      </c>
      <c r="DP680" s="408">
        <v>-0.58572991743870872</v>
      </c>
      <c r="DQ680" s="408">
        <v>0</v>
      </c>
      <c r="DR680" s="408">
        <v>0</v>
      </c>
      <c r="DS680" s="408"/>
      <c r="DT680" s="408"/>
      <c r="DU680" s="408"/>
      <c r="DV680" s="408">
        <v>0</v>
      </c>
      <c r="DW680" s="408">
        <v>0</v>
      </c>
      <c r="DX680" s="408">
        <v>0</v>
      </c>
      <c r="DY680" s="408">
        <v>-30.506540000000314</v>
      </c>
      <c r="DZ680" s="408">
        <v>558.16627000000062</v>
      </c>
      <c r="EA680" s="408">
        <v>0</v>
      </c>
      <c r="EB680" s="408">
        <v>0</v>
      </c>
      <c r="EC680" s="408">
        <v>0</v>
      </c>
      <c r="ED680" s="408">
        <v>0</v>
      </c>
      <c r="EE680" s="408">
        <v>0</v>
      </c>
      <c r="EF680" s="408">
        <v>0</v>
      </c>
      <c r="EG680" s="408">
        <v>0</v>
      </c>
      <c r="EH680" s="408">
        <v>0</v>
      </c>
      <c r="EI680" s="408">
        <v>0</v>
      </c>
      <c r="EJ680" s="408">
        <v>0</v>
      </c>
      <c r="EK680" s="408">
        <v>0</v>
      </c>
      <c r="EL680" s="408">
        <v>0</v>
      </c>
      <c r="EM680" s="408">
        <v>0</v>
      </c>
      <c r="EN680" s="408">
        <v>0</v>
      </c>
      <c r="EO680" s="408">
        <v>0</v>
      </c>
      <c r="EP680" s="408">
        <v>353.52068643501985</v>
      </c>
      <c r="EQ680" s="408">
        <v>0</v>
      </c>
      <c r="ER680" s="408">
        <v>0</v>
      </c>
      <c r="ES680" s="408">
        <v>0</v>
      </c>
      <c r="ET680" s="408">
        <v>0</v>
      </c>
      <c r="EU680" s="408">
        <v>0</v>
      </c>
      <c r="EV680" s="408">
        <v>240</v>
      </c>
      <c r="EW680" s="408">
        <v>0</v>
      </c>
      <c r="EX680" s="408">
        <v>0</v>
      </c>
      <c r="EY680" s="408">
        <v>0</v>
      </c>
      <c r="EZ680" s="408"/>
      <c r="FA680" s="408">
        <v>0</v>
      </c>
      <c r="FB680" s="408"/>
      <c r="FC680" s="408"/>
      <c r="FD680" s="408"/>
      <c r="FE680" s="408"/>
      <c r="FF680" s="408">
        <v>0</v>
      </c>
      <c r="FG680" s="408">
        <v>0</v>
      </c>
      <c r="FH680" s="408">
        <v>0</v>
      </c>
      <c r="FI680" s="408">
        <v>0</v>
      </c>
    </row>
    <row r="681" spans="1:165">
      <c r="A681" s="408">
        <v>679</v>
      </c>
      <c r="B681" s="408" t="s">
        <v>2238</v>
      </c>
      <c r="C681" s="408" t="s">
        <v>2243</v>
      </c>
      <c r="D681" s="408" t="s">
        <v>597</v>
      </c>
      <c r="E681" s="408" t="s">
        <v>2246</v>
      </c>
      <c r="F681" s="408" t="s">
        <v>1322</v>
      </c>
      <c r="G681" s="408" t="s">
        <v>1322</v>
      </c>
      <c r="H681" s="408" t="s">
        <v>1322</v>
      </c>
      <c r="I681" s="408" t="s">
        <v>2244</v>
      </c>
      <c r="J681" s="408" t="s">
        <v>2236</v>
      </c>
      <c r="K681" s="826">
        <v>44652</v>
      </c>
      <c r="L681" s="408">
        <v>0</v>
      </c>
      <c r="M681" s="408">
        <v>0</v>
      </c>
      <c r="N681" s="408">
        <v>2.5819999999999999</v>
      </c>
      <c r="O681" s="408">
        <v>2.5819999999999999</v>
      </c>
      <c r="P681" s="408">
        <v>2.5819999999999999</v>
      </c>
      <c r="Q681" s="408">
        <v>2.5819999999999999</v>
      </c>
      <c r="R681" s="408"/>
      <c r="S681" s="408">
        <v>85.01</v>
      </c>
      <c r="T681" s="408">
        <v>173.25</v>
      </c>
      <c r="U681" s="408"/>
      <c r="V681" s="408">
        <v>666.82731999999999</v>
      </c>
      <c r="W681" s="408">
        <v>666.82731999999999</v>
      </c>
      <c r="X681" s="408">
        <v>719.52593999999999</v>
      </c>
      <c r="Y681" s="408">
        <v>0</v>
      </c>
      <c r="Z681" s="408">
        <v>138.25140682807358</v>
      </c>
      <c r="AA681" s="408">
        <v>0</v>
      </c>
      <c r="AB681" s="408">
        <v>0</v>
      </c>
      <c r="AC681" s="408">
        <v>0</v>
      </c>
      <c r="AD681" s="408">
        <v>0</v>
      </c>
      <c r="AE681" s="408">
        <v>0</v>
      </c>
      <c r="AF681" s="408">
        <v>439.81909505127811</v>
      </c>
      <c r="AG681" s="408">
        <v>7.5064769758575078</v>
      </c>
      <c r="AH681" s="408">
        <v>0</v>
      </c>
      <c r="AI681" s="408">
        <v>0</v>
      </c>
      <c r="AJ681" s="408">
        <v>0</v>
      </c>
      <c r="AK681" s="408">
        <v>0</v>
      </c>
      <c r="AL681" s="408">
        <v>24.552316176054205</v>
      </c>
      <c r="AM681" s="408"/>
      <c r="AN681" s="408">
        <v>2.0677013021793287</v>
      </c>
      <c r="AO681" s="408">
        <v>0</v>
      </c>
      <c r="AP681" s="408">
        <v>0</v>
      </c>
      <c r="AQ681" s="408">
        <v>0</v>
      </c>
      <c r="AR681" s="408">
        <v>0</v>
      </c>
      <c r="AS681" s="408">
        <v>0</v>
      </c>
      <c r="AT681" s="408">
        <v>0</v>
      </c>
      <c r="AU681" s="408">
        <v>0</v>
      </c>
      <c r="AV681" s="408">
        <v>0</v>
      </c>
      <c r="AW681" s="408">
        <v>0</v>
      </c>
      <c r="AX681" s="408">
        <v>0</v>
      </c>
      <c r="AY681" s="408">
        <v>0</v>
      </c>
      <c r="AZ681" s="408">
        <v>0</v>
      </c>
      <c r="BA681" s="408"/>
      <c r="BB681" s="408">
        <v>0</v>
      </c>
      <c r="BC681" s="408">
        <v>0</v>
      </c>
      <c r="BD681" s="408">
        <v>0</v>
      </c>
      <c r="BE681" s="408">
        <v>0</v>
      </c>
      <c r="BF681" s="408">
        <v>0</v>
      </c>
      <c r="BG681" s="408">
        <v>19.309891297319218</v>
      </c>
      <c r="BH681" s="408">
        <v>0</v>
      </c>
      <c r="BI681" s="408">
        <v>0</v>
      </c>
      <c r="BJ681" s="408">
        <v>0</v>
      </c>
      <c r="BK681" s="408">
        <v>0</v>
      </c>
      <c r="BL681" s="408">
        <v>0</v>
      </c>
      <c r="BM681" s="408"/>
      <c r="BN681" s="408"/>
      <c r="BO681" s="408"/>
      <c r="BP681" s="408"/>
      <c r="BQ681" s="408"/>
      <c r="BR681" s="408"/>
      <c r="BS681" s="408"/>
      <c r="BT681" s="408"/>
      <c r="BU681" s="408"/>
      <c r="BV681" s="408">
        <v>459.12898634859732</v>
      </c>
      <c r="BW681" s="408"/>
      <c r="BX681" s="408"/>
      <c r="BY681" s="408"/>
      <c r="BZ681" s="408"/>
      <c r="CA681" s="408"/>
      <c r="CB681" s="408"/>
      <c r="CC681" s="408"/>
      <c r="CD681" s="408"/>
      <c r="CE681" s="408"/>
      <c r="CF681" s="408"/>
      <c r="CG681" s="408"/>
      <c r="CH681" s="408"/>
      <c r="CI681" s="408">
        <v>718.96860000000004</v>
      </c>
      <c r="CJ681" s="408">
        <v>52.111280000000079</v>
      </c>
      <c r="CK681" s="408"/>
      <c r="CL681" s="408"/>
      <c r="CM681" s="408"/>
      <c r="CN681" s="408"/>
      <c r="CO681" s="408">
        <v>-3.0467600000000172</v>
      </c>
      <c r="CP681" s="408">
        <v>55.745380000000004</v>
      </c>
      <c r="CQ681" s="408">
        <v>30</v>
      </c>
      <c r="CR681" s="408">
        <v>52.691139424926178</v>
      </c>
      <c r="CS681" s="408">
        <v>0</v>
      </c>
      <c r="CT681" s="408">
        <v>0</v>
      </c>
      <c r="CU681" s="408">
        <v>0</v>
      </c>
      <c r="CV681" s="408">
        <v>0</v>
      </c>
      <c r="CW681" s="408">
        <v>0</v>
      </c>
      <c r="CX681" s="408">
        <v>0</v>
      </c>
      <c r="CY681" s="408">
        <v>0</v>
      </c>
      <c r="CZ681" s="408">
        <v>0</v>
      </c>
      <c r="DA681" s="408">
        <v>0</v>
      </c>
      <c r="DB681" s="408">
        <v>0</v>
      </c>
      <c r="DC681" s="408">
        <v>55.739086024232734</v>
      </c>
      <c r="DD681" s="408">
        <v>0</v>
      </c>
      <c r="DE681" s="408">
        <v>0</v>
      </c>
      <c r="DF681" s="408">
        <v>0</v>
      </c>
      <c r="DG681" s="408">
        <v>2.4471781790519174</v>
      </c>
      <c r="DH681" s="408">
        <v>0</v>
      </c>
      <c r="DI681" s="408">
        <v>-4.6945802920353117</v>
      </c>
      <c r="DJ681" s="408"/>
      <c r="DK681" s="408">
        <v>0</v>
      </c>
      <c r="DL681" s="408">
        <v>0</v>
      </c>
      <c r="DM681" s="408">
        <v>0</v>
      </c>
      <c r="DN681" s="408">
        <v>0</v>
      </c>
      <c r="DO681" s="408">
        <v>-0.74204625993453277</v>
      </c>
      <c r="DP681" s="408">
        <v>-5.8498226388687957E-2</v>
      </c>
      <c r="DQ681" s="408">
        <v>0</v>
      </c>
      <c r="DR681" s="408">
        <v>0</v>
      </c>
      <c r="DS681" s="408"/>
      <c r="DT681" s="408"/>
      <c r="DU681" s="408"/>
      <c r="DV681" s="408">
        <v>0</v>
      </c>
      <c r="DW681" s="408">
        <v>0</v>
      </c>
      <c r="DX681" s="408">
        <v>0</v>
      </c>
      <c r="DY681" s="408">
        <v>-3.0467600000000346</v>
      </c>
      <c r="DZ681" s="408">
        <v>55.745380000000011</v>
      </c>
      <c r="EA681" s="408">
        <v>0</v>
      </c>
      <c r="EB681" s="408">
        <v>0</v>
      </c>
      <c r="EC681" s="408">
        <v>0</v>
      </c>
      <c r="ED681" s="408">
        <v>0</v>
      </c>
      <c r="EE681" s="408">
        <v>0</v>
      </c>
      <c r="EF681" s="408">
        <v>0</v>
      </c>
      <c r="EG681" s="408">
        <v>0</v>
      </c>
      <c r="EH681" s="408">
        <v>0</v>
      </c>
      <c r="EI681" s="408">
        <v>0</v>
      </c>
      <c r="EJ681" s="408">
        <v>0</v>
      </c>
      <c r="EK681" s="408">
        <v>0</v>
      </c>
      <c r="EL681" s="408">
        <v>0</v>
      </c>
      <c r="EM681" s="408">
        <v>0</v>
      </c>
      <c r="EN681" s="408">
        <v>0</v>
      </c>
      <c r="EO681" s="408">
        <v>0</v>
      </c>
      <c r="EP681" s="408">
        <v>35.306943580057293</v>
      </c>
      <c r="EQ681" s="408">
        <v>0</v>
      </c>
      <c r="ER681" s="408">
        <v>0</v>
      </c>
      <c r="ES681" s="408">
        <v>0</v>
      </c>
      <c r="ET681" s="408">
        <v>0</v>
      </c>
      <c r="EU681" s="408">
        <v>0</v>
      </c>
      <c r="EV681" s="408">
        <v>240</v>
      </c>
      <c r="EW681" s="408">
        <v>0</v>
      </c>
      <c r="EX681" s="408">
        <v>0</v>
      </c>
      <c r="EY681" s="408">
        <v>0</v>
      </c>
      <c r="EZ681" s="408"/>
      <c r="FA681" s="408">
        <v>0</v>
      </c>
      <c r="FB681" s="408"/>
      <c r="FC681" s="408"/>
      <c r="FD681" s="408"/>
      <c r="FE681" s="408"/>
      <c r="FF681" s="408">
        <v>0</v>
      </c>
      <c r="FG681" s="408">
        <v>0</v>
      </c>
      <c r="FH681" s="408">
        <v>0</v>
      </c>
      <c r="FI681" s="408">
        <v>0</v>
      </c>
    </row>
    <row r="682" spans="1:165">
      <c r="A682" s="408">
        <v>680</v>
      </c>
      <c r="B682" s="408" t="s">
        <v>1036</v>
      </c>
      <c r="C682" s="408" t="s">
        <v>2243</v>
      </c>
      <c r="D682" s="408" t="s">
        <v>597</v>
      </c>
      <c r="E682" s="408" t="s">
        <v>2246</v>
      </c>
      <c r="F682" s="408" t="s">
        <v>1322</v>
      </c>
      <c r="G682" s="408" t="s">
        <v>1322</v>
      </c>
      <c r="H682" s="408" t="s">
        <v>1322</v>
      </c>
      <c r="I682" s="408" t="s">
        <v>1322</v>
      </c>
      <c r="J682" s="408" t="s">
        <v>2236</v>
      </c>
      <c r="K682" s="826">
        <v>44652</v>
      </c>
      <c r="L682" s="408">
        <v>298</v>
      </c>
      <c r="M682" s="408">
        <v>298</v>
      </c>
      <c r="N682" s="408">
        <v>0</v>
      </c>
      <c r="O682" s="408">
        <v>0</v>
      </c>
      <c r="P682" s="408">
        <v>0</v>
      </c>
      <c r="Q682" s="408">
        <v>0</v>
      </c>
      <c r="R682" s="408">
        <v>27.19</v>
      </c>
      <c r="S682" s="408"/>
      <c r="T682" s="408"/>
      <c r="U682" s="408">
        <v>8102.6200000000008</v>
      </c>
      <c r="V682" s="408"/>
      <c r="W682" s="408">
        <v>8102.6200000000008</v>
      </c>
      <c r="X682" s="408">
        <v>6484.4800000000005</v>
      </c>
      <c r="Y682" s="408">
        <v>0</v>
      </c>
      <c r="Z682" s="408">
        <v>0</v>
      </c>
      <c r="AA682" s="408">
        <v>0</v>
      </c>
      <c r="AB682" s="408">
        <v>0</v>
      </c>
      <c r="AC682" s="408">
        <v>69.493782801414071</v>
      </c>
      <c r="AD682" s="408">
        <v>66.76238213238635</v>
      </c>
      <c r="AE682" s="408">
        <v>7131.7450124615307</v>
      </c>
      <c r="AF682" s="408"/>
      <c r="AG682" s="408"/>
      <c r="AH682" s="408"/>
      <c r="AI682" s="408">
        <v>0</v>
      </c>
      <c r="AJ682" s="408">
        <v>0</v>
      </c>
      <c r="AK682" s="408">
        <v>0</v>
      </c>
      <c r="AL682" s="408">
        <v>0</v>
      </c>
      <c r="AM682" s="408"/>
      <c r="AN682" s="408">
        <v>0</v>
      </c>
      <c r="AO682" s="408">
        <v>147.47567966495828</v>
      </c>
      <c r="AP682" s="408">
        <v>687.81047521742403</v>
      </c>
      <c r="AQ682" s="408">
        <v>0</v>
      </c>
      <c r="AR682" s="408">
        <v>0</v>
      </c>
      <c r="AS682" s="408"/>
      <c r="AT682" s="408"/>
      <c r="AU682" s="408">
        <v>0</v>
      </c>
      <c r="AV682" s="408">
        <v>0</v>
      </c>
      <c r="AW682" s="408">
        <v>0</v>
      </c>
      <c r="AX682" s="408"/>
      <c r="AY682" s="408"/>
      <c r="AZ682" s="408">
        <v>0</v>
      </c>
      <c r="BA682" s="408"/>
      <c r="BB682" s="408">
        <v>0</v>
      </c>
      <c r="BC682" s="408">
        <v>0</v>
      </c>
      <c r="BD682" s="408">
        <v>0</v>
      </c>
      <c r="BE682" s="408">
        <v>0</v>
      </c>
      <c r="BF682" s="408"/>
      <c r="BG682" s="408">
        <v>0</v>
      </c>
      <c r="BH682" s="408">
        <v>0</v>
      </c>
      <c r="BI682" s="408">
        <v>16.2</v>
      </c>
      <c r="BJ682" s="408">
        <v>173.91</v>
      </c>
      <c r="BK682" s="408">
        <v>7085.49</v>
      </c>
      <c r="BL682" s="408">
        <v>5</v>
      </c>
      <c r="BM682" s="408"/>
      <c r="BN682" s="408"/>
      <c r="BO682" s="408"/>
      <c r="BP682" s="408"/>
      <c r="BQ682" s="408"/>
      <c r="BR682" s="408"/>
      <c r="BS682" s="408"/>
      <c r="BT682" s="408"/>
      <c r="BU682" s="408"/>
      <c r="BV682" s="408">
        <v>0</v>
      </c>
      <c r="BW682" s="408"/>
      <c r="BX682" s="408"/>
      <c r="BY682" s="408"/>
      <c r="BZ682" s="408"/>
      <c r="CA682" s="408"/>
      <c r="CB682" s="408"/>
      <c r="CC682" s="408"/>
      <c r="CD682" s="408"/>
      <c r="CE682" s="408"/>
      <c r="CF682" s="408"/>
      <c r="CG682" s="408"/>
      <c r="CH682" s="408"/>
      <c r="CI682" s="408">
        <v>6484.4800000000005</v>
      </c>
      <c r="CJ682" s="408">
        <v>-1618.170000000001</v>
      </c>
      <c r="CK682" s="408"/>
      <c r="CL682" s="408"/>
      <c r="CM682" s="408"/>
      <c r="CN682" s="408"/>
      <c r="CO682" s="408">
        <v>-1618.1399999999999</v>
      </c>
      <c r="CP682" s="408">
        <v>0</v>
      </c>
      <c r="CQ682" s="408">
        <v>30</v>
      </c>
      <c r="CR682" s="408">
        <v>151.97761270370415</v>
      </c>
      <c r="CS682" s="408">
        <v>14.695636257809127</v>
      </c>
      <c r="CT682" s="408">
        <v>68.538843699988661</v>
      </c>
      <c r="CU682" s="408">
        <v>0</v>
      </c>
      <c r="CV682" s="408">
        <v>0</v>
      </c>
      <c r="CW682" s="408"/>
      <c r="CX682" s="408"/>
      <c r="CY682" s="408"/>
      <c r="CZ682" s="408">
        <v>68.743132745906408</v>
      </c>
      <c r="DA682" s="408">
        <v>0</v>
      </c>
      <c r="DB682" s="408">
        <v>0</v>
      </c>
      <c r="DC682" s="408"/>
      <c r="DD682" s="408"/>
      <c r="DE682" s="408">
        <v>0</v>
      </c>
      <c r="DF682" s="408">
        <v>0</v>
      </c>
      <c r="DG682" s="408">
        <v>0</v>
      </c>
      <c r="DH682" s="408">
        <v>0</v>
      </c>
      <c r="DI682" s="408">
        <v>0</v>
      </c>
      <c r="DJ682" s="408"/>
      <c r="DK682" s="408">
        <v>0</v>
      </c>
      <c r="DL682" s="408">
        <v>0</v>
      </c>
      <c r="DM682" s="408"/>
      <c r="DN682" s="408">
        <v>0</v>
      </c>
      <c r="DO682" s="408">
        <v>0</v>
      </c>
      <c r="DP682" s="408">
        <v>0</v>
      </c>
      <c r="DQ682" s="408">
        <v>0</v>
      </c>
      <c r="DR682" s="408">
        <v>0</v>
      </c>
      <c r="DS682" s="408"/>
      <c r="DT682" s="408"/>
      <c r="DU682" s="408">
        <v>7131.7450124615307</v>
      </c>
      <c r="DV682" s="408"/>
      <c r="DW682" s="408">
        <v>0</v>
      </c>
      <c r="DX682" s="408">
        <v>0</v>
      </c>
      <c r="DY682" s="408">
        <v>-1618.1400000000003</v>
      </c>
      <c r="DZ682" s="408"/>
      <c r="EA682" s="408">
        <v>0</v>
      </c>
      <c r="EB682" s="408"/>
      <c r="EC682" s="408">
        <v>-1771.6464337917978</v>
      </c>
      <c r="ED682" s="408"/>
      <c r="EE682" s="408">
        <v>0</v>
      </c>
      <c r="EF682" s="408">
        <v>0</v>
      </c>
      <c r="EG682" s="408"/>
      <c r="EH682" s="408">
        <v>0</v>
      </c>
      <c r="EI682" s="408">
        <v>0</v>
      </c>
      <c r="EJ682" s="408">
        <v>0</v>
      </c>
      <c r="EK682" s="408">
        <v>0</v>
      </c>
      <c r="EL682" s="408">
        <v>0</v>
      </c>
      <c r="EM682" s="408"/>
      <c r="EN682" s="408"/>
      <c r="EO682" s="408">
        <v>0</v>
      </c>
      <c r="EP682" s="408">
        <v>0</v>
      </c>
      <c r="EQ682" s="408"/>
      <c r="ER682" s="408">
        <v>0</v>
      </c>
      <c r="ES682" s="408"/>
      <c r="ET682" s="408">
        <v>0</v>
      </c>
      <c r="EU682" s="408"/>
      <c r="EV682" s="408">
        <v>240</v>
      </c>
      <c r="EW682" s="408"/>
      <c r="EX682" s="408"/>
      <c r="EY682" s="408"/>
      <c r="EZ682" s="408"/>
      <c r="FA682" s="408">
        <v>0</v>
      </c>
      <c r="FB682" s="408"/>
      <c r="FC682" s="408"/>
      <c r="FD682" s="408"/>
      <c r="FE682" s="408"/>
      <c r="FF682" s="408">
        <v>0</v>
      </c>
      <c r="FG682" s="408">
        <v>0</v>
      </c>
      <c r="FH682" s="408">
        <v>0</v>
      </c>
      <c r="FI682" s="408">
        <v>0</v>
      </c>
    </row>
    <row r="683" spans="1:165">
      <c r="A683" s="408">
        <v>681</v>
      </c>
      <c r="B683" s="408" t="s">
        <v>2238</v>
      </c>
      <c r="C683" s="408" t="s">
        <v>2243</v>
      </c>
      <c r="D683" s="408" t="s">
        <v>597</v>
      </c>
      <c r="E683" s="408" t="s">
        <v>2246</v>
      </c>
      <c r="F683" s="408" t="s">
        <v>1322</v>
      </c>
      <c r="G683" s="408" t="s">
        <v>1322</v>
      </c>
      <c r="H683" s="408" t="s">
        <v>1322</v>
      </c>
      <c r="I683" s="408" t="s">
        <v>1322</v>
      </c>
      <c r="J683" s="408" t="s">
        <v>2236</v>
      </c>
      <c r="K683" s="826">
        <v>44652</v>
      </c>
      <c r="L683" s="408">
        <v>40</v>
      </c>
      <c r="M683" s="408">
        <v>40</v>
      </c>
      <c r="N683" s="408">
        <v>0</v>
      </c>
      <c r="O683" s="408">
        <v>0</v>
      </c>
      <c r="P683" s="408">
        <v>0</v>
      </c>
      <c r="Q683" s="408">
        <v>0</v>
      </c>
      <c r="R683" s="408">
        <v>27.19</v>
      </c>
      <c r="S683" s="408"/>
      <c r="T683" s="408"/>
      <c r="U683" s="408">
        <v>1087.6000000000001</v>
      </c>
      <c r="V683" s="408"/>
      <c r="W683" s="408">
        <v>1087.6000000000001</v>
      </c>
      <c r="X683" s="408">
        <v>870.40000000000009</v>
      </c>
      <c r="Y683" s="408">
        <v>0</v>
      </c>
      <c r="Z683" s="408">
        <v>0</v>
      </c>
      <c r="AA683" s="408">
        <v>0</v>
      </c>
      <c r="AB683" s="408">
        <v>0</v>
      </c>
      <c r="AC683" s="408">
        <v>9.3280245371025607</v>
      </c>
      <c r="AD683" s="408">
        <v>8.9613935748169595</v>
      </c>
      <c r="AE683" s="408">
        <v>957.28120972637998</v>
      </c>
      <c r="AF683" s="408"/>
      <c r="AG683" s="408"/>
      <c r="AH683" s="408"/>
      <c r="AI683" s="408">
        <v>0</v>
      </c>
      <c r="AJ683" s="408">
        <v>0</v>
      </c>
      <c r="AK683" s="408">
        <v>0</v>
      </c>
      <c r="AL683" s="408">
        <v>0</v>
      </c>
      <c r="AM683" s="408"/>
      <c r="AN683" s="408">
        <v>0</v>
      </c>
      <c r="AO683" s="408">
        <v>19.795393243618559</v>
      </c>
      <c r="AP683" s="408">
        <v>92.3235537204596</v>
      </c>
      <c r="AQ683" s="408">
        <v>0</v>
      </c>
      <c r="AR683" s="408">
        <v>0</v>
      </c>
      <c r="AS683" s="408"/>
      <c r="AT683" s="408"/>
      <c r="AU683" s="408">
        <v>0</v>
      </c>
      <c r="AV683" s="408">
        <v>0</v>
      </c>
      <c r="AW683" s="408">
        <v>0</v>
      </c>
      <c r="AX683" s="408"/>
      <c r="AY683" s="408"/>
      <c r="AZ683" s="408">
        <v>0</v>
      </c>
      <c r="BA683" s="408"/>
      <c r="BB683" s="408">
        <v>0</v>
      </c>
      <c r="BC683" s="408">
        <v>0</v>
      </c>
      <c r="BD683" s="408">
        <v>0</v>
      </c>
      <c r="BE683" s="408">
        <v>0</v>
      </c>
      <c r="BF683" s="408"/>
      <c r="BG683" s="408">
        <v>0</v>
      </c>
      <c r="BH683" s="408">
        <v>0</v>
      </c>
      <c r="BI683" s="408">
        <v>1.96</v>
      </c>
      <c r="BJ683" s="408">
        <v>21.05</v>
      </c>
      <c r="BK683" s="408">
        <v>880.39</v>
      </c>
      <c r="BL683" s="408">
        <v>1</v>
      </c>
      <c r="BM683" s="408"/>
      <c r="BN683" s="408"/>
      <c r="BO683" s="408"/>
      <c r="BP683" s="408"/>
      <c r="BQ683" s="408"/>
      <c r="BR683" s="408"/>
      <c r="BS683" s="408"/>
      <c r="BT683" s="408"/>
      <c r="BU683" s="408"/>
      <c r="BV683" s="408">
        <v>0</v>
      </c>
      <c r="BW683" s="408"/>
      <c r="BX683" s="408"/>
      <c r="BY683" s="408"/>
      <c r="BZ683" s="408"/>
      <c r="CA683" s="408"/>
      <c r="CB683" s="408"/>
      <c r="CC683" s="408"/>
      <c r="CD683" s="408"/>
      <c r="CE683" s="408"/>
      <c r="CF683" s="408"/>
      <c r="CG683" s="408"/>
      <c r="CH683" s="408"/>
      <c r="CI683" s="408">
        <v>870.40000000000009</v>
      </c>
      <c r="CJ683" s="408">
        <v>-217.23000000000002</v>
      </c>
      <c r="CK683" s="408"/>
      <c r="CL683" s="408"/>
      <c r="CM683" s="408"/>
      <c r="CN683" s="408"/>
      <c r="CO683" s="408">
        <v>-217.2</v>
      </c>
      <c r="CP683" s="408">
        <v>0</v>
      </c>
      <c r="CQ683" s="408">
        <v>30</v>
      </c>
      <c r="CR683" s="408">
        <v>20.399679557544232</v>
      </c>
      <c r="CS683" s="408">
        <v>1.9725686252092807</v>
      </c>
      <c r="CT683" s="408">
        <v>9.1998447919447983</v>
      </c>
      <c r="CU683" s="408">
        <v>0</v>
      </c>
      <c r="CV683" s="408">
        <v>0</v>
      </c>
      <c r="CW683" s="408"/>
      <c r="CX683" s="408"/>
      <c r="CY683" s="408"/>
      <c r="CZ683" s="408">
        <v>9.2272661403901211</v>
      </c>
      <c r="DA683" s="408">
        <v>0</v>
      </c>
      <c r="DB683" s="408">
        <v>0</v>
      </c>
      <c r="DC683" s="408"/>
      <c r="DD683" s="408"/>
      <c r="DE683" s="408">
        <v>0</v>
      </c>
      <c r="DF683" s="408">
        <v>0</v>
      </c>
      <c r="DG683" s="408">
        <v>0</v>
      </c>
      <c r="DH683" s="408">
        <v>0</v>
      </c>
      <c r="DI683" s="408">
        <v>0</v>
      </c>
      <c r="DJ683" s="408"/>
      <c r="DK683" s="408">
        <v>0</v>
      </c>
      <c r="DL683" s="408">
        <v>0</v>
      </c>
      <c r="DM683" s="408"/>
      <c r="DN683" s="408">
        <v>0</v>
      </c>
      <c r="DO683" s="408">
        <v>0</v>
      </c>
      <c r="DP683" s="408">
        <v>0</v>
      </c>
      <c r="DQ683" s="408">
        <v>0</v>
      </c>
      <c r="DR683" s="408">
        <v>0</v>
      </c>
      <c r="DS683" s="408"/>
      <c r="DT683" s="408"/>
      <c r="DU683" s="408">
        <v>957.28120972637998</v>
      </c>
      <c r="DV683" s="408"/>
      <c r="DW683" s="408">
        <v>0</v>
      </c>
      <c r="DX683" s="408">
        <v>0</v>
      </c>
      <c r="DY683" s="408">
        <v>-217.20000000000005</v>
      </c>
      <c r="DZ683" s="408"/>
      <c r="EA683" s="408">
        <v>0</v>
      </c>
      <c r="EB683" s="408"/>
      <c r="EC683" s="408">
        <v>-237.80489044185208</v>
      </c>
      <c r="ED683" s="408"/>
      <c r="EE683" s="408">
        <v>0</v>
      </c>
      <c r="EF683" s="408">
        <v>0</v>
      </c>
      <c r="EG683" s="408"/>
      <c r="EH683" s="408">
        <v>0</v>
      </c>
      <c r="EI683" s="408">
        <v>0</v>
      </c>
      <c r="EJ683" s="408">
        <v>0</v>
      </c>
      <c r="EK683" s="408">
        <v>0</v>
      </c>
      <c r="EL683" s="408">
        <v>0</v>
      </c>
      <c r="EM683" s="408"/>
      <c r="EN683" s="408"/>
      <c r="EO683" s="408">
        <v>0</v>
      </c>
      <c r="EP683" s="408">
        <v>0</v>
      </c>
      <c r="EQ683" s="408"/>
      <c r="ER683" s="408">
        <v>0</v>
      </c>
      <c r="ES683" s="408"/>
      <c r="ET683" s="408">
        <v>0</v>
      </c>
      <c r="EU683" s="408"/>
      <c r="EV683" s="408">
        <v>240</v>
      </c>
      <c r="EW683" s="408"/>
      <c r="EX683" s="408"/>
      <c r="EY683" s="408"/>
      <c r="EZ683" s="408"/>
      <c r="FA683" s="408">
        <v>0</v>
      </c>
      <c r="FB683" s="408"/>
      <c r="FC683" s="408"/>
      <c r="FD683" s="408"/>
      <c r="FE683" s="408"/>
      <c r="FF683" s="408">
        <v>0</v>
      </c>
      <c r="FG683" s="408">
        <v>0</v>
      </c>
      <c r="FH683" s="408">
        <v>0</v>
      </c>
      <c r="FI683" s="408">
        <v>0</v>
      </c>
    </row>
    <row r="684" spans="1:165">
      <c r="A684" s="408">
        <v>682</v>
      </c>
      <c r="B684" s="408" t="s">
        <v>1036</v>
      </c>
      <c r="C684" s="408" t="s">
        <v>2235</v>
      </c>
      <c r="D684" s="408" t="s">
        <v>2248</v>
      </c>
      <c r="E684" s="408" t="s">
        <v>2249</v>
      </c>
      <c r="F684" s="408" t="s">
        <v>2250</v>
      </c>
      <c r="G684" s="408" t="s">
        <v>1322</v>
      </c>
      <c r="H684" s="408" t="s">
        <v>1322</v>
      </c>
      <c r="I684" s="408" t="s">
        <v>1322</v>
      </c>
      <c r="J684" s="408" t="s">
        <v>2236</v>
      </c>
      <c r="K684" s="826">
        <v>44652</v>
      </c>
      <c r="L684" s="408">
        <v>0</v>
      </c>
      <c r="M684" s="408">
        <v>0</v>
      </c>
      <c r="N684" s="408">
        <v>1568.0039999999999</v>
      </c>
      <c r="O684" s="408">
        <v>1568.0039999999999</v>
      </c>
      <c r="P684" s="408">
        <v>1568.0039999999999</v>
      </c>
      <c r="Q684" s="408">
        <v>1568.0039999999999</v>
      </c>
      <c r="R684" s="408"/>
      <c r="S684" s="408">
        <v>199.07</v>
      </c>
      <c r="T684" s="408">
        <v>95.29</v>
      </c>
      <c r="U684" s="408"/>
      <c r="V684" s="408">
        <v>461557.65743999998</v>
      </c>
      <c r="W684" s="408">
        <v>461557.65743999998</v>
      </c>
      <c r="X684" s="408">
        <v>435701.27148</v>
      </c>
      <c r="Y684" s="408">
        <v>0</v>
      </c>
      <c r="Z684" s="408">
        <v>53076.701390540031</v>
      </c>
      <c r="AA684" s="408">
        <v>0</v>
      </c>
      <c r="AB684" s="408">
        <v>0</v>
      </c>
      <c r="AC684" s="408">
        <v>2207.3506544554202</v>
      </c>
      <c r="AD684" s="408">
        <v>2846.8411605220654</v>
      </c>
      <c r="AE684" s="408">
        <v>196965.39265326306</v>
      </c>
      <c r="AF684" s="408">
        <v>146901.99658180913</v>
      </c>
      <c r="AG684" s="408">
        <v>2507.2045926525448</v>
      </c>
      <c r="AH684" s="408">
        <v>0</v>
      </c>
      <c r="AI684" s="408">
        <v>0</v>
      </c>
      <c r="AJ684" s="408">
        <v>0</v>
      </c>
      <c r="AK684" s="408">
        <v>0</v>
      </c>
      <c r="AL684" s="408">
        <v>8200.6086310320516</v>
      </c>
      <c r="AM684" s="408"/>
      <c r="AN684" s="408">
        <v>1041.6582877511796</v>
      </c>
      <c r="AO684" s="408">
        <v>4685.772273846057</v>
      </c>
      <c r="AP684" s="408">
        <v>21849.064835187331</v>
      </c>
      <c r="AQ684" s="408">
        <v>0</v>
      </c>
      <c r="AR684" s="408">
        <v>0</v>
      </c>
      <c r="AS684" s="408">
        <v>0</v>
      </c>
      <c r="AT684" s="408">
        <v>0</v>
      </c>
      <c r="AU684" s="408">
        <v>0</v>
      </c>
      <c r="AV684" s="408">
        <v>0</v>
      </c>
      <c r="AW684" s="408">
        <v>0</v>
      </c>
      <c r="AX684" s="408">
        <v>0</v>
      </c>
      <c r="AY684" s="408">
        <v>0</v>
      </c>
      <c r="AZ684" s="408">
        <v>0</v>
      </c>
      <c r="BA684" s="408"/>
      <c r="BB684" s="408">
        <v>0</v>
      </c>
      <c r="BC684" s="408">
        <v>0</v>
      </c>
      <c r="BD684" s="408">
        <v>0</v>
      </c>
      <c r="BE684" s="408">
        <v>0</v>
      </c>
      <c r="BF684" s="408">
        <v>0</v>
      </c>
      <c r="BG684" s="408">
        <v>7709.6961374530456</v>
      </c>
      <c r="BH684" s="408">
        <v>0</v>
      </c>
      <c r="BI684" s="408">
        <v>386.93</v>
      </c>
      <c r="BJ684" s="408">
        <v>4149.3900000000003</v>
      </c>
      <c r="BK684" s="408">
        <v>138312.76</v>
      </c>
      <c r="BL684" s="408">
        <v>67</v>
      </c>
      <c r="BM684" s="408"/>
      <c r="BN684" s="408"/>
      <c r="BO684" s="408"/>
      <c r="BP684" s="408"/>
      <c r="BQ684" s="408"/>
      <c r="BR684" s="408"/>
      <c r="BS684" s="408"/>
      <c r="BT684" s="408"/>
      <c r="BU684" s="408"/>
      <c r="BV684" s="408">
        <v>154611.69271926218</v>
      </c>
      <c r="BW684" s="408"/>
      <c r="BX684" s="408"/>
      <c r="BY684" s="408"/>
      <c r="BZ684" s="408"/>
      <c r="CA684" s="408"/>
      <c r="CB684" s="408"/>
      <c r="CC684" s="408"/>
      <c r="CD684" s="408"/>
      <c r="CE684" s="408"/>
      <c r="CF684" s="408"/>
      <c r="CG684" s="408"/>
      <c r="CH684" s="408"/>
      <c r="CI684" s="408">
        <v>435700.16000000003</v>
      </c>
      <c r="CJ684" s="408">
        <v>-25857.527439999976</v>
      </c>
      <c r="CK684" s="408"/>
      <c r="CL684" s="408"/>
      <c r="CM684" s="408"/>
      <c r="CN684" s="408"/>
      <c r="CO684" s="408">
        <v>-44468.593439999975</v>
      </c>
      <c r="CP684" s="408">
        <v>18612.207479999983</v>
      </c>
      <c r="CQ684" s="408">
        <v>30</v>
      </c>
      <c r="CR684" s="408">
        <v>23090.033878172922</v>
      </c>
      <c r="CS684" s="408">
        <v>466.92719151937581</v>
      </c>
      <c r="CT684" s="408">
        <v>2177.2126097039218</v>
      </c>
      <c r="CU684" s="408">
        <v>0</v>
      </c>
      <c r="CV684" s="408">
        <v>0</v>
      </c>
      <c r="CW684" s="408">
        <v>0</v>
      </c>
      <c r="CX684" s="408">
        <v>0</v>
      </c>
      <c r="CY684" s="408">
        <v>0</v>
      </c>
      <c r="CZ684" s="408">
        <v>2931.3031313983593</v>
      </c>
      <c r="DA684" s="408">
        <v>0</v>
      </c>
      <c r="DB684" s="408">
        <v>0</v>
      </c>
      <c r="DC684" s="408">
        <v>18617.161275479215</v>
      </c>
      <c r="DD684" s="408">
        <v>0</v>
      </c>
      <c r="DE684" s="408">
        <v>0</v>
      </c>
      <c r="DF684" s="408">
        <v>0</v>
      </c>
      <c r="DG684" s="408">
        <v>977.06402714526303</v>
      </c>
      <c r="DH684" s="408">
        <v>0</v>
      </c>
      <c r="DI684" s="408">
        <v>-1802.3168228886352</v>
      </c>
      <c r="DJ684" s="408"/>
      <c r="DK684" s="408">
        <v>0</v>
      </c>
      <c r="DL684" s="408">
        <v>0</v>
      </c>
      <c r="DM684" s="408">
        <v>0</v>
      </c>
      <c r="DN684" s="408">
        <v>0</v>
      </c>
      <c r="DO684" s="408">
        <v>-247.84753178516985</v>
      </c>
      <c r="DP684" s="408">
        <v>-29.470002399424516</v>
      </c>
      <c r="DQ684" s="408">
        <v>0</v>
      </c>
      <c r="DR684" s="408">
        <v>0</v>
      </c>
      <c r="DS684" s="408"/>
      <c r="DT684" s="408"/>
      <c r="DU684" s="408"/>
      <c r="DV684" s="408">
        <v>196965.39265326306</v>
      </c>
      <c r="DW684" s="408">
        <v>0</v>
      </c>
      <c r="DX684" s="408">
        <v>0</v>
      </c>
      <c r="DY684" s="408">
        <v>-44468.593439999968</v>
      </c>
      <c r="DZ684" s="408">
        <v>18612.207479999983</v>
      </c>
      <c r="EA684" s="408">
        <v>0</v>
      </c>
      <c r="EB684" s="408">
        <v>0</v>
      </c>
      <c r="EC684" s="408">
        <v>-48929.544573567808</v>
      </c>
      <c r="ED684" s="408">
        <v>0</v>
      </c>
      <c r="EE684" s="408">
        <v>0</v>
      </c>
      <c r="EF684" s="408">
        <v>0</v>
      </c>
      <c r="EG684" s="408">
        <v>0</v>
      </c>
      <c r="EH684" s="408">
        <v>0</v>
      </c>
      <c r="EI684" s="408">
        <v>0</v>
      </c>
      <c r="EJ684" s="408">
        <v>0</v>
      </c>
      <c r="EK684" s="408">
        <v>0</v>
      </c>
      <c r="EL684" s="408">
        <v>0</v>
      </c>
      <c r="EM684" s="408">
        <v>0</v>
      </c>
      <c r="EN684" s="408">
        <v>0</v>
      </c>
      <c r="EO684" s="408">
        <v>0</v>
      </c>
      <c r="EP684" s="408">
        <v>13554.842908338571</v>
      </c>
      <c r="EQ684" s="408">
        <v>0</v>
      </c>
      <c r="ER684" s="408">
        <v>0</v>
      </c>
      <c r="ES684" s="408">
        <v>0</v>
      </c>
      <c r="ET684" s="408">
        <v>0</v>
      </c>
      <c r="EU684" s="408">
        <v>0</v>
      </c>
      <c r="EV684" s="408">
        <v>240</v>
      </c>
      <c r="EW684" s="408">
        <v>0</v>
      </c>
      <c r="EX684" s="408">
        <v>0</v>
      </c>
      <c r="EY684" s="408">
        <v>0</v>
      </c>
      <c r="EZ684" s="408"/>
      <c r="FA684" s="408">
        <v>0</v>
      </c>
      <c r="FB684" s="408"/>
      <c r="FC684" s="408"/>
      <c r="FD684" s="408"/>
      <c r="FE684" s="408"/>
      <c r="FF684" s="408">
        <v>0</v>
      </c>
      <c r="FG684" s="408">
        <v>0</v>
      </c>
      <c r="FH684" s="408">
        <v>0</v>
      </c>
      <c r="FI684" s="408">
        <v>0</v>
      </c>
    </row>
    <row r="685" spans="1:165">
      <c r="A685" s="408">
        <v>683</v>
      </c>
      <c r="B685" s="408" t="s">
        <v>1036</v>
      </c>
      <c r="C685" s="408" t="s">
        <v>2235</v>
      </c>
      <c r="D685" s="408" t="s">
        <v>1958</v>
      </c>
      <c r="E685" s="408" t="s">
        <v>1001</v>
      </c>
      <c r="F685" s="408" t="s">
        <v>2251</v>
      </c>
      <c r="G685" s="408" t="s">
        <v>1322</v>
      </c>
      <c r="H685" s="408" t="s">
        <v>1322</v>
      </c>
      <c r="I685" s="408" t="s">
        <v>1322</v>
      </c>
      <c r="J685" s="408" t="s">
        <v>2236</v>
      </c>
      <c r="K685" s="826">
        <v>44652</v>
      </c>
      <c r="L685" s="408">
        <v>0</v>
      </c>
      <c r="M685" s="408">
        <v>0</v>
      </c>
      <c r="N685" s="408">
        <v>635.47699999999998</v>
      </c>
      <c r="O685" s="408">
        <v>597.34838000000002</v>
      </c>
      <c r="P685" s="408">
        <v>635.47699999999998</v>
      </c>
      <c r="Q685" s="408">
        <v>597.34838000000002</v>
      </c>
      <c r="R685" s="408"/>
      <c r="S685" s="408">
        <v>368.24</v>
      </c>
      <c r="T685" s="408">
        <v>173.25</v>
      </c>
      <c r="U685" s="408"/>
      <c r="V685" s="408">
        <v>344104.44073000003</v>
      </c>
      <c r="W685" s="408">
        <v>344104.44073000003</v>
      </c>
      <c r="X685" s="408">
        <v>323387.89052999998</v>
      </c>
      <c r="Y685" s="408">
        <v>0</v>
      </c>
      <c r="Z685" s="408">
        <v>39110.548383986301</v>
      </c>
      <c r="AA685" s="408">
        <v>0</v>
      </c>
      <c r="AB685" s="408">
        <v>0</v>
      </c>
      <c r="AC685" s="408">
        <v>1626.5271260223687</v>
      </c>
      <c r="AD685" s="408">
        <v>1562.7278388491916</v>
      </c>
      <c r="AE685" s="408">
        <v>149678.41337847454</v>
      </c>
      <c r="AF685" s="408">
        <v>108247.45122614295</v>
      </c>
      <c r="AG685" s="408">
        <v>1847.480042287762</v>
      </c>
      <c r="AH685" s="408">
        <v>0</v>
      </c>
      <c r="AI685" s="408">
        <v>0</v>
      </c>
      <c r="AJ685" s="408">
        <v>0</v>
      </c>
      <c r="AK685" s="408">
        <v>0</v>
      </c>
      <c r="AL685" s="408">
        <v>6042.7700335439195</v>
      </c>
      <c r="AM685" s="408"/>
      <c r="AN685" s="408">
        <v>767.56516127307816</v>
      </c>
      <c r="AO685" s="408">
        <v>3452.7979024947622</v>
      </c>
      <c r="AP685" s="408">
        <v>16099.887238541727</v>
      </c>
      <c r="AQ685" s="408">
        <v>0</v>
      </c>
      <c r="AR685" s="408">
        <v>0</v>
      </c>
      <c r="AS685" s="408">
        <v>0</v>
      </c>
      <c r="AT685" s="408">
        <v>0</v>
      </c>
      <c r="AU685" s="408">
        <v>0</v>
      </c>
      <c r="AV685" s="408">
        <v>0</v>
      </c>
      <c r="AW685" s="408">
        <v>0</v>
      </c>
      <c r="AX685" s="408">
        <v>0</v>
      </c>
      <c r="AY685" s="408">
        <v>0</v>
      </c>
      <c r="AZ685" s="408">
        <v>0</v>
      </c>
      <c r="BA685" s="408"/>
      <c r="BB685" s="408">
        <v>0</v>
      </c>
      <c r="BC685" s="408">
        <v>0</v>
      </c>
      <c r="BD685" s="408">
        <v>0</v>
      </c>
      <c r="BE685" s="408">
        <v>0</v>
      </c>
      <c r="BF685" s="408">
        <v>0</v>
      </c>
      <c r="BG685" s="408">
        <v>5681.0320895983896</v>
      </c>
      <c r="BH685" s="408">
        <v>0</v>
      </c>
      <c r="BI685" s="408">
        <v>273.69</v>
      </c>
      <c r="BJ685" s="408">
        <v>2941.95</v>
      </c>
      <c r="BK685" s="408">
        <v>137277.85999999999</v>
      </c>
      <c r="BL685" s="408">
        <v>204</v>
      </c>
      <c r="BM685" s="408"/>
      <c r="BN685" s="408"/>
      <c r="BO685" s="408"/>
      <c r="BP685" s="408"/>
      <c r="BQ685" s="408">
        <v>19403.273431799978</v>
      </c>
      <c r="BR685" s="408"/>
      <c r="BS685" s="408"/>
      <c r="BT685" s="408"/>
      <c r="BU685" s="408"/>
      <c r="BV685" s="408">
        <v>113928.48331574134</v>
      </c>
      <c r="BW685" s="408"/>
      <c r="BX685" s="408"/>
      <c r="BY685" s="408"/>
      <c r="BZ685" s="408"/>
      <c r="CA685" s="408"/>
      <c r="CB685" s="408"/>
      <c r="CC685" s="408"/>
      <c r="CD685" s="408"/>
      <c r="CE685" s="408"/>
      <c r="CF685" s="408"/>
      <c r="CG685" s="408"/>
      <c r="CH685" s="408"/>
      <c r="CI685" s="408">
        <v>303985.44150000002</v>
      </c>
      <c r="CJ685" s="408">
        <v>-19472.762786200037</v>
      </c>
      <c r="CK685" s="408"/>
      <c r="CL685" s="408"/>
      <c r="CM685" s="408"/>
      <c r="CN685" s="408"/>
      <c r="CO685" s="408">
        <v>-34436.498629999995</v>
      </c>
      <c r="CP685" s="408">
        <v>13719.948430000002</v>
      </c>
      <c r="CQ685" s="408">
        <v>30</v>
      </c>
      <c r="CR685" s="408">
        <v>16463.425209105044</v>
      </c>
      <c r="CS685" s="408">
        <v>344.06393082618979</v>
      </c>
      <c r="CT685" s="408">
        <v>1604.319350735459</v>
      </c>
      <c r="CU685" s="408">
        <v>0</v>
      </c>
      <c r="CV685" s="408">
        <v>0</v>
      </c>
      <c r="CW685" s="408">
        <v>0</v>
      </c>
      <c r="CX685" s="408">
        <v>0</v>
      </c>
      <c r="CY685" s="408">
        <v>0</v>
      </c>
      <c r="CZ685" s="408">
        <v>1609.0918843894958</v>
      </c>
      <c r="DA685" s="408">
        <v>0</v>
      </c>
      <c r="DB685" s="408">
        <v>0</v>
      </c>
      <c r="DC685" s="408">
        <v>13718.399368482307</v>
      </c>
      <c r="DD685" s="408">
        <v>0</v>
      </c>
      <c r="DE685" s="408">
        <v>0</v>
      </c>
      <c r="DF685" s="408">
        <v>0</v>
      </c>
      <c r="DG685" s="408">
        <v>719.96768651356797</v>
      </c>
      <c r="DH685" s="408">
        <v>0</v>
      </c>
      <c r="DI685" s="408">
        <v>-1328.0704613913258</v>
      </c>
      <c r="DJ685" s="408"/>
      <c r="DK685" s="408">
        <v>0</v>
      </c>
      <c r="DL685" s="408">
        <v>0</v>
      </c>
      <c r="DM685" s="408">
        <v>0</v>
      </c>
      <c r="DN685" s="408">
        <v>0</v>
      </c>
      <c r="DO685" s="408">
        <v>-182.63103451759071</v>
      </c>
      <c r="DP685" s="408">
        <v>-21.715515933029337</v>
      </c>
      <c r="DQ685" s="408">
        <v>0</v>
      </c>
      <c r="DR685" s="408">
        <v>0</v>
      </c>
      <c r="DS685" s="408"/>
      <c r="DT685" s="408"/>
      <c r="DU685" s="408"/>
      <c r="DV685" s="408">
        <v>149678.41337847454</v>
      </c>
      <c r="DW685" s="408">
        <v>0</v>
      </c>
      <c r="DX685" s="408">
        <v>0</v>
      </c>
      <c r="DY685" s="408">
        <v>-34436.498630000016</v>
      </c>
      <c r="DZ685" s="408">
        <v>13719.948430000004</v>
      </c>
      <c r="EA685" s="408">
        <v>0</v>
      </c>
      <c r="EB685" s="408">
        <v>0</v>
      </c>
      <c r="EC685" s="408">
        <v>-37182.656813197842</v>
      </c>
      <c r="ED685" s="408">
        <v>0</v>
      </c>
      <c r="EE685" s="408">
        <v>0</v>
      </c>
      <c r="EF685" s="408">
        <v>0</v>
      </c>
      <c r="EG685" s="408">
        <v>0</v>
      </c>
      <c r="EH685" s="408">
        <v>0</v>
      </c>
      <c r="EI685" s="408">
        <v>0</v>
      </c>
      <c r="EJ685" s="408">
        <v>0</v>
      </c>
      <c r="EK685" s="408">
        <v>0</v>
      </c>
      <c r="EL685" s="408">
        <v>0</v>
      </c>
      <c r="EM685" s="408">
        <v>0</v>
      </c>
      <c r="EN685" s="408">
        <v>0</v>
      </c>
      <c r="EO685" s="408">
        <v>0</v>
      </c>
      <c r="EP685" s="408">
        <v>9988.1365178129836</v>
      </c>
      <c r="EQ685" s="408">
        <v>0</v>
      </c>
      <c r="ER685" s="408">
        <v>0</v>
      </c>
      <c r="ES685" s="408">
        <v>0</v>
      </c>
      <c r="ET685" s="408">
        <v>0</v>
      </c>
      <c r="EU685" s="408">
        <v>0</v>
      </c>
      <c r="EV685" s="408">
        <v>240</v>
      </c>
      <c r="EW685" s="408">
        <v>0</v>
      </c>
      <c r="EX685" s="408">
        <v>0</v>
      </c>
      <c r="EY685" s="408">
        <v>0</v>
      </c>
      <c r="EZ685" s="408"/>
      <c r="FA685" s="408">
        <v>0</v>
      </c>
      <c r="FB685" s="408"/>
      <c r="FC685" s="408"/>
      <c r="FD685" s="408"/>
      <c r="FE685" s="408"/>
      <c r="FF685" s="408">
        <v>0</v>
      </c>
      <c r="FG685" s="408">
        <v>0</v>
      </c>
      <c r="FH685" s="408">
        <v>0</v>
      </c>
      <c r="FI685" s="408">
        <v>0</v>
      </c>
    </row>
    <row r="686" spans="1:165">
      <c r="A686" s="408">
        <v>684</v>
      </c>
      <c r="B686" s="408" t="s">
        <v>1036</v>
      </c>
      <c r="C686" s="408" t="s">
        <v>2247</v>
      </c>
      <c r="D686" s="408" t="s">
        <v>597</v>
      </c>
      <c r="E686" s="408" t="s">
        <v>1001</v>
      </c>
      <c r="F686" s="408" t="s">
        <v>2251</v>
      </c>
      <c r="G686" s="408" t="s">
        <v>1322</v>
      </c>
      <c r="H686" s="408" t="s">
        <v>1322</v>
      </c>
      <c r="I686" s="408" t="s">
        <v>973</v>
      </c>
      <c r="J686" s="408" t="s">
        <v>2236</v>
      </c>
      <c r="K686" s="826">
        <v>44652</v>
      </c>
      <c r="L686" s="408">
        <v>65</v>
      </c>
      <c r="M686" s="408">
        <v>61.1</v>
      </c>
      <c r="N686" s="408">
        <v>2.8290000000000002</v>
      </c>
      <c r="O686" s="408">
        <v>2.6592600000000002</v>
      </c>
      <c r="P686" s="408">
        <v>2.8290000000000002</v>
      </c>
      <c r="Q686" s="408">
        <v>2.6592600000000002</v>
      </c>
      <c r="R686" s="408">
        <v>52.95</v>
      </c>
      <c r="S686" s="408">
        <v>85.01</v>
      </c>
      <c r="T686" s="408">
        <v>173.25</v>
      </c>
      <c r="U686" s="408">
        <v>3441.75</v>
      </c>
      <c r="V686" s="408">
        <v>730.61754000000008</v>
      </c>
      <c r="W686" s="408">
        <v>4172.3675400000002</v>
      </c>
      <c r="X686" s="408">
        <v>3664.60743</v>
      </c>
      <c r="Y686" s="408">
        <v>0</v>
      </c>
      <c r="Z686" s="408">
        <v>151.47685124578629</v>
      </c>
      <c r="AA686" s="408">
        <v>0</v>
      </c>
      <c r="AB686" s="408">
        <v>0</v>
      </c>
      <c r="AC686" s="408">
        <v>51.198306474712865</v>
      </c>
      <c r="AD686" s="408">
        <v>49.188863943031343</v>
      </c>
      <c r="AE686" s="408">
        <v>2725.6914092779475</v>
      </c>
      <c r="AF686" s="408">
        <v>481.89319128585049</v>
      </c>
      <c r="AG686" s="408">
        <v>8.2245636579011983</v>
      </c>
      <c r="AH686" s="408">
        <v>0</v>
      </c>
      <c r="AI686" s="408">
        <v>0</v>
      </c>
      <c r="AJ686" s="408">
        <v>0</v>
      </c>
      <c r="AK686" s="408">
        <v>0</v>
      </c>
      <c r="AL686" s="408">
        <v>26.901046654553586</v>
      </c>
      <c r="AM686" s="408"/>
      <c r="AN686" s="408">
        <v>2.2655023175311082</v>
      </c>
      <c r="AO686" s="408">
        <v>108.68330737188015</v>
      </c>
      <c r="AP686" s="408">
        <v>506.76761947441048</v>
      </c>
      <c r="AQ686" s="408">
        <v>0</v>
      </c>
      <c r="AR686" s="408">
        <v>0</v>
      </c>
      <c r="AS686" s="408">
        <v>0</v>
      </c>
      <c r="AT686" s="408">
        <v>0</v>
      </c>
      <c r="AU686" s="408">
        <v>0</v>
      </c>
      <c r="AV686" s="408">
        <v>0</v>
      </c>
      <c r="AW686" s="408">
        <v>0</v>
      </c>
      <c r="AX686" s="408">
        <v>0</v>
      </c>
      <c r="AY686" s="408">
        <v>0</v>
      </c>
      <c r="AZ686" s="408">
        <v>0</v>
      </c>
      <c r="BA686" s="408"/>
      <c r="BB686" s="408">
        <v>0</v>
      </c>
      <c r="BC686" s="408">
        <v>0</v>
      </c>
      <c r="BD686" s="408">
        <v>0</v>
      </c>
      <c r="BE686" s="408">
        <v>0</v>
      </c>
      <c r="BF686" s="408">
        <v>0</v>
      </c>
      <c r="BG686" s="408">
        <v>21.157119473321487</v>
      </c>
      <c r="BH686" s="408">
        <v>0</v>
      </c>
      <c r="BI686" s="408">
        <v>0</v>
      </c>
      <c r="BJ686" s="408">
        <v>0</v>
      </c>
      <c r="BK686" s="408">
        <v>0</v>
      </c>
      <c r="BL686" s="408">
        <v>0</v>
      </c>
      <c r="BM686" s="408"/>
      <c r="BN686" s="408"/>
      <c r="BO686" s="408"/>
      <c r="BP686" s="408"/>
      <c r="BQ686" s="408">
        <v>219.87644579999994</v>
      </c>
      <c r="BR686" s="408"/>
      <c r="BS686" s="408"/>
      <c r="BT686" s="408"/>
      <c r="BU686" s="408"/>
      <c r="BV686" s="408">
        <v>503.05031075917196</v>
      </c>
      <c r="BW686" s="408"/>
      <c r="BX686" s="408"/>
      <c r="BY686" s="408"/>
      <c r="BZ686" s="408"/>
      <c r="CA686" s="408"/>
      <c r="CB686" s="408"/>
      <c r="CC686" s="408"/>
      <c r="CD686" s="408"/>
      <c r="CE686" s="408"/>
      <c r="CF686" s="408"/>
      <c r="CG686" s="408"/>
      <c r="CH686" s="408"/>
      <c r="CI686" s="408">
        <v>3444.9372000000003</v>
      </c>
      <c r="CJ686" s="408">
        <v>-477.11828760000117</v>
      </c>
      <c r="CK686" s="408"/>
      <c r="CL686" s="408"/>
      <c r="CM686" s="408"/>
      <c r="CN686" s="408"/>
      <c r="CO686" s="408">
        <v>-568.83822000000021</v>
      </c>
      <c r="CP686" s="408">
        <v>61.078110000000017</v>
      </c>
      <c r="CQ686" s="408">
        <v>30</v>
      </c>
      <c r="CR686" s="408">
        <v>169.70829495373528</v>
      </c>
      <c r="CS686" s="408">
        <v>10.830059275274195</v>
      </c>
      <c r="CT686" s="408">
        <v>50.498310093914142</v>
      </c>
      <c r="CU686" s="408">
        <v>0</v>
      </c>
      <c r="CV686" s="408">
        <v>0</v>
      </c>
      <c r="CW686" s="408">
        <v>0</v>
      </c>
      <c r="CX686" s="408">
        <v>0</v>
      </c>
      <c r="CY686" s="408">
        <v>0</v>
      </c>
      <c r="CZ686" s="408">
        <v>50.648231768467902</v>
      </c>
      <c r="DA686" s="408">
        <v>0</v>
      </c>
      <c r="DB686" s="408">
        <v>0</v>
      </c>
      <c r="DC686" s="408">
        <v>61.071213928177542</v>
      </c>
      <c r="DD686" s="408">
        <v>0</v>
      </c>
      <c r="DE686" s="408">
        <v>0</v>
      </c>
      <c r="DF686" s="408">
        <v>0</v>
      </c>
      <c r="DG686" s="408">
        <v>2.6812808166296946</v>
      </c>
      <c r="DH686" s="408">
        <v>0</v>
      </c>
      <c r="DI686" s="408">
        <v>-5.1436745337598495</v>
      </c>
      <c r="DJ686" s="408"/>
      <c r="DK686" s="408">
        <v>0</v>
      </c>
      <c r="DL686" s="408">
        <v>0</v>
      </c>
      <c r="DM686" s="408">
        <v>0</v>
      </c>
      <c r="DN686" s="408">
        <v>0</v>
      </c>
      <c r="DO686" s="408">
        <v>-0.81303209502509688</v>
      </c>
      <c r="DP686" s="408">
        <v>-6.409429994329896E-2</v>
      </c>
      <c r="DQ686" s="408">
        <v>0</v>
      </c>
      <c r="DR686" s="408">
        <v>0</v>
      </c>
      <c r="DS686" s="408"/>
      <c r="DT686" s="408"/>
      <c r="DU686" s="408">
        <v>2725.6914092779475</v>
      </c>
      <c r="DV686" s="408">
        <v>0</v>
      </c>
      <c r="DW686" s="408">
        <v>0</v>
      </c>
      <c r="DX686" s="408">
        <v>0</v>
      </c>
      <c r="DY686" s="408">
        <v>-568.83822000000009</v>
      </c>
      <c r="DZ686" s="408">
        <v>61.078109999999981</v>
      </c>
      <c r="EA686" s="408">
        <v>0</v>
      </c>
      <c r="EB686" s="408">
        <v>0</v>
      </c>
      <c r="EC686" s="408">
        <v>-677.10798078540483</v>
      </c>
      <c r="ED686" s="408">
        <v>0</v>
      </c>
      <c r="EE686" s="408">
        <v>0</v>
      </c>
      <c r="EF686" s="408">
        <v>0</v>
      </c>
      <c r="EG686" s="408">
        <v>0</v>
      </c>
      <c r="EH686" s="408">
        <v>0</v>
      </c>
      <c r="EI686" s="408">
        <v>0</v>
      </c>
      <c r="EJ686" s="408">
        <v>0</v>
      </c>
      <c r="EK686" s="408">
        <v>0</v>
      </c>
      <c r="EL686" s="408">
        <v>0</v>
      </c>
      <c r="EM686" s="408">
        <v>0</v>
      </c>
      <c r="EN686" s="408">
        <v>0</v>
      </c>
      <c r="EO686" s="408">
        <v>0</v>
      </c>
      <c r="EP686" s="408">
        <v>38.684486207584079</v>
      </c>
      <c r="EQ686" s="408">
        <v>0</v>
      </c>
      <c r="ER686" s="408">
        <v>0</v>
      </c>
      <c r="ES686" s="408">
        <v>0</v>
      </c>
      <c r="ET686" s="408">
        <v>0</v>
      </c>
      <c r="EU686" s="408">
        <v>0</v>
      </c>
      <c r="EV686" s="408">
        <v>240</v>
      </c>
      <c r="EW686" s="408">
        <v>0</v>
      </c>
      <c r="EX686" s="408">
        <v>0</v>
      </c>
      <c r="EY686" s="408">
        <v>0</v>
      </c>
      <c r="EZ686" s="408"/>
      <c r="FA686" s="408">
        <v>0</v>
      </c>
      <c r="FB686" s="408"/>
      <c r="FC686" s="408"/>
      <c r="FD686" s="408"/>
      <c r="FE686" s="408"/>
      <c r="FF686" s="408">
        <v>0</v>
      </c>
      <c r="FG686" s="408">
        <v>0</v>
      </c>
      <c r="FH686" s="408">
        <v>0</v>
      </c>
      <c r="FI686" s="408">
        <v>0</v>
      </c>
    </row>
    <row r="687" spans="1:165">
      <c r="A687" s="408">
        <v>685</v>
      </c>
      <c r="B687" s="408" t="s">
        <v>1036</v>
      </c>
      <c r="C687" s="408" t="s">
        <v>2247</v>
      </c>
      <c r="D687" s="408" t="s">
        <v>597</v>
      </c>
      <c r="E687" s="408" t="s">
        <v>1001</v>
      </c>
      <c r="F687" s="408" t="s">
        <v>2251</v>
      </c>
      <c r="G687" s="408" t="s">
        <v>1322</v>
      </c>
      <c r="H687" s="408" t="s">
        <v>1322</v>
      </c>
      <c r="I687" s="408" t="s">
        <v>2244</v>
      </c>
      <c r="J687" s="408" t="s">
        <v>2236</v>
      </c>
      <c r="K687" s="826">
        <v>44652</v>
      </c>
      <c r="L687" s="408">
        <v>65</v>
      </c>
      <c r="M687" s="408">
        <v>61.1</v>
      </c>
      <c r="N687" s="408">
        <v>21.382000000000001</v>
      </c>
      <c r="O687" s="408">
        <v>20.099080000000001</v>
      </c>
      <c r="P687" s="408">
        <v>21.382000000000001</v>
      </c>
      <c r="Q687" s="408">
        <v>20.099080000000001</v>
      </c>
      <c r="R687" s="408">
        <v>27.19</v>
      </c>
      <c r="S687" s="408">
        <v>85.01</v>
      </c>
      <c r="T687" s="408">
        <v>173.25</v>
      </c>
      <c r="U687" s="408">
        <v>1767.3500000000001</v>
      </c>
      <c r="V687" s="408">
        <v>5522.1153200000008</v>
      </c>
      <c r="W687" s="408">
        <v>7289.4653200000012</v>
      </c>
      <c r="X687" s="408">
        <v>7372.9219400000011</v>
      </c>
      <c r="Y687" s="408">
        <v>0</v>
      </c>
      <c r="Z687" s="408">
        <v>1144.884423236975</v>
      </c>
      <c r="AA687" s="408">
        <v>0</v>
      </c>
      <c r="AB687" s="408">
        <v>0</v>
      </c>
      <c r="AC687" s="408">
        <v>15.158039872791662</v>
      </c>
      <c r="AD687" s="408">
        <v>14.56226455907756</v>
      </c>
      <c r="AE687" s="408">
        <v>1555.5819658053674</v>
      </c>
      <c r="AF687" s="408">
        <v>3642.2199420551628</v>
      </c>
      <c r="AG687" s="408">
        <v>62.162467350033019</v>
      </c>
      <c r="AH687" s="408">
        <v>0</v>
      </c>
      <c r="AI687" s="408">
        <v>0</v>
      </c>
      <c r="AJ687" s="408">
        <v>0</v>
      </c>
      <c r="AK687" s="408">
        <v>0</v>
      </c>
      <c r="AL687" s="408">
        <v>203.32208538977193</v>
      </c>
      <c r="AM687" s="408"/>
      <c r="AN687" s="408">
        <v>17.123001256079942</v>
      </c>
      <c r="AO687" s="408">
        <v>32.167514020880162</v>
      </c>
      <c r="AP687" s="408">
        <v>150.02577479574686</v>
      </c>
      <c r="AQ687" s="408">
        <v>0</v>
      </c>
      <c r="AR687" s="408">
        <v>0</v>
      </c>
      <c r="AS687" s="408">
        <v>0</v>
      </c>
      <c r="AT687" s="408">
        <v>0</v>
      </c>
      <c r="AU687" s="408">
        <v>0</v>
      </c>
      <c r="AV687" s="408">
        <v>0</v>
      </c>
      <c r="AW687" s="408">
        <v>0</v>
      </c>
      <c r="AX687" s="408">
        <v>0</v>
      </c>
      <c r="AY687" s="408">
        <v>0</v>
      </c>
      <c r="AZ687" s="408">
        <v>0</v>
      </c>
      <c r="BA687" s="408"/>
      <c r="BB687" s="408">
        <v>0</v>
      </c>
      <c r="BC687" s="408">
        <v>0</v>
      </c>
      <c r="BD687" s="408">
        <v>0</v>
      </c>
      <c r="BE687" s="408">
        <v>0</v>
      </c>
      <c r="BF687" s="408">
        <v>0</v>
      </c>
      <c r="BG687" s="408">
        <v>159.90863505781547</v>
      </c>
      <c r="BH687" s="408">
        <v>0</v>
      </c>
      <c r="BI687" s="408">
        <v>0</v>
      </c>
      <c r="BJ687" s="408">
        <v>0</v>
      </c>
      <c r="BK687" s="408">
        <v>0</v>
      </c>
      <c r="BL687" s="408">
        <v>0</v>
      </c>
      <c r="BM687" s="408"/>
      <c r="BN687" s="408"/>
      <c r="BO687" s="408"/>
      <c r="BP687" s="408"/>
      <c r="BQ687" s="408">
        <v>442.3753164000002</v>
      </c>
      <c r="BR687" s="408"/>
      <c r="BS687" s="408"/>
      <c r="BT687" s="408"/>
      <c r="BU687" s="408"/>
      <c r="BV687" s="408">
        <v>3802.1285771129783</v>
      </c>
      <c r="BW687" s="408"/>
      <c r="BX687" s="408"/>
      <c r="BY687" s="408"/>
      <c r="BZ687" s="408"/>
      <c r="CA687" s="408"/>
      <c r="CB687" s="408"/>
      <c r="CC687" s="408"/>
      <c r="CD687" s="408"/>
      <c r="CE687" s="408"/>
      <c r="CF687" s="408"/>
      <c r="CG687" s="408"/>
      <c r="CH687" s="408"/>
      <c r="CI687" s="408">
        <v>6930.8030000000008</v>
      </c>
      <c r="CJ687" s="408">
        <v>78.675599199999851</v>
      </c>
      <c r="CK687" s="408"/>
      <c r="CL687" s="408"/>
      <c r="CM687" s="408"/>
      <c r="CN687" s="408"/>
      <c r="CO687" s="408">
        <v>-378.18076000000013</v>
      </c>
      <c r="CP687" s="408">
        <v>461.63738000000012</v>
      </c>
      <c r="CQ687" s="408">
        <v>30</v>
      </c>
      <c r="CR687" s="408">
        <v>469.49415131190381</v>
      </c>
      <c r="CS687" s="408">
        <v>3.2054240159650789</v>
      </c>
      <c r="CT687" s="408">
        <v>14.94974778691028</v>
      </c>
      <c r="CU687" s="408">
        <v>0</v>
      </c>
      <c r="CV687" s="408">
        <v>0</v>
      </c>
      <c r="CW687" s="408">
        <v>0</v>
      </c>
      <c r="CX687" s="408">
        <v>0</v>
      </c>
      <c r="CY687" s="408">
        <v>0</v>
      </c>
      <c r="CZ687" s="408">
        <v>14.994307478133946</v>
      </c>
      <c r="DA687" s="408">
        <v>0</v>
      </c>
      <c r="DB687" s="408">
        <v>0</v>
      </c>
      <c r="DC687" s="408">
        <v>461.58525847023384</v>
      </c>
      <c r="DD687" s="408">
        <v>0</v>
      </c>
      <c r="DE687" s="408">
        <v>0</v>
      </c>
      <c r="DF687" s="408">
        <v>0</v>
      </c>
      <c r="DG687" s="408">
        <v>20.265516585781626</v>
      </c>
      <c r="DH687" s="408">
        <v>0</v>
      </c>
      <c r="DI687" s="408">
        <v>-38.876652131796618</v>
      </c>
      <c r="DJ687" s="408"/>
      <c r="DK687" s="408">
        <v>0</v>
      </c>
      <c r="DL687" s="408">
        <v>0</v>
      </c>
      <c r="DM687" s="408">
        <v>0</v>
      </c>
      <c r="DN687" s="408">
        <v>0</v>
      </c>
      <c r="DO687" s="408">
        <v>-6.1450167040744645</v>
      </c>
      <c r="DP687" s="408">
        <v>-0.48443418924977522</v>
      </c>
      <c r="DQ687" s="408">
        <v>0</v>
      </c>
      <c r="DR687" s="408">
        <v>0</v>
      </c>
      <c r="DS687" s="408"/>
      <c r="DT687" s="408"/>
      <c r="DU687" s="408">
        <v>1555.5819658053674</v>
      </c>
      <c r="DV687" s="408">
        <v>0</v>
      </c>
      <c r="DW687" s="408">
        <v>0</v>
      </c>
      <c r="DX687" s="408">
        <v>0</v>
      </c>
      <c r="DY687" s="408">
        <v>-378.18076000000019</v>
      </c>
      <c r="DZ687" s="408">
        <v>461.63738000000058</v>
      </c>
      <c r="EA687" s="408">
        <v>0</v>
      </c>
      <c r="EB687" s="408">
        <v>0</v>
      </c>
      <c r="EC687" s="408">
        <v>-386.43294696800945</v>
      </c>
      <c r="ED687" s="408">
        <v>0</v>
      </c>
      <c r="EE687" s="408">
        <v>0</v>
      </c>
      <c r="EF687" s="408">
        <v>0</v>
      </c>
      <c r="EG687" s="408">
        <v>0</v>
      </c>
      <c r="EH687" s="408">
        <v>0</v>
      </c>
      <c r="EI687" s="408">
        <v>0</v>
      </c>
      <c r="EJ687" s="408">
        <v>0</v>
      </c>
      <c r="EK687" s="408">
        <v>0</v>
      </c>
      <c r="EL687" s="408">
        <v>0</v>
      </c>
      <c r="EM687" s="408">
        <v>0</v>
      </c>
      <c r="EN687" s="408">
        <v>0</v>
      </c>
      <c r="EO687" s="408">
        <v>0</v>
      </c>
      <c r="EP687" s="408">
        <v>292.38306259829011</v>
      </c>
      <c r="EQ687" s="408">
        <v>0</v>
      </c>
      <c r="ER687" s="408">
        <v>0</v>
      </c>
      <c r="ES687" s="408">
        <v>0</v>
      </c>
      <c r="ET687" s="408">
        <v>0</v>
      </c>
      <c r="EU687" s="408">
        <v>0</v>
      </c>
      <c r="EV687" s="408">
        <v>240</v>
      </c>
      <c r="EW687" s="408">
        <v>0</v>
      </c>
      <c r="EX687" s="408">
        <v>0</v>
      </c>
      <c r="EY687" s="408">
        <v>0</v>
      </c>
      <c r="EZ687" s="408"/>
      <c r="FA687" s="408">
        <v>0</v>
      </c>
      <c r="FB687" s="408"/>
      <c r="FC687" s="408"/>
      <c r="FD687" s="408"/>
      <c r="FE687" s="408"/>
      <c r="FF687" s="408">
        <v>0</v>
      </c>
      <c r="FG687" s="408">
        <v>0</v>
      </c>
      <c r="FH687" s="408">
        <v>0</v>
      </c>
      <c r="FI687" s="408">
        <v>0</v>
      </c>
    </row>
    <row r="688" spans="1:165">
      <c r="A688" s="408">
        <v>686</v>
      </c>
      <c r="B688" s="408" t="s">
        <v>1036</v>
      </c>
      <c r="C688" s="408" t="s">
        <v>2247</v>
      </c>
      <c r="D688" s="408" t="s">
        <v>597</v>
      </c>
      <c r="E688" s="408" t="s">
        <v>1001</v>
      </c>
      <c r="F688" s="408" t="s">
        <v>2251</v>
      </c>
      <c r="G688" s="408" t="s">
        <v>1322</v>
      </c>
      <c r="H688" s="408" t="s">
        <v>1322</v>
      </c>
      <c r="I688" s="408" t="s">
        <v>1322</v>
      </c>
      <c r="J688" s="408" t="s">
        <v>2236</v>
      </c>
      <c r="K688" s="826">
        <v>44652</v>
      </c>
      <c r="L688" s="408">
        <v>0</v>
      </c>
      <c r="M688" s="408">
        <v>0</v>
      </c>
      <c r="N688" s="408">
        <v>0</v>
      </c>
      <c r="O688" s="408">
        <v>0</v>
      </c>
      <c r="P688" s="408">
        <v>0</v>
      </c>
      <c r="Q688" s="408">
        <v>0</v>
      </c>
      <c r="R688" s="408"/>
      <c r="S688" s="408"/>
      <c r="T688" s="408"/>
      <c r="U688" s="408"/>
      <c r="V688" s="408"/>
      <c r="W688" s="408"/>
      <c r="X688" s="408"/>
      <c r="Y688" s="408"/>
      <c r="Z688" s="408"/>
      <c r="AA688" s="408">
        <v>0</v>
      </c>
      <c r="AB688" s="408"/>
      <c r="AC688" s="408"/>
      <c r="AD688" s="408"/>
      <c r="AE688" s="408"/>
      <c r="AF688" s="408"/>
      <c r="AG688" s="408"/>
      <c r="AH688" s="408"/>
      <c r="AI688" s="408"/>
      <c r="AJ688" s="408"/>
      <c r="AK688" s="408"/>
      <c r="AL688" s="408"/>
      <c r="AM688" s="408"/>
      <c r="AN688" s="408"/>
      <c r="AO688" s="408"/>
      <c r="AP688" s="408"/>
      <c r="AQ688" s="408"/>
      <c r="AR688" s="408"/>
      <c r="AS688" s="408"/>
      <c r="AT688" s="408"/>
      <c r="AU688" s="408"/>
      <c r="AV688" s="408"/>
      <c r="AW688" s="408"/>
      <c r="AX688" s="408"/>
      <c r="AY688" s="408"/>
      <c r="AZ688" s="408">
        <v>0</v>
      </c>
      <c r="BA688" s="408"/>
      <c r="BB688" s="408"/>
      <c r="BC688" s="408"/>
      <c r="BD688" s="408"/>
      <c r="BE688" s="408"/>
      <c r="BF688" s="408"/>
      <c r="BG688" s="408"/>
      <c r="BH688" s="408"/>
      <c r="BI688" s="408">
        <v>8.5299999999999994</v>
      </c>
      <c r="BJ688" s="408">
        <v>91.46</v>
      </c>
      <c r="BK688" s="408">
        <v>4043.26</v>
      </c>
      <c r="BL688" s="408">
        <v>1</v>
      </c>
      <c r="BM688" s="408"/>
      <c r="BN688" s="408"/>
      <c r="BO688" s="408"/>
      <c r="BP688" s="408"/>
      <c r="BQ688" s="408"/>
      <c r="BR688" s="408"/>
      <c r="BS688" s="408"/>
      <c r="BT688" s="408"/>
      <c r="BU688" s="408"/>
      <c r="BV688" s="408"/>
      <c r="BW688" s="408"/>
      <c r="BX688" s="408"/>
      <c r="BY688" s="408"/>
      <c r="BZ688" s="408"/>
      <c r="CA688" s="408"/>
      <c r="CB688" s="408"/>
      <c r="CC688" s="408"/>
      <c r="CD688" s="408"/>
      <c r="CE688" s="408"/>
      <c r="CF688" s="408"/>
      <c r="CG688" s="408"/>
      <c r="CH688" s="408"/>
      <c r="CI688" s="408"/>
      <c r="CJ688" s="408">
        <v>-0.03</v>
      </c>
      <c r="CK688" s="408"/>
      <c r="CL688" s="408"/>
      <c r="CM688" s="408"/>
      <c r="CN688" s="408"/>
      <c r="CO688" s="408">
        <v>0</v>
      </c>
      <c r="CP688" s="408">
        <v>0</v>
      </c>
      <c r="CQ688" s="408">
        <v>30</v>
      </c>
      <c r="CR688" s="408"/>
      <c r="CS688" s="408"/>
      <c r="CT688" s="408"/>
      <c r="CU688" s="408"/>
      <c r="CV688" s="408"/>
      <c r="CW688" s="408"/>
      <c r="CX688" s="408"/>
      <c r="CY688" s="408"/>
      <c r="CZ688" s="408"/>
      <c r="DA688" s="408"/>
      <c r="DB688" s="408"/>
      <c r="DC688" s="408"/>
      <c r="DD688" s="408"/>
      <c r="DE688" s="408"/>
      <c r="DF688" s="408"/>
      <c r="DG688" s="408"/>
      <c r="DH688" s="408"/>
      <c r="DI688" s="408"/>
      <c r="DJ688" s="408"/>
      <c r="DK688" s="408">
        <v>0</v>
      </c>
      <c r="DL688" s="408"/>
      <c r="DM688" s="408"/>
      <c r="DN688" s="408"/>
      <c r="DO688" s="408"/>
      <c r="DP688" s="408"/>
      <c r="DQ688" s="408"/>
      <c r="DR688" s="408"/>
      <c r="DS688" s="408"/>
      <c r="DT688" s="408"/>
      <c r="DU688" s="408"/>
      <c r="DV688" s="408"/>
      <c r="DW688" s="408"/>
      <c r="DX688" s="408"/>
      <c r="DY688" s="408"/>
      <c r="DZ688" s="408"/>
      <c r="EA688" s="408"/>
      <c r="EB688" s="408"/>
      <c r="EC688" s="408"/>
      <c r="ED688" s="408"/>
      <c r="EE688" s="408"/>
      <c r="EF688" s="408"/>
      <c r="EG688" s="408"/>
      <c r="EH688" s="408"/>
      <c r="EI688" s="408"/>
      <c r="EJ688" s="408"/>
      <c r="EK688" s="408"/>
      <c r="EL688" s="408"/>
      <c r="EM688" s="408"/>
      <c r="EN688" s="408"/>
      <c r="EO688" s="408"/>
      <c r="EP688" s="408"/>
      <c r="EQ688" s="408"/>
      <c r="ER688" s="408"/>
      <c r="ES688" s="408"/>
      <c r="ET688" s="408"/>
      <c r="EU688" s="408"/>
      <c r="EV688" s="408">
        <v>240</v>
      </c>
      <c r="EW688" s="408"/>
      <c r="EX688" s="408"/>
      <c r="EY688" s="408"/>
      <c r="EZ688" s="408"/>
      <c r="FA688" s="408">
        <v>0</v>
      </c>
      <c r="FB688" s="408"/>
      <c r="FC688" s="408"/>
      <c r="FD688" s="408"/>
      <c r="FE688" s="408"/>
      <c r="FF688" s="408">
        <v>0</v>
      </c>
      <c r="FG688" s="408">
        <v>0</v>
      </c>
      <c r="FH688" s="408">
        <v>0</v>
      </c>
      <c r="FI688" s="408">
        <v>0</v>
      </c>
    </row>
    <row r="689" spans="1:165">
      <c r="A689" s="408">
        <v>687</v>
      </c>
      <c r="B689" s="408" t="s">
        <v>1036</v>
      </c>
      <c r="C689" s="408" t="s">
        <v>2235</v>
      </c>
      <c r="D689" s="408" t="s">
        <v>1958</v>
      </c>
      <c r="E689" s="408" t="s">
        <v>2252</v>
      </c>
      <c r="F689" s="408" t="s">
        <v>1322</v>
      </c>
      <c r="G689" s="408" t="s">
        <v>1322</v>
      </c>
      <c r="H689" s="408" t="s">
        <v>1322</v>
      </c>
      <c r="I689" s="408" t="s">
        <v>1322</v>
      </c>
      <c r="J689" s="408" t="s">
        <v>2236</v>
      </c>
      <c r="K689" s="826">
        <v>44652</v>
      </c>
      <c r="L689" s="408">
        <v>0</v>
      </c>
      <c r="M689" s="408">
        <v>0</v>
      </c>
      <c r="N689" s="408">
        <v>10.053000000000001</v>
      </c>
      <c r="O689" s="408">
        <v>10.053000000000001</v>
      </c>
      <c r="P689" s="408">
        <v>10.053000000000001</v>
      </c>
      <c r="Q689" s="408">
        <v>10.053000000000001</v>
      </c>
      <c r="R689" s="408"/>
      <c r="S689" s="408">
        <v>368.24</v>
      </c>
      <c r="T689" s="408">
        <v>173.25</v>
      </c>
      <c r="U689" s="408"/>
      <c r="V689" s="408">
        <v>5443.59897</v>
      </c>
      <c r="W689" s="408">
        <v>5443.59897</v>
      </c>
      <c r="X689" s="408">
        <v>5115.8711700000003</v>
      </c>
      <c r="Y689" s="408">
        <v>0</v>
      </c>
      <c r="Z689" s="408">
        <v>618.71372670327071</v>
      </c>
      <c r="AA689" s="408">
        <v>0</v>
      </c>
      <c r="AB689" s="408">
        <v>0</v>
      </c>
      <c r="AC689" s="408">
        <v>25.731029129146886</v>
      </c>
      <c r="AD689" s="408">
        <v>24.721749117514754</v>
      </c>
      <c r="AE689" s="408">
        <v>2367.8545245442474</v>
      </c>
      <c r="AF689" s="408">
        <v>1712.4327507941516</v>
      </c>
      <c r="AG689" s="408">
        <v>29.22641868253119</v>
      </c>
      <c r="AH689" s="408">
        <v>0</v>
      </c>
      <c r="AI689" s="408">
        <v>0</v>
      </c>
      <c r="AJ689" s="408">
        <v>0</v>
      </c>
      <c r="AK689" s="408">
        <v>0</v>
      </c>
      <c r="AL689" s="408">
        <v>95.594281377952356</v>
      </c>
      <c r="AM689" s="408"/>
      <c r="AN689" s="408">
        <v>12.142583549488425</v>
      </c>
      <c r="AO689" s="408">
        <v>54.621925441487022</v>
      </c>
      <c r="AP689" s="408">
        <v>254.69398012683385</v>
      </c>
      <c r="AQ689" s="408">
        <v>0</v>
      </c>
      <c r="AR689" s="408">
        <v>0</v>
      </c>
      <c r="AS689" s="408">
        <v>0</v>
      </c>
      <c r="AT689" s="408">
        <v>0</v>
      </c>
      <c r="AU689" s="408">
        <v>0</v>
      </c>
      <c r="AV689" s="408">
        <v>0</v>
      </c>
      <c r="AW689" s="408">
        <v>0</v>
      </c>
      <c r="AX689" s="408">
        <v>0</v>
      </c>
      <c r="AY689" s="408">
        <v>0</v>
      </c>
      <c r="AZ689" s="408">
        <v>0</v>
      </c>
      <c r="BA689" s="408"/>
      <c r="BB689" s="408">
        <v>0</v>
      </c>
      <c r="BC689" s="408">
        <v>0</v>
      </c>
      <c r="BD689" s="408">
        <v>0</v>
      </c>
      <c r="BE689" s="408">
        <v>0</v>
      </c>
      <c r="BF689" s="408">
        <v>0</v>
      </c>
      <c r="BG689" s="408">
        <v>89.871727217086715</v>
      </c>
      <c r="BH689" s="408">
        <v>0</v>
      </c>
      <c r="BI689" s="408">
        <v>4.47</v>
      </c>
      <c r="BJ689" s="408">
        <v>48.27</v>
      </c>
      <c r="BK689" s="408">
        <v>2145.04</v>
      </c>
      <c r="BL689" s="408">
        <v>5</v>
      </c>
      <c r="BM689" s="408"/>
      <c r="BN689" s="408"/>
      <c r="BO689" s="408"/>
      <c r="BP689" s="408"/>
      <c r="BQ689" s="408"/>
      <c r="BR689" s="408"/>
      <c r="BS689" s="408"/>
      <c r="BT689" s="408"/>
      <c r="BU689" s="408"/>
      <c r="BV689" s="408">
        <v>1802.3044780112384</v>
      </c>
      <c r="BW689" s="408"/>
      <c r="BX689" s="408"/>
      <c r="BY689" s="408"/>
      <c r="BZ689" s="408"/>
      <c r="CA689" s="408"/>
      <c r="CB689" s="408"/>
      <c r="CC689" s="408"/>
      <c r="CD689" s="408"/>
      <c r="CE689" s="408"/>
      <c r="CF689" s="408"/>
      <c r="CG689" s="408"/>
      <c r="CH689" s="408"/>
      <c r="CI689" s="408">
        <v>5114.3445000000011</v>
      </c>
      <c r="CJ689" s="408">
        <v>-329.2844699999996</v>
      </c>
      <c r="CK689" s="408"/>
      <c r="CL689" s="408"/>
      <c r="CM689" s="408"/>
      <c r="CN689" s="408"/>
      <c r="CO689" s="408">
        <v>-544.77206999999999</v>
      </c>
      <c r="CP689" s="408">
        <v>217.04427000000004</v>
      </c>
      <c r="CQ689" s="408">
        <v>30</v>
      </c>
      <c r="CR689" s="408">
        <v>260.44501001158687</v>
      </c>
      <c r="CS689" s="408">
        <v>5.4429581190124665</v>
      </c>
      <c r="CT689" s="408">
        <v>25.379710725869785</v>
      </c>
      <c r="CU689" s="408">
        <v>0</v>
      </c>
      <c r="CV689" s="408">
        <v>0</v>
      </c>
      <c r="CW689" s="408">
        <v>0</v>
      </c>
      <c r="CX689" s="408">
        <v>0</v>
      </c>
      <c r="CY689" s="408">
        <v>0</v>
      </c>
      <c r="CZ689" s="408">
        <v>25.455210359726003</v>
      </c>
      <c r="DA689" s="408">
        <v>0</v>
      </c>
      <c r="DB689" s="408">
        <v>0</v>
      </c>
      <c r="DC689" s="408">
        <v>217.01976444678985</v>
      </c>
      <c r="DD689" s="408">
        <v>0</v>
      </c>
      <c r="DE689" s="408">
        <v>0</v>
      </c>
      <c r="DF689" s="408">
        <v>0</v>
      </c>
      <c r="DG689" s="408">
        <v>11.389609934774839</v>
      </c>
      <c r="DH689" s="408">
        <v>0</v>
      </c>
      <c r="DI689" s="408">
        <v>-21.009560296229552</v>
      </c>
      <c r="DJ689" s="408"/>
      <c r="DK689" s="408">
        <v>0</v>
      </c>
      <c r="DL689" s="408">
        <v>0</v>
      </c>
      <c r="DM689" s="408">
        <v>0</v>
      </c>
      <c r="DN689" s="408">
        <v>0</v>
      </c>
      <c r="DO689" s="408">
        <v>-2.8891522273903547</v>
      </c>
      <c r="DP689" s="408">
        <v>-0.3435310509660372</v>
      </c>
      <c r="DQ689" s="408">
        <v>0</v>
      </c>
      <c r="DR689" s="408">
        <v>0</v>
      </c>
      <c r="DS689" s="408"/>
      <c r="DT689" s="408"/>
      <c r="DU689" s="408"/>
      <c r="DV689" s="408">
        <v>2367.8545245442474</v>
      </c>
      <c r="DW689" s="408">
        <v>0</v>
      </c>
      <c r="DX689" s="408">
        <v>0</v>
      </c>
      <c r="DY689" s="408">
        <v>-544.77206999999999</v>
      </c>
      <c r="DZ689" s="408">
        <v>217.0442700000001</v>
      </c>
      <c r="EA689" s="408">
        <v>0</v>
      </c>
      <c r="EB689" s="408">
        <v>0</v>
      </c>
      <c r="EC689" s="408">
        <v>-588.21522878574365</v>
      </c>
      <c r="ED689" s="408">
        <v>0</v>
      </c>
      <c r="EE689" s="408">
        <v>0</v>
      </c>
      <c r="EF689" s="408">
        <v>0</v>
      </c>
      <c r="EG689" s="408">
        <v>0</v>
      </c>
      <c r="EH689" s="408">
        <v>0</v>
      </c>
      <c r="EI689" s="408">
        <v>0</v>
      </c>
      <c r="EJ689" s="408">
        <v>0</v>
      </c>
      <c r="EK689" s="408">
        <v>0</v>
      </c>
      <c r="EL689" s="408">
        <v>0</v>
      </c>
      <c r="EM689" s="408">
        <v>0</v>
      </c>
      <c r="EN689" s="408">
        <v>0</v>
      </c>
      <c r="EO689" s="408">
        <v>0</v>
      </c>
      <c r="EP689" s="408">
        <v>158.00845099598243</v>
      </c>
      <c r="EQ689" s="408">
        <v>0</v>
      </c>
      <c r="ER689" s="408">
        <v>0</v>
      </c>
      <c r="ES689" s="408">
        <v>0</v>
      </c>
      <c r="ET689" s="408">
        <v>0</v>
      </c>
      <c r="EU689" s="408">
        <v>0</v>
      </c>
      <c r="EV689" s="408">
        <v>240</v>
      </c>
      <c r="EW689" s="408">
        <v>0</v>
      </c>
      <c r="EX689" s="408">
        <v>0</v>
      </c>
      <c r="EY689" s="408">
        <v>0</v>
      </c>
      <c r="EZ689" s="408"/>
      <c r="FA689" s="408">
        <v>0</v>
      </c>
      <c r="FB689" s="408"/>
      <c r="FC689" s="408"/>
      <c r="FD689" s="408"/>
      <c r="FE689" s="408"/>
      <c r="FF689" s="408">
        <v>0</v>
      </c>
      <c r="FG689" s="408">
        <v>0</v>
      </c>
      <c r="FH689" s="408">
        <v>0</v>
      </c>
      <c r="FI689" s="408">
        <v>0</v>
      </c>
    </row>
    <row r="690" spans="1:165">
      <c r="A690" s="408">
        <v>688</v>
      </c>
      <c r="B690" s="408" t="s">
        <v>2237</v>
      </c>
      <c r="C690" s="408" t="s">
        <v>2235</v>
      </c>
      <c r="D690" s="408" t="s">
        <v>1958</v>
      </c>
      <c r="E690" s="408" t="s">
        <v>2252</v>
      </c>
      <c r="F690" s="408" t="s">
        <v>1322</v>
      </c>
      <c r="G690" s="408" t="s">
        <v>1322</v>
      </c>
      <c r="H690" s="408" t="s">
        <v>1322</v>
      </c>
      <c r="I690" s="408" t="s">
        <v>1322</v>
      </c>
      <c r="J690" s="408" t="s">
        <v>2236</v>
      </c>
      <c r="K690" s="826">
        <v>44652</v>
      </c>
      <c r="L690" s="408">
        <v>0</v>
      </c>
      <c r="M690" s="408">
        <v>0</v>
      </c>
      <c r="N690" s="408">
        <v>-6.5659999999999998</v>
      </c>
      <c r="O690" s="408">
        <v>-6.5659999999999998</v>
      </c>
      <c r="P690" s="408">
        <v>-6.5659999999999998</v>
      </c>
      <c r="Q690" s="408">
        <v>-6.5659999999999998</v>
      </c>
      <c r="R690" s="408"/>
      <c r="S690" s="408">
        <v>368.24</v>
      </c>
      <c r="T690" s="408">
        <v>173.25</v>
      </c>
      <c r="U690" s="408"/>
      <c r="V690" s="408">
        <v>-3555.4233400000003</v>
      </c>
      <c r="W690" s="408">
        <v>-3555.4233400000003</v>
      </c>
      <c r="X690" s="408">
        <v>-3341.3717399999996</v>
      </c>
      <c r="Y690" s="408">
        <v>0</v>
      </c>
      <c r="Z690" s="408">
        <v>-404.10567288706602</v>
      </c>
      <c r="AA690" s="408">
        <v>0</v>
      </c>
      <c r="AB690" s="408">
        <v>0</v>
      </c>
      <c r="AC690" s="408">
        <v>-16.805922337807463</v>
      </c>
      <c r="AD690" s="408">
        <v>-16.14672283951078</v>
      </c>
      <c r="AE690" s="408">
        <v>-1546.5366366415524</v>
      </c>
      <c r="AF690" s="408">
        <v>-1118.4555298631651</v>
      </c>
      <c r="AG690" s="408">
        <v>-19.088895361533847</v>
      </c>
      <c r="AH690" s="408">
        <v>0</v>
      </c>
      <c r="AI690" s="408">
        <v>0</v>
      </c>
      <c r="AJ690" s="408">
        <v>0</v>
      </c>
      <c r="AK690" s="408">
        <v>0</v>
      </c>
      <c r="AL690" s="408">
        <v>-62.436292800918636</v>
      </c>
      <c r="AM690" s="408"/>
      <c r="AN690" s="408">
        <v>-7.9307871865056185</v>
      </c>
      <c r="AO690" s="408">
        <v>-35.675675166497932</v>
      </c>
      <c r="AP690" s="408">
        <v>-166.3504101773392</v>
      </c>
      <c r="AQ690" s="408">
        <v>0</v>
      </c>
      <c r="AR690" s="408">
        <v>0</v>
      </c>
      <c r="AS690" s="408">
        <v>0</v>
      </c>
      <c r="AT690" s="408">
        <v>0</v>
      </c>
      <c r="AU690" s="408">
        <v>0</v>
      </c>
      <c r="AV690" s="408">
        <v>0</v>
      </c>
      <c r="AW690" s="408">
        <v>0</v>
      </c>
      <c r="AX690" s="408">
        <v>0</v>
      </c>
      <c r="AY690" s="408">
        <v>0</v>
      </c>
      <c r="AZ690" s="408">
        <v>0</v>
      </c>
      <c r="BA690" s="408"/>
      <c r="BB690" s="408">
        <v>0</v>
      </c>
      <c r="BC690" s="408">
        <v>0</v>
      </c>
      <c r="BD690" s="408">
        <v>0</v>
      </c>
      <c r="BE690" s="408">
        <v>0</v>
      </c>
      <c r="BF690" s="408">
        <v>0</v>
      </c>
      <c r="BG690" s="408">
        <v>-58.698673123186246</v>
      </c>
      <c r="BH690" s="408">
        <v>0</v>
      </c>
      <c r="BI690" s="408">
        <v>-3.02</v>
      </c>
      <c r="BJ690" s="408">
        <v>-32.32</v>
      </c>
      <c r="BK690" s="408">
        <v>-1436.36</v>
      </c>
      <c r="BL690" s="408">
        <v>0</v>
      </c>
      <c r="BM690" s="408"/>
      <c r="BN690" s="408"/>
      <c r="BO690" s="408"/>
      <c r="BP690" s="408"/>
      <c r="BQ690" s="408"/>
      <c r="BR690" s="408"/>
      <c r="BS690" s="408"/>
      <c r="BT690" s="408"/>
      <c r="BU690" s="408"/>
      <c r="BV690" s="408">
        <v>-1177.1542029863513</v>
      </c>
      <c r="BW690" s="408"/>
      <c r="BX690" s="408"/>
      <c r="BY690" s="408"/>
      <c r="BZ690" s="408"/>
      <c r="CA690" s="408"/>
      <c r="CB690" s="408"/>
      <c r="CC690" s="408"/>
      <c r="CD690" s="408"/>
      <c r="CE690" s="408"/>
      <c r="CF690" s="408"/>
      <c r="CG690" s="408"/>
      <c r="CH690" s="408"/>
      <c r="CI690" s="408">
        <v>-3343.4072999999999</v>
      </c>
      <c r="CJ690" s="408">
        <v>211.98603999999978</v>
      </c>
      <c r="CK690" s="408"/>
      <c r="CL690" s="408"/>
      <c r="CM690" s="408"/>
      <c r="CN690" s="408"/>
      <c r="CO690" s="408">
        <v>355.81153999999998</v>
      </c>
      <c r="CP690" s="408">
        <v>-141.75994000000003</v>
      </c>
      <c r="CQ690" s="408">
        <v>30</v>
      </c>
      <c r="CR690" s="408">
        <v>-170.10662844286071</v>
      </c>
      <c r="CS690" s="408">
        <v>-3.5550047756327388</v>
      </c>
      <c r="CT690" s="408">
        <v>-16.576462809714627</v>
      </c>
      <c r="CU690" s="408">
        <v>0</v>
      </c>
      <c r="CV690" s="408">
        <v>0</v>
      </c>
      <c r="CW690" s="408">
        <v>0</v>
      </c>
      <c r="CX690" s="408">
        <v>0</v>
      </c>
      <c r="CY690" s="408">
        <v>0</v>
      </c>
      <c r="CZ690" s="408">
        <v>-16.625774517254641</v>
      </c>
      <c r="DA690" s="408">
        <v>0</v>
      </c>
      <c r="DB690" s="408">
        <v>0</v>
      </c>
      <c r="DC690" s="408">
        <v>-141.74393448300225</v>
      </c>
      <c r="DD690" s="408">
        <v>0</v>
      </c>
      <c r="DE690" s="408">
        <v>0</v>
      </c>
      <c r="DF690" s="408">
        <v>0</v>
      </c>
      <c r="DG690" s="408">
        <v>-7.4389912296559757</v>
      </c>
      <c r="DH690" s="408">
        <v>0</v>
      </c>
      <c r="DI690" s="408">
        <v>13.722149896055157</v>
      </c>
      <c r="DJ690" s="408"/>
      <c r="DK690" s="408">
        <v>0</v>
      </c>
      <c r="DL690" s="408">
        <v>0</v>
      </c>
      <c r="DM690" s="408">
        <v>0</v>
      </c>
      <c r="DN690" s="408">
        <v>0</v>
      </c>
      <c r="DO690" s="408">
        <v>1.8870161668203522</v>
      </c>
      <c r="DP690" s="408">
        <v>0.22437330952382339</v>
      </c>
      <c r="DQ690" s="408">
        <v>0</v>
      </c>
      <c r="DR690" s="408">
        <v>0</v>
      </c>
      <c r="DS690" s="408"/>
      <c r="DT690" s="408"/>
      <c r="DU690" s="408"/>
      <c r="DV690" s="408">
        <v>-1546.5366366415524</v>
      </c>
      <c r="DW690" s="408">
        <v>0</v>
      </c>
      <c r="DX690" s="408">
        <v>0</v>
      </c>
      <c r="DY690" s="408">
        <v>355.81154000000015</v>
      </c>
      <c r="DZ690" s="408">
        <v>-141.75993999999992</v>
      </c>
      <c r="EA690" s="408">
        <v>0</v>
      </c>
      <c r="EB690" s="408">
        <v>0</v>
      </c>
      <c r="EC690" s="408">
        <v>384.18593377172897</v>
      </c>
      <c r="ED690" s="408">
        <v>0</v>
      </c>
      <c r="EE690" s="408">
        <v>0</v>
      </c>
      <c r="EF690" s="408">
        <v>0</v>
      </c>
      <c r="EG690" s="408">
        <v>0</v>
      </c>
      <c r="EH690" s="408">
        <v>0</v>
      </c>
      <c r="EI690" s="408">
        <v>0</v>
      </c>
      <c r="EJ690" s="408">
        <v>0</v>
      </c>
      <c r="EK690" s="408">
        <v>0</v>
      </c>
      <c r="EL690" s="408">
        <v>0</v>
      </c>
      <c r="EM690" s="408">
        <v>0</v>
      </c>
      <c r="EN690" s="408">
        <v>0</v>
      </c>
      <c r="EO690" s="408">
        <v>0</v>
      </c>
      <c r="EP690" s="408">
        <v>-103.20138160147424</v>
      </c>
      <c r="EQ690" s="408">
        <v>0</v>
      </c>
      <c r="ER690" s="408">
        <v>0</v>
      </c>
      <c r="ES690" s="408">
        <v>0</v>
      </c>
      <c r="ET690" s="408">
        <v>0</v>
      </c>
      <c r="EU690" s="408">
        <v>0</v>
      </c>
      <c r="EV690" s="408">
        <v>240</v>
      </c>
      <c r="EW690" s="408">
        <v>0</v>
      </c>
      <c r="EX690" s="408">
        <v>0</v>
      </c>
      <c r="EY690" s="408">
        <v>0</v>
      </c>
      <c r="EZ690" s="408"/>
      <c r="FA690" s="408">
        <v>0</v>
      </c>
      <c r="FB690" s="408"/>
      <c r="FC690" s="408"/>
      <c r="FD690" s="408"/>
      <c r="FE690" s="408"/>
      <c r="FF690" s="408">
        <v>0</v>
      </c>
      <c r="FG690" s="408">
        <v>0</v>
      </c>
      <c r="FH690" s="408">
        <v>0</v>
      </c>
      <c r="FI690" s="408">
        <v>0</v>
      </c>
    </row>
    <row r="691" spans="1:165">
      <c r="A691" s="408">
        <v>689</v>
      </c>
      <c r="B691" s="408" t="s">
        <v>2238</v>
      </c>
      <c r="C691" s="408" t="s">
        <v>2235</v>
      </c>
      <c r="D691" s="408" t="s">
        <v>1958</v>
      </c>
      <c r="E691" s="408" t="s">
        <v>2252</v>
      </c>
      <c r="F691" s="408" t="s">
        <v>1322</v>
      </c>
      <c r="G691" s="408" t="s">
        <v>1322</v>
      </c>
      <c r="H691" s="408" t="s">
        <v>1322</v>
      </c>
      <c r="I691" s="408" t="s">
        <v>1322</v>
      </c>
      <c r="J691" s="408" t="s">
        <v>2236</v>
      </c>
      <c r="K691" s="826">
        <v>44652</v>
      </c>
      <c r="L691" s="408">
        <v>0</v>
      </c>
      <c r="M691" s="408">
        <v>0</v>
      </c>
      <c r="N691" s="408">
        <v>2.069</v>
      </c>
      <c r="O691" s="408">
        <v>2.069</v>
      </c>
      <c r="P691" s="408">
        <v>2.069</v>
      </c>
      <c r="Q691" s="408">
        <v>2.069</v>
      </c>
      <c r="R691" s="408"/>
      <c r="S691" s="408">
        <v>368.24</v>
      </c>
      <c r="T691" s="408">
        <v>173.25</v>
      </c>
      <c r="U691" s="408"/>
      <c r="V691" s="408">
        <v>1120.3428100000001</v>
      </c>
      <c r="W691" s="408">
        <v>1120.3428100000001</v>
      </c>
      <c r="X691" s="408">
        <v>1052.8934100000001</v>
      </c>
      <c r="Y691" s="408">
        <v>0</v>
      </c>
      <c r="Z691" s="408">
        <v>127.33698403949735</v>
      </c>
      <c r="AA691" s="408">
        <v>0</v>
      </c>
      <c r="AB691" s="408">
        <v>0</v>
      </c>
      <c r="AC691" s="408">
        <v>5.2956828079384159</v>
      </c>
      <c r="AD691" s="408">
        <v>5.0879636848839178</v>
      </c>
      <c r="AE691" s="408">
        <v>487.32627188720255</v>
      </c>
      <c r="AF691" s="408">
        <v>352.43443364101256</v>
      </c>
      <c r="AG691" s="408">
        <v>6.0150661746898466</v>
      </c>
      <c r="AH691" s="408">
        <v>0</v>
      </c>
      <c r="AI691" s="408">
        <v>0</v>
      </c>
      <c r="AJ691" s="408">
        <v>0</v>
      </c>
      <c r="AK691" s="408">
        <v>0</v>
      </c>
      <c r="AL691" s="408">
        <v>19.674183643786272</v>
      </c>
      <c r="AM691" s="408"/>
      <c r="AN691" s="408">
        <v>2.4990555420164675</v>
      </c>
      <c r="AO691" s="408">
        <v>11.241695388285748</v>
      </c>
      <c r="AP691" s="408">
        <v>52.418367142387268</v>
      </c>
      <c r="AQ691" s="408">
        <v>0</v>
      </c>
      <c r="AR691" s="408">
        <v>0</v>
      </c>
      <c r="AS691" s="408">
        <v>0</v>
      </c>
      <c r="AT691" s="408">
        <v>0</v>
      </c>
      <c r="AU691" s="408">
        <v>0</v>
      </c>
      <c r="AV691" s="408">
        <v>0</v>
      </c>
      <c r="AW691" s="408">
        <v>0</v>
      </c>
      <c r="AX691" s="408">
        <v>0</v>
      </c>
      <c r="AY691" s="408">
        <v>0</v>
      </c>
      <c r="AZ691" s="408">
        <v>0</v>
      </c>
      <c r="BA691" s="408"/>
      <c r="BB691" s="408">
        <v>0</v>
      </c>
      <c r="BC691" s="408">
        <v>0</v>
      </c>
      <c r="BD691" s="408">
        <v>0</v>
      </c>
      <c r="BE691" s="408">
        <v>0</v>
      </c>
      <c r="BF691" s="408">
        <v>0</v>
      </c>
      <c r="BG691" s="408">
        <v>18.496429285999444</v>
      </c>
      <c r="BH691" s="408">
        <v>0</v>
      </c>
      <c r="BI691" s="408">
        <v>0.87</v>
      </c>
      <c r="BJ691" s="408">
        <v>9.32</v>
      </c>
      <c r="BK691" s="408">
        <v>504.81</v>
      </c>
      <c r="BL691" s="408">
        <v>1</v>
      </c>
      <c r="BM691" s="408"/>
      <c r="BN691" s="408"/>
      <c r="BO691" s="408"/>
      <c r="BP691" s="408"/>
      <c r="BQ691" s="408"/>
      <c r="BR691" s="408"/>
      <c r="BS691" s="408"/>
      <c r="BT691" s="408"/>
      <c r="BU691" s="408"/>
      <c r="BV691" s="408">
        <v>370.93086292701202</v>
      </c>
      <c r="BW691" s="408"/>
      <c r="BX691" s="408"/>
      <c r="BY691" s="408"/>
      <c r="BZ691" s="408"/>
      <c r="CA691" s="408"/>
      <c r="CB691" s="408"/>
      <c r="CC691" s="408"/>
      <c r="CD691" s="408"/>
      <c r="CE691" s="408"/>
      <c r="CF691" s="408"/>
      <c r="CG691" s="408"/>
      <c r="CH691" s="408"/>
      <c r="CI691" s="408">
        <v>1053.4023</v>
      </c>
      <c r="CJ691" s="408">
        <v>-66.970510000000104</v>
      </c>
      <c r="CK691" s="408"/>
      <c r="CL691" s="408"/>
      <c r="CM691" s="408"/>
      <c r="CN691" s="408"/>
      <c r="CO691" s="408">
        <v>-112.11910999999999</v>
      </c>
      <c r="CP691" s="408">
        <v>44.669710000000009</v>
      </c>
      <c r="CQ691" s="408">
        <v>30</v>
      </c>
      <c r="CR691" s="408">
        <v>53.601982066445203</v>
      </c>
      <c r="CS691" s="408">
        <v>1.1202109169637726</v>
      </c>
      <c r="CT691" s="408">
        <v>5.2233782444866819</v>
      </c>
      <c r="CU691" s="408">
        <v>0</v>
      </c>
      <c r="CV691" s="408">
        <v>0</v>
      </c>
      <c r="CW691" s="408">
        <v>0</v>
      </c>
      <c r="CX691" s="408">
        <v>0</v>
      </c>
      <c r="CY691" s="408">
        <v>0</v>
      </c>
      <c r="CZ691" s="408">
        <v>5.2389167645750616</v>
      </c>
      <c r="DA691" s="408">
        <v>0</v>
      </c>
      <c r="DB691" s="408">
        <v>0</v>
      </c>
      <c r="DC691" s="408">
        <v>44.664666531424302</v>
      </c>
      <c r="DD691" s="408">
        <v>0</v>
      </c>
      <c r="DE691" s="408">
        <v>0</v>
      </c>
      <c r="DF691" s="408">
        <v>0</v>
      </c>
      <c r="DG691" s="408">
        <v>2.3440866363323494</v>
      </c>
      <c r="DH691" s="408">
        <v>0</v>
      </c>
      <c r="DI691" s="408">
        <v>-4.3239610318212272</v>
      </c>
      <c r="DJ691" s="408"/>
      <c r="DK691" s="408">
        <v>0</v>
      </c>
      <c r="DL691" s="408">
        <v>0</v>
      </c>
      <c r="DM691" s="408">
        <v>0</v>
      </c>
      <c r="DN691" s="408">
        <v>0</v>
      </c>
      <c r="DO691" s="408">
        <v>-0.59461414090029052</v>
      </c>
      <c r="DP691" s="408">
        <v>-7.0701854615411452E-2</v>
      </c>
      <c r="DQ691" s="408">
        <v>0</v>
      </c>
      <c r="DR691" s="408">
        <v>0</v>
      </c>
      <c r="DS691" s="408"/>
      <c r="DT691" s="408"/>
      <c r="DU691" s="408"/>
      <c r="DV691" s="408">
        <v>487.32627188720255</v>
      </c>
      <c r="DW691" s="408">
        <v>0</v>
      </c>
      <c r="DX691" s="408">
        <v>0</v>
      </c>
      <c r="DY691" s="408">
        <v>-112.11910999999998</v>
      </c>
      <c r="DZ691" s="408">
        <v>44.669710000000009</v>
      </c>
      <c r="EA691" s="408">
        <v>0</v>
      </c>
      <c r="EB691" s="408">
        <v>0</v>
      </c>
      <c r="EC691" s="408">
        <v>-121.0601122408936</v>
      </c>
      <c r="ED691" s="408">
        <v>0</v>
      </c>
      <c r="EE691" s="408">
        <v>0</v>
      </c>
      <c r="EF691" s="408">
        <v>0</v>
      </c>
      <c r="EG691" s="408">
        <v>0</v>
      </c>
      <c r="EH691" s="408">
        <v>0</v>
      </c>
      <c r="EI691" s="408">
        <v>0</v>
      </c>
      <c r="EJ691" s="408">
        <v>0</v>
      </c>
      <c r="EK691" s="408">
        <v>0</v>
      </c>
      <c r="EL691" s="408">
        <v>0</v>
      </c>
      <c r="EM691" s="408">
        <v>0</v>
      </c>
      <c r="EN691" s="408">
        <v>0</v>
      </c>
      <c r="EO691" s="408">
        <v>0</v>
      </c>
      <c r="EP691" s="408">
        <v>32.519594659374079</v>
      </c>
      <c r="EQ691" s="408">
        <v>0</v>
      </c>
      <c r="ER691" s="408">
        <v>0</v>
      </c>
      <c r="ES691" s="408">
        <v>0</v>
      </c>
      <c r="ET691" s="408">
        <v>0</v>
      </c>
      <c r="EU691" s="408">
        <v>0</v>
      </c>
      <c r="EV691" s="408">
        <v>240</v>
      </c>
      <c r="EW691" s="408">
        <v>0</v>
      </c>
      <c r="EX691" s="408">
        <v>0</v>
      </c>
      <c r="EY691" s="408">
        <v>0</v>
      </c>
      <c r="EZ691" s="408"/>
      <c r="FA691" s="408">
        <v>0</v>
      </c>
      <c r="FB691" s="408"/>
      <c r="FC691" s="408"/>
      <c r="FD691" s="408"/>
      <c r="FE691" s="408"/>
      <c r="FF691" s="408">
        <v>0</v>
      </c>
      <c r="FG691" s="408">
        <v>0</v>
      </c>
      <c r="FH691" s="408">
        <v>0</v>
      </c>
      <c r="FI691" s="408">
        <v>0</v>
      </c>
    </row>
    <row r="692" spans="1:165">
      <c r="A692" s="408">
        <v>690</v>
      </c>
      <c r="B692" s="408" t="s">
        <v>1036</v>
      </c>
      <c r="C692" s="408" t="s">
        <v>2235</v>
      </c>
      <c r="D692" s="408" t="s">
        <v>2245</v>
      </c>
      <c r="E692" s="408" t="s">
        <v>974</v>
      </c>
      <c r="F692" s="408" t="s">
        <v>2253</v>
      </c>
      <c r="G692" s="408" t="s">
        <v>2254</v>
      </c>
      <c r="H692" s="408" t="s">
        <v>1322</v>
      </c>
      <c r="I692" s="408" t="s">
        <v>1322</v>
      </c>
      <c r="J692" s="408" t="s">
        <v>2236</v>
      </c>
      <c r="K692" s="826">
        <v>44652</v>
      </c>
      <c r="L692" s="408">
        <v>0</v>
      </c>
      <c r="M692" s="408">
        <v>0</v>
      </c>
      <c r="N692" s="408">
        <v>0</v>
      </c>
      <c r="O692" s="408">
        <v>0</v>
      </c>
      <c r="P692" s="408">
        <v>0</v>
      </c>
      <c r="Q692" s="408">
        <v>0</v>
      </c>
      <c r="R692" s="408"/>
      <c r="S692" s="408"/>
      <c r="T692" s="408"/>
      <c r="U692" s="408"/>
      <c r="V692" s="408"/>
      <c r="W692" s="408"/>
      <c r="X692" s="408"/>
      <c r="Y692" s="408"/>
      <c r="Z692" s="408"/>
      <c r="AA692" s="408">
        <v>0</v>
      </c>
      <c r="AB692" s="408"/>
      <c r="AC692" s="408"/>
      <c r="AD692" s="408"/>
      <c r="AE692" s="408"/>
      <c r="AF692" s="408"/>
      <c r="AG692" s="408"/>
      <c r="AH692" s="408"/>
      <c r="AI692" s="408"/>
      <c r="AJ692" s="408"/>
      <c r="AK692" s="408"/>
      <c r="AL692" s="408"/>
      <c r="AM692" s="408"/>
      <c r="AN692" s="408"/>
      <c r="AO692" s="408"/>
      <c r="AP692" s="408"/>
      <c r="AQ692" s="408"/>
      <c r="AR692" s="408"/>
      <c r="AS692" s="408"/>
      <c r="AT692" s="408"/>
      <c r="AU692" s="408"/>
      <c r="AV692" s="408"/>
      <c r="AW692" s="408"/>
      <c r="AX692" s="408"/>
      <c r="AY692" s="408"/>
      <c r="AZ692" s="408">
        <v>0</v>
      </c>
      <c r="BA692" s="408"/>
      <c r="BB692" s="408"/>
      <c r="BC692" s="408"/>
      <c r="BD692" s="408"/>
      <c r="BE692" s="408"/>
      <c r="BF692" s="408"/>
      <c r="BG692" s="408"/>
      <c r="BH692" s="408"/>
      <c r="BI692" s="408">
        <v>0.22</v>
      </c>
      <c r="BJ692" s="408">
        <v>2.5</v>
      </c>
      <c r="BK692" s="408">
        <v>35.76</v>
      </c>
      <c r="BL692" s="408">
        <v>4</v>
      </c>
      <c r="BM692" s="408"/>
      <c r="BN692" s="408"/>
      <c r="BO692" s="408"/>
      <c r="BP692" s="408"/>
      <c r="BQ692" s="408"/>
      <c r="BR692" s="408"/>
      <c r="BS692" s="408"/>
      <c r="BT692" s="408"/>
      <c r="BU692" s="408"/>
      <c r="BV692" s="408"/>
      <c r="BW692" s="408"/>
      <c r="BX692" s="408"/>
      <c r="BY692" s="408"/>
      <c r="BZ692" s="408"/>
      <c r="CA692" s="408"/>
      <c r="CB692" s="408"/>
      <c r="CC692" s="408"/>
      <c r="CD692" s="408"/>
      <c r="CE692" s="408"/>
      <c r="CF692" s="408"/>
      <c r="CG692" s="408"/>
      <c r="CH692" s="408"/>
      <c r="CI692" s="408"/>
      <c r="CJ692" s="408">
        <v>-0.03</v>
      </c>
      <c r="CK692" s="408"/>
      <c r="CL692" s="408"/>
      <c r="CM692" s="408"/>
      <c r="CN692" s="408"/>
      <c r="CO692" s="408">
        <v>0</v>
      </c>
      <c r="CP692" s="408">
        <v>0</v>
      </c>
      <c r="CQ692" s="408">
        <v>30</v>
      </c>
      <c r="CR692" s="408"/>
      <c r="CS692" s="408"/>
      <c r="CT692" s="408"/>
      <c r="CU692" s="408"/>
      <c r="CV692" s="408"/>
      <c r="CW692" s="408"/>
      <c r="CX692" s="408"/>
      <c r="CY692" s="408"/>
      <c r="CZ692" s="408"/>
      <c r="DA692" s="408"/>
      <c r="DB692" s="408"/>
      <c r="DC692" s="408"/>
      <c r="DD692" s="408"/>
      <c r="DE692" s="408"/>
      <c r="DF692" s="408"/>
      <c r="DG692" s="408"/>
      <c r="DH692" s="408"/>
      <c r="DI692" s="408"/>
      <c r="DJ692" s="408"/>
      <c r="DK692" s="408">
        <v>0</v>
      </c>
      <c r="DL692" s="408"/>
      <c r="DM692" s="408"/>
      <c r="DN692" s="408"/>
      <c r="DO692" s="408"/>
      <c r="DP692" s="408"/>
      <c r="DQ692" s="408"/>
      <c r="DR692" s="408"/>
      <c r="DS692" s="408"/>
      <c r="DT692" s="408"/>
      <c r="DU692" s="408"/>
      <c r="DV692" s="408"/>
      <c r="DW692" s="408"/>
      <c r="DX692" s="408"/>
      <c r="DY692" s="408"/>
      <c r="DZ692" s="408"/>
      <c r="EA692" s="408"/>
      <c r="EB692" s="408"/>
      <c r="EC692" s="408"/>
      <c r="ED692" s="408"/>
      <c r="EE692" s="408"/>
      <c r="EF692" s="408"/>
      <c r="EG692" s="408"/>
      <c r="EH692" s="408"/>
      <c r="EI692" s="408"/>
      <c r="EJ692" s="408"/>
      <c r="EK692" s="408"/>
      <c r="EL692" s="408"/>
      <c r="EM692" s="408"/>
      <c r="EN692" s="408"/>
      <c r="EO692" s="408"/>
      <c r="EP692" s="408"/>
      <c r="EQ692" s="408"/>
      <c r="ER692" s="408"/>
      <c r="ES692" s="408"/>
      <c r="ET692" s="408"/>
      <c r="EU692" s="408"/>
      <c r="EV692" s="408">
        <v>240</v>
      </c>
      <c r="EW692" s="408"/>
      <c r="EX692" s="408"/>
      <c r="EY692" s="408"/>
      <c r="EZ692" s="408"/>
      <c r="FA692" s="408">
        <v>0</v>
      </c>
      <c r="FB692" s="408"/>
      <c r="FC692" s="408"/>
      <c r="FD692" s="408"/>
      <c r="FE692" s="408"/>
      <c r="FF692" s="408">
        <v>0</v>
      </c>
      <c r="FG692" s="408">
        <v>0</v>
      </c>
      <c r="FH692" s="408">
        <v>0</v>
      </c>
      <c r="FI692" s="408">
        <v>0</v>
      </c>
    </row>
    <row r="693" spans="1:165">
      <c r="A693" s="408">
        <v>691</v>
      </c>
      <c r="B693" s="408" t="s">
        <v>1036</v>
      </c>
      <c r="C693" s="408" t="s">
        <v>2235</v>
      </c>
      <c r="D693" s="408" t="s">
        <v>2245</v>
      </c>
      <c r="E693" s="408" t="s">
        <v>974</v>
      </c>
      <c r="F693" s="408" t="s">
        <v>2253</v>
      </c>
      <c r="G693" s="408" t="s">
        <v>2254</v>
      </c>
      <c r="H693" s="408" t="s">
        <v>1322</v>
      </c>
      <c r="I693" s="408" t="s">
        <v>1322</v>
      </c>
      <c r="J693" s="408" t="s">
        <v>2236</v>
      </c>
      <c r="K693" s="826">
        <v>44652</v>
      </c>
      <c r="L693" s="408">
        <v>0</v>
      </c>
      <c r="M693" s="408">
        <v>0</v>
      </c>
      <c r="N693" s="408">
        <v>0.45</v>
      </c>
      <c r="O693" s="408">
        <v>0.45</v>
      </c>
      <c r="P693" s="408">
        <v>0.45</v>
      </c>
      <c r="Q693" s="408">
        <v>0.45</v>
      </c>
      <c r="R693" s="408"/>
      <c r="S693" s="408">
        <v>368.24</v>
      </c>
      <c r="T693" s="408">
        <v>173.25</v>
      </c>
      <c r="U693" s="408"/>
      <c r="V693" s="408">
        <v>243.6705</v>
      </c>
      <c r="W693" s="408">
        <v>243.6705</v>
      </c>
      <c r="X693" s="408">
        <v>229.00050000000002</v>
      </c>
      <c r="Y693" s="408">
        <v>0</v>
      </c>
      <c r="Z693" s="408">
        <v>27.69533243971668</v>
      </c>
      <c r="AA693" s="408">
        <v>0</v>
      </c>
      <c r="AB693" s="408">
        <v>0</v>
      </c>
      <c r="AC693" s="408">
        <v>1.151791814196369</v>
      </c>
      <c r="AD693" s="408">
        <v>1.1066136579012871</v>
      </c>
      <c r="AE693" s="408">
        <v>105.99169760717311</v>
      </c>
      <c r="AF693" s="408">
        <v>76.653211763390857</v>
      </c>
      <c r="AG693" s="408">
        <v>1.3082550887435627</v>
      </c>
      <c r="AH693" s="408">
        <v>0</v>
      </c>
      <c r="AI693" s="408">
        <v>0</v>
      </c>
      <c r="AJ693" s="408">
        <v>0</v>
      </c>
      <c r="AK693" s="408">
        <v>0</v>
      </c>
      <c r="AL693" s="408">
        <v>4.2790636247964349</v>
      </c>
      <c r="AM693" s="408"/>
      <c r="AN693" s="408">
        <v>0.54353552146322393</v>
      </c>
      <c r="AO693" s="408">
        <v>2.4450279964855426</v>
      </c>
      <c r="AP693" s="408">
        <v>11.40080484005523</v>
      </c>
      <c r="AQ693" s="408">
        <v>0</v>
      </c>
      <c r="AR693" s="408">
        <v>0</v>
      </c>
      <c r="AS693" s="408">
        <v>0</v>
      </c>
      <c r="AT693" s="408">
        <v>0</v>
      </c>
      <c r="AU693" s="408">
        <v>0</v>
      </c>
      <c r="AV693" s="408">
        <v>0</v>
      </c>
      <c r="AW693" s="408">
        <v>0</v>
      </c>
      <c r="AX693" s="408">
        <v>0</v>
      </c>
      <c r="AY693" s="408">
        <v>0</v>
      </c>
      <c r="AZ693" s="408">
        <v>0</v>
      </c>
      <c r="BA693" s="408"/>
      <c r="BB693" s="408">
        <v>0</v>
      </c>
      <c r="BC693" s="408">
        <v>0</v>
      </c>
      <c r="BD693" s="408">
        <v>0</v>
      </c>
      <c r="BE693" s="408">
        <v>0</v>
      </c>
      <c r="BF693" s="408">
        <v>0</v>
      </c>
      <c r="BG693" s="408">
        <v>4.0229063212661913</v>
      </c>
      <c r="BH693" s="408">
        <v>0</v>
      </c>
      <c r="BI693" s="408">
        <v>0</v>
      </c>
      <c r="BJ693" s="408">
        <v>0</v>
      </c>
      <c r="BK693" s="408">
        <v>0</v>
      </c>
      <c r="BL693" s="408">
        <v>0</v>
      </c>
      <c r="BM693" s="408"/>
      <c r="BN693" s="408"/>
      <c r="BO693" s="408"/>
      <c r="BP693" s="408"/>
      <c r="BQ693" s="408"/>
      <c r="BR693" s="408">
        <v>27.477000000000004</v>
      </c>
      <c r="BS693" s="408"/>
      <c r="BT693" s="408"/>
      <c r="BU693" s="408"/>
      <c r="BV693" s="408">
        <v>80.676118084657048</v>
      </c>
      <c r="BW693" s="408"/>
      <c r="BX693" s="408"/>
      <c r="BY693" s="408"/>
      <c r="BZ693" s="408"/>
      <c r="CA693" s="408"/>
      <c r="CB693" s="408"/>
      <c r="CC693" s="408"/>
      <c r="CD693" s="408"/>
      <c r="CE693" s="408"/>
      <c r="CF693" s="408"/>
      <c r="CG693" s="408"/>
      <c r="CH693" s="408"/>
      <c r="CI693" s="408">
        <v>201.52350000000001</v>
      </c>
      <c r="CJ693" s="408">
        <v>-12.935999999999979</v>
      </c>
      <c r="CK693" s="408"/>
      <c r="CL693" s="408"/>
      <c r="CM693" s="408"/>
      <c r="CN693" s="408"/>
      <c r="CO693" s="408">
        <v>-24.3855</v>
      </c>
      <c r="CP693" s="408">
        <v>9.7155000000000022</v>
      </c>
      <c r="CQ693" s="408">
        <v>30</v>
      </c>
      <c r="CR693" s="408">
        <v>11.658236795505246</v>
      </c>
      <c r="CS693" s="408">
        <v>0.24364181374272453</v>
      </c>
      <c r="CT693" s="408">
        <v>1.1360658337452918</v>
      </c>
      <c r="CU693" s="408">
        <v>0</v>
      </c>
      <c r="CV693" s="408">
        <v>0</v>
      </c>
      <c r="CW693" s="408">
        <v>0</v>
      </c>
      <c r="CX693" s="408">
        <v>0</v>
      </c>
      <c r="CY693" s="408">
        <v>0</v>
      </c>
      <c r="CZ693" s="408">
        <v>1.139445405538317</v>
      </c>
      <c r="DA693" s="408">
        <v>0</v>
      </c>
      <c r="DB693" s="408">
        <v>0</v>
      </c>
      <c r="DC693" s="408">
        <v>9.7144030638670387</v>
      </c>
      <c r="DD693" s="408">
        <v>0</v>
      </c>
      <c r="DE693" s="408">
        <v>0</v>
      </c>
      <c r="DF693" s="408">
        <v>0</v>
      </c>
      <c r="DG693" s="408">
        <v>0.50983034622984924</v>
      </c>
      <c r="DH693" s="408">
        <v>0</v>
      </c>
      <c r="DI693" s="408">
        <v>-0.94044585032360928</v>
      </c>
      <c r="DJ693" s="408"/>
      <c r="DK693" s="408">
        <v>0</v>
      </c>
      <c r="DL693" s="408">
        <v>0</v>
      </c>
      <c r="DM693" s="408">
        <v>0</v>
      </c>
      <c r="DN693" s="408">
        <v>0</v>
      </c>
      <c r="DO693" s="408">
        <v>-0.12932642020547735</v>
      </c>
      <c r="DP693" s="408">
        <v>-1.5377397088900402E-2</v>
      </c>
      <c r="DQ693" s="408">
        <v>0</v>
      </c>
      <c r="DR693" s="408">
        <v>0</v>
      </c>
      <c r="DS693" s="408"/>
      <c r="DT693" s="408"/>
      <c r="DU693" s="408"/>
      <c r="DV693" s="408">
        <v>105.99169760717311</v>
      </c>
      <c r="DW693" s="408">
        <v>0</v>
      </c>
      <c r="DX693" s="408">
        <v>0</v>
      </c>
      <c r="DY693" s="408">
        <v>-24.385499999999979</v>
      </c>
      <c r="DZ693" s="408">
        <v>9.7154999999999916</v>
      </c>
      <c r="EA693" s="408">
        <v>0</v>
      </c>
      <c r="EB693" s="408">
        <v>0</v>
      </c>
      <c r="EC693" s="408">
        <v>-26.33013557680141</v>
      </c>
      <c r="ED693" s="408">
        <v>0</v>
      </c>
      <c r="EE693" s="408">
        <v>0</v>
      </c>
      <c r="EF693" s="408">
        <v>0</v>
      </c>
      <c r="EG693" s="408">
        <v>0</v>
      </c>
      <c r="EH693" s="408">
        <v>0</v>
      </c>
      <c r="EI693" s="408">
        <v>0</v>
      </c>
      <c r="EJ693" s="408">
        <v>0</v>
      </c>
      <c r="EK693" s="408">
        <v>0</v>
      </c>
      <c r="EL693" s="408">
        <v>0</v>
      </c>
      <c r="EM693" s="408">
        <v>0</v>
      </c>
      <c r="EN693" s="408">
        <v>0</v>
      </c>
      <c r="EO693" s="408">
        <v>0</v>
      </c>
      <c r="EP693" s="408">
        <v>7.0728939568479152</v>
      </c>
      <c r="EQ693" s="408">
        <v>0</v>
      </c>
      <c r="ER693" s="408">
        <v>0</v>
      </c>
      <c r="ES693" s="408">
        <v>0</v>
      </c>
      <c r="ET693" s="408">
        <v>0</v>
      </c>
      <c r="EU693" s="408">
        <v>0</v>
      </c>
      <c r="EV693" s="408">
        <v>240</v>
      </c>
      <c r="EW693" s="408">
        <v>0</v>
      </c>
      <c r="EX693" s="408">
        <v>0</v>
      </c>
      <c r="EY693" s="408">
        <v>0</v>
      </c>
      <c r="EZ693" s="408"/>
      <c r="FA693" s="408">
        <v>0</v>
      </c>
      <c r="FB693" s="408"/>
      <c r="FC693" s="408"/>
      <c r="FD693" s="408"/>
      <c r="FE693" s="408"/>
      <c r="FF693" s="408">
        <v>0</v>
      </c>
      <c r="FG693" s="408">
        <v>0</v>
      </c>
      <c r="FH693" s="408">
        <v>0</v>
      </c>
      <c r="FI693" s="408">
        <v>0</v>
      </c>
    </row>
    <row r="694" spans="1:165">
      <c r="A694" s="408">
        <v>692</v>
      </c>
      <c r="B694" s="408" t="s">
        <v>1036</v>
      </c>
      <c r="C694" s="408" t="s">
        <v>2235</v>
      </c>
      <c r="D694" s="408" t="s">
        <v>2245</v>
      </c>
      <c r="E694" s="408" t="s">
        <v>974</v>
      </c>
      <c r="F694" s="408" t="s">
        <v>2253</v>
      </c>
      <c r="G694" s="408" t="s">
        <v>2255</v>
      </c>
      <c r="H694" s="408" t="s">
        <v>1322</v>
      </c>
      <c r="I694" s="408" t="s">
        <v>1322</v>
      </c>
      <c r="J694" s="408" t="s">
        <v>2236</v>
      </c>
      <c r="K694" s="826">
        <v>44652</v>
      </c>
      <c r="L694" s="408">
        <v>0</v>
      </c>
      <c r="M694" s="408">
        <v>0</v>
      </c>
      <c r="N694" s="408">
        <v>0.28399999999999997</v>
      </c>
      <c r="O694" s="408">
        <v>0.11360000000000001</v>
      </c>
      <c r="P694" s="408">
        <v>0.28399999999999997</v>
      </c>
      <c r="Q694" s="408">
        <v>0.11360000000000001</v>
      </c>
      <c r="R694" s="408"/>
      <c r="S694" s="408">
        <v>368.24</v>
      </c>
      <c r="T694" s="408">
        <v>173.25</v>
      </c>
      <c r="U694" s="408"/>
      <c r="V694" s="408">
        <v>153.78315999999998</v>
      </c>
      <c r="W694" s="408">
        <v>153.78315999999998</v>
      </c>
      <c r="X694" s="408">
        <v>144.52475999999999</v>
      </c>
      <c r="Y694" s="408">
        <v>0</v>
      </c>
      <c r="Z694" s="408">
        <v>17.478832028621191</v>
      </c>
      <c r="AA694" s="408">
        <v>0</v>
      </c>
      <c r="AB694" s="408">
        <v>0</v>
      </c>
      <c r="AC694" s="408">
        <v>0.72690861162615283</v>
      </c>
      <c r="AD694" s="408">
        <v>0.69839617520881225</v>
      </c>
      <c r="AE694" s="408">
        <v>66.892538045415904</v>
      </c>
      <c r="AF694" s="408">
        <v>48.376693646228887</v>
      </c>
      <c r="AG694" s="408">
        <v>0.82565432267371497</v>
      </c>
      <c r="AH694" s="408">
        <v>0</v>
      </c>
      <c r="AI694" s="408">
        <v>0</v>
      </c>
      <c r="AJ694" s="408">
        <v>0</v>
      </c>
      <c r="AK694" s="408">
        <v>0</v>
      </c>
      <c r="AL694" s="408">
        <v>2.7005645987604163</v>
      </c>
      <c r="AM694" s="408"/>
      <c r="AN694" s="408">
        <v>0.3430313068790124</v>
      </c>
      <c r="AO694" s="408">
        <v>1.5430843355597643</v>
      </c>
      <c r="AP694" s="408">
        <v>7.1951746101681886</v>
      </c>
      <c r="AQ694" s="408">
        <v>0</v>
      </c>
      <c r="AR694" s="408">
        <v>0</v>
      </c>
      <c r="AS694" s="408">
        <v>0</v>
      </c>
      <c r="AT694" s="408">
        <v>0</v>
      </c>
      <c r="AU694" s="408">
        <v>0</v>
      </c>
      <c r="AV694" s="408">
        <v>0</v>
      </c>
      <c r="AW694" s="408">
        <v>0</v>
      </c>
      <c r="AX694" s="408">
        <v>0</v>
      </c>
      <c r="AY694" s="408">
        <v>0</v>
      </c>
      <c r="AZ694" s="408">
        <v>0</v>
      </c>
      <c r="BA694" s="408"/>
      <c r="BB694" s="408">
        <v>0</v>
      </c>
      <c r="BC694" s="408">
        <v>0</v>
      </c>
      <c r="BD694" s="408">
        <v>0</v>
      </c>
      <c r="BE694" s="408">
        <v>0</v>
      </c>
      <c r="BF694" s="408">
        <v>0</v>
      </c>
      <c r="BG694" s="408">
        <v>2.5389008783102183</v>
      </c>
      <c r="BH694" s="408">
        <v>0</v>
      </c>
      <c r="BI694" s="408">
        <v>0</v>
      </c>
      <c r="BJ694" s="408">
        <v>0</v>
      </c>
      <c r="BK694" s="408">
        <v>0</v>
      </c>
      <c r="BL694" s="408">
        <v>0</v>
      </c>
      <c r="BM694" s="408"/>
      <c r="BN694" s="408"/>
      <c r="BO694" s="408"/>
      <c r="BP694" s="408"/>
      <c r="BQ694" s="408"/>
      <c r="BR694" s="408"/>
      <c r="BS694" s="408">
        <v>93.651271999999992</v>
      </c>
      <c r="BT694" s="408"/>
      <c r="BU694" s="408"/>
      <c r="BV694" s="408">
        <v>50.915594524539102</v>
      </c>
      <c r="BW694" s="408"/>
      <c r="BX694" s="408"/>
      <c r="BY694" s="408"/>
      <c r="BZ694" s="408"/>
      <c r="CA694" s="408"/>
      <c r="CB694" s="408"/>
      <c r="CC694" s="408"/>
      <c r="CD694" s="408"/>
      <c r="CE694" s="408"/>
      <c r="CF694" s="408"/>
      <c r="CG694" s="408"/>
      <c r="CH694" s="408"/>
      <c r="CI694" s="408">
        <v>49.261300000000006</v>
      </c>
      <c r="CJ694" s="408">
        <v>-4.9002359999999925</v>
      </c>
      <c r="CK694" s="408"/>
      <c r="CL694" s="408"/>
      <c r="CM694" s="408"/>
      <c r="CN694" s="408"/>
      <c r="CO694" s="408">
        <v>-15.389959999999999</v>
      </c>
      <c r="CP694" s="408">
        <v>6.1315600000000003</v>
      </c>
      <c r="CQ694" s="408">
        <v>30</v>
      </c>
      <c r="CR694" s="408">
        <v>7.3576427776077225</v>
      </c>
      <c r="CS694" s="408">
        <v>0.15376505578429733</v>
      </c>
      <c r="CT694" s="408">
        <v>0.71698377063036123</v>
      </c>
      <c r="CU694" s="408">
        <v>0</v>
      </c>
      <c r="CV694" s="408">
        <v>0</v>
      </c>
      <c r="CW694" s="408">
        <v>0</v>
      </c>
      <c r="CX694" s="408">
        <v>0</v>
      </c>
      <c r="CY694" s="408">
        <v>0</v>
      </c>
      <c r="CZ694" s="408">
        <v>0.71911665593973784</v>
      </c>
      <c r="DA694" s="408">
        <v>0</v>
      </c>
      <c r="DB694" s="408">
        <v>0</v>
      </c>
      <c r="DC694" s="408">
        <v>6.1308677114183112</v>
      </c>
      <c r="DD694" s="408">
        <v>0</v>
      </c>
      <c r="DE694" s="408">
        <v>0</v>
      </c>
      <c r="DF694" s="408">
        <v>0</v>
      </c>
      <c r="DG694" s="408">
        <v>0.32175959628728235</v>
      </c>
      <c r="DH694" s="408">
        <v>0</v>
      </c>
      <c r="DI694" s="408">
        <v>-0.59352582553756861</v>
      </c>
      <c r="DJ694" s="408"/>
      <c r="DK694" s="408">
        <v>0</v>
      </c>
      <c r="DL694" s="408">
        <v>0</v>
      </c>
      <c r="DM694" s="408">
        <v>0</v>
      </c>
      <c r="DN694" s="408">
        <v>0</v>
      </c>
      <c r="DO694" s="408">
        <v>-8.1619340751901248E-2</v>
      </c>
      <c r="DP694" s="408">
        <v>-9.7048461627727289E-3</v>
      </c>
      <c r="DQ694" s="408">
        <v>0</v>
      </c>
      <c r="DR694" s="408">
        <v>0</v>
      </c>
      <c r="DS694" s="408"/>
      <c r="DT694" s="408"/>
      <c r="DU694" s="408"/>
      <c r="DV694" s="408">
        <v>66.892538045415904</v>
      </c>
      <c r="DW694" s="408">
        <v>0</v>
      </c>
      <c r="DX694" s="408">
        <v>0</v>
      </c>
      <c r="DY694" s="408">
        <v>-15.389960000000002</v>
      </c>
      <c r="DZ694" s="408">
        <v>6.1315600000000003</v>
      </c>
      <c r="EA694" s="408">
        <v>0</v>
      </c>
      <c r="EB694" s="408">
        <v>0</v>
      </c>
      <c r="EC694" s="408">
        <v>-16.61724111958133</v>
      </c>
      <c r="ED694" s="408">
        <v>0</v>
      </c>
      <c r="EE694" s="408">
        <v>0</v>
      </c>
      <c r="EF694" s="408">
        <v>0</v>
      </c>
      <c r="EG694" s="408">
        <v>0</v>
      </c>
      <c r="EH694" s="408">
        <v>0</v>
      </c>
      <c r="EI694" s="408">
        <v>0</v>
      </c>
      <c r="EJ694" s="408">
        <v>0</v>
      </c>
      <c r="EK694" s="408">
        <v>0</v>
      </c>
      <c r="EL694" s="408">
        <v>0</v>
      </c>
      <c r="EM694" s="408">
        <v>0</v>
      </c>
      <c r="EN694" s="408">
        <v>0</v>
      </c>
      <c r="EO694" s="408">
        <v>0</v>
      </c>
      <c r="EP694" s="408">
        <v>4.4637819638773504</v>
      </c>
      <c r="EQ694" s="408">
        <v>0</v>
      </c>
      <c r="ER694" s="408">
        <v>0</v>
      </c>
      <c r="ES694" s="408">
        <v>0</v>
      </c>
      <c r="ET694" s="408">
        <v>0</v>
      </c>
      <c r="EU694" s="408">
        <v>0</v>
      </c>
      <c r="EV694" s="408">
        <v>240</v>
      </c>
      <c r="EW694" s="408">
        <v>0</v>
      </c>
      <c r="EX694" s="408">
        <v>0</v>
      </c>
      <c r="EY694" s="408">
        <v>0</v>
      </c>
      <c r="EZ694" s="408"/>
      <c r="FA694" s="408">
        <v>0</v>
      </c>
      <c r="FB694" s="408"/>
      <c r="FC694" s="408"/>
      <c r="FD694" s="408"/>
      <c r="FE694" s="408"/>
      <c r="FF694" s="408">
        <v>0</v>
      </c>
      <c r="FG694" s="408">
        <v>0</v>
      </c>
      <c r="FH694" s="408">
        <v>0</v>
      </c>
      <c r="FI694" s="408">
        <v>0</v>
      </c>
    </row>
    <row r="695" spans="1:165">
      <c r="A695" s="408">
        <v>693</v>
      </c>
      <c r="B695" s="408" t="s">
        <v>1036</v>
      </c>
      <c r="C695" s="408" t="s">
        <v>2235</v>
      </c>
      <c r="D695" s="408" t="s">
        <v>1955</v>
      </c>
      <c r="E695" s="408" t="s">
        <v>969</v>
      </c>
      <c r="F695" s="408" t="s">
        <v>969</v>
      </c>
      <c r="G695" s="408" t="s">
        <v>1322</v>
      </c>
      <c r="H695" s="408" t="s">
        <v>1322</v>
      </c>
      <c r="I695" s="408" t="s">
        <v>1322</v>
      </c>
      <c r="J695" s="408" t="s">
        <v>2236</v>
      </c>
      <c r="K695" s="826">
        <v>44682</v>
      </c>
      <c r="L695" s="408">
        <v>0</v>
      </c>
      <c r="M695" s="408">
        <v>0</v>
      </c>
      <c r="N695" s="408">
        <v>7972.5720000000001</v>
      </c>
      <c r="O695" s="408">
        <v>7972.5720000000001</v>
      </c>
      <c r="P695" s="408">
        <v>7972.5720000000001</v>
      </c>
      <c r="Q695" s="408">
        <v>7972.5720000000001</v>
      </c>
      <c r="R695" s="408"/>
      <c r="S695" s="408">
        <v>368.24</v>
      </c>
      <c r="T695" s="408">
        <v>173.25</v>
      </c>
      <c r="U695" s="408"/>
      <c r="V695" s="408">
        <v>4317068.0122800004</v>
      </c>
      <c r="W695" s="408">
        <v>4317068.0122800004</v>
      </c>
      <c r="X695" s="408">
        <v>4057162.1650799997</v>
      </c>
      <c r="Y695" s="408">
        <v>0</v>
      </c>
      <c r="Z695" s="408">
        <v>490673.40431017085</v>
      </c>
      <c r="AA695" s="408">
        <v>0</v>
      </c>
      <c r="AB695" s="408">
        <v>0</v>
      </c>
      <c r="AC695" s="408">
        <v>20406.095928202609</v>
      </c>
      <c r="AD695" s="408">
        <v>19605.682364003067</v>
      </c>
      <c r="AE695" s="408">
        <v>1877836.534612034</v>
      </c>
      <c r="AF695" s="408">
        <v>1358051.6662552902</v>
      </c>
      <c r="AG695" s="408">
        <v>23178.128643054315</v>
      </c>
      <c r="AH695" s="408">
        <v>0</v>
      </c>
      <c r="AI695" s="408">
        <v>0</v>
      </c>
      <c r="AJ695" s="408">
        <v>0</v>
      </c>
      <c r="AK695" s="408">
        <v>0</v>
      </c>
      <c r="AL695" s="408">
        <v>75811.428536156804</v>
      </c>
      <c r="AM695" s="408"/>
      <c r="AN695" s="408">
        <v>9629.7246209402183</v>
      </c>
      <c r="AO695" s="408">
        <v>43318.137208881628</v>
      </c>
      <c r="AP695" s="408">
        <v>201986.08321175291</v>
      </c>
      <c r="AQ695" s="408">
        <v>0</v>
      </c>
      <c r="AR695" s="408">
        <v>0</v>
      </c>
      <c r="AS695" s="408">
        <v>0</v>
      </c>
      <c r="AT695" s="408">
        <v>0</v>
      </c>
      <c r="AU695" s="408">
        <v>0</v>
      </c>
      <c r="AV695" s="408">
        <v>0</v>
      </c>
      <c r="AW695" s="408">
        <v>0</v>
      </c>
      <c r="AX695" s="408">
        <v>0</v>
      </c>
      <c r="AY695" s="408">
        <v>0</v>
      </c>
      <c r="AZ695" s="408">
        <v>0</v>
      </c>
      <c r="BA695" s="408"/>
      <c r="BB695" s="408">
        <v>0</v>
      </c>
      <c r="BC695" s="408">
        <v>0</v>
      </c>
      <c r="BD695" s="408">
        <v>0</v>
      </c>
      <c r="BE695" s="408">
        <v>0</v>
      </c>
      <c r="BF695" s="408">
        <v>0</v>
      </c>
      <c r="BG695" s="408">
        <v>71273.133990110757</v>
      </c>
      <c r="BH695" s="408">
        <v>0</v>
      </c>
      <c r="BI695" s="408">
        <v>2698.67</v>
      </c>
      <c r="BJ695" s="408">
        <v>37512.07</v>
      </c>
      <c r="BK695" s="408">
        <v>1371278.34</v>
      </c>
      <c r="BL695" s="408">
        <v>45520</v>
      </c>
      <c r="BM695" s="408"/>
      <c r="BN695" s="408"/>
      <c r="BO695" s="408"/>
      <c r="BP695" s="408"/>
      <c r="BQ695" s="408"/>
      <c r="BR695" s="408"/>
      <c r="BS695" s="408"/>
      <c r="BT695" s="408"/>
      <c r="BU695" s="408"/>
      <c r="BV695" s="408">
        <v>1429324.800245401</v>
      </c>
      <c r="BW695" s="408"/>
      <c r="BX695" s="408"/>
      <c r="BY695" s="408"/>
      <c r="BZ695" s="408"/>
      <c r="CA695" s="408"/>
      <c r="CB695" s="408"/>
      <c r="CC695" s="408"/>
      <c r="CD695" s="408"/>
      <c r="CE695" s="408"/>
      <c r="CF695" s="408"/>
      <c r="CG695" s="408"/>
      <c r="CH695" s="408"/>
      <c r="CI695" s="408">
        <v>4057161.1473000003</v>
      </c>
      <c r="CJ695" s="408">
        <v>-259906.8949799994</v>
      </c>
      <c r="CK695" s="408"/>
      <c r="CL695" s="408"/>
      <c r="CM695" s="408"/>
      <c r="CN695" s="408"/>
      <c r="CO695" s="408">
        <v>-432033.67667999998</v>
      </c>
      <c r="CP695" s="408">
        <v>172127.82948000004</v>
      </c>
      <c r="CQ695" s="408">
        <v>31</v>
      </c>
      <c r="CR695" s="408">
        <v>206546.96054492146</v>
      </c>
      <c r="CS695" s="408">
        <v>4316.5597828321406</v>
      </c>
      <c r="CT695" s="408">
        <v>20127.481458387454</v>
      </c>
      <c r="CU695" s="408">
        <v>0</v>
      </c>
      <c r="CV695" s="408">
        <v>0</v>
      </c>
      <c r="CW695" s="408">
        <v>0</v>
      </c>
      <c r="CX695" s="408">
        <v>0</v>
      </c>
      <c r="CY695" s="408">
        <v>0</v>
      </c>
      <c r="CZ695" s="408">
        <v>20187.356746052068</v>
      </c>
      <c r="DA695" s="408">
        <v>0</v>
      </c>
      <c r="DB695" s="408">
        <v>0</v>
      </c>
      <c r="DC695" s="408">
        <v>172108.39525266807</v>
      </c>
      <c r="DD695" s="408">
        <v>0</v>
      </c>
      <c r="DE695" s="408">
        <v>0</v>
      </c>
      <c r="DF695" s="408">
        <v>0</v>
      </c>
      <c r="DG695" s="408">
        <v>9032.5758735608979</v>
      </c>
      <c r="DH695" s="408">
        <v>0</v>
      </c>
      <c r="DI695" s="408">
        <v>-16661.716119569319</v>
      </c>
      <c r="DJ695" s="408"/>
      <c r="DK695" s="408">
        <v>0</v>
      </c>
      <c r="DL695" s="408">
        <v>0</v>
      </c>
      <c r="DM695" s="408">
        <v>0</v>
      </c>
      <c r="DN695" s="408">
        <v>0</v>
      </c>
      <c r="DO695" s="408">
        <v>-2291.2537702009286</v>
      </c>
      <c r="DP695" s="408">
        <v>-272.43867880855396</v>
      </c>
      <c r="DQ695" s="408">
        <v>0</v>
      </c>
      <c r="DR695" s="408">
        <v>0</v>
      </c>
      <c r="DS695" s="408"/>
      <c r="DT695" s="408"/>
      <c r="DU695" s="408"/>
      <c r="DV695" s="408">
        <v>1877836.534612034</v>
      </c>
      <c r="DW695" s="408">
        <v>0</v>
      </c>
      <c r="DX695" s="408">
        <v>0</v>
      </c>
      <c r="DY695" s="408">
        <v>-432033.67668000003</v>
      </c>
      <c r="DZ695" s="408">
        <v>172127.82948000007</v>
      </c>
      <c r="EA695" s="408">
        <v>0</v>
      </c>
      <c r="EB695" s="408">
        <v>0</v>
      </c>
      <c r="EC695" s="408">
        <v>-466486.44812402385</v>
      </c>
      <c r="ED695" s="408">
        <v>0</v>
      </c>
      <c r="EE695" s="408">
        <v>0</v>
      </c>
      <c r="EF695" s="408">
        <v>0</v>
      </c>
      <c r="EG695" s="408">
        <v>0</v>
      </c>
      <c r="EH695" s="408">
        <v>0</v>
      </c>
      <c r="EI695" s="408">
        <v>0</v>
      </c>
      <c r="EJ695" s="408">
        <v>0</v>
      </c>
      <c r="EK695" s="408">
        <v>0</v>
      </c>
      <c r="EL695" s="408">
        <v>0</v>
      </c>
      <c r="EM695" s="408">
        <v>0</v>
      </c>
      <c r="EN695" s="408">
        <v>0</v>
      </c>
      <c r="EO695" s="408">
        <v>0</v>
      </c>
      <c r="EP695" s="408">
        <v>125309.23626518867</v>
      </c>
      <c r="EQ695" s="408">
        <v>0</v>
      </c>
      <c r="ER695" s="408">
        <v>0</v>
      </c>
      <c r="ES695" s="408">
        <v>0</v>
      </c>
      <c r="ET695" s="408">
        <v>0</v>
      </c>
      <c r="EU695" s="408">
        <v>0</v>
      </c>
      <c r="EV695" s="408">
        <v>240</v>
      </c>
      <c r="EW695" s="408">
        <v>0</v>
      </c>
      <c r="EX695" s="408">
        <v>0</v>
      </c>
      <c r="EY695" s="408">
        <v>0</v>
      </c>
      <c r="EZ695" s="408"/>
      <c r="FA695" s="408">
        <v>0</v>
      </c>
      <c r="FB695" s="408"/>
      <c r="FC695" s="408"/>
      <c r="FD695" s="408"/>
      <c r="FE695" s="408"/>
      <c r="FF695" s="408">
        <v>0</v>
      </c>
      <c r="FG695" s="408">
        <v>0</v>
      </c>
      <c r="FH695" s="408">
        <v>0</v>
      </c>
      <c r="FI695" s="408">
        <v>0</v>
      </c>
    </row>
    <row r="696" spans="1:165">
      <c r="A696" s="408">
        <v>694</v>
      </c>
      <c r="B696" s="408" t="s">
        <v>2237</v>
      </c>
      <c r="C696" s="408" t="s">
        <v>2235</v>
      </c>
      <c r="D696" s="408" t="s">
        <v>1955</v>
      </c>
      <c r="E696" s="408" t="s">
        <v>969</v>
      </c>
      <c r="F696" s="408" t="s">
        <v>969</v>
      </c>
      <c r="G696" s="408" t="s">
        <v>1322</v>
      </c>
      <c r="H696" s="408" t="s">
        <v>1322</v>
      </c>
      <c r="I696" s="408" t="s">
        <v>1322</v>
      </c>
      <c r="J696" s="408" t="s">
        <v>2236</v>
      </c>
      <c r="K696" s="826">
        <v>44682</v>
      </c>
      <c r="L696" s="408">
        <v>0</v>
      </c>
      <c r="M696" s="408">
        <v>0</v>
      </c>
      <c r="N696" s="408">
        <v>-1.611</v>
      </c>
      <c r="O696" s="408">
        <v>-1.611</v>
      </c>
      <c r="P696" s="408">
        <v>-1.611</v>
      </c>
      <c r="Q696" s="408">
        <v>-1.611</v>
      </c>
      <c r="R696" s="408"/>
      <c r="S696" s="408">
        <v>368.24</v>
      </c>
      <c r="T696" s="408">
        <v>173.25</v>
      </c>
      <c r="U696" s="408"/>
      <c r="V696" s="408">
        <v>-872.34039000000007</v>
      </c>
      <c r="W696" s="408">
        <v>-872.34039000000007</v>
      </c>
      <c r="X696" s="408">
        <v>-819.82178999999996</v>
      </c>
      <c r="Y696" s="408">
        <v>0</v>
      </c>
      <c r="Z696" s="408">
        <v>-99.149290134185719</v>
      </c>
      <c r="AA696" s="408">
        <v>0</v>
      </c>
      <c r="AB696" s="408">
        <v>0</v>
      </c>
      <c r="AC696" s="408">
        <v>-4.1234146948230013</v>
      </c>
      <c r="AD696" s="408">
        <v>-3.9616768952866077</v>
      </c>
      <c r="AE696" s="408">
        <v>-379.45027743367973</v>
      </c>
      <c r="AF696" s="408">
        <v>-274.41849811293923</v>
      </c>
      <c r="AG696" s="408">
        <v>-4.6835532177019541</v>
      </c>
      <c r="AH696" s="408">
        <v>0</v>
      </c>
      <c r="AI696" s="408">
        <v>0</v>
      </c>
      <c r="AJ696" s="408">
        <v>0</v>
      </c>
      <c r="AK696" s="408">
        <v>0</v>
      </c>
      <c r="AL696" s="408">
        <v>-15.319047776771235</v>
      </c>
      <c r="AM696" s="408"/>
      <c r="AN696" s="408">
        <v>-1.9458571668383418</v>
      </c>
      <c r="AO696" s="408">
        <v>-8.7532002274182421</v>
      </c>
      <c r="AP696" s="408">
        <v>-40.814881327397721</v>
      </c>
      <c r="AQ696" s="408">
        <v>0</v>
      </c>
      <c r="AR696" s="408">
        <v>0</v>
      </c>
      <c r="AS696" s="408">
        <v>0</v>
      </c>
      <c r="AT696" s="408">
        <v>0</v>
      </c>
      <c r="AU696" s="408">
        <v>0</v>
      </c>
      <c r="AV696" s="408">
        <v>0</v>
      </c>
      <c r="AW696" s="408">
        <v>0</v>
      </c>
      <c r="AX696" s="408">
        <v>0</v>
      </c>
      <c r="AY696" s="408">
        <v>0</v>
      </c>
      <c r="AZ696" s="408">
        <v>0</v>
      </c>
      <c r="BA696" s="408"/>
      <c r="BB696" s="408">
        <v>0</v>
      </c>
      <c r="BC696" s="408">
        <v>0</v>
      </c>
      <c r="BD696" s="408">
        <v>0</v>
      </c>
      <c r="BE696" s="408">
        <v>0</v>
      </c>
      <c r="BF696" s="408">
        <v>0</v>
      </c>
      <c r="BG696" s="408">
        <v>-14.402004630132964</v>
      </c>
      <c r="BH696" s="408">
        <v>0</v>
      </c>
      <c r="BI696" s="408">
        <v>-0.76</v>
      </c>
      <c r="BJ696" s="408">
        <v>-6.41</v>
      </c>
      <c r="BK696" s="408">
        <v>-350.03</v>
      </c>
      <c r="BL696" s="408">
        <v>0</v>
      </c>
      <c r="BM696" s="408"/>
      <c r="BN696" s="408"/>
      <c r="BO696" s="408"/>
      <c r="BP696" s="408"/>
      <c r="BQ696" s="408"/>
      <c r="BR696" s="408"/>
      <c r="BS696" s="408"/>
      <c r="BT696" s="408"/>
      <c r="BU696" s="408"/>
      <c r="BV696" s="408">
        <v>-288.82050274307221</v>
      </c>
      <c r="BW696" s="408"/>
      <c r="BX696" s="408"/>
      <c r="BY696" s="408"/>
      <c r="BZ696" s="408"/>
      <c r="CA696" s="408"/>
      <c r="CB696" s="408"/>
      <c r="CC696" s="408"/>
      <c r="CD696" s="408"/>
      <c r="CE696" s="408"/>
      <c r="CF696" s="408"/>
      <c r="CG696" s="408"/>
      <c r="CH696" s="408"/>
      <c r="CI696" s="408">
        <v>-819.31290000000013</v>
      </c>
      <c r="CJ696" s="408">
        <v>52.997489999999971</v>
      </c>
      <c r="CK696" s="408"/>
      <c r="CL696" s="408"/>
      <c r="CM696" s="408"/>
      <c r="CN696" s="408"/>
      <c r="CO696" s="408">
        <v>87.300089999999997</v>
      </c>
      <c r="CP696" s="408">
        <v>-34.781490000000005</v>
      </c>
      <c r="CQ696" s="408">
        <v>31</v>
      </c>
      <c r="CR696" s="408">
        <v>-41.736487727908809</v>
      </c>
      <c r="CS696" s="408">
        <v>-0.87223769319895439</v>
      </c>
      <c r="CT696" s="408">
        <v>-4.0671156848081438</v>
      </c>
      <c r="CU696" s="408">
        <v>0</v>
      </c>
      <c r="CV696" s="408">
        <v>0</v>
      </c>
      <c r="CW696" s="408">
        <v>0</v>
      </c>
      <c r="CX696" s="408">
        <v>0</v>
      </c>
      <c r="CY696" s="408">
        <v>0</v>
      </c>
      <c r="CZ696" s="408">
        <v>-4.0792145518271745</v>
      </c>
      <c r="DA696" s="408">
        <v>0</v>
      </c>
      <c r="DB696" s="408">
        <v>0</v>
      </c>
      <c r="DC696" s="408">
        <v>-34.77756296864402</v>
      </c>
      <c r="DD696" s="408">
        <v>0</v>
      </c>
      <c r="DE696" s="408">
        <v>0</v>
      </c>
      <c r="DF696" s="408">
        <v>0</v>
      </c>
      <c r="DG696" s="408">
        <v>-1.825192639502859</v>
      </c>
      <c r="DH696" s="408">
        <v>0</v>
      </c>
      <c r="DI696" s="408">
        <v>3.3667961441585277</v>
      </c>
      <c r="DJ696" s="408"/>
      <c r="DK696" s="408">
        <v>0</v>
      </c>
      <c r="DL696" s="408">
        <v>0</v>
      </c>
      <c r="DM696" s="408">
        <v>0</v>
      </c>
      <c r="DN696" s="408">
        <v>0</v>
      </c>
      <c r="DO696" s="408">
        <v>0.46298858433560675</v>
      </c>
      <c r="DP696" s="408">
        <v>5.5051081578263661E-2</v>
      </c>
      <c r="DQ696" s="408">
        <v>0</v>
      </c>
      <c r="DR696" s="408">
        <v>0</v>
      </c>
      <c r="DS696" s="408"/>
      <c r="DT696" s="408"/>
      <c r="DU696" s="408"/>
      <c r="DV696" s="408">
        <v>-379.45027743367973</v>
      </c>
      <c r="DW696" s="408">
        <v>0</v>
      </c>
      <c r="DX696" s="408">
        <v>0</v>
      </c>
      <c r="DY696" s="408">
        <v>87.300090000000012</v>
      </c>
      <c r="DZ696" s="408">
        <v>-34.781490000000019</v>
      </c>
      <c r="EA696" s="408">
        <v>0</v>
      </c>
      <c r="EB696" s="408">
        <v>0</v>
      </c>
      <c r="EC696" s="408">
        <v>94.26188536494908</v>
      </c>
      <c r="ED696" s="408">
        <v>0</v>
      </c>
      <c r="EE696" s="408">
        <v>0</v>
      </c>
      <c r="EF696" s="408">
        <v>0</v>
      </c>
      <c r="EG696" s="408">
        <v>0</v>
      </c>
      <c r="EH696" s="408">
        <v>0</v>
      </c>
      <c r="EI696" s="408">
        <v>0</v>
      </c>
      <c r="EJ696" s="408">
        <v>0</v>
      </c>
      <c r="EK696" s="408">
        <v>0</v>
      </c>
      <c r="EL696" s="408">
        <v>0</v>
      </c>
      <c r="EM696" s="408">
        <v>0</v>
      </c>
      <c r="EN696" s="408">
        <v>0</v>
      </c>
      <c r="EO696" s="408">
        <v>0</v>
      </c>
      <c r="EP696" s="408">
        <v>-25.320960365515536</v>
      </c>
      <c r="EQ696" s="408">
        <v>0</v>
      </c>
      <c r="ER696" s="408">
        <v>0</v>
      </c>
      <c r="ES696" s="408">
        <v>0</v>
      </c>
      <c r="ET696" s="408">
        <v>0</v>
      </c>
      <c r="EU696" s="408">
        <v>0</v>
      </c>
      <c r="EV696" s="408">
        <v>240</v>
      </c>
      <c r="EW696" s="408">
        <v>0</v>
      </c>
      <c r="EX696" s="408">
        <v>0</v>
      </c>
      <c r="EY696" s="408">
        <v>0</v>
      </c>
      <c r="EZ696" s="408"/>
      <c r="FA696" s="408">
        <v>0</v>
      </c>
      <c r="FB696" s="408"/>
      <c r="FC696" s="408"/>
      <c r="FD696" s="408"/>
      <c r="FE696" s="408"/>
      <c r="FF696" s="408">
        <v>0</v>
      </c>
      <c r="FG696" s="408">
        <v>0</v>
      </c>
      <c r="FH696" s="408">
        <v>0</v>
      </c>
      <c r="FI696" s="408">
        <v>0</v>
      </c>
    </row>
    <row r="697" spans="1:165">
      <c r="A697" s="408">
        <v>695</v>
      </c>
      <c r="B697" s="408" t="s">
        <v>2238</v>
      </c>
      <c r="C697" s="408" t="s">
        <v>2235</v>
      </c>
      <c r="D697" s="408" t="s">
        <v>1955</v>
      </c>
      <c r="E697" s="408" t="s">
        <v>969</v>
      </c>
      <c r="F697" s="408" t="s">
        <v>969</v>
      </c>
      <c r="G697" s="408" t="s">
        <v>1322</v>
      </c>
      <c r="H697" s="408" t="s">
        <v>1322</v>
      </c>
      <c r="I697" s="408" t="s">
        <v>1322</v>
      </c>
      <c r="J697" s="408" t="s">
        <v>2236</v>
      </c>
      <c r="K697" s="826">
        <v>44682</v>
      </c>
      <c r="L697" s="408">
        <v>0</v>
      </c>
      <c r="M697" s="408">
        <v>0</v>
      </c>
      <c r="N697" s="408">
        <v>196.256</v>
      </c>
      <c r="O697" s="408">
        <v>196.256</v>
      </c>
      <c r="P697" s="408">
        <v>196.256</v>
      </c>
      <c r="Q697" s="408">
        <v>196.256</v>
      </c>
      <c r="R697" s="408"/>
      <c r="S697" s="408">
        <v>368.24</v>
      </c>
      <c r="T697" s="408">
        <v>173.25</v>
      </c>
      <c r="U697" s="408"/>
      <c r="V697" s="408">
        <v>106270.66144</v>
      </c>
      <c r="W697" s="408">
        <v>106270.66144</v>
      </c>
      <c r="X697" s="408">
        <v>99872.715840000004</v>
      </c>
      <c r="Y697" s="408">
        <v>0</v>
      </c>
      <c r="Z697" s="408">
        <v>12078.611473975638</v>
      </c>
      <c r="AA697" s="408">
        <v>0</v>
      </c>
      <c r="AB697" s="408">
        <v>0</v>
      </c>
      <c r="AC697" s="408">
        <v>502.32456508205019</v>
      </c>
      <c r="AD697" s="408">
        <v>482.62126676683334</v>
      </c>
      <c r="AE697" s="408">
        <v>46225.570234651925</v>
      </c>
      <c r="AF697" s="408">
        <v>33430.339395191186</v>
      </c>
      <c r="AG697" s="408">
        <v>570.56202376990359</v>
      </c>
      <c r="AH697" s="408">
        <v>0</v>
      </c>
      <c r="AI697" s="408">
        <v>0</v>
      </c>
      <c r="AJ697" s="408">
        <v>0</v>
      </c>
      <c r="AK697" s="408">
        <v>0</v>
      </c>
      <c r="AL697" s="408">
        <v>1866.2042461067756</v>
      </c>
      <c r="AM697" s="408"/>
      <c r="AN697" s="408">
        <v>237.04912733396995</v>
      </c>
      <c r="AO697" s="408">
        <v>1066.3364766183702</v>
      </c>
      <c r="AP697" s="408">
        <v>4972.1696770886201</v>
      </c>
      <c r="AQ697" s="408">
        <v>0</v>
      </c>
      <c r="AR697" s="408">
        <v>0</v>
      </c>
      <c r="AS697" s="408">
        <v>0</v>
      </c>
      <c r="AT697" s="408">
        <v>0</v>
      </c>
      <c r="AU697" s="408">
        <v>0</v>
      </c>
      <c r="AV697" s="408">
        <v>0</v>
      </c>
      <c r="AW697" s="408">
        <v>0</v>
      </c>
      <c r="AX697" s="408">
        <v>0</v>
      </c>
      <c r="AY697" s="408">
        <v>0</v>
      </c>
      <c r="AZ697" s="408">
        <v>0</v>
      </c>
      <c r="BA697" s="408"/>
      <c r="BB697" s="408">
        <v>0</v>
      </c>
      <c r="BC697" s="408">
        <v>0</v>
      </c>
      <c r="BD697" s="408">
        <v>0</v>
      </c>
      <c r="BE697" s="408">
        <v>0</v>
      </c>
      <c r="BF697" s="408">
        <v>0</v>
      </c>
      <c r="BG697" s="408">
        <v>1754.4877844142613</v>
      </c>
      <c r="BH697" s="408">
        <v>0</v>
      </c>
      <c r="BI697" s="408">
        <v>64.33</v>
      </c>
      <c r="BJ697" s="408">
        <v>913.77</v>
      </c>
      <c r="BK697" s="408">
        <v>81238.100000000006</v>
      </c>
      <c r="BL697" s="408">
        <v>1927</v>
      </c>
      <c r="BM697" s="408"/>
      <c r="BN697" s="408"/>
      <c r="BO697" s="408"/>
      <c r="BP697" s="408"/>
      <c r="BQ697" s="408"/>
      <c r="BR697" s="408"/>
      <c r="BS697" s="408"/>
      <c r="BT697" s="408"/>
      <c r="BU697" s="408"/>
      <c r="BV697" s="408">
        <v>35184.827179605447</v>
      </c>
      <c r="BW697" s="408"/>
      <c r="BX697" s="408"/>
      <c r="BY697" s="408"/>
      <c r="BZ697" s="408"/>
      <c r="CA697" s="408"/>
      <c r="CB697" s="408"/>
      <c r="CC697" s="408"/>
      <c r="CD697" s="408"/>
      <c r="CE697" s="408"/>
      <c r="CF697" s="408"/>
      <c r="CG697" s="408"/>
      <c r="CH697" s="408"/>
      <c r="CI697" s="408">
        <v>99874.751400000008</v>
      </c>
      <c r="CJ697" s="408">
        <v>-6395.9400399999722</v>
      </c>
      <c r="CK697" s="408"/>
      <c r="CL697" s="408"/>
      <c r="CM697" s="408"/>
      <c r="CN697" s="408"/>
      <c r="CO697" s="408">
        <v>-10635.112639999999</v>
      </c>
      <c r="CP697" s="408">
        <v>4237.1670400000003</v>
      </c>
      <c r="CQ697" s="408">
        <v>31</v>
      </c>
      <c r="CR697" s="408">
        <v>5084.4420456414955</v>
      </c>
      <c r="CS697" s="408">
        <v>106.25815066198265</v>
      </c>
      <c r="CT697" s="408">
        <v>495.46608059447954</v>
      </c>
      <c r="CU697" s="408">
        <v>0</v>
      </c>
      <c r="CV697" s="408">
        <v>0</v>
      </c>
      <c r="CW697" s="408">
        <v>0</v>
      </c>
      <c r="CX697" s="408">
        <v>0</v>
      </c>
      <c r="CY697" s="408">
        <v>0</v>
      </c>
      <c r="CZ697" s="408">
        <v>496.93999446517324</v>
      </c>
      <c r="DA697" s="408">
        <v>0</v>
      </c>
      <c r="DB697" s="408">
        <v>0</v>
      </c>
      <c r="DC697" s="408">
        <v>4236.6886393384266</v>
      </c>
      <c r="DD697" s="408">
        <v>0</v>
      </c>
      <c r="DE697" s="408">
        <v>0</v>
      </c>
      <c r="DF697" s="408">
        <v>0</v>
      </c>
      <c r="DG697" s="408">
        <v>222.34947651041171</v>
      </c>
      <c r="DH697" s="408">
        <v>0</v>
      </c>
      <c r="DI697" s="408">
        <v>-410.15142400246805</v>
      </c>
      <c r="DJ697" s="408"/>
      <c r="DK697" s="408">
        <v>0</v>
      </c>
      <c r="DL697" s="408">
        <v>0</v>
      </c>
      <c r="DM697" s="408">
        <v>0</v>
      </c>
      <c r="DN697" s="408">
        <v>0</v>
      </c>
      <c r="DO697" s="408">
        <v>-56.4024131641022</v>
      </c>
      <c r="DP697" s="408">
        <v>-6.7064587623983414</v>
      </c>
      <c r="DQ697" s="408">
        <v>0</v>
      </c>
      <c r="DR697" s="408">
        <v>0</v>
      </c>
      <c r="DS697" s="408"/>
      <c r="DT697" s="408"/>
      <c r="DU697" s="408"/>
      <c r="DV697" s="408">
        <v>46225.570234651925</v>
      </c>
      <c r="DW697" s="408">
        <v>0</v>
      </c>
      <c r="DX697" s="408">
        <v>0</v>
      </c>
      <c r="DY697" s="408">
        <v>-10635.112639999992</v>
      </c>
      <c r="DZ697" s="408">
        <v>4237.1670400000003</v>
      </c>
      <c r="EA697" s="408">
        <v>0</v>
      </c>
      <c r="EB697" s="408">
        <v>0</v>
      </c>
      <c r="EC697" s="408">
        <v>-11483.215750579417</v>
      </c>
      <c r="ED697" s="408">
        <v>0</v>
      </c>
      <c r="EE697" s="408">
        <v>0</v>
      </c>
      <c r="EF697" s="408">
        <v>0</v>
      </c>
      <c r="EG697" s="408">
        <v>0</v>
      </c>
      <c r="EH697" s="408">
        <v>0</v>
      </c>
      <c r="EI697" s="408">
        <v>0</v>
      </c>
      <c r="EJ697" s="408">
        <v>0</v>
      </c>
      <c r="EK697" s="408">
        <v>0</v>
      </c>
      <c r="EL697" s="408">
        <v>0</v>
      </c>
      <c r="EM697" s="408">
        <v>0</v>
      </c>
      <c r="EN697" s="408">
        <v>0</v>
      </c>
      <c r="EO697" s="408">
        <v>0</v>
      </c>
      <c r="EP697" s="408">
        <v>3084.6619475447656</v>
      </c>
      <c r="EQ697" s="408">
        <v>0</v>
      </c>
      <c r="ER697" s="408">
        <v>0</v>
      </c>
      <c r="ES697" s="408">
        <v>0</v>
      </c>
      <c r="ET697" s="408">
        <v>0</v>
      </c>
      <c r="EU697" s="408">
        <v>0</v>
      </c>
      <c r="EV697" s="408">
        <v>240</v>
      </c>
      <c r="EW697" s="408">
        <v>0</v>
      </c>
      <c r="EX697" s="408">
        <v>0</v>
      </c>
      <c r="EY697" s="408">
        <v>0</v>
      </c>
      <c r="EZ697" s="408"/>
      <c r="FA697" s="408">
        <v>0</v>
      </c>
      <c r="FB697" s="408"/>
      <c r="FC697" s="408"/>
      <c r="FD697" s="408"/>
      <c r="FE697" s="408"/>
      <c r="FF697" s="408">
        <v>0</v>
      </c>
      <c r="FG697" s="408">
        <v>0</v>
      </c>
      <c r="FH697" s="408">
        <v>0</v>
      </c>
      <c r="FI697" s="408">
        <v>0</v>
      </c>
    </row>
    <row r="698" spans="1:165">
      <c r="A698" s="408">
        <v>696</v>
      </c>
      <c r="B698" s="408" t="s">
        <v>1036</v>
      </c>
      <c r="C698" s="408" t="s">
        <v>2235</v>
      </c>
      <c r="D698" s="408" t="s">
        <v>1955</v>
      </c>
      <c r="E698" s="408" t="s">
        <v>969</v>
      </c>
      <c r="F698" s="408" t="s">
        <v>2239</v>
      </c>
      <c r="G698" s="408" t="s">
        <v>1322</v>
      </c>
      <c r="H698" s="408" t="s">
        <v>1322</v>
      </c>
      <c r="I698" s="408" t="s">
        <v>1322</v>
      </c>
      <c r="J698" s="408" t="s">
        <v>2236</v>
      </c>
      <c r="K698" s="826">
        <v>44682</v>
      </c>
      <c r="L698" s="408">
        <v>0</v>
      </c>
      <c r="M698" s="408">
        <v>0</v>
      </c>
      <c r="N698" s="408">
        <v>59.277999999999999</v>
      </c>
      <c r="O698" s="408">
        <v>59.277999999999999</v>
      </c>
      <c r="P698" s="408">
        <v>59.277999999999999</v>
      </c>
      <c r="Q698" s="408">
        <v>59.277999999999999</v>
      </c>
      <c r="R698" s="408"/>
      <c r="S698" s="408">
        <v>281.47000000000003</v>
      </c>
      <c r="T698" s="408">
        <v>173.25</v>
      </c>
      <c r="U698" s="408"/>
      <c r="V698" s="408">
        <v>26954.892160000003</v>
      </c>
      <c r="W698" s="408">
        <v>26954.892160000003</v>
      </c>
      <c r="X698" s="408">
        <v>25163.510999999999</v>
      </c>
      <c r="Y698" s="408">
        <v>0</v>
      </c>
      <c r="Z698" s="408">
        <v>0</v>
      </c>
      <c r="AA698" s="408">
        <v>0</v>
      </c>
      <c r="AB698" s="408">
        <v>0</v>
      </c>
      <c r="AC698" s="408">
        <v>151.72425591540525</v>
      </c>
      <c r="AD698" s="408">
        <v>145.77298758460554</v>
      </c>
      <c r="AE698" s="408">
        <v>13962.168557240017</v>
      </c>
      <c r="AF698" s="408">
        <v>10097.442415356183</v>
      </c>
      <c r="AG698" s="408">
        <v>172.33498922342423</v>
      </c>
      <c r="AH698" s="408">
        <v>0</v>
      </c>
      <c r="AI698" s="408">
        <v>0</v>
      </c>
      <c r="AJ698" s="408">
        <v>0</v>
      </c>
      <c r="AK698" s="408">
        <v>0</v>
      </c>
      <c r="AL698" s="408">
        <v>0</v>
      </c>
      <c r="AM698" s="408"/>
      <c r="AN698" s="408">
        <v>71.599330313993306</v>
      </c>
      <c r="AO698" s="408">
        <v>322.08082127926662</v>
      </c>
      <c r="AP698" s="408">
        <v>1501.8153540195419</v>
      </c>
      <c r="AQ698" s="408">
        <v>0</v>
      </c>
      <c r="AR698" s="408">
        <v>0</v>
      </c>
      <c r="AS698" s="408">
        <v>0</v>
      </c>
      <c r="AT698" s="408">
        <v>0</v>
      </c>
      <c r="AU698" s="408">
        <v>0</v>
      </c>
      <c r="AV698" s="408">
        <v>0</v>
      </c>
      <c r="AW698" s="408">
        <v>0</v>
      </c>
      <c r="AX698" s="408">
        <v>0</v>
      </c>
      <c r="AY698" s="408">
        <v>0</v>
      </c>
      <c r="AZ698" s="408">
        <v>0</v>
      </c>
      <c r="BA698" s="408"/>
      <c r="BB698" s="408">
        <v>0</v>
      </c>
      <c r="BC698" s="408">
        <v>0</v>
      </c>
      <c r="BD698" s="408">
        <v>0</v>
      </c>
      <c r="BE698" s="408">
        <v>0</v>
      </c>
      <c r="BF698" s="408">
        <v>0</v>
      </c>
      <c r="BG698" s="408">
        <v>529.93297980448278</v>
      </c>
      <c r="BH698" s="408">
        <v>0</v>
      </c>
      <c r="BI698" s="408">
        <v>0</v>
      </c>
      <c r="BJ698" s="408">
        <v>78.959999999999994</v>
      </c>
      <c r="BK698" s="408">
        <v>2781.95</v>
      </c>
      <c r="BL698" s="408">
        <v>114</v>
      </c>
      <c r="BM698" s="408"/>
      <c r="BN698" s="408"/>
      <c r="BO698" s="408"/>
      <c r="BP698" s="408"/>
      <c r="BQ698" s="408"/>
      <c r="BR698" s="408"/>
      <c r="BS698" s="408"/>
      <c r="BT698" s="408">
        <v>16356.578539999999</v>
      </c>
      <c r="BU698" s="408"/>
      <c r="BV698" s="408">
        <v>10627.375395160667</v>
      </c>
      <c r="BW698" s="408"/>
      <c r="BX698" s="408"/>
      <c r="BY698" s="408"/>
      <c r="BZ698" s="408"/>
      <c r="CA698" s="408"/>
      <c r="CB698" s="408"/>
      <c r="CC698" s="408"/>
      <c r="CD698" s="408"/>
      <c r="CE698" s="408"/>
      <c r="CF698" s="408"/>
      <c r="CG698" s="408"/>
      <c r="CH698" s="408"/>
      <c r="CI698" s="408">
        <v>8807.2295999999988</v>
      </c>
      <c r="CJ698" s="408">
        <v>-627.4868800000022</v>
      </c>
      <c r="CK698" s="408"/>
      <c r="CL698" s="408"/>
      <c r="CM698" s="408"/>
      <c r="CN698" s="408"/>
      <c r="CO698" s="408">
        <v>-3071.1931800000016</v>
      </c>
      <c r="CP698" s="408">
        <v>1279.8120200000001</v>
      </c>
      <c r="CQ698" s="408">
        <v>31</v>
      </c>
      <c r="CR698" s="408">
        <v>1676.6464920364087</v>
      </c>
      <c r="CS698" s="408">
        <v>32.094665411202755</v>
      </c>
      <c r="CT698" s="408">
        <v>149.65268998389638</v>
      </c>
      <c r="CU698" s="408">
        <v>0</v>
      </c>
      <c r="CV698" s="408">
        <v>0</v>
      </c>
      <c r="CW698" s="408">
        <v>0</v>
      </c>
      <c r="CX698" s="408">
        <v>0</v>
      </c>
      <c r="CY698" s="408">
        <v>0</v>
      </c>
      <c r="CZ698" s="408">
        <v>150.09787722111193</v>
      </c>
      <c r="DA698" s="408">
        <v>0</v>
      </c>
      <c r="DB698" s="408">
        <v>0</v>
      </c>
      <c r="DC698" s="408">
        <v>1279.6675218220244</v>
      </c>
      <c r="DD698" s="408">
        <v>0</v>
      </c>
      <c r="DE698" s="408">
        <v>0</v>
      </c>
      <c r="DF698" s="408">
        <v>0</v>
      </c>
      <c r="DG698" s="408">
        <v>67.159385030695603</v>
      </c>
      <c r="DH698" s="408">
        <v>0</v>
      </c>
      <c r="DI698" s="408">
        <v>0</v>
      </c>
      <c r="DJ698" s="408"/>
      <c r="DK698" s="408">
        <v>0</v>
      </c>
      <c r="DL698" s="408">
        <v>0</v>
      </c>
      <c r="DM698" s="408">
        <v>0</v>
      </c>
      <c r="DN698" s="408">
        <v>0</v>
      </c>
      <c r="DO698" s="408">
        <v>0</v>
      </c>
      <c r="DP698" s="408">
        <v>-2.0256474325240958</v>
      </c>
      <c r="DQ698" s="408">
        <v>0</v>
      </c>
      <c r="DR698" s="408">
        <v>0</v>
      </c>
      <c r="DS698" s="408"/>
      <c r="DT698" s="408"/>
      <c r="DU698" s="408"/>
      <c r="DV698" s="408">
        <v>13962.168557240017</v>
      </c>
      <c r="DW698" s="408">
        <v>0</v>
      </c>
      <c r="DX698" s="408">
        <v>0</v>
      </c>
      <c r="DY698" s="408">
        <v>-3071.193180000002</v>
      </c>
      <c r="DZ698" s="408">
        <v>1279.8120199999994</v>
      </c>
      <c r="EA698" s="408">
        <v>0</v>
      </c>
      <c r="EB698" s="408">
        <v>0</v>
      </c>
      <c r="EC698" s="408">
        <v>-3468.4395038258535</v>
      </c>
      <c r="ED698" s="408">
        <v>0</v>
      </c>
      <c r="EE698" s="408">
        <v>0</v>
      </c>
      <c r="EF698" s="408">
        <v>0</v>
      </c>
      <c r="EG698" s="408">
        <v>0</v>
      </c>
      <c r="EH698" s="408">
        <v>0</v>
      </c>
      <c r="EI698" s="408">
        <v>0</v>
      </c>
      <c r="EJ698" s="408">
        <v>0</v>
      </c>
      <c r="EK698" s="408">
        <v>0</v>
      </c>
      <c r="EL698" s="408">
        <v>0</v>
      </c>
      <c r="EM698" s="408">
        <v>0</v>
      </c>
      <c r="EN698" s="408">
        <v>0</v>
      </c>
      <c r="EO698" s="408">
        <v>0</v>
      </c>
      <c r="EP698" s="408">
        <v>0</v>
      </c>
      <c r="EQ698" s="408">
        <v>0</v>
      </c>
      <c r="ER698" s="408">
        <v>0</v>
      </c>
      <c r="ES698" s="408">
        <v>0</v>
      </c>
      <c r="ET698" s="408">
        <v>0</v>
      </c>
      <c r="EU698" s="408">
        <v>0</v>
      </c>
      <c r="EV698" s="408">
        <v>240</v>
      </c>
      <c r="EW698" s="408">
        <v>0</v>
      </c>
      <c r="EX698" s="408">
        <v>0</v>
      </c>
      <c r="EY698" s="408">
        <v>0</v>
      </c>
      <c r="EZ698" s="408"/>
      <c r="FA698" s="408">
        <v>0</v>
      </c>
      <c r="FB698" s="408"/>
      <c r="FC698" s="408"/>
      <c r="FD698" s="408"/>
      <c r="FE698" s="408"/>
      <c r="FF698" s="408">
        <v>0</v>
      </c>
      <c r="FG698" s="408">
        <v>0</v>
      </c>
      <c r="FH698" s="408">
        <v>0</v>
      </c>
      <c r="FI698" s="408">
        <v>0</v>
      </c>
    </row>
    <row r="699" spans="1:165">
      <c r="A699" s="408">
        <v>697</v>
      </c>
      <c r="B699" s="408" t="s">
        <v>2238</v>
      </c>
      <c r="C699" s="408" t="s">
        <v>2235</v>
      </c>
      <c r="D699" s="408" t="s">
        <v>1955</v>
      </c>
      <c r="E699" s="408" t="s">
        <v>969</v>
      </c>
      <c r="F699" s="408" t="s">
        <v>2239</v>
      </c>
      <c r="G699" s="408" t="s">
        <v>1322</v>
      </c>
      <c r="H699" s="408" t="s">
        <v>1322</v>
      </c>
      <c r="I699" s="408" t="s">
        <v>1322</v>
      </c>
      <c r="J699" s="408" t="s">
        <v>2236</v>
      </c>
      <c r="K699" s="826">
        <v>44682</v>
      </c>
      <c r="L699" s="408">
        <v>0</v>
      </c>
      <c r="M699" s="408">
        <v>0</v>
      </c>
      <c r="N699" s="408">
        <v>0.35099999999999998</v>
      </c>
      <c r="O699" s="408">
        <v>-3.7557</v>
      </c>
      <c r="P699" s="408">
        <v>0.35099999999999998</v>
      </c>
      <c r="Q699" s="408">
        <v>-3.7557</v>
      </c>
      <c r="R699" s="408"/>
      <c r="S699" s="408">
        <v>281.47000000000003</v>
      </c>
      <c r="T699" s="408">
        <v>173.25</v>
      </c>
      <c r="U699" s="408"/>
      <c r="V699" s="408">
        <v>159.60672</v>
      </c>
      <c r="W699" s="408">
        <v>159.60672</v>
      </c>
      <c r="X699" s="408">
        <v>148.99950000000001</v>
      </c>
      <c r="Y699" s="408">
        <v>0</v>
      </c>
      <c r="Z699" s="408">
        <v>0</v>
      </c>
      <c r="AA699" s="408">
        <v>0</v>
      </c>
      <c r="AB699" s="408">
        <v>0</v>
      </c>
      <c r="AC699" s="408">
        <v>0.89839761507316773</v>
      </c>
      <c r="AD699" s="408">
        <v>0.86315865316300389</v>
      </c>
      <c r="AE699" s="408">
        <v>82.673524133595023</v>
      </c>
      <c r="AF699" s="408">
        <v>59.789505175444859</v>
      </c>
      <c r="AG699" s="408">
        <v>1.0204389692199787</v>
      </c>
      <c r="AH699" s="408">
        <v>0</v>
      </c>
      <c r="AI699" s="408">
        <v>0</v>
      </c>
      <c r="AJ699" s="408">
        <v>0</v>
      </c>
      <c r="AK699" s="408">
        <v>0</v>
      </c>
      <c r="AL699" s="408">
        <v>0</v>
      </c>
      <c r="AM699" s="408"/>
      <c r="AN699" s="408">
        <v>0.42395770674131467</v>
      </c>
      <c r="AO699" s="408">
        <v>1.9071218372587229</v>
      </c>
      <c r="AP699" s="408">
        <v>8.8926277752430796</v>
      </c>
      <c r="AQ699" s="408">
        <v>0</v>
      </c>
      <c r="AR699" s="408">
        <v>0</v>
      </c>
      <c r="AS699" s="408">
        <v>0</v>
      </c>
      <c r="AT699" s="408">
        <v>0</v>
      </c>
      <c r="AU699" s="408">
        <v>0</v>
      </c>
      <c r="AV699" s="408">
        <v>0</v>
      </c>
      <c r="AW699" s="408">
        <v>0</v>
      </c>
      <c r="AX699" s="408">
        <v>0</v>
      </c>
      <c r="AY699" s="408">
        <v>0</v>
      </c>
      <c r="AZ699" s="408">
        <v>0</v>
      </c>
      <c r="BA699" s="408"/>
      <c r="BB699" s="408">
        <v>0</v>
      </c>
      <c r="BC699" s="408">
        <v>0</v>
      </c>
      <c r="BD699" s="408">
        <v>0</v>
      </c>
      <c r="BE699" s="408">
        <v>0</v>
      </c>
      <c r="BF699" s="408">
        <v>0</v>
      </c>
      <c r="BG699" s="408">
        <v>3.137866930587629</v>
      </c>
      <c r="BH699" s="408">
        <v>0</v>
      </c>
      <c r="BI699" s="408">
        <v>0</v>
      </c>
      <c r="BJ699" s="408">
        <v>0.46</v>
      </c>
      <c r="BK699" s="408">
        <v>22.46</v>
      </c>
      <c r="BL699" s="408">
        <v>0</v>
      </c>
      <c r="BM699" s="408"/>
      <c r="BN699" s="408"/>
      <c r="BO699" s="408"/>
      <c r="BP699" s="408"/>
      <c r="BQ699" s="408"/>
      <c r="BR699" s="408"/>
      <c r="BS699" s="408"/>
      <c r="BT699" s="408">
        <v>706.98384900000008</v>
      </c>
      <c r="BU699" s="408"/>
      <c r="BV699" s="408">
        <v>62.927372106032486</v>
      </c>
      <c r="BW699" s="408"/>
      <c r="BX699" s="408"/>
      <c r="BY699" s="408"/>
      <c r="BZ699" s="408"/>
      <c r="CA699" s="408"/>
      <c r="CB699" s="408"/>
      <c r="CC699" s="408"/>
      <c r="CD699" s="408"/>
      <c r="CE699" s="408"/>
      <c r="CF699" s="408"/>
      <c r="CG699" s="408"/>
      <c r="CH699" s="408"/>
      <c r="CI699" s="408">
        <v>-558.6232</v>
      </c>
      <c r="CJ699" s="408">
        <v>39.104012000000012</v>
      </c>
      <c r="CK699" s="408"/>
      <c r="CL699" s="408"/>
      <c r="CM699" s="408"/>
      <c r="CN699" s="408"/>
      <c r="CO699" s="408">
        <v>-18.185310000000008</v>
      </c>
      <c r="CP699" s="408">
        <v>7.5780900000000004</v>
      </c>
      <c r="CQ699" s="408">
        <v>31</v>
      </c>
      <c r="CR699" s="408">
        <v>9.9278470715067613</v>
      </c>
      <c r="CS699" s="408">
        <v>0.19004061471932543</v>
      </c>
      <c r="CT699" s="408">
        <v>0.88613135032132639</v>
      </c>
      <c r="CU699" s="408">
        <v>0</v>
      </c>
      <c r="CV699" s="408">
        <v>0</v>
      </c>
      <c r="CW699" s="408">
        <v>0</v>
      </c>
      <c r="CX699" s="408">
        <v>0</v>
      </c>
      <c r="CY699" s="408">
        <v>0</v>
      </c>
      <c r="CZ699" s="408">
        <v>0.8887674163198872</v>
      </c>
      <c r="DA699" s="408">
        <v>0</v>
      </c>
      <c r="DB699" s="408">
        <v>0</v>
      </c>
      <c r="DC699" s="408">
        <v>7.5772343898162973</v>
      </c>
      <c r="DD699" s="408">
        <v>0</v>
      </c>
      <c r="DE699" s="408">
        <v>0</v>
      </c>
      <c r="DF699" s="408">
        <v>0</v>
      </c>
      <c r="DG699" s="408">
        <v>0.39766767005928205</v>
      </c>
      <c r="DH699" s="408">
        <v>0</v>
      </c>
      <c r="DI699" s="408">
        <v>0</v>
      </c>
      <c r="DJ699" s="408"/>
      <c r="DK699" s="408">
        <v>0</v>
      </c>
      <c r="DL699" s="408">
        <v>0</v>
      </c>
      <c r="DM699" s="408">
        <v>0</v>
      </c>
      <c r="DN699" s="408">
        <v>0</v>
      </c>
      <c r="DO699" s="408">
        <v>0</v>
      </c>
      <c r="DP699" s="408">
        <v>-1.1994369729342369E-2</v>
      </c>
      <c r="DQ699" s="408">
        <v>0</v>
      </c>
      <c r="DR699" s="408">
        <v>0</v>
      </c>
      <c r="DS699" s="408"/>
      <c r="DT699" s="408"/>
      <c r="DU699" s="408"/>
      <c r="DV699" s="408">
        <v>82.673524133595023</v>
      </c>
      <c r="DW699" s="408">
        <v>0</v>
      </c>
      <c r="DX699" s="408">
        <v>0</v>
      </c>
      <c r="DY699" s="408">
        <v>-18.185310000000001</v>
      </c>
      <c r="DZ699" s="408">
        <v>7.5780900000000031</v>
      </c>
      <c r="EA699" s="408">
        <v>0</v>
      </c>
      <c r="EB699" s="408">
        <v>0</v>
      </c>
      <c r="EC699" s="408">
        <v>-20.537505749905108</v>
      </c>
      <c r="ED699" s="408">
        <v>0</v>
      </c>
      <c r="EE699" s="408">
        <v>0</v>
      </c>
      <c r="EF699" s="408">
        <v>0</v>
      </c>
      <c r="EG699" s="408">
        <v>0</v>
      </c>
      <c r="EH699" s="408">
        <v>0</v>
      </c>
      <c r="EI699" s="408">
        <v>0</v>
      </c>
      <c r="EJ699" s="408">
        <v>0</v>
      </c>
      <c r="EK699" s="408">
        <v>0</v>
      </c>
      <c r="EL699" s="408">
        <v>0</v>
      </c>
      <c r="EM699" s="408">
        <v>0</v>
      </c>
      <c r="EN699" s="408">
        <v>0</v>
      </c>
      <c r="EO699" s="408">
        <v>0</v>
      </c>
      <c r="EP699" s="408">
        <v>0</v>
      </c>
      <c r="EQ699" s="408">
        <v>0</v>
      </c>
      <c r="ER699" s="408">
        <v>0</v>
      </c>
      <c r="ES699" s="408">
        <v>0</v>
      </c>
      <c r="ET699" s="408">
        <v>0</v>
      </c>
      <c r="EU699" s="408">
        <v>0</v>
      </c>
      <c r="EV699" s="408">
        <v>240</v>
      </c>
      <c r="EW699" s="408">
        <v>0</v>
      </c>
      <c r="EX699" s="408">
        <v>0</v>
      </c>
      <c r="EY699" s="408">
        <v>0</v>
      </c>
      <c r="EZ699" s="408"/>
      <c r="FA699" s="408">
        <v>0</v>
      </c>
      <c r="FB699" s="408"/>
      <c r="FC699" s="408"/>
      <c r="FD699" s="408"/>
      <c r="FE699" s="408"/>
      <c r="FF699" s="408">
        <v>0</v>
      </c>
      <c r="FG699" s="408">
        <v>0</v>
      </c>
      <c r="FH699" s="408">
        <v>0</v>
      </c>
      <c r="FI699" s="408">
        <v>0</v>
      </c>
    </row>
    <row r="700" spans="1:165">
      <c r="A700" s="408">
        <v>698</v>
      </c>
      <c r="B700" s="408" t="s">
        <v>1036</v>
      </c>
      <c r="C700" s="408" t="s">
        <v>2235</v>
      </c>
      <c r="D700" s="408" t="s">
        <v>1955</v>
      </c>
      <c r="E700" s="408" t="s">
        <v>969</v>
      </c>
      <c r="F700" s="408" t="s">
        <v>2240</v>
      </c>
      <c r="G700" s="408" t="s">
        <v>1322</v>
      </c>
      <c r="H700" s="408" t="s">
        <v>1322</v>
      </c>
      <c r="I700" s="408" t="s">
        <v>1322</v>
      </c>
      <c r="J700" s="408" t="s">
        <v>2236</v>
      </c>
      <c r="K700" s="826">
        <v>44682</v>
      </c>
      <c r="L700" s="408">
        <v>0</v>
      </c>
      <c r="M700" s="408">
        <v>0</v>
      </c>
      <c r="N700" s="408">
        <v>119.53700000000001</v>
      </c>
      <c r="O700" s="408">
        <v>119.53700000000001</v>
      </c>
      <c r="P700" s="408">
        <v>119.53700000000001</v>
      </c>
      <c r="Q700" s="408">
        <v>119.53700000000001</v>
      </c>
      <c r="R700" s="408"/>
      <c r="S700" s="408">
        <v>281.47000000000003</v>
      </c>
      <c r="T700" s="408">
        <v>173.25</v>
      </c>
      <c r="U700" s="408"/>
      <c r="V700" s="408">
        <v>54355.864640000007</v>
      </c>
      <c r="W700" s="408">
        <v>54355.864640000007</v>
      </c>
      <c r="X700" s="408">
        <v>50743.4565</v>
      </c>
      <c r="Y700" s="408">
        <v>0</v>
      </c>
      <c r="Z700" s="408">
        <v>0</v>
      </c>
      <c r="AA700" s="408">
        <v>0</v>
      </c>
      <c r="AB700" s="408">
        <v>0</v>
      </c>
      <c r="AC700" s="408">
        <v>305.95941798575859</v>
      </c>
      <c r="AD700" s="408">
        <v>293.95839294343591</v>
      </c>
      <c r="AE700" s="408">
        <v>28155.399015263672</v>
      </c>
      <c r="AF700" s="408">
        <v>20361.988832356561</v>
      </c>
      <c r="AG700" s="408">
        <v>347.52197454030943</v>
      </c>
      <c r="AH700" s="408">
        <v>0</v>
      </c>
      <c r="AI700" s="408">
        <v>0</v>
      </c>
      <c r="AJ700" s="408">
        <v>0</v>
      </c>
      <c r="AK700" s="408">
        <v>0</v>
      </c>
      <c r="AL700" s="408">
        <v>0</v>
      </c>
      <c r="AM700" s="408"/>
      <c r="AN700" s="408">
        <v>144.38356806477645</v>
      </c>
      <c r="AO700" s="408">
        <v>649.49180359087177</v>
      </c>
      <c r="AP700" s="408">
        <v>3028.4844625904047</v>
      </c>
      <c r="AQ700" s="408">
        <v>0</v>
      </c>
      <c r="AR700" s="408">
        <v>0</v>
      </c>
      <c r="AS700" s="408">
        <v>0</v>
      </c>
      <c r="AT700" s="408">
        <v>0</v>
      </c>
      <c r="AU700" s="408">
        <v>0</v>
      </c>
      <c r="AV700" s="408">
        <v>0</v>
      </c>
      <c r="AW700" s="408">
        <v>0</v>
      </c>
      <c r="AX700" s="408">
        <v>0</v>
      </c>
      <c r="AY700" s="408">
        <v>0</v>
      </c>
      <c r="AZ700" s="408">
        <v>0</v>
      </c>
      <c r="BA700" s="408"/>
      <c r="BB700" s="408">
        <v>0</v>
      </c>
      <c r="BC700" s="408">
        <v>0</v>
      </c>
      <c r="BD700" s="408">
        <v>0</v>
      </c>
      <c r="BE700" s="408">
        <v>0</v>
      </c>
      <c r="BF700" s="408">
        <v>0</v>
      </c>
      <c r="BG700" s="408">
        <v>1068.6358953893262</v>
      </c>
      <c r="BH700" s="408">
        <v>0</v>
      </c>
      <c r="BI700" s="408">
        <v>17.11</v>
      </c>
      <c r="BJ700" s="408">
        <v>273.82</v>
      </c>
      <c r="BK700" s="408">
        <v>10204.35</v>
      </c>
      <c r="BL700" s="408">
        <v>405</v>
      </c>
      <c r="BM700" s="408"/>
      <c r="BN700" s="408"/>
      <c r="BO700" s="408"/>
      <c r="BP700" s="408"/>
      <c r="BQ700" s="408"/>
      <c r="BR700" s="408"/>
      <c r="BS700" s="408"/>
      <c r="BT700" s="408">
        <v>20298.577969999998</v>
      </c>
      <c r="BU700" s="408"/>
      <c r="BV700" s="408">
        <v>21430.624727745886</v>
      </c>
      <c r="BW700" s="408"/>
      <c r="BX700" s="408"/>
      <c r="BY700" s="408"/>
      <c r="BZ700" s="408"/>
      <c r="CA700" s="408"/>
      <c r="CB700" s="408"/>
      <c r="CC700" s="408"/>
      <c r="CD700" s="408"/>
      <c r="CE700" s="408"/>
      <c r="CF700" s="408"/>
      <c r="CG700" s="408"/>
      <c r="CH700" s="408"/>
      <c r="CI700" s="408">
        <v>30445.642599999999</v>
      </c>
      <c r="CJ700" s="408">
        <v>-2167.6671099999985</v>
      </c>
      <c r="CK700" s="408"/>
      <c r="CL700" s="408"/>
      <c r="CM700" s="408"/>
      <c r="CN700" s="408"/>
      <c r="CO700" s="408">
        <v>-6193.2119700000039</v>
      </c>
      <c r="CP700" s="408">
        <v>2580.8038300000007</v>
      </c>
      <c r="CQ700" s="408">
        <v>31</v>
      </c>
      <c r="CR700" s="408">
        <v>3381.0400438367687</v>
      </c>
      <c r="CS700" s="408">
        <v>64.720469976364598</v>
      </c>
      <c r="CT700" s="408">
        <v>301.78200348535711</v>
      </c>
      <c r="CU700" s="408">
        <v>0</v>
      </c>
      <c r="CV700" s="408">
        <v>0</v>
      </c>
      <c r="CW700" s="408">
        <v>0</v>
      </c>
      <c r="CX700" s="408">
        <v>0</v>
      </c>
      <c r="CY700" s="408">
        <v>0</v>
      </c>
      <c r="CZ700" s="408">
        <v>302.67974542629736</v>
      </c>
      <c r="DA700" s="408">
        <v>0</v>
      </c>
      <c r="DB700" s="408">
        <v>0</v>
      </c>
      <c r="DC700" s="408">
        <v>2580.5124423232774</v>
      </c>
      <c r="DD700" s="408">
        <v>0</v>
      </c>
      <c r="DE700" s="408">
        <v>0</v>
      </c>
      <c r="DF700" s="408">
        <v>0</v>
      </c>
      <c r="DG700" s="408">
        <v>135.43020021617212</v>
      </c>
      <c r="DH700" s="408">
        <v>0</v>
      </c>
      <c r="DI700" s="408">
        <v>0</v>
      </c>
      <c r="DJ700" s="408"/>
      <c r="DK700" s="408">
        <v>0</v>
      </c>
      <c r="DL700" s="408">
        <v>0</v>
      </c>
      <c r="DM700" s="408">
        <v>0</v>
      </c>
      <c r="DN700" s="408">
        <v>0</v>
      </c>
      <c r="DO700" s="408">
        <v>0</v>
      </c>
      <c r="DP700" s="408">
        <v>-4.0848175907019879</v>
      </c>
      <c r="DQ700" s="408">
        <v>0</v>
      </c>
      <c r="DR700" s="408">
        <v>0</v>
      </c>
      <c r="DS700" s="408"/>
      <c r="DT700" s="408"/>
      <c r="DU700" s="408"/>
      <c r="DV700" s="408">
        <v>28155.399015263672</v>
      </c>
      <c r="DW700" s="408">
        <v>0</v>
      </c>
      <c r="DX700" s="408">
        <v>0</v>
      </c>
      <c r="DY700" s="408">
        <v>-6193.2119700000039</v>
      </c>
      <c r="DZ700" s="408">
        <v>2580.8038300000007</v>
      </c>
      <c r="EA700" s="408">
        <v>0</v>
      </c>
      <c r="EB700" s="408">
        <v>0</v>
      </c>
      <c r="EC700" s="408">
        <v>-6994.2787032091364</v>
      </c>
      <c r="ED700" s="408">
        <v>0</v>
      </c>
      <c r="EE700" s="408">
        <v>0</v>
      </c>
      <c r="EF700" s="408">
        <v>0</v>
      </c>
      <c r="EG700" s="408">
        <v>0</v>
      </c>
      <c r="EH700" s="408">
        <v>0</v>
      </c>
      <c r="EI700" s="408">
        <v>0</v>
      </c>
      <c r="EJ700" s="408">
        <v>0</v>
      </c>
      <c r="EK700" s="408">
        <v>0</v>
      </c>
      <c r="EL700" s="408">
        <v>0</v>
      </c>
      <c r="EM700" s="408">
        <v>0</v>
      </c>
      <c r="EN700" s="408">
        <v>0</v>
      </c>
      <c r="EO700" s="408">
        <v>0</v>
      </c>
      <c r="EP700" s="408">
        <v>0</v>
      </c>
      <c r="EQ700" s="408">
        <v>0</v>
      </c>
      <c r="ER700" s="408">
        <v>0</v>
      </c>
      <c r="ES700" s="408">
        <v>0</v>
      </c>
      <c r="ET700" s="408">
        <v>0</v>
      </c>
      <c r="EU700" s="408">
        <v>0</v>
      </c>
      <c r="EV700" s="408">
        <v>240</v>
      </c>
      <c r="EW700" s="408">
        <v>0</v>
      </c>
      <c r="EX700" s="408">
        <v>0</v>
      </c>
      <c r="EY700" s="408">
        <v>0</v>
      </c>
      <c r="EZ700" s="408"/>
      <c r="FA700" s="408">
        <v>0</v>
      </c>
      <c r="FB700" s="408"/>
      <c r="FC700" s="408"/>
      <c r="FD700" s="408"/>
      <c r="FE700" s="408"/>
      <c r="FF700" s="408">
        <v>0</v>
      </c>
      <c r="FG700" s="408">
        <v>0</v>
      </c>
      <c r="FH700" s="408">
        <v>0</v>
      </c>
      <c r="FI700" s="408">
        <v>0</v>
      </c>
    </row>
    <row r="701" spans="1:165">
      <c r="A701" s="408">
        <v>699</v>
      </c>
      <c r="B701" s="408" t="s">
        <v>2238</v>
      </c>
      <c r="C701" s="408" t="s">
        <v>2235</v>
      </c>
      <c r="D701" s="408" t="s">
        <v>1955</v>
      </c>
      <c r="E701" s="408" t="s">
        <v>969</v>
      </c>
      <c r="F701" s="408" t="s">
        <v>2240</v>
      </c>
      <c r="G701" s="408" t="s">
        <v>1322</v>
      </c>
      <c r="H701" s="408" t="s">
        <v>1322</v>
      </c>
      <c r="I701" s="408" t="s">
        <v>1322</v>
      </c>
      <c r="J701" s="408" t="s">
        <v>2236</v>
      </c>
      <c r="K701" s="826">
        <v>44682</v>
      </c>
      <c r="L701" s="408">
        <v>0</v>
      </c>
      <c r="M701" s="408">
        <v>0</v>
      </c>
      <c r="N701" s="408">
        <v>0.438</v>
      </c>
      <c r="O701" s="408">
        <v>-2.7155999999999998</v>
      </c>
      <c r="P701" s="408">
        <v>0.438</v>
      </c>
      <c r="Q701" s="408">
        <v>-2.7155999999999998</v>
      </c>
      <c r="R701" s="408"/>
      <c r="S701" s="408">
        <v>281.47000000000003</v>
      </c>
      <c r="T701" s="408">
        <v>173.25</v>
      </c>
      <c r="U701" s="408"/>
      <c r="V701" s="408">
        <v>199.16736000000003</v>
      </c>
      <c r="W701" s="408">
        <v>199.16736000000003</v>
      </c>
      <c r="X701" s="408">
        <v>185.93100000000001</v>
      </c>
      <c r="Y701" s="408">
        <v>0</v>
      </c>
      <c r="Z701" s="408">
        <v>0</v>
      </c>
      <c r="AA701" s="408">
        <v>0</v>
      </c>
      <c r="AB701" s="408">
        <v>0</v>
      </c>
      <c r="AC701" s="408">
        <v>1.121077365817799</v>
      </c>
      <c r="AD701" s="408">
        <v>1.0771039603572528</v>
      </c>
      <c r="AE701" s="408">
        <v>103.1652523376485</v>
      </c>
      <c r="AF701" s="408">
        <v>74.609126116367094</v>
      </c>
      <c r="AG701" s="408">
        <v>1.2733682863770677</v>
      </c>
      <c r="AH701" s="408">
        <v>0</v>
      </c>
      <c r="AI701" s="408">
        <v>0</v>
      </c>
      <c r="AJ701" s="408">
        <v>0</v>
      </c>
      <c r="AK701" s="408">
        <v>0</v>
      </c>
      <c r="AL701" s="408">
        <v>0</v>
      </c>
      <c r="AM701" s="408"/>
      <c r="AN701" s="408">
        <v>0.52904124089087134</v>
      </c>
      <c r="AO701" s="408">
        <v>2.3798272499125948</v>
      </c>
      <c r="AP701" s="408">
        <v>11.096783377653757</v>
      </c>
      <c r="AQ701" s="408">
        <v>0</v>
      </c>
      <c r="AR701" s="408">
        <v>0</v>
      </c>
      <c r="AS701" s="408">
        <v>0</v>
      </c>
      <c r="AT701" s="408">
        <v>0</v>
      </c>
      <c r="AU701" s="408">
        <v>0</v>
      </c>
      <c r="AV701" s="408">
        <v>0</v>
      </c>
      <c r="AW701" s="408">
        <v>0</v>
      </c>
      <c r="AX701" s="408">
        <v>0</v>
      </c>
      <c r="AY701" s="408">
        <v>0</v>
      </c>
      <c r="AZ701" s="408">
        <v>0</v>
      </c>
      <c r="BA701" s="408"/>
      <c r="BB701" s="408">
        <v>0</v>
      </c>
      <c r="BC701" s="408">
        <v>0</v>
      </c>
      <c r="BD701" s="408">
        <v>0</v>
      </c>
      <c r="BE701" s="408">
        <v>0</v>
      </c>
      <c r="BF701" s="408">
        <v>0</v>
      </c>
      <c r="BG701" s="408">
        <v>3.9156288193657596</v>
      </c>
      <c r="BH701" s="408">
        <v>0</v>
      </c>
      <c r="BI701" s="408">
        <v>0.06</v>
      </c>
      <c r="BJ701" s="408">
        <v>1.01</v>
      </c>
      <c r="BK701" s="408">
        <v>72.44</v>
      </c>
      <c r="BL701" s="408">
        <v>1</v>
      </c>
      <c r="BM701" s="408"/>
      <c r="BN701" s="408"/>
      <c r="BO701" s="408"/>
      <c r="BP701" s="408"/>
      <c r="BQ701" s="408"/>
      <c r="BR701" s="408"/>
      <c r="BS701" s="408"/>
      <c r="BT701" s="408">
        <v>877.56716400000005</v>
      </c>
      <c r="BU701" s="408"/>
      <c r="BV701" s="408">
        <v>78.524754935732858</v>
      </c>
      <c r="BW701" s="408"/>
      <c r="BX701" s="408"/>
      <c r="BY701" s="408"/>
      <c r="BZ701" s="408"/>
      <c r="CA701" s="408"/>
      <c r="CB701" s="408"/>
      <c r="CC701" s="408"/>
      <c r="CD701" s="408"/>
      <c r="CE701" s="408"/>
      <c r="CF701" s="408"/>
      <c r="CG701" s="408"/>
      <c r="CH701" s="408"/>
      <c r="CI701" s="408">
        <v>-692.7568</v>
      </c>
      <c r="CJ701" s="408">
        <v>48.110347999999931</v>
      </c>
      <c r="CK701" s="408"/>
      <c r="CL701" s="408"/>
      <c r="CM701" s="408"/>
      <c r="CN701" s="408"/>
      <c r="CO701" s="408">
        <v>-22.692780000000013</v>
      </c>
      <c r="CP701" s="408">
        <v>9.4564200000000014</v>
      </c>
      <c r="CQ701" s="408">
        <v>31</v>
      </c>
      <c r="CR701" s="408">
        <v>12.388595490940077</v>
      </c>
      <c r="CS701" s="408">
        <v>0.2371446987095851</v>
      </c>
      <c r="CT701" s="408">
        <v>1.1057707448454153</v>
      </c>
      <c r="CU701" s="408">
        <v>0</v>
      </c>
      <c r="CV701" s="408">
        <v>0</v>
      </c>
      <c r="CW701" s="408">
        <v>0</v>
      </c>
      <c r="CX701" s="408">
        <v>0</v>
      </c>
      <c r="CY701" s="408">
        <v>0</v>
      </c>
      <c r="CZ701" s="408">
        <v>1.109060194723962</v>
      </c>
      <c r="DA701" s="408">
        <v>0</v>
      </c>
      <c r="DB701" s="408">
        <v>0</v>
      </c>
      <c r="DC701" s="408">
        <v>9.4553523154972652</v>
      </c>
      <c r="DD701" s="408">
        <v>0</v>
      </c>
      <c r="DE701" s="408">
        <v>0</v>
      </c>
      <c r="DF701" s="408">
        <v>0</v>
      </c>
      <c r="DG701" s="408">
        <v>0.49623487033038627</v>
      </c>
      <c r="DH701" s="408">
        <v>0</v>
      </c>
      <c r="DI701" s="408">
        <v>0</v>
      </c>
      <c r="DJ701" s="408"/>
      <c r="DK701" s="408">
        <v>0</v>
      </c>
      <c r="DL701" s="408">
        <v>0</v>
      </c>
      <c r="DM701" s="408">
        <v>0</v>
      </c>
      <c r="DN701" s="408">
        <v>0</v>
      </c>
      <c r="DO701" s="408">
        <v>0</v>
      </c>
      <c r="DP701" s="408">
        <v>-1.4967333166529873E-2</v>
      </c>
      <c r="DQ701" s="408">
        <v>0</v>
      </c>
      <c r="DR701" s="408">
        <v>0</v>
      </c>
      <c r="DS701" s="408"/>
      <c r="DT701" s="408"/>
      <c r="DU701" s="408"/>
      <c r="DV701" s="408">
        <v>103.1652523376485</v>
      </c>
      <c r="DW701" s="408">
        <v>0</v>
      </c>
      <c r="DX701" s="408">
        <v>0</v>
      </c>
      <c r="DY701" s="408">
        <v>-22.692780000000013</v>
      </c>
      <c r="DZ701" s="408">
        <v>9.4564200000000085</v>
      </c>
      <c r="EA701" s="408">
        <v>0</v>
      </c>
      <c r="EB701" s="408">
        <v>0</v>
      </c>
      <c r="EC701" s="408">
        <v>-25.627998628086715</v>
      </c>
      <c r="ED701" s="408">
        <v>0</v>
      </c>
      <c r="EE701" s="408">
        <v>0</v>
      </c>
      <c r="EF701" s="408">
        <v>0</v>
      </c>
      <c r="EG701" s="408">
        <v>0</v>
      </c>
      <c r="EH701" s="408">
        <v>0</v>
      </c>
      <c r="EI701" s="408">
        <v>0</v>
      </c>
      <c r="EJ701" s="408">
        <v>0</v>
      </c>
      <c r="EK701" s="408">
        <v>0</v>
      </c>
      <c r="EL701" s="408">
        <v>0</v>
      </c>
      <c r="EM701" s="408">
        <v>0</v>
      </c>
      <c r="EN701" s="408">
        <v>0</v>
      </c>
      <c r="EO701" s="408">
        <v>0</v>
      </c>
      <c r="EP701" s="408">
        <v>0</v>
      </c>
      <c r="EQ701" s="408">
        <v>0</v>
      </c>
      <c r="ER701" s="408">
        <v>0</v>
      </c>
      <c r="ES701" s="408">
        <v>0</v>
      </c>
      <c r="ET701" s="408">
        <v>0</v>
      </c>
      <c r="EU701" s="408">
        <v>0</v>
      </c>
      <c r="EV701" s="408">
        <v>240</v>
      </c>
      <c r="EW701" s="408">
        <v>0</v>
      </c>
      <c r="EX701" s="408">
        <v>0</v>
      </c>
      <c r="EY701" s="408">
        <v>0</v>
      </c>
      <c r="EZ701" s="408"/>
      <c r="FA701" s="408">
        <v>0</v>
      </c>
      <c r="FB701" s="408"/>
      <c r="FC701" s="408"/>
      <c r="FD701" s="408"/>
      <c r="FE701" s="408"/>
      <c r="FF701" s="408">
        <v>0</v>
      </c>
      <c r="FG701" s="408">
        <v>0</v>
      </c>
      <c r="FH701" s="408">
        <v>0</v>
      </c>
      <c r="FI701" s="408">
        <v>0</v>
      </c>
    </row>
    <row r="702" spans="1:165">
      <c r="A702" s="408">
        <v>700</v>
      </c>
      <c r="B702" s="408" t="s">
        <v>1036</v>
      </c>
      <c r="C702" s="408" t="s">
        <v>2235</v>
      </c>
      <c r="D702" s="408" t="s">
        <v>1955</v>
      </c>
      <c r="E702" s="408" t="s">
        <v>969</v>
      </c>
      <c r="F702" s="408" t="s">
        <v>2241</v>
      </c>
      <c r="G702" s="408" t="s">
        <v>1322</v>
      </c>
      <c r="H702" s="408" t="s">
        <v>1322</v>
      </c>
      <c r="I702" s="408" t="s">
        <v>1322</v>
      </c>
      <c r="J702" s="408" t="s">
        <v>2236</v>
      </c>
      <c r="K702" s="826">
        <v>44682</v>
      </c>
      <c r="L702" s="408">
        <v>0</v>
      </c>
      <c r="M702" s="408">
        <v>0</v>
      </c>
      <c r="N702" s="408">
        <v>110.217</v>
      </c>
      <c r="O702" s="408">
        <v>110.217</v>
      </c>
      <c r="P702" s="408">
        <v>110.217</v>
      </c>
      <c r="Q702" s="408">
        <v>110.217</v>
      </c>
      <c r="R702" s="408"/>
      <c r="S702" s="408">
        <v>281.47000000000003</v>
      </c>
      <c r="T702" s="408">
        <v>173.25</v>
      </c>
      <c r="U702" s="408"/>
      <c r="V702" s="408">
        <v>50117.874240000005</v>
      </c>
      <c r="W702" s="408">
        <v>50117.874240000005</v>
      </c>
      <c r="X702" s="408">
        <v>46787.116500000004</v>
      </c>
      <c r="Y702" s="408">
        <v>0</v>
      </c>
      <c r="Z702" s="408">
        <v>0</v>
      </c>
      <c r="AA702" s="408">
        <v>0</v>
      </c>
      <c r="AB702" s="408">
        <v>0</v>
      </c>
      <c r="AC702" s="408">
        <v>282.10452974506933</v>
      </c>
      <c r="AD702" s="408">
        <v>271.03919451756923</v>
      </c>
      <c r="AE702" s="408">
        <v>25960.193189266218</v>
      </c>
      <c r="AF702" s="408">
        <v>18774.415646501442</v>
      </c>
      <c r="AG702" s="408">
        <v>320.42655803566498</v>
      </c>
      <c r="AH702" s="408">
        <v>0</v>
      </c>
      <c r="AI702" s="408">
        <v>0</v>
      </c>
      <c r="AJ702" s="408">
        <v>0</v>
      </c>
      <c r="AK702" s="408">
        <v>0</v>
      </c>
      <c r="AL702" s="408">
        <v>0</v>
      </c>
      <c r="AM702" s="408"/>
      <c r="AN702" s="408">
        <v>133.12634348691589</v>
      </c>
      <c r="AO702" s="408">
        <v>598.85255708588227</v>
      </c>
      <c r="AP702" s="408">
        <v>2792.3611267919273</v>
      </c>
      <c r="AQ702" s="408">
        <v>0</v>
      </c>
      <c r="AR702" s="408">
        <v>0</v>
      </c>
      <c r="AS702" s="408">
        <v>0</v>
      </c>
      <c r="AT702" s="408">
        <v>0</v>
      </c>
      <c r="AU702" s="408">
        <v>0</v>
      </c>
      <c r="AV702" s="408">
        <v>0</v>
      </c>
      <c r="AW702" s="408">
        <v>0</v>
      </c>
      <c r="AX702" s="408">
        <v>0</v>
      </c>
      <c r="AY702" s="408">
        <v>0</v>
      </c>
      <c r="AZ702" s="408">
        <v>0</v>
      </c>
      <c r="BA702" s="408"/>
      <c r="BB702" s="408">
        <v>0</v>
      </c>
      <c r="BC702" s="408">
        <v>0</v>
      </c>
      <c r="BD702" s="408">
        <v>0</v>
      </c>
      <c r="BE702" s="408">
        <v>0</v>
      </c>
      <c r="BF702" s="408">
        <v>0</v>
      </c>
      <c r="BG702" s="408">
        <v>985.3170355799906</v>
      </c>
      <c r="BH702" s="408">
        <v>0</v>
      </c>
      <c r="BI702" s="408">
        <v>29.28</v>
      </c>
      <c r="BJ702" s="408">
        <v>386.76</v>
      </c>
      <c r="BK702" s="408">
        <v>14168.84</v>
      </c>
      <c r="BL702" s="408">
        <v>1010</v>
      </c>
      <c r="BM702" s="408"/>
      <c r="BN702" s="408"/>
      <c r="BO702" s="408"/>
      <c r="BP702" s="408"/>
      <c r="BQ702" s="408"/>
      <c r="BR702" s="408"/>
      <c r="BS702" s="408"/>
      <c r="BT702" s="408">
        <v>4679.8138200000012</v>
      </c>
      <c r="BU702" s="408"/>
      <c r="BV702" s="408">
        <v>19759.732682081434</v>
      </c>
      <c r="BW702" s="408"/>
      <c r="BX702" s="408"/>
      <c r="BY702" s="408"/>
      <c r="BZ702" s="408"/>
      <c r="CA702" s="408"/>
      <c r="CB702" s="408"/>
      <c r="CC702" s="408"/>
      <c r="CD702" s="408"/>
      <c r="CE702" s="408"/>
      <c r="CF702" s="408"/>
      <c r="CG702" s="408"/>
      <c r="CH702" s="408"/>
      <c r="CI702" s="408">
        <v>42108.448799999998</v>
      </c>
      <c r="CJ702" s="408">
        <v>-2996.786279999993</v>
      </c>
      <c r="CK702" s="408"/>
      <c r="CL702" s="408"/>
      <c r="CM702" s="408"/>
      <c r="CN702" s="408"/>
      <c r="CO702" s="408">
        <v>-5710.3427700000029</v>
      </c>
      <c r="CP702" s="408">
        <v>2379.5850300000002</v>
      </c>
      <c r="CQ702" s="408">
        <v>31</v>
      </c>
      <c r="CR702" s="408">
        <v>3117.4288338469014</v>
      </c>
      <c r="CS702" s="408">
        <v>59.674377300626361</v>
      </c>
      <c r="CT702" s="408">
        <v>278.25281777312148</v>
      </c>
      <c r="CU702" s="408">
        <v>0</v>
      </c>
      <c r="CV702" s="408">
        <v>0</v>
      </c>
      <c r="CW702" s="408">
        <v>0</v>
      </c>
      <c r="CX702" s="408">
        <v>0</v>
      </c>
      <c r="CY702" s="408">
        <v>0</v>
      </c>
      <c r="CZ702" s="408">
        <v>279.08056502714822</v>
      </c>
      <c r="DA702" s="408">
        <v>0</v>
      </c>
      <c r="DB702" s="408">
        <v>0</v>
      </c>
      <c r="DC702" s="408">
        <v>2379.3163610894117</v>
      </c>
      <c r="DD702" s="408">
        <v>0</v>
      </c>
      <c r="DE702" s="408">
        <v>0</v>
      </c>
      <c r="DF702" s="408">
        <v>0</v>
      </c>
      <c r="DG702" s="408">
        <v>124.87104726758946</v>
      </c>
      <c r="DH702" s="408">
        <v>0</v>
      </c>
      <c r="DI702" s="408">
        <v>0</v>
      </c>
      <c r="DJ702" s="408"/>
      <c r="DK702" s="408">
        <v>0</v>
      </c>
      <c r="DL702" s="408">
        <v>0</v>
      </c>
      <c r="DM702" s="408">
        <v>0</v>
      </c>
      <c r="DN702" s="408">
        <v>0</v>
      </c>
      <c r="DO702" s="408">
        <v>0</v>
      </c>
      <c r="DP702" s="408">
        <v>-3.766334610994079</v>
      </c>
      <c r="DQ702" s="408">
        <v>0</v>
      </c>
      <c r="DR702" s="408">
        <v>0</v>
      </c>
      <c r="DS702" s="408"/>
      <c r="DT702" s="408"/>
      <c r="DU702" s="408"/>
      <c r="DV702" s="408">
        <v>25960.193189266218</v>
      </c>
      <c r="DW702" s="408">
        <v>0</v>
      </c>
      <c r="DX702" s="408">
        <v>0</v>
      </c>
      <c r="DY702" s="408">
        <v>-5710.3427700000029</v>
      </c>
      <c r="DZ702" s="408">
        <v>2379.585030000002</v>
      </c>
      <c r="EA702" s="408">
        <v>0</v>
      </c>
      <c r="EB702" s="408">
        <v>0</v>
      </c>
      <c r="EC702" s="408">
        <v>-6448.952339707379</v>
      </c>
      <c r="ED702" s="408">
        <v>0</v>
      </c>
      <c r="EE702" s="408">
        <v>0</v>
      </c>
      <c r="EF702" s="408">
        <v>0</v>
      </c>
      <c r="EG702" s="408">
        <v>0</v>
      </c>
      <c r="EH702" s="408">
        <v>0</v>
      </c>
      <c r="EI702" s="408">
        <v>0</v>
      </c>
      <c r="EJ702" s="408">
        <v>0</v>
      </c>
      <c r="EK702" s="408">
        <v>0</v>
      </c>
      <c r="EL702" s="408">
        <v>0</v>
      </c>
      <c r="EM702" s="408">
        <v>0</v>
      </c>
      <c r="EN702" s="408">
        <v>0</v>
      </c>
      <c r="EO702" s="408">
        <v>0</v>
      </c>
      <c r="EP702" s="408">
        <v>0</v>
      </c>
      <c r="EQ702" s="408">
        <v>0</v>
      </c>
      <c r="ER702" s="408">
        <v>0</v>
      </c>
      <c r="ES702" s="408">
        <v>0</v>
      </c>
      <c r="ET702" s="408">
        <v>0</v>
      </c>
      <c r="EU702" s="408">
        <v>0</v>
      </c>
      <c r="EV702" s="408">
        <v>240</v>
      </c>
      <c r="EW702" s="408">
        <v>0</v>
      </c>
      <c r="EX702" s="408">
        <v>0</v>
      </c>
      <c r="EY702" s="408">
        <v>0</v>
      </c>
      <c r="EZ702" s="408"/>
      <c r="FA702" s="408">
        <v>0</v>
      </c>
      <c r="FB702" s="408"/>
      <c r="FC702" s="408"/>
      <c r="FD702" s="408"/>
      <c r="FE702" s="408"/>
      <c r="FF702" s="408">
        <v>0</v>
      </c>
      <c r="FG702" s="408">
        <v>0</v>
      </c>
      <c r="FH702" s="408">
        <v>0</v>
      </c>
      <c r="FI702" s="408">
        <v>0</v>
      </c>
    </row>
    <row r="703" spans="1:165">
      <c r="A703" s="408">
        <v>701</v>
      </c>
      <c r="B703" s="408" t="s">
        <v>2238</v>
      </c>
      <c r="C703" s="408" t="s">
        <v>2235</v>
      </c>
      <c r="D703" s="408" t="s">
        <v>1955</v>
      </c>
      <c r="E703" s="408" t="s">
        <v>969</v>
      </c>
      <c r="F703" s="408" t="s">
        <v>2241</v>
      </c>
      <c r="G703" s="408" t="s">
        <v>1322</v>
      </c>
      <c r="H703" s="408" t="s">
        <v>1322</v>
      </c>
      <c r="I703" s="408" t="s">
        <v>1322</v>
      </c>
      <c r="J703" s="408" t="s">
        <v>2236</v>
      </c>
      <c r="K703" s="826">
        <v>44682</v>
      </c>
      <c r="L703" s="408">
        <v>0</v>
      </c>
      <c r="M703" s="408">
        <v>0</v>
      </c>
      <c r="N703" s="408">
        <v>0.218</v>
      </c>
      <c r="O703" s="408">
        <v>-0.15260000000000001</v>
      </c>
      <c r="P703" s="408">
        <v>0.218</v>
      </c>
      <c r="Q703" s="408">
        <v>-0.15260000000000001</v>
      </c>
      <c r="R703" s="408"/>
      <c r="S703" s="408">
        <v>281.47000000000003</v>
      </c>
      <c r="T703" s="408">
        <v>173.25</v>
      </c>
      <c r="U703" s="408"/>
      <c r="V703" s="408">
        <v>99.128960000000006</v>
      </c>
      <c r="W703" s="408">
        <v>99.128960000000006</v>
      </c>
      <c r="X703" s="408">
        <v>92.540999999999997</v>
      </c>
      <c r="Y703" s="408">
        <v>0</v>
      </c>
      <c r="Z703" s="408">
        <v>0</v>
      </c>
      <c r="AA703" s="408">
        <v>0</v>
      </c>
      <c r="AB703" s="408">
        <v>0</v>
      </c>
      <c r="AC703" s="408">
        <v>0.55797914554401873</v>
      </c>
      <c r="AD703" s="408">
        <v>0.5360928387166235</v>
      </c>
      <c r="AE703" s="408">
        <v>51.347089063030523</v>
      </c>
      <c r="AF703" s="408">
        <v>37.134222587598231</v>
      </c>
      <c r="AG703" s="408">
        <v>0.63377690965799249</v>
      </c>
      <c r="AH703" s="408">
        <v>0</v>
      </c>
      <c r="AI703" s="408">
        <v>0</v>
      </c>
      <c r="AJ703" s="408">
        <v>0</v>
      </c>
      <c r="AK703" s="408">
        <v>0</v>
      </c>
      <c r="AL703" s="408">
        <v>0</v>
      </c>
      <c r="AM703" s="408"/>
      <c r="AN703" s="408">
        <v>0.26331276373107293</v>
      </c>
      <c r="AO703" s="408">
        <v>1.1844802294085517</v>
      </c>
      <c r="AP703" s="408">
        <v>5.5230565669600891</v>
      </c>
      <c r="AQ703" s="408">
        <v>0</v>
      </c>
      <c r="AR703" s="408">
        <v>0</v>
      </c>
      <c r="AS703" s="408">
        <v>0</v>
      </c>
      <c r="AT703" s="408">
        <v>0</v>
      </c>
      <c r="AU703" s="408">
        <v>0</v>
      </c>
      <c r="AV703" s="408">
        <v>0</v>
      </c>
      <c r="AW703" s="408">
        <v>0</v>
      </c>
      <c r="AX703" s="408">
        <v>0</v>
      </c>
      <c r="AY703" s="408">
        <v>0</v>
      </c>
      <c r="AZ703" s="408">
        <v>0</v>
      </c>
      <c r="BA703" s="408"/>
      <c r="BB703" s="408">
        <v>0</v>
      </c>
      <c r="BC703" s="408">
        <v>0</v>
      </c>
      <c r="BD703" s="408">
        <v>0</v>
      </c>
      <c r="BE703" s="408">
        <v>0</v>
      </c>
      <c r="BF703" s="408">
        <v>0</v>
      </c>
      <c r="BG703" s="408">
        <v>1.9488746178578438</v>
      </c>
      <c r="BH703" s="408">
        <v>0</v>
      </c>
      <c r="BI703" s="408">
        <v>7.0000000000000007E-2</v>
      </c>
      <c r="BJ703" s="408">
        <v>0.76</v>
      </c>
      <c r="BK703" s="408">
        <v>135.87</v>
      </c>
      <c r="BL703" s="408">
        <v>7</v>
      </c>
      <c r="BM703" s="408"/>
      <c r="BN703" s="408"/>
      <c r="BO703" s="408"/>
      <c r="BP703" s="408"/>
      <c r="BQ703" s="408"/>
      <c r="BR703" s="408"/>
      <c r="BS703" s="408"/>
      <c r="BT703" s="408">
        <v>150.840304</v>
      </c>
      <c r="BU703" s="408"/>
      <c r="BV703" s="408">
        <v>39.083097205456077</v>
      </c>
      <c r="BW703" s="408"/>
      <c r="BX703" s="408"/>
      <c r="BY703" s="408"/>
      <c r="BZ703" s="408"/>
      <c r="CA703" s="408"/>
      <c r="CB703" s="408"/>
      <c r="CC703" s="408"/>
      <c r="CD703" s="408"/>
      <c r="CE703" s="408"/>
      <c r="CF703" s="408"/>
      <c r="CG703" s="408"/>
      <c r="CH703" s="408"/>
      <c r="CI703" s="408">
        <v>-57.305999999999997</v>
      </c>
      <c r="CJ703" s="408">
        <v>5.1140240000000077</v>
      </c>
      <c r="CK703" s="408"/>
      <c r="CL703" s="408"/>
      <c r="CM703" s="408"/>
      <c r="CN703" s="408"/>
      <c r="CO703" s="408">
        <v>-11.294580000000007</v>
      </c>
      <c r="CP703" s="408">
        <v>4.7066200000000009</v>
      </c>
      <c r="CQ703" s="408">
        <v>31</v>
      </c>
      <c r="CR703" s="408">
        <v>6.1660132808788575</v>
      </c>
      <c r="CS703" s="408">
        <v>0.11803092310203089</v>
      </c>
      <c r="CT703" s="408">
        <v>0.55036078168105185</v>
      </c>
      <c r="CU703" s="408">
        <v>0</v>
      </c>
      <c r="CV703" s="408">
        <v>0</v>
      </c>
      <c r="CW703" s="408">
        <v>0</v>
      </c>
      <c r="CX703" s="408">
        <v>0</v>
      </c>
      <c r="CY703" s="408">
        <v>0</v>
      </c>
      <c r="CZ703" s="408">
        <v>0.55199799646078462</v>
      </c>
      <c r="DA703" s="408">
        <v>0</v>
      </c>
      <c r="DB703" s="408">
        <v>0</v>
      </c>
      <c r="DC703" s="408">
        <v>4.706088595384486</v>
      </c>
      <c r="DD703" s="408">
        <v>0</v>
      </c>
      <c r="DE703" s="408">
        <v>0</v>
      </c>
      <c r="DF703" s="408">
        <v>0</v>
      </c>
      <c r="DG703" s="408">
        <v>0.24698447884023778</v>
      </c>
      <c r="DH703" s="408">
        <v>0</v>
      </c>
      <c r="DI703" s="408">
        <v>0</v>
      </c>
      <c r="DJ703" s="408"/>
      <c r="DK703" s="408">
        <v>0</v>
      </c>
      <c r="DL703" s="408">
        <v>0</v>
      </c>
      <c r="DM703" s="408">
        <v>0</v>
      </c>
      <c r="DN703" s="408">
        <v>0</v>
      </c>
      <c r="DO703" s="408">
        <v>0</v>
      </c>
      <c r="DP703" s="408">
        <v>-7.4494945897339848E-3</v>
      </c>
      <c r="DQ703" s="408">
        <v>0</v>
      </c>
      <c r="DR703" s="408">
        <v>0</v>
      </c>
      <c r="DS703" s="408"/>
      <c r="DT703" s="408"/>
      <c r="DU703" s="408"/>
      <c r="DV703" s="408">
        <v>51.347089063030523</v>
      </c>
      <c r="DW703" s="408">
        <v>0</v>
      </c>
      <c r="DX703" s="408">
        <v>0</v>
      </c>
      <c r="DY703" s="408">
        <v>-11.294580000000003</v>
      </c>
      <c r="DZ703" s="408">
        <v>4.7066200000000009</v>
      </c>
      <c r="EA703" s="408">
        <v>0</v>
      </c>
      <c r="EB703" s="408">
        <v>0</v>
      </c>
      <c r="EC703" s="408">
        <v>-12.755487901650461</v>
      </c>
      <c r="ED703" s="408">
        <v>0</v>
      </c>
      <c r="EE703" s="408">
        <v>0</v>
      </c>
      <c r="EF703" s="408">
        <v>0</v>
      </c>
      <c r="EG703" s="408">
        <v>0</v>
      </c>
      <c r="EH703" s="408">
        <v>0</v>
      </c>
      <c r="EI703" s="408">
        <v>0</v>
      </c>
      <c r="EJ703" s="408">
        <v>0</v>
      </c>
      <c r="EK703" s="408">
        <v>0</v>
      </c>
      <c r="EL703" s="408">
        <v>0</v>
      </c>
      <c r="EM703" s="408">
        <v>0</v>
      </c>
      <c r="EN703" s="408">
        <v>0</v>
      </c>
      <c r="EO703" s="408">
        <v>0</v>
      </c>
      <c r="EP703" s="408">
        <v>0</v>
      </c>
      <c r="EQ703" s="408">
        <v>0</v>
      </c>
      <c r="ER703" s="408">
        <v>0</v>
      </c>
      <c r="ES703" s="408">
        <v>0</v>
      </c>
      <c r="ET703" s="408">
        <v>0</v>
      </c>
      <c r="EU703" s="408">
        <v>0</v>
      </c>
      <c r="EV703" s="408">
        <v>240</v>
      </c>
      <c r="EW703" s="408">
        <v>0</v>
      </c>
      <c r="EX703" s="408">
        <v>0</v>
      </c>
      <c r="EY703" s="408">
        <v>0</v>
      </c>
      <c r="EZ703" s="408"/>
      <c r="FA703" s="408">
        <v>0</v>
      </c>
      <c r="FB703" s="408"/>
      <c r="FC703" s="408"/>
      <c r="FD703" s="408"/>
      <c r="FE703" s="408"/>
      <c r="FF703" s="408">
        <v>0</v>
      </c>
      <c r="FG703" s="408">
        <v>0</v>
      </c>
      <c r="FH703" s="408">
        <v>0</v>
      </c>
      <c r="FI703" s="408">
        <v>0</v>
      </c>
    </row>
    <row r="704" spans="1:165">
      <c r="A704" s="408">
        <v>702</v>
      </c>
      <c r="B704" s="408" t="s">
        <v>1036</v>
      </c>
      <c r="C704" s="408" t="s">
        <v>2235</v>
      </c>
      <c r="D704" s="408" t="s">
        <v>1955</v>
      </c>
      <c r="E704" s="408" t="s">
        <v>969</v>
      </c>
      <c r="F704" s="408" t="s">
        <v>2242</v>
      </c>
      <c r="G704" s="408" t="s">
        <v>1322</v>
      </c>
      <c r="H704" s="408" t="s">
        <v>1322</v>
      </c>
      <c r="I704" s="408" t="s">
        <v>1322</v>
      </c>
      <c r="J704" s="408" t="s">
        <v>2236</v>
      </c>
      <c r="K704" s="826">
        <v>44682</v>
      </c>
      <c r="L704" s="408">
        <v>0</v>
      </c>
      <c r="M704" s="408">
        <v>0</v>
      </c>
      <c r="N704" s="408">
        <v>35.729999999999997</v>
      </c>
      <c r="O704" s="408">
        <v>35.729999999999997</v>
      </c>
      <c r="P704" s="408">
        <v>35.729999999999997</v>
      </c>
      <c r="Q704" s="408">
        <v>35.729999999999997</v>
      </c>
      <c r="R704" s="408"/>
      <c r="S704" s="408">
        <v>281.47000000000003</v>
      </c>
      <c r="T704" s="408">
        <v>173.25</v>
      </c>
      <c r="U704" s="408"/>
      <c r="V704" s="408">
        <v>16247.1456</v>
      </c>
      <c r="W704" s="408">
        <v>16247.1456</v>
      </c>
      <c r="X704" s="408">
        <v>15167.384999999998</v>
      </c>
      <c r="Y704" s="408">
        <v>0</v>
      </c>
      <c r="Z704" s="408">
        <v>0</v>
      </c>
      <c r="AA704" s="408">
        <v>0</v>
      </c>
      <c r="AB704" s="408">
        <v>0</v>
      </c>
      <c r="AC704" s="408">
        <v>91.452270047191689</v>
      </c>
      <c r="AD704" s="408">
        <v>87.865124437362184</v>
      </c>
      <c r="AE704" s="408">
        <v>8415.7407900095441</v>
      </c>
      <c r="AF704" s="408">
        <v>6086.2650140132328</v>
      </c>
      <c r="AG704" s="408">
        <v>103.87545404623886</v>
      </c>
      <c r="AH704" s="408">
        <v>0</v>
      </c>
      <c r="AI704" s="408">
        <v>0</v>
      </c>
      <c r="AJ704" s="408">
        <v>0</v>
      </c>
      <c r="AK704" s="408">
        <v>0</v>
      </c>
      <c r="AL704" s="408">
        <v>0</v>
      </c>
      <c r="AM704" s="408"/>
      <c r="AN704" s="408">
        <v>43.156720404179978</v>
      </c>
      <c r="AO704" s="408">
        <v>194.13522292095206</v>
      </c>
      <c r="AP704" s="408">
        <v>905.22390430038524</v>
      </c>
      <c r="AQ704" s="408">
        <v>0</v>
      </c>
      <c r="AR704" s="408">
        <v>0</v>
      </c>
      <c r="AS704" s="408">
        <v>0</v>
      </c>
      <c r="AT704" s="408">
        <v>0</v>
      </c>
      <c r="AU704" s="408">
        <v>0</v>
      </c>
      <c r="AV704" s="408">
        <v>0</v>
      </c>
      <c r="AW704" s="408">
        <v>0</v>
      </c>
      <c r="AX704" s="408">
        <v>0</v>
      </c>
      <c r="AY704" s="408">
        <v>0</v>
      </c>
      <c r="AZ704" s="408">
        <v>0</v>
      </c>
      <c r="BA704" s="408"/>
      <c r="BB704" s="408">
        <v>0</v>
      </c>
      <c r="BC704" s="408">
        <v>0</v>
      </c>
      <c r="BD704" s="408">
        <v>0</v>
      </c>
      <c r="BE704" s="408">
        <v>0</v>
      </c>
      <c r="BF704" s="408">
        <v>0</v>
      </c>
      <c r="BG704" s="408">
        <v>319.41876190853554</v>
      </c>
      <c r="BH704" s="408">
        <v>0</v>
      </c>
      <c r="BI704" s="408">
        <v>12.06</v>
      </c>
      <c r="BJ704" s="408">
        <v>137.25</v>
      </c>
      <c r="BK704" s="408">
        <v>5103.33</v>
      </c>
      <c r="BL704" s="408">
        <v>446</v>
      </c>
      <c r="BM704" s="408"/>
      <c r="BN704" s="408"/>
      <c r="BO704" s="408"/>
      <c r="BP704" s="408"/>
      <c r="BQ704" s="408"/>
      <c r="BR704" s="408"/>
      <c r="BS704" s="408"/>
      <c r="BT704" s="408"/>
      <c r="BU704" s="408"/>
      <c r="BV704" s="408">
        <v>6405.6837759217688</v>
      </c>
      <c r="BW704" s="408"/>
      <c r="BX704" s="408"/>
      <c r="BY704" s="408"/>
      <c r="BZ704" s="408"/>
      <c r="CA704" s="408"/>
      <c r="CB704" s="408"/>
      <c r="CC704" s="408"/>
      <c r="CD704" s="408"/>
      <c r="CE704" s="408"/>
      <c r="CF704" s="408"/>
      <c r="CG704" s="408"/>
      <c r="CH704" s="408"/>
      <c r="CI704" s="408">
        <v>15167.384999999998</v>
      </c>
      <c r="CJ704" s="408">
        <v>-1079.7906000000021</v>
      </c>
      <c r="CK704" s="408"/>
      <c r="CL704" s="408"/>
      <c r="CM704" s="408"/>
      <c r="CN704" s="408"/>
      <c r="CO704" s="408">
        <v>-1851.1713000000009</v>
      </c>
      <c r="CP704" s="408">
        <v>771.41070000000002</v>
      </c>
      <c r="CQ704" s="408">
        <v>31</v>
      </c>
      <c r="CR704" s="408">
        <v>1010.6039198431245</v>
      </c>
      <c r="CS704" s="408">
        <v>19.345160011172311</v>
      </c>
      <c r="CT704" s="408">
        <v>90.203627199376001</v>
      </c>
      <c r="CU704" s="408">
        <v>0</v>
      </c>
      <c r="CV704" s="408">
        <v>0</v>
      </c>
      <c r="CW704" s="408">
        <v>0</v>
      </c>
      <c r="CX704" s="408">
        <v>0</v>
      </c>
      <c r="CY704" s="408">
        <v>0</v>
      </c>
      <c r="CZ704" s="408">
        <v>90.471965199742371</v>
      </c>
      <c r="DA704" s="408">
        <v>0</v>
      </c>
      <c r="DB704" s="408">
        <v>0</v>
      </c>
      <c r="DC704" s="408">
        <v>771.32360327104379</v>
      </c>
      <c r="DD704" s="408">
        <v>0</v>
      </c>
      <c r="DE704" s="408">
        <v>0</v>
      </c>
      <c r="DF704" s="408">
        <v>0</v>
      </c>
      <c r="DG704" s="408">
        <v>40.480529490650042</v>
      </c>
      <c r="DH704" s="408">
        <v>0</v>
      </c>
      <c r="DI704" s="408">
        <v>0</v>
      </c>
      <c r="DJ704" s="408"/>
      <c r="DK704" s="408">
        <v>0</v>
      </c>
      <c r="DL704" s="408">
        <v>0</v>
      </c>
      <c r="DM704" s="408">
        <v>0</v>
      </c>
      <c r="DN704" s="408">
        <v>0</v>
      </c>
      <c r="DO704" s="408">
        <v>0</v>
      </c>
      <c r="DP704" s="408">
        <v>-1.2209653288586964</v>
      </c>
      <c r="DQ704" s="408">
        <v>0</v>
      </c>
      <c r="DR704" s="408">
        <v>0</v>
      </c>
      <c r="DS704" s="408"/>
      <c r="DT704" s="408"/>
      <c r="DU704" s="408"/>
      <c r="DV704" s="408">
        <v>8415.7407900095441</v>
      </c>
      <c r="DW704" s="408">
        <v>0</v>
      </c>
      <c r="DX704" s="408">
        <v>0</v>
      </c>
      <c r="DY704" s="408">
        <v>-1851.1713</v>
      </c>
      <c r="DZ704" s="408">
        <v>771.41069999999945</v>
      </c>
      <c r="EA704" s="408">
        <v>0</v>
      </c>
      <c r="EB704" s="408">
        <v>0</v>
      </c>
      <c r="EC704" s="408">
        <v>-2090.612764798032</v>
      </c>
      <c r="ED704" s="408">
        <v>0</v>
      </c>
      <c r="EE704" s="408">
        <v>0</v>
      </c>
      <c r="EF704" s="408">
        <v>0</v>
      </c>
      <c r="EG704" s="408">
        <v>0</v>
      </c>
      <c r="EH704" s="408">
        <v>0</v>
      </c>
      <c r="EI704" s="408">
        <v>0</v>
      </c>
      <c r="EJ704" s="408">
        <v>0</v>
      </c>
      <c r="EK704" s="408">
        <v>0</v>
      </c>
      <c r="EL704" s="408">
        <v>0</v>
      </c>
      <c r="EM704" s="408">
        <v>0</v>
      </c>
      <c r="EN704" s="408">
        <v>0</v>
      </c>
      <c r="EO704" s="408">
        <v>0</v>
      </c>
      <c r="EP704" s="408">
        <v>0</v>
      </c>
      <c r="EQ704" s="408">
        <v>0</v>
      </c>
      <c r="ER704" s="408">
        <v>0</v>
      </c>
      <c r="ES704" s="408">
        <v>0</v>
      </c>
      <c r="ET704" s="408">
        <v>0</v>
      </c>
      <c r="EU704" s="408">
        <v>0</v>
      </c>
      <c r="EV704" s="408">
        <v>240</v>
      </c>
      <c r="EW704" s="408">
        <v>0</v>
      </c>
      <c r="EX704" s="408">
        <v>0</v>
      </c>
      <c r="EY704" s="408">
        <v>0</v>
      </c>
      <c r="EZ704" s="408"/>
      <c r="FA704" s="408">
        <v>0</v>
      </c>
      <c r="FB704" s="408"/>
      <c r="FC704" s="408"/>
      <c r="FD704" s="408"/>
      <c r="FE704" s="408"/>
      <c r="FF704" s="408">
        <v>0</v>
      </c>
      <c r="FG704" s="408">
        <v>0</v>
      </c>
      <c r="FH704" s="408">
        <v>0</v>
      </c>
      <c r="FI704" s="408">
        <v>0</v>
      </c>
    </row>
    <row r="705" spans="1:165">
      <c r="A705" s="408">
        <v>703</v>
      </c>
      <c r="B705" s="408" t="s">
        <v>2238</v>
      </c>
      <c r="C705" s="408" t="s">
        <v>2235</v>
      </c>
      <c r="D705" s="408" t="s">
        <v>1955</v>
      </c>
      <c r="E705" s="408" t="s">
        <v>969</v>
      </c>
      <c r="F705" s="408" t="s">
        <v>2242</v>
      </c>
      <c r="G705" s="408" t="s">
        <v>1322</v>
      </c>
      <c r="H705" s="408" t="s">
        <v>1322</v>
      </c>
      <c r="I705" s="408" t="s">
        <v>1322</v>
      </c>
      <c r="J705" s="408" t="s">
        <v>2236</v>
      </c>
      <c r="K705" s="826">
        <v>44682</v>
      </c>
      <c r="L705" s="408">
        <v>0</v>
      </c>
      <c r="M705" s="408">
        <v>0</v>
      </c>
      <c r="N705" s="408">
        <v>0</v>
      </c>
      <c r="O705" s="408">
        <v>0</v>
      </c>
      <c r="P705" s="408">
        <v>0</v>
      </c>
      <c r="Q705" s="408">
        <v>0</v>
      </c>
      <c r="R705" s="408"/>
      <c r="S705" s="408"/>
      <c r="T705" s="408"/>
      <c r="U705" s="408"/>
      <c r="V705" s="408"/>
      <c r="W705" s="408"/>
      <c r="X705" s="408"/>
      <c r="Y705" s="408"/>
      <c r="Z705" s="408"/>
      <c r="AA705" s="408">
        <v>0</v>
      </c>
      <c r="AB705" s="408"/>
      <c r="AC705" s="408"/>
      <c r="AD705" s="408"/>
      <c r="AE705" s="408"/>
      <c r="AF705" s="408"/>
      <c r="AG705" s="408"/>
      <c r="AH705" s="408"/>
      <c r="AI705" s="408"/>
      <c r="AJ705" s="408"/>
      <c r="AK705" s="408"/>
      <c r="AL705" s="408"/>
      <c r="AM705" s="408"/>
      <c r="AN705" s="408"/>
      <c r="AO705" s="408"/>
      <c r="AP705" s="408"/>
      <c r="AQ705" s="408"/>
      <c r="AR705" s="408"/>
      <c r="AS705" s="408"/>
      <c r="AT705" s="408"/>
      <c r="AU705" s="408"/>
      <c r="AV705" s="408"/>
      <c r="AW705" s="408"/>
      <c r="AX705" s="408"/>
      <c r="AY705" s="408"/>
      <c r="AZ705" s="408">
        <v>0</v>
      </c>
      <c r="BA705" s="408"/>
      <c r="BB705" s="408"/>
      <c r="BC705" s="408"/>
      <c r="BD705" s="408"/>
      <c r="BE705" s="408"/>
      <c r="BF705" s="408"/>
      <c r="BG705" s="408"/>
      <c r="BH705" s="408"/>
      <c r="BI705" s="408">
        <v>0</v>
      </c>
      <c r="BJ705" s="408">
        <v>0</v>
      </c>
      <c r="BK705" s="408">
        <v>113.29</v>
      </c>
      <c r="BL705" s="408">
        <v>10</v>
      </c>
      <c r="BM705" s="408"/>
      <c r="BN705" s="408"/>
      <c r="BO705" s="408"/>
      <c r="BP705" s="408"/>
      <c r="BQ705" s="408"/>
      <c r="BR705" s="408"/>
      <c r="BS705" s="408"/>
      <c r="BT705" s="408"/>
      <c r="BU705" s="408"/>
      <c r="BV705" s="408"/>
      <c r="BW705" s="408"/>
      <c r="BX705" s="408"/>
      <c r="BY705" s="408"/>
      <c r="BZ705" s="408"/>
      <c r="CA705" s="408"/>
      <c r="CB705" s="408"/>
      <c r="CC705" s="408"/>
      <c r="CD705" s="408"/>
      <c r="CE705" s="408"/>
      <c r="CF705" s="408"/>
      <c r="CG705" s="408"/>
      <c r="CH705" s="408"/>
      <c r="CI705" s="408"/>
      <c r="CJ705" s="408">
        <v>-0.03</v>
      </c>
      <c r="CK705" s="408"/>
      <c r="CL705" s="408"/>
      <c r="CM705" s="408"/>
      <c r="CN705" s="408"/>
      <c r="CO705" s="408">
        <v>0</v>
      </c>
      <c r="CP705" s="408">
        <v>0</v>
      </c>
      <c r="CQ705" s="408">
        <v>31</v>
      </c>
      <c r="CR705" s="408"/>
      <c r="CS705" s="408"/>
      <c r="CT705" s="408"/>
      <c r="CU705" s="408"/>
      <c r="CV705" s="408"/>
      <c r="CW705" s="408"/>
      <c r="CX705" s="408"/>
      <c r="CY705" s="408"/>
      <c r="CZ705" s="408"/>
      <c r="DA705" s="408"/>
      <c r="DB705" s="408"/>
      <c r="DC705" s="408"/>
      <c r="DD705" s="408"/>
      <c r="DE705" s="408"/>
      <c r="DF705" s="408"/>
      <c r="DG705" s="408"/>
      <c r="DH705" s="408"/>
      <c r="DI705" s="408"/>
      <c r="DJ705" s="408"/>
      <c r="DK705" s="408">
        <v>0</v>
      </c>
      <c r="DL705" s="408"/>
      <c r="DM705" s="408"/>
      <c r="DN705" s="408"/>
      <c r="DO705" s="408"/>
      <c r="DP705" s="408"/>
      <c r="DQ705" s="408"/>
      <c r="DR705" s="408"/>
      <c r="DS705" s="408"/>
      <c r="DT705" s="408"/>
      <c r="DU705" s="408"/>
      <c r="DV705" s="408"/>
      <c r="DW705" s="408"/>
      <c r="DX705" s="408"/>
      <c r="DY705" s="408"/>
      <c r="DZ705" s="408"/>
      <c r="EA705" s="408"/>
      <c r="EB705" s="408"/>
      <c r="EC705" s="408"/>
      <c r="ED705" s="408"/>
      <c r="EE705" s="408"/>
      <c r="EF705" s="408"/>
      <c r="EG705" s="408"/>
      <c r="EH705" s="408"/>
      <c r="EI705" s="408"/>
      <c r="EJ705" s="408"/>
      <c r="EK705" s="408"/>
      <c r="EL705" s="408"/>
      <c r="EM705" s="408"/>
      <c r="EN705" s="408"/>
      <c r="EO705" s="408"/>
      <c r="EP705" s="408"/>
      <c r="EQ705" s="408"/>
      <c r="ER705" s="408"/>
      <c r="ES705" s="408"/>
      <c r="ET705" s="408"/>
      <c r="EU705" s="408"/>
      <c r="EV705" s="408">
        <v>240</v>
      </c>
      <c r="EW705" s="408"/>
      <c r="EX705" s="408"/>
      <c r="EY705" s="408"/>
      <c r="EZ705" s="408"/>
      <c r="FA705" s="408">
        <v>0</v>
      </c>
      <c r="FB705" s="408"/>
      <c r="FC705" s="408"/>
      <c r="FD705" s="408"/>
      <c r="FE705" s="408"/>
      <c r="FF705" s="408">
        <v>0</v>
      </c>
      <c r="FG705" s="408">
        <v>0</v>
      </c>
      <c r="FH705" s="408">
        <v>0</v>
      </c>
      <c r="FI705" s="408">
        <v>0</v>
      </c>
    </row>
    <row r="706" spans="1:165">
      <c r="A706" s="408">
        <v>704</v>
      </c>
      <c r="B706" s="408" t="s">
        <v>1036</v>
      </c>
      <c r="C706" s="408" t="s">
        <v>2316</v>
      </c>
      <c r="D706" s="408" t="s">
        <v>1955</v>
      </c>
      <c r="E706" s="408" t="s">
        <v>969</v>
      </c>
      <c r="F706" s="408" t="s">
        <v>969</v>
      </c>
      <c r="G706" s="408" t="s">
        <v>1322</v>
      </c>
      <c r="H706" s="408" t="s">
        <v>1322</v>
      </c>
      <c r="I706" s="408" t="s">
        <v>973</v>
      </c>
      <c r="J706" s="408" t="s">
        <v>2236</v>
      </c>
      <c r="K706" s="826">
        <v>44682</v>
      </c>
      <c r="L706" s="408">
        <v>0</v>
      </c>
      <c r="M706" s="408">
        <v>0</v>
      </c>
      <c r="N706" s="408">
        <v>0.377</v>
      </c>
      <c r="O706" s="408">
        <v>0.377</v>
      </c>
      <c r="P706" s="408">
        <v>0.377</v>
      </c>
      <c r="Q706" s="408">
        <v>0.377</v>
      </c>
      <c r="R706" s="408"/>
      <c r="S706" s="408">
        <v>775.22</v>
      </c>
      <c r="T706" s="408">
        <v>173.25</v>
      </c>
      <c r="U706" s="408"/>
      <c r="V706" s="408">
        <v>357.57319000000001</v>
      </c>
      <c r="W706" s="408">
        <v>357.57319000000001</v>
      </c>
      <c r="X706" s="408">
        <v>315.3605</v>
      </c>
      <c r="Y706" s="408">
        <v>0</v>
      </c>
      <c r="Z706" s="408">
        <v>23.202534066162642</v>
      </c>
      <c r="AA706" s="408">
        <v>0</v>
      </c>
      <c r="AB706" s="408">
        <v>0</v>
      </c>
      <c r="AC706" s="408">
        <v>2.4121929778142461</v>
      </c>
      <c r="AD706" s="408">
        <v>2.3175873921060224</v>
      </c>
      <c r="AE706" s="408">
        <v>221.99368161094517</v>
      </c>
      <c r="AF706" s="408">
        <v>64.218357410663003</v>
      </c>
      <c r="AG706" s="408">
        <v>1.0960270410140514</v>
      </c>
      <c r="AH706" s="408">
        <v>0</v>
      </c>
      <c r="AI706" s="408">
        <v>0</v>
      </c>
      <c r="AJ706" s="408">
        <v>0</v>
      </c>
      <c r="AK706" s="408">
        <v>0</v>
      </c>
      <c r="AL706" s="408">
        <v>3.5849044145516795</v>
      </c>
      <c r="AM706" s="408"/>
      <c r="AN706" s="408">
        <v>0.45536198131474542</v>
      </c>
      <c r="AO706" s="408">
        <v>5.120685081290457</v>
      </c>
      <c r="AP706" s="408">
        <v>23.876821540895097</v>
      </c>
      <c r="AQ706" s="408">
        <v>0</v>
      </c>
      <c r="AR706" s="408">
        <v>0</v>
      </c>
      <c r="AS706" s="408">
        <v>0</v>
      </c>
      <c r="AT706" s="408">
        <v>0</v>
      </c>
      <c r="AU706" s="408">
        <v>0</v>
      </c>
      <c r="AV706" s="408">
        <v>0</v>
      </c>
      <c r="AW706" s="408">
        <v>0</v>
      </c>
      <c r="AX706" s="408">
        <v>0</v>
      </c>
      <c r="AY706" s="408">
        <v>0</v>
      </c>
      <c r="AZ706" s="408">
        <v>0</v>
      </c>
      <c r="BA706" s="408"/>
      <c r="BB706" s="408">
        <v>0</v>
      </c>
      <c r="BC706" s="408">
        <v>0</v>
      </c>
      <c r="BD706" s="408">
        <v>0</v>
      </c>
      <c r="BE706" s="408">
        <v>0</v>
      </c>
      <c r="BF706" s="408">
        <v>0</v>
      </c>
      <c r="BG706" s="408">
        <v>3.3703015180385645</v>
      </c>
      <c r="BH706" s="408">
        <v>0</v>
      </c>
      <c r="BI706" s="408">
        <v>0</v>
      </c>
      <c r="BJ706" s="408">
        <v>0</v>
      </c>
      <c r="BK706" s="408">
        <v>0</v>
      </c>
      <c r="BL706" s="408">
        <v>0</v>
      </c>
      <c r="BM706" s="408"/>
      <c r="BN706" s="408"/>
      <c r="BO706" s="408"/>
      <c r="BP706" s="408"/>
      <c r="BQ706" s="408"/>
      <c r="BR706" s="408"/>
      <c r="BS706" s="408"/>
      <c r="BT706" s="408"/>
      <c r="BU706" s="408"/>
      <c r="BV706" s="408">
        <v>67.588658928701562</v>
      </c>
      <c r="BW706" s="408"/>
      <c r="BX706" s="408"/>
      <c r="BY706" s="408"/>
      <c r="BZ706" s="408"/>
      <c r="CA706" s="408"/>
      <c r="CB706" s="408"/>
      <c r="CC706" s="408"/>
      <c r="CD706" s="408"/>
      <c r="CE706" s="408"/>
      <c r="CF706" s="408"/>
      <c r="CG706" s="408"/>
      <c r="CH706" s="408"/>
      <c r="CI706" s="408">
        <v>317.87</v>
      </c>
      <c r="CJ706" s="408">
        <v>-39.733189999999979</v>
      </c>
      <c r="CK706" s="408"/>
      <c r="CL706" s="408"/>
      <c r="CM706" s="408"/>
      <c r="CN706" s="408"/>
      <c r="CO706" s="408">
        <v>-50.352120000000021</v>
      </c>
      <c r="CP706" s="408">
        <v>8.1394300000000008</v>
      </c>
      <c r="CQ706" s="408">
        <v>31</v>
      </c>
      <c r="CR706" s="408">
        <v>12.932407934402903</v>
      </c>
      <c r="CS706" s="408">
        <v>0.51026532318001561</v>
      </c>
      <c r="CT706" s="408">
        <v>2.3792742312140902</v>
      </c>
      <c r="CU706" s="408">
        <v>0</v>
      </c>
      <c r="CV706" s="408">
        <v>0</v>
      </c>
      <c r="CW706" s="408">
        <v>0</v>
      </c>
      <c r="CX706" s="408">
        <v>0</v>
      </c>
      <c r="CY706" s="408">
        <v>0</v>
      </c>
      <c r="CZ706" s="408">
        <v>2.386347111309822</v>
      </c>
      <c r="DA706" s="408">
        <v>0</v>
      </c>
      <c r="DB706" s="408">
        <v>0</v>
      </c>
      <c r="DC706" s="408">
        <v>8.1385110112841659</v>
      </c>
      <c r="DD706" s="408">
        <v>0</v>
      </c>
      <c r="DE706" s="408">
        <v>0</v>
      </c>
      <c r="DF706" s="408">
        <v>0</v>
      </c>
      <c r="DG706" s="408">
        <v>0.42712453450811827</v>
      </c>
      <c r="DH706" s="408">
        <v>0</v>
      </c>
      <c r="DI706" s="408">
        <v>-0.78788463460444902</v>
      </c>
      <c r="DJ706" s="408"/>
      <c r="DK706" s="408">
        <v>0</v>
      </c>
      <c r="DL706" s="408">
        <v>0</v>
      </c>
      <c r="DM706" s="408">
        <v>0</v>
      </c>
      <c r="DN706" s="408">
        <v>0</v>
      </c>
      <c r="DO706" s="408">
        <v>-0.10834680092769933</v>
      </c>
      <c r="DP706" s="408">
        <v>-1.2882841561145553E-2</v>
      </c>
      <c r="DQ706" s="408">
        <v>0</v>
      </c>
      <c r="DR706" s="408">
        <v>0</v>
      </c>
      <c r="DS706" s="408"/>
      <c r="DT706" s="408"/>
      <c r="DU706" s="408"/>
      <c r="DV706" s="408">
        <v>221.99368161094517</v>
      </c>
      <c r="DW706" s="408">
        <v>0</v>
      </c>
      <c r="DX706" s="408">
        <v>0</v>
      </c>
      <c r="DY706" s="408">
        <v>-50.352120000000042</v>
      </c>
      <c r="DZ706" s="408">
        <v>8.1394299999999902</v>
      </c>
      <c r="EA706" s="408">
        <v>0</v>
      </c>
      <c r="EB706" s="408">
        <v>0</v>
      </c>
      <c r="EC706" s="408">
        <v>-55.146996094662512</v>
      </c>
      <c r="ED706" s="408">
        <v>0</v>
      </c>
      <c r="EE706" s="408">
        <v>0</v>
      </c>
      <c r="EF706" s="408">
        <v>0</v>
      </c>
      <c r="EG706" s="408">
        <v>0</v>
      </c>
      <c r="EH706" s="408">
        <v>0</v>
      </c>
      <c r="EI706" s="408">
        <v>0</v>
      </c>
      <c r="EJ706" s="408">
        <v>0</v>
      </c>
      <c r="EK706" s="408">
        <v>0</v>
      </c>
      <c r="EL706" s="408">
        <v>0</v>
      </c>
      <c r="EM706" s="408">
        <v>0</v>
      </c>
      <c r="EN706" s="408">
        <v>0</v>
      </c>
      <c r="EO706" s="408">
        <v>0</v>
      </c>
      <c r="EP706" s="408">
        <v>5.9255133816259198</v>
      </c>
      <c r="EQ706" s="408">
        <v>0</v>
      </c>
      <c r="ER706" s="408">
        <v>0</v>
      </c>
      <c r="ES706" s="408">
        <v>0</v>
      </c>
      <c r="ET706" s="408">
        <v>0</v>
      </c>
      <c r="EU706" s="408">
        <v>0</v>
      </c>
      <c r="EV706" s="408">
        <v>240</v>
      </c>
      <c r="EW706" s="408">
        <v>0</v>
      </c>
      <c r="EX706" s="408">
        <v>0</v>
      </c>
      <c r="EY706" s="408">
        <v>0</v>
      </c>
      <c r="EZ706" s="408"/>
      <c r="FA706" s="408">
        <v>0</v>
      </c>
      <c r="FB706" s="408"/>
      <c r="FC706" s="408"/>
      <c r="FD706" s="408"/>
      <c r="FE706" s="408"/>
      <c r="FF706" s="408">
        <v>0</v>
      </c>
      <c r="FG706" s="408">
        <v>0</v>
      </c>
      <c r="FH706" s="408">
        <v>0</v>
      </c>
      <c r="FI706" s="408">
        <v>0</v>
      </c>
    </row>
    <row r="707" spans="1:165">
      <c r="A707" s="408">
        <v>705</v>
      </c>
      <c r="B707" s="408" t="s">
        <v>1036</v>
      </c>
      <c r="C707" s="408" t="s">
        <v>2316</v>
      </c>
      <c r="D707" s="408" t="s">
        <v>1955</v>
      </c>
      <c r="E707" s="408" t="s">
        <v>969</v>
      </c>
      <c r="F707" s="408" t="s">
        <v>969</v>
      </c>
      <c r="G707" s="408" t="s">
        <v>1322</v>
      </c>
      <c r="H707" s="408" t="s">
        <v>1322</v>
      </c>
      <c r="I707" s="408" t="s">
        <v>2244</v>
      </c>
      <c r="J707" s="408" t="s">
        <v>2236</v>
      </c>
      <c r="K707" s="826">
        <v>44682</v>
      </c>
      <c r="L707" s="408">
        <v>0</v>
      </c>
      <c r="M707" s="408">
        <v>0</v>
      </c>
      <c r="N707" s="408">
        <v>3.0619999999999998</v>
      </c>
      <c r="O707" s="408">
        <v>3.0619999999999998</v>
      </c>
      <c r="P707" s="408">
        <v>3.0619999999999998</v>
      </c>
      <c r="Q707" s="408">
        <v>3.0619999999999998</v>
      </c>
      <c r="R707" s="408"/>
      <c r="S707" s="408">
        <v>232.58</v>
      </c>
      <c r="T707" s="408">
        <v>173.25</v>
      </c>
      <c r="U707" s="408"/>
      <c r="V707" s="408">
        <v>1242.65146</v>
      </c>
      <c r="W707" s="408">
        <v>1242.65146</v>
      </c>
      <c r="X707" s="408">
        <v>1223.8507799999998</v>
      </c>
      <c r="Y707" s="408">
        <v>0</v>
      </c>
      <c r="Z707" s="408">
        <v>188.45135095647214</v>
      </c>
      <c r="AA707" s="408">
        <v>0</v>
      </c>
      <c r="AB707" s="408">
        <v>0</v>
      </c>
      <c r="AC707" s="408">
        <v>3.9186517056325352</v>
      </c>
      <c r="AD707" s="408">
        <v>3.7649455783263788</v>
      </c>
      <c r="AE707" s="408">
        <v>360.60730897018226</v>
      </c>
      <c r="AF707" s="408">
        <v>521.58252093222836</v>
      </c>
      <c r="AG707" s="408">
        <v>8.9019490705173077</v>
      </c>
      <c r="AH707" s="408">
        <v>0</v>
      </c>
      <c r="AI707" s="408">
        <v>0</v>
      </c>
      <c r="AJ707" s="408">
        <v>0</v>
      </c>
      <c r="AK707" s="408">
        <v>0</v>
      </c>
      <c r="AL707" s="408">
        <v>29.116650709170404</v>
      </c>
      <c r="AM707" s="408"/>
      <c r="AN707" s="408">
        <v>3.6984572593786482</v>
      </c>
      <c r="AO707" s="408">
        <v>8.3188653252325633</v>
      </c>
      <c r="AP707" s="408">
        <v>38.78807157805457</v>
      </c>
      <c r="AQ707" s="408">
        <v>0</v>
      </c>
      <c r="AR707" s="408">
        <v>0</v>
      </c>
      <c r="AS707" s="408">
        <v>0</v>
      </c>
      <c r="AT707" s="408">
        <v>0</v>
      </c>
      <c r="AU707" s="408">
        <v>0</v>
      </c>
      <c r="AV707" s="408">
        <v>0</v>
      </c>
      <c r="AW707" s="408">
        <v>0</v>
      </c>
      <c r="AX707" s="408">
        <v>0</v>
      </c>
      <c r="AY707" s="408">
        <v>0</v>
      </c>
      <c r="AZ707" s="408">
        <v>0</v>
      </c>
      <c r="BA707" s="408"/>
      <c r="BB707" s="408">
        <v>0</v>
      </c>
      <c r="BC707" s="408">
        <v>0</v>
      </c>
      <c r="BD707" s="408">
        <v>0</v>
      </c>
      <c r="BE707" s="408">
        <v>0</v>
      </c>
      <c r="BF707" s="408">
        <v>0</v>
      </c>
      <c r="BG707" s="408">
        <v>27.37364256826017</v>
      </c>
      <c r="BH707" s="408">
        <v>0</v>
      </c>
      <c r="BI707" s="408">
        <v>0</v>
      </c>
      <c r="BJ707" s="408">
        <v>0</v>
      </c>
      <c r="BK707" s="408">
        <v>0</v>
      </c>
      <c r="BL707" s="408">
        <v>0</v>
      </c>
      <c r="BM707" s="408"/>
      <c r="BN707" s="408"/>
      <c r="BO707" s="408"/>
      <c r="BP707" s="408"/>
      <c r="BQ707" s="408"/>
      <c r="BR707" s="408"/>
      <c r="BS707" s="408"/>
      <c r="BT707" s="408"/>
      <c r="BU707" s="408"/>
      <c r="BV707" s="408">
        <v>548.95616350048851</v>
      </c>
      <c r="BW707" s="408"/>
      <c r="BX707" s="408"/>
      <c r="BY707" s="408"/>
      <c r="BZ707" s="408"/>
      <c r="CA707" s="408"/>
      <c r="CB707" s="408"/>
      <c r="CC707" s="408"/>
      <c r="CD707" s="408"/>
      <c r="CE707" s="408"/>
      <c r="CF707" s="408"/>
      <c r="CG707" s="408"/>
      <c r="CH707" s="408"/>
      <c r="CI707" s="408">
        <v>1223.0514000000001</v>
      </c>
      <c r="CJ707" s="408">
        <v>-19.630059999999958</v>
      </c>
      <c r="CK707" s="408"/>
      <c r="CL707" s="408"/>
      <c r="CM707" s="408"/>
      <c r="CN707" s="408"/>
      <c r="CO707" s="408">
        <v>-84.909260000000046</v>
      </c>
      <c r="CP707" s="408">
        <v>66.108580000000003</v>
      </c>
      <c r="CQ707" s="408">
        <v>31</v>
      </c>
      <c r="CR707" s="408">
        <v>70.7571396525924</v>
      </c>
      <c r="CS707" s="408">
        <v>0.82895714856208436</v>
      </c>
      <c r="CT707" s="408">
        <v>3.8651484254756454</v>
      </c>
      <c r="CU707" s="408">
        <v>0</v>
      </c>
      <c r="CV707" s="408">
        <v>0</v>
      </c>
      <c r="CW707" s="408">
        <v>0</v>
      </c>
      <c r="CX707" s="408">
        <v>0</v>
      </c>
      <c r="CY707" s="408">
        <v>0</v>
      </c>
      <c r="CZ707" s="408">
        <v>3.8766464797314741</v>
      </c>
      <c r="DA707" s="408">
        <v>0</v>
      </c>
      <c r="DB707" s="408">
        <v>0</v>
      </c>
      <c r="DC707" s="408">
        <v>66.101115959024241</v>
      </c>
      <c r="DD707" s="408">
        <v>0</v>
      </c>
      <c r="DE707" s="408">
        <v>0</v>
      </c>
      <c r="DF707" s="408">
        <v>0</v>
      </c>
      <c r="DG707" s="408">
        <v>3.4691122670128856</v>
      </c>
      <c r="DH707" s="408">
        <v>0</v>
      </c>
      <c r="DI707" s="408">
        <v>-6.3992115415353226</v>
      </c>
      <c r="DJ707" s="408"/>
      <c r="DK707" s="408">
        <v>0</v>
      </c>
      <c r="DL707" s="408">
        <v>0</v>
      </c>
      <c r="DM707" s="408">
        <v>0</v>
      </c>
      <c r="DN707" s="408">
        <v>0</v>
      </c>
      <c r="DO707" s="408">
        <v>-0.87999444148704598</v>
      </c>
      <c r="DP707" s="408">
        <v>-0.1046346441915853</v>
      </c>
      <c r="DQ707" s="408">
        <v>0</v>
      </c>
      <c r="DR707" s="408">
        <v>0</v>
      </c>
      <c r="DS707" s="408"/>
      <c r="DT707" s="408"/>
      <c r="DU707" s="408"/>
      <c r="DV707" s="408">
        <v>360.60730897018226</v>
      </c>
      <c r="DW707" s="408">
        <v>0</v>
      </c>
      <c r="DX707" s="408">
        <v>0</v>
      </c>
      <c r="DY707" s="408">
        <v>-84.909260000000017</v>
      </c>
      <c r="DZ707" s="408">
        <v>66.108579999999961</v>
      </c>
      <c r="EA707" s="408">
        <v>0</v>
      </c>
      <c r="EB707" s="408">
        <v>0</v>
      </c>
      <c r="EC707" s="408">
        <v>-89.580972373517341</v>
      </c>
      <c r="ED707" s="408">
        <v>0</v>
      </c>
      <c r="EE707" s="408">
        <v>0</v>
      </c>
      <c r="EF707" s="408">
        <v>0</v>
      </c>
      <c r="EG707" s="408">
        <v>0</v>
      </c>
      <c r="EH707" s="408">
        <v>0</v>
      </c>
      <c r="EI707" s="408">
        <v>0</v>
      </c>
      <c r="EJ707" s="408">
        <v>0</v>
      </c>
      <c r="EK707" s="408">
        <v>0</v>
      </c>
      <c r="EL707" s="408">
        <v>0</v>
      </c>
      <c r="EM707" s="408">
        <v>0</v>
      </c>
      <c r="EN707" s="408">
        <v>0</v>
      </c>
      <c r="EO707" s="408">
        <v>0</v>
      </c>
      <c r="EP707" s="408">
        <v>48.127113990818479</v>
      </c>
      <c r="EQ707" s="408">
        <v>0</v>
      </c>
      <c r="ER707" s="408">
        <v>0</v>
      </c>
      <c r="ES707" s="408">
        <v>0</v>
      </c>
      <c r="ET707" s="408">
        <v>0</v>
      </c>
      <c r="EU707" s="408">
        <v>0</v>
      </c>
      <c r="EV707" s="408">
        <v>240</v>
      </c>
      <c r="EW707" s="408">
        <v>0</v>
      </c>
      <c r="EX707" s="408">
        <v>0</v>
      </c>
      <c r="EY707" s="408">
        <v>0</v>
      </c>
      <c r="EZ707" s="408"/>
      <c r="FA707" s="408">
        <v>0</v>
      </c>
      <c r="FB707" s="408"/>
      <c r="FC707" s="408"/>
      <c r="FD707" s="408"/>
      <c r="FE707" s="408"/>
      <c r="FF707" s="408">
        <v>0</v>
      </c>
      <c r="FG707" s="408">
        <v>0</v>
      </c>
      <c r="FH707" s="408">
        <v>0</v>
      </c>
      <c r="FI707" s="408">
        <v>0</v>
      </c>
    </row>
    <row r="708" spans="1:165">
      <c r="A708" s="408">
        <v>706</v>
      </c>
      <c r="B708" s="408" t="s">
        <v>1036</v>
      </c>
      <c r="C708" s="408" t="s">
        <v>2316</v>
      </c>
      <c r="D708" s="408" t="s">
        <v>1955</v>
      </c>
      <c r="E708" s="408" t="s">
        <v>969</v>
      </c>
      <c r="F708" s="408" t="s">
        <v>969</v>
      </c>
      <c r="G708" s="408" t="s">
        <v>1322</v>
      </c>
      <c r="H708" s="408" t="s">
        <v>1322</v>
      </c>
      <c r="I708" s="408" t="s">
        <v>1322</v>
      </c>
      <c r="J708" s="408" t="s">
        <v>2236</v>
      </c>
      <c r="K708" s="826">
        <v>44682</v>
      </c>
      <c r="L708" s="408">
        <v>0</v>
      </c>
      <c r="M708" s="408">
        <v>0</v>
      </c>
      <c r="N708" s="408">
        <v>0</v>
      </c>
      <c r="O708" s="408">
        <v>0</v>
      </c>
      <c r="P708" s="408">
        <v>0</v>
      </c>
      <c r="Q708" s="408">
        <v>0</v>
      </c>
      <c r="R708" s="408"/>
      <c r="S708" s="408"/>
      <c r="T708" s="408"/>
      <c r="U708" s="408"/>
      <c r="V708" s="408"/>
      <c r="W708" s="408"/>
      <c r="X708" s="408"/>
      <c r="Y708" s="408"/>
      <c r="Z708" s="408"/>
      <c r="AA708" s="408">
        <v>0</v>
      </c>
      <c r="AB708" s="408"/>
      <c r="AC708" s="408"/>
      <c r="AD708" s="408"/>
      <c r="AE708" s="408"/>
      <c r="AF708" s="408"/>
      <c r="AG708" s="408"/>
      <c r="AH708" s="408"/>
      <c r="AI708" s="408"/>
      <c r="AJ708" s="408"/>
      <c r="AK708" s="408"/>
      <c r="AL708" s="408"/>
      <c r="AM708" s="408"/>
      <c r="AN708" s="408"/>
      <c r="AO708" s="408"/>
      <c r="AP708" s="408"/>
      <c r="AQ708" s="408"/>
      <c r="AR708" s="408"/>
      <c r="AS708" s="408"/>
      <c r="AT708" s="408"/>
      <c r="AU708" s="408"/>
      <c r="AV708" s="408"/>
      <c r="AW708" s="408"/>
      <c r="AX708" s="408"/>
      <c r="AY708" s="408"/>
      <c r="AZ708" s="408">
        <v>0</v>
      </c>
      <c r="BA708" s="408"/>
      <c r="BB708" s="408"/>
      <c r="BC708" s="408"/>
      <c r="BD708" s="408"/>
      <c r="BE708" s="408"/>
      <c r="BF708" s="408"/>
      <c r="BG708" s="408"/>
      <c r="BH708" s="408"/>
      <c r="BI708" s="408">
        <v>1.1200000000000001</v>
      </c>
      <c r="BJ708" s="408">
        <v>15.42</v>
      </c>
      <c r="BK708" s="408">
        <v>570.23</v>
      </c>
      <c r="BL708" s="408">
        <v>13</v>
      </c>
      <c r="BM708" s="408"/>
      <c r="BN708" s="408"/>
      <c r="BO708" s="408"/>
      <c r="BP708" s="408"/>
      <c r="BQ708" s="408"/>
      <c r="BR708" s="408"/>
      <c r="BS708" s="408"/>
      <c r="BT708" s="408"/>
      <c r="BU708" s="408"/>
      <c r="BV708" s="408"/>
      <c r="BW708" s="408"/>
      <c r="BX708" s="408"/>
      <c r="BY708" s="408"/>
      <c r="BZ708" s="408"/>
      <c r="CA708" s="408"/>
      <c r="CB708" s="408"/>
      <c r="CC708" s="408"/>
      <c r="CD708" s="408"/>
      <c r="CE708" s="408"/>
      <c r="CF708" s="408"/>
      <c r="CG708" s="408"/>
      <c r="CH708" s="408"/>
      <c r="CI708" s="408"/>
      <c r="CJ708" s="408">
        <v>-0.03</v>
      </c>
      <c r="CK708" s="408"/>
      <c r="CL708" s="408"/>
      <c r="CM708" s="408"/>
      <c r="CN708" s="408"/>
      <c r="CO708" s="408">
        <v>0</v>
      </c>
      <c r="CP708" s="408">
        <v>0</v>
      </c>
      <c r="CQ708" s="408">
        <v>31</v>
      </c>
      <c r="CR708" s="408"/>
      <c r="CS708" s="408"/>
      <c r="CT708" s="408"/>
      <c r="CU708" s="408"/>
      <c r="CV708" s="408"/>
      <c r="CW708" s="408"/>
      <c r="CX708" s="408"/>
      <c r="CY708" s="408"/>
      <c r="CZ708" s="408"/>
      <c r="DA708" s="408"/>
      <c r="DB708" s="408"/>
      <c r="DC708" s="408"/>
      <c r="DD708" s="408"/>
      <c r="DE708" s="408"/>
      <c r="DF708" s="408"/>
      <c r="DG708" s="408"/>
      <c r="DH708" s="408"/>
      <c r="DI708" s="408"/>
      <c r="DJ708" s="408"/>
      <c r="DK708" s="408">
        <v>0</v>
      </c>
      <c r="DL708" s="408"/>
      <c r="DM708" s="408"/>
      <c r="DN708" s="408"/>
      <c r="DO708" s="408"/>
      <c r="DP708" s="408"/>
      <c r="DQ708" s="408"/>
      <c r="DR708" s="408"/>
      <c r="DS708" s="408"/>
      <c r="DT708" s="408"/>
      <c r="DU708" s="408"/>
      <c r="DV708" s="408"/>
      <c r="DW708" s="408"/>
      <c r="DX708" s="408"/>
      <c r="DY708" s="408"/>
      <c r="DZ708" s="408"/>
      <c r="EA708" s="408"/>
      <c r="EB708" s="408"/>
      <c r="EC708" s="408"/>
      <c r="ED708" s="408"/>
      <c r="EE708" s="408"/>
      <c r="EF708" s="408"/>
      <c r="EG708" s="408"/>
      <c r="EH708" s="408"/>
      <c r="EI708" s="408"/>
      <c r="EJ708" s="408"/>
      <c r="EK708" s="408"/>
      <c r="EL708" s="408"/>
      <c r="EM708" s="408"/>
      <c r="EN708" s="408"/>
      <c r="EO708" s="408"/>
      <c r="EP708" s="408"/>
      <c r="EQ708" s="408"/>
      <c r="ER708" s="408"/>
      <c r="ES708" s="408"/>
      <c r="ET708" s="408"/>
      <c r="EU708" s="408"/>
      <c r="EV708" s="408">
        <v>240</v>
      </c>
      <c r="EW708" s="408"/>
      <c r="EX708" s="408"/>
      <c r="EY708" s="408"/>
      <c r="EZ708" s="408"/>
      <c r="FA708" s="408">
        <v>0</v>
      </c>
      <c r="FB708" s="408"/>
      <c r="FC708" s="408"/>
      <c r="FD708" s="408"/>
      <c r="FE708" s="408"/>
      <c r="FF708" s="408">
        <v>0</v>
      </c>
      <c r="FG708" s="408">
        <v>0</v>
      </c>
      <c r="FH708" s="408">
        <v>0</v>
      </c>
      <c r="FI708" s="408">
        <v>0</v>
      </c>
    </row>
    <row r="709" spans="1:165">
      <c r="A709" s="408">
        <v>707</v>
      </c>
      <c r="B709" s="408" t="s">
        <v>1036</v>
      </c>
      <c r="C709" s="408" t="s">
        <v>2316</v>
      </c>
      <c r="D709" s="408" t="s">
        <v>1955</v>
      </c>
      <c r="E709" s="408" t="s">
        <v>969</v>
      </c>
      <c r="F709" s="408" t="s">
        <v>969</v>
      </c>
      <c r="G709" s="408" t="s">
        <v>1322</v>
      </c>
      <c r="H709" s="408" t="s">
        <v>1322</v>
      </c>
      <c r="I709" s="408" t="s">
        <v>2317</v>
      </c>
      <c r="J709" s="408" t="s">
        <v>2236</v>
      </c>
      <c r="K709" s="826">
        <v>44682</v>
      </c>
      <c r="L709" s="408">
        <v>0</v>
      </c>
      <c r="M709" s="408">
        <v>0</v>
      </c>
      <c r="N709" s="408">
        <v>0.247</v>
      </c>
      <c r="O709" s="408">
        <v>0.247</v>
      </c>
      <c r="P709" s="408">
        <v>0.247</v>
      </c>
      <c r="Q709" s="408">
        <v>0.247</v>
      </c>
      <c r="R709" s="408"/>
      <c r="S709" s="408">
        <v>503.9</v>
      </c>
      <c r="T709" s="408">
        <v>173.25</v>
      </c>
      <c r="U709" s="408"/>
      <c r="V709" s="408">
        <v>167.25604999999999</v>
      </c>
      <c r="W709" s="408">
        <v>167.25604999999999</v>
      </c>
      <c r="X709" s="408">
        <v>152.66822999999999</v>
      </c>
      <c r="Y709" s="408">
        <v>0</v>
      </c>
      <c r="Z709" s="408">
        <v>15.201660250244489</v>
      </c>
      <c r="AA709" s="408">
        <v>0</v>
      </c>
      <c r="AB709" s="408">
        <v>0</v>
      </c>
      <c r="AC709" s="408">
        <v>0.94819656668377117</v>
      </c>
      <c r="AD709" s="408">
        <v>0.91101311797069306</v>
      </c>
      <c r="AE709" s="408">
        <v>87.266444497052291</v>
      </c>
      <c r="AF709" s="408">
        <v>42.074096234572309</v>
      </c>
      <c r="AG709" s="408">
        <v>0.71808668204368875</v>
      </c>
      <c r="AH709" s="408">
        <v>0</v>
      </c>
      <c r="AI709" s="408">
        <v>0</v>
      </c>
      <c r="AJ709" s="408">
        <v>0</v>
      </c>
      <c r="AK709" s="408">
        <v>0</v>
      </c>
      <c r="AL709" s="408">
        <v>2.3487304784993763</v>
      </c>
      <c r="AM709" s="408"/>
      <c r="AN709" s="408">
        <v>0.2983406084475918</v>
      </c>
      <c r="AO709" s="408">
        <v>2.0128829046902195</v>
      </c>
      <c r="AP709" s="408">
        <v>9.3856597015584278</v>
      </c>
      <c r="AQ709" s="408">
        <v>0</v>
      </c>
      <c r="AR709" s="408">
        <v>0</v>
      </c>
      <c r="AS709" s="408">
        <v>0</v>
      </c>
      <c r="AT709" s="408">
        <v>0</v>
      </c>
      <c r="AU709" s="408">
        <v>0</v>
      </c>
      <c r="AV709" s="408">
        <v>0</v>
      </c>
      <c r="AW709" s="408">
        <v>0</v>
      </c>
      <c r="AX709" s="408">
        <v>0</v>
      </c>
      <c r="AY709" s="408">
        <v>0</v>
      </c>
      <c r="AZ709" s="408">
        <v>0</v>
      </c>
      <c r="BA709" s="408"/>
      <c r="BB709" s="408">
        <v>0</v>
      </c>
      <c r="BC709" s="408">
        <v>0</v>
      </c>
      <c r="BD709" s="408">
        <v>0</v>
      </c>
      <c r="BE709" s="408">
        <v>0</v>
      </c>
      <c r="BF709" s="408">
        <v>0</v>
      </c>
      <c r="BG709" s="408">
        <v>2.2081285807838871</v>
      </c>
      <c r="BH709" s="408">
        <v>0</v>
      </c>
      <c r="BI709" s="408">
        <v>0</v>
      </c>
      <c r="BJ709" s="408">
        <v>0</v>
      </c>
      <c r="BK709" s="408">
        <v>0</v>
      </c>
      <c r="BL709" s="408">
        <v>0</v>
      </c>
      <c r="BM709" s="408"/>
      <c r="BN709" s="408"/>
      <c r="BO709" s="408"/>
      <c r="BP709" s="408"/>
      <c r="BQ709" s="408"/>
      <c r="BR709" s="408"/>
      <c r="BS709" s="408"/>
      <c r="BT709" s="408"/>
      <c r="BU709" s="408"/>
      <c r="BV709" s="408">
        <v>44.282224815356194</v>
      </c>
      <c r="BW709" s="408"/>
      <c r="BX709" s="408"/>
      <c r="BY709" s="408"/>
      <c r="BZ709" s="408"/>
      <c r="CA709" s="408"/>
      <c r="CB709" s="408"/>
      <c r="CC709" s="408"/>
      <c r="CD709" s="408"/>
      <c r="CE709" s="408"/>
      <c r="CF709" s="408"/>
      <c r="CG709" s="408"/>
      <c r="CH709" s="408"/>
      <c r="CI709" s="408">
        <v>154.52250000000001</v>
      </c>
      <c r="CJ709" s="408">
        <v>-12.763549999999981</v>
      </c>
      <c r="CK709" s="408"/>
      <c r="CL709" s="408"/>
      <c r="CM709" s="408"/>
      <c r="CN709" s="408"/>
      <c r="CO709" s="408">
        <v>-19.920549999999995</v>
      </c>
      <c r="CP709" s="408">
        <v>5.3327300000000006</v>
      </c>
      <c r="CQ709" s="408">
        <v>31</v>
      </c>
      <c r="CR709" s="408">
        <v>7.0902235869684489</v>
      </c>
      <c r="CS709" s="408">
        <v>0.20057947903065942</v>
      </c>
      <c r="CT709" s="408">
        <v>0.9352609279511821</v>
      </c>
      <c r="CU709" s="408">
        <v>0</v>
      </c>
      <c r="CV709" s="408">
        <v>0</v>
      </c>
      <c r="CW709" s="408">
        <v>0</v>
      </c>
      <c r="CX709" s="408">
        <v>0</v>
      </c>
      <c r="CY709" s="408">
        <v>0</v>
      </c>
      <c r="CZ709" s="408">
        <v>0.93804165911482085</v>
      </c>
      <c r="DA709" s="408">
        <v>0</v>
      </c>
      <c r="DB709" s="408">
        <v>0</v>
      </c>
      <c r="DC709" s="408">
        <v>5.3321279039448015</v>
      </c>
      <c r="DD709" s="408">
        <v>0</v>
      </c>
      <c r="DE709" s="408">
        <v>0</v>
      </c>
      <c r="DF709" s="408">
        <v>0</v>
      </c>
      <c r="DG709" s="408">
        <v>0.2798402122639394</v>
      </c>
      <c r="DH709" s="408">
        <v>0</v>
      </c>
      <c r="DI709" s="408">
        <v>-0.5162002778442929</v>
      </c>
      <c r="DJ709" s="408"/>
      <c r="DK709" s="408">
        <v>0</v>
      </c>
      <c r="DL709" s="408">
        <v>0</v>
      </c>
      <c r="DM709" s="408">
        <v>0</v>
      </c>
      <c r="DN709" s="408">
        <v>0</v>
      </c>
      <c r="DO709" s="408">
        <v>-7.0985835090561888E-2</v>
      </c>
      <c r="DP709" s="408">
        <v>-8.4404824021298008E-3</v>
      </c>
      <c r="DQ709" s="408">
        <v>0</v>
      </c>
      <c r="DR709" s="408">
        <v>0</v>
      </c>
      <c r="DS709" s="408"/>
      <c r="DT709" s="408"/>
      <c r="DU709" s="408"/>
      <c r="DV709" s="408">
        <v>87.266444497052291</v>
      </c>
      <c r="DW709" s="408">
        <v>0</v>
      </c>
      <c r="DX709" s="408">
        <v>0</v>
      </c>
      <c r="DY709" s="408">
        <v>-19.920549999999992</v>
      </c>
      <c r="DZ709" s="408">
        <v>5.3327300000000051</v>
      </c>
      <c r="EA709" s="408">
        <v>0</v>
      </c>
      <c r="EB709" s="408">
        <v>0</v>
      </c>
      <c r="EC709" s="408">
        <v>-21.678465075903119</v>
      </c>
      <c r="ED709" s="408">
        <v>0</v>
      </c>
      <c r="EE709" s="408">
        <v>0</v>
      </c>
      <c r="EF709" s="408">
        <v>0</v>
      </c>
      <c r="EG709" s="408">
        <v>0</v>
      </c>
      <c r="EH709" s="408">
        <v>0</v>
      </c>
      <c r="EI709" s="408">
        <v>0</v>
      </c>
      <c r="EJ709" s="408">
        <v>0</v>
      </c>
      <c r="EK709" s="408">
        <v>0</v>
      </c>
      <c r="EL709" s="408">
        <v>0</v>
      </c>
      <c r="EM709" s="408">
        <v>0</v>
      </c>
      <c r="EN709" s="408">
        <v>0</v>
      </c>
      <c r="EO709" s="408">
        <v>0</v>
      </c>
      <c r="EP709" s="408">
        <v>3.882232905203189</v>
      </c>
      <c r="EQ709" s="408">
        <v>0</v>
      </c>
      <c r="ER709" s="408">
        <v>0</v>
      </c>
      <c r="ES709" s="408">
        <v>0</v>
      </c>
      <c r="ET709" s="408">
        <v>0</v>
      </c>
      <c r="EU709" s="408">
        <v>0</v>
      </c>
      <c r="EV709" s="408">
        <v>240</v>
      </c>
      <c r="EW709" s="408">
        <v>0</v>
      </c>
      <c r="EX709" s="408">
        <v>0</v>
      </c>
      <c r="EY709" s="408">
        <v>0</v>
      </c>
      <c r="EZ709" s="408"/>
      <c r="FA709" s="408">
        <v>0</v>
      </c>
      <c r="FB709" s="408"/>
      <c r="FC709" s="408"/>
      <c r="FD709" s="408"/>
      <c r="FE709" s="408"/>
      <c r="FF709" s="408">
        <v>0</v>
      </c>
      <c r="FG709" s="408">
        <v>0</v>
      </c>
      <c r="FH709" s="408">
        <v>0</v>
      </c>
      <c r="FI709" s="408">
        <v>0</v>
      </c>
    </row>
    <row r="710" spans="1:165">
      <c r="A710" s="408">
        <v>708</v>
      </c>
      <c r="B710" s="408" t="s">
        <v>1036</v>
      </c>
      <c r="C710" s="408" t="s">
        <v>2235</v>
      </c>
      <c r="D710" s="408" t="s">
        <v>1958</v>
      </c>
      <c r="E710" s="408" t="s">
        <v>970</v>
      </c>
      <c r="F710" s="408" t="s">
        <v>1322</v>
      </c>
      <c r="G710" s="408" t="s">
        <v>1322</v>
      </c>
      <c r="H710" s="408" t="s">
        <v>1322</v>
      </c>
      <c r="I710" s="408" t="s">
        <v>1322</v>
      </c>
      <c r="J710" s="408" t="s">
        <v>2236</v>
      </c>
      <c r="K710" s="826">
        <v>44682</v>
      </c>
      <c r="L710" s="408">
        <v>0</v>
      </c>
      <c r="M710" s="408">
        <v>0</v>
      </c>
      <c r="N710" s="408">
        <v>445.99200000000002</v>
      </c>
      <c r="O710" s="408">
        <v>445.99200000000002</v>
      </c>
      <c r="P710" s="408">
        <v>445.99200000000002</v>
      </c>
      <c r="Q710" s="408">
        <v>445.99200000000002</v>
      </c>
      <c r="R710" s="408"/>
      <c r="S710" s="408">
        <v>368.24</v>
      </c>
      <c r="T710" s="408">
        <v>173.25</v>
      </c>
      <c r="U710" s="408"/>
      <c r="V710" s="408">
        <v>241500.20808000001</v>
      </c>
      <c r="W710" s="408">
        <v>241500.20808000001</v>
      </c>
      <c r="X710" s="408">
        <v>226960.86888000002</v>
      </c>
      <c r="Y710" s="408">
        <v>0</v>
      </c>
      <c r="Z710" s="408">
        <v>27448.659345453605</v>
      </c>
      <c r="AA710" s="408">
        <v>0</v>
      </c>
      <c r="AB710" s="408">
        <v>0</v>
      </c>
      <c r="AC710" s="408">
        <v>1141.5331884379268</v>
      </c>
      <c r="AD710" s="408">
        <v>1096.7574189215798</v>
      </c>
      <c r="AE710" s="408">
        <v>105047.66488715188</v>
      </c>
      <c r="AF710" s="408">
        <v>75970.487157284922</v>
      </c>
      <c r="AG710" s="408">
        <v>1296.6028967531533</v>
      </c>
      <c r="AH710" s="408">
        <v>0</v>
      </c>
      <c r="AI710" s="408">
        <v>0</v>
      </c>
      <c r="AJ710" s="408">
        <v>0</v>
      </c>
      <c r="AK710" s="408">
        <v>0</v>
      </c>
      <c r="AL710" s="408">
        <v>4240.9514314449143</v>
      </c>
      <c r="AM710" s="408"/>
      <c r="AN710" s="408">
        <v>538.69443175205822</v>
      </c>
      <c r="AO710" s="408">
        <v>2423.2509471301778</v>
      </c>
      <c r="AP710" s="408">
        <v>11299.261671613138</v>
      </c>
      <c r="AQ710" s="408">
        <v>0</v>
      </c>
      <c r="AR710" s="408">
        <v>0</v>
      </c>
      <c r="AS710" s="408">
        <v>0</v>
      </c>
      <c r="AT710" s="408">
        <v>0</v>
      </c>
      <c r="AU710" s="408">
        <v>0</v>
      </c>
      <c r="AV710" s="408">
        <v>0</v>
      </c>
      <c r="AW710" s="408">
        <v>0</v>
      </c>
      <c r="AX710" s="408">
        <v>0</v>
      </c>
      <c r="AY710" s="408">
        <v>0</v>
      </c>
      <c r="AZ710" s="408">
        <v>0</v>
      </c>
      <c r="BA710" s="408"/>
      <c r="BB710" s="408">
        <v>0</v>
      </c>
      <c r="BC710" s="408">
        <v>0</v>
      </c>
      <c r="BD710" s="408">
        <v>0</v>
      </c>
      <c r="BE710" s="408">
        <v>0</v>
      </c>
      <c r="BF710" s="408">
        <v>0</v>
      </c>
      <c r="BG710" s="408">
        <v>3987.0756356314473</v>
      </c>
      <c r="BH710" s="408">
        <v>0</v>
      </c>
      <c r="BI710" s="408">
        <v>163.32</v>
      </c>
      <c r="BJ710" s="408">
        <v>2117.7399999999998</v>
      </c>
      <c r="BK710" s="408">
        <v>48640.480000000003</v>
      </c>
      <c r="BL710" s="408">
        <v>286</v>
      </c>
      <c r="BM710" s="408"/>
      <c r="BN710" s="408"/>
      <c r="BO710" s="408"/>
      <c r="BP710" s="408"/>
      <c r="BQ710" s="408"/>
      <c r="BR710" s="408"/>
      <c r="BS710" s="408"/>
      <c r="BT710" s="408"/>
      <c r="BU710" s="408"/>
      <c r="BV710" s="408">
        <v>79957.562792916375</v>
      </c>
      <c r="BW710" s="408"/>
      <c r="BX710" s="408"/>
      <c r="BY710" s="408"/>
      <c r="BZ710" s="408"/>
      <c r="CA710" s="408"/>
      <c r="CB710" s="408"/>
      <c r="CC710" s="408"/>
      <c r="CD710" s="408"/>
      <c r="CE710" s="408"/>
      <c r="CF710" s="408"/>
      <c r="CG710" s="408"/>
      <c r="CH710" s="408"/>
      <c r="CI710" s="408">
        <v>226959.85110000003</v>
      </c>
      <c r="CJ710" s="408">
        <v>-14540.38698000001</v>
      </c>
      <c r="CK710" s="408"/>
      <c r="CL710" s="408"/>
      <c r="CM710" s="408"/>
      <c r="CN710" s="408"/>
      <c r="CO710" s="408">
        <v>-24168.306479999999</v>
      </c>
      <c r="CP710" s="408">
        <v>9628.9672800000026</v>
      </c>
      <c r="CQ710" s="408">
        <v>31</v>
      </c>
      <c r="CR710" s="408">
        <v>11554.400766446604</v>
      </c>
      <c r="CS710" s="408">
        <v>241.47177732165619</v>
      </c>
      <c r="CT710" s="408">
        <v>1125.9472740527326</v>
      </c>
      <c r="CU710" s="408">
        <v>0</v>
      </c>
      <c r="CV710" s="408">
        <v>0</v>
      </c>
      <c r="CW710" s="408">
        <v>0</v>
      </c>
      <c r="CX710" s="408">
        <v>0</v>
      </c>
      <c r="CY710" s="408">
        <v>0</v>
      </c>
      <c r="CZ710" s="408">
        <v>1129.2967451263225</v>
      </c>
      <c r="DA710" s="408">
        <v>0</v>
      </c>
      <c r="DB710" s="408">
        <v>0</v>
      </c>
      <c r="DC710" s="408">
        <v>9627.8801139115385</v>
      </c>
      <c r="DD710" s="408">
        <v>0</v>
      </c>
      <c r="DE710" s="408">
        <v>0</v>
      </c>
      <c r="DF710" s="408">
        <v>0</v>
      </c>
      <c r="DG710" s="408">
        <v>505.28945727942801</v>
      </c>
      <c r="DH710" s="408">
        <v>0</v>
      </c>
      <c r="DI710" s="408">
        <v>-932.06961261672768</v>
      </c>
      <c r="DJ710" s="408"/>
      <c r="DK710" s="408">
        <v>0</v>
      </c>
      <c r="DL710" s="408">
        <v>0</v>
      </c>
      <c r="DM710" s="408">
        <v>0</v>
      </c>
      <c r="DN710" s="408">
        <v>0</v>
      </c>
      <c r="DO710" s="408">
        <v>-128.17455288951351</v>
      </c>
      <c r="DP710" s="408">
        <v>-15.240435738828751</v>
      </c>
      <c r="DQ710" s="408">
        <v>0</v>
      </c>
      <c r="DR710" s="408">
        <v>0</v>
      </c>
      <c r="DS710" s="408"/>
      <c r="DT710" s="408"/>
      <c r="DU710" s="408"/>
      <c r="DV710" s="408">
        <v>105047.66488715188</v>
      </c>
      <c r="DW710" s="408">
        <v>0</v>
      </c>
      <c r="DX710" s="408">
        <v>0</v>
      </c>
      <c r="DY710" s="408">
        <v>-24168.306479999999</v>
      </c>
      <c r="DZ710" s="408">
        <v>9628.9672799999971</v>
      </c>
      <c r="EA710" s="408">
        <v>0</v>
      </c>
      <c r="EB710" s="408">
        <v>0</v>
      </c>
      <c r="EC710" s="408">
        <v>-26095.621835930695</v>
      </c>
      <c r="ED710" s="408">
        <v>0</v>
      </c>
      <c r="EE710" s="408">
        <v>0</v>
      </c>
      <c r="EF710" s="408">
        <v>0</v>
      </c>
      <c r="EG710" s="408">
        <v>0</v>
      </c>
      <c r="EH710" s="408">
        <v>0</v>
      </c>
      <c r="EI710" s="408">
        <v>0</v>
      </c>
      <c r="EJ710" s="408">
        <v>0</v>
      </c>
      <c r="EK710" s="408">
        <v>0</v>
      </c>
      <c r="EL710" s="408">
        <v>0</v>
      </c>
      <c r="EM710" s="408">
        <v>0</v>
      </c>
      <c r="EN710" s="408">
        <v>0</v>
      </c>
      <c r="EO710" s="408">
        <v>0</v>
      </c>
      <c r="EP710" s="408">
        <v>7009.8980480055898</v>
      </c>
      <c r="EQ710" s="408">
        <v>0</v>
      </c>
      <c r="ER710" s="408">
        <v>0</v>
      </c>
      <c r="ES710" s="408">
        <v>0</v>
      </c>
      <c r="ET710" s="408">
        <v>0</v>
      </c>
      <c r="EU710" s="408">
        <v>0</v>
      </c>
      <c r="EV710" s="408">
        <v>240</v>
      </c>
      <c r="EW710" s="408">
        <v>0</v>
      </c>
      <c r="EX710" s="408">
        <v>0</v>
      </c>
      <c r="EY710" s="408">
        <v>0</v>
      </c>
      <c r="EZ710" s="408"/>
      <c r="FA710" s="408">
        <v>0</v>
      </c>
      <c r="FB710" s="408"/>
      <c r="FC710" s="408"/>
      <c r="FD710" s="408"/>
      <c r="FE710" s="408"/>
      <c r="FF710" s="408">
        <v>0</v>
      </c>
      <c r="FG710" s="408">
        <v>0</v>
      </c>
      <c r="FH710" s="408">
        <v>0</v>
      </c>
      <c r="FI710" s="408">
        <v>0</v>
      </c>
    </row>
    <row r="711" spans="1:165">
      <c r="A711" s="408">
        <v>709</v>
      </c>
      <c r="B711" s="408" t="s">
        <v>2238</v>
      </c>
      <c r="C711" s="408" t="s">
        <v>2235</v>
      </c>
      <c r="D711" s="408" t="s">
        <v>1958</v>
      </c>
      <c r="E711" s="408" t="s">
        <v>970</v>
      </c>
      <c r="F711" s="408" t="s">
        <v>1322</v>
      </c>
      <c r="G711" s="408" t="s">
        <v>1322</v>
      </c>
      <c r="H711" s="408" t="s">
        <v>1322</v>
      </c>
      <c r="I711" s="408" t="s">
        <v>1322</v>
      </c>
      <c r="J711" s="408" t="s">
        <v>2236</v>
      </c>
      <c r="K711" s="826">
        <v>44682</v>
      </c>
      <c r="L711" s="408">
        <v>0</v>
      </c>
      <c r="M711" s="408">
        <v>0</v>
      </c>
      <c r="N711" s="408">
        <v>75.132999999999996</v>
      </c>
      <c r="O711" s="408">
        <v>75.132999999999996</v>
      </c>
      <c r="P711" s="408">
        <v>75.132999999999996</v>
      </c>
      <c r="Q711" s="408">
        <v>75.132999999999996</v>
      </c>
      <c r="R711" s="408"/>
      <c r="S711" s="408">
        <v>368.24</v>
      </c>
      <c r="T711" s="408">
        <v>173.25</v>
      </c>
      <c r="U711" s="408"/>
      <c r="V711" s="408">
        <v>40683.768169999996</v>
      </c>
      <c r="W711" s="408">
        <v>40683.768169999996</v>
      </c>
      <c r="X711" s="408">
        <v>38234.432369999995</v>
      </c>
      <c r="Y711" s="408">
        <v>0</v>
      </c>
      <c r="Z711" s="408">
        <v>4624.0742493182961</v>
      </c>
      <c r="AA711" s="408">
        <v>0</v>
      </c>
      <c r="AB711" s="408">
        <v>0</v>
      </c>
      <c r="AC711" s="408">
        <v>192.30572083559065</v>
      </c>
      <c r="AD711" s="408">
        <v>184.76267546466087</v>
      </c>
      <c r="AE711" s="408">
        <v>17696.609369599413</v>
      </c>
      <c r="AF711" s="408">
        <v>12798.19057648632</v>
      </c>
      <c r="AG711" s="408">
        <v>218.42917685015573</v>
      </c>
      <c r="AH711" s="408">
        <v>0</v>
      </c>
      <c r="AI711" s="408">
        <v>0</v>
      </c>
      <c r="AJ711" s="408">
        <v>0</v>
      </c>
      <c r="AK711" s="408">
        <v>0</v>
      </c>
      <c r="AL711" s="408">
        <v>714.44197182629</v>
      </c>
      <c r="AM711" s="408"/>
      <c r="AN711" s="408">
        <v>90.749898520214231</v>
      </c>
      <c r="AO711" s="408">
        <v>408.22730768877386</v>
      </c>
      <c r="AP711" s="408">
        <v>1903.503711217488</v>
      </c>
      <c r="AQ711" s="408">
        <v>0</v>
      </c>
      <c r="AR711" s="408">
        <v>0</v>
      </c>
      <c r="AS711" s="408">
        <v>0</v>
      </c>
      <c r="AT711" s="408">
        <v>0</v>
      </c>
      <c r="AU711" s="408">
        <v>0</v>
      </c>
      <c r="AV711" s="408">
        <v>0</v>
      </c>
      <c r="AW711" s="408">
        <v>0</v>
      </c>
      <c r="AX711" s="408">
        <v>0</v>
      </c>
      <c r="AY711" s="408">
        <v>0</v>
      </c>
      <c r="AZ711" s="408">
        <v>0</v>
      </c>
      <c r="BA711" s="408"/>
      <c r="BB711" s="408">
        <v>0</v>
      </c>
      <c r="BC711" s="408">
        <v>0</v>
      </c>
      <c r="BD711" s="408">
        <v>0</v>
      </c>
      <c r="BE711" s="408">
        <v>0</v>
      </c>
      <c r="BF711" s="408">
        <v>0</v>
      </c>
      <c r="BG711" s="408">
        <v>671.67337919042825</v>
      </c>
      <c r="BH711" s="408">
        <v>0</v>
      </c>
      <c r="BI711" s="408">
        <v>28.54</v>
      </c>
      <c r="BJ711" s="408">
        <v>371.49</v>
      </c>
      <c r="BK711" s="408">
        <v>14055.87</v>
      </c>
      <c r="BL711" s="408">
        <v>66</v>
      </c>
      <c r="BM711" s="408"/>
      <c r="BN711" s="408"/>
      <c r="BO711" s="408"/>
      <c r="BP711" s="408"/>
      <c r="BQ711" s="408"/>
      <c r="BR711" s="408"/>
      <c r="BS711" s="408"/>
      <c r="BT711" s="408"/>
      <c r="BU711" s="408"/>
      <c r="BV711" s="408">
        <v>13469.863955676748</v>
      </c>
      <c r="BW711" s="408"/>
      <c r="BX711" s="408"/>
      <c r="BY711" s="408"/>
      <c r="BZ711" s="408"/>
      <c r="CA711" s="408"/>
      <c r="CB711" s="408"/>
      <c r="CC711" s="408"/>
      <c r="CD711" s="408"/>
      <c r="CE711" s="408"/>
      <c r="CF711" s="408"/>
      <c r="CG711" s="408"/>
      <c r="CH711" s="408"/>
      <c r="CI711" s="408">
        <v>38232.905700000003</v>
      </c>
      <c r="CJ711" s="408">
        <v>-2450.8924699999989</v>
      </c>
      <c r="CK711" s="408"/>
      <c r="CL711" s="408"/>
      <c r="CM711" s="408"/>
      <c r="CN711" s="408"/>
      <c r="CO711" s="408">
        <v>-4071.4572699999994</v>
      </c>
      <c r="CP711" s="408">
        <v>1622.1214700000003</v>
      </c>
      <c r="CQ711" s="408">
        <v>31</v>
      </c>
      <c r="CR711" s="408">
        <v>1946.4851225704333</v>
      </c>
      <c r="CS711" s="408">
        <v>40.678978648738052</v>
      </c>
      <c r="CT711" s="408">
        <v>189.68007619285504</v>
      </c>
      <c r="CU711" s="408">
        <v>0</v>
      </c>
      <c r="CV711" s="408">
        <v>0</v>
      </c>
      <c r="CW711" s="408">
        <v>0</v>
      </c>
      <c r="CX711" s="408">
        <v>0</v>
      </c>
      <c r="CY711" s="408">
        <v>0</v>
      </c>
      <c r="CZ711" s="408">
        <v>190.24433700957863</v>
      </c>
      <c r="DA711" s="408">
        <v>0</v>
      </c>
      <c r="DB711" s="408">
        <v>0</v>
      </c>
      <c r="DC711" s="408">
        <v>1621.9383231056072</v>
      </c>
      <c r="DD711" s="408">
        <v>0</v>
      </c>
      <c r="DE711" s="408">
        <v>0</v>
      </c>
      <c r="DF711" s="408">
        <v>0</v>
      </c>
      <c r="DG711" s="408">
        <v>85.122407562860531</v>
      </c>
      <c r="DH711" s="408">
        <v>0</v>
      </c>
      <c r="DI711" s="408">
        <v>-157.01892904969736</v>
      </c>
      <c r="DJ711" s="408"/>
      <c r="DK711" s="408">
        <v>0</v>
      </c>
      <c r="DL711" s="408">
        <v>0</v>
      </c>
      <c r="DM711" s="408">
        <v>0</v>
      </c>
      <c r="DN711" s="408">
        <v>0</v>
      </c>
      <c r="DO711" s="408">
        <v>-21.592626509551337</v>
      </c>
      <c r="DP711" s="408">
        <v>-2.5674443899563499</v>
      </c>
      <c r="DQ711" s="408">
        <v>0</v>
      </c>
      <c r="DR711" s="408">
        <v>0</v>
      </c>
      <c r="DS711" s="408"/>
      <c r="DT711" s="408"/>
      <c r="DU711" s="408"/>
      <c r="DV711" s="408">
        <v>17696.609369599413</v>
      </c>
      <c r="DW711" s="408">
        <v>0</v>
      </c>
      <c r="DX711" s="408">
        <v>0</v>
      </c>
      <c r="DY711" s="408">
        <v>-4071.4572700000026</v>
      </c>
      <c r="DZ711" s="408">
        <v>1622.12147</v>
      </c>
      <c r="EA711" s="408">
        <v>0</v>
      </c>
      <c r="EB711" s="408">
        <v>0</v>
      </c>
      <c r="EC711" s="408">
        <v>-4396.1379473151555</v>
      </c>
      <c r="ED711" s="408">
        <v>0</v>
      </c>
      <c r="EE711" s="408">
        <v>0</v>
      </c>
      <c r="EF711" s="408">
        <v>0</v>
      </c>
      <c r="EG711" s="408">
        <v>0</v>
      </c>
      <c r="EH711" s="408">
        <v>0</v>
      </c>
      <c r="EI711" s="408">
        <v>0</v>
      </c>
      <c r="EJ711" s="408">
        <v>0</v>
      </c>
      <c r="EK711" s="408">
        <v>0</v>
      </c>
      <c r="EL711" s="408">
        <v>0</v>
      </c>
      <c r="EM711" s="408">
        <v>0</v>
      </c>
      <c r="EN711" s="408">
        <v>0</v>
      </c>
      <c r="EO711" s="408">
        <v>0</v>
      </c>
      <c r="EP711" s="408">
        <v>1180.9060925774543</v>
      </c>
      <c r="EQ711" s="408">
        <v>0</v>
      </c>
      <c r="ER711" s="408">
        <v>0</v>
      </c>
      <c r="ES711" s="408">
        <v>0</v>
      </c>
      <c r="ET711" s="408">
        <v>0</v>
      </c>
      <c r="EU711" s="408">
        <v>0</v>
      </c>
      <c r="EV711" s="408">
        <v>240</v>
      </c>
      <c r="EW711" s="408">
        <v>0</v>
      </c>
      <c r="EX711" s="408">
        <v>0</v>
      </c>
      <c r="EY711" s="408">
        <v>0</v>
      </c>
      <c r="EZ711" s="408"/>
      <c r="FA711" s="408">
        <v>0</v>
      </c>
      <c r="FB711" s="408"/>
      <c r="FC711" s="408"/>
      <c r="FD711" s="408"/>
      <c r="FE711" s="408"/>
      <c r="FF711" s="408">
        <v>0</v>
      </c>
      <c r="FG711" s="408">
        <v>0</v>
      </c>
      <c r="FH711" s="408">
        <v>0</v>
      </c>
      <c r="FI711" s="408">
        <v>0</v>
      </c>
    </row>
    <row r="712" spans="1:165">
      <c r="A712" s="408">
        <v>710</v>
      </c>
      <c r="B712" s="408" t="s">
        <v>1036</v>
      </c>
      <c r="C712" s="408" t="s">
        <v>2247</v>
      </c>
      <c r="D712" s="408" t="s">
        <v>597</v>
      </c>
      <c r="E712" s="408" t="s">
        <v>970</v>
      </c>
      <c r="F712" s="408" t="s">
        <v>1322</v>
      </c>
      <c r="G712" s="408" t="s">
        <v>1322</v>
      </c>
      <c r="H712" s="408" t="s">
        <v>1322</v>
      </c>
      <c r="I712" s="408" t="s">
        <v>973</v>
      </c>
      <c r="J712" s="408" t="s">
        <v>2236</v>
      </c>
      <c r="K712" s="826">
        <v>44682</v>
      </c>
      <c r="L712" s="408">
        <v>10425</v>
      </c>
      <c r="M712" s="408">
        <v>10425</v>
      </c>
      <c r="N712" s="408">
        <v>497.40100000000001</v>
      </c>
      <c r="O712" s="408">
        <v>497.40100000000001</v>
      </c>
      <c r="P712" s="408">
        <v>497.40100000000001</v>
      </c>
      <c r="Q712" s="408">
        <v>497.40100000000001</v>
      </c>
      <c r="R712" s="408">
        <v>52.95</v>
      </c>
      <c r="S712" s="408">
        <v>85.01</v>
      </c>
      <c r="T712" s="408">
        <v>173.25</v>
      </c>
      <c r="U712" s="408">
        <v>552003.75</v>
      </c>
      <c r="V712" s="408">
        <v>128458.78226000001</v>
      </c>
      <c r="W712" s="408">
        <v>680462.53226000001</v>
      </c>
      <c r="X712" s="408">
        <v>599916.98667000001</v>
      </c>
      <c r="Y712" s="408">
        <v>0</v>
      </c>
      <c r="Z712" s="408">
        <v>26632.993031638511</v>
      </c>
      <c r="AA712" s="408">
        <v>0</v>
      </c>
      <c r="AB712" s="408">
        <v>0</v>
      </c>
      <c r="AC712" s="408">
        <v>8211.4206922904868</v>
      </c>
      <c r="AD712" s="408">
        <v>7889.1370247092582</v>
      </c>
      <c r="AE712" s="408">
        <v>437158.96833419387</v>
      </c>
      <c r="AF712" s="408">
        <v>84727.520409605277</v>
      </c>
      <c r="AG712" s="408">
        <v>1446.0608653247484</v>
      </c>
      <c r="AH712" s="408">
        <v>0</v>
      </c>
      <c r="AI712" s="408">
        <v>0</v>
      </c>
      <c r="AJ712" s="408">
        <v>0</v>
      </c>
      <c r="AK712" s="408">
        <v>0</v>
      </c>
      <c r="AL712" s="408">
        <v>4729.801168971936</v>
      </c>
      <c r="AM712" s="408"/>
      <c r="AN712" s="408">
        <v>398.32559853032546</v>
      </c>
      <c r="AO712" s="408">
        <v>17431.130451566929</v>
      </c>
      <c r="AP712" s="408">
        <v>81277.729738780443</v>
      </c>
      <c r="AQ712" s="408">
        <v>0</v>
      </c>
      <c r="AR712" s="408">
        <v>0</v>
      </c>
      <c r="AS712" s="408">
        <v>0</v>
      </c>
      <c r="AT712" s="408">
        <v>0</v>
      </c>
      <c r="AU712" s="408">
        <v>0</v>
      </c>
      <c r="AV712" s="408">
        <v>0</v>
      </c>
      <c r="AW712" s="408">
        <v>0</v>
      </c>
      <c r="AX712" s="408">
        <v>0</v>
      </c>
      <c r="AY712" s="408">
        <v>0</v>
      </c>
      <c r="AZ712" s="408">
        <v>0</v>
      </c>
      <c r="BA712" s="408"/>
      <c r="BB712" s="408">
        <v>0</v>
      </c>
      <c r="BC712" s="408">
        <v>0</v>
      </c>
      <c r="BD712" s="408">
        <v>0</v>
      </c>
      <c r="BE712" s="408">
        <v>0</v>
      </c>
      <c r="BF712" s="408">
        <v>0</v>
      </c>
      <c r="BG712" s="408">
        <v>3719.8912630433297</v>
      </c>
      <c r="BH712" s="408">
        <v>0</v>
      </c>
      <c r="BI712" s="408">
        <v>0</v>
      </c>
      <c r="BJ712" s="408">
        <v>0</v>
      </c>
      <c r="BK712" s="408">
        <v>0</v>
      </c>
      <c r="BL712" s="408">
        <v>0</v>
      </c>
      <c r="BM712" s="408"/>
      <c r="BN712" s="408"/>
      <c r="BO712" s="408"/>
      <c r="BP712" s="408"/>
      <c r="BQ712" s="408"/>
      <c r="BR712" s="408"/>
      <c r="BS712" s="408"/>
      <c r="BT712" s="408"/>
      <c r="BU712" s="408"/>
      <c r="BV712" s="408">
        <v>88447.41167264861</v>
      </c>
      <c r="BW712" s="408"/>
      <c r="BX712" s="408"/>
      <c r="BY712" s="408"/>
      <c r="BZ712" s="408"/>
      <c r="CA712" s="408"/>
      <c r="CB712" s="408"/>
      <c r="CC712" s="408"/>
      <c r="CD712" s="408"/>
      <c r="CE712" s="408"/>
      <c r="CF712" s="408"/>
      <c r="CG712" s="408"/>
      <c r="CH712" s="408"/>
      <c r="CI712" s="408">
        <v>599916.70799999998</v>
      </c>
      <c r="CJ712" s="408">
        <v>-80545.854260000051</v>
      </c>
      <c r="CK712" s="408"/>
      <c r="CL712" s="408"/>
      <c r="CM712" s="408"/>
      <c r="CN712" s="408"/>
      <c r="CO712" s="408">
        <v>-91284.433180000036</v>
      </c>
      <c r="CP712" s="408">
        <v>10738.887590000002</v>
      </c>
      <c r="CQ712" s="408">
        <v>31</v>
      </c>
      <c r="CR712" s="408">
        <v>28109.837444461911</v>
      </c>
      <c r="CS712" s="408">
        <v>1736.9748914574411</v>
      </c>
      <c r="CT712" s="408">
        <v>8099.1520419854642</v>
      </c>
      <c r="CU712" s="408">
        <v>0</v>
      </c>
      <c r="CV712" s="408">
        <v>0</v>
      </c>
      <c r="CW712" s="408">
        <v>0</v>
      </c>
      <c r="CX712" s="408">
        <v>0</v>
      </c>
      <c r="CY712" s="408">
        <v>0</v>
      </c>
      <c r="CZ712" s="408">
        <v>8123.197172096583</v>
      </c>
      <c r="DA712" s="408">
        <v>0</v>
      </c>
      <c r="DB712" s="408">
        <v>0</v>
      </c>
      <c r="DC712" s="408">
        <v>10737.675107490068</v>
      </c>
      <c r="DD712" s="408">
        <v>0</v>
      </c>
      <c r="DE712" s="408">
        <v>0</v>
      </c>
      <c r="DF712" s="408">
        <v>0</v>
      </c>
      <c r="DG712" s="408">
        <v>471.42868839605035</v>
      </c>
      <c r="DH712" s="408">
        <v>0</v>
      </c>
      <c r="DI712" s="408">
        <v>-904.37216570048622</v>
      </c>
      <c r="DJ712" s="408"/>
      <c r="DK712" s="408">
        <v>0</v>
      </c>
      <c r="DL712" s="408">
        <v>0</v>
      </c>
      <c r="DM712" s="408">
        <v>0</v>
      </c>
      <c r="DN712" s="408">
        <v>0</v>
      </c>
      <c r="DO712" s="408">
        <v>-142.94909052583171</v>
      </c>
      <c r="DP712" s="408">
        <v>-11.269200737397284</v>
      </c>
      <c r="DQ712" s="408">
        <v>0</v>
      </c>
      <c r="DR712" s="408">
        <v>0</v>
      </c>
      <c r="DS712" s="408"/>
      <c r="DT712" s="408"/>
      <c r="DU712" s="408">
        <v>437158.96833419387</v>
      </c>
      <c r="DV712" s="408">
        <v>0</v>
      </c>
      <c r="DW712" s="408">
        <v>0</v>
      </c>
      <c r="DX712" s="408">
        <v>0</v>
      </c>
      <c r="DY712" s="408">
        <v>-91284.433179999993</v>
      </c>
      <c r="DZ712" s="408">
        <v>10738.887590000013</v>
      </c>
      <c r="EA712" s="408">
        <v>0</v>
      </c>
      <c r="EB712" s="408">
        <v>0</v>
      </c>
      <c r="EC712" s="408">
        <v>-108597.70307212067</v>
      </c>
      <c r="ED712" s="408">
        <v>0</v>
      </c>
      <c r="EE712" s="408">
        <v>0</v>
      </c>
      <c r="EF712" s="408">
        <v>0</v>
      </c>
      <c r="EG712" s="408">
        <v>0</v>
      </c>
      <c r="EH712" s="408">
        <v>0</v>
      </c>
      <c r="EI712" s="408">
        <v>0</v>
      </c>
      <c r="EJ712" s="408">
        <v>0</v>
      </c>
      <c r="EK712" s="408">
        <v>0</v>
      </c>
      <c r="EL712" s="408">
        <v>0</v>
      </c>
      <c r="EM712" s="408">
        <v>0</v>
      </c>
      <c r="EN712" s="408">
        <v>0</v>
      </c>
      <c r="EO712" s="408">
        <v>0</v>
      </c>
      <c r="EP712" s="408">
        <v>6801.5914189248952</v>
      </c>
      <c r="EQ712" s="408">
        <v>0</v>
      </c>
      <c r="ER712" s="408">
        <v>0</v>
      </c>
      <c r="ES712" s="408">
        <v>0</v>
      </c>
      <c r="ET712" s="408">
        <v>0</v>
      </c>
      <c r="EU712" s="408">
        <v>0</v>
      </c>
      <c r="EV712" s="408">
        <v>240</v>
      </c>
      <c r="EW712" s="408">
        <v>0</v>
      </c>
      <c r="EX712" s="408">
        <v>0</v>
      </c>
      <c r="EY712" s="408">
        <v>0</v>
      </c>
      <c r="EZ712" s="408"/>
      <c r="FA712" s="408">
        <v>0</v>
      </c>
      <c r="FB712" s="408"/>
      <c r="FC712" s="408"/>
      <c r="FD712" s="408"/>
      <c r="FE712" s="408"/>
      <c r="FF712" s="408">
        <v>0</v>
      </c>
      <c r="FG712" s="408">
        <v>0</v>
      </c>
      <c r="FH712" s="408">
        <v>0</v>
      </c>
      <c r="FI712" s="408">
        <v>0</v>
      </c>
    </row>
    <row r="713" spans="1:165">
      <c r="A713" s="408">
        <v>711</v>
      </c>
      <c r="B713" s="408" t="s">
        <v>1036</v>
      </c>
      <c r="C713" s="408" t="s">
        <v>2247</v>
      </c>
      <c r="D713" s="408" t="s">
        <v>597</v>
      </c>
      <c r="E713" s="408" t="s">
        <v>970</v>
      </c>
      <c r="F713" s="408" t="s">
        <v>1322</v>
      </c>
      <c r="G713" s="408" t="s">
        <v>1322</v>
      </c>
      <c r="H713" s="408" t="s">
        <v>1322</v>
      </c>
      <c r="I713" s="408" t="s">
        <v>2244</v>
      </c>
      <c r="J713" s="408" t="s">
        <v>2236</v>
      </c>
      <c r="K713" s="826">
        <v>44682</v>
      </c>
      <c r="L713" s="408">
        <v>11040</v>
      </c>
      <c r="M713" s="408">
        <v>11040</v>
      </c>
      <c r="N713" s="408">
        <v>4266.558</v>
      </c>
      <c r="O713" s="408">
        <v>4266.558</v>
      </c>
      <c r="P713" s="408">
        <v>4266.558</v>
      </c>
      <c r="Q713" s="408">
        <v>4266.558</v>
      </c>
      <c r="R713" s="408">
        <v>27.19</v>
      </c>
      <c r="S713" s="408">
        <v>85.01</v>
      </c>
      <c r="T713" s="408">
        <v>173.25</v>
      </c>
      <c r="U713" s="408">
        <v>300177.60000000003</v>
      </c>
      <c r="V713" s="408">
        <v>1101881.26908</v>
      </c>
      <c r="W713" s="408">
        <v>1402058.8690800001</v>
      </c>
      <c r="X713" s="408">
        <v>1429192.1178600001</v>
      </c>
      <c r="Y713" s="408">
        <v>0</v>
      </c>
      <c r="Z713" s="408">
        <v>228449.90155444306</v>
      </c>
      <c r="AA713" s="408">
        <v>0</v>
      </c>
      <c r="AB713" s="408">
        <v>0</v>
      </c>
      <c r="AC713" s="408">
        <v>2574.5347722403067</v>
      </c>
      <c r="AD713" s="408">
        <v>2473.3446266494811</v>
      </c>
      <c r="AE713" s="408">
        <v>264209.61388448084</v>
      </c>
      <c r="AF713" s="408">
        <v>726767.49749953183</v>
      </c>
      <c r="AG713" s="408">
        <v>12403.880477599016</v>
      </c>
      <c r="AH713" s="408">
        <v>0</v>
      </c>
      <c r="AI713" s="408">
        <v>0</v>
      </c>
      <c r="AJ713" s="408">
        <v>0</v>
      </c>
      <c r="AK713" s="408">
        <v>0</v>
      </c>
      <c r="AL713" s="408">
        <v>40570.829201964945</v>
      </c>
      <c r="AM713" s="408"/>
      <c r="AN713" s="408">
        <v>3416.7186415273559</v>
      </c>
      <c r="AO713" s="408">
        <v>5463.5285352387227</v>
      </c>
      <c r="AP713" s="408">
        <v>25481.300826846851</v>
      </c>
      <c r="AQ713" s="408">
        <v>0</v>
      </c>
      <c r="AR713" s="408">
        <v>0</v>
      </c>
      <c r="AS713" s="408">
        <v>0</v>
      </c>
      <c r="AT713" s="408">
        <v>0</v>
      </c>
      <c r="AU713" s="408">
        <v>0</v>
      </c>
      <c r="AV713" s="408">
        <v>0</v>
      </c>
      <c r="AW713" s="408">
        <v>0</v>
      </c>
      <c r="AX713" s="408">
        <v>0</v>
      </c>
      <c r="AY713" s="408">
        <v>0</v>
      </c>
      <c r="AZ713" s="408">
        <v>0</v>
      </c>
      <c r="BA713" s="408"/>
      <c r="BB713" s="408">
        <v>0</v>
      </c>
      <c r="BC713" s="408">
        <v>0</v>
      </c>
      <c r="BD713" s="408">
        <v>0</v>
      </c>
      <c r="BE713" s="408">
        <v>0</v>
      </c>
      <c r="BF713" s="408">
        <v>0</v>
      </c>
      <c r="BG713" s="408">
        <v>31908.122073473158</v>
      </c>
      <c r="BH713" s="408">
        <v>0</v>
      </c>
      <c r="BI713" s="408">
        <v>0</v>
      </c>
      <c r="BJ713" s="408">
        <v>0</v>
      </c>
      <c r="BK713" s="408">
        <v>0</v>
      </c>
      <c r="BL713" s="408">
        <v>0</v>
      </c>
      <c r="BM713" s="408"/>
      <c r="BN713" s="408"/>
      <c r="BO713" s="408"/>
      <c r="BP713" s="408"/>
      <c r="BQ713" s="408"/>
      <c r="BR713" s="408"/>
      <c r="BS713" s="408"/>
      <c r="BT713" s="408"/>
      <c r="BU713" s="408"/>
      <c r="BV713" s="408">
        <v>758675.61957300501</v>
      </c>
      <c r="BW713" s="408"/>
      <c r="BX713" s="408"/>
      <c r="BY713" s="408"/>
      <c r="BZ713" s="408"/>
      <c r="CA713" s="408"/>
      <c r="CB713" s="408"/>
      <c r="CC713" s="408"/>
      <c r="CD713" s="408"/>
      <c r="CE713" s="408"/>
      <c r="CF713" s="408"/>
      <c r="CG713" s="408"/>
      <c r="CH713" s="408"/>
      <c r="CI713" s="408">
        <v>1429192.6752000002</v>
      </c>
      <c r="CJ713" s="408">
        <v>27133.776120000053</v>
      </c>
      <c r="CK713" s="408"/>
      <c r="CL713" s="408"/>
      <c r="CM713" s="408"/>
      <c r="CN713" s="408"/>
      <c r="CO713" s="408">
        <v>-64981.73844000003</v>
      </c>
      <c r="CP713" s="408">
        <v>92114.98722000001</v>
      </c>
      <c r="CQ713" s="408">
        <v>31</v>
      </c>
      <c r="CR713" s="408">
        <v>92698.399258321384</v>
      </c>
      <c r="CS713" s="408">
        <v>544.42894055776105</v>
      </c>
      <c r="CT713" s="408">
        <v>2539.157162576761</v>
      </c>
      <c r="CU713" s="408">
        <v>0</v>
      </c>
      <c r="CV713" s="408">
        <v>0</v>
      </c>
      <c r="CW713" s="408">
        <v>0</v>
      </c>
      <c r="CX713" s="408">
        <v>0</v>
      </c>
      <c r="CY713" s="408">
        <v>0</v>
      </c>
      <c r="CZ713" s="408">
        <v>2546.7254547476732</v>
      </c>
      <c r="DA713" s="408">
        <v>0</v>
      </c>
      <c r="DB713" s="408">
        <v>0</v>
      </c>
      <c r="DC713" s="408">
        <v>92104.586905258824</v>
      </c>
      <c r="DD713" s="408">
        <v>0</v>
      </c>
      <c r="DE713" s="408">
        <v>0</v>
      </c>
      <c r="DF713" s="408">
        <v>0</v>
      </c>
      <c r="DG713" s="408">
        <v>4043.7752274436098</v>
      </c>
      <c r="DH713" s="408">
        <v>0</v>
      </c>
      <c r="DI713" s="408">
        <v>-7757.4357481121551</v>
      </c>
      <c r="DJ713" s="408"/>
      <c r="DK713" s="408">
        <v>0</v>
      </c>
      <c r="DL713" s="408">
        <v>0</v>
      </c>
      <c r="DM713" s="408">
        <v>0</v>
      </c>
      <c r="DN713" s="408">
        <v>0</v>
      </c>
      <c r="DO713" s="408">
        <v>-1226.1748283089764</v>
      </c>
      <c r="DP713" s="408">
        <v>-96.663855842164139</v>
      </c>
      <c r="DQ713" s="408">
        <v>0</v>
      </c>
      <c r="DR713" s="408">
        <v>0</v>
      </c>
      <c r="DS713" s="408"/>
      <c r="DT713" s="408"/>
      <c r="DU713" s="408">
        <v>264209.61388448084</v>
      </c>
      <c r="DV713" s="408">
        <v>0</v>
      </c>
      <c r="DW713" s="408">
        <v>0</v>
      </c>
      <c r="DX713" s="408">
        <v>0</v>
      </c>
      <c r="DY713" s="408">
        <v>-64981.738439999986</v>
      </c>
      <c r="DZ713" s="408">
        <v>92114.98722000001</v>
      </c>
      <c r="EA713" s="408">
        <v>0</v>
      </c>
      <c r="EB713" s="408">
        <v>0</v>
      </c>
      <c r="EC713" s="408">
        <v>-65634.149761951121</v>
      </c>
      <c r="ED713" s="408">
        <v>0</v>
      </c>
      <c r="EE713" s="408">
        <v>0</v>
      </c>
      <c r="EF713" s="408">
        <v>0</v>
      </c>
      <c r="EG713" s="408">
        <v>0</v>
      </c>
      <c r="EH713" s="408">
        <v>0</v>
      </c>
      <c r="EI713" s="408">
        <v>0</v>
      </c>
      <c r="EJ713" s="408">
        <v>0</v>
      </c>
      <c r="EK713" s="408">
        <v>0</v>
      </c>
      <c r="EL713" s="408">
        <v>0</v>
      </c>
      <c r="EM713" s="408">
        <v>0</v>
      </c>
      <c r="EN713" s="408">
        <v>0</v>
      </c>
      <c r="EO713" s="408">
        <v>0</v>
      </c>
      <c r="EP713" s="408">
        <v>58342.030436499648</v>
      </c>
      <c r="EQ713" s="408">
        <v>0</v>
      </c>
      <c r="ER713" s="408">
        <v>0</v>
      </c>
      <c r="ES713" s="408">
        <v>0</v>
      </c>
      <c r="ET713" s="408">
        <v>0</v>
      </c>
      <c r="EU713" s="408">
        <v>0</v>
      </c>
      <c r="EV713" s="408">
        <v>240</v>
      </c>
      <c r="EW713" s="408">
        <v>0</v>
      </c>
      <c r="EX713" s="408">
        <v>0</v>
      </c>
      <c r="EY713" s="408">
        <v>0</v>
      </c>
      <c r="EZ713" s="408"/>
      <c r="FA713" s="408">
        <v>0</v>
      </c>
      <c r="FB713" s="408"/>
      <c r="FC713" s="408"/>
      <c r="FD713" s="408"/>
      <c r="FE713" s="408"/>
      <c r="FF713" s="408">
        <v>0</v>
      </c>
      <c r="FG713" s="408">
        <v>0</v>
      </c>
      <c r="FH713" s="408">
        <v>0</v>
      </c>
      <c r="FI713" s="408">
        <v>0</v>
      </c>
    </row>
    <row r="714" spans="1:165">
      <c r="A714" s="408">
        <v>712</v>
      </c>
      <c r="B714" s="408" t="s">
        <v>1036</v>
      </c>
      <c r="C714" s="408" t="s">
        <v>2247</v>
      </c>
      <c r="D714" s="408" t="s">
        <v>597</v>
      </c>
      <c r="E714" s="408" t="s">
        <v>970</v>
      </c>
      <c r="F714" s="408" t="s">
        <v>1322</v>
      </c>
      <c r="G714" s="408" t="s">
        <v>1322</v>
      </c>
      <c r="H714" s="408" t="s">
        <v>1322</v>
      </c>
      <c r="I714" s="408" t="s">
        <v>1322</v>
      </c>
      <c r="J714" s="408" t="s">
        <v>2236</v>
      </c>
      <c r="K714" s="826">
        <v>44682</v>
      </c>
      <c r="L714" s="408">
        <v>0</v>
      </c>
      <c r="M714" s="408">
        <v>0</v>
      </c>
      <c r="N714" s="408">
        <v>0</v>
      </c>
      <c r="O714" s="408">
        <v>0</v>
      </c>
      <c r="P714" s="408">
        <v>0</v>
      </c>
      <c r="Q714" s="408">
        <v>0</v>
      </c>
      <c r="R714" s="408"/>
      <c r="S714" s="408"/>
      <c r="T714" s="408"/>
      <c r="U714" s="408"/>
      <c r="V714" s="408"/>
      <c r="W714" s="408"/>
      <c r="X714" s="408"/>
      <c r="Y714" s="408"/>
      <c r="Z714" s="408"/>
      <c r="AA714" s="408">
        <v>0</v>
      </c>
      <c r="AB714" s="408"/>
      <c r="AC714" s="408"/>
      <c r="AD714" s="408"/>
      <c r="AE714" s="408"/>
      <c r="AF714" s="408"/>
      <c r="AG714" s="408"/>
      <c r="AH714" s="408"/>
      <c r="AI714" s="408"/>
      <c r="AJ714" s="408"/>
      <c r="AK714" s="408"/>
      <c r="AL714" s="408"/>
      <c r="AM714" s="408"/>
      <c r="AN714" s="408"/>
      <c r="AO714" s="408"/>
      <c r="AP714" s="408"/>
      <c r="AQ714" s="408"/>
      <c r="AR714" s="408"/>
      <c r="AS714" s="408"/>
      <c r="AT714" s="408"/>
      <c r="AU714" s="408"/>
      <c r="AV714" s="408"/>
      <c r="AW714" s="408"/>
      <c r="AX714" s="408"/>
      <c r="AY714" s="408"/>
      <c r="AZ714" s="408">
        <v>0</v>
      </c>
      <c r="BA714" s="408"/>
      <c r="BB714" s="408"/>
      <c r="BC714" s="408"/>
      <c r="BD714" s="408"/>
      <c r="BE714" s="408"/>
      <c r="BF714" s="408"/>
      <c r="BG714" s="408"/>
      <c r="BH714" s="408"/>
      <c r="BI714" s="408">
        <v>1436.47</v>
      </c>
      <c r="BJ714" s="408">
        <v>18469.34</v>
      </c>
      <c r="BK714" s="408">
        <v>402698.96</v>
      </c>
      <c r="BL714" s="408">
        <v>5</v>
      </c>
      <c r="BM714" s="408"/>
      <c r="BN714" s="408"/>
      <c r="BO714" s="408"/>
      <c r="BP714" s="408"/>
      <c r="BQ714" s="408"/>
      <c r="BR714" s="408"/>
      <c r="BS714" s="408"/>
      <c r="BT714" s="408"/>
      <c r="BU714" s="408"/>
      <c r="BV714" s="408"/>
      <c r="BW714" s="408"/>
      <c r="BX714" s="408"/>
      <c r="BY714" s="408"/>
      <c r="BZ714" s="408"/>
      <c r="CA714" s="408"/>
      <c r="CB714" s="408"/>
      <c r="CC714" s="408"/>
      <c r="CD714" s="408"/>
      <c r="CE714" s="408"/>
      <c r="CF714" s="408"/>
      <c r="CG714" s="408"/>
      <c r="CH714" s="408"/>
      <c r="CI714" s="408"/>
      <c r="CJ714" s="408">
        <v>-0.03</v>
      </c>
      <c r="CK714" s="408"/>
      <c r="CL714" s="408"/>
      <c r="CM714" s="408"/>
      <c r="CN714" s="408"/>
      <c r="CO714" s="408">
        <v>0</v>
      </c>
      <c r="CP714" s="408">
        <v>0</v>
      </c>
      <c r="CQ714" s="408">
        <v>31</v>
      </c>
      <c r="CR714" s="408"/>
      <c r="CS714" s="408"/>
      <c r="CT714" s="408"/>
      <c r="CU714" s="408"/>
      <c r="CV714" s="408"/>
      <c r="CW714" s="408"/>
      <c r="CX714" s="408"/>
      <c r="CY714" s="408"/>
      <c r="CZ714" s="408"/>
      <c r="DA714" s="408"/>
      <c r="DB714" s="408"/>
      <c r="DC714" s="408"/>
      <c r="DD714" s="408"/>
      <c r="DE714" s="408"/>
      <c r="DF714" s="408"/>
      <c r="DG714" s="408"/>
      <c r="DH714" s="408"/>
      <c r="DI714" s="408"/>
      <c r="DJ714" s="408"/>
      <c r="DK714" s="408">
        <v>0</v>
      </c>
      <c r="DL714" s="408"/>
      <c r="DM714" s="408"/>
      <c r="DN714" s="408"/>
      <c r="DO714" s="408"/>
      <c r="DP714" s="408"/>
      <c r="DQ714" s="408"/>
      <c r="DR714" s="408"/>
      <c r="DS714" s="408"/>
      <c r="DT714" s="408"/>
      <c r="DU714" s="408"/>
      <c r="DV714" s="408"/>
      <c r="DW714" s="408"/>
      <c r="DX714" s="408"/>
      <c r="DY714" s="408"/>
      <c r="DZ714" s="408"/>
      <c r="EA714" s="408"/>
      <c r="EB714" s="408"/>
      <c r="EC714" s="408"/>
      <c r="ED714" s="408"/>
      <c r="EE714" s="408"/>
      <c r="EF714" s="408"/>
      <c r="EG714" s="408"/>
      <c r="EH714" s="408"/>
      <c r="EI714" s="408"/>
      <c r="EJ714" s="408"/>
      <c r="EK714" s="408"/>
      <c r="EL714" s="408"/>
      <c r="EM714" s="408"/>
      <c r="EN714" s="408"/>
      <c r="EO714" s="408"/>
      <c r="EP714" s="408"/>
      <c r="EQ714" s="408"/>
      <c r="ER714" s="408"/>
      <c r="ES714" s="408"/>
      <c r="ET714" s="408"/>
      <c r="EU714" s="408"/>
      <c r="EV714" s="408">
        <v>240</v>
      </c>
      <c r="EW714" s="408"/>
      <c r="EX714" s="408"/>
      <c r="EY714" s="408"/>
      <c r="EZ714" s="408"/>
      <c r="FA714" s="408">
        <v>0</v>
      </c>
      <c r="FB714" s="408"/>
      <c r="FC714" s="408"/>
      <c r="FD714" s="408"/>
      <c r="FE714" s="408"/>
      <c r="FF714" s="408">
        <v>0</v>
      </c>
      <c r="FG714" s="408">
        <v>0</v>
      </c>
      <c r="FH714" s="408">
        <v>0</v>
      </c>
      <c r="FI714" s="408">
        <v>0</v>
      </c>
    </row>
    <row r="715" spans="1:165">
      <c r="A715" s="408">
        <v>713</v>
      </c>
      <c r="B715" s="408" t="s">
        <v>1036</v>
      </c>
      <c r="C715" s="408" t="s">
        <v>2243</v>
      </c>
      <c r="D715" s="408" t="s">
        <v>597</v>
      </c>
      <c r="E715" s="408" t="s">
        <v>970</v>
      </c>
      <c r="F715" s="408" t="s">
        <v>1322</v>
      </c>
      <c r="G715" s="408" t="s">
        <v>1322</v>
      </c>
      <c r="H715" s="408" t="s">
        <v>1322</v>
      </c>
      <c r="I715" s="408" t="s">
        <v>973</v>
      </c>
      <c r="J715" s="408" t="s">
        <v>2236</v>
      </c>
      <c r="K715" s="826">
        <v>44682</v>
      </c>
      <c r="L715" s="408">
        <v>0</v>
      </c>
      <c r="M715" s="408">
        <v>0</v>
      </c>
      <c r="N715" s="408">
        <v>178.47399999999999</v>
      </c>
      <c r="O715" s="408">
        <v>178.47399999999999</v>
      </c>
      <c r="P715" s="408">
        <v>178.47399999999999</v>
      </c>
      <c r="Q715" s="408">
        <v>178.47399999999999</v>
      </c>
      <c r="R715" s="408"/>
      <c r="S715" s="408">
        <v>1358.36</v>
      </c>
      <c r="T715" s="408">
        <v>173.25</v>
      </c>
      <c r="U715" s="408"/>
      <c r="V715" s="408">
        <v>273352.56313999998</v>
      </c>
      <c r="W715" s="408">
        <v>273352.56313999998</v>
      </c>
      <c r="X715" s="408">
        <v>239676.30407999997</v>
      </c>
      <c r="Y715" s="408">
        <v>0</v>
      </c>
      <c r="Z715" s="408">
        <v>9556.2670729022484</v>
      </c>
      <c r="AA715" s="408">
        <v>0</v>
      </c>
      <c r="AB715" s="408">
        <v>0</v>
      </c>
      <c r="AC715" s="408">
        <v>3380.6702735966837</v>
      </c>
      <c r="AD715" s="408">
        <v>3248.0760777369401</v>
      </c>
      <c r="AE715" s="408">
        <v>179992.40624822743</v>
      </c>
      <c r="AF715" s="408">
        <v>30401.345147243152</v>
      </c>
      <c r="AG715" s="408">
        <v>518.86559712981909</v>
      </c>
      <c r="AH715" s="408">
        <v>0</v>
      </c>
      <c r="AI715" s="408">
        <v>0</v>
      </c>
      <c r="AJ715" s="408">
        <v>0</v>
      </c>
      <c r="AK715" s="408">
        <v>0</v>
      </c>
      <c r="AL715" s="408">
        <v>1697.1146697153752</v>
      </c>
      <c r="AM715" s="408"/>
      <c r="AN715" s="408">
        <v>142.92444701981159</v>
      </c>
      <c r="AO715" s="408">
        <v>7176.5862801430867</v>
      </c>
      <c r="AP715" s="408">
        <v>33463.179161736778</v>
      </c>
      <c r="AQ715" s="408">
        <v>0</v>
      </c>
      <c r="AR715" s="408">
        <v>0</v>
      </c>
      <c r="AS715" s="408">
        <v>0</v>
      </c>
      <c r="AT715" s="408">
        <v>0</v>
      </c>
      <c r="AU715" s="408">
        <v>0</v>
      </c>
      <c r="AV715" s="408">
        <v>0</v>
      </c>
      <c r="AW715" s="408">
        <v>0</v>
      </c>
      <c r="AX715" s="408">
        <v>0</v>
      </c>
      <c r="AY715" s="408">
        <v>0</v>
      </c>
      <c r="AZ715" s="408">
        <v>0</v>
      </c>
      <c r="BA715" s="408"/>
      <c r="BB715" s="408">
        <v>0</v>
      </c>
      <c r="BC715" s="408">
        <v>0</v>
      </c>
      <c r="BD715" s="408">
        <v>0</v>
      </c>
      <c r="BE715" s="408">
        <v>0</v>
      </c>
      <c r="BF715" s="408">
        <v>0</v>
      </c>
      <c r="BG715" s="408">
        <v>1334.7457549952558</v>
      </c>
      <c r="BH715" s="408">
        <v>0</v>
      </c>
      <c r="BI715" s="408">
        <v>0</v>
      </c>
      <c r="BJ715" s="408">
        <v>0</v>
      </c>
      <c r="BK715" s="408">
        <v>0</v>
      </c>
      <c r="BL715" s="408">
        <v>0</v>
      </c>
      <c r="BM715" s="408"/>
      <c r="BN715" s="408"/>
      <c r="BO715" s="408"/>
      <c r="BP715" s="408"/>
      <c r="BQ715" s="408"/>
      <c r="BR715" s="408"/>
      <c r="BS715" s="408"/>
      <c r="BT715" s="408"/>
      <c r="BU715" s="408"/>
      <c r="BV715" s="408">
        <v>31736.090902238408</v>
      </c>
      <c r="BW715" s="408"/>
      <c r="BX715" s="408"/>
      <c r="BY715" s="408"/>
      <c r="BZ715" s="408"/>
      <c r="CA715" s="408"/>
      <c r="CB715" s="408"/>
      <c r="CC715" s="408"/>
      <c r="CD715" s="408"/>
      <c r="CE715" s="408"/>
      <c r="CF715" s="408"/>
      <c r="CG715" s="408"/>
      <c r="CH715" s="408"/>
      <c r="CI715" s="408">
        <v>239670.93239999999</v>
      </c>
      <c r="CJ715" s="408">
        <v>-33681.660740000021</v>
      </c>
      <c r="CK715" s="408"/>
      <c r="CL715" s="408"/>
      <c r="CM715" s="408"/>
      <c r="CN715" s="408"/>
      <c r="CO715" s="408">
        <v>-37529.512719999992</v>
      </c>
      <c r="CP715" s="408">
        <v>3853.2536600000003</v>
      </c>
      <c r="CQ715" s="408">
        <v>31</v>
      </c>
      <c r="CR715" s="408">
        <v>11036.245178058205</v>
      </c>
      <c r="CS715" s="408">
        <v>715.1314832748285</v>
      </c>
      <c r="CT715" s="408">
        <v>3334.5342778416161</v>
      </c>
      <c r="CU715" s="408">
        <v>0</v>
      </c>
      <c r="CV715" s="408">
        <v>0</v>
      </c>
      <c r="CW715" s="408">
        <v>0</v>
      </c>
      <c r="CX715" s="408">
        <v>0</v>
      </c>
      <c r="CY715" s="408">
        <v>0</v>
      </c>
      <c r="CZ715" s="408">
        <v>3344.4421521376275</v>
      </c>
      <c r="DA715" s="408">
        <v>0</v>
      </c>
      <c r="DB715" s="408">
        <v>0</v>
      </c>
      <c r="DC715" s="408">
        <v>3852.8186053791251</v>
      </c>
      <c r="DD715" s="408">
        <v>0</v>
      </c>
      <c r="DE715" s="408">
        <v>0</v>
      </c>
      <c r="DF715" s="408">
        <v>0</v>
      </c>
      <c r="DG715" s="408">
        <v>169.15479408524857</v>
      </c>
      <c r="DH715" s="408">
        <v>0</v>
      </c>
      <c r="DI715" s="408">
        <v>-324.50058986859403</v>
      </c>
      <c r="DJ715" s="408"/>
      <c r="DK715" s="408">
        <v>0</v>
      </c>
      <c r="DL715" s="408">
        <v>0</v>
      </c>
      <c r="DM715" s="408">
        <v>0</v>
      </c>
      <c r="DN715" s="408">
        <v>0</v>
      </c>
      <c r="DO715" s="408">
        <v>-51.292007821671632</v>
      </c>
      <c r="DP715" s="408">
        <v>-4.0435369699824548</v>
      </c>
      <c r="DQ715" s="408">
        <v>0</v>
      </c>
      <c r="DR715" s="408">
        <v>0</v>
      </c>
      <c r="DS715" s="408"/>
      <c r="DT715" s="408"/>
      <c r="DU715" s="408"/>
      <c r="DV715" s="408">
        <v>179992.40624822743</v>
      </c>
      <c r="DW715" s="408">
        <v>0</v>
      </c>
      <c r="DX715" s="408">
        <v>0</v>
      </c>
      <c r="DY715" s="408">
        <v>-37529.512719999999</v>
      </c>
      <c r="DZ715" s="408">
        <v>3853.2536600000021</v>
      </c>
      <c r="EA715" s="408">
        <v>0</v>
      </c>
      <c r="EB715" s="408">
        <v>0</v>
      </c>
      <c r="EC715" s="408">
        <v>-44713.166845152999</v>
      </c>
      <c r="ED715" s="408">
        <v>0</v>
      </c>
      <c r="EE715" s="408">
        <v>0</v>
      </c>
      <c r="EF715" s="408">
        <v>0</v>
      </c>
      <c r="EG715" s="408">
        <v>0</v>
      </c>
      <c r="EH715" s="408">
        <v>0</v>
      </c>
      <c r="EI715" s="408">
        <v>0</v>
      </c>
      <c r="EJ715" s="408">
        <v>0</v>
      </c>
      <c r="EK715" s="408">
        <v>0</v>
      </c>
      <c r="EL715" s="408">
        <v>0</v>
      </c>
      <c r="EM715" s="408">
        <v>0</v>
      </c>
      <c r="EN715" s="408">
        <v>0</v>
      </c>
      <c r="EO715" s="408">
        <v>0</v>
      </c>
      <c r="EP715" s="408">
        <v>2440.5001737053235</v>
      </c>
      <c r="EQ715" s="408">
        <v>0</v>
      </c>
      <c r="ER715" s="408">
        <v>0</v>
      </c>
      <c r="ES715" s="408">
        <v>0</v>
      </c>
      <c r="ET715" s="408">
        <v>0</v>
      </c>
      <c r="EU715" s="408">
        <v>0</v>
      </c>
      <c r="EV715" s="408">
        <v>240</v>
      </c>
      <c r="EW715" s="408">
        <v>0</v>
      </c>
      <c r="EX715" s="408">
        <v>0</v>
      </c>
      <c r="EY715" s="408">
        <v>0</v>
      </c>
      <c r="EZ715" s="408"/>
      <c r="FA715" s="408">
        <v>0</v>
      </c>
      <c r="FB715" s="408"/>
      <c r="FC715" s="408"/>
      <c r="FD715" s="408"/>
      <c r="FE715" s="408"/>
      <c r="FF715" s="408">
        <v>0</v>
      </c>
      <c r="FG715" s="408">
        <v>0</v>
      </c>
      <c r="FH715" s="408">
        <v>0</v>
      </c>
      <c r="FI715" s="408">
        <v>0</v>
      </c>
    </row>
    <row r="716" spans="1:165">
      <c r="A716" s="408">
        <v>714</v>
      </c>
      <c r="B716" s="408" t="s">
        <v>2238</v>
      </c>
      <c r="C716" s="408" t="s">
        <v>2243</v>
      </c>
      <c r="D716" s="408" t="s">
        <v>597</v>
      </c>
      <c r="E716" s="408" t="s">
        <v>970</v>
      </c>
      <c r="F716" s="408" t="s">
        <v>1322</v>
      </c>
      <c r="G716" s="408" t="s">
        <v>1322</v>
      </c>
      <c r="H716" s="408" t="s">
        <v>1322</v>
      </c>
      <c r="I716" s="408" t="s">
        <v>973</v>
      </c>
      <c r="J716" s="408" t="s">
        <v>2236</v>
      </c>
      <c r="K716" s="826">
        <v>44682</v>
      </c>
      <c r="L716" s="408">
        <v>0</v>
      </c>
      <c r="M716" s="408">
        <v>0</v>
      </c>
      <c r="N716" s="408">
        <v>2.3149999999999999</v>
      </c>
      <c r="O716" s="408">
        <v>2.3149999999999999</v>
      </c>
      <c r="P716" s="408">
        <v>2.3149999999999999</v>
      </c>
      <c r="Q716" s="408">
        <v>2.3149999999999999</v>
      </c>
      <c r="R716" s="408"/>
      <c r="S716" s="408">
        <v>1358.36</v>
      </c>
      <c r="T716" s="408">
        <v>173.25</v>
      </c>
      <c r="U716" s="408"/>
      <c r="V716" s="408">
        <v>3545.6771499999995</v>
      </c>
      <c r="W716" s="408">
        <v>3545.6771499999995</v>
      </c>
      <c r="X716" s="408">
        <v>3108.8597999999997</v>
      </c>
      <c r="Y716" s="408">
        <v>0</v>
      </c>
      <c r="Z716" s="408">
        <v>123.95507622269184</v>
      </c>
      <c r="AA716" s="408">
        <v>0</v>
      </c>
      <c r="AB716" s="408">
        <v>0</v>
      </c>
      <c r="AC716" s="408">
        <v>43.850934496768843</v>
      </c>
      <c r="AD716" s="408">
        <v>42.131044969917276</v>
      </c>
      <c r="AE716" s="408">
        <v>2334.6953643928332</v>
      </c>
      <c r="AF716" s="408">
        <v>394.33818940499958</v>
      </c>
      <c r="AG716" s="408">
        <v>6.7302456232029941</v>
      </c>
      <c r="AH716" s="408">
        <v>0</v>
      </c>
      <c r="AI716" s="408">
        <v>0</v>
      </c>
      <c r="AJ716" s="408">
        <v>0</v>
      </c>
      <c r="AK716" s="408">
        <v>0</v>
      </c>
      <c r="AL716" s="408">
        <v>22.013405092008323</v>
      </c>
      <c r="AM716" s="408"/>
      <c r="AN716" s="408">
        <v>1.8538840102808467</v>
      </c>
      <c r="AO716" s="408">
        <v>93.088053377697847</v>
      </c>
      <c r="AP716" s="408">
        <v>434.05347422829459</v>
      </c>
      <c r="AQ716" s="408">
        <v>0</v>
      </c>
      <c r="AR716" s="408">
        <v>0</v>
      </c>
      <c r="AS716" s="408">
        <v>0</v>
      </c>
      <c r="AT716" s="408">
        <v>0</v>
      </c>
      <c r="AU716" s="408">
        <v>0</v>
      </c>
      <c r="AV716" s="408">
        <v>0</v>
      </c>
      <c r="AW716" s="408">
        <v>0</v>
      </c>
      <c r="AX716" s="408">
        <v>0</v>
      </c>
      <c r="AY716" s="408">
        <v>0</v>
      </c>
      <c r="AZ716" s="408">
        <v>0</v>
      </c>
      <c r="BA716" s="408"/>
      <c r="BB716" s="408">
        <v>0</v>
      </c>
      <c r="BC716" s="408">
        <v>0</v>
      </c>
      <c r="BD716" s="408">
        <v>0</v>
      </c>
      <c r="BE716" s="408">
        <v>0</v>
      </c>
      <c r="BF716" s="408">
        <v>0</v>
      </c>
      <c r="BG716" s="408">
        <v>17.313089989656852</v>
      </c>
      <c r="BH716" s="408">
        <v>0</v>
      </c>
      <c r="BI716" s="408">
        <v>0</v>
      </c>
      <c r="BJ716" s="408">
        <v>0</v>
      </c>
      <c r="BK716" s="408">
        <v>0</v>
      </c>
      <c r="BL716" s="408">
        <v>0</v>
      </c>
      <c r="BM716" s="408"/>
      <c r="BN716" s="408"/>
      <c r="BO716" s="408"/>
      <c r="BP716" s="408"/>
      <c r="BQ716" s="408"/>
      <c r="BR716" s="408"/>
      <c r="BS716" s="408"/>
      <c r="BT716" s="408"/>
      <c r="BU716" s="408"/>
      <c r="BV716" s="408">
        <v>411.65127939465646</v>
      </c>
      <c r="BW716" s="408"/>
      <c r="BX716" s="408"/>
      <c r="BY716" s="408"/>
      <c r="BZ716" s="408"/>
      <c r="CA716" s="408"/>
      <c r="CB716" s="408"/>
      <c r="CC716" s="408"/>
      <c r="CD716" s="408"/>
      <c r="CE716" s="408"/>
      <c r="CF716" s="408"/>
      <c r="CG716" s="408"/>
      <c r="CH716" s="408"/>
      <c r="CI716" s="408">
        <v>3115.5743999999995</v>
      </c>
      <c r="CJ716" s="408">
        <v>-430.13275000000067</v>
      </c>
      <c r="CK716" s="408"/>
      <c r="CL716" s="408"/>
      <c r="CM716" s="408"/>
      <c r="CN716" s="408"/>
      <c r="CO716" s="408">
        <v>-486.79819999999995</v>
      </c>
      <c r="CP716" s="408">
        <v>49.980850000000004</v>
      </c>
      <c r="CQ716" s="408">
        <v>31</v>
      </c>
      <c r="CR716" s="408">
        <v>143.15198621202398</v>
      </c>
      <c r="CS716" s="408">
        <v>9.2760255487142587</v>
      </c>
      <c r="CT716" s="408">
        <v>43.252500942452912</v>
      </c>
      <c r="CU716" s="408">
        <v>0</v>
      </c>
      <c r="CV716" s="408">
        <v>0</v>
      </c>
      <c r="CW716" s="408">
        <v>0</v>
      </c>
      <c r="CX716" s="408">
        <v>0</v>
      </c>
      <c r="CY716" s="408">
        <v>0</v>
      </c>
      <c r="CZ716" s="408">
        <v>43.381016743047219</v>
      </c>
      <c r="DA716" s="408">
        <v>0</v>
      </c>
      <c r="DB716" s="408">
        <v>0</v>
      </c>
      <c r="DC716" s="408">
        <v>49.975206873004936</v>
      </c>
      <c r="DD716" s="408">
        <v>0</v>
      </c>
      <c r="DE716" s="408">
        <v>0</v>
      </c>
      <c r="DF716" s="408">
        <v>0</v>
      </c>
      <c r="DG716" s="408">
        <v>2.1941198623180433</v>
      </c>
      <c r="DH716" s="408">
        <v>0</v>
      </c>
      <c r="DI716" s="408">
        <v>-4.2091221440982736</v>
      </c>
      <c r="DJ716" s="408"/>
      <c r="DK716" s="408">
        <v>0</v>
      </c>
      <c r="DL716" s="408">
        <v>0</v>
      </c>
      <c r="DM716" s="408">
        <v>0</v>
      </c>
      <c r="DN716" s="408">
        <v>0</v>
      </c>
      <c r="DO716" s="408">
        <v>-0.66531258394595127</v>
      </c>
      <c r="DP716" s="408">
        <v>-5.2449029469330943E-2</v>
      </c>
      <c r="DQ716" s="408">
        <v>0</v>
      </c>
      <c r="DR716" s="408">
        <v>0</v>
      </c>
      <c r="DS716" s="408"/>
      <c r="DT716" s="408"/>
      <c r="DU716" s="408"/>
      <c r="DV716" s="408">
        <v>2334.6953643928332</v>
      </c>
      <c r="DW716" s="408">
        <v>0</v>
      </c>
      <c r="DX716" s="408">
        <v>0</v>
      </c>
      <c r="DY716" s="408">
        <v>-486.79819999999972</v>
      </c>
      <c r="DZ716" s="408">
        <v>49.980849999999975</v>
      </c>
      <c r="EA716" s="408">
        <v>0</v>
      </c>
      <c r="EB716" s="408">
        <v>0</v>
      </c>
      <c r="EC716" s="408">
        <v>-579.97793093968403</v>
      </c>
      <c r="ED716" s="408">
        <v>0</v>
      </c>
      <c r="EE716" s="408">
        <v>0</v>
      </c>
      <c r="EF716" s="408">
        <v>0</v>
      </c>
      <c r="EG716" s="408">
        <v>0</v>
      </c>
      <c r="EH716" s="408">
        <v>0</v>
      </c>
      <c r="EI716" s="408">
        <v>0</v>
      </c>
      <c r="EJ716" s="408">
        <v>0</v>
      </c>
      <c r="EK716" s="408">
        <v>0</v>
      </c>
      <c r="EL716" s="408">
        <v>0</v>
      </c>
      <c r="EM716" s="408">
        <v>0</v>
      </c>
      <c r="EN716" s="408">
        <v>0</v>
      </c>
      <c r="EO716" s="408">
        <v>0</v>
      </c>
      <c r="EP716" s="408">
        <v>31.655915719532391</v>
      </c>
      <c r="EQ716" s="408">
        <v>0</v>
      </c>
      <c r="ER716" s="408">
        <v>0</v>
      </c>
      <c r="ES716" s="408">
        <v>0</v>
      </c>
      <c r="ET716" s="408">
        <v>0</v>
      </c>
      <c r="EU716" s="408">
        <v>0</v>
      </c>
      <c r="EV716" s="408">
        <v>240</v>
      </c>
      <c r="EW716" s="408">
        <v>0</v>
      </c>
      <c r="EX716" s="408">
        <v>0</v>
      </c>
      <c r="EY716" s="408">
        <v>0</v>
      </c>
      <c r="EZ716" s="408"/>
      <c r="FA716" s="408">
        <v>0</v>
      </c>
      <c r="FB716" s="408"/>
      <c r="FC716" s="408"/>
      <c r="FD716" s="408"/>
      <c r="FE716" s="408"/>
      <c r="FF716" s="408">
        <v>0</v>
      </c>
      <c r="FG716" s="408">
        <v>0</v>
      </c>
      <c r="FH716" s="408">
        <v>0</v>
      </c>
      <c r="FI716" s="408">
        <v>0</v>
      </c>
    </row>
    <row r="717" spans="1:165">
      <c r="A717" s="408">
        <v>715</v>
      </c>
      <c r="B717" s="408" t="s">
        <v>1036</v>
      </c>
      <c r="C717" s="408" t="s">
        <v>2243</v>
      </c>
      <c r="D717" s="408" t="s">
        <v>597</v>
      </c>
      <c r="E717" s="408" t="s">
        <v>970</v>
      </c>
      <c r="F717" s="408" t="s">
        <v>1322</v>
      </c>
      <c r="G717" s="408" t="s">
        <v>1322</v>
      </c>
      <c r="H717" s="408" t="s">
        <v>1322</v>
      </c>
      <c r="I717" s="408" t="s">
        <v>2244</v>
      </c>
      <c r="J717" s="408" t="s">
        <v>2236</v>
      </c>
      <c r="K717" s="826">
        <v>44682</v>
      </c>
      <c r="L717" s="408">
        <v>0</v>
      </c>
      <c r="M717" s="408">
        <v>0</v>
      </c>
      <c r="N717" s="408">
        <v>3141.1669999999999</v>
      </c>
      <c r="O717" s="408">
        <v>3141.1669999999999</v>
      </c>
      <c r="P717" s="408">
        <v>3141.1669999999999</v>
      </c>
      <c r="Q717" s="408">
        <v>3141.1669999999999</v>
      </c>
      <c r="R717" s="408"/>
      <c r="S717" s="408">
        <v>85.01</v>
      </c>
      <c r="T717" s="408">
        <v>173.25</v>
      </c>
      <c r="U717" s="408"/>
      <c r="V717" s="408">
        <v>811237.78942000004</v>
      </c>
      <c r="W717" s="408">
        <v>811237.78942000004</v>
      </c>
      <c r="X717" s="408">
        <v>875349.00789000001</v>
      </c>
      <c r="Y717" s="408">
        <v>0</v>
      </c>
      <c r="Z717" s="408">
        <v>168191.6176730904</v>
      </c>
      <c r="AA717" s="408">
        <v>0</v>
      </c>
      <c r="AB717" s="408">
        <v>0</v>
      </c>
      <c r="AC717" s="408">
        <v>0</v>
      </c>
      <c r="AD717" s="408">
        <v>0</v>
      </c>
      <c r="AE717" s="408">
        <v>0</v>
      </c>
      <c r="AF717" s="408">
        <v>535067.86496705585</v>
      </c>
      <c r="AG717" s="408">
        <v>9132.1060274296669</v>
      </c>
      <c r="AH717" s="408">
        <v>0</v>
      </c>
      <c r="AI717" s="408">
        <v>0</v>
      </c>
      <c r="AJ717" s="408">
        <v>0</v>
      </c>
      <c r="AK717" s="408">
        <v>0</v>
      </c>
      <c r="AL717" s="408">
        <v>29869.452109135425</v>
      </c>
      <c r="AM717" s="408"/>
      <c r="AN717" s="408">
        <v>2515.4899675688362</v>
      </c>
      <c r="AO717" s="408">
        <v>0</v>
      </c>
      <c r="AP717" s="408">
        <v>0</v>
      </c>
      <c r="AQ717" s="408">
        <v>0</v>
      </c>
      <c r="AR717" s="408">
        <v>0</v>
      </c>
      <c r="AS717" s="408">
        <v>0</v>
      </c>
      <c r="AT717" s="408">
        <v>0</v>
      </c>
      <c r="AU717" s="408">
        <v>0</v>
      </c>
      <c r="AV717" s="408">
        <v>0</v>
      </c>
      <c r="AW717" s="408">
        <v>0</v>
      </c>
      <c r="AX717" s="408">
        <v>0</v>
      </c>
      <c r="AY717" s="408">
        <v>0</v>
      </c>
      <c r="AZ717" s="408">
        <v>0</v>
      </c>
      <c r="BA717" s="408"/>
      <c r="BB717" s="408">
        <v>0</v>
      </c>
      <c r="BC717" s="408">
        <v>0</v>
      </c>
      <c r="BD717" s="408">
        <v>0</v>
      </c>
      <c r="BE717" s="408">
        <v>0</v>
      </c>
      <c r="BF717" s="408">
        <v>0</v>
      </c>
      <c r="BG717" s="408">
        <v>23491.70926286844</v>
      </c>
      <c r="BH717" s="408">
        <v>0</v>
      </c>
      <c r="BI717" s="408">
        <v>0</v>
      </c>
      <c r="BJ717" s="408">
        <v>0</v>
      </c>
      <c r="BK717" s="408">
        <v>0</v>
      </c>
      <c r="BL717" s="408">
        <v>0</v>
      </c>
      <c r="BM717" s="408"/>
      <c r="BN717" s="408"/>
      <c r="BO717" s="408"/>
      <c r="BP717" s="408"/>
      <c r="BQ717" s="408"/>
      <c r="BR717" s="408"/>
      <c r="BS717" s="408"/>
      <c r="BT717" s="408"/>
      <c r="BU717" s="408"/>
      <c r="BV717" s="408">
        <v>558559.57422992424</v>
      </c>
      <c r="BW717" s="408"/>
      <c r="BX717" s="408"/>
      <c r="BY717" s="408"/>
      <c r="BZ717" s="408"/>
      <c r="CA717" s="408"/>
      <c r="CB717" s="408"/>
      <c r="CC717" s="408"/>
      <c r="CD717" s="408"/>
      <c r="CE717" s="408"/>
      <c r="CF717" s="408"/>
      <c r="CG717" s="408"/>
      <c r="CH717" s="408"/>
      <c r="CI717" s="408">
        <v>875349.84390000009</v>
      </c>
      <c r="CJ717" s="408">
        <v>64112.024480000022</v>
      </c>
      <c r="CK717" s="408"/>
      <c r="CL717" s="408"/>
      <c r="CM717" s="408"/>
      <c r="CN717" s="408"/>
      <c r="CO717" s="408">
        <v>-3706.5770600000214</v>
      </c>
      <c r="CP717" s="408">
        <v>67817.795530000003</v>
      </c>
      <c r="CQ717" s="408">
        <v>31</v>
      </c>
      <c r="CR717" s="408">
        <v>64102.117875281489</v>
      </c>
      <c r="CS717" s="408">
        <v>0</v>
      </c>
      <c r="CT717" s="408">
        <v>0</v>
      </c>
      <c r="CU717" s="408">
        <v>0</v>
      </c>
      <c r="CV717" s="408">
        <v>0</v>
      </c>
      <c r="CW717" s="408">
        <v>0</v>
      </c>
      <c r="CX717" s="408">
        <v>0</v>
      </c>
      <c r="CY717" s="408">
        <v>0</v>
      </c>
      <c r="CZ717" s="408">
        <v>0</v>
      </c>
      <c r="DA717" s="408">
        <v>0</v>
      </c>
      <c r="DB717" s="408">
        <v>0</v>
      </c>
      <c r="DC717" s="408">
        <v>67810.138508706819</v>
      </c>
      <c r="DD717" s="408">
        <v>0</v>
      </c>
      <c r="DE717" s="408">
        <v>0</v>
      </c>
      <c r="DF717" s="408">
        <v>0</v>
      </c>
      <c r="DG717" s="408">
        <v>2977.1476913857405</v>
      </c>
      <c r="DH717" s="408">
        <v>0</v>
      </c>
      <c r="DI717" s="408">
        <v>-5711.255109291902</v>
      </c>
      <c r="DJ717" s="408"/>
      <c r="DK717" s="408">
        <v>0</v>
      </c>
      <c r="DL717" s="408">
        <v>0</v>
      </c>
      <c r="DM717" s="408">
        <v>0</v>
      </c>
      <c r="DN717" s="408">
        <v>0</v>
      </c>
      <c r="DO717" s="408">
        <v>-902.74640750572507</v>
      </c>
      <c r="DP717" s="408">
        <v>-71.166808013429545</v>
      </c>
      <c r="DQ717" s="408">
        <v>0</v>
      </c>
      <c r="DR717" s="408">
        <v>0</v>
      </c>
      <c r="DS717" s="408"/>
      <c r="DT717" s="408"/>
      <c r="DU717" s="408"/>
      <c r="DV717" s="408">
        <v>0</v>
      </c>
      <c r="DW717" s="408">
        <v>0</v>
      </c>
      <c r="DX717" s="408">
        <v>0</v>
      </c>
      <c r="DY717" s="408">
        <v>-3706.5770600000396</v>
      </c>
      <c r="DZ717" s="408">
        <v>67817.795530000003</v>
      </c>
      <c r="EA717" s="408">
        <v>0</v>
      </c>
      <c r="EB717" s="408">
        <v>0</v>
      </c>
      <c r="EC717" s="408">
        <v>0</v>
      </c>
      <c r="ED717" s="408">
        <v>0</v>
      </c>
      <c r="EE717" s="408">
        <v>0</v>
      </c>
      <c r="EF717" s="408">
        <v>0</v>
      </c>
      <c r="EG717" s="408">
        <v>0</v>
      </c>
      <c r="EH717" s="408">
        <v>0</v>
      </c>
      <c r="EI717" s="408">
        <v>0</v>
      </c>
      <c r="EJ717" s="408">
        <v>0</v>
      </c>
      <c r="EK717" s="408">
        <v>0</v>
      </c>
      <c r="EL717" s="408">
        <v>0</v>
      </c>
      <c r="EM717" s="408">
        <v>0</v>
      </c>
      <c r="EN717" s="408">
        <v>0</v>
      </c>
      <c r="EO717" s="408">
        <v>0</v>
      </c>
      <c r="EP717" s="408">
        <v>42953.139444050285</v>
      </c>
      <c r="EQ717" s="408">
        <v>0</v>
      </c>
      <c r="ER717" s="408">
        <v>0</v>
      </c>
      <c r="ES717" s="408">
        <v>0</v>
      </c>
      <c r="ET717" s="408">
        <v>0</v>
      </c>
      <c r="EU717" s="408">
        <v>0</v>
      </c>
      <c r="EV717" s="408">
        <v>240</v>
      </c>
      <c r="EW717" s="408">
        <v>0</v>
      </c>
      <c r="EX717" s="408">
        <v>0</v>
      </c>
      <c r="EY717" s="408">
        <v>0</v>
      </c>
      <c r="EZ717" s="408"/>
      <c r="FA717" s="408">
        <v>0</v>
      </c>
      <c r="FB717" s="408"/>
      <c r="FC717" s="408"/>
      <c r="FD717" s="408"/>
      <c r="FE717" s="408"/>
      <c r="FF717" s="408">
        <v>0</v>
      </c>
      <c r="FG717" s="408">
        <v>0</v>
      </c>
      <c r="FH717" s="408">
        <v>0</v>
      </c>
      <c r="FI717" s="408">
        <v>0</v>
      </c>
    </row>
    <row r="718" spans="1:165">
      <c r="A718" s="408">
        <v>716</v>
      </c>
      <c r="B718" s="408" t="s">
        <v>2238</v>
      </c>
      <c r="C718" s="408" t="s">
        <v>2243</v>
      </c>
      <c r="D718" s="408" t="s">
        <v>597</v>
      </c>
      <c r="E718" s="408" t="s">
        <v>970</v>
      </c>
      <c r="F718" s="408" t="s">
        <v>1322</v>
      </c>
      <c r="G718" s="408" t="s">
        <v>1322</v>
      </c>
      <c r="H718" s="408" t="s">
        <v>1322</v>
      </c>
      <c r="I718" s="408" t="s">
        <v>2244</v>
      </c>
      <c r="J718" s="408" t="s">
        <v>2236</v>
      </c>
      <c r="K718" s="826">
        <v>44682</v>
      </c>
      <c r="L718" s="408">
        <v>0</v>
      </c>
      <c r="M718" s="408">
        <v>0</v>
      </c>
      <c r="N718" s="408">
        <v>50.933999999999997</v>
      </c>
      <c r="O718" s="408">
        <v>50.933999999999997</v>
      </c>
      <c r="P718" s="408">
        <v>50.933999999999997</v>
      </c>
      <c r="Q718" s="408">
        <v>50.933999999999997</v>
      </c>
      <c r="R718" s="408"/>
      <c r="S718" s="408">
        <v>85.01</v>
      </c>
      <c r="T718" s="408">
        <v>173.25</v>
      </c>
      <c r="U718" s="408"/>
      <c r="V718" s="408">
        <v>13154.214839999999</v>
      </c>
      <c r="W718" s="408">
        <v>13154.214839999999</v>
      </c>
      <c r="X718" s="408">
        <v>14193.77778</v>
      </c>
      <c r="Y718" s="408">
        <v>0</v>
      </c>
      <c r="Z718" s="408">
        <v>2727.2258541367542</v>
      </c>
      <c r="AA718" s="408">
        <v>0</v>
      </c>
      <c r="AB718" s="408">
        <v>0</v>
      </c>
      <c r="AC718" s="408">
        <v>0</v>
      </c>
      <c r="AD718" s="408">
        <v>0</v>
      </c>
      <c r="AE718" s="408">
        <v>0</v>
      </c>
      <c r="AF718" s="408">
        <v>8676.1215287923314</v>
      </c>
      <c r="AG718" s="408">
        <v>148.07703264458803</v>
      </c>
      <c r="AH718" s="408">
        <v>0</v>
      </c>
      <c r="AI718" s="408">
        <v>0</v>
      </c>
      <c r="AJ718" s="408">
        <v>0</v>
      </c>
      <c r="AK718" s="408">
        <v>0</v>
      </c>
      <c r="AL718" s="408">
        <v>484.33294814529239</v>
      </c>
      <c r="AM718" s="408"/>
      <c r="AN718" s="408">
        <v>40.788651481487967</v>
      </c>
      <c r="AO718" s="408">
        <v>0</v>
      </c>
      <c r="AP718" s="408">
        <v>0</v>
      </c>
      <c r="AQ718" s="408">
        <v>0</v>
      </c>
      <c r="AR718" s="408">
        <v>0</v>
      </c>
      <c r="AS718" s="408">
        <v>0</v>
      </c>
      <c r="AT718" s="408">
        <v>0</v>
      </c>
      <c r="AU718" s="408">
        <v>0</v>
      </c>
      <c r="AV718" s="408">
        <v>0</v>
      </c>
      <c r="AW718" s="408">
        <v>0</v>
      </c>
      <c r="AX718" s="408">
        <v>0</v>
      </c>
      <c r="AY718" s="408">
        <v>0</v>
      </c>
      <c r="AZ718" s="408">
        <v>0</v>
      </c>
      <c r="BA718" s="408"/>
      <c r="BB718" s="408">
        <v>0</v>
      </c>
      <c r="BC718" s="408">
        <v>0</v>
      </c>
      <c r="BD718" s="408">
        <v>0</v>
      </c>
      <c r="BE718" s="408">
        <v>0</v>
      </c>
      <c r="BF718" s="408">
        <v>0</v>
      </c>
      <c r="BG718" s="408">
        <v>380.91789439878272</v>
      </c>
      <c r="BH718" s="408">
        <v>0</v>
      </c>
      <c r="BI718" s="408">
        <v>0</v>
      </c>
      <c r="BJ718" s="408">
        <v>0</v>
      </c>
      <c r="BK718" s="408">
        <v>0</v>
      </c>
      <c r="BL718" s="408">
        <v>0</v>
      </c>
      <c r="BM718" s="408"/>
      <c r="BN718" s="408"/>
      <c r="BO718" s="408"/>
      <c r="BP718" s="408"/>
      <c r="BQ718" s="408"/>
      <c r="BR718" s="408"/>
      <c r="BS718" s="408"/>
      <c r="BT718" s="408"/>
      <c r="BU718" s="408"/>
      <c r="BV718" s="408">
        <v>9057.0394231911141</v>
      </c>
      <c r="BW718" s="408"/>
      <c r="BX718" s="408"/>
      <c r="BY718" s="408"/>
      <c r="BZ718" s="408"/>
      <c r="CA718" s="408"/>
      <c r="CB718" s="408"/>
      <c r="CC718" s="408"/>
      <c r="CD718" s="408"/>
      <c r="CE718" s="408"/>
      <c r="CF718" s="408"/>
      <c r="CG718" s="408"/>
      <c r="CH718" s="408"/>
      <c r="CI718" s="408">
        <v>14192.6631</v>
      </c>
      <c r="CJ718" s="408">
        <v>1038.4182600000004</v>
      </c>
      <c r="CK718" s="408"/>
      <c r="CL718" s="408"/>
      <c r="CM718" s="408"/>
      <c r="CN718" s="408"/>
      <c r="CO718" s="408">
        <v>-60.102120000000347</v>
      </c>
      <c r="CP718" s="408">
        <v>1099.66506</v>
      </c>
      <c r="CQ718" s="408">
        <v>31</v>
      </c>
      <c r="CR718" s="408">
        <v>1039.4153739230023</v>
      </c>
      <c r="CS718" s="408">
        <v>0</v>
      </c>
      <c r="CT718" s="408">
        <v>0</v>
      </c>
      <c r="CU718" s="408">
        <v>0</v>
      </c>
      <c r="CV718" s="408">
        <v>0</v>
      </c>
      <c r="CW718" s="408">
        <v>0</v>
      </c>
      <c r="CX718" s="408">
        <v>0</v>
      </c>
      <c r="CY718" s="408">
        <v>0</v>
      </c>
      <c r="CZ718" s="408">
        <v>0</v>
      </c>
      <c r="DA718" s="408">
        <v>0</v>
      </c>
      <c r="DB718" s="408">
        <v>0</v>
      </c>
      <c r="DC718" s="408">
        <v>1099.5409014555644</v>
      </c>
      <c r="DD718" s="408">
        <v>0</v>
      </c>
      <c r="DE718" s="408">
        <v>0</v>
      </c>
      <c r="DF718" s="408">
        <v>0</v>
      </c>
      <c r="DG718" s="408">
        <v>48.274428106828225</v>
      </c>
      <c r="DH718" s="408">
        <v>0</v>
      </c>
      <c r="DI718" s="408">
        <v>-92.607959951404609</v>
      </c>
      <c r="DJ718" s="408"/>
      <c r="DK718" s="408">
        <v>0</v>
      </c>
      <c r="DL718" s="408">
        <v>0</v>
      </c>
      <c r="DM718" s="408">
        <v>0</v>
      </c>
      <c r="DN718" s="408">
        <v>0</v>
      </c>
      <c r="DO718" s="408">
        <v>-14.638026414990577</v>
      </c>
      <c r="DP718" s="408">
        <v>-1.153969272998232</v>
      </c>
      <c r="DQ718" s="408">
        <v>0</v>
      </c>
      <c r="DR718" s="408">
        <v>0</v>
      </c>
      <c r="DS718" s="408"/>
      <c r="DT718" s="408"/>
      <c r="DU718" s="408"/>
      <c r="DV718" s="408">
        <v>0</v>
      </c>
      <c r="DW718" s="408">
        <v>0</v>
      </c>
      <c r="DX718" s="408">
        <v>0</v>
      </c>
      <c r="DY718" s="408">
        <v>-60.102120000000468</v>
      </c>
      <c r="DZ718" s="408">
        <v>1099.6650600000012</v>
      </c>
      <c r="EA718" s="408">
        <v>0</v>
      </c>
      <c r="EB718" s="408">
        <v>0</v>
      </c>
      <c r="EC718" s="408">
        <v>0</v>
      </c>
      <c r="ED718" s="408">
        <v>0</v>
      </c>
      <c r="EE718" s="408">
        <v>0</v>
      </c>
      <c r="EF718" s="408">
        <v>0</v>
      </c>
      <c r="EG718" s="408">
        <v>0</v>
      </c>
      <c r="EH718" s="408">
        <v>0</v>
      </c>
      <c r="EI718" s="408">
        <v>0</v>
      </c>
      <c r="EJ718" s="408">
        <v>0</v>
      </c>
      <c r="EK718" s="408">
        <v>0</v>
      </c>
      <c r="EL718" s="408">
        <v>0</v>
      </c>
      <c r="EM718" s="408">
        <v>0</v>
      </c>
      <c r="EN718" s="408">
        <v>0</v>
      </c>
      <c r="EO718" s="408">
        <v>0</v>
      </c>
      <c r="EP718" s="408">
        <v>696.4848428763122</v>
      </c>
      <c r="EQ718" s="408">
        <v>0</v>
      </c>
      <c r="ER718" s="408">
        <v>0</v>
      </c>
      <c r="ES718" s="408">
        <v>0</v>
      </c>
      <c r="ET718" s="408">
        <v>0</v>
      </c>
      <c r="EU718" s="408">
        <v>0</v>
      </c>
      <c r="EV718" s="408">
        <v>240</v>
      </c>
      <c r="EW718" s="408">
        <v>0</v>
      </c>
      <c r="EX718" s="408">
        <v>0</v>
      </c>
      <c r="EY718" s="408">
        <v>0</v>
      </c>
      <c r="EZ718" s="408"/>
      <c r="FA718" s="408">
        <v>0</v>
      </c>
      <c r="FB718" s="408"/>
      <c r="FC718" s="408"/>
      <c r="FD718" s="408"/>
      <c r="FE718" s="408"/>
      <c r="FF718" s="408">
        <v>0</v>
      </c>
      <c r="FG718" s="408">
        <v>0</v>
      </c>
      <c r="FH718" s="408">
        <v>0</v>
      </c>
      <c r="FI718" s="408">
        <v>0</v>
      </c>
    </row>
    <row r="719" spans="1:165">
      <c r="A719" s="408">
        <v>717</v>
      </c>
      <c r="B719" s="408" t="s">
        <v>1036</v>
      </c>
      <c r="C719" s="408" t="s">
        <v>2243</v>
      </c>
      <c r="D719" s="408" t="s">
        <v>597</v>
      </c>
      <c r="E719" s="408" t="s">
        <v>970</v>
      </c>
      <c r="F719" s="408" t="s">
        <v>1322</v>
      </c>
      <c r="G719" s="408" t="s">
        <v>1322</v>
      </c>
      <c r="H719" s="408" t="s">
        <v>1322</v>
      </c>
      <c r="I719" s="408" t="s">
        <v>1322</v>
      </c>
      <c r="J719" s="408" t="s">
        <v>2236</v>
      </c>
      <c r="K719" s="826">
        <v>44682</v>
      </c>
      <c r="L719" s="408">
        <v>17905</v>
      </c>
      <c r="M719" s="408">
        <v>17905</v>
      </c>
      <c r="N719" s="408">
        <v>0</v>
      </c>
      <c r="O719" s="408">
        <v>0</v>
      </c>
      <c r="P719" s="408">
        <v>0</v>
      </c>
      <c r="Q719" s="408">
        <v>0</v>
      </c>
      <c r="R719" s="408">
        <v>27.19</v>
      </c>
      <c r="S719" s="408"/>
      <c r="T719" s="408"/>
      <c r="U719" s="408">
        <v>486836.95</v>
      </c>
      <c r="V719" s="408"/>
      <c r="W719" s="408">
        <v>486836.95</v>
      </c>
      <c r="X719" s="408">
        <v>389612.80000000005</v>
      </c>
      <c r="Y719" s="408">
        <v>0</v>
      </c>
      <c r="Z719" s="408">
        <v>0</v>
      </c>
      <c r="AA719" s="408">
        <v>0</v>
      </c>
      <c r="AB719" s="408">
        <v>0</v>
      </c>
      <c r="AC719" s="408">
        <v>4175.456983420534</v>
      </c>
      <c r="AD719" s="408">
        <v>4011.3437989274421</v>
      </c>
      <c r="AE719" s="408">
        <v>428503.00150377082</v>
      </c>
      <c r="AF719" s="408"/>
      <c r="AG719" s="408"/>
      <c r="AH719" s="408"/>
      <c r="AI719" s="408">
        <v>0</v>
      </c>
      <c r="AJ719" s="408">
        <v>0</v>
      </c>
      <c r="AK719" s="408">
        <v>0</v>
      </c>
      <c r="AL719" s="408">
        <v>0</v>
      </c>
      <c r="AM719" s="408"/>
      <c r="AN719" s="408">
        <v>0</v>
      </c>
      <c r="AO719" s="408">
        <v>8860.9129006747571</v>
      </c>
      <c r="AP719" s="408">
        <v>41326.330734120733</v>
      </c>
      <c r="AQ719" s="408">
        <v>0</v>
      </c>
      <c r="AR719" s="408">
        <v>0</v>
      </c>
      <c r="AS719" s="408"/>
      <c r="AT719" s="408"/>
      <c r="AU719" s="408">
        <v>0</v>
      </c>
      <c r="AV719" s="408">
        <v>0</v>
      </c>
      <c r="AW719" s="408">
        <v>0</v>
      </c>
      <c r="AX719" s="408"/>
      <c r="AY719" s="408"/>
      <c r="AZ719" s="408">
        <v>0</v>
      </c>
      <c r="BA719" s="408"/>
      <c r="BB719" s="408">
        <v>0</v>
      </c>
      <c r="BC719" s="408">
        <v>0</v>
      </c>
      <c r="BD719" s="408">
        <v>0</v>
      </c>
      <c r="BE719" s="408">
        <v>0</v>
      </c>
      <c r="BF719" s="408"/>
      <c r="BG719" s="408">
        <v>0</v>
      </c>
      <c r="BH719" s="408">
        <v>0</v>
      </c>
      <c r="BI719" s="408">
        <v>1092.81</v>
      </c>
      <c r="BJ719" s="408">
        <v>14057.25</v>
      </c>
      <c r="BK719" s="408">
        <v>316778.64</v>
      </c>
      <c r="BL719" s="408">
        <v>99</v>
      </c>
      <c r="BM719" s="408"/>
      <c r="BN719" s="408"/>
      <c r="BO719" s="408"/>
      <c r="BP719" s="408"/>
      <c r="BQ719" s="408"/>
      <c r="BR719" s="408"/>
      <c r="BS719" s="408"/>
      <c r="BT719" s="408"/>
      <c r="BU719" s="408"/>
      <c r="BV719" s="408">
        <v>0</v>
      </c>
      <c r="BW719" s="408"/>
      <c r="BX719" s="408"/>
      <c r="BY719" s="408"/>
      <c r="BZ719" s="408"/>
      <c r="CA719" s="408"/>
      <c r="CB719" s="408"/>
      <c r="CC719" s="408"/>
      <c r="CD719" s="408"/>
      <c r="CE719" s="408"/>
      <c r="CF719" s="408"/>
      <c r="CG719" s="408"/>
      <c r="CH719" s="408"/>
      <c r="CI719" s="408">
        <v>389612.80000000005</v>
      </c>
      <c r="CJ719" s="408">
        <v>-97224.18</v>
      </c>
      <c r="CK719" s="408"/>
      <c r="CL719" s="408"/>
      <c r="CM719" s="408"/>
      <c r="CN719" s="408"/>
      <c r="CO719" s="408">
        <v>-97224.15</v>
      </c>
      <c r="CP719" s="408">
        <v>0</v>
      </c>
      <c r="CQ719" s="408">
        <v>31</v>
      </c>
      <c r="CR719" s="408">
        <v>9131.4065619457251</v>
      </c>
      <c r="CS719" s="408">
        <v>882.97103085930394</v>
      </c>
      <c r="CT719" s="408">
        <v>4118.080524994286</v>
      </c>
      <c r="CU719" s="408">
        <v>0</v>
      </c>
      <c r="CV719" s="408">
        <v>0</v>
      </c>
      <c r="CW719" s="408"/>
      <c r="CX719" s="408"/>
      <c r="CY719" s="408"/>
      <c r="CZ719" s="408">
        <v>4130.355006092128</v>
      </c>
      <c r="DA719" s="408">
        <v>0</v>
      </c>
      <c r="DB719" s="408">
        <v>0</v>
      </c>
      <c r="DC719" s="408"/>
      <c r="DD719" s="408"/>
      <c r="DE719" s="408">
        <v>0</v>
      </c>
      <c r="DF719" s="408">
        <v>0</v>
      </c>
      <c r="DG719" s="408">
        <v>0</v>
      </c>
      <c r="DH719" s="408">
        <v>0</v>
      </c>
      <c r="DI719" s="408">
        <v>0</v>
      </c>
      <c r="DJ719" s="408"/>
      <c r="DK719" s="408">
        <v>0</v>
      </c>
      <c r="DL719" s="408">
        <v>0</v>
      </c>
      <c r="DM719" s="408"/>
      <c r="DN719" s="408">
        <v>0</v>
      </c>
      <c r="DO719" s="408">
        <v>0</v>
      </c>
      <c r="DP719" s="408">
        <v>0</v>
      </c>
      <c r="DQ719" s="408">
        <v>0</v>
      </c>
      <c r="DR719" s="408">
        <v>0</v>
      </c>
      <c r="DS719" s="408"/>
      <c r="DT719" s="408"/>
      <c r="DU719" s="408">
        <v>428503.00150377082</v>
      </c>
      <c r="DV719" s="408"/>
      <c r="DW719" s="408">
        <v>0</v>
      </c>
      <c r="DX719" s="408">
        <v>0</v>
      </c>
      <c r="DY719" s="408">
        <v>-97224.149999999965</v>
      </c>
      <c r="DZ719" s="408"/>
      <c r="EA719" s="408">
        <v>0</v>
      </c>
      <c r="EB719" s="408"/>
      <c r="EC719" s="408">
        <v>-106447.41408403398</v>
      </c>
      <c r="ED719" s="408"/>
      <c r="EE719" s="408">
        <v>0</v>
      </c>
      <c r="EF719" s="408">
        <v>0</v>
      </c>
      <c r="EG719" s="408"/>
      <c r="EH719" s="408">
        <v>0</v>
      </c>
      <c r="EI719" s="408">
        <v>0</v>
      </c>
      <c r="EJ719" s="408">
        <v>0</v>
      </c>
      <c r="EK719" s="408">
        <v>0</v>
      </c>
      <c r="EL719" s="408">
        <v>0</v>
      </c>
      <c r="EM719" s="408"/>
      <c r="EN719" s="408"/>
      <c r="EO719" s="408">
        <v>0</v>
      </c>
      <c r="EP719" s="408">
        <v>0</v>
      </c>
      <c r="EQ719" s="408"/>
      <c r="ER719" s="408">
        <v>0</v>
      </c>
      <c r="ES719" s="408"/>
      <c r="ET719" s="408">
        <v>0</v>
      </c>
      <c r="EU719" s="408"/>
      <c r="EV719" s="408">
        <v>240</v>
      </c>
      <c r="EW719" s="408"/>
      <c r="EX719" s="408"/>
      <c r="EY719" s="408"/>
      <c r="EZ719" s="408"/>
      <c r="FA719" s="408">
        <v>0</v>
      </c>
      <c r="FB719" s="408"/>
      <c r="FC719" s="408"/>
      <c r="FD719" s="408"/>
      <c r="FE719" s="408"/>
      <c r="FF719" s="408">
        <v>0</v>
      </c>
      <c r="FG719" s="408">
        <v>0</v>
      </c>
      <c r="FH719" s="408">
        <v>0</v>
      </c>
      <c r="FI719" s="408">
        <v>0</v>
      </c>
    </row>
    <row r="720" spans="1:165">
      <c r="A720" s="408">
        <v>718</v>
      </c>
      <c r="B720" s="408" t="s">
        <v>2238</v>
      </c>
      <c r="C720" s="408" t="s">
        <v>2243</v>
      </c>
      <c r="D720" s="408" t="s">
        <v>597</v>
      </c>
      <c r="E720" s="408" t="s">
        <v>970</v>
      </c>
      <c r="F720" s="408" t="s">
        <v>1322</v>
      </c>
      <c r="G720" s="408" t="s">
        <v>1322</v>
      </c>
      <c r="H720" s="408" t="s">
        <v>1322</v>
      </c>
      <c r="I720" s="408" t="s">
        <v>1322</v>
      </c>
      <c r="J720" s="408" t="s">
        <v>2236</v>
      </c>
      <c r="K720" s="826">
        <v>44682</v>
      </c>
      <c r="L720" s="408">
        <v>691</v>
      </c>
      <c r="M720" s="408">
        <v>691</v>
      </c>
      <c r="N720" s="408">
        <v>0</v>
      </c>
      <c r="O720" s="408">
        <v>0</v>
      </c>
      <c r="P720" s="408">
        <v>0</v>
      </c>
      <c r="Q720" s="408">
        <v>0</v>
      </c>
      <c r="R720" s="408">
        <v>27.19</v>
      </c>
      <c r="S720" s="408"/>
      <c r="T720" s="408"/>
      <c r="U720" s="408">
        <v>18788.29</v>
      </c>
      <c r="V720" s="408"/>
      <c r="W720" s="408">
        <v>18788.29</v>
      </c>
      <c r="X720" s="408">
        <v>15036.160000000002</v>
      </c>
      <c r="Y720" s="408">
        <v>0</v>
      </c>
      <c r="Z720" s="408">
        <v>0</v>
      </c>
      <c r="AA720" s="408">
        <v>0</v>
      </c>
      <c r="AB720" s="408">
        <v>0</v>
      </c>
      <c r="AC720" s="408">
        <v>161.14162387844672</v>
      </c>
      <c r="AD720" s="408">
        <v>154.808074004963</v>
      </c>
      <c r="AE720" s="408">
        <v>16537.032898023215</v>
      </c>
      <c r="AF720" s="408"/>
      <c r="AG720" s="408"/>
      <c r="AH720" s="408"/>
      <c r="AI720" s="408">
        <v>0</v>
      </c>
      <c r="AJ720" s="408">
        <v>0</v>
      </c>
      <c r="AK720" s="408">
        <v>0</v>
      </c>
      <c r="AL720" s="408">
        <v>0</v>
      </c>
      <c r="AM720" s="408"/>
      <c r="AN720" s="408">
        <v>0</v>
      </c>
      <c r="AO720" s="408">
        <v>341.96541828351064</v>
      </c>
      <c r="AP720" s="408">
        <v>1594.8893905209397</v>
      </c>
      <c r="AQ720" s="408">
        <v>0</v>
      </c>
      <c r="AR720" s="408">
        <v>0</v>
      </c>
      <c r="AS720" s="408"/>
      <c r="AT720" s="408"/>
      <c r="AU720" s="408">
        <v>0</v>
      </c>
      <c r="AV720" s="408">
        <v>0</v>
      </c>
      <c r="AW720" s="408">
        <v>0</v>
      </c>
      <c r="AX720" s="408"/>
      <c r="AY720" s="408"/>
      <c r="AZ720" s="408">
        <v>0</v>
      </c>
      <c r="BA720" s="408"/>
      <c r="BB720" s="408">
        <v>0</v>
      </c>
      <c r="BC720" s="408">
        <v>0</v>
      </c>
      <c r="BD720" s="408">
        <v>0</v>
      </c>
      <c r="BE720" s="408">
        <v>0</v>
      </c>
      <c r="BF720" s="408"/>
      <c r="BG720" s="408">
        <v>0</v>
      </c>
      <c r="BH720" s="408">
        <v>0</v>
      </c>
      <c r="BI720" s="408">
        <v>24.4</v>
      </c>
      <c r="BJ720" s="408">
        <v>314.18</v>
      </c>
      <c r="BK720" s="408">
        <v>7739.31</v>
      </c>
      <c r="BL720" s="408">
        <v>6</v>
      </c>
      <c r="BM720" s="408"/>
      <c r="BN720" s="408"/>
      <c r="BO720" s="408"/>
      <c r="BP720" s="408"/>
      <c r="BQ720" s="408"/>
      <c r="BR720" s="408"/>
      <c r="BS720" s="408"/>
      <c r="BT720" s="408"/>
      <c r="BU720" s="408"/>
      <c r="BV720" s="408">
        <v>0</v>
      </c>
      <c r="BW720" s="408"/>
      <c r="BX720" s="408"/>
      <c r="BY720" s="408"/>
      <c r="BZ720" s="408"/>
      <c r="CA720" s="408"/>
      <c r="CB720" s="408"/>
      <c r="CC720" s="408"/>
      <c r="CD720" s="408"/>
      <c r="CE720" s="408"/>
      <c r="CF720" s="408"/>
      <c r="CG720" s="408"/>
      <c r="CH720" s="408"/>
      <c r="CI720" s="408">
        <v>15036.160000000002</v>
      </c>
      <c r="CJ720" s="408">
        <v>-3752.1599999999944</v>
      </c>
      <c r="CK720" s="408"/>
      <c r="CL720" s="408"/>
      <c r="CM720" s="408"/>
      <c r="CN720" s="408"/>
      <c r="CO720" s="408">
        <v>-3752.1299999999997</v>
      </c>
      <c r="CP720" s="408">
        <v>0</v>
      </c>
      <c r="CQ720" s="408">
        <v>31</v>
      </c>
      <c r="CR720" s="408">
        <v>352.40446435657577</v>
      </c>
      <c r="CS720" s="408">
        <v>34.07612300049027</v>
      </c>
      <c r="CT720" s="408">
        <v>158.92731878084624</v>
      </c>
      <c r="CU720" s="408">
        <v>0</v>
      </c>
      <c r="CV720" s="408">
        <v>0</v>
      </c>
      <c r="CW720" s="408"/>
      <c r="CX720" s="408"/>
      <c r="CY720" s="408"/>
      <c r="CZ720" s="408">
        <v>159.4010225752393</v>
      </c>
      <c r="DA720" s="408">
        <v>0</v>
      </c>
      <c r="DB720" s="408">
        <v>0</v>
      </c>
      <c r="DC720" s="408"/>
      <c r="DD720" s="408"/>
      <c r="DE720" s="408">
        <v>0</v>
      </c>
      <c r="DF720" s="408">
        <v>0</v>
      </c>
      <c r="DG720" s="408">
        <v>0</v>
      </c>
      <c r="DH720" s="408">
        <v>0</v>
      </c>
      <c r="DI720" s="408">
        <v>0</v>
      </c>
      <c r="DJ720" s="408"/>
      <c r="DK720" s="408">
        <v>0</v>
      </c>
      <c r="DL720" s="408">
        <v>0</v>
      </c>
      <c r="DM720" s="408"/>
      <c r="DN720" s="408">
        <v>0</v>
      </c>
      <c r="DO720" s="408">
        <v>0</v>
      </c>
      <c r="DP720" s="408">
        <v>0</v>
      </c>
      <c r="DQ720" s="408">
        <v>0</v>
      </c>
      <c r="DR720" s="408">
        <v>0</v>
      </c>
      <c r="DS720" s="408"/>
      <c r="DT720" s="408"/>
      <c r="DU720" s="408">
        <v>16537.032898023215</v>
      </c>
      <c r="DV720" s="408"/>
      <c r="DW720" s="408">
        <v>0</v>
      </c>
      <c r="DX720" s="408">
        <v>0</v>
      </c>
      <c r="DY720" s="408">
        <v>-3752.1299999999992</v>
      </c>
      <c r="DZ720" s="408"/>
      <c r="EA720" s="408">
        <v>0</v>
      </c>
      <c r="EB720" s="408"/>
      <c r="EC720" s="408">
        <v>-4108.0794823829947</v>
      </c>
      <c r="ED720" s="408"/>
      <c r="EE720" s="408">
        <v>0</v>
      </c>
      <c r="EF720" s="408">
        <v>0</v>
      </c>
      <c r="EG720" s="408"/>
      <c r="EH720" s="408">
        <v>0</v>
      </c>
      <c r="EI720" s="408">
        <v>0</v>
      </c>
      <c r="EJ720" s="408">
        <v>0</v>
      </c>
      <c r="EK720" s="408">
        <v>0</v>
      </c>
      <c r="EL720" s="408">
        <v>0</v>
      </c>
      <c r="EM720" s="408"/>
      <c r="EN720" s="408"/>
      <c r="EO720" s="408">
        <v>0</v>
      </c>
      <c r="EP720" s="408">
        <v>0</v>
      </c>
      <c r="EQ720" s="408"/>
      <c r="ER720" s="408">
        <v>0</v>
      </c>
      <c r="ES720" s="408"/>
      <c r="ET720" s="408">
        <v>0</v>
      </c>
      <c r="EU720" s="408"/>
      <c r="EV720" s="408">
        <v>240</v>
      </c>
      <c r="EW720" s="408"/>
      <c r="EX720" s="408"/>
      <c r="EY720" s="408"/>
      <c r="EZ720" s="408"/>
      <c r="FA720" s="408">
        <v>0</v>
      </c>
      <c r="FB720" s="408"/>
      <c r="FC720" s="408"/>
      <c r="FD720" s="408"/>
      <c r="FE720" s="408"/>
      <c r="FF720" s="408">
        <v>0</v>
      </c>
      <c r="FG720" s="408">
        <v>0</v>
      </c>
      <c r="FH720" s="408">
        <v>0</v>
      </c>
      <c r="FI720" s="408">
        <v>0</v>
      </c>
    </row>
    <row r="721" spans="1:165">
      <c r="A721" s="408">
        <v>719</v>
      </c>
      <c r="B721" s="408" t="s">
        <v>1036</v>
      </c>
      <c r="C721" s="408" t="s">
        <v>2316</v>
      </c>
      <c r="D721" s="408" t="s">
        <v>1958</v>
      </c>
      <c r="E721" s="408" t="s">
        <v>970</v>
      </c>
      <c r="F721" s="408" t="s">
        <v>1322</v>
      </c>
      <c r="G721" s="408" t="s">
        <v>1322</v>
      </c>
      <c r="H721" s="408" t="s">
        <v>1322</v>
      </c>
      <c r="I721" s="408" t="s">
        <v>973</v>
      </c>
      <c r="J721" s="408" t="s">
        <v>2236</v>
      </c>
      <c r="K721" s="826">
        <v>44682</v>
      </c>
      <c r="L721" s="408">
        <v>0</v>
      </c>
      <c r="M721" s="408">
        <v>0</v>
      </c>
      <c r="N721" s="408">
        <v>1.4999999999999999E-2</v>
      </c>
      <c r="O721" s="408">
        <v>1.4999999999999999E-2</v>
      </c>
      <c r="P721" s="408">
        <v>1.4999999999999999E-2</v>
      </c>
      <c r="Q721" s="408">
        <v>1.4999999999999999E-2</v>
      </c>
      <c r="R721" s="408"/>
      <c r="S721" s="408">
        <v>1553.42</v>
      </c>
      <c r="T721" s="408">
        <v>173.25</v>
      </c>
      <c r="U721" s="408"/>
      <c r="V721" s="408">
        <v>25.90005</v>
      </c>
      <c r="W721" s="408">
        <v>25.90005</v>
      </c>
      <c r="X721" s="408">
        <v>24.573599999999999</v>
      </c>
      <c r="Y721" s="408">
        <v>0</v>
      </c>
      <c r="Z721" s="408">
        <v>0.92317774799055596</v>
      </c>
      <c r="AA721" s="408">
        <v>0</v>
      </c>
      <c r="AB721" s="408">
        <v>0</v>
      </c>
      <c r="AC721" s="408">
        <v>1.626738690759105</v>
      </c>
      <c r="AD721" s="408">
        <v>0.11249430156210675</v>
      </c>
      <c r="AE721" s="408">
        <v>10.775818551637485</v>
      </c>
      <c r="AF721" s="408">
        <v>2.5551070587796949</v>
      </c>
      <c r="AG721" s="408">
        <v>4.3608502958118751E-2</v>
      </c>
      <c r="AH721" s="408">
        <v>0</v>
      </c>
      <c r="AI721" s="408">
        <v>0</v>
      </c>
      <c r="AJ721" s="408">
        <v>0</v>
      </c>
      <c r="AK721" s="408">
        <v>0</v>
      </c>
      <c r="AL721" s="408">
        <v>0.14263545415988113</v>
      </c>
      <c r="AM721" s="408"/>
      <c r="AN721" s="408">
        <v>1.8117850715440798E-2</v>
      </c>
      <c r="AO721" s="408">
        <v>4.7333094708037047</v>
      </c>
      <c r="AP721" s="408">
        <v>4.5990914172267896</v>
      </c>
      <c r="AQ721" s="408">
        <v>0</v>
      </c>
      <c r="AR721" s="408">
        <v>0</v>
      </c>
      <c r="AS721" s="408">
        <v>0</v>
      </c>
      <c r="AT721" s="408">
        <v>0</v>
      </c>
      <c r="AU721" s="408">
        <v>0</v>
      </c>
      <c r="AV721" s="408">
        <v>0</v>
      </c>
      <c r="AW721" s="408">
        <v>0</v>
      </c>
      <c r="AX721" s="408">
        <v>0</v>
      </c>
      <c r="AY721" s="408">
        <v>0</v>
      </c>
      <c r="AZ721" s="408">
        <v>0</v>
      </c>
      <c r="BA721" s="408"/>
      <c r="BB721" s="408">
        <v>0</v>
      </c>
      <c r="BC721" s="408">
        <v>0</v>
      </c>
      <c r="BD721" s="408">
        <v>0</v>
      </c>
      <c r="BE721" s="408">
        <v>0</v>
      </c>
      <c r="BF721" s="408">
        <v>0</v>
      </c>
      <c r="BG721" s="408">
        <v>0.13409687737553971</v>
      </c>
      <c r="BH721" s="408">
        <v>0</v>
      </c>
      <c r="BI721" s="408">
        <v>0</v>
      </c>
      <c r="BJ721" s="408">
        <v>0</v>
      </c>
      <c r="BK721" s="408">
        <v>0</v>
      </c>
      <c r="BL721" s="408">
        <v>0</v>
      </c>
      <c r="BM721" s="408"/>
      <c r="BN721" s="408"/>
      <c r="BO721" s="408"/>
      <c r="BP721" s="408"/>
      <c r="BQ721" s="408"/>
      <c r="BR721" s="408"/>
      <c r="BS721" s="408"/>
      <c r="BT721" s="408"/>
      <c r="BU721" s="408"/>
      <c r="BV721" s="408">
        <v>2.6892039361552347</v>
      </c>
      <c r="BW721" s="408"/>
      <c r="BX721" s="408"/>
      <c r="BY721" s="408"/>
      <c r="BZ721" s="408"/>
      <c r="CA721" s="408"/>
      <c r="CB721" s="408"/>
      <c r="CC721" s="408"/>
      <c r="CD721" s="408"/>
      <c r="CE721" s="408"/>
      <c r="CF721" s="408"/>
      <c r="CG721" s="408"/>
      <c r="CH721" s="408"/>
      <c r="CI721" s="408">
        <v>32.764800000000001</v>
      </c>
      <c r="CJ721" s="408">
        <v>6.8347499999999961</v>
      </c>
      <c r="CK721" s="408"/>
      <c r="CL721" s="408"/>
      <c r="CM721" s="408"/>
      <c r="CN721" s="408"/>
      <c r="CO721" s="408">
        <v>-1.6502999999999997</v>
      </c>
      <c r="CP721" s="408">
        <v>0.32385000000000003</v>
      </c>
      <c r="CQ721" s="408">
        <v>31</v>
      </c>
      <c r="CR721" s="408">
        <v>1.3504217828495388</v>
      </c>
      <c r="CS721" s="408">
        <v>0.47166417158817087</v>
      </c>
      <c r="CT721" s="408">
        <v>0.45828962943262486</v>
      </c>
      <c r="CU721" s="408">
        <v>0</v>
      </c>
      <c r="CV721" s="408">
        <v>0</v>
      </c>
      <c r="CW721" s="408">
        <v>0</v>
      </c>
      <c r="CX721" s="408">
        <v>0</v>
      </c>
      <c r="CY721" s="408">
        <v>0</v>
      </c>
      <c r="CZ721" s="408">
        <v>0.11583185707944522</v>
      </c>
      <c r="DA721" s="408">
        <v>0</v>
      </c>
      <c r="DB721" s="408">
        <v>0</v>
      </c>
      <c r="DC721" s="408">
        <v>0.32381343546223507</v>
      </c>
      <c r="DD721" s="408">
        <v>0</v>
      </c>
      <c r="DE721" s="408">
        <v>0</v>
      </c>
      <c r="DF721" s="408">
        <v>0</v>
      </c>
      <c r="DG721" s="408">
        <v>1.6994344874328299E-2</v>
      </c>
      <c r="DH721" s="408">
        <v>0</v>
      </c>
      <c r="DI721" s="408">
        <v>-3.1348195010787006E-2</v>
      </c>
      <c r="DJ721" s="408"/>
      <c r="DK721" s="408">
        <v>0</v>
      </c>
      <c r="DL721" s="408">
        <v>0</v>
      </c>
      <c r="DM721" s="408">
        <v>0</v>
      </c>
      <c r="DN721" s="408">
        <v>0</v>
      </c>
      <c r="DO721" s="408">
        <v>-4.3108806735158711E-3</v>
      </c>
      <c r="DP721" s="408">
        <v>-5.1257990296334904E-4</v>
      </c>
      <c r="DQ721" s="408">
        <v>0</v>
      </c>
      <c r="DR721" s="408">
        <v>0</v>
      </c>
      <c r="DS721" s="408"/>
      <c r="DT721" s="408"/>
      <c r="DU721" s="408"/>
      <c r="DV721" s="408">
        <v>10.775818551637485</v>
      </c>
      <c r="DW721" s="408">
        <v>0</v>
      </c>
      <c r="DX721" s="408">
        <v>0</v>
      </c>
      <c r="DY721" s="408">
        <v>-1.6503000000000014</v>
      </c>
      <c r="DZ721" s="408">
        <v>0.32385000000000019</v>
      </c>
      <c r="EA721" s="408">
        <v>0</v>
      </c>
      <c r="EB721" s="408">
        <v>0</v>
      </c>
      <c r="EC721" s="408">
        <v>-2.6768961137614955</v>
      </c>
      <c r="ED721" s="408">
        <v>0</v>
      </c>
      <c r="EE721" s="408">
        <v>0</v>
      </c>
      <c r="EF721" s="408">
        <v>0</v>
      </c>
      <c r="EG721" s="408">
        <v>0</v>
      </c>
      <c r="EH721" s="408">
        <v>0</v>
      </c>
      <c r="EI721" s="408">
        <v>0</v>
      </c>
      <c r="EJ721" s="408">
        <v>0</v>
      </c>
      <c r="EK721" s="408">
        <v>0</v>
      </c>
      <c r="EL721" s="408">
        <v>0</v>
      </c>
      <c r="EM721" s="408">
        <v>0</v>
      </c>
      <c r="EN721" s="408">
        <v>0</v>
      </c>
      <c r="EO721" s="408">
        <v>0</v>
      </c>
      <c r="EP721" s="408">
        <v>0.23576313189493051</v>
      </c>
      <c r="EQ721" s="408">
        <v>0</v>
      </c>
      <c r="ER721" s="408">
        <v>0</v>
      </c>
      <c r="ES721" s="408">
        <v>0</v>
      </c>
      <c r="ET721" s="408">
        <v>0</v>
      </c>
      <c r="EU721" s="408">
        <v>0</v>
      </c>
      <c r="EV721" s="408">
        <v>240</v>
      </c>
      <c r="EW721" s="408">
        <v>0</v>
      </c>
      <c r="EX721" s="408">
        <v>0</v>
      </c>
      <c r="EY721" s="408">
        <v>0</v>
      </c>
      <c r="EZ721" s="408"/>
      <c r="FA721" s="408">
        <v>0</v>
      </c>
      <c r="FB721" s="408"/>
      <c r="FC721" s="408"/>
      <c r="FD721" s="408"/>
      <c r="FE721" s="408"/>
      <c r="FF721" s="408">
        <v>0</v>
      </c>
      <c r="FG721" s="408">
        <v>0</v>
      </c>
      <c r="FH721" s="408">
        <v>0</v>
      </c>
      <c r="FI721" s="408">
        <v>0</v>
      </c>
    </row>
    <row r="722" spans="1:165">
      <c r="A722" s="408">
        <v>720</v>
      </c>
      <c r="B722" s="408" t="s">
        <v>1036</v>
      </c>
      <c r="C722" s="408" t="s">
        <v>2316</v>
      </c>
      <c r="D722" s="408" t="s">
        <v>1958</v>
      </c>
      <c r="E722" s="408" t="s">
        <v>970</v>
      </c>
      <c r="F722" s="408" t="s">
        <v>1322</v>
      </c>
      <c r="G722" s="408" t="s">
        <v>1322</v>
      </c>
      <c r="H722" s="408" t="s">
        <v>1322</v>
      </c>
      <c r="I722" s="408" t="s">
        <v>2244</v>
      </c>
      <c r="J722" s="408" t="s">
        <v>2236</v>
      </c>
      <c r="K722" s="826">
        <v>44682</v>
      </c>
      <c r="L722" s="408">
        <v>0</v>
      </c>
      <c r="M722" s="408">
        <v>0</v>
      </c>
      <c r="N722" s="408">
        <v>1.85</v>
      </c>
      <c r="O722" s="408">
        <v>1.85</v>
      </c>
      <c r="P722" s="408">
        <v>1.85</v>
      </c>
      <c r="Q722" s="408">
        <v>1.85</v>
      </c>
      <c r="R722" s="408"/>
      <c r="S722" s="408">
        <v>388.22</v>
      </c>
      <c r="T722" s="408">
        <v>173.25</v>
      </c>
      <c r="U722" s="408"/>
      <c r="V722" s="408">
        <v>1038.7195000000002</v>
      </c>
      <c r="W722" s="408">
        <v>1038.7195000000002</v>
      </c>
      <c r="X722" s="408">
        <v>1036.0554999999999</v>
      </c>
      <c r="Y722" s="408">
        <v>0</v>
      </c>
      <c r="Z722" s="408">
        <v>113.85858891883524</v>
      </c>
      <c r="AA722" s="408">
        <v>0</v>
      </c>
      <c r="AB722" s="408">
        <v>0</v>
      </c>
      <c r="AC722" s="408">
        <v>40.126221038724594</v>
      </c>
      <c r="AD722" s="408">
        <v>2.7748620348576716</v>
      </c>
      <c r="AE722" s="408">
        <v>265.80372350269664</v>
      </c>
      <c r="AF722" s="408">
        <v>315.12987058282908</v>
      </c>
      <c r="AG722" s="408">
        <v>5.3783820315013129</v>
      </c>
      <c r="AH722" s="408">
        <v>0</v>
      </c>
      <c r="AI722" s="408">
        <v>0</v>
      </c>
      <c r="AJ722" s="408">
        <v>0</v>
      </c>
      <c r="AK722" s="408">
        <v>0</v>
      </c>
      <c r="AL722" s="408">
        <v>17.591706013052008</v>
      </c>
      <c r="AM722" s="408"/>
      <c r="AN722" s="408">
        <v>2.234534921571032</v>
      </c>
      <c r="AO722" s="408">
        <v>116.75496694649139</v>
      </c>
      <c r="AP722" s="408">
        <v>113.44425495826083</v>
      </c>
      <c r="AQ722" s="408">
        <v>0</v>
      </c>
      <c r="AR722" s="408">
        <v>0</v>
      </c>
      <c r="AS722" s="408">
        <v>0</v>
      </c>
      <c r="AT722" s="408">
        <v>0</v>
      </c>
      <c r="AU722" s="408">
        <v>0</v>
      </c>
      <c r="AV722" s="408">
        <v>0</v>
      </c>
      <c r="AW722" s="408">
        <v>0</v>
      </c>
      <c r="AX722" s="408">
        <v>0</v>
      </c>
      <c r="AY722" s="408">
        <v>0</v>
      </c>
      <c r="AZ722" s="408">
        <v>0</v>
      </c>
      <c r="BA722" s="408"/>
      <c r="BB722" s="408">
        <v>0</v>
      </c>
      <c r="BC722" s="408">
        <v>0</v>
      </c>
      <c r="BD722" s="408">
        <v>0</v>
      </c>
      <c r="BE722" s="408">
        <v>0</v>
      </c>
      <c r="BF722" s="408">
        <v>0</v>
      </c>
      <c r="BG722" s="408">
        <v>16.538614876316565</v>
      </c>
      <c r="BH722" s="408">
        <v>0</v>
      </c>
      <c r="BI722" s="408">
        <v>0</v>
      </c>
      <c r="BJ722" s="408">
        <v>0</v>
      </c>
      <c r="BK722" s="408">
        <v>0</v>
      </c>
      <c r="BL722" s="408">
        <v>0</v>
      </c>
      <c r="BM722" s="408"/>
      <c r="BN722" s="408"/>
      <c r="BO722" s="408"/>
      <c r="BP722" s="408"/>
      <c r="BQ722" s="408"/>
      <c r="BR722" s="408"/>
      <c r="BS722" s="408"/>
      <c r="BT722" s="408"/>
      <c r="BU722" s="408"/>
      <c r="BV722" s="408">
        <v>331.66848545914564</v>
      </c>
      <c r="BW722" s="408"/>
      <c r="BX722" s="408"/>
      <c r="BY722" s="408"/>
      <c r="BZ722" s="408"/>
      <c r="CA722" s="408"/>
      <c r="CB722" s="408"/>
      <c r="CC722" s="408"/>
      <c r="CD722" s="408"/>
      <c r="CE722" s="408"/>
      <c r="CF722" s="408"/>
      <c r="CG722" s="408"/>
      <c r="CH722" s="408"/>
      <c r="CI722" s="408">
        <v>1036.0554999999999</v>
      </c>
      <c r="CJ722" s="408">
        <v>-2.6940000000001874</v>
      </c>
      <c r="CK722" s="408"/>
      <c r="CL722" s="408"/>
      <c r="CM722" s="408"/>
      <c r="CN722" s="408"/>
      <c r="CO722" s="408">
        <v>-42.605500000000056</v>
      </c>
      <c r="CP722" s="408">
        <v>39.941500000000005</v>
      </c>
      <c r="CQ722" s="408">
        <v>31</v>
      </c>
      <c r="CR722" s="408">
        <v>63.367837625574111</v>
      </c>
      <c r="CS722" s="408">
        <v>11.634382899174668</v>
      </c>
      <c r="CT722" s="408">
        <v>11.304477526004561</v>
      </c>
      <c r="CU722" s="408">
        <v>0</v>
      </c>
      <c r="CV722" s="408">
        <v>0</v>
      </c>
      <c r="CW722" s="408">
        <v>0</v>
      </c>
      <c r="CX722" s="408">
        <v>0</v>
      </c>
      <c r="CY722" s="408">
        <v>0</v>
      </c>
      <c r="CZ722" s="408">
        <v>2.8571884813148594</v>
      </c>
      <c r="DA722" s="408">
        <v>0</v>
      </c>
      <c r="DB722" s="408">
        <v>0</v>
      </c>
      <c r="DC722" s="408">
        <v>39.936990373675599</v>
      </c>
      <c r="DD722" s="408">
        <v>0</v>
      </c>
      <c r="DE722" s="408">
        <v>0</v>
      </c>
      <c r="DF722" s="408">
        <v>0</v>
      </c>
      <c r="DG722" s="408">
        <v>2.0959692011671578</v>
      </c>
      <c r="DH722" s="408">
        <v>0</v>
      </c>
      <c r="DI722" s="408">
        <v>-3.8662773846637322</v>
      </c>
      <c r="DJ722" s="408"/>
      <c r="DK722" s="408">
        <v>0</v>
      </c>
      <c r="DL722" s="408">
        <v>0</v>
      </c>
      <c r="DM722" s="408">
        <v>0</v>
      </c>
      <c r="DN722" s="408">
        <v>0</v>
      </c>
      <c r="DO722" s="408">
        <v>-0.53167528306695999</v>
      </c>
      <c r="DP722" s="408">
        <v>-6.3218188032146294E-2</v>
      </c>
      <c r="DQ722" s="408">
        <v>0</v>
      </c>
      <c r="DR722" s="408">
        <v>0</v>
      </c>
      <c r="DS722" s="408"/>
      <c r="DT722" s="408"/>
      <c r="DU722" s="408"/>
      <c r="DV722" s="408">
        <v>265.80372350269664</v>
      </c>
      <c r="DW722" s="408">
        <v>0</v>
      </c>
      <c r="DX722" s="408">
        <v>0</v>
      </c>
      <c r="DY722" s="408">
        <v>-42.60550000000012</v>
      </c>
      <c r="DZ722" s="408">
        <v>39.941500000000019</v>
      </c>
      <c r="EA722" s="408">
        <v>0</v>
      </c>
      <c r="EB722" s="408">
        <v>0</v>
      </c>
      <c r="EC722" s="408">
        <v>-66.030153631305893</v>
      </c>
      <c r="ED722" s="408">
        <v>0</v>
      </c>
      <c r="EE722" s="408">
        <v>0</v>
      </c>
      <c r="EF722" s="408">
        <v>0</v>
      </c>
      <c r="EG722" s="408">
        <v>0</v>
      </c>
      <c r="EH722" s="408">
        <v>0</v>
      </c>
      <c r="EI722" s="408">
        <v>0</v>
      </c>
      <c r="EJ722" s="408">
        <v>0</v>
      </c>
      <c r="EK722" s="408">
        <v>0</v>
      </c>
      <c r="EL722" s="408">
        <v>0</v>
      </c>
      <c r="EM722" s="408">
        <v>0</v>
      </c>
      <c r="EN722" s="408">
        <v>0</v>
      </c>
      <c r="EO722" s="408">
        <v>0</v>
      </c>
      <c r="EP722" s="408">
        <v>29.077452933708098</v>
      </c>
      <c r="EQ722" s="408">
        <v>0</v>
      </c>
      <c r="ER722" s="408">
        <v>0</v>
      </c>
      <c r="ES722" s="408">
        <v>0</v>
      </c>
      <c r="ET722" s="408">
        <v>0</v>
      </c>
      <c r="EU722" s="408">
        <v>0</v>
      </c>
      <c r="EV722" s="408">
        <v>240</v>
      </c>
      <c r="EW722" s="408">
        <v>0</v>
      </c>
      <c r="EX722" s="408">
        <v>0</v>
      </c>
      <c r="EY722" s="408">
        <v>0</v>
      </c>
      <c r="EZ722" s="408"/>
      <c r="FA722" s="408">
        <v>0</v>
      </c>
      <c r="FB722" s="408"/>
      <c r="FC722" s="408"/>
      <c r="FD722" s="408"/>
      <c r="FE722" s="408"/>
      <c r="FF722" s="408">
        <v>0</v>
      </c>
      <c r="FG722" s="408">
        <v>0</v>
      </c>
      <c r="FH722" s="408">
        <v>0</v>
      </c>
      <c r="FI722" s="408">
        <v>0</v>
      </c>
    </row>
    <row r="723" spans="1:165">
      <c r="A723" s="408">
        <v>721</v>
      </c>
      <c r="B723" s="408" t="s">
        <v>1036</v>
      </c>
      <c r="C723" s="408" t="s">
        <v>2316</v>
      </c>
      <c r="D723" s="408" t="s">
        <v>1958</v>
      </c>
      <c r="E723" s="408" t="s">
        <v>970</v>
      </c>
      <c r="F723" s="408" t="s">
        <v>1322</v>
      </c>
      <c r="G723" s="408" t="s">
        <v>1322</v>
      </c>
      <c r="H723" s="408" t="s">
        <v>1322</v>
      </c>
      <c r="I723" s="408" t="s">
        <v>1322</v>
      </c>
      <c r="J723" s="408" t="s">
        <v>2236</v>
      </c>
      <c r="K723" s="826">
        <v>44682</v>
      </c>
      <c r="L723" s="408">
        <v>0</v>
      </c>
      <c r="M723" s="408">
        <v>0</v>
      </c>
      <c r="N723" s="408">
        <v>0</v>
      </c>
      <c r="O723" s="408">
        <v>0</v>
      </c>
      <c r="P723" s="408">
        <v>0</v>
      </c>
      <c r="Q723" s="408">
        <v>0</v>
      </c>
      <c r="R723" s="408"/>
      <c r="S723" s="408"/>
      <c r="T723" s="408"/>
      <c r="U723" s="408"/>
      <c r="V723" s="408"/>
      <c r="W723" s="408"/>
      <c r="X723" s="408"/>
      <c r="Y723" s="408"/>
      <c r="Z723" s="408"/>
      <c r="AA723" s="408">
        <v>0</v>
      </c>
      <c r="AB723" s="408"/>
      <c r="AC723" s="408"/>
      <c r="AD723" s="408"/>
      <c r="AE723" s="408"/>
      <c r="AF723" s="408"/>
      <c r="AG723" s="408"/>
      <c r="AH723" s="408"/>
      <c r="AI723" s="408"/>
      <c r="AJ723" s="408"/>
      <c r="AK723" s="408"/>
      <c r="AL723" s="408"/>
      <c r="AM723" s="408"/>
      <c r="AN723" s="408"/>
      <c r="AO723" s="408"/>
      <c r="AP723" s="408"/>
      <c r="AQ723" s="408"/>
      <c r="AR723" s="408"/>
      <c r="AS723" s="408"/>
      <c r="AT723" s="408"/>
      <c r="AU723" s="408"/>
      <c r="AV723" s="408"/>
      <c r="AW723" s="408"/>
      <c r="AX723" s="408"/>
      <c r="AY723" s="408"/>
      <c r="AZ723" s="408">
        <v>0</v>
      </c>
      <c r="BA723" s="408"/>
      <c r="BB723" s="408"/>
      <c r="BC723" s="408"/>
      <c r="BD723" s="408"/>
      <c r="BE723" s="408"/>
      <c r="BF723" s="408"/>
      <c r="BG723" s="408"/>
      <c r="BH723" s="408"/>
      <c r="BI723" s="408">
        <v>0.82</v>
      </c>
      <c r="BJ723" s="408">
        <v>10.6</v>
      </c>
      <c r="BK723" s="408">
        <v>241.18</v>
      </c>
      <c r="BL723" s="408">
        <v>1</v>
      </c>
      <c r="BM723" s="408"/>
      <c r="BN723" s="408"/>
      <c r="BO723" s="408"/>
      <c r="BP723" s="408"/>
      <c r="BQ723" s="408"/>
      <c r="BR723" s="408"/>
      <c r="BS723" s="408"/>
      <c r="BT723" s="408"/>
      <c r="BU723" s="408"/>
      <c r="BV723" s="408"/>
      <c r="BW723" s="408"/>
      <c r="BX723" s="408"/>
      <c r="BY723" s="408"/>
      <c r="BZ723" s="408"/>
      <c r="CA723" s="408"/>
      <c r="CB723" s="408"/>
      <c r="CC723" s="408"/>
      <c r="CD723" s="408"/>
      <c r="CE723" s="408"/>
      <c r="CF723" s="408"/>
      <c r="CG723" s="408"/>
      <c r="CH723" s="408"/>
      <c r="CI723" s="408"/>
      <c r="CJ723" s="408">
        <v>-0.03</v>
      </c>
      <c r="CK723" s="408"/>
      <c r="CL723" s="408"/>
      <c r="CM723" s="408"/>
      <c r="CN723" s="408"/>
      <c r="CO723" s="408">
        <v>0</v>
      </c>
      <c r="CP723" s="408">
        <v>0</v>
      </c>
      <c r="CQ723" s="408">
        <v>31</v>
      </c>
      <c r="CR723" s="408"/>
      <c r="CS723" s="408"/>
      <c r="CT723" s="408"/>
      <c r="CU723" s="408"/>
      <c r="CV723" s="408"/>
      <c r="CW723" s="408"/>
      <c r="CX723" s="408"/>
      <c r="CY723" s="408"/>
      <c r="CZ723" s="408"/>
      <c r="DA723" s="408"/>
      <c r="DB723" s="408"/>
      <c r="DC723" s="408"/>
      <c r="DD723" s="408"/>
      <c r="DE723" s="408"/>
      <c r="DF723" s="408"/>
      <c r="DG723" s="408"/>
      <c r="DH723" s="408"/>
      <c r="DI723" s="408"/>
      <c r="DJ723" s="408"/>
      <c r="DK723" s="408">
        <v>0</v>
      </c>
      <c r="DL723" s="408"/>
      <c r="DM723" s="408"/>
      <c r="DN723" s="408"/>
      <c r="DO723" s="408"/>
      <c r="DP723" s="408"/>
      <c r="DQ723" s="408"/>
      <c r="DR723" s="408"/>
      <c r="DS723" s="408"/>
      <c r="DT723" s="408"/>
      <c r="DU723" s="408"/>
      <c r="DV723" s="408"/>
      <c r="DW723" s="408"/>
      <c r="DX723" s="408"/>
      <c r="DY723" s="408"/>
      <c r="DZ723" s="408"/>
      <c r="EA723" s="408"/>
      <c r="EB723" s="408"/>
      <c r="EC723" s="408"/>
      <c r="ED723" s="408"/>
      <c r="EE723" s="408"/>
      <c r="EF723" s="408"/>
      <c r="EG723" s="408"/>
      <c r="EH723" s="408"/>
      <c r="EI723" s="408"/>
      <c r="EJ723" s="408"/>
      <c r="EK723" s="408"/>
      <c r="EL723" s="408"/>
      <c r="EM723" s="408"/>
      <c r="EN723" s="408"/>
      <c r="EO723" s="408"/>
      <c r="EP723" s="408"/>
      <c r="EQ723" s="408"/>
      <c r="ER723" s="408"/>
      <c r="ES723" s="408"/>
      <c r="ET723" s="408"/>
      <c r="EU723" s="408"/>
      <c r="EV723" s="408">
        <v>240</v>
      </c>
      <c r="EW723" s="408"/>
      <c r="EX723" s="408"/>
      <c r="EY723" s="408"/>
      <c r="EZ723" s="408"/>
      <c r="FA723" s="408">
        <v>0</v>
      </c>
      <c r="FB723" s="408"/>
      <c r="FC723" s="408"/>
      <c r="FD723" s="408"/>
      <c r="FE723" s="408"/>
      <c r="FF723" s="408">
        <v>0</v>
      </c>
      <c r="FG723" s="408">
        <v>0</v>
      </c>
      <c r="FH723" s="408">
        <v>0</v>
      </c>
      <c r="FI723" s="408">
        <v>0</v>
      </c>
    </row>
    <row r="724" spans="1:165">
      <c r="A724" s="408">
        <v>722</v>
      </c>
      <c r="B724" s="408" t="s">
        <v>1036</v>
      </c>
      <c r="C724" s="408" t="s">
        <v>2316</v>
      </c>
      <c r="D724" s="408" t="s">
        <v>1958</v>
      </c>
      <c r="E724" s="408" t="s">
        <v>970</v>
      </c>
      <c r="F724" s="408" t="s">
        <v>1322</v>
      </c>
      <c r="G724" s="408" t="s">
        <v>1322</v>
      </c>
      <c r="H724" s="408" t="s">
        <v>1322</v>
      </c>
      <c r="I724" s="408" t="s">
        <v>2317</v>
      </c>
      <c r="J724" s="408" t="s">
        <v>2236</v>
      </c>
      <c r="K724" s="826">
        <v>44682</v>
      </c>
      <c r="L724" s="408">
        <v>0</v>
      </c>
      <c r="M724" s="408">
        <v>0</v>
      </c>
      <c r="N724" s="408">
        <v>9.6000000000000002E-2</v>
      </c>
      <c r="O724" s="408">
        <v>9.6000000000000002E-2</v>
      </c>
      <c r="P724" s="408">
        <v>9.6000000000000002E-2</v>
      </c>
      <c r="Q724" s="408">
        <v>9.6000000000000002E-2</v>
      </c>
      <c r="R724" s="408"/>
      <c r="S724" s="408">
        <v>970.82</v>
      </c>
      <c r="T724" s="408">
        <v>173.25</v>
      </c>
      <c r="U724" s="408"/>
      <c r="V724" s="408">
        <v>109.83072000000001</v>
      </c>
      <c r="W724" s="408">
        <v>109.83072000000001</v>
      </c>
      <c r="X724" s="408">
        <v>105.51648</v>
      </c>
      <c r="Y724" s="408">
        <v>0</v>
      </c>
      <c r="Z724" s="408">
        <v>5.9083375871395587</v>
      </c>
      <c r="AA724" s="408">
        <v>0</v>
      </c>
      <c r="AB724" s="408">
        <v>0</v>
      </c>
      <c r="AC724" s="408">
        <v>6.2466765725149731</v>
      </c>
      <c r="AD724" s="408">
        <v>0.43197852218324739</v>
      </c>
      <c r="AE724" s="408">
        <v>41.379153576656158</v>
      </c>
      <c r="AF724" s="408">
        <v>16.352685176190047</v>
      </c>
      <c r="AG724" s="408">
        <v>0.27909441893196002</v>
      </c>
      <c r="AH724" s="408">
        <v>0</v>
      </c>
      <c r="AI724" s="408">
        <v>0</v>
      </c>
      <c r="AJ724" s="408">
        <v>0</v>
      </c>
      <c r="AK724" s="408">
        <v>0</v>
      </c>
      <c r="AL724" s="408">
        <v>0.91286690662323933</v>
      </c>
      <c r="AM724" s="408"/>
      <c r="AN724" s="408">
        <v>0.11595424457882111</v>
      </c>
      <c r="AO724" s="408">
        <v>18.175908367886208</v>
      </c>
      <c r="AP724" s="408">
        <v>17.660511042150912</v>
      </c>
      <c r="AQ724" s="408">
        <v>0</v>
      </c>
      <c r="AR724" s="408">
        <v>0</v>
      </c>
      <c r="AS724" s="408">
        <v>0</v>
      </c>
      <c r="AT724" s="408">
        <v>0</v>
      </c>
      <c r="AU724" s="408">
        <v>0</v>
      </c>
      <c r="AV724" s="408">
        <v>0</v>
      </c>
      <c r="AW724" s="408">
        <v>0</v>
      </c>
      <c r="AX724" s="408">
        <v>0</v>
      </c>
      <c r="AY724" s="408">
        <v>0</v>
      </c>
      <c r="AZ724" s="408">
        <v>0</v>
      </c>
      <c r="BA724" s="408"/>
      <c r="BB724" s="408">
        <v>0</v>
      </c>
      <c r="BC724" s="408">
        <v>0</v>
      </c>
      <c r="BD724" s="408">
        <v>0</v>
      </c>
      <c r="BE724" s="408">
        <v>0</v>
      </c>
      <c r="BF724" s="408">
        <v>0</v>
      </c>
      <c r="BG724" s="408">
        <v>0.85822001520345415</v>
      </c>
      <c r="BH724" s="408">
        <v>0</v>
      </c>
      <c r="BI724" s="408">
        <v>0</v>
      </c>
      <c r="BJ724" s="408">
        <v>0</v>
      </c>
      <c r="BK724" s="408">
        <v>0</v>
      </c>
      <c r="BL724" s="408">
        <v>0</v>
      </c>
      <c r="BM724" s="408"/>
      <c r="BN724" s="408"/>
      <c r="BO724" s="408"/>
      <c r="BP724" s="408"/>
      <c r="BQ724" s="408"/>
      <c r="BR724" s="408"/>
      <c r="BS724" s="408"/>
      <c r="BT724" s="408"/>
      <c r="BU724" s="408"/>
      <c r="BV724" s="408">
        <v>17.210905191393501</v>
      </c>
      <c r="BW724" s="408"/>
      <c r="BX724" s="408"/>
      <c r="BY724" s="408"/>
      <c r="BZ724" s="408"/>
      <c r="CA724" s="408"/>
      <c r="CB724" s="408"/>
      <c r="CC724" s="408"/>
      <c r="CD724" s="408"/>
      <c r="CE724" s="408"/>
      <c r="CF724" s="408"/>
      <c r="CG724" s="408"/>
      <c r="CH724" s="408"/>
      <c r="CI724" s="408">
        <v>109.91300000000001</v>
      </c>
      <c r="CJ724" s="408">
        <v>5.2279999999981897E-2</v>
      </c>
      <c r="CK724" s="408"/>
      <c r="CL724" s="408"/>
      <c r="CM724" s="408"/>
      <c r="CN724" s="408"/>
      <c r="CO724" s="408">
        <v>-6.3868800000000086</v>
      </c>
      <c r="CP724" s="408">
        <v>2.0726400000000003</v>
      </c>
      <c r="CQ724" s="408">
        <v>31</v>
      </c>
      <c r="CR724" s="408">
        <v>5.9654885416767343</v>
      </c>
      <c r="CS724" s="408">
        <v>1.8111904188985939</v>
      </c>
      <c r="CT724" s="408">
        <v>1.7598321770211847</v>
      </c>
      <c r="CU724" s="408">
        <v>0</v>
      </c>
      <c r="CV724" s="408">
        <v>0</v>
      </c>
      <c r="CW724" s="408">
        <v>0</v>
      </c>
      <c r="CX724" s="408">
        <v>0</v>
      </c>
      <c r="CY724" s="408">
        <v>0</v>
      </c>
      <c r="CZ724" s="408">
        <v>0.44479474736145019</v>
      </c>
      <c r="DA724" s="408">
        <v>0</v>
      </c>
      <c r="DB724" s="408">
        <v>0</v>
      </c>
      <c r="DC724" s="408">
        <v>2.0724059869583051</v>
      </c>
      <c r="DD724" s="408">
        <v>0</v>
      </c>
      <c r="DE724" s="408">
        <v>0</v>
      </c>
      <c r="DF724" s="408">
        <v>0</v>
      </c>
      <c r="DG724" s="408">
        <v>0.10876380719570111</v>
      </c>
      <c r="DH724" s="408">
        <v>0</v>
      </c>
      <c r="DI724" s="408">
        <v>-0.20062844806903701</v>
      </c>
      <c r="DJ724" s="408"/>
      <c r="DK724" s="408">
        <v>0</v>
      </c>
      <c r="DL724" s="408">
        <v>0</v>
      </c>
      <c r="DM724" s="408">
        <v>0</v>
      </c>
      <c r="DN724" s="408">
        <v>0</v>
      </c>
      <c r="DO724" s="408">
        <v>-2.7589636310501708E-2</v>
      </c>
      <c r="DP724" s="408">
        <v>-3.2805113789654422E-3</v>
      </c>
      <c r="DQ724" s="408">
        <v>0</v>
      </c>
      <c r="DR724" s="408">
        <v>0</v>
      </c>
      <c r="DS724" s="408"/>
      <c r="DT724" s="408"/>
      <c r="DU724" s="408"/>
      <c r="DV724" s="408">
        <v>41.379153576656158</v>
      </c>
      <c r="DW724" s="408">
        <v>0</v>
      </c>
      <c r="DX724" s="408">
        <v>0</v>
      </c>
      <c r="DY724" s="408">
        <v>-6.386880000000005</v>
      </c>
      <c r="DZ724" s="408">
        <v>2.0726399999999998</v>
      </c>
      <c r="EA724" s="408">
        <v>0</v>
      </c>
      <c r="EB724" s="408">
        <v>0</v>
      </c>
      <c r="EC724" s="408">
        <v>-10.279283645070141</v>
      </c>
      <c r="ED724" s="408">
        <v>0</v>
      </c>
      <c r="EE724" s="408">
        <v>0</v>
      </c>
      <c r="EF724" s="408">
        <v>0</v>
      </c>
      <c r="EG724" s="408">
        <v>0</v>
      </c>
      <c r="EH724" s="408">
        <v>0</v>
      </c>
      <c r="EI724" s="408">
        <v>0</v>
      </c>
      <c r="EJ724" s="408">
        <v>0</v>
      </c>
      <c r="EK724" s="408">
        <v>0</v>
      </c>
      <c r="EL724" s="408">
        <v>0</v>
      </c>
      <c r="EM724" s="408">
        <v>0</v>
      </c>
      <c r="EN724" s="408">
        <v>0</v>
      </c>
      <c r="EO724" s="408">
        <v>0</v>
      </c>
      <c r="EP724" s="408">
        <v>1.5088840441275553</v>
      </c>
      <c r="EQ724" s="408">
        <v>0</v>
      </c>
      <c r="ER724" s="408">
        <v>0</v>
      </c>
      <c r="ES724" s="408">
        <v>0</v>
      </c>
      <c r="ET724" s="408">
        <v>0</v>
      </c>
      <c r="EU724" s="408">
        <v>0</v>
      </c>
      <c r="EV724" s="408">
        <v>240</v>
      </c>
      <c r="EW724" s="408">
        <v>0</v>
      </c>
      <c r="EX724" s="408">
        <v>0</v>
      </c>
      <c r="EY724" s="408">
        <v>0</v>
      </c>
      <c r="EZ724" s="408"/>
      <c r="FA724" s="408">
        <v>0</v>
      </c>
      <c r="FB724" s="408"/>
      <c r="FC724" s="408"/>
      <c r="FD724" s="408"/>
      <c r="FE724" s="408"/>
      <c r="FF724" s="408">
        <v>0</v>
      </c>
      <c r="FG724" s="408">
        <v>0</v>
      </c>
      <c r="FH724" s="408">
        <v>0</v>
      </c>
      <c r="FI724" s="408">
        <v>0</v>
      </c>
    </row>
    <row r="725" spans="1:165">
      <c r="A725" s="408">
        <v>723</v>
      </c>
      <c r="B725" s="408" t="s">
        <v>1036</v>
      </c>
      <c r="C725" s="408" t="s">
        <v>2235</v>
      </c>
      <c r="D725" s="408" t="s">
        <v>1958</v>
      </c>
      <c r="E725" s="408" t="s">
        <v>998</v>
      </c>
      <c r="F725" s="408" t="s">
        <v>1322</v>
      </c>
      <c r="G725" s="408" t="s">
        <v>1322</v>
      </c>
      <c r="H725" s="408" t="s">
        <v>1322</v>
      </c>
      <c r="I725" s="408" t="s">
        <v>1322</v>
      </c>
      <c r="J725" s="408" t="s">
        <v>2236</v>
      </c>
      <c r="K725" s="826">
        <v>44682</v>
      </c>
      <c r="L725" s="408">
        <v>0</v>
      </c>
      <c r="M725" s="408">
        <v>0</v>
      </c>
      <c r="N725" s="408">
        <v>2405.6149999999998</v>
      </c>
      <c r="O725" s="408">
        <v>2405.6149999999998</v>
      </c>
      <c r="P725" s="408">
        <v>2405.6149999999998</v>
      </c>
      <c r="Q725" s="408">
        <v>2405.6149999999998</v>
      </c>
      <c r="R725" s="408"/>
      <c r="S725" s="408">
        <v>368.24</v>
      </c>
      <c r="T725" s="408">
        <v>173.25</v>
      </c>
      <c r="U725" s="408"/>
      <c r="V725" s="408">
        <v>1302616.4663499999</v>
      </c>
      <c r="W725" s="408">
        <v>1302616.4663499999</v>
      </c>
      <c r="X725" s="408">
        <v>1224193.4173499998</v>
      </c>
      <c r="Y725" s="408">
        <v>0</v>
      </c>
      <c r="Z725" s="408">
        <v>148054.01588215341</v>
      </c>
      <c r="AA725" s="408">
        <v>0</v>
      </c>
      <c r="AB725" s="408">
        <v>0</v>
      </c>
      <c r="AC725" s="408">
        <v>6157.2614780177728</v>
      </c>
      <c r="AD725" s="408">
        <v>5915.7475881160099</v>
      </c>
      <c r="AE725" s="408">
        <v>566611.59475395491</v>
      </c>
      <c r="AF725" s="408">
        <v>409773.59114708769</v>
      </c>
      <c r="AG725" s="408">
        <v>6993.6845895729894</v>
      </c>
      <c r="AH725" s="408">
        <v>0</v>
      </c>
      <c r="AI725" s="408">
        <v>0</v>
      </c>
      <c r="AJ725" s="408">
        <v>0</v>
      </c>
      <c r="AK725" s="408">
        <v>0</v>
      </c>
      <c r="AL725" s="408">
        <v>22875.065870588165</v>
      </c>
      <c r="AM725" s="408"/>
      <c r="AN725" s="408">
        <v>2905.6382299216743</v>
      </c>
      <c r="AO725" s="408">
        <v>13070.657830590149</v>
      </c>
      <c r="AP725" s="408">
        <v>60946.549189576581</v>
      </c>
      <c r="AQ725" s="408">
        <v>0</v>
      </c>
      <c r="AR725" s="408">
        <v>0</v>
      </c>
      <c r="AS725" s="408">
        <v>0</v>
      </c>
      <c r="AT725" s="408">
        <v>0</v>
      </c>
      <c r="AU725" s="408">
        <v>0</v>
      </c>
      <c r="AV725" s="408">
        <v>0</v>
      </c>
      <c r="AW725" s="408">
        <v>0</v>
      </c>
      <c r="AX725" s="408">
        <v>0</v>
      </c>
      <c r="AY725" s="408">
        <v>0</v>
      </c>
      <c r="AZ725" s="408">
        <v>0</v>
      </c>
      <c r="BA725" s="408"/>
      <c r="BB725" s="408">
        <v>0</v>
      </c>
      <c r="BC725" s="408">
        <v>0</v>
      </c>
      <c r="BD725" s="408">
        <v>0</v>
      </c>
      <c r="BE725" s="408">
        <v>0</v>
      </c>
      <c r="BF725" s="408">
        <v>0</v>
      </c>
      <c r="BG725" s="408">
        <v>21505.697311183929</v>
      </c>
      <c r="BH725" s="408">
        <v>0</v>
      </c>
      <c r="BI725" s="408">
        <v>860.44</v>
      </c>
      <c r="BJ725" s="408">
        <v>11327.41</v>
      </c>
      <c r="BK725" s="408">
        <v>419609.37</v>
      </c>
      <c r="BL725" s="408">
        <v>4327</v>
      </c>
      <c r="BM725" s="408"/>
      <c r="BN725" s="408"/>
      <c r="BO725" s="408"/>
      <c r="BP725" s="408"/>
      <c r="BQ725" s="408"/>
      <c r="BR725" s="408"/>
      <c r="BS725" s="408"/>
      <c r="BT725" s="408"/>
      <c r="BU725" s="408"/>
      <c r="BV725" s="408">
        <v>431279.28845827159</v>
      </c>
      <c r="BW725" s="408"/>
      <c r="BX725" s="408"/>
      <c r="BY725" s="408"/>
      <c r="BZ725" s="408"/>
      <c r="CA725" s="408"/>
      <c r="CB725" s="408"/>
      <c r="CC725" s="408"/>
      <c r="CD725" s="408"/>
      <c r="CE725" s="408"/>
      <c r="CF725" s="408"/>
      <c r="CG725" s="408"/>
      <c r="CH725" s="408"/>
      <c r="CI725" s="408">
        <v>1224195.9617999999</v>
      </c>
      <c r="CJ725" s="408">
        <v>-78420.534549999982</v>
      </c>
      <c r="CK725" s="408"/>
      <c r="CL725" s="408"/>
      <c r="CM725" s="408"/>
      <c r="CN725" s="408"/>
      <c r="CO725" s="408">
        <v>-130360.27684999998</v>
      </c>
      <c r="CP725" s="408">
        <v>51937.227850000003</v>
      </c>
      <c r="CQ725" s="408">
        <v>31</v>
      </c>
      <c r="CR725" s="408">
        <v>62322.731797376182</v>
      </c>
      <c r="CS725" s="408">
        <v>1302.4631150371224</v>
      </c>
      <c r="CT725" s="408">
        <v>6073.193356989279</v>
      </c>
      <c r="CU725" s="408">
        <v>0</v>
      </c>
      <c r="CV725" s="408">
        <v>0</v>
      </c>
      <c r="CW725" s="408">
        <v>0</v>
      </c>
      <c r="CX725" s="408">
        <v>0</v>
      </c>
      <c r="CY725" s="408">
        <v>0</v>
      </c>
      <c r="CZ725" s="408">
        <v>6091.2599094312409</v>
      </c>
      <c r="DA725" s="408">
        <v>0</v>
      </c>
      <c r="DB725" s="408">
        <v>0</v>
      </c>
      <c r="DC725" s="408">
        <v>51931.363836632285</v>
      </c>
      <c r="DD725" s="408">
        <v>0</v>
      </c>
      <c r="DE725" s="408">
        <v>0</v>
      </c>
      <c r="DF725" s="408">
        <v>0</v>
      </c>
      <c r="DG725" s="408">
        <v>2725.4567296571513</v>
      </c>
      <c r="DH725" s="408">
        <v>0</v>
      </c>
      <c r="DI725" s="408">
        <v>-5027.4458760583075</v>
      </c>
      <c r="DJ725" s="408"/>
      <c r="DK725" s="408">
        <v>0</v>
      </c>
      <c r="DL725" s="408">
        <v>0</v>
      </c>
      <c r="DM725" s="408">
        <v>0</v>
      </c>
      <c r="DN725" s="408">
        <v>0</v>
      </c>
      <c r="DO725" s="408">
        <v>-691.3546140946637</v>
      </c>
      <c r="DP725" s="408">
        <v>-82.204660217812034</v>
      </c>
      <c r="DQ725" s="408">
        <v>0</v>
      </c>
      <c r="DR725" s="408">
        <v>0</v>
      </c>
      <c r="DS725" s="408"/>
      <c r="DT725" s="408"/>
      <c r="DU725" s="408"/>
      <c r="DV725" s="408">
        <v>566611.59475395491</v>
      </c>
      <c r="DW725" s="408">
        <v>0</v>
      </c>
      <c r="DX725" s="408">
        <v>0</v>
      </c>
      <c r="DY725" s="408">
        <v>-130360.27685000002</v>
      </c>
      <c r="DZ725" s="408">
        <v>51937.227850000025</v>
      </c>
      <c r="EA725" s="408">
        <v>0</v>
      </c>
      <c r="EB725" s="408">
        <v>0</v>
      </c>
      <c r="EC725" s="408">
        <v>-140755.93132352695</v>
      </c>
      <c r="ED725" s="408">
        <v>0</v>
      </c>
      <c r="EE725" s="408">
        <v>0</v>
      </c>
      <c r="EF725" s="408">
        <v>0</v>
      </c>
      <c r="EG725" s="408">
        <v>0</v>
      </c>
      <c r="EH725" s="408">
        <v>0</v>
      </c>
      <c r="EI725" s="408">
        <v>0</v>
      </c>
      <c r="EJ725" s="408">
        <v>0</v>
      </c>
      <c r="EK725" s="408">
        <v>0</v>
      </c>
      <c r="EL725" s="408">
        <v>0</v>
      </c>
      <c r="EM725" s="408">
        <v>0</v>
      </c>
      <c r="EN725" s="408">
        <v>0</v>
      </c>
      <c r="EO725" s="408">
        <v>0</v>
      </c>
      <c r="EP725" s="408">
        <v>37810.355102228212</v>
      </c>
      <c r="EQ725" s="408">
        <v>0</v>
      </c>
      <c r="ER725" s="408">
        <v>0</v>
      </c>
      <c r="ES725" s="408">
        <v>0</v>
      </c>
      <c r="ET725" s="408">
        <v>0</v>
      </c>
      <c r="EU725" s="408">
        <v>0</v>
      </c>
      <c r="EV725" s="408">
        <v>240</v>
      </c>
      <c r="EW725" s="408">
        <v>0</v>
      </c>
      <c r="EX725" s="408">
        <v>0</v>
      </c>
      <c r="EY725" s="408">
        <v>0</v>
      </c>
      <c r="EZ725" s="408"/>
      <c r="FA725" s="408">
        <v>0</v>
      </c>
      <c r="FB725" s="408"/>
      <c r="FC725" s="408"/>
      <c r="FD725" s="408"/>
      <c r="FE725" s="408"/>
      <c r="FF725" s="408">
        <v>0</v>
      </c>
      <c r="FG725" s="408">
        <v>0</v>
      </c>
      <c r="FH725" s="408">
        <v>0</v>
      </c>
      <c r="FI725" s="408">
        <v>0</v>
      </c>
    </row>
    <row r="726" spans="1:165">
      <c r="A726" s="408">
        <v>724</v>
      </c>
      <c r="B726" s="408" t="s">
        <v>2237</v>
      </c>
      <c r="C726" s="408" t="s">
        <v>2235</v>
      </c>
      <c r="D726" s="408" t="s">
        <v>1958</v>
      </c>
      <c r="E726" s="408" t="s">
        <v>998</v>
      </c>
      <c r="F726" s="408" t="s">
        <v>1322</v>
      </c>
      <c r="G726" s="408" t="s">
        <v>1322</v>
      </c>
      <c r="H726" s="408" t="s">
        <v>1322</v>
      </c>
      <c r="I726" s="408" t="s">
        <v>1322</v>
      </c>
      <c r="J726" s="408" t="s">
        <v>2236</v>
      </c>
      <c r="K726" s="826">
        <v>44682</v>
      </c>
      <c r="L726" s="408">
        <v>0</v>
      </c>
      <c r="M726" s="408">
        <v>0</v>
      </c>
      <c r="N726" s="408">
        <v>-3.6579999999999999</v>
      </c>
      <c r="O726" s="408">
        <v>-3.6579999999999999</v>
      </c>
      <c r="P726" s="408">
        <v>-3.6579999999999999</v>
      </c>
      <c r="Q726" s="408">
        <v>-3.6579999999999999</v>
      </c>
      <c r="R726" s="408"/>
      <c r="S726" s="408">
        <v>368.24</v>
      </c>
      <c r="T726" s="408">
        <v>173.25</v>
      </c>
      <c r="U726" s="408"/>
      <c r="V726" s="408">
        <v>-1980.7704199999998</v>
      </c>
      <c r="W726" s="408">
        <v>-1980.7704199999998</v>
      </c>
      <c r="X726" s="408">
        <v>-1861.51962</v>
      </c>
      <c r="Y726" s="408">
        <v>0</v>
      </c>
      <c r="Z726" s="408">
        <v>-225.13228014329692</v>
      </c>
      <c r="AA726" s="408">
        <v>0</v>
      </c>
      <c r="AB726" s="408">
        <v>0</v>
      </c>
      <c r="AC726" s="408">
        <v>-9.3627876807340389</v>
      </c>
      <c r="AD726" s="408">
        <v>-8.9955394680064629</v>
      </c>
      <c r="AE726" s="408">
        <v>-861.59473299342051</v>
      </c>
      <c r="AF726" s="408">
        <v>-623.10544140107493</v>
      </c>
      <c r="AG726" s="408">
        <v>-10.634660254719893</v>
      </c>
      <c r="AH726" s="408">
        <v>0</v>
      </c>
      <c r="AI726" s="408">
        <v>0</v>
      </c>
      <c r="AJ726" s="408">
        <v>0</v>
      </c>
      <c r="AK726" s="408">
        <v>0</v>
      </c>
      <c r="AL726" s="408">
        <v>-34.784032754456348</v>
      </c>
      <c r="AM726" s="408"/>
      <c r="AN726" s="408">
        <v>-4.4183398611388291</v>
      </c>
      <c r="AO726" s="408">
        <v>-19.875360913653587</v>
      </c>
      <c r="AP726" s="408">
        <v>-92.675875788715629</v>
      </c>
      <c r="AQ726" s="408">
        <v>0</v>
      </c>
      <c r="AR726" s="408">
        <v>0</v>
      </c>
      <c r="AS726" s="408">
        <v>0</v>
      </c>
      <c r="AT726" s="408">
        <v>0</v>
      </c>
      <c r="AU726" s="408">
        <v>0</v>
      </c>
      <c r="AV726" s="408">
        <v>0</v>
      </c>
      <c r="AW726" s="408">
        <v>0</v>
      </c>
      <c r="AX726" s="408">
        <v>0</v>
      </c>
      <c r="AY726" s="408">
        <v>0</v>
      </c>
      <c r="AZ726" s="408">
        <v>0</v>
      </c>
      <c r="BA726" s="408"/>
      <c r="BB726" s="408">
        <v>0</v>
      </c>
      <c r="BC726" s="408">
        <v>0</v>
      </c>
      <c r="BD726" s="408">
        <v>0</v>
      </c>
      <c r="BE726" s="408">
        <v>0</v>
      </c>
      <c r="BF726" s="408">
        <v>0</v>
      </c>
      <c r="BG726" s="408">
        <v>-32.701758495981615</v>
      </c>
      <c r="BH726" s="408">
        <v>0</v>
      </c>
      <c r="BI726" s="408">
        <v>-1.67</v>
      </c>
      <c r="BJ726" s="408">
        <v>-14.51</v>
      </c>
      <c r="BK726" s="408">
        <v>-799.06</v>
      </c>
      <c r="BL726" s="408">
        <v>0</v>
      </c>
      <c r="BM726" s="408"/>
      <c r="BN726" s="408"/>
      <c r="BO726" s="408"/>
      <c r="BP726" s="408"/>
      <c r="BQ726" s="408"/>
      <c r="BR726" s="408"/>
      <c r="BS726" s="408"/>
      <c r="BT726" s="408"/>
      <c r="BU726" s="408"/>
      <c r="BV726" s="408">
        <v>-655.80719989705653</v>
      </c>
      <c r="BW726" s="408"/>
      <c r="BX726" s="408"/>
      <c r="BY726" s="408"/>
      <c r="BZ726" s="408"/>
      <c r="CA726" s="408"/>
      <c r="CB726" s="408"/>
      <c r="CC726" s="408"/>
      <c r="CD726" s="408"/>
      <c r="CE726" s="408"/>
      <c r="CF726" s="408"/>
      <c r="CG726" s="408"/>
      <c r="CH726" s="408"/>
      <c r="CI726" s="408">
        <v>-1862.5374000000002</v>
      </c>
      <c r="CJ726" s="408">
        <v>118.2030199999997</v>
      </c>
      <c r="CK726" s="408"/>
      <c r="CL726" s="408"/>
      <c r="CM726" s="408"/>
      <c r="CN726" s="408"/>
      <c r="CO726" s="408">
        <v>198.22701999999998</v>
      </c>
      <c r="CP726" s="408">
        <v>-78.976220000000012</v>
      </c>
      <c r="CQ726" s="408">
        <v>31</v>
      </c>
      <c r="CR726" s="408">
        <v>-94.768511551018264</v>
      </c>
      <c r="CS726" s="408">
        <v>-1.9805372326019679</v>
      </c>
      <c r="CT726" s="408">
        <v>-9.2349529329783735</v>
      </c>
      <c r="CU726" s="408">
        <v>0</v>
      </c>
      <c r="CV726" s="408">
        <v>0</v>
      </c>
      <c r="CW726" s="408">
        <v>0</v>
      </c>
      <c r="CX726" s="408">
        <v>0</v>
      </c>
      <c r="CY726" s="408">
        <v>0</v>
      </c>
      <c r="CZ726" s="408">
        <v>-9.2624250965759174</v>
      </c>
      <c r="DA726" s="408">
        <v>0</v>
      </c>
      <c r="DB726" s="408">
        <v>0</v>
      </c>
      <c r="DC726" s="408">
        <v>-78.967303128056983</v>
      </c>
      <c r="DD726" s="408">
        <v>0</v>
      </c>
      <c r="DE726" s="408">
        <v>0</v>
      </c>
      <c r="DF726" s="408">
        <v>0</v>
      </c>
      <c r="DG726" s="408">
        <v>-4.1443542366861976</v>
      </c>
      <c r="DH726" s="408">
        <v>0</v>
      </c>
      <c r="DI726" s="408">
        <v>7.6447798232972843</v>
      </c>
      <c r="DJ726" s="408"/>
      <c r="DK726" s="408">
        <v>0</v>
      </c>
      <c r="DL726" s="408">
        <v>0</v>
      </c>
      <c r="DM726" s="408">
        <v>0</v>
      </c>
      <c r="DN726" s="408">
        <v>0</v>
      </c>
      <c r="DO726" s="408">
        <v>1.0512801002480714</v>
      </c>
      <c r="DP726" s="408">
        <v>0.12500115233599551</v>
      </c>
      <c r="DQ726" s="408">
        <v>0</v>
      </c>
      <c r="DR726" s="408">
        <v>0</v>
      </c>
      <c r="DS726" s="408"/>
      <c r="DT726" s="408"/>
      <c r="DU726" s="408"/>
      <c r="DV726" s="408">
        <v>-861.59473299342051</v>
      </c>
      <c r="DW726" s="408">
        <v>0</v>
      </c>
      <c r="DX726" s="408">
        <v>0</v>
      </c>
      <c r="DY726" s="408">
        <v>198.22701999999981</v>
      </c>
      <c r="DZ726" s="408">
        <v>-78.976220000000012</v>
      </c>
      <c r="EA726" s="408">
        <v>0</v>
      </c>
      <c r="EB726" s="408">
        <v>0</v>
      </c>
      <c r="EC726" s="408">
        <v>214.03474653319904</v>
      </c>
      <c r="ED726" s="408">
        <v>0</v>
      </c>
      <c r="EE726" s="408">
        <v>0</v>
      </c>
      <c r="EF726" s="408">
        <v>0</v>
      </c>
      <c r="EG726" s="408">
        <v>0</v>
      </c>
      <c r="EH726" s="408">
        <v>0</v>
      </c>
      <c r="EI726" s="408">
        <v>0</v>
      </c>
      <c r="EJ726" s="408">
        <v>0</v>
      </c>
      <c r="EK726" s="408">
        <v>0</v>
      </c>
      <c r="EL726" s="408">
        <v>0</v>
      </c>
      <c r="EM726" s="408">
        <v>0</v>
      </c>
      <c r="EN726" s="408">
        <v>0</v>
      </c>
      <c r="EO726" s="408">
        <v>0</v>
      </c>
      <c r="EP726" s="408">
        <v>-57.494769098110382</v>
      </c>
      <c r="EQ726" s="408">
        <v>0</v>
      </c>
      <c r="ER726" s="408">
        <v>0</v>
      </c>
      <c r="ES726" s="408">
        <v>0</v>
      </c>
      <c r="ET726" s="408">
        <v>0</v>
      </c>
      <c r="EU726" s="408">
        <v>0</v>
      </c>
      <c r="EV726" s="408">
        <v>240</v>
      </c>
      <c r="EW726" s="408">
        <v>0</v>
      </c>
      <c r="EX726" s="408">
        <v>0</v>
      </c>
      <c r="EY726" s="408">
        <v>0</v>
      </c>
      <c r="EZ726" s="408"/>
      <c r="FA726" s="408">
        <v>0</v>
      </c>
      <c r="FB726" s="408"/>
      <c r="FC726" s="408"/>
      <c r="FD726" s="408"/>
      <c r="FE726" s="408"/>
      <c r="FF726" s="408">
        <v>0</v>
      </c>
      <c r="FG726" s="408">
        <v>0</v>
      </c>
      <c r="FH726" s="408">
        <v>0</v>
      </c>
      <c r="FI726" s="408">
        <v>0</v>
      </c>
    </row>
    <row r="727" spans="1:165">
      <c r="A727" s="408">
        <v>725</v>
      </c>
      <c r="B727" s="408" t="s">
        <v>2238</v>
      </c>
      <c r="C727" s="408" t="s">
        <v>2235</v>
      </c>
      <c r="D727" s="408" t="s">
        <v>1958</v>
      </c>
      <c r="E727" s="408" t="s">
        <v>998</v>
      </c>
      <c r="F727" s="408" t="s">
        <v>1322</v>
      </c>
      <c r="G727" s="408" t="s">
        <v>1322</v>
      </c>
      <c r="H727" s="408" t="s">
        <v>1322</v>
      </c>
      <c r="I727" s="408" t="s">
        <v>1322</v>
      </c>
      <c r="J727" s="408" t="s">
        <v>2236</v>
      </c>
      <c r="K727" s="826">
        <v>44682</v>
      </c>
      <c r="L727" s="408">
        <v>0</v>
      </c>
      <c r="M727" s="408">
        <v>0</v>
      </c>
      <c r="N727" s="408">
        <v>214.02699999999999</v>
      </c>
      <c r="O727" s="408">
        <v>214.02699999999999</v>
      </c>
      <c r="P727" s="408">
        <v>214.02699999999999</v>
      </c>
      <c r="Q727" s="408">
        <v>214.02699999999999</v>
      </c>
      <c r="R727" s="408"/>
      <c r="S727" s="408">
        <v>368.24</v>
      </c>
      <c r="T727" s="408">
        <v>173.25</v>
      </c>
      <c r="U727" s="408"/>
      <c r="V727" s="408">
        <v>115893.48022999999</v>
      </c>
      <c r="W727" s="408">
        <v>115893.48022999999</v>
      </c>
      <c r="X727" s="408">
        <v>108916.20002999999</v>
      </c>
      <c r="Y727" s="408">
        <v>0</v>
      </c>
      <c r="Z727" s="408">
        <v>13172.330924611648</v>
      </c>
      <c r="AA727" s="408">
        <v>0</v>
      </c>
      <c r="AB727" s="408">
        <v>0</v>
      </c>
      <c r="AC727" s="408">
        <v>547.81010359334721</v>
      </c>
      <c r="AD727" s="408">
        <v>526.32266968808608</v>
      </c>
      <c r="AE727" s="408">
        <v>50411.300141712083</v>
      </c>
      <c r="AF727" s="408">
        <v>36457.459897962784</v>
      </c>
      <c r="AG727" s="408">
        <v>622.22647084115215</v>
      </c>
      <c r="AH727" s="408">
        <v>0</v>
      </c>
      <c r="AI727" s="408">
        <v>0</v>
      </c>
      <c r="AJ727" s="408">
        <v>0</v>
      </c>
      <c r="AK727" s="408">
        <v>0</v>
      </c>
      <c r="AL727" s="408">
        <v>2035.1892231651254</v>
      </c>
      <c r="AM727" s="408"/>
      <c r="AN727" s="408">
        <v>258.51394900490982</v>
      </c>
      <c r="AO727" s="408">
        <v>1162.893348897358</v>
      </c>
      <c r="AP727" s="408">
        <v>5422.4001277833349</v>
      </c>
      <c r="AQ727" s="408">
        <v>0</v>
      </c>
      <c r="AR727" s="408">
        <v>0</v>
      </c>
      <c r="AS727" s="408">
        <v>0</v>
      </c>
      <c r="AT727" s="408">
        <v>0</v>
      </c>
      <c r="AU727" s="408">
        <v>0</v>
      </c>
      <c r="AV727" s="408">
        <v>0</v>
      </c>
      <c r="AW727" s="408">
        <v>0</v>
      </c>
      <c r="AX727" s="408">
        <v>0</v>
      </c>
      <c r="AY727" s="408">
        <v>0</v>
      </c>
      <c r="AZ727" s="408">
        <v>0</v>
      </c>
      <c r="BA727" s="408"/>
      <c r="BB727" s="408">
        <v>0</v>
      </c>
      <c r="BC727" s="408">
        <v>0</v>
      </c>
      <c r="BD727" s="408">
        <v>0</v>
      </c>
      <c r="BE727" s="408">
        <v>0</v>
      </c>
      <c r="BF727" s="408">
        <v>0</v>
      </c>
      <c r="BG727" s="408">
        <v>1913.3568249369757</v>
      </c>
      <c r="BH727" s="408">
        <v>0</v>
      </c>
      <c r="BI727" s="408">
        <v>76.89</v>
      </c>
      <c r="BJ727" s="408">
        <v>1012.77</v>
      </c>
      <c r="BK727" s="408">
        <v>67383.69</v>
      </c>
      <c r="BL727" s="408">
        <v>357</v>
      </c>
      <c r="BM727" s="408"/>
      <c r="BN727" s="408"/>
      <c r="BO727" s="408"/>
      <c r="BP727" s="408"/>
      <c r="BQ727" s="408"/>
      <c r="BR727" s="408"/>
      <c r="BS727" s="408"/>
      <c r="BT727" s="408"/>
      <c r="BU727" s="408"/>
      <c r="BV727" s="408">
        <v>38370.816722899763</v>
      </c>
      <c r="BW727" s="408"/>
      <c r="BX727" s="408"/>
      <c r="BY727" s="408"/>
      <c r="BZ727" s="408"/>
      <c r="CA727" s="408"/>
      <c r="CB727" s="408"/>
      <c r="CC727" s="408"/>
      <c r="CD727" s="408"/>
      <c r="CE727" s="408"/>
      <c r="CF727" s="408"/>
      <c r="CG727" s="408"/>
      <c r="CH727" s="408"/>
      <c r="CI727" s="408">
        <v>108917.7267</v>
      </c>
      <c r="CJ727" s="408">
        <v>-6975.7835299999715</v>
      </c>
      <c r="CK727" s="408"/>
      <c r="CL727" s="408"/>
      <c r="CM727" s="408"/>
      <c r="CN727" s="408"/>
      <c r="CO727" s="408">
        <v>-11598.123129999998</v>
      </c>
      <c r="CP727" s="408">
        <v>4620.8429300000007</v>
      </c>
      <c r="CQ727" s="408">
        <v>31</v>
      </c>
      <c r="CR727" s="408">
        <v>5544.8387702924374</v>
      </c>
      <c r="CS727" s="408">
        <v>115.87983659980932</v>
      </c>
      <c r="CT727" s="408">
        <v>540.33058266445187</v>
      </c>
      <c r="CU727" s="408">
        <v>0</v>
      </c>
      <c r="CV727" s="408">
        <v>0</v>
      </c>
      <c r="CW727" s="408">
        <v>0</v>
      </c>
      <c r="CX727" s="408">
        <v>0</v>
      </c>
      <c r="CY727" s="408">
        <v>0</v>
      </c>
      <c r="CZ727" s="408">
        <v>541.93795958033206</v>
      </c>
      <c r="DA727" s="408">
        <v>0</v>
      </c>
      <c r="DB727" s="408">
        <v>0</v>
      </c>
      <c r="DC727" s="408">
        <v>4620.3212101117169</v>
      </c>
      <c r="DD727" s="408">
        <v>0</v>
      </c>
      <c r="DE727" s="408">
        <v>0</v>
      </c>
      <c r="DF727" s="408">
        <v>0</v>
      </c>
      <c r="DG727" s="408">
        <v>242.48324336119072</v>
      </c>
      <c r="DH727" s="408">
        <v>0</v>
      </c>
      <c r="DI727" s="408">
        <v>-447.29067557158123</v>
      </c>
      <c r="DJ727" s="408"/>
      <c r="DK727" s="408">
        <v>0</v>
      </c>
      <c r="DL727" s="408">
        <v>0</v>
      </c>
      <c r="DM727" s="408">
        <v>0</v>
      </c>
      <c r="DN727" s="408">
        <v>0</v>
      </c>
      <c r="DO727" s="408">
        <v>-61.509657194039164</v>
      </c>
      <c r="DP727" s="408">
        <v>-7.3137292594357746</v>
      </c>
      <c r="DQ727" s="408">
        <v>0</v>
      </c>
      <c r="DR727" s="408">
        <v>0</v>
      </c>
      <c r="DS727" s="408"/>
      <c r="DT727" s="408"/>
      <c r="DU727" s="408"/>
      <c r="DV727" s="408">
        <v>50411.300141712083</v>
      </c>
      <c r="DW727" s="408">
        <v>0</v>
      </c>
      <c r="DX727" s="408">
        <v>0</v>
      </c>
      <c r="DY727" s="408">
        <v>-11598.123130000007</v>
      </c>
      <c r="DZ727" s="408">
        <v>4620.8429300000062</v>
      </c>
      <c r="EA727" s="408">
        <v>0</v>
      </c>
      <c r="EB727" s="408">
        <v>0</v>
      </c>
      <c r="EC727" s="408">
        <v>-12523.022060213501</v>
      </c>
      <c r="ED727" s="408">
        <v>0</v>
      </c>
      <c r="EE727" s="408">
        <v>0</v>
      </c>
      <c r="EF727" s="408">
        <v>0</v>
      </c>
      <c r="EG727" s="408">
        <v>0</v>
      </c>
      <c r="EH727" s="408">
        <v>0</v>
      </c>
      <c r="EI727" s="408">
        <v>0</v>
      </c>
      <c r="EJ727" s="408">
        <v>0</v>
      </c>
      <c r="EK727" s="408">
        <v>0</v>
      </c>
      <c r="EL727" s="408">
        <v>0</v>
      </c>
      <c r="EM727" s="408">
        <v>0</v>
      </c>
      <c r="EN727" s="408">
        <v>0</v>
      </c>
      <c r="EO727" s="408">
        <v>0</v>
      </c>
      <c r="EP727" s="408">
        <v>3363.9783886717523</v>
      </c>
      <c r="EQ727" s="408">
        <v>0</v>
      </c>
      <c r="ER727" s="408">
        <v>0</v>
      </c>
      <c r="ES727" s="408">
        <v>0</v>
      </c>
      <c r="ET727" s="408">
        <v>0</v>
      </c>
      <c r="EU727" s="408">
        <v>0</v>
      </c>
      <c r="EV727" s="408">
        <v>240</v>
      </c>
      <c r="EW727" s="408">
        <v>0</v>
      </c>
      <c r="EX727" s="408">
        <v>0</v>
      </c>
      <c r="EY727" s="408">
        <v>0</v>
      </c>
      <c r="EZ727" s="408"/>
      <c r="FA727" s="408">
        <v>0</v>
      </c>
      <c r="FB727" s="408"/>
      <c r="FC727" s="408"/>
      <c r="FD727" s="408"/>
      <c r="FE727" s="408"/>
      <c r="FF727" s="408">
        <v>0</v>
      </c>
      <c r="FG727" s="408">
        <v>0</v>
      </c>
      <c r="FH727" s="408">
        <v>0</v>
      </c>
      <c r="FI727" s="408">
        <v>0</v>
      </c>
    </row>
    <row r="728" spans="1:165">
      <c r="A728" s="408">
        <v>726</v>
      </c>
      <c r="B728" s="408" t="s">
        <v>1036</v>
      </c>
      <c r="C728" s="408" t="s">
        <v>2243</v>
      </c>
      <c r="D728" s="408" t="s">
        <v>597</v>
      </c>
      <c r="E728" s="408" t="s">
        <v>998</v>
      </c>
      <c r="F728" s="408" t="s">
        <v>1322</v>
      </c>
      <c r="G728" s="408" t="s">
        <v>1322</v>
      </c>
      <c r="H728" s="408" t="s">
        <v>1322</v>
      </c>
      <c r="I728" s="408" t="s">
        <v>973</v>
      </c>
      <c r="J728" s="408" t="s">
        <v>2236</v>
      </c>
      <c r="K728" s="826">
        <v>44682</v>
      </c>
      <c r="L728" s="408">
        <v>0</v>
      </c>
      <c r="M728" s="408">
        <v>0</v>
      </c>
      <c r="N728" s="408">
        <v>78.275999999999996</v>
      </c>
      <c r="O728" s="408">
        <v>78.275999999999996</v>
      </c>
      <c r="P728" s="408">
        <v>78.275999999999996</v>
      </c>
      <c r="Q728" s="408">
        <v>78.275999999999996</v>
      </c>
      <c r="R728" s="408"/>
      <c r="S728" s="408">
        <v>1358.36</v>
      </c>
      <c r="T728" s="408">
        <v>173.25</v>
      </c>
      <c r="U728" s="408"/>
      <c r="V728" s="408">
        <v>119888.30435999998</v>
      </c>
      <c r="W728" s="408">
        <v>119888.30435999998</v>
      </c>
      <c r="X728" s="408">
        <v>105118.40591999999</v>
      </c>
      <c r="Y728" s="408">
        <v>0</v>
      </c>
      <c r="Z728" s="408">
        <v>4191.2343612991044</v>
      </c>
      <c r="AA728" s="408">
        <v>0</v>
      </c>
      <c r="AB728" s="408">
        <v>0</v>
      </c>
      <c r="AC728" s="408">
        <v>1482.7109065525176</v>
      </c>
      <c r="AD728" s="408">
        <v>1424.5570954925463</v>
      </c>
      <c r="AE728" s="408">
        <v>78941.950040264972</v>
      </c>
      <c r="AF728" s="408">
        <v>13333.570675535961</v>
      </c>
      <c r="AG728" s="408">
        <v>227.5666118366469</v>
      </c>
      <c r="AH728" s="408">
        <v>0</v>
      </c>
      <c r="AI728" s="408">
        <v>0</v>
      </c>
      <c r="AJ728" s="408">
        <v>0</v>
      </c>
      <c r="AK728" s="408">
        <v>0</v>
      </c>
      <c r="AL728" s="408">
        <v>744.32885398792371</v>
      </c>
      <c r="AM728" s="408"/>
      <c r="AN728" s="408">
        <v>62.684503148485334</v>
      </c>
      <c r="AO728" s="408">
        <v>3147.5423180097955</v>
      </c>
      <c r="AP728" s="408">
        <v>14676.444815850535</v>
      </c>
      <c r="AQ728" s="408">
        <v>0</v>
      </c>
      <c r="AR728" s="408">
        <v>0</v>
      </c>
      <c r="AS728" s="408">
        <v>0</v>
      </c>
      <c r="AT728" s="408">
        <v>0</v>
      </c>
      <c r="AU728" s="408">
        <v>0</v>
      </c>
      <c r="AV728" s="408">
        <v>0</v>
      </c>
      <c r="AW728" s="408">
        <v>0</v>
      </c>
      <c r="AX728" s="408">
        <v>0</v>
      </c>
      <c r="AY728" s="408">
        <v>0</v>
      </c>
      <c r="AZ728" s="408">
        <v>0</v>
      </c>
      <c r="BA728" s="408"/>
      <c r="BB728" s="408">
        <v>0</v>
      </c>
      <c r="BC728" s="408">
        <v>0</v>
      </c>
      <c r="BD728" s="408">
        <v>0</v>
      </c>
      <c r="BE728" s="408">
        <v>0</v>
      </c>
      <c r="BF728" s="408">
        <v>0</v>
      </c>
      <c r="BG728" s="408">
        <v>585.39932269130873</v>
      </c>
      <c r="BH728" s="408">
        <v>0</v>
      </c>
      <c r="BI728" s="408">
        <v>0</v>
      </c>
      <c r="BJ728" s="408">
        <v>0</v>
      </c>
      <c r="BK728" s="408">
        <v>0</v>
      </c>
      <c r="BL728" s="408">
        <v>0</v>
      </c>
      <c r="BM728" s="408"/>
      <c r="BN728" s="408"/>
      <c r="BO728" s="408"/>
      <c r="BP728" s="408"/>
      <c r="BQ728" s="408"/>
      <c r="BR728" s="408"/>
      <c r="BS728" s="408"/>
      <c r="BT728" s="408"/>
      <c r="BU728" s="408"/>
      <c r="BV728" s="408">
        <v>13918.969998227269</v>
      </c>
      <c r="BW728" s="408"/>
      <c r="BX728" s="408"/>
      <c r="BY728" s="408"/>
      <c r="BZ728" s="408"/>
      <c r="CA728" s="408"/>
      <c r="CB728" s="408"/>
      <c r="CC728" s="408"/>
      <c r="CD728" s="408"/>
      <c r="CE728" s="408"/>
      <c r="CF728" s="408"/>
      <c r="CG728" s="408"/>
      <c r="CH728" s="408"/>
      <c r="CI728" s="408">
        <v>105123.7776</v>
      </c>
      <c r="CJ728" s="408">
        <v>-14764.556759999963</v>
      </c>
      <c r="CK728" s="408"/>
      <c r="CL728" s="408"/>
      <c r="CM728" s="408"/>
      <c r="CN728" s="408"/>
      <c r="CO728" s="408">
        <v>-16459.877279999997</v>
      </c>
      <c r="CP728" s="408">
        <v>1689.9788400000002</v>
      </c>
      <c r="CQ728" s="408">
        <v>31</v>
      </c>
      <c r="CR728" s="408">
        <v>4840.3303985884922</v>
      </c>
      <c r="CS728" s="408">
        <v>313.64586429855626</v>
      </c>
      <c r="CT728" s="408">
        <v>1462.4763558407958</v>
      </c>
      <c r="CU728" s="408">
        <v>0</v>
      </c>
      <c r="CV728" s="408">
        <v>0</v>
      </c>
      <c r="CW728" s="408">
        <v>0</v>
      </c>
      <c r="CX728" s="408">
        <v>0</v>
      </c>
      <c r="CY728" s="408">
        <v>0</v>
      </c>
      <c r="CZ728" s="408">
        <v>1466.8217998180405</v>
      </c>
      <c r="DA728" s="408">
        <v>0</v>
      </c>
      <c r="DB728" s="408">
        <v>0</v>
      </c>
      <c r="DC728" s="408">
        <v>1689.7880316161263</v>
      </c>
      <c r="DD728" s="408">
        <v>0</v>
      </c>
      <c r="DE728" s="408">
        <v>0</v>
      </c>
      <c r="DF728" s="408">
        <v>0</v>
      </c>
      <c r="DG728" s="408">
        <v>74.188737081126192</v>
      </c>
      <c r="DH728" s="408">
        <v>0</v>
      </c>
      <c r="DI728" s="408">
        <v>-142.32105613452995</v>
      </c>
      <c r="DJ728" s="408"/>
      <c r="DK728" s="408">
        <v>0</v>
      </c>
      <c r="DL728" s="408">
        <v>0</v>
      </c>
      <c r="DM728" s="408">
        <v>0</v>
      </c>
      <c r="DN728" s="408">
        <v>0</v>
      </c>
      <c r="DO728" s="408">
        <v>-22.495899706675232</v>
      </c>
      <c r="DP728" s="408">
        <v>-1.773434224942271</v>
      </c>
      <c r="DQ728" s="408">
        <v>0</v>
      </c>
      <c r="DR728" s="408">
        <v>0</v>
      </c>
      <c r="DS728" s="408"/>
      <c r="DT728" s="408"/>
      <c r="DU728" s="408"/>
      <c r="DV728" s="408">
        <v>78941.950040264972</v>
      </c>
      <c r="DW728" s="408">
        <v>0</v>
      </c>
      <c r="DX728" s="408">
        <v>0</v>
      </c>
      <c r="DY728" s="408">
        <v>-16459.877280000001</v>
      </c>
      <c r="DZ728" s="408">
        <v>1689.9788399999998</v>
      </c>
      <c r="EA728" s="408">
        <v>0</v>
      </c>
      <c r="EB728" s="408">
        <v>0</v>
      </c>
      <c r="EC728" s="408">
        <v>-19610.519448049548</v>
      </c>
      <c r="ED728" s="408">
        <v>0</v>
      </c>
      <c r="EE728" s="408">
        <v>0</v>
      </c>
      <c r="EF728" s="408">
        <v>0</v>
      </c>
      <c r="EG728" s="408">
        <v>0</v>
      </c>
      <c r="EH728" s="408">
        <v>0</v>
      </c>
      <c r="EI728" s="408">
        <v>0</v>
      </c>
      <c r="EJ728" s="408">
        <v>0</v>
      </c>
      <c r="EK728" s="408">
        <v>0</v>
      </c>
      <c r="EL728" s="408">
        <v>0</v>
      </c>
      <c r="EM728" s="408">
        <v>0</v>
      </c>
      <c r="EN728" s="408">
        <v>0</v>
      </c>
      <c r="EO728" s="408">
        <v>0</v>
      </c>
      <c r="EP728" s="408">
        <v>1070.3665049080421</v>
      </c>
      <c r="EQ728" s="408">
        <v>0</v>
      </c>
      <c r="ER728" s="408">
        <v>0</v>
      </c>
      <c r="ES728" s="408">
        <v>0</v>
      </c>
      <c r="ET728" s="408">
        <v>0</v>
      </c>
      <c r="EU728" s="408">
        <v>0</v>
      </c>
      <c r="EV728" s="408">
        <v>240</v>
      </c>
      <c r="EW728" s="408">
        <v>0</v>
      </c>
      <c r="EX728" s="408">
        <v>0</v>
      </c>
      <c r="EY728" s="408">
        <v>0</v>
      </c>
      <c r="EZ728" s="408"/>
      <c r="FA728" s="408">
        <v>0</v>
      </c>
      <c r="FB728" s="408"/>
      <c r="FC728" s="408"/>
      <c r="FD728" s="408"/>
      <c r="FE728" s="408"/>
      <c r="FF728" s="408">
        <v>0</v>
      </c>
      <c r="FG728" s="408">
        <v>0</v>
      </c>
      <c r="FH728" s="408">
        <v>0</v>
      </c>
      <c r="FI728" s="408">
        <v>0</v>
      </c>
    </row>
    <row r="729" spans="1:165">
      <c r="A729" s="408">
        <v>727</v>
      </c>
      <c r="B729" s="408" t="s">
        <v>2238</v>
      </c>
      <c r="C729" s="408" t="s">
        <v>2243</v>
      </c>
      <c r="D729" s="408" t="s">
        <v>597</v>
      </c>
      <c r="E729" s="408" t="s">
        <v>998</v>
      </c>
      <c r="F729" s="408" t="s">
        <v>1322</v>
      </c>
      <c r="G729" s="408" t="s">
        <v>1322</v>
      </c>
      <c r="H729" s="408" t="s">
        <v>1322</v>
      </c>
      <c r="I729" s="408" t="s">
        <v>973</v>
      </c>
      <c r="J729" s="408" t="s">
        <v>2236</v>
      </c>
      <c r="K729" s="826">
        <v>44682</v>
      </c>
      <c r="L729" s="408">
        <v>0</v>
      </c>
      <c r="M729" s="408">
        <v>0</v>
      </c>
      <c r="N729" s="408">
        <v>4.093</v>
      </c>
      <c r="O729" s="408">
        <v>4.093</v>
      </c>
      <c r="P729" s="408">
        <v>4.093</v>
      </c>
      <c r="Q729" s="408">
        <v>4.093</v>
      </c>
      <c r="R729" s="408"/>
      <c r="S729" s="408">
        <v>1358.36</v>
      </c>
      <c r="T729" s="408">
        <v>173.25</v>
      </c>
      <c r="U729" s="408"/>
      <c r="V729" s="408">
        <v>6268.8797299999997</v>
      </c>
      <c r="W729" s="408">
        <v>6268.8797299999997</v>
      </c>
      <c r="X729" s="408">
        <v>5496.5715599999994</v>
      </c>
      <c r="Y729" s="408">
        <v>0</v>
      </c>
      <c r="Z729" s="408">
        <v>219.15685830646987</v>
      </c>
      <c r="AA729" s="408">
        <v>0</v>
      </c>
      <c r="AB729" s="408">
        <v>0</v>
      </c>
      <c r="AC729" s="408">
        <v>77.529967557354169</v>
      </c>
      <c r="AD729" s="408">
        <v>74.489143439253311</v>
      </c>
      <c r="AE729" s="408">
        <v>4127.822084863873</v>
      </c>
      <c r="AF729" s="408">
        <v>697.20354610568609</v>
      </c>
      <c r="AG729" s="408">
        <v>11.899306840505337</v>
      </c>
      <c r="AH729" s="408">
        <v>0</v>
      </c>
      <c r="AI729" s="408">
        <v>0</v>
      </c>
      <c r="AJ729" s="408">
        <v>0</v>
      </c>
      <c r="AK729" s="408">
        <v>0</v>
      </c>
      <c r="AL729" s="408">
        <v>38.920460925092904</v>
      </c>
      <c r="AM729" s="408"/>
      <c r="AN729" s="408">
        <v>3.2777309952827238</v>
      </c>
      <c r="AO729" s="408">
        <v>164.58289523754527</v>
      </c>
      <c r="AP729" s="408">
        <v>767.42154212371918</v>
      </c>
      <c r="AQ729" s="408">
        <v>0</v>
      </c>
      <c r="AR729" s="408">
        <v>0</v>
      </c>
      <c r="AS729" s="408">
        <v>0</v>
      </c>
      <c r="AT729" s="408">
        <v>0</v>
      </c>
      <c r="AU729" s="408">
        <v>0</v>
      </c>
      <c r="AV729" s="408">
        <v>0</v>
      </c>
      <c r="AW729" s="408">
        <v>0</v>
      </c>
      <c r="AX729" s="408">
        <v>0</v>
      </c>
      <c r="AY729" s="408">
        <v>0</v>
      </c>
      <c r="AZ729" s="408">
        <v>0</v>
      </c>
      <c r="BA729" s="408"/>
      <c r="BB729" s="408">
        <v>0</v>
      </c>
      <c r="BC729" s="408">
        <v>0</v>
      </c>
      <c r="BD729" s="408">
        <v>0</v>
      </c>
      <c r="BE729" s="408">
        <v>0</v>
      </c>
      <c r="BF729" s="408">
        <v>0</v>
      </c>
      <c r="BG729" s="408">
        <v>30.610141394239953</v>
      </c>
      <c r="BH729" s="408">
        <v>0</v>
      </c>
      <c r="BI729" s="408">
        <v>0</v>
      </c>
      <c r="BJ729" s="408">
        <v>0</v>
      </c>
      <c r="BK729" s="408">
        <v>0</v>
      </c>
      <c r="BL729" s="408">
        <v>0</v>
      </c>
      <c r="BM729" s="408"/>
      <c r="BN729" s="408"/>
      <c r="BO729" s="408"/>
      <c r="BP729" s="408"/>
      <c r="BQ729" s="408"/>
      <c r="BR729" s="408"/>
      <c r="BS729" s="408"/>
      <c r="BT729" s="408"/>
      <c r="BU729" s="408"/>
      <c r="BV729" s="408">
        <v>727.813687499926</v>
      </c>
      <c r="BW729" s="408"/>
      <c r="BX729" s="408"/>
      <c r="BY729" s="408"/>
      <c r="BZ729" s="408"/>
      <c r="CA729" s="408"/>
      <c r="CB729" s="408"/>
      <c r="CC729" s="408"/>
      <c r="CD729" s="408"/>
      <c r="CE729" s="408"/>
      <c r="CF729" s="408"/>
      <c r="CG729" s="408"/>
      <c r="CH729" s="408"/>
      <c r="CI729" s="408">
        <v>5492.5427999999993</v>
      </c>
      <c r="CJ729" s="408">
        <v>-776.36693000000105</v>
      </c>
      <c r="CK729" s="408"/>
      <c r="CL729" s="408"/>
      <c r="CM729" s="408"/>
      <c r="CN729" s="408"/>
      <c r="CO729" s="408">
        <v>-860.67603999999983</v>
      </c>
      <c r="CP729" s="408">
        <v>88.367870000000011</v>
      </c>
      <c r="CQ729" s="408">
        <v>31</v>
      </c>
      <c r="CR729" s="408">
        <v>253.09765855974638</v>
      </c>
      <c r="CS729" s="408">
        <v>16.400333723925485</v>
      </c>
      <c r="CT729" s="408">
        <v>76.471916353114239</v>
      </c>
      <c r="CU729" s="408">
        <v>0</v>
      </c>
      <c r="CV729" s="408">
        <v>0</v>
      </c>
      <c r="CW729" s="408">
        <v>0</v>
      </c>
      <c r="CX729" s="408">
        <v>0</v>
      </c>
      <c r="CY729" s="408">
        <v>0</v>
      </c>
      <c r="CZ729" s="408">
        <v>76.699136729715875</v>
      </c>
      <c r="DA729" s="408">
        <v>0</v>
      </c>
      <c r="DB729" s="408">
        <v>0</v>
      </c>
      <c r="DC729" s="408">
        <v>88.357892756461865</v>
      </c>
      <c r="DD729" s="408">
        <v>0</v>
      </c>
      <c r="DE729" s="408">
        <v>0</v>
      </c>
      <c r="DF729" s="408">
        <v>0</v>
      </c>
      <c r="DG729" s="408">
        <v>3.8792797392949296</v>
      </c>
      <c r="DH729" s="408">
        <v>0</v>
      </c>
      <c r="DI729" s="408">
        <v>-7.4418734063906129</v>
      </c>
      <c r="DJ729" s="408"/>
      <c r="DK729" s="408">
        <v>0</v>
      </c>
      <c r="DL729" s="408">
        <v>0</v>
      </c>
      <c r="DM729" s="408">
        <v>0</v>
      </c>
      <c r="DN729" s="408">
        <v>0</v>
      </c>
      <c r="DO729" s="408">
        <v>-1.1762956397800366</v>
      </c>
      <c r="DP729" s="408">
        <v>-9.2731696595236279E-2</v>
      </c>
      <c r="DQ729" s="408">
        <v>0</v>
      </c>
      <c r="DR729" s="408">
        <v>0</v>
      </c>
      <c r="DS729" s="408"/>
      <c r="DT729" s="408"/>
      <c r="DU729" s="408"/>
      <c r="DV729" s="408">
        <v>4127.822084863873</v>
      </c>
      <c r="DW729" s="408">
        <v>0</v>
      </c>
      <c r="DX729" s="408">
        <v>0</v>
      </c>
      <c r="DY729" s="408">
        <v>-860.67604000000028</v>
      </c>
      <c r="DZ729" s="408">
        <v>88.367870000000039</v>
      </c>
      <c r="EA729" s="408">
        <v>0</v>
      </c>
      <c r="EB729" s="408">
        <v>0</v>
      </c>
      <c r="EC729" s="408">
        <v>-1025.4210243352595</v>
      </c>
      <c r="ED729" s="408">
        <v>0</v>
      </c>
      <c r="EE729" s="408">
        <v>0</v>
      </c>
      <c r="EF729" s="408">
        <v>0</v>
      </c>
      <c r="EG729" s="408">
        <v>0</v>
      </c>
      <c r="EH729" s="408">
        <v>0</v>
      </c>
      <c r="EI729" s="408">
        <v>0</v>
      </c>
      <c r="EJ729" s="408">
        <v>0</v>
      </c>
      <c r="EK729" s="408">
        <v>0</v>
      </c>
      <c r="EL729" s="408">
        <v>0</v>
      </c>
      <c r="EM729" s="408">
        <v>0</v>
      </c>
      <c r="EN729" s="408">
        <v>0</v>
      </c>
      <c r="EO729" s="408">
        <v>0</v>
      </c>
      <c r="EP729" s="408">
        <v>55.968752933065261</v>
      </c>
      <c r="EQ729" s="408">
        <v>0</v>
      </c>
      <c r="ER729" s="408">
        <v>0</v>
      </c>
      <c r="ES729" s="408">
        <v>0</v>
      </c>
      <c r="ET729" s="408">
        <v>0</v>
      </c>
      <c r="EU729" s="408">
        <v>0</v>
      </c>
      <c r="EV729" s="408">
        <v>240</v>
      </c>
      <c r="EW729" s="408">
        <v>0</v>
      </c>
      <c r="EX729" s="408">
        <v>0</v>
      </c>
      <c r="EY729" s="408">
        <v>0</v>
      </c>
      <c r="EZ729" s="408"/>
      <c r="FA729" s="408">
        <v>0</v>
      </c>
      <c r="FB729" s="408"/>
      <c r="FC729" s="408"/>
      <c r="FD729" s="408"/>
      <c r="FE729" s="408"/>
      <c r="FF729" s="408">
        <v>0</v>
      </c>
      <c r="FG729" s="408">
        <v>0</v>
      </c>
      <c r="FH729" s="408">
        <v>0</v>
      </c>
      <c r="FI729" s="408">
        <v>0</v>
      </c>
    </row>
    <row r="730" spans="1:165">
      <c r="A730" s="408">
        <v>728</v>
      </c>
      <c r="B730" s="408" t="s">
        <v>1036</v>
      </c>
      <c r="C730" s="408" t="s">
        <v>2243</v>
      </c>
      <c r="D730" s="408" t="s">
        <v>597</v>
      </c>
      <c r="E730" s="408" t="s">
        <v>998</v>
      </c>
      <c r="F730" s="408" t="s">
        <v>1322</v>
      </c>
      <c r="G730" s="408" t="s">
        <v>1322</v>
      </c>
      <c r="H730" s="408" t="s">
        <v>1322</v>
      </c>
      <c r="I730" s="408" t="s">
        <v>2244</v>
      </c>
      <c r="J730" s="408" t="s">
        <v>2236</v>
      </c>
      <c r="K730" s="826">
        <v>44682</v>
      </c>
      <c r="L730" s="408">
        <v>0</v>
      </c>
      <c r="M730" s="408">
        <v>0</v>
      </c>
      <c r="N730" s="408">
        <v>882.49599999999998</v>
      </c>
      <c r="O730" s="408">
        <v>882.49599999999998</v>
      </c>
      <c r="P730" s="408">
        <v>882.49599999999998</v>
      </c>
      <c r="Q730" s="408">
        <v>882.49599999999998</v>
      </c>
      <c r="R730" s="408"/>
      <c r="S730" s="408">
        <v>85.01</v>
      </c>
      <c r="T730" s="408">
        <v>173.25</v>
      </c>
      <c r="U730" s="408"/>
      <c r="V730" s="408">
        <v>227913.41696</v>
      </c>
      <c r="W730" s="408">
        <v>227913.41696</v>
      </c>
      <c r="X730" s="408">
        <v>245925.16032</v>
      </c>
      <c r="Y730" s="408">
        <v>0</v>
      </c>
      <c r="Z730" s="408">
        <v>47252.638853659031</v>
      </c>
      <c r="AA730" s="408">
        <v>0</v>
      </c>
      <c r="AB730" s="408">
        <v>0</v>
      </c>
      <c r="AC730" s="408">
        <v>0</v>
      </c>
      <c r="AD730" s="408">
        <v>0</v>
      </c>
      <c r="AE730" s="408">
        <v>0</v>
      </c>
      <c r="AF730" s="408">
        <v>150324.78392965638</v>
      </c>
      <c r="AG730" s="408">
        <v>2565.621961768531</v>
      </c>
      <c r="AH730" s="408">
        <v>0</v>
      </c>
      <c r="AI730" s="408">
        <v>0</v>
      </c>
      <c r="AJ730" s="408">
        <v>0</v>
      </c>
      <c r="AK730" s="408">
        <v>0</v>
      </c>
      <c r="AL730" s="408">
        <v>8391.6811836185643</v>
      </c>
      <c r="AM730" s="408"/>
      <c r="AN730" s="408">
        <v>706.71499936795078</v>
      </c>
      <c r="AO730" s="408">
        <v>0</v>
      </c>
      <c r="AP730" s="408">
        <v>0</v>
      </c>
      <c r="AQ730" s="408">
        <v>0</v>
      </c>
      <c r="AR730" s="408">
        <v>0</v>
      </c>
      <c r="AS730" s="408">
        <v>0</v>
      </c>
      <c r="AT730" s="408">
        <v>0</v>
      </c>
      <c r="AU730" s="408">
        <v>0</v>
      </c>
      <c r="AV730" s="408">
        <v>0</v>
      </c>
      <c r="AW730" s="408">
        <v>0</v>
      </c>
      <c r="AX730" s="408">
        <v>0</v>
      </c>
      <c r="AY730" s="408">
        <v>0</v>
      </c>
      <c r="AZ730" s="408">
        <v>0</v>
      </c>
      <c r="BA730" s="408"/>
      <c r="BB730" s="408">
        <v>0</v>
      </c>
      <c r="BC730" s="408">
        <v>0</v>
      </c>
      <c r="BD730" s="408">
        <v>0</v>
      </c>
      <c r="BE730" s="408">
        <v>0</v>
      </c>
      <c r="BF730" s="408">
        <v>0</v>
      </c>
      <c r="BG730" s="408">
        <v>6599.8845198756862</v>
      </c>
      <c r="BH730" s="408">
        <v>0</v>
      </c>
      <c r="BI730" s="408">
        <v>0</v>
      </c>
      <c r="BJ730" s="408">
        <v>0</v>
      </c>
      <c r="BK730" s="408">
        <v>0</v>
      </c>
      <c r="BL730" s="408">
        <v>0</v>
      </c>
      <c r="BM730" s="408"/>
      <c r="BN730" s="408"/>
      <c r="BO730" s="408"/>
      <c r="BP730" s="408"/>
      <c r="BQ730" s="408"/>
      <c r="BR730" s="408"/>
      <c r="BS730" s="408"/>
      <c r="BT730" s="408"/>
      <c r="BU730" s="408"/>
      <c r="BV730" s="408">
        <v>156924.66844953207</v>
      </c>
      <c r="BW730" s="408"/>
      <c r="BX730" s="408"/>
      <c r="BY730" s="408"/>
      <c r="BZ730" s="408"/>
      <c r="CA730" s="408"/>
      <c r="CB730" s="408"/>
      <c r="CC730" s="408"/>
      <c r="CD730" s="408"/>
      <c r="CE730" s="408"/>
      <c r="CF730" s="408"/>
      <c r="CG730" s="408"/>
      <c r="CH730" s="408"/>
      <c r="CI730" s="408">
        <v>245926.27500000002</v>
      </c>
      <c r="CJ730" s="408">
        <v>18012.828040000022</v>
      </c>
      <c r="CK730" s="408"/>
      <c r="CL730" s="408"/>
      <c r="CM730" s="408"/>
      <c r="CN730" s="408"/>
      <c r="CO730" s="408">
        <v>-1041.3452800000059</v>
      </c>
      <c r="CP730" s="408">
        <v>19053.088640000002</v>
      </c>
      <c r="CQ730" s="408">
        <v>31</v>
      </c>
      <c r="CR730" s="408">
        <v>18009.186590991303</v>
      </c>
      <c r="CS730" s="408">
        <v>0</v>
      </c>
      <c r="CT730" s="408">
        <v>0</v>
      </c>
      <c r="CU730" s="408">
        <v>0</v>
      </c>
      <c r="CV730" s="408">
        <v>0</v>
      </c>
      <c r="CW730" s="408">
        <v>0</v>
      </c>
      <c r="CX730" s="408">
        <v>0</v>
      </c>
      <c r="CY730" s="408">
        <v>0</v>
      </c>
      <c r="CZ730" s="408">
        <v>0</v>
      </c>
      <c r="DA730" s="408">
        <v>0</v>
      </c>
      <c r="DB730" s="408">
        <v>0</v>
      </c>
      <c r="DC730" s="408">
        <v>19050.937436112028</v>
      </c>
      <c r="DD730" s="408">
        <v>0</v>
      </c>
      <c r="DE730" s="408">
        <v>0</v>
      </c>
      <c r="DF730" s="408">
        <v>0</v>
      </c>
      <c r="DG730" s="408">
        <v>836.41555162687837</v>
      </c>
      <c r="DH730" s="408">
        <v>0</v>
      </c>
      <c r="DI730" s="408">
        <v>-1604.5500888458482</v>
      </c>
      <c r="DJ730" s="408"/>
      <c r="DK730" s="408">
        <v>0</v>
      </c>
      <c r="DL730" s="408">
        <v>0</v>
      </c>
      <c r="DM730" s="408">
        <v>0</v>
      </c>
      <c r="DN730" s="408">
        <v>0</v>
      </c>
      <c r="DO730" s="408">
        <v>-253.62233005700455</v>
      </c>
      <c r="DP730" s="408">
        <v>-19.993977844737287</v>
      </c>
      <c r="DQ730" s="408">
        <v>0</v>
      </c>
      <c r="DR730" s="408">
        <v>0</v>
      </c>
      <c r="DS730" s="408"/>
      <c r="DT730" s="408"/>
      <c r="DU730" s="408"/>
      <c r="DV730" s="408">
        <v>0</v>
      </c>
      <c r="DW730" s="408">
        <v>0</v>
      </c>
      <c r="DX730" s="408">
        <v>0</v>
      </c>
      <c r="DY730" s="408">
        <v>-1041.3452800000086</v>
      </c>
      <c r="DZ730" s="408">
        <v>19053.088640000002</v>
      </c>
      <c r="EA730" s="408">
        <v>0</v>
      </c>
      <c r="EB730" s="408">
        <v>0</v>
      </c>
      <c r="EC730" s="408">
        <v>0</v>
      </c>
      <c r="ED730" s="408">
        <v>0</v>
      </c>
      <c r="EE730" s="408">
        <v>0</v>
      </c>
      <c r="EF730" s="408">
        <v>0</v>
      </c>
      <c r="EG730" s="408">
        <v>0</v>
      </c>
      <c r="EH730" s="408">
        <v>0</v>
      </c>
      <c r="EI730" s="408">
        <v>0</v>
      </c>
      <c r="EJ730" s="408">
        <v>0</v>
      </c>
      <c r="EK730" s="408">
        <v>0</v>
      </c>
      <c r="EL730" s="408">
        <v>0</v>
      </c>
      <c r="EM730" s="408">
        <v>0</v>
      </c>
      <c r="EN730" s="408">
        <v>0</v>
      </c>
      <c r="EO730" s="408">
        <v>0</v>
      </c>
      <c r="EP730" s="408">
        <v>12067.481208995445</v>
      </c>
      <c r="EQ730" s="408">
        <v>0</v>
      </c>
      <c r="ER730" s="408">
        <v>0</v>
      </c>
      <c r="ES730" s="408">
        <v>0</v>
      </c>
      <c r="ET730" s="408">
        <v>0</v>
      </c>
      <c r="EU730" s="408">
        <v>0</v>
      </c>
      <c r="EV730" s="408">
        <v>240</v>
      </c>
      <c r="EW730" s="408">
        <v>0</v>
      </c>
      <c r="EX730" s="408">
        <v>0</v>
      </c>
      <c r="EY730" s="408">
        <v>0</v>
      </c>
      <c r="EZ730" s="408"/>
      <c r="FA730" s="408">
        <v>0</v>
      </c>
      <c r="FB730" s="408"/>
      <c r="FC730" s="408"/>
      <c r="FD730" s="408"/>
      <c r="FE730" s="408"/>
      <c r="FF730" s="408">
        <v>0</v>
      </c>
      <c r="FG730" s="408">
        <v>0</v>
      </c>
      <c r="FH730" s="408">
        <v>0</v>
      </c>
      <c r="FI730" s="408">
        <v>0</v>
      </c>
    </row>
    <row r="731" spans="1:165">
      <c r="A731" s="408">
        <v>729</v>
      </c>
      <c r="B731" s="408" t="s">
        <v>2238</v>
      </c>
      <c r="C731" s="408" t="s">
        <v>2243</v>
      </c>
      <c r="D731" s="408" t="s">
        <v>597</v>
      </c>
      <c r="E731" s="408" t="s">
        <v>998</v>
      </c>
      <c r="F731" s="408" t="s">
        <v>1322</v>
      </c>
      <c r="G731" s="408" t="s">
        <v>1322</v>
      </c>
      <c r="H731" s="408" t="s">
        <v>1322</v>
      </c>
      <c r="I731" s="408" t="s">
        <v>2244</v>
      </c>
      <c r="J731" s="408" t="s">
        <v>2236</v>
      </c>
      <c r="K731" s="826">
        <v>44682</v>
      </c>
      <c r="L731" s="408">
        <v>0</v>
      </c>
      <c r="M731" s="408">
        <v>0</v>
      </c>
      <c r="N731" s="408">
        <v>55.106999999999999</v>
      </c>
      <c r="O731" s="408">
        <v>55.106999999999999</v>
      </c>
      <c r="P731" s="408">
        <v>55.106999999999999</v>
      </c>
      <c r="Q731" s="408">
        <v>55.106999999999999</v>
      </c>
      <c r="R731" s="408"/>
      <c r="S731" s="408">
        <v>85.01</v>
      </c>
      <c r="T731" s="408">
        <v>173.25</v>
      </c>
      <c r="U731" s="408"/>
      <c r="V731" s="408">
        <v>14231.933819999998</v>
      </c>
      <c r="W731" s="408">
        <v>14231.933819999998</v>
      </c>
      <c r="X731" s="408">
        <v>15356.66769</v>
      </c>
      <c r="Y731" s="408">
        <v>0</v>
      </c>
      <c r="Z731" s="408">
        <v>2950.6662571939005</v>
      </c>
      <c r="AA731" s="408">
        <v>0</v>
      </c>
      <c r="AB731" s="408">
        <v>0</v>
      </c>
      <c r="AC731" s="408">
        <v>0</v>
      </c>
      <c r="AD731" s="408">
        <v>0</v>
      </c>
      <c r="AE731" s="408">
        <v>0</v>
      </c>
      <c r="AF731" s="408">
        <v>9386.9523125448432</v>
      </c>
      <c r="AG731" s="408">
        <v>160.20891816753667</v>
      </c>
      <c r="AH731" s="408">
        <v>0</v>
      </c>
      <c r="AI731" s="408">
        <v>0</v>
      </c>
      <c r="AJ731" s="408">
        <v>0</v>
      </c>
      <c r="AK731" s="408">
        <v>0</v>
      </c>
      <c r="AL731" s="408">
        <v>524.01413149257132</v>
      </c>
      <c r="AM731" s="408"/>
      <c r="AN731" s="408">
        <v>44.130447582957501</v>
      </c>
      <c r="AO731" s="408">
        <v>0</v>
      </c>
      <c r="AP731" s="408">
        <v>0</v>
      </c>
      <c r="AQ731" s="408">
        <v>0</v>
      </c>
      <c r="AR731" s="408">
        <v>0</v>
      </c>
      <c r="AS731" s="408">
        <v>0</v>
      </c>
      <c r="AT731" s="408">
        <v>0</v>
      </c>
      <c r="AU731" s="408">
        <v>0</v>
      </c>
      <c r="AV731" s="408">
        <v>0</v>
      </c>
      <c r="AW731" s="408">
        <v>0</v>
      </c>
      <c r="AX731" s="408">
        <v>0</v>
      </c>
      <c r="AY731" s="408">
        <v>0</v>
      </c>
      <c r="AZ731" s="408">
        <v>0</v>
      </c>
      <c r="BA731" s="408"/>
      <c r="BB731" s="408">
        <v>0</v>
      </c>
      <c r="BC731" s="408">
        <v>0</v>
      </c>
      <c r="BD731" s="408">
        <v>0</v>
      </c>
      <c r="BE731" s="408">
        <v>0</v>
      </c>
      <c r="BF731" s="408">
        <v>0</v>
      </c>
      <c r="BG731" s="408">
        <v>412.12632831966312</v>
      </c>
      <c r="BH731" s="408">
        <v>0</v>
      </c>
      <c r="BI731" s="408">
        <v>0</v>
      </c>
      <c r="BJ731" s="408">
        <v>0</v>
      </c>
      <c r="BK731" s="408">
        <v>0</v>
      </c>
      <c r="BL731" s="408">
        <v>0</v>
      </c>
      <c r="BM731" s="408"/>
      <c r="BN731" s="408"/>
      <c r="BO731" s="408"/>
      <c r="BP731" s="408"/>
      <c r="BQ731" s="408"/>
      <c r="BR731" s="408"/>
      <c r="BS731" s="408"/>
      <c r="BT731" s="408"/>
      <c r="BU731" s="408"/>
      <c r="BV731" s="408">
        <v>9799.0786408645072</v>
      </c>
      <c r="BW731" s="408"/>
      <c r="BX731" s="408"/>
      <c r="BY731" s="408"/>
      <c r="BZ731" s="408"/>
      <c r="CA731" s="408"/>
      <c r="CB731" s="408"/>
      <c r="CC731" s="408"/>
      <c r="CD731" s="408"/>
      <c r="CE731" s="408"/>
      <c r="CF731" s="408"/>
      <c r="CG731" s="408"/>
      <c r="CH731" s="408"/>
      <c r="CI731" s="408">
        <v>15357.503700000001</v>
      </c>
      <c r="CJ731" s="408">
        <v>1125.5398800000021</v>
      </c>
      <c r="CK731" s="408"/>
      <c r="CL731" s="408"/>
      <c r="CM731" s="408"/>
      <c r="CN731" s="408"/>
      <c r="CO731" s="408">
        <v>-65.026260000000377</v>
      </c>
      <c r="CP731" s="408">
        <v>1189.7601300000001</v>
      </c>
      <c r="CQ731" s="408">
        <v>31</v>
      </c>
      <c r="CR731" s="408">
        <v>1124.5742138998448</v>
      </c>
      <c r="CS731" s="408">
        <v>0</v>
      </c>
      <c r="CT731" s="408">
        <v>0</v>
      </c>
      <c r="CU731" s="408">
        <v>0</v>
      </c>
      <c r="CV731" s="408">
        <v>0</v>
      </c>
      <c r="CW731" s="408">
        <v>0</v>
      </c>
      <c r="CX731" s="408">
        <v>0</v>
      </c>
      <c r="CY731" s="408">
        <v>0</v>
      </c>
      <c r="CZ731" s="408">
        <v>0</v>
      </c>
      <c r="DA731" s="408">
        <v>0</v>
      </c>
      <c r="DB731" s="408">
        <v>0</v>
      </c>
      <c r="DC731" s="408">
        <v>1189.6257992011597</v>
      </c>
      <c r="DD731" s="408">
        <v>0</v>
      </c>
      <c r="DE731" s="408">
        <v>0</v>
      </c>
      <c r="DF731" s="408">
        <v>0</v>
      </c>
      <c r="DG731" s="408">
        <v>52.229530562747527</v>
      </c>
      <c r="DH731" s="408">
        <v>0</v>
      </c>
      <c r="DI731" s="408">
        <v>-100.19528898264525</v>
      </c>
      <c r="DJ731" s="408"/>
      <c r="DK731" s="408">
        <v>0</v>
      </c>
      <c r="DL731" s="408">
        <v>0</v>
      </c>
      <c r="DM731" s="408">
        <v>0</v>
      </c>
      <c r="DN731" s="408">
        <v>0</v>
      </c>
      <c r="DO731" s="408">
        <v>-15.837313418362669</v>
      </c>
      <c r="DP731" s="408">
        <v>-1.248513463052447</v>
      </c>
      <c r="DQ731" s="408">
        <v>0</v>
      </c>
      <c r="DR731" s="408">
        <v>0</v>
      </c>
      <c r="DS731" s="408"/>
      <c r="DT731" s="408"/>
      <c r="DU731" s="408"/>
      <c r="DV731" s="408">
        <v>0</v>
      </c>
      <c r="DW731" s="408">
        <v>0</v>
      </c>
      <c r="DX731" s="408">
        <v>0</v>
      </c>
      <c r="DY731" s="408">
        <v>-65.026259999999638</v>
      </c>
      <c r="DZ731" s="408">
        <v>1189.7601300000006</v>
      </c>
      <c r="EA731" s="408">
        <v>0</v>
      </c>
      <c r="EB731" s="408">
        <v>0</v>
      </c>
      <c r="EC731" s="408">
        <v>0</v>
      </c>
      <c r="ED731" s="408">
        <v>0</v>
      </c>
      <c r="EE731" s="408">
        <v>0</v>
      </c>
      <c r="EF731" s="408">
        <v>0</v>
      </c>
      <c r="EG731" s="408">
        <v>0</v>
      </c>
      <c r="EH731" s="408">
        <v>0</v>
      </c>
      <c r="EI731" s="408">
        <v>0</v>
      </c>
      <c r="EJ731" s="408">
        <v>0</v>
      </c>
      <c r="EK731" s="408">
        <v>0</v>
      </c>
      <c r="EL731" s="408">
        <v>0</v>
      </c>
      <c r="EM731" s="408">
        <v>0</v>
      </c>
      <c r="EN731" s="408">
        <v>0</v>
      </c>
      <c r="EO731" s="408">
        <v>0</v>
      </c>
      <c r="EP731" s="408">
        <v>753.54753674136998</v>
      </c>
      <c r="EQ731" s="408">
        <v>0</v>
      </c>
      <c r="ER731" s="408">
        <v>0</v>
      </c>
      <c r="ES731" s="408">
        <v>0</v>
      </c>
      <c r="ET731" s="408">
        <v>0</v>
      </c>
      <c r="EU731" s="408">
        <v>0</v>
      </c>
      <c r="EV731" s="408">
        <v>240</v>
      </c>
      <c r="EW731" s="408">
        <v>0</v>
      </c>
      <c r="EX731" s="408">
        <v>0</v>
      </c>
      <c r="EY731" s="408">
        <v>0</v>
      </c>
      <c r="EZ731" s="408"/>
      <c r="FA731" s="408">
        <v>0</v>
      </c>
      <c r="FB731" s="408"/>
      <c r="FC731" s="408"/>
      <c r="FD731" s="408"/>
      <c r="FE731" s="408"/>
      <c r="FF731" s="408">
        <v>0</v>
      </c>
      <c r="FG731" s="408">
        <v>0</v>
      </c>
      <c r="FH731" s="408">
        <v>0</v>
      </c>
      <c r="FI731" s="408">
        <v>0</v>
      </c>
    </row>
    <row r="732" spans="1:165">
      <c r="A732" s="408">
        <v>730</v>
      </c>
      <c r="B732" s="408" t="s">
        <v>1036</v>
      </c>
      <c r="C732" s="408" t="s">
        <v>2243</v>
      </c>
      <c r="D732" s="408" t="s">
        <v>597</v>
      </c>
      <c r="E732" s="408" t="s">
        <v>998</v>
      </c>
      <c r="F732" s="408" t="s">
        <v>1322</v>
      </c>
      <c r="G732" s="408" t="s">
        <v>1322</v>
      </c>
      <c r="H732" s="408" t="s">
        <v>1322</v>
      </c>
      <c r="I732" s="408" t="s">
        <v>1322</v>
      </c>
      <c r="J732" s="408" t="s">
        <v>2236</v>
      </c>
      <c r="K732" s="826">
        <v>44682</v>
      </c>
      <c r="L732" s="408">
        <v>4346</v>
      </c>
      <c r="M732" s="408">
        <v>4346</v>
      </c>
      <c r="N732" s="408">
        <v>0</v>
      </c>
      <c r="O732" s="408">
        <v>0</v>
      </c>
      <c r="P732" s="408">
        <v>0</v>
      </c>
      <c r="Q732" s="408">
        <v>0</v>
      </c>
      <c r="R732" s="408">
        <v>27.19</v>
      </c>
      <c r="S732" s="408"/>
      <c r="T732" s="408"/>
      <c r="U732" s="408">
        <v>118167.74</v>
      </c>
      <c r="V732" s="408"/>
      <c r="W732" s="408">
        <v>118167.74</v>
      </c>
      <c r="X732" s="408">
        <v>94568.960000000006</v>
      </c>
      <c r="Y732" s="408">
        <v>0</v>
      </c>
      <c r="Z732" s="408">
        <v>0</v>
      </c>
      <c r="AA732" s="408">
        <v>0</v>
      </c>
      <c r="AB732" s="408">
        <v>0</v>
      </c>
      <c r="AC732" s="408">
        <v>1013.4898659561932</v>
      </c>
      <c r="AD732" s="408">
        <v>973.65541190386273</v>
      </c>
      <c r="AE732" s="408">
        <v>104008.60343677118</v>
      </c>
      <c r="AF732" s="408"/>
      <c r="AG732" s="408"/>
      <c r="AH732" s="408"/>
      <c r="AI732" s="408">
        <v>0</v>
      </c>
      <c r="AJ732" s="408">
        <v>0</v>
      </c>
      <c r="AK732" s="408">
        <v>0</v>
      </c>
      <c r="AL732" s="408">
        <v>0</v>
      </c>
      <c r="AM732" s="408"/>
      <c r="AN732" s="408">
        <v>0</v>
      </c>
      <c r="AO732" s="408">
        <v>2150.7694759191563</v>
      </c>
      <c r="AP732" s="408">
        <v>10030.954111727935</v>
      </c>
      <c r="AQ732" s="408">
        <v>0</v>
      </c>
      <c r="AR732" s="408">
        <v>0</v>
      </c>
      <c r="AS732" s="408"/>
      <c r="AT732" s="408"/>
      <c r="AU732" s="408">
        <v>0</v>
      </c>
      <c r="AV732" s="408">
        <v>0</v>
      </c>
      <c r="AW732" s="408">
        <v>0</v>
      </c>
      <c r="AX732" s="408"/>
      <c r="AY732" s="408"/>
      <c r="AZ732" s="408">
        <v>0</v>
      </c>
      <c r="BA732" s="408"/>
      <c r="BB732" s="408">
        <v>0</v>
      </c>
      <c r="BC732" s="408">
        <v>0</v>
      </c>
      <c r="BD732" s="408">
        <v>0</v>
      </c>
      <c r="BE732" s="408">
        <v>0</v>
      </c>
      <c r="BF732" s="408"/>
      <c r="BG732" s="408">
        <v>0</v>
      </c>
      <c r="BH732" s="408">
        <v>0</v>
      </c>
      <c r="BI732" s="408">
        <v>317</v>
      </c>
      <c r="BJ732" s="408">
        <v>4078.7</v>
      </c>
      <c r="BK732" s="408">
        <v>140599.99</v>
      </c>
      <c r="BL732" s="408">
        <v>43</v>
      </c>
      <c r="BM732" s="408"/>
      <c r="BN732" s="408"/>
      <c r="BO732" s="408"/>
      <c r="BP732" s="408"/>
      <c r="BQ732" s="408"/>
      <c r="BR732" s="408"/>
      <c r="BS732" s="408"/>
      <c r="BT732" s="408"/>
      <c r="BU732" s="408"/>
      <c r="BV732" s="408">
        <v>0</v>
      </c>
      <c r="BW732" s="408"/>
      <c r="BX732" s="408"/>
      <c r="BY732" s="408"/>
      <c r="BZ732" s="408"/>
      <c r="CA732" s="408"/>
      <c r="CB732" s="408"/>
      <c r="CC732" s="408"/>
      <c r="CD732" s="408"/>
      <c r="CE732" s="408"/>
      <c r="CF732" s="408"/>
      <c r="CG732" s="408"/>
      <c r="CH732" s="408"/>
      <c r="CI732" s="408">
        <v>94568.960000000006</v>
      </c>
      <c r="CJ732" s="408">
        <v>-23598.809999999983</v>
      </c>
      <c r="CK732" s="408"/>
      <c r="CL732" s="408"/>
      <c r="CM732" s="408"/>
      <c r="CN732" s="408"/>
      <c r="CO732" s="408">
        <v>-23598.78</v>
      </c>
      <c r="CP732" s="408">
        <v>0</v>
      </c>
      <c r="CQ732" s="408">
        <v>31</v>
      </c>
      <c r="CR732" s="408">
        <v>2216.4251839271801</v>
      </c>
      <c r="CS732" s="408">
        <v>214.31958112898837</v>
      </c>
      <c r="CT732" s="408">
        <v>999.56313664480331</v>
      </c>
      <c r="CU732" s="408">
        <v>0</v>
      </c>
      <c r="CV732" s="408">
        <v>0</v>
      </c>
      <c r="CW732" s="408"/>
      <c r="CX732" s="408"/>
      <c r="CY732" s="408"/>
      <c r="CZ732" s="408">
        <v>1002.5424661533865</v>
      </c>
      <c r="DA732" s="408">
        <v>0</v>
      </c>
      <c r="DB732" s="408">
        <v>0</v>
      </c>
      <c r="DC732" s="408"/>
      <c r="DD732" s="408"/>
      <c r="DE732" s="408">
        <v>0</v>
      </c>
      <c r="DF732" s="408">
        <v>0</v>
      </c>
      <c r="DG732" s="408">
        <v>0</v>
      </c>
      <c r="DH732" s="408">
        <v>0</v>
      </c>
      <c r="DI732" s="408">
        <v>0</v>
      </c>
      <c r="DJ732" s="408"/>
      <c r="DK732" s="408">
        <v>0</v>
      </c>
      <c r="DL732" s="408">
        <v>0</v>
      </c>
      <c r="DM732" s="408"/>
      <c r="DN732" s="408">
        <v>0</v>
      </c>
      <c r="DO732" s="408">
        <v>0</v>
      </c>
      <c r="DP732" s="408">
        <v>0</v>
      </c>
      <c r="DQ732" s="408">
        <v>0</v>
      </c>
      <c r="DR732" s="408">
        <v>0</v>
      </c>
      <c r="DS732" s="408"/>
      <c r="DT732" s="408"/>
      <c r="DU732" s="408">
        <v>104008.60343677118</v>
      </c>
      <c r="DV732" s="408"/>
      <c r="DW732" s="408">
        <v>0</v>
      </c>
      <c r="DX732" s="408">
        <v>0</v>
      </c>
      <c r="DY732" s="408">
        <v>-23598.78</v>
      </c>
      <c r="DZ732" s="408"/>
      <c r="EA732" s="408">
        <v>0</v>
      </c>
      <c r="EB732" s="408"/>
      <c r="EC732" s="408">
        <v>-25837.501346507226</v>
      </c>
      <c r="ED732" s="408"/>
      <c r="EE732" s="408">
        <v>0</v>
      </c>
      <c r="EF732" s="408">
        <v>0</v>
      </c>
      <c r="EG732" s="408"/>
      <c r="EH732" s="408">
        <v>0</v>
      </c>
      <c r="EI732" s="408">
        <v>0</v>
      </c>
      <c r="EJ732" s="408">
        <v>0</v>
      </c>
      <c r="EK732" s="408">
        <v>0</v>
      </c>
      <c r="EL732" s="408">
        <v>0</v>
      </c>
      <c r="EM732" s="408"/>
      <c r="EN732" s="408"/>
      <c r="EO732" s="408">
        <v>0</v>
      </c>
      <c r="EP732" s="408">
        <v>0</v>
      </c>
      <c r="EQ732" s="408"/>
      <c r="ER732" s="408">
        <v>0</v>
      </c>
      <c r="ES732" s="408"/>
      <c r="ET732" s="408">
        <v>0</v>
      </c>
      <c r="EU732" s="408"/>
      <c r="EV732" s="408">
        <v>240</v>
      </c>
      <c r="EW732" s="408"/>
      <c r="EX732" s="408"/>
      <c r="EY732" s="408"/>
      <c r="EZ732" s="408"/>
      <c r="FA732" s="408">
        <v>0</v>
      </c>
      <c r="FB732" s="408"/>
      <c r="FC732" s="408"/>
      <c r="FD732" s="408"/>
      <c r="FE732" s="408"/>
      <c r="FF732" s="408">
        <v>0</v>
      </c>
      <c r="FG732" s="408">
        <v>0</v>
      </c>
      <c r="FH732" s="408">
        <v>0</v>
      </c>
      <c r="FI732" s="408">
        <v>0</v>
      </c>
    </row>
    <row r="733" spans="1:165">
      <c r="A733" s="408">
        <v>731</v>
      </c>
      <c r="B733" s="408" t="s">
        <v>2238</v>
      </c>
      <c r="C733" s="408" t="s">
        <v>2243</v>
      </c>
      <c r="D733" s="408" t="s">
        <v>597</v>
      </c>
      <c r="E733" s="408" t="s">
        <v>998</v>
      </c>
      <c r="F733" s="408" t="s">
        <v>1322</v>
      </c>
      <c r="G733" s="408" t="s">
        <v>1322</v>
      </c>
      <c r="H733" s="408" t="s">
        <v>1322</v>
      </c>
      <c r="I733" s="408" t="s">
        <v>1322</v>
      </c>
      <c r="J733" s="408" t="s">
        <v>2236</v>
      </c>
      <c r="K733" s="826">
        <v>44682</v>
      </c>
      <c r="L733" s="408">
        <v>497</v>
      </c>
      <c r="M733" s="408">
        <v>497</v>
      </c>
      <c r="N733" s="408">
        <v>0</v>
      </c>
      <c r="O733" s="408">
        <v>0</v>
      </c>
      <c r="P733" s="408">
        <v>0</v>
      </c>
      <c r="Q733" s="408">
        <v>0</v>
      </c>
      <c r="R733" s="408">
        <v>27.19</v>
      </c>
      <c r="S733" s="408"/>
      <c r="T733" s="408"/>
      <c r="U733" s="408">
        <v>13513.43</v>
      </c>
      <c r="V733" s="408"/>
      <c r="W733" s="408">
        <v>13513.43</v>
      </c>
      <c r="X733" s="408">
        <v>10814.720000000001</v>
      </c>
      <c r="Y733" s="408">
        <v>0</v>
      </c>
      <c r="Z733" s="408">
        <v>0</v>
      </c>
      <c r="AA733" s="408">
        <v>0</v>
      </c>
      <c r="AB733" s="408">
        <v>0</v>
      </c>
      <c r="AC733" s="408">
        <v>115.90070487349931</v>
      </c>
      <c r="AD733" s="408">
        <v>111.34531516710074</v>
      </c>
      <c r="AE733" s="408">
        <v>11894.21903085027</v>
      </c>
      <c r="AF733" s="408"/>
      <c r="AG733" s="408"/>
      <c r="AH733" s="408"/>
      <c r="AI733" s="408">
        <v>0</v>
      </c>
      <c r="AJ733" s="408">
        <v>0</v>
      </c>
      <c r="AK733" s="408">
        <v>0</v>
      </c>
      <c r="AL733" s="408">
        <v>0</v>
      </c>
      <c r="AM733" s="408"/>
      <c r="AN733" s="408">
        <v>0</v>
      </c>
      <c r="AO733" s="408">
        <v>245.9577610519606</v>
      </c>
      <c r="AP733" s="408">
        <v>1147.1201549767106</v>
      </c>
      <c r="AQ733" s="408">
        <v>0</v>
      </c>
      <c r="AR733" s="408">
        <v>0</v>
      </c>
      <c r="AS733" s="408"/>
      <c r="AT733" s="408"/>
      <c r="AU733" s="408">
        <v>0</v>
      </c>
      <c r="AV733" s="408">
        <v>0</v>
      </c>
      <c r="AW733" s="408">
        <v>0</v>
      </c>
      <c r="AX733" s="408"/>
      <c r="AY733" s="408"/>
      <c r="AZ733" s="408">
        <v>0</v>
      </c>
      <c r="BA733" s="408"/>
      <c r="BB733" s="408">
        <v>0</v>
      </c>
      <c r="BC733" s="408">
        <v>0</v>
      </c>
      <c r="BD733" s="408">
        <v>0</v>
      </c>
      <c r="BE733" s="408">
        <v>0</v>
      </c>
      <c r="BF733" s="408"/>
      <c r="BG733" s="408">
        <v>0</v>
      </c>
      <c r="BH733" s="408">
        <v>0</v>
      </c>
      <c r="BI733" s="408">
        <v>22.51</v>
      </c>
      <c r="BJ733" s="408">
        <v>289.74</v>
      </c>
      <c r="BK733" s="408">
        <v>10469.280000000001</v>
      </c>
      <c r="BL733" s="408">
        <v>5</v>
      </c>
      <c r="BM733" s="408"/>
      <c r="BN733" s="408"/>
      <c r="BO733" s="408"/>
      <c r="BP733" s="408"/>
      <c r="BQ733" s="408"/>
      <c r="BR733" s="408"/>
      <c r="BS733" s="408"/>
      <c r="BT733" s="408"/>
      <c r="BU733" s="408"/>
      <c r="BV733" s="408">
        <v>0</v>
      </c>
      <c r="BW733" s="408"/>
      <c r="BX733" s="408"/>
      <c r="BY733" s="408"/>
      <c r="BZ733" s="408"/>
      <c r="CA733" s="408"/>
      <c r="CB733" s="408"/>
      <c r="CC733" s="408"/>
      <c r="CD733" s="408"/>
      <c r="CE733" s="408"/>
      <c r="CF733" s="408"/>
      <c r="CG733" s="408"/>
      <c r="CH733" s="408"/>
      <c r="CI733" s="408">
        <v>10814.720000000001</v>
      </c>
      <c r="CJ733" s="408">
        <v>-2698.74</v>
      </c>
      <c r="CK733" s="408"/>
      <c r="CL733" s="408"/>
      <c r="CM733" s="408"/>
      <c r="CN733" s="408"/>
      <c r="CO733" s="408">
        <v>-2698.71</v>
      </c>
      <c r="CP733" s="408">
        <v>0</v>
      </c>
      <c r="CQ733" s="408">
        <v>31</v>
      </c>
      <c r="CR733" s="408">
        <v>253.46601850248635</v>
      </c>
      <c r="CS733" s="408">
        <v>24.50916516822528</v>
      </c>
      <c r="CT733" s="408">
        <v>114.30807153991395</v>
      </c>
      <c r="CU733" s="408">
        <v>0</v>
      </c>
      <c r="CV733" s="408">
        <v>0</v>
      </c>
      <c r="CW733" s="408"/>
      <c r="CX733" s="408"/>
      <c r="CY733" s="408"/>
      <c r="CZ733" s="408">
        <v>114.64878179434724</v>
      </c>
      <c r="DA733" s="408">
        <v>0</v>
      </c>
      <c r="DB733" s="408">
        <v>0</v>
      </c>
      <c r="DC733" s="408"/>
      <c r="DD733" s="408"/>
      <c r="DE733" s="408">
        <v>0</v>
      </c>
      <c r="DF733" s="408">
        <v>0</v>
      </c>
      <c r="DG733" s="408">
        <v>0</v>
      </c>
      <c r="DH733" s="408">
        <v>0</v>
      </c>
      <c r="DI733" s="408">
        <v>0</v>
      </c>
      <c r="DJ733" s="408"/>
      <c r="DK733" s="408">
        <v>0</v>
      </c>
      <c r="DL733" s="408">
        <v>0</v>
      </c>
      <c r="DM733" s="408"/>
      <c r="DN733" s="408">
        <v>0</v>
      </c>
      <c r="DO733" s="408">
        <v>0</v>
      </c>
      <c r="DP733" s="408">
        <v>0</v>
      </c>
      <c r="DQ733" s="408">
        <v>0</v>
      </c>
      <c r="DR733" s="408">
        <v>0</v>
      </c>
      <c r="DS733" s="408"/>
      <c r="DT733" s="408"/>
      <c r="DU733" s="408">
        <v>11894.21903085027</v>
      </c>
      <c r="DV733" s="408"/>
      <c r="DW733" s="408">
        <v>0</v>
      </c>
      <c r="DX733" s="408">
        <v>0</v>
      </c>
      <c r="DY733" s="408">
        <v>-2698.7099999999991</v>
      </c>
      <c r="DZ733" s="408"/>
      <c r="EA733" s="408">
        <v>0</v>
      </c>
      <c r="EB733" s="408"/>
      <c r="EC733" s="408">
        <v>-2954.7257637400107</v>
      </c>
      <c r="ED733" s="408"/>
      <c r="EE733" s="408">
        <v>0</v>
      </c>
      <c r="EF733" s="408">
        <v>0</v>
      </c>
      <c r="EG733" s="408"/>
      <c r="EH733" s="408">
        <v>0</v>
      </c>
      <c r="EI733" s="408">
        <v>0</v>
      </c>
      <c r="EJ733" s="408">
        <v>0</v>
      </c>
      <c r="EK733" s="408">
        <v>0</v>
      </c>
      <c r="EL733" s="408">
        <v>0</v>
      </c>
      <c r="EM733" s="408"/>
      <c r="EN733" s="408"/>
      <c r="EO733" s="408">
        <v>0</v>
      </c>
      <c r="EP733" s="408">
        <v>0</v>
      </c>
      <c r="EQ733" s="408"/>
      <c r="ER733" s="408">
        <v>0</v>
      </c>
      <c r="ES733" s="408"/>
      <c r="ET733" s="408">
        <v>0</v>
      </c>
      <c r="EU733" s="408"/>
      <c r="EV733" s="408">
        <v>240</v>
      </c>
      <c r="EW733" s="408"/>
      <c r="EX733" s="408"/>
      <c r="EY733" s="408"/>
      <c r="EZ733" s="408"/>
      <c r="FA733" s="408">
        <v>0</v>
      </c>
      <c r="FB733" s="408"/>
      <c r="FC733" s="408"/>
      <c r="FD733" s="408"/>
      <c r="FE733" s="408"/>
      <c r="FF733" s="408">
        <v>0</v>
      </c>
      <c r="FG733" s="408">
        <v>0</v>
      </c>
      <c r="FH733" s="408">
        <v>0</v>
      </c>
      <c r="FI733" s="408">
        <v>0</v>
      </c>
    </row>
    <row r="734" spans="1:165">
      <c r="A734" s="408">
        <v>732</v>
      </c>
      <c r="B734" s="408" t="s">
        <v>1036</v>
      </c>
      <c r="C734" s="408" t="s">
        <v>2316</v>
      </c>
      <c r="D734" s="408" t="s">
        <v>1958</v>
      </c>
      <c r="E734" s="408" t="s">
        <v>998</v>
      </c>
      <c r="F734" s="408" t="s">
        <v>1322</v>
      </c>
      <c r="G734" s="408" t="s">
        <v>1322</v>
      </c>
      <c r="H734" s="408" t="s">
        <v>1322</v>
      </c>
      <c r="I734" s="408" t="s">
        <v>973</v>
      </c>
      <c r="J734" s="408" t="s">
        <v>2236</v>
      </c>
      <c r="K734" s="826">
        <v>44682</v>
      </c>
      <c r="L734" s="408">
        <v>0</v>
      </c>
      <c r="M734" s="408">
        <v>0</v>
      </c>
      <c r="N734" s="408">
        <v>0.621</v>
      </c>
      <c r="O734" s="408">
        <v>0.621</v>
      </c>
      <c r="P734" s="408">
        <v>0.621</v>
      </c>
      <c r="Q734" s="408">
        <v>0.621</v>
      </c>
      <c r="R734" s="408"/>
      <c r="S734" s="408">
        <v>1553.42</v>
      </c>
      <c r="T734" s="408">
        <v>173.25</v>
      </c>
      <c r="U734" s="408"/>
      <c r="V734" s="408">
        <v>1072.26207</v>
      </c>
      <c r="W734" s="408">
        <v>1072.26207</v>
      </c>
      <c r="X734" s="408">
        <v>1017.34704</v>
      </c>
      <c r="Y734" s="408">
        <v>0</v>
      </c>
      <c r="Z734" s="408">
        <v>38.219558766809016</v>
      </c>
      <c r="AA734" s="408">
        <v>0</v>
      </c>
      <c r="AB734" s="408">
        <v>0</v>
      </c>
      <c r="AC734" s="408">
        <v>67.346981797426949</v>
      </c>
      <c r="AD734" s="408">
        <v>4.6572640846712199</v>
      </c>
      <c r="AE734" s="408">
        <v>446.11888803779186</v>
      </c>
      <c r="AF734" s="408">
        <v>105.78143223347938</v>
      </c>
      <c r="AG734" s="408">
        <v>1.8053920224661164</v>
      </c>
      <c r="AH734" s="408">
        <v>0</v>
      </c>
      <c r="AI734" s="408">
        <v>0</v>
      </c>
      <c r="AJ734" s="408">
        <v>0</v>
      </c>
      <c r="AK734" s="408">
        <v>0</v>
      </c>
      <c r="AL734" s="408">
        <v>5.9051078022190797</v>
      </c>
      <c r="AM734" s="408"/>
      <c r="AN734" s="408">
        <v>0.75007901961924905</v>
      </c>
      <c r="AO734" s="408">
        <v>195.95901209127339</v>
      </c>
      <c r="AP734" s="408">
        <v>190.40238467318909</v>
      </c>
      <c r="AQ734" s="408">
        <v>0</v>
      </c>
      <c r="AR734" s="408">
        <v>0</v>
      </c>
      <c r="AS734" s="408">
        <v>0</v>
      </c>
      <c r="AT734" s="408">
        <v>0</v>
      </c>
      <c r="AU734" s="408">
        <v>0</v>
      </c>
      <c r="AV734" s="408">
        <v>0</v>
      </c>
      <c r="AW734" s="408">
        <v>0</v>
      </c>
      <c r="AX734" s="408">
        <v>0</v>
      </c>
      <c r="AY734" s="408">
        <v>0</v>
      </c>
      <c r="AZ734" s="408">
        <v>0</v>
      </c>
      <c r="BA734" s="408"/>
      <c r="BB734" s="408">
        <v>0</v>
      </c>
      <c r="BC734" s="408">
        <v>0</v>
      </c>
      <c r="BD734" s="408">
        <v>0</v>
      </c>
      <c r="BE734" s="408">
        <v>0</v>
      </c>
      <c r="BF734" s="408">
        <v>0</v>
      </c>
      <c r="BG734" s="408">
        <v>5.551610723347344</v>
      </c>
      <c r="BH734" s="408">
        <v>0</v>
      </c>
      <c r="BI734" s="408">
        <v>0</v>
      </c>
      <c r="BJ734" s="408">
        <v>0</v>
      </c>
      <c r="BK734" s="408">
        <v>0</v>
      </c>
      <c r="BL734" s="408">
        <v>0</v>
      </c>
      <c r="BM734" s="408"/>
      <c r="BN734" s="408"/>
      <c r="BO734" s="408"/>
      <c r="BP734" s="408"/>
      <c r="BQ734" s="408"/>
      <c r="BR734" s="408"/>
      <c r="BS734" s="408"/>
      <c r="BT734" s="408"/>
      <c r="BU734" s="408"/>
      <c r="BV734" s="408">
        <v>111.33304295682672</v>
      </c>
      <c r="BW734" s="408"/>
      <c r="BX734" s="408"/>
      <c r="BY734" s="408"/>
      <c r="BZ734" s="408"/>
      <c r="CA734" s="408"/>
      <c r="CB734" s="408"/>
      <c r="CC734" s="408"/>
      <c r="CD734" s="408"/>
      <c r="CE734" s="408"/>
      <c r="CF734" s="408"/>
      <c r="CG734" s="408"/>
      <c r="CH734" s="408"/>
      <c r="CI734" s="408">
        <v>1015.7088</v>
      </c>
      <c r="CJ734" s="408">
        <v>-56.58326999999997</v>
      </c>
      <c r="CK734" s="408"/>
      <c r="CL734" s="408"/>
      <c r="CM734" s="408"/>
      <c r="CN734" s="408"/>
      <c r="CO734" s="408">
        <v>-68.322419999999994</v>
      </c>
      <c r="CP734" s="408">
        <v>13.407390000000001</v>
      </c>
      <c r="CQ734" s="408">
        <v>31</v>
      </c>
      <c r="CR734" s="408">
        <v>55.907461809970755</v>
      </c>
      <c r="CS734" s="408">
        <v>19.526896703750253</v>
      </c>
      <c r="CT734" s="408">
        <v>18.973190658510703</v>
      </c>
      <c r="CU734" s="408">
        <v>0</v>
      </c>
      <c r="CV734" s="408">
        <v>0</v>
      </c>
      <c r="CW734" s="408">
        <v>0</v>
      </c>
      <c r="CX734" s="408">
        <v>0</v>
      </c>
      <c r="CY734" s="408">
        <v>0</v>
      </c>
      <c r="CZ734" s="408">
        <v>4.7954388830890329</v>
      </c>
      <c r="DA734" s="408">
        <v>0</v>
      </c>
      <c r="DB734" s="408">
        <v>0</v>
      </c>
      <c r="DC734" s="408">
        <v>13.40587622813652</v>
      </c>
      <c r="DD734" s="408">
        <v>0</v>
      </c>
      <c r="DE734" s="408">
        <v>0</v>
      </c>
      <c r="DF734" s="408">
        <v>0</v>
      </c>
      <c r="DG734" s="408">
        <v>0.7035658777971916</v>
      </c>
      <c r="DH734" s="408">
        <v>0</v>
      </c>
      <c r="DI734" s="408">
        <v>-1.2978152734465809</v>
      </c>
      <c r="DJ734" s="408"/>
      <c r="DK734" s="408">
        <v>0</v>
      </c>
      <c r="DL734" s="408">
        <v>0</v>
      </c>
      <c r="DM734" s="408">
        <v>0</v>
      </c>
      <c r="DN734" s="408">
        <v>0</v>
      </c>
      <c r="DO734" s="408">
        <v>-0.17847045988355781</v>
      </c>
      <c r="DP734" s="408">
        <v>-2.1220807982682666E-2</v>
      </c>
      <c r="DQ734" s="408">
        <v>0</v>
      </c>
      <c r="DR734" s="408">
        <v>0</v>
      </c>
      <c r="DS734" s="408"/>
      <c r="DT734" s="408"/>
      <c r="DU734" s="408"/>
      <c r="DV734" s="408">
        <v>446.11888803779186</v>
      </c>
      <c r="DW734" s="408">
        <v>0</v>
      </c>
      <c r="DX734" s="408">
        <v>0</v>
      </c>
      <c r="DY734" s="408">
        <v>-68.322420000000079</v>
      </c>
      <c r="DZ734" s="408">
        <v>13.407389999999992</v>
      </c>
      <c r="EA734" s="408">
        <v>0</v>
      </c>
      <c r="EB734" s="408">
        <v>0</v>
      </c>
      <c r="EC734" s="408">
        <v>-110.8234991097259</v>
      </c>
      <c r="ED734" s="408">
        <v>0</v>
      </c>
      <c r="EE734" s="408">
        <v>0</v>
      </c>
      <c r="EF734" s="408">
        <v>0</v>
      </c>
      <c r="EG734" s="408">
        <v>0</v>
      </c>
      <c r="EH734" s="408">
        <v>0</v>
      </c>
      <c r="EI734" s="408">
        <v>0</v>
      </c>
      <c r="EJ734" s="408">
        <v>0</v>
      </c>
      <c r="EK734" s="408">
        <v>0</v>
      </c>
      <c r="EL734" s="408">
        <v>0</v>
      </c>
      <c r="EM734" s="408">
        <v>0</v>
      </c>
      <c r="EN734" s="408">
        <v>0</v>
      </c>
      <c r="EO734" s="408">
        <v>0</v>
      </c>
      <c r="EP734" s="408">
        <v>9.7605936604501231</v>
      </c>
      <c r="EQ734" s="408">
        <v>0</v>
      </c>
      <c r="ER734" s="408">
        <v>0</v>
      </c>
      <c r="ES734" s="408">
        <v>0</v>
      </c>
      <c r="ET734" s="408">
        <v>0</v>
      </c>
      <c r="EU734" s="408">
        <v>0</v>
      </c>
      <c r="EV734" s="408">
        <v>240</v>
      </c>
      <c r="EW734" s="408">
        <v>0</v>
      </c>
      <c r="EX734" s="408">
        <v>0</v>
      </c>
      <c r="EY734" s="408">
        <v>0</v>
      </c>
      <c r="EZ734" s="408"/>
      <c r="FA734" s="408">
        <v>0</v>
      </c>
      <c r="FB734" s="408"/>
      <c r="FC734" s="408"/>
      <c r="FD734" s="408"/>
      <c r="FE734" s="408"/>
      <c r="FF734" s="408">
        <v>0</v>
      </c>
      <c r="FG734" s="408">
        <v>0</v>
      </c>
      <c r="FH734" s="408">
        <v>0</v>
      </c>
      <c r="FI734" s="408">
        <v>0</v>
      </c>
    </row>
    <row r="735" spans="1:165">
      <c r="A735" s="408">
        <v>733</v>
      </c>
      <c r="B735" s="408" t="s">
        <v>1036</v>
      </c>
      <c r="C735" s="408" t="s">
        <v>2316</v>
      </c>
      <c r="D735" s="408" t="s">
        <v>1958</v>
      </c>
      <c r="E735" s="408" t="s">
        <v>998</v>
      </c>
      <c r="F735" s="408" t="s">
        <v>1322</v>
      </c>
      <c r="G735" s="408" t="s">
        <v>1322</v>
      </c>
      <c r="H735" s="408" t="s">
        <v>1322</v>
      </c>
      <c r="I735" s="408" t="s">
        <v>2244</v>
      </c>
      <c r="J735" s="408" t="s">
        <v>2236</v>
      </c>
      <c r="K735" s="826">
        <v>44682</v>
      </c>
      <c r="L735" s="408">
        <v>0</v>
      </c>
      <c r="M735" s="408">
        <v>0</v>
      </c>
      <c r="N735" s="408">
        <v>8.7420000000000009</v>
      </c>
      <c r="O735" s="408">
        <v>8.7420000000000009</v>
      </c>
      <c r="P735" s="408">
        <v>8.7420000000000009</v>
      </c>
      <c r="Q735" s="408">
        <v>8.7420000000000009</v>
      </c>
      <c r="R735" s="408"/>
      <c r="S735" s="408">
        <v>388.22</v>
      </c>
      <c r="T735" s="408">
        <v>173.25</v>
      </c>
      <c r="U735" s="408"/>
      <c r="V735" s="408">
        <v>4908.3707400000012</v>
      </c>
      <c r="W735" s="408">
        <v>4908.3707400000012</v>
      </c>
      <c r="X735" s="408">
        <v>4895.7822600000009</v>
      </c>
      <c r="Y735" s="408">
        <v>0</v>
      </c>
      <c r="Z735" s="408">
        <v>538.02799152889611</v>
      </c>
      <c r="AA735" s="408">
        <v>0</v>
      </c>
      <c r="AB735" s="408">
        <v>0</v>
      </c>
      <c r="AC735" s="408">
        <v>189.61266179488132</v>
      </c>
      <c r="AD735" s="408">
        <v>13.112348058770685</v>
      </c>
      <c r="AE735" s="408">
        <v>1256.0303518165265</v>
      </c>
      <c r="AF735" s="408">
        <v>1489.1163938568063</v>
      </c>
      <c r="AG735" s="408">
        <v>25.415035523991612</v>
      </c>
      <c r="AH735" s="408">
        <v>0</v>
      </c>
      <c r="AI735" s="408">
        <v>0</v>
      </c>
      <c r="AJ735" s="408">
        <v>0</v>
      </c>
      <c r="AK735" s="408">
        <v>0</v>
      </c>
      <c r="AL735" s="408">
        <v>83.127942684378738</v>
      </c>
      <c r="AM735" s="408"/>
      <c r="AN735" s="408">
        <v>10.559083396958899</v>
      </c>
      <c r="AO735" s="408">
        <v>551.71455191687994</v>
      </c>
      <c r="AP735" s="408">
        <v>536.07009559195467</v>
      </c>
      <c r="AQ735" s="408">
        <v>0</v>
      </c>
      <c r="AR735" s="408">
        <v>0</v>
      </c>
      <c r="AS735" s="408">
        <v>0</v>
      </c>
      <c r="AT735" s="408">
        <v>0</v>
      </c>
      <c r="AU735" s="408">
        <v>0</v>
      </c>
      <c r="AV735" s="408">
        <v>0</v>
      </c>
      <c r="AW735" s="408">
        <v>0</v>
      </c>
      <c r="AX735" s="408">
        <v>0</v>
      </c>
      <c r="AY735" s="408">
        <v>0</v>
      </c>
      <c r="AZ735" s="408">
        <v>0</v>
      </c>
      <c r="BA735" s="408"/>
      <c r="BB735" s="408">
        <v>0</v>
      </c>
      <c r="BC735" s="408">
        <v>0</v>
      </c>
      <c r="BD735" s="408">
        <v>0</v>
      </c>
      <c r="BE735" s="408">
        <v>0</v>
      </c>
      <c r="BF735" s="408">
        <v>0</v>
      </c>
      <c r="BG735" s="408">
        <v>78.151660134464549</v>
      </c>
      <c r="BH735" s="408">
        <v>0</v>
      </c>
      <c r="BI735" s="408">
        <v>0</v>
      </c>
      <c r="BJ735" s="408">
        <v>0</v>
      </c>
      <c r="BK735" s="408">
        <v>0</v>
      </c>
      <c r="BL735" s="408">
        <v>0</v>
      </c>
      <c r="BM735" s="408"/>
      <c r="BN735" s="408"/>
      <c r="BO735" s="408"/>
      <c r="BP735" s="408"/>
      <c r="BQ735" s="408"/>
      <c r="BR735" s="408"/>
      <c r="BS735" s="408"/>
      <c r="BT735" s="408"/>
      <c r="BU735" s="408"/>
      <c r="BV735" s="408">
        <v>1567.2680539912708</v>
      </c>
      <c r="BW735" s="408"/>
      <c r="BX735" s="408"/>
      <c r="BY735" s="408"/>
      <c r="BZ735" s="408"/>
      <c r="CA735" s="408"/>
      <c r="CB735" s="408"/>
      <c r="CC735" s="408"/>
      <c r="CD735" s="408"/>
      <c r="CE735" s="408"/>
      <c r="CF735" s="408"/>
      <c r="CG735" s="408"/>
      <c r="CH735" s="408"/>
      <c r="CI735" s="408">
        <v>4894.6622000000007</v>
      </c>
      <c r="CJ735" s="408">
        <v>-13.738540000001194</v>
      </c>
      <c r="CK735" s="408"/>
      <c r="CL735" s="408"/>
      <c r="CM735" s="408"/>
      <c r="CN735" s="408"/>
      <c r="CO735" s="408">
        <v>-201.32826000000028</v>
      </c>
      <c r="CP735" s="408">
        <v>188.73978000000005</v>
      </c>
      <c r="CQ735" s="408">
        <v>31</v>
      </c>
      <c r="CR735" s="408">
        <v>299.4387224447396</v>
      </c>
      <c r="CS735" s="408">
        <v>54.977175840316136</v>
      </c>
      <c r="CT735" s="408">
        <v>53.41823920666593</v>
      </c>
      <c r="CU735" s="408">
        <v>0</v>
      </c>
      <c r="CV735" s="408">
        <v>0</v>
      </c>
      <c r="CW735" s="408">
        <v>0</v>
      </c>
      <c r="CX735" s="408">
        <v>0</v>
      </c>
      <c r="CY735" s="408">
        <v>0</v>
      </c>
      <c r="CZ735" s="408">
        <v>13.501373893867296</v>
      </c>
      <c r="DA735" s="408">
        <v>0</v>
      </c>
      <c r="DB735" s="408">
        <v>0</v>
      </c>
      <c r="DC735" s="408">
        <v>188.71847018739049</v>
      </c>
      <c r="DD735" s="408">
        <v>0</v>
      </c>
      <c r="DE735" s="408">
        <v>0</v>
      </c>
      <c r="DF735" s="408">
        <v>0</v>
      </c>
      <c r="DG735" s="408">
        <v>9.9043041927585307</v>
      </c>
      <c r="DH735" s="408">
        <v>0</v>
      </c>
      <c r="DI735" s="408">
        <v>-18.269728052286723</v>
      </c>
      <c r="DJ735" s="408"/>
      <c r="DK735" s="408">
        <v>0</v>
      </c>
      <c r="DL735" s="408">
        <v>0</v>
      </c>
      <c r="DM735" s="408">
        <v>0</v>
      </c>
      <c r="DN735" s="408">
        <v>0</v>
      </c>
      <c r="DO735" s="408">
        <v>-2.5123812565250603</v>
      </c>
      <c r="DP735" s="408">
        <v>-0.29873156744704055</v>
      </c>
      <c r="DQ735" s="408">
        <v>0</v>
      </c>
      <c r="DR735" s="408">
        <v>0</v>
      </c>
      <c r="DS735" s="408"/>
      <c r="DT735" s="408"/>
      <c r="DU735" s="408"/>
      <c r="DV735" s="408">
        <v>1256.0303518165265</v>
      </c>
      <c r="DW735" s="408">
        <v>0</v>
      </c>
      <c r="DX735" s="408">
        <v>0</v>
      </c>
      <c r="DY735" s="408">
        <v>-201.32826000000023</v>
      </c>
      <c r="DZ735" s="408">
        <v>188.73977999999988</v>
      </c>
      <c r="EA735" s="408">
        <v>0</v>
      </c>
      <c r="EB735" s="408">
        <v>0</v>
      </c>
      <c r="EC735" s="408">
        <v>-312.01924488912209</v>
      </c>
      <c r="ED735" s="408">
        <v>0</v>
      </c>
      <c r="EE735" s="408">
        <v>0</v>
      </c>
      <c r="EF735" s="408">
        <v>0</v>
      </c>
      <c r="EG735" s="408">
        <v>0</v>
      </c>
      <c r="EH735" s="408">
        <v>0</v>
      </c>
      <c r="EI735" s="408">
        <v>0</v>
      </c>
      <c r="EJ735" s="408">
        <v>0</v>
      </c>
      <c r="EK735" s="408">
        <v>0</v>
      </c>
      <c r="EL735" s="408">
        <v>0</v>
      </c>
      <c r="EM735" s="408">
        <v>0</v>
      </c>
      <c r="EN735" s="408">
        <v>0</v>
      </c>
      <c r="EO735" s="408">
        <v>0</v>
      </c>
      <c r="EP735" s="408">
        <v>137.4027532683655</v>
      </c>
      <c r="EQ735" s="408">
        <v>0</v>
      </c>
      <c r="ER735" s="408">
        <v>0</v>
      </c>
      <c r="ES735" s="408">
        <v>0</v>
      </c>
      <c r="ET735" s="408">
        <v>0</v>
      </c>
      <c r="EU735" s="408">
        <v>0</v>
      </c>
      <c r="EV735" s="408">
        <v>240</v>
      </c>
      <c r="EW735" s="408">
        <v>0</v>
      </c>
      <c r="EX735" s="408">
        <v>0</v>
      </c>
      <c r="EY735" s="408">
        <v>0</v>
      </c>
      <c r="EZ735" s="408"/>
      <c r="FA735" s="408">
        <v>0</v>
      </c>
      <c r="FB735" s="408"/>
      <c r="FC735" s="408"/>
      <c r="FD735" s="408"/>
      <c r="FE735" s="408"/>
      <c r="FF735" s="408">
        <v>0</v>
      </c>
      <c r="FG735" s="408">
        <v>0</v>
      </c>
      <c r="FH735" s="408">
        <v>0</v>
      </c>
      <c r="FI735" s="408">
        <v>0</v>
      </c>
    </row>
    <row r="736" spans="1:165">
      <c r="A736" s="408">
        <v>734</v>
      </c>
      <c r="B736" s="408" t="s">
        <v>1036</v>
      </c>
      <c r="C736" s="408" t="s">
        <v>2316</v>
      </c>
      <c r="D736" s="408" t="s">
        <v>1958</v>
      </c>
      <c r="E736" s="408" t="s">
        <v>998</v>
      </c>
      <c r="F736" s="408" t="s">
        <v>1322</v>
      </c>
      <c r="G736" s="408" t="s">
        <v>1322</v>
      </c>
      <c r="H736" s="408" t="s">
        <v>1322</v>
      </c>
      <c r="I736" s="408" t="s">
        <v>1322</v>
      </c>
      <c r="J736" s="408" t="s">
        <v>2236</v>
      </c>
      <c r="K736" s="826">
        <v>44682</v>
      </c>
      <c r="L736" s="408">
        <v>0</v>
      </c>
      <c r="M736" s="408">
        <v>0</v>
      </c>
      <c r="N736" s="408">
        <v>0</v>
      </c>
      <c r="O736" s="408">
        <v>0</v>
      </c>
      <c r="P736" s="408">
        <v>0</v>
      </c>
      <c r="Q736" s="408">
        <v>0</v>
      </c>
      <c r="R736" s="408"/>
      <c r="S736" s="408"/>
      <c r="T736" s="408"/>
      <c r="U736" s="408"/>
      <c r="V736" s="408"/>
      <c r="W736" s="408"/>
      <c r="X736" s="408"/>
      <c r="Y736" s="408"/>
      <c r="Z736" s="408"/>
      <c r="AA736" s="408">
        <v>0</v>
      </c>
      <c r="AB736" s="408"/>
      <c r="AC736" s="408"/>
      <c r="AD736" s="408"/>
      <c r="AE736" s="408"/>
      <c r="AF736" s="408"/>
      <c r="AG736" s="408"/>
      <c r="AH736" s="408"/>
      <c r="AI736" s="408"/>
      <c r="AJ736" s="408"/>
      <c r="AK736" s="408"/>
      <c r="AL736" s="408"/>
      <c r="AM736" s="408"/>
      <c r="AN736" s="408"/>
      <c r="AO736" s="408"/>
      <c r="AP736" s="408"/>
      <c r="AQ736" s="408"/>
      <c r="AR736" s="408"/>
      <c r="AS736" s="408"/>
      <c r="AT736" s="408"/>
      <c r="AU736" s="408"/>
      <c r="AV736" s="408"/>
      <c r="AW736" s="408"/>
      <c r="AX736" s="408"/>
      <c r="AY736" s="408"/>
      <c r="AZ736" s="408">
        <v>0</v>
      </c>
      <c r="BA736" s="408"/>
      <c r="BB736" s="408"/>
      <c r="BC736" s="408"/>
      <c r="BD736" s="408"/>
      <c r="BE736" s="408"/>
      <c r="BF736" s="408"/>
      <c r="BG736" s="408"/>
      <c r="BH736" s="408"/>
      <c r="BI736" s="408">
        <v>4.66</v>
      </c>
      <c r="BJ736" s="408">
        <v>60.15</v>
      </c>
      <c r="BK736" s="408">
        <v>2228.12</v>
      </c>
      <c r="BL736" s="408">
        <v>6</v>
      </c>
      <c r="BM736" s="408"/>
      <c r="BN736" s="408"/>
      <c r="BO736" s="408"/>
      <c r="BP736" s="408"/>
      <c r="BQ736" s="408"/>
      <c r="BR736" s="408"/>
      <c r="BS736" s="408"/>
      <c r="BT736" s="408"/>
      <c r="BU736" s="408"/>
      <c r="BV736" s="408"/>
      <c r="BW736" s="408"/>
      <c r="BX736" s="408"/>
      <c r="BY736" s="408"/>
      <c r="BZ736" s="408"/>
      <c r="CA736" s="408"/>
      <c r="CB736" s="408"/>
      <c r="CC736" s="408"/>
      <c r="CD736" s="408"/>
      <c r="CE736" s="408"/>
      <c r="CF736" s="408"/>
      <c r="CG736" s="408"/>
      <c r="CH736" s="408"/>
      <c r="CI736" s="408"/>
      <c r="CJ736" s="408">
        <v>-0.03</v>
      </c>
      <c r="CK736" s="408"/>
      <c r="CL736" s="408"/>
      <c r="CM736" s="408"/>
      <c r="CN736" s="408"/>
      <c r="CO736" s="408">
        <v>0</v>
      </c>
      <c r="CP736" s="408">
        <v>0</v>
      </c>
      <c r="CQ736" s="408">
        <v>31</v>
      </c>
      <c r="CR736" s="408"/>
      <c r="CS736" s="408"/>
      <c r="CT736" s="408"/>
      <c r="CU736" s="408"/>
      <c r="CV736" s="408"/>
      <c r="CW736" s="408"/>
      <c r="CX736" s="408"/>
      <c r="CY736" s="408"/>
      <c r="CZ736" s="408"/>
      <c r="DA736" s="408"/>
      <c r="DB736" s="408"/>
      <c r="DC736" s="408"/>
      <c r="DD736" s="408"/>
      <c r="DE736" s="408"/>
      <c r="DF736" s="408"/>
      <c r="DG736" s="408"/>
      <c r="DH736" s="408"/>
      <c r="DI736" s="408"/>
      <c r="DJ736" s="408"/>
      <c r="DK736" s="408">
        <v>0</v>
      </c>
      <c r="DL736" s="408"/>
      <c r="DM736" s="408"/>
      <c r="DN736" s="408"/>
      <c r="DO736" s="408"/>
      <c r="DP736" s="408"/>
      <c r="DQ736" s="408"/>
      <c r="DR736" s="408"/>
      <c r="DS736" s="408"/>
      <c r="DT736" s="408"/>
      <c r="DU736" s="408"/>
      <c r="DV736" s="408"/>
      <c r="DW736" s="408"/>
      <c r="DX736" s="408"/>
      <c r="DY736" s="408"/>
      <c r="DZ736" s="408"/>
      <c r="EA736" s="408"/>
      <c r="EB736" s="408"/>
      <c r="EC736" s="408"/>
      <c r="ED736" s="408"/>
      <c r="EE736" s="408"/>
      <c r="EF736" s="408"/>
      <c r="EG736" s="408"/>
      <c r="EH736" s="408"/>
      <c r="EI736" s="408"/>
      <c r="EJ736" s="408"/>
      <c r="EK736" s="408"/>
      <c r="EL736" s="408"/>
      <c r="EM736" s="408"/>
      <c r="EN736" s="408"/>
      <c r="EO736" s="408"/>
      <c r="EP736" s="408"/>
      <c r="EQ736" s="408"/>
      <c r="ER736" s="408"/>
      <c r="ES736" s="408"/>
      <c r="ET736" s="408"/>
      <c r="EU736" s="408"/>
      <c r="EV736" s="408">
        <v>240</v>
      </c>
      <c r="EW736" s="408"/>
      <c r="EX736" s="408"/>
      <c r="EY736" s="408"/>
      <c r="EZ736" s="408"/>
      <c r="FA736" s="408">
        <v>0</v>
      </c>
      <c r="FB736" s="408"/>
      <c r="FC736" s="408"/>
      <c r="FD736" s="408"/>
      <c r="FE736" s="408"/>
      <c r="FF736" s="408">
        <v>0</v>
      </c>
      <c r="FG736" s="408">
        <v>0</v>
      </c>
      <c r="FH736" s="408">
        <v>0</v>
      </c>
      <c r="FI736" s="408">
        <v>0</v>
      </c>
    </row>
    <row r="737" spans="1:165">
      <c r="A737" s="408">
        <v>735</v>
      </c>
      <c r="B737" s="408" t="s">
        <v>1036</v>
      </c>
      <c r="C737" s="408" t="s">
        <v>2316</v>
      </c>
      <c r="D737" s="408" t="s">
        <v>1958</v>
      </c>
      <c r="E737" s="408" t="s">
        <v>998</v>
      </c>
      <c r="F737" s="408" t="s">
        <v>1322</v>
      </c>
      <c r="G737" s="408" t="s">
        <v>1322</v>
      </c>
      <c r="H737" s="408" t="s">
        <v>1322</v>
      </c>
      <c r="I737" s="408" t="s">
        <v>2317</v>
      </c>
      <c r="J737" s="408" t="s">
        <v>2236</v>
      </c>
      <c r="K737" s="826">
        <v>44682</v>
      </c>
      <c r="L737" s="408">
        <v>0</v>
      </c>
      <c r="M737" s="408">
        <v>0</v>
      </c>
      <c r="N737" s="408">
        <v>0.47599999999999998</v>
      </c>
      <c r="O737" s="408">
        <v>0.47599999999999998</v>
      </c>
      <c r="P737" s="408">
        <v>0.47599999999999998</v>
      </c>
      <c r="Q737" s="408">
        <v>0.47599999999999998</v>
      </c>
      <c r="R737" s="408"/>
      <c r="S737" s="408">
        <v>970.82</v>
      </c>
      <c r="T737" s="408">
        <v>173.25</v>
      </c>
      <c r="U737" s="408"/>
      <c r="V737" s="408">
        <v>544.57731999999999</v>
      </c>
      <c r="W737" s="408">
        <v>544.57731999999999</v>
      </c>
      <c r="X737" s="408">
        <v>523.18588</v>
      </c>
      <c r="Y737" s="408">
        <v>0</v>
      </c>
      <c r="Z737" s="408">
        <v>29.295507202900307</v>
      </c>
      <c r="AA737" s="408">
        <v>0</v>
      </c>
      <c r="AB737" s="408">
        <v>0</v>
      </c>
      <c r="AC737" s="408">
        <v>30.973104672053406</v>
      </c>
      <c r="AD737" s="408">
        <v>2.1418935058252679</v>
      </c>
      <c r="AE737" s="408">
        <v>205.17163648425344</v>
      </c>
      <c r="AF737" s="408">
        <v>81.082063998608987</v>
      </c>
      <c r="AG737" s="408">
        <v>1.3838431605376351</v>
      </c>
      <c r="AH737" s="408">
        <v>0</v>
      </c>
      <c r="AI737" s="408">
        <v>0</v>
      </c>
      <c r="AJ737" s="408">
        <v>0</v>
      </c>
      <c r="AK737" s="408">
        <v>0</v>
      </c>
      <c r="AL737" s="408">
        <v>4.526298412006895</v>
      </c>
      <c r="AM737" s="408"/>
      <c r="AN737" s="408">
        <v>0.57493979603665468</v>
      </c>
      <c r="AO737" s="408">
        <v>90.122212324102449</v>
      </c>
      <c r="AP737" s="408">
        <v>87.566700583998269</v>
      </c>
      <c r="AQ737" s="408">
        <v>0</v>
      </c>
      <c r="AR737" s="408">
        <v>0</v>
      </c>
      <c r="AS737" s="408">
        <v>0</v>
      </c>
      <c r="AT737" s="408">
        <v>0</v>
      </c>
      <c r="AU737" s="408">
        <v>0</v>
      </c>
      <c r="AV737" s="408">
        <v>0</v>
      </c>
      <c r="AW737" s="408">
        <v>0</v>
      </c>
      <c r="AX737" s="408">
        <v>0</v>
      </c>
      <c r="AY737" s="408">
        <v>0</v>
      </c>
      <c r="AZ737" s="408">
        <v>0</v>
      </c>
      <c r="BA737" s="408"/>
      <c r="BB737" s="408">
        <v>0</v>
      </c>
      <c r="BC737" s="408">
        <v>0</v>
      </c>
      <c r="BD737" s="408">
        <v>0</v>
      </c>
      <c r="BE737" s="408">
        <v>0</v>
      </c>
      <c r="BF737" s="408">
        <v>0</v>
      </c>
      <c r="BG737" s="408">
        <v>4.2553409087171268</v>
      </c>
      <c r="BH737" s="408">
        <v>0</v>
      </c>
      <c r="BI737" s="408">
        <v>0</v>
      </c>
      <c r="BJ737" s="408">
        <v>0</v>
      </c>
      <c r="BK737" s="408">
        <v>0</v>
      </c>
      <c r="BL737" s="408">
        <v>0</v>
      </c>
      <c r="BM737" s="408"/>
      <c r="BN737" s="408"/>
      <c r="BO737" s="408"/>
      <c r="BP737" s="408"/>
      <c r="BQ737" s="408"/>
      <c r="BR737" s="408"/>
      <c r="BS737" s="408"/>
      <c r="BT737" s="408"/>
      <c r="BU737" s="408"/>
      <c r="BV737" s="408">
        <v>85.337404907326118</v>
      </c>
      <c r="BW737" s="408"/>
      <c r="BX737" s="408"/>
      <c r="BY737" s="408"/>
      <c r="BZ737" s="408"/>
      <c r="CA737" s="408"/>
      <c r="CB737" s="408"/>
      <c r="CC737" s="408"/>
      <c r="CD737" s="408"/>
      <c r="CE737" s="408"/>
      <c r="CF737" s="408"/>
      <c r="CG737" s="408"/>
      <c r="CH737" s="408"/>
      <c r="CI737" s="408">
        <v>527.58240000000001</v>
      </c>
      <c r="CJ737" s="408">
        <v>-17.024919999999952</v>
      </c>
      <c r="CK737" s="408"/>
      <c r="CL737" s="408"/>
      <c r="CM737" s="408"/>
      <c r="CN737" s="408"/>
      <c r="CO737" s="408">
        <v>-31.668280000000038</v>
      </c>
      <c r="CP737" s="408">
        <v>10.276840000000002</v>
      </c>
      <c r="CQ737" s="408">
        <v>31</v>
      </c>
      <c r="CR737" s="408">
        <v>29.578880685813715</v>
      </c>
      <c r="CS737" s="408">
        <v>8.9804858270388479</v>
      </c>
      <c r="CT737" s="408">
        <v>8.7258345443966903</v>
      </c>
      <c r="CU737" s="408">
        <v>0</v>
      </c>
      <c r="CV737" s="408">
        <v>0</v>
      </c>
      <c r="CW737" s="408">
        <v>0</v>
      </c>
      <c r="CX737" s="408">
        <v>0</v>
      </c>
      <c r="CY737" s="408">
        <v>0</v>
      </c>
      <c r="CZ737" s="408">
        <v>2.2054406223338572</v>
      </c>
      <c r="DA737" s="408">
        <v>0</v>
      </c>
      <c r="DB737" s="408">
        <v>0</v>
      </c>
      <c r="DC737" s="408">
        <v>10.275679685334921</v>
      </c>
      <c r="DD737" s="408">
        <v>0</v>
      </c>
      <c r="DE737" s="408">
        <v>0</v>
      </c>
      <c r="DF737" s="408">
        <v>0</v>
      </c>
      <c r="DG737" s="408">
        <v>0.53928721067868413</v>
      </c>
      <c r="DH737" s="408">
        <v>0</v>
      </c>
      <c r="DI737" s="408">
        <v>-0.99478272167564086</v>
      </c>
      <c r="DJ737" s="408"/>
      <c r="DK737" s="408">
        <v>0</v>
      </c>
      <c r="DL737" s="408">
        <v>0</v>
      </c>
      <c r="DM737" s="408">
        <v>0</v>
      </c>
      <c r="DN737" s="408">
        <v>0</v>
      </c>
      <c r="DO737" s="408">
        <v>-0.13679861337290422</v>
      </c>
      <c r="DP737" s="408">
        <v>-1.6265868920703697E-2</v>
      </c>
      <c r="DQ737" s="408">
        <v>0</v>
      </c>
      <c r="DR737" s="408">
        <v>0</v>
      </c>
      <c r="DS737" s="408"/>
      <c r="DT737" s="408"/>
      <c r="DU737" s="408"/>
      <c r="DV737" s="408">
        <v>205.17163648425344</v>
      </c>
      <c r="DW737" s="408">
        <v>0</v>
      </c>
      <c r="DX737" s="408">
        <v>0</v>
      </c>
      <c r="DY737" s="408">
        <v>-31.668280000000038</v>
      </c>
      <c r="DZ737" s="408">
        <v>10.276839999999993</v>
      </c>
      <c r="EA737" s="408">
        <v>0</v>
      </c>
      <c r="EB737" s="408">
        <v>0</v>
      </c>
      <c r="EC737" s="408">
        <v>-50.968114740139441</v>
      </c>
      <c r="ED737" s="408">
        <v>0</v>
      </c>
      <c r="EE737" s="408">
        <v>0</v>
      </c>
      <c r="EF737" s="408">
        <v>0</v>
      </c>
      <c r="EG737" s="408">
        <v>0</v>
      </c>
      <c r="EH737" s="408">
        <v>0</v>
      </c>
      <c r="EI737" s="408">
        <v>0</v>
      </c>
      <c r="EJ737" s="408">
        <v>0</v>
      </c>
      <c r="EK737" s="408">
        <v>0</v>
      </c>
      <c r="EL737" s="408">
        <v>0</v>
      </c>
      <c r="EM737" s="408">
        <v>0</v>
      </c>
      <c r="EN737" s="408">
        <v>0</v>
      </c>
      <c r="EO737" s="408">
        <v>0</v>
      </c>
      <c r="EP737" s="408">
        <v>7.4815500521324614</v>
      </c>
      <c r="EQ737" s="408">
        <v>0</v>
      </c>
      <c r="ER737" s="408">
        <v>0</v>
      </c>
      <c r="ES737" s="408">
        <v>0</v>
      </c>
      <c r="ET737" s="408">
        <v>0</v>
      </c>
      <c r="EU737" s="408">
        <v>0</v>
      </c>
      <c r="EV737" s="408">
        <v>240</v>
      </c>
      <c r="EW737" s="408">
        <v>0</v>
      </c>
      <c r="EX737" s="408">
        <v>0</v>
      </c>
      <c r="EY737" s="408">
        <v>0</v>
      </c>
      <c r="EZ737" s="408"/>
      <c r="FA737" s="408">
        <v>0</v>
      </c>
      <c r="FB737" s="408"/>
      <c r="FC737" s="408"/>
      <c r="FD737" s="408"/>
      <c r="FE737" s="408"/>
      <c r="FF737" s="408">
        <v>0</v>
      </c>
      <c r="FG737" s="408">
        <v>0</v>
      </c>
      <c r="FH737" s="408">
        <v>0</v>
      </c>
      <c r="FI737" s="408">
        <v>0</v>
      </c>
    </row>
    <row r="738" spans="1:165">
      <c r="A738" s="408">
        <v>736</v>
      </c>
      <c r="B738" s="408" t="s">
        <v>1036</v>
      </c>
      <c r="C738" s="408" t="s">
        <v>2235</v>
      </c>
      <c r="D738" s="408" t="s">
        <v>2245</v>
      </c>
      <c r="E738" s="408" t="s">
        <v>974</v>
      </c>
      <c r="F738" s="408" t="s">
        <v>1322</v>
      </c>
      <c r="G738" s="408" t="s">
        <v>1322</v>
      </c>
      <c r="H738" s="408" t="s">
        <v>1322</v>
      </c>
      <c r="I738" s="408" t="s">
        <v>1322</v>
      </c>
      <c r="J738" s="408" t="s">
        <v>2236</v>
      </c>
      <c r="K738" s="826">
        <v>44682</v>
      </c>
      <c r="L738" s="408">
        <v>0</v>
      </c>
      <c r="M738" s="408">
        <v>0</v>
      </c>
      <c r="N738" s="408">
        <v>5390.5320000000002</v>
      </c>
      <c r="O738" s="408">
        <v>5390.5320000000002</v>
      </c>
      <c r="P738" s="408">
        <v>5390.5320000000002</v>
      </c>
      <c r="Q738" s="408">
        <v>5390.5320000000002</v>
      </c>
      <c r="R738" s="408"/>
      <c r="S738" s="408">
        <v>368.24</v>
      </c>
      <c r="T738" s="408">
        <v>173.25</v>
      </c>
      <c r="U738" s="408"/>
      <c r="V738" s="408">
        <v>2918919.1726799998</v>
      </c>
      <c r="W738" s="408">
        <v>2918919.1726799998</v>
      </c>
      <c r="X738" s="408">
        <v>2743187.8294800003</v>
      </c>
      <c r="Y738" s="408">
        <v>0</v>
      </c>
      <c r="Z738" s="408">
        <v>331761.27948206855</v>
      </c>
      <c r="AA738" s="408">
        <v>0</v>
      </c>
      <c r="AB738" s="408">
        <v>0</v>
      </c>
      <c r="AC738" s="408">
        <v>13797.268070585736</v>
      </c>
      <c r="AD738" s="408">
        <v>13256.080743453202</v>
      </c>
      <c r="AE738" s="408">
        <v>1269670.3059684224</v>
      </c>
      <c r="AF738" s="408">
        <v>918225.75758518849</v>
      </c>
      <c r="AG738" s="408">
        <v>15671.535377855587</v>
      </c>
      <c r="AH738" s="408">
        <v>0</v>
      </c>
      <c r="AI738" s="408">
        <v>0</v>
      </c>
      <c r="AJ738" s="408">
        <v>0</v>
      </c>
      <c r="AK738" s="408">
        <v>0</v>
      </c>
      <c r="AL738" s="408">
        <v>51258.731998891497</v>
      </c>
      <c r="AM738" s="408"/>
      <c r="AN738" s="408">
        <v>6510.9902701871015</v>
      </c>
      <c r="AO738" s="408">
        <v>29288.892568780455</v>
      </c>
      <c r="AP738" s="408">
        <v>136569.78514682801</v>
      </c>
      <c r="AQ738" s="408">
        <v>0</v>
      </c>
      <c r="AR738" s="408">
        <v>0</v>
      </c>
      <c r="AS738" s="408">
        <v>0</v>
      </c>
      <c r="AT738" s="408">
        <v>0</v>
      </c>
      <c r="AU738" s="408">
        <v>0</v>
      </c>
      <c r="AV738" s="408">
        <v>0</v>
      </c>
      <c r="AW738" s="408">
        <v>0</v>
      </c>
      <c r="AX738" s="408">
        <v>0</v>
      </c>
      <c r="AY738" s="408">
        <v>0</v>
      </c>
      <c r="AZ738" s="408">
        <v>0</v>
      </c>
      <c r="BA738" s="408"/>
      <c r="BB738" s="408">
        <v>0</v>
      </c>
      <c r="BC738" s="408">
        <v>0</v>
      </c>
      <c r="BD738" s="408">
        <v>0</v>
      </c>
      <c r="BE738" s="408">
        <v>0</v>
      </c>
      <c r="BF738" s="408">
        <v>0</v>
      </c>
      <c r="BG738" s="408">
        <v>48190.233906194859</v>
      </c>
      <c r="BH738" s="408">
        <v>0</v>
      </c>
      <c r="BI738" s="408">
        <v>1726.74</v>
      </c>
      <c r="BJ738" s="408">
        <v>23206.74</v>
      </c>
      <c r="BK738" s="408">
        <v>144303.32</v>
      </c>
      <c r="BL738" s="408">
        <v>15576</v>
      </c>
      <c r="BM738" s="408"/>
      <c r="BN738" s="408"/>
      <c r="BO738" s="408"/>
      <c r="BP738" s="408"/>
      <c r="BQ738" s="408"/>
      <c r="BR738" s="408">
        <v>329145.88392000005</v>
      </c>
      <c r="BS738" s="408"/>
      <c r="BT738" s="408"/>
      <c r="BU738" s="408"/>
      <c r="BV738" s="408">
        <v>966415.99149138341</v>
      </c>
      <c r="BW738" s="408"/>
      <c r="BX738" s="408"/>
      <c r="BY738" s="408"/>
      <c r="BZ738" s="408"/>
      <c r="CA738" s="408"/>
      <c r="CB738" s="408"/>
      <c r="CC738" s="408"/>
      <c r="CD738" s="408"/>
      <c r="CE738" s="408"/>
      <c r="CF738" s="408"/>
      <c r="CG738" s="408"/>
      <c r="CH738" s="408"/>
      <c r="CI738" s="408">
        <v>2414041.0499</v>
      </c>
      <c r="CJ738" s="408">
        <v>-154601.38341999985</v>
      </c>
      <c r="CK738" s="408"/>
      <c r="CL738" s="408"/>
      <c r="CM738" s="408"/>
      <c r="CN738" s="408"/>
      <c r="CO738" s="408">
        <v>-292112.92907999997</v>
      </c>
      <c r="CP738" s="408">
        <v>116381.58588000003</v>
      </c>
      <c r="CQ738" s="408">
        <v>31</v>
      </c>
      <c r="CR738" s="408">
        <v>139653.55224388535</v>
      </c>
      <c r="CS738" s="408">
        <v>2918.5755411515456</v>
      </c>
      <c r="CT738" s="408">
        <v>13608.887179801473</v>
      </c>
      <c r="CU738" s="408">
        <v>0</v>
      </c>
      <c r="CV738" s="408">
        <v>0</v>
      </c>
      <c r="CW738" s="408">
        <v>0</v>
      </c>
      <c r="CX738" s="408">
        <v>0</v>
      </c>
      <c r="CY738" s="408">
        <v>0</v>
      </c>
      <c r="CZ738" s="408">
        <v>13649.370935127279</v>
      </c>
      <c r="DA738" s="408">
        <v>0</v>
      </c>
      <c r="DB738" s="408">
        <v>0</v>
      </c>
      <c r="DC738" s="408">
        <v>116368.44572594075</v>
      </c>
      <c r="DD738" s="408">
        <v>0</v>
      </c>
      <c r="DE738" s="408">
        <v>0</v>
      </c>
      <c r="DF738" s="408">
        <v>0</v>
      </c>
      <c r="DG738" s="408">
        <v>6107.2373242735121</v>
      </c>
      <c r="DH738" s="408">
        <v>0</v>
      </c>
      <c r="DI738" s="408">
        <v>-11265.563223192526</v>
      </c>
      <c r="DJ738" s="408"/>
      <c r="DK738" s="408">
        <v>0</v>
      </c>
      <c r="DL738" s="408">
        <v>0</v>
      </c>
      <c r="DM738" s="408">
        <v>0</v>
      </c>
      <c r="DN738" s="408">
        <v>0</v>
      </c>
      <c r="DO738" s="408">
        <v>-1549.1960145845951</v>
      </c>
      <c r="DP738" s="408">
        <v>-184.20522463205543</v>
      </c>
      <c r="DQ738" s="408">
        <v>0</v>
      </c>
      <c r="DR738" s="408">
        <v>0</v>
      </c>
      <c r="DS738" s="408"/>
      <c r="DT738" s="408"/>
      <c r="DU738" s="408"/>
      <c r="DV738" s="408">
        <v>1269670.3059684224</v>
      </c>
      <c r="DW738" s="408">
        <v>0</v>
      </c>
      <c r="DX738" s="408">
        <v>0</v>
      </c>
      <c r="DY738" s="408">
        <v>-292112.92907999991</v>
      </c>
      <c r="DZ738" s="408">
        <v>116381.58588000014</v>
      </c>
      <c r="EA738" s="408">
        <v>0</v>
      </c>
      <c r="EB738" s="408">
        <v>0</v>
      </c>
      <c r="EC738" s="408">
        <v>-315407.64086908114</v>
      </c>
      <c r="ED738" s="408">
        <v>0</v>
      </c>
      <c r="EE738" s="408">
        <v>0</v>
      </c>
      <c r="EF738" s="408">
        <v>0</v>
      </c>
      <c r="EG738" s="408">
        <v>0</v>
      </c>
      <c r="EH738" s="408">
        <v>0</v>
      </c>
      <c r="EI738" s="408">
        <v>0</v>
      </c>
      <c r="EJ738" s="408">
        <v>0</v>
      </c>
      <c r="EK738" s="408">
        <v>0</v>
      </c>
      <c r="EL738" s="408">
        <v>0</v>
      </c>
      <c r="EM738" s="408">
        <v>0</v>
      </c>
      <c r="EN738" s="408">
        <v>0</v>
      </c>
      <c r="EO738" s="408">
        <v>0</v>
      </c>
      <c r="EP738" s="408">
        <v>84725.913793322907</v>
      </c>
      <c r="EQ738" s="408">
        <v>0</v>
      </c>
      <c r="ER738" s="408">
        <v>0</v>
      </c>
      <c r="ES738" s="408">
        <v>0</v>
      </c>
      <c r="ET738" s="408">
        <v>0</v>
      </c>
      <c r="EU738" s="408">
        <v>0</v>
      </c>
      <c r="EV738" s="408">
        <v>240</v>
      </c>
      <c r="EW738" s="408">
        <v>0</v>
      </c>
      <c r="EX738" s="408">
        <v>0</v>
      </c>
      <c r="EY738" s="408">
        <v>0</v>
      </c>
      <c r="EZ738" s="408"/>
      <c r="FA738" s="408">
        <v>0</v>
      </c>
      <c r="FB738" s="408"/>
      <c r="FC738" s="408"/>
      <c r="FD738" s="408"/>
      <c r="FE738" s="408"/>
      <c r="FF738" s="408">
        <v>0</v>
      </c>
      <c r="FG738" s="408">
        <v>0</v>
      </c>
      <c r="FH738" s="408">
        <v>0</v>
      </c>
      <c r="FI738" s="408">
        <v>0</v>
      </c>
    </row>
    <row r="739" spans="1:165">
      <c r="A739" s="408">
        <v>737</v>
      </c>
      <c r="B739" s="408" t="s">
        <v>2237</v>
      </c>
      <c r="C739" s="408" t="s">
        <v>2235</v>
      </c>
      <c r="D739" s="408" t="s">
        <v>2245</v>
      </c>
      <c r="E739" s="408" t="s">
        <v>974</v>
      </c>
      <c r="F739" s="408" t="s">
        <v>1322</v>
      </c>
      <c r="G739" s="408" t="s">
        <v>1322</v>
      </c>
      <c r="H739" s="408" t="s">
        <v>1322</v>
      </c>
      <c r="I739" s="408" t="s">
        <v>1322</v>
      </c>
      <c r="J739" s="408" t="s">
        <v>2236</v>
      </c>
      <c r="K739" s="826">
        <v>44682</v>
      </c>
      <c r="L739" s="408">
        <v>0</v>
      </c>
      <c r="M739" s="408">
        <v>0</v>
      </c>
      <c r="N739" s="408">
        <v>3.3980000000000001</v>
      </c>
      <c r="O739" s="408">
        <v>3.3980000000000001</v>
      </c>
      <c r="P739" s="408">
        <v>3.3980000000000001</v>
      </c>
      <c r="Q739" s="408">
        <v>3.3980000000000001</v>
      </c>
      <c r="R739" s="408"/>
      <c r="S739" s="408">
        <v>368.24</v>
      </c>
      <c r="T739" s="408">
        <v>173.25</v>
      </c>
      <c r="U739" s="408"/>
      <c r="V739" s="408">
        <v>1839.9830200000001</v>
      </c>
      <c r="W739" s="408">
        <v>1839.9830200000001</v>
      </c>
      <c r="X739" s="408">
        <v>1729.20822</v>
      </c>
      <c r="Y739" s="408">
        <v>0</v>
      </c>
      <c r="Z739" s="408">
        <v>209.13053251146061</v>
      </c>
      <c r="AA739" s="408">
        <v>0</v>
      </c>
      <c r="AB739" s="408">
        <v>0</v>
      </c>
      <c r="AC739" s="408">
        <v>8.6973079658650274</v>
      </c>
      <c r="AD739" s="408">
        <v>8.3561626878857194</v>
      </c>
      <c r="AE739" s="408">
        <v>800.35508548705388</v>
      </c>
      <c r="AF739" s="408">
        <v>578.81691904889362</v>
      </c>
      <c r="AG739" s="408">
        <v>9.8787795367791684</v>
      </c>
      <c r="AH739" s="408">
        <v>0</v>
      </c>
      <c r="AI739" s="408">
        <v>0</v>
      </c>
      <c r="AJ739" s="408">
        <v>0</v>
      </c>
      <c r="AK739" s="408">
        <v>0</v>
      </c>
      <c r="AL739" s="408">
        <v>32.311684882351742</v>
      </c>
      <c r="AM739" s="408"/>
      <c r="AN739" s="408">
        <v>4.1042971154045222</v>
      </c>
      <c r="AO739" s="408">
        <v>18.462678071239718</v>
      </c>
      <c r="AP739" s="408">
        <v>86.088744103350379</v>
      </c>
      <c r="AQ739" s="408">
        <v>0</v>
      </c>
      <c r="AR739" s="408">
        <v>0</v>
      </c>
      <c r="AS739" s="408">
        <v>0</v>
      </c>
      <c r="AT739" s="408">
        <v>0</v>
      </c>
      <c r="AU739" s="408">
        <v>0</v>
      </c>
      <c r="AV739" s="408">
        <v>0</v>
      </c>
      <c r="AW739" s="408">
        <v>0</v>
      </c>
      <c r="AX739" s="408">
        <v>0</v>
      </c>
      <c r="AY739" s="408">
        <v>0</v>
      </c>
      <c r="AZ739" s="408">
        <v>0</v>
      </c>
      <c r="BA739" s="408"/>
      <c r="BB739" s="408">
        <v>0</v>
      </c>
      <c r="BC739" s="408">
        <v>0</v>
      </c>
      <c r="BD739" s="408">
        <v>0</v>
      </c>
      <c r="BE739" s="408">
        <v>0</v>
      </c>
      <c r="BF739" s="408">
        <v>0</v>
      </c>
      <c r="BG739" s="408">
        <v>30.377412621472264</v>
      </c>
      <c r="BH739" s="408">
        <v>0</v>
      </c>
      <c r="BI739" s="408">
        <v>1.43</v>
      </c>
      <c r="BJ739" s="408">
        <v>12.07</v>
      </c>
      <c r="BK739" s="408">
        <v>-9.42</v>
      </c>
      <c r="BL739" s="408">
        <v>0</v>
      </c>
      <c r="BM739" s="408"/>
      <c r="BN739" s="408"/>
      <c r="BO739" s="408"/>
      <c r="BP739" s="408"/>
      <c r="BQ739" s="408"/>
      <c r="BR739" s="408">
        <v>207.48188000000002</v>
      </c>
      <c r="BS739" s="408"/>
      <c r="BT739" s="408"/>
      <c r="BU739" s="408"/>
      <c r="BV739" s="408">
        <v>609.19433167036584</v>
      </c>
      <c r="BW739" s="408"/>
      <c r="BX739" s="408"/>
      <c r="BY739" s="408"/>
      <c r="BZ739" s="408"/>
      <c r="CA739" s="408"/>
      <c r="CB739" s="408"/>
      <c r="CC739" s="408"/>
      <c r="CD739" s="408"/>
      <c r="CE739" s="408"/>
      <c r="CF739" s="408"/>
      <c r="CG739" s="408"/>
      <c r="CH739" s="408"/>
      <c r="CI739" s="408">
        <v>1522.6220000000001</v>
      </c>
      <c r="CJ739" s="408">
        <v>-96.588979999999992</v>
      </c>
      <c r="CK739" s="408"/>
      <c r="CL739" s="408"/>
      <c r="CM739" s="408"/>
      <c r="CN739" s="408"/>
      <c r="CO739" s="408">
        <v>-184.13762</v>
      </c>
      <c r="CP739" s="408">
        <v>73.362820000000013</v>
      </c>
      <c r="CQ739" s="408">
        <v>31</v>
      </c>
      <c r="CR739" s="408">
        <v>88.032641402504396</v>
      </c>
      <c r="CS739" s="408">
        <v>1.8397664068839532</v>
      </c>
      <c r="CT739" s="408">
        <v>8.5785593401477769</v>
      </c>
      <c r="CU739" s="408">
        <v>0</v>
      </c>
      <c r="CV739" s="408">
        <v>0</v>
      </c>
      <c r="CW739" s="408">
        <v>0</v>
      </c>
      <c r="CX739" s="408">
        <v>0</v>
      </c>
      <c r="CY739" s="408">
        <v>0</v>
      </c>
      <c r="CZ739" s="408">
        <v>8.6040788622648936</v>
      </c>
      <c r="DA739" s="408">
        <v>0</v>
      </c>
      <c r="DB739" s="408">
        <v>0</v>
      </c>
      <c r="DC739" s="408">
        <v>73.354536913378297</v>
      </c>
      <c r="DD739" s="408">
        <v>0</v>
      </c>
      <c r="DE739" s="408">
        <v>0</v>
      </c>
      <c r="DF739" s="408">
        <v>0</v>
      </c>
      <c r="DG739" s="408">
        <v>3.8497855921978363</v>
      </c>
      <c r="DH739" s="408">
        <v>0</v>
      </c>
      <c r="DI739" s="408">
        <v>-7.101411109776933</v>
      </c>
      <c r="DJ739" s="408"/>
      <c r="DK739" s="408">
        <v>0</v>
      </c>
      <c r="DL739" s="408">
        <v>0</v>
      </c>
      <c r="DM739" s="408">
        <v>0</v>
      </c>
      <c r="DN739" s="408">
        <v>0</v>
      </c>
      <c r="DO739" s="408">
        <v>-0.97655816857379918</v>
      </c>
      <c r="DP739" s="408">
        <v>-0.11611643401796412</v>
      </c>
      <c r="DQ739" s="408">
        <v>0</v>
      </c>
      <c r="DR739" s="408">
        <v>0</v>
      </c>
      <c r="DS739" s="408"/>
      <c r="DT739" s="408"/>
      <c r="DU739" s="408"/>
      <c r="DV739" s="408">
        <v>800.35508548705388</v>
      </c>
      <c r="DW739" s="408">
        <v>0</v>
      </c>
      <c r="DX739" s="408">
        <v>0</v>
      </c>
      <c r="DY739" s="408">
        <v>-184.13761999999997</v>
      </c>
      <c r="DZ739" s="408">
        <v>73.362819999999942</v>
      </c>
      <c r="EA739" s="408">
        <v>0</v>
      </c>
      <c r="EB739" s="408">
        <v>0</v>
      </c>
      <c r="EC739" s="408">
        <v>-198.82177931104718</v>
      </c>
      <c r="ED739" s="408">
        <v>0</v>
      </c>
      <c r="EE739" s="408">
        <v>0</v>
      </c>
      <c r="EF739" s="408">
        <v>0</v>
      </c>
      <c r="EG739" s="408">
        <v>0</v>
      </c>
      <c r="EH739" s="408">
        <v>0</v>
      </c>
      <c r="EI739" s="408">
        <v>0</v>
      </c>
      <c r="EJ739" s="408">
        <v>0</v>
      </c>
      <c r="EK739" s="408">
        <v>0</v>
      </c>
      <c r="EL739" s="408">
        <v>0</v>
      </c>
      <c r="EM739" s="408">
        <v>0</v>
      </c>
      <c r="EN739" s="408">
        <v>0</v>
      </c>
      <c r="EO739" s="408">
        <v>0</v>
      </c>
      <c r="EP739" s="408">
        <v>53.408208145264929</v>
      </c>
      <c r="EQ739" s="408">
        <v>0</v>
      </c>
      <c r="ER739" s="408">
        <v>0</v>
      </c>
      <c r="ES739" s="408">
        <v>0</v>
      </c>
      <c r="ET739" s="408">
        <v>0</v>
      </c>
      <c r="EU739" s="408">
        <v>0</v>
      </c>
      <c r="EV739" s="408">
        <v>240</v>
      </c>
      <c r="EW739" s="408">
        <v>0</v>
      </c>
      <c r="EX739" s="408">
        <v>0</v>
      </c>
      <c r="EY739" s="408">
        <v>0</v>
      </c>
      <c r="EZ739" s="408"/>
      <c r="FA739" s="408">
        <v>0</v>
      </c>
      <c r="FB739" s="408"/>
      <c r="FC739" s="408"/>
      <c r="FD739" s="408"/>
      <c r="FE739" s="408"/>
      <c r="FF739" s="408">
        <v>0</v>
      </c>
      <c r="FG739" s="408">
        <v>0</v>
      </c>
      <c r="FH739" s="408">
        <v>0</v>
      </c>
      <c r="FI739" s="408">
        <v>0</v>
      </c>
    </row>
    <row r="740" spans="1:165">
      <c r="A740" s="408">
        <v>738</v>
      </c>
      <c r="B740" s="408" t="s">
        <v>2238</v>
      </c>
      <c r="C740" s="408" t="s">
        <v>2235</v>
      </c>
      <c r="D740" s="408" t="s">
        <v>2245</v>
      </c>
      <c r="E740" s="408" t="s">
        <v>974</v>
      </c>
      <c r="F740" s="408" t="s">
        <v>1322</v>
      </c>
      <c r="G740" s="408" t="s">
        <v>1322</v>
      </c>
      <c r="H740" s="408" t="s">
        <v>1322</v>
      </c>
      <c r="I740" s="408" t="s">
        <v>1322</v>
      </c>
      <c r="J740" s="408" t="s">
        <v>2236</v>
      </c>
      <c r="K740" s="826">
        <v>44682</v>
      </c>
      <c r="L740" s="408">
        <v>0</v>
      </c>
      <c r="M740" s="408">
        <v>0</v>
      </c>
      <c r="N740" s="408">
        <v>306.68799999999999</v>
      </c>
      <c r="O740" s="408">
        <v>306.68799999999999</v>
      </c>
      <c r="P740" s="408">
        <v>306.68799999999999</v>
      </c>
      <c r="Q740" s="408">
        <v>306.68799999999999</v>
      </c>
      <c r="R740" s="408"/>
      <c r="S740" s="408">
        <v>368.24</v>
      </c>
      <c r="T740" s="408">
        <v>173.25</v>
      </c>
      <c r="U740" s="408"/>
      <c r="V740" s="408">
        <v>166068.48512</v>
      </c>
      <c r="W740" s="408">
        <v>166068.48512</v>
      </c>
      <c r="X740" s="408">
        <v>156070.45632</v>
      </c>
      <c r="Y740" s="408">
        <v>0</v>
      </c>
      <c r="Z740" s="408">
        <v>18875.169145048509</v>
      </c>
      <c r="AA740" s="408">
        <v>0</v>
      </c>
      <c r="AB740" s="408">
        <v>0</v>
      </c>
      <c r="AC740" s="408">
        <v>784.9793953605689</v>
      </c>
      <c r="AD740" s="408">
        <v>754.18917669873315</v>
      </c>
      <c r="AE740" s="408">
        <v>72236.403901663783</v>
      </c>
      <c r="AF740" s="408">
        <v>52241.378242868472</v>
      </c>
      <c r="AG740" s="408">
        <v>891.61363701463495</v>
      </c>
      <c r="AH740" s="408">
        <v>0</v>
      </c>
      <c r="AI740" s="408">
        <v>0</v>
      </c>
      <c r="AJ740" s="408">
        <v>0</v>
      </c>
      <c r="AK740" s="408">
        <v>0</v>
      </c>
      <c r="AL740" s="408">
        <v>2916.305477692375</v>
      </c>
      <c r="AM740" s="408"/>
      <c r="AN740" s="408">
        <v>370.43516001447381</v>
      </c>
      <c r="AO740" s="408">
        <v>1666.3572137470178</v>
      </c>
      <c r="AP740" s="408">
        <v>7769.9778550819074</v>
      </c>
      <c r="AQ740" s="408">
        <v>0</v>
      </c>
      <c r="AR740" s="408">
        <v>0</v>
      </c>
      <c r="AS740" s="408">
        <v>0</v>
      </c>
      <c r="AT740" s="408">
        <v>0</v>
      </c>
      <c r="AU740" s="408">
        <v>0</v>
      </c>
      <c r="AV740" s="408">
        <v>0</v>
      </c>
      <c r="AW740" s="408">
        <v>0</v>
      </c>
      <c r="AX740" s="408">
        <v>0</v>
      </c>
      <c r="AY740" s="408">
        <v>0</v>
      </c>
      <c r="AZ740" s="408">
        <v>0</v>
      </c>
      <c r="BA740" s="408"/>
      <c r="BB740" s="408">
        <v>0</v>
      </c>
      <c r="BC740" s="408">
        <v>0</v>
      </c>
      <c r="BD740" s="408">
        <v>0</v>
      </c>
      <c r="BE740" s="408">
        <v>0</v>
      </c>
      <c r="BF740" s="408">
        <v>0</v>
      </c>
      <c r="BG740" s="408">
        <v>2741.7268752366349</v>
      </c>
      <c r="BH740" s="408">
        <v>0</v>
      </c>
      <c r="BI740" s="408">
        <v>103.09</v>
      </c>
      <c r="BJ740" s="408">
        <v>1351</v>
      </c>
      <c r="BK740" s="408">
        <v>6581.58</v>
      </c>
      <c r="BL740" s="408">
        <v>465</v>
      </c>
      <c r="BM740" s="408"/>
      <c r="BN740" s="408"/>
      <c r="BO740" s="408"/>
      <c r="BP740" s="408"/>
      <c r="BQ740" s="408"/>
      <c r="BR740" s="408">
        <v>18726.369279999999</v>
      </c>
      <c r="BS740" s="408"/>
      <c r="BT740" s="408"/>
      <c r="BU740" s="408"/>
      <c r="BV740" s="408">
        <v>54983.105118105108</v>
      </c>
      <c r="BW740" s="408"/>
      <c r="BX740" s="408"/>
      <c r="BY740" s="408"/>
      <c r="BZ740" s="408"/>
      <c r="CA740" s="408"/>
      <c r="CB740" s="408"/>
      <c r="CC740" s="408"/>
      <c r="CD740" s="408"/>
      <c r="CE740" s="408"/>
      <c r="CF740" s="408"/>
      <c r="CG740" s="408"/>
      <c r="CH740" s="408"/>
      <c r="CI740" s="408">
        <v>137344.98269999999</v>
      </c>
      <c r="CJ740" s="408">
        <v>-8794.946179999999</v>
      </c>
      <c r="CK740" s="408"/>
      <c r="CL740" s="408"/>
      <c r="CM740" s="408"/>
      <c r="CN740" s="408"/>
      <c r="CO740" s="408">
        <v>-16619.422719999999</v>
      </c>
      <c r="CP740" s="408">
        <v>6621.3939200000004</v>
      </c>
      <c r="CQ740" s="408">
        <v>31</v>
      </c>
      <c r="CR740" s="408">
        <v>7945.425169644237</v>
      </c>
      <c r="CS740" s="408">
        <v>166.04893460695257</v>
      </c>
      <c r="CT740" s="408">
        <v>774.26168537705689</v>
      </c>
      <c r="CU740" s="408">
        <v>0</v>
      </c>
      <c r="CV740" s="408">
        <v>0</v>
      </c>
      <c r="CW740" s="408">
        <v>0</v>
      </c>
      <c r="CX740" s="408">
        <v>0</v>
      </c>
      <c r="CY740" s="408">
        <v>0</v>
      </c>
      <c r="CZ740" s="408">
        <v>776.56496118607868</v>
      </c>
      <c r="DA740" s="408">
        <v>0</v>
      </c>
      <c r="DB740" s="408">
        <v>0</v>
      </c>
      <c r="DC740" s="408">
        <v>6620.6463263361293</v>
      </c>
      <c r="DD740" s="408">
        <v>0</v>
      </c>
      <c r="DE740" s="408">
        <v>0</v>
      </c>
      <c r="DF740" s="408">
        <v>0</v>
      </c>
      <c r="DG740" s="408">
        <v>347.4641093878663</v>
      </c>
      <c r="DH740" s="408">
        <v>0</v>
      </c>
      <c r="DI740" s="408">
        <v>-640.94101543121724</v>
      </c>
      <c r="DJ740" s="408"/>
      <c r="DK740" s="408">
        <v>0</v>
      </c>
      <c r="DL740" s="408">
        <v>0</v>
      </c>
      <c r="DM740" s="408">
        <v>0</v>
      </c>
      <c r="DN740" s="408">
        <v>0</v>
      </c>
      <c r="DO740" s="408">
        <v>-88.139691466616114</v>
      </c>
      <c r="DP740" s="408">
        <v>-10.48014035200157</v>
      </c>
      <c r="DQ740" s="408">
        <v>0</v>
      </c>
      <c r="DR740" s="408">
        <v>0</v>
      </c>
      <c r="DS740" s="408"/>
      <c r="DT740" s="408"/>
      <c r="DU740" s="408"/>
      <c r="DV740" s="408">
        <v>72236.403901663783</v>
      </c>
      <c r="DW740" s="408">
        <v>0</v>
      </c>
      <c r="DX740" s="408">
        <v>0</v>
      </c>
      <c r="DY740" s="408">
        <v>-16619.422720000002</v>
      </c>
      <c r="DZ740" s="408">
        <v>6621.3939200000023</v>
      </c>
      <c r="EA740" s="408">
        <v>0</v>
      </c>
      <c r="EB740" s="408">
        <v>0</v>
      </c>
      <c r="EC740" s="408">
        <v>-17944.748043951266</v>
      </c>
      <c r="ED740" s="408">
        <v>0</v>
      </c>
      <c r="EE740" s="408">
        <v>0</v>
      </c>
      <c r="EF740" s="408">
        <v>0</v>
      </c>
      <c r="EG740" s="408">
        <v>0</v>
      </c>
      <c r="EH740" s="408">
        <v>0</v>
      </c>
      <c r="EI740" s="408">
        <v>0</v>
      </c>
      <c r="EJ740" s="408">
        <v>0</v>
      </c>
      <c r="EK740" s="408">
        <v>0</v>
      </c>
      <c r="EL740" s="408">
        <v>0</v>
      </c>
      <c r="EM740" s="408">
        <v>0</v>
      </c>
      <c r="EN740" s="408">
        <v>0</v>
      </c>
      <c r="EO740" s="408">
        <v>0</v>
      </c>
      <c r="EP740" s="408">
        <v>4820.3815596394961</v>
      </c>
      <c r="EQ740" s="408">
        <v>0</v>
      </c>
      <c r="ER740" s="408">
        <v>0</v>
      </c>
      <c r="ES740" s="408">
        <v>0</v>
      </c>
      <c r="ET740" s="408">
        <v>0</v>
      </c>
      <c r="EU740" s="408">
        <v>0</v>
      </c>
      <c r="EV740" s="408">
        <v>240</v>
      </c>
      <c r="EW740" s="408">
        <v>0</v>
      </c>
      <c r="EX740" s="408">
        <v>0</v>
      </c>
      <c r="EY740" s="408">
        <v>0</v>
      </c>
      <c r="EZ740" s="408"/>
      <c r="FA740" s="408">
        <v>0</v>
      </c>
      <c r="FB740" s="408"/>
      <c r="FC740" s="408"/>
      <c r="FD740" s="408"/>
      <c r="FE740" s="408"/>
      <c r="FF740" s="408">
        <v>0</v>
      </c>
      <c r="FG740" s="408">
        <v>0</v>
      </c>
      <c r="FH740" s="408">
        <v>0</v>
      </c>
      <c r="FI740" s="408">
        <v>0</v>
      </c>
    </row>
    <row r="741" spans="1:165">
      <c r="A741" s="408">
        <v>739</v>
      </c>
      <c r="B741" s="408" t="s">
        <v>1036</v>
      </c>
      <c r="C741" s="408" t="s">
        <v>2243</v>
      </c>
      <c r="D741" s="408" t="s">
        <v>597</v>
      </c>
      <c r="E741" s="408" t="s">
        <v>974</v>
      </c>
      <c r="F741" s="408" t="s">
        <v>1322</v>
      </c>
      <c r="G741" s="408" t="s">
        <v>1322</v>
      </c>
      <c r="H741" s="408" t="s">
        <v>1322</v>
      </c>
      <c r="I741" s="408" t="s">
        <v>973</v>
      </c>
      <c r="J741" s="408" t="s">
        <v>2236</v>
      </c>
      <c r="K741" s="826">
        <v>44682</v>
      </c>
      <c r="L741" s="408">
        <v>0</v>
      </c>
      <c r="M741" s="408">
        <v>0</v>
      </c>
      <c r="N741" s="408">
        <v>5.6360000000000001</v>
      </c>
      <c r="O741" s="408">
        <v>5.4105600000000003</v>
      </c>
      <c r="P741" s="408">
        <v>5.6360000000000001</v>
      </c>
      <c r="Q741" s="408">
        <v>5.4105600000000003</v>
      </c>
      <c r="R741" s="408"/>
      <c r="S741" s="408">
        <v>1358.36</v>
      </c>
      <c r="T741" s="408">
        <v>173.25</v>
      </c>
      <c r="U741" s="408"/>
      <c r="V741" s="408">
        <v>8632.1539599999996</v>
      </c>
      <c r="W741" s="408">
        <v>8632.1539599999996</v>
      </c>
      <c r="X741" s="408">
        <v>7568.6971199999998</v>
      </c>
      <c r="Y741" s="408">
        <v>0</v>
      </c>
      <c r="Z741" s="408">
        <v>301.77572768513659</v>
      </c>
      <c r="AA741" s="408">
        <v>0</v>
      </c>
      <c r="AB741" s="408">
        <v>0</v>
      </c>
      <c r="AC741" s="408">
        <v>106.75760985908822</v>
      </c>
      <c r="AD741" s="408">
        <v>102.57044036736664</v>
      </c>
      <c r="AE741" s="408">
        <v>5683.9494918868286</v>
      </c>
      <c r="AF741" s="408">
        <v>960.03889221882412</v>
      </c>
      <c r="AG741" s="408">
        <v>16.385168178130488</v>
      </c>
      <c r="AH741" s="408">
        <v>0</v>
      </c>
      <c r="AI741" s="408">
        <v>0</v>
      </c>
      <c r="AJ741" s="408">
        <v>0</v>
      </c>
      <c r="AK741" s="408">
        <v>0</v>
      </c>
      <c r="AL741" s="408">
        <v>53.592894643006012</v>
      </c>
      <c r="AM741" s="408"/>
      <c r="AN741" s="408">
        <v>4.5133867308608435</v>
      </c>
      <c r="AO741" s="408">
        <v>226.62819388194606</v>
      </c>
      <c r="AP741" s="408">
        <v>1056.7280262421893</v>
      </c>
      <c r="AQ741" s="408">
        <v>0</v>
      </c>
      <c r="AR741" s="408">
        <v>0</v>
      </c>
      <c r="AS741" s="408">
        <v>0</v>
      </c>
      <c r="AT741" s="408">
        <v>0</v>
      </c>
      <c r="AU741" s="408">
        <v>0</v>
      </c>
      <c r="AV741" s="408">
        <v>0</v>
      </c>
      <c r="AW741" s="408">
        <v>0</v>
      </c>
      <c r="AX741" s="408">
        <v>0</v>
      </c>
      <c r="AY741" s="408">
        <v>0</v>
      </c>
      <c r="AZ741" s="408">
        <v>0</v>
      </c>
      <c r="BA741" s="408"/>
      <c r="BB741" s="408">
        <v>0</v>
      </c>
      <c r="BC741" s="408">
        <v>0</v>
      </c>
      <c r="BD741" s="408">
        <v>0</v>
      </c>
      <c r="BE741" s="408">
        <v>0</v>
      </c>
      <c r="BF741" s="408">
        <v>0</v>
      </c>
      <c r="BG741" s="408">
        <v>42.149708501816853</v>
      </c>
      <c r="BH741" s="408">
        <v>0</v>
      </c>
      <c r="BI741" s="408">
        <v>0</v>
      </c>
      <c r="BJ741" s="408">
        <v>0</v>
      </c>
      <c r="BK741" s="408">
        <v>0</v>
      </c>
      <c r="BL741" s="408">
        <v>0</v>
      </c>
      <c r="BM741" s="408"/>
      <c r="BN741" s="408"/>
      <c r="BO741" s="408"/>
      <c r="BP741" s="408"/>
      <c r="BQ741" s="408"/>
      <c r="BR741" s="408">
        <v>302.74788479999978</v>
      </c>
      <c r="BS741" s="408"/>
      <c r="BT741" s="408"/>
      <c r="BU741" s="408"/>
      <c r="BV741" s="408">
        <v>1002.1886007206409</v>
      </c>
      <c r="BW741" s="408"/>
      <c r="BX741" s="408"/>
      <c r="BY741" s="408"/>
      <c r="BZ741" s="408"/>
      <c r="CA741" s="408"/>
      <c r="CB741" s="408"/>
      <c r="CC741" s="408"/>
      <c r="CD741" s="408"/>
      <c r="CE741" s="408"/>
      <c r="CF741" s="408"/>
      <c r="CG741" s="408"/>
      <c r="CH741" s="408"/>
      <c r="CI741" s="408">
        <v>7265.1971999999996</v>
      </c>
      <c r="CJ741" s="408">
        <v>-1021.7006016000005</v>
      </c>
      <c r="CK741" s="408"/>
      <c r="CL741" s="408"/>
      <c r="CM741" s="408"/>
      <c r="CN741" s="408"/>
      <c r="CO741" s="408">
        <v>-1185.1380799999999</v>
      </c>
      <c r="CP741" s="408">
        <v>121.68124000000002</v>
      </c>
      <c r="CQ741" s="408">
        <v>31</v>
      </c>
      <c r="CR741" s="408">
        <v>348.51170379739324</v>
      </c>
      <c r="CS741" s="408">
        <v>22.583015115573886</v>
      </c>
      <c r="CT741" s="408">
        <v>105.30068911950957</v>
      </c>
      <c r="CU741" s="408">
        <v>0</v>
      </c>
      <c r="CV741" s="408">
        <v>0</v>
      </c>
      <c r="CW741" s="408">
        <v>0</v>
      </c>
      <c r="CX741" s="408">
        <v>0</v>
      </c>
      <c r="CY741" s="408">
        <v>0</v>
      </c>
      <c r="CZ741" s="408">
        <v>105.61356819171237</v>
      </c>
      <c r="DA741" s="408">
        <v>0</v>
      </c>
      <c r="DB741" s="408">
        <v>0</v>
      </c>
      <c r="DC741" s="408">
        <v>121.66750148434369</v>
      </c>
      <c r="DD741" s="408">
        <v>0</v>
      </c>
      <c r="DE741" s="408">
        <v>0</v>
      </c>
      <c r="DF741" s="408">
        <v>0</v>
      </c>
      <c r="DG741" s="408">
        <v>5.3417103861876924</v>
      </c>
      <c r="DH741" s="408">
        <v>0</v>
      </c>
      <c r="DI741" s="408">
        <v>-10.247348770685903</v>
      </c>
      <c r="DJ741" s="408"/>
      <c r="DK741" s="408">
        <v>0</v>
      </c>
      <c r="DL741" s="408">
        <v>0</v>
      </c>
      <c r="DM741" s="408">
        <v>0</v>
      </c>
      <c r="DN741" s="408">
        <v>0</v>
      </c>
      <c r="DO741" s="408">
        <v>-1.6197415650623697</v>
      </c>
      <c r="DP741" s="408">
        <v>-0.1276901641853776</v>
      </c>
      <c r="DQ741" s="408">
        <v>0</v>
      </c>
      <c r="DR741" s="408">
        <v>0</v>
      </c>
      <c r="DS741" s="408"/>
      <c r="DT741" s="408"/>
      <c r="DU741" s="408"/>
      <c r="DV741" s="408">
        <v>5683.9494918868286</v>
      </c>
      <c r="DW741" s="408">
        <v>0</v>
      </c>
      <c r="DX741" s="408">
        <v>0</v>
      </c>
      <c r="DY741" s="408">
        <v>-1185.1380799999997</v>
      </c>
      <c r="DZ741" s="408">
        <v>121.68124</v>
      </c>
      <c r="EA741" s="408">
        <v>0</v>
      </c>
      <c r="EB741" s="408">
        <v>0</v>
      </c>
      <c r="EC741" s="408">
        <v>-1411.9894681538053</v>
      </c>
      <c r="ED741" s="408">
        <v>0</v>
      </c>
      <c r="EE741" s="408">
        <v>0</v>
      </c>
      <c r="EF741" s="408">
        <v>0</v>
      </c>
      <c r="EG741" s="408">
        <v>0</v>
      </c>
      <c r="EH741" s="408">
        <v>0</v>
      </c>
      <c r="EI741" s="408">
        <v>0</v>
      </c>
      <c r="EJ741" s="408">
        <v>0</v>
      </c>
      <c r="EK741" s="408">
        <v>0</v>
      </c>
      <c r="EL741" s="408">
        <v>0</v>
      </c>
      <c r="EM741" s="408">
        <v>0</v>
      </c>
      <c r="EN741" s="408">
        <v>0</v>
      </c>
      <c r="EO741" s="408">
        <v>0</v>
      </c>
      <c r="EP741" s="408">
        <v>77.068138658870225</v>
      </c>
      <c r="EQ741" s="408">
        <v>0</v>
      </c>
      <c r="ER741" s="408">
        <v>0</v>
      </c>
      <c r="ES741" s="408">
        <v>0</v>
      </c>
      <c r="ET741" s="408">
        <v>0</v>
      </c>
      <c r="EU741" s="408">
        <v>0</v>
      </c>
      <c r="EV741" s="408">
        <v>240</v>
      </c>
      <c r="EW741" s="408">
        <v>0</v>
      </c>
      <c r="EX741" s="408">
        <v>0</v>
      </c>
      <c r="EY741" s="408">
        <v>0</v>
      </c>
      <c r="EZ741" s="408"/>
      <c r="FA741" s="408">
        <v>0</v>
      </c>
      <c r="FB741" s="408"/>
      <c r="FC741" s="408"/>
      <c r="FD741" s="408"/>
      <c r="FE741" s="408"/>
      <c r="FF741" s="408">
        <v>0</v>
      </c>
      <c r="FG741" s="408">
        <v>0</v>
      </c>
      <c r="FH741" s="408">
        <v>0</v>
      </c>
      <c r="FI741" s="408">
        <v>0</v>
      </c>
    </row>
    <row r="742" spans="1:165">
      <c r="A742" s="408">
        <v>740</v>
      </c>
      <c r="B742" s="408" t="s">
        <v>2238</v>
      </c>
      <c r="C742" s="408" t="s">
        <v>2243</v>
      </c>
      <c r="D742" s="408" t="s">
        <v>597</v>
      </c>
      <c r="E742" s="408" t="s">
        <v>974</v>
      </c>
      <c r="F742" s="408" t="s">
        <v>1322</v>
      </c>
      <c r="G742" s="408" t="s">
        <v>1322</v>
      </c>
      <c r="H742" s="408" t="s">
        <v>1322</v>
      </c>
      <c r="I742" s="408" t="s">
        <v>973</v>
      </c>
      <c r="J742" s="408" t="s">
        <v>2236</v>
      </c>
      <c r="K742" s="826">
        <v>44682</v>
      </c>
      <c r="L742" s="408">
        <v>0</v>
      </c>
      <c r="M742" s="408">
        <v>0</v>
      </c>
      <c r="N742" s="408">
        <v>0.107</v>
      </c>
      <c r="O742" s="408">
        <v>0.10271999999999999</v>
      </c>
      <c r="P742" s="408">
        <v>0.107</v>
      </c>
      <c r="Q742" s="408">
        <v>0.10271999999999999</v>
      </c>
      <c r="R742" s="408"/>
      <c r="S742" s="408">
        <v>1358.36</v>
      </c>
      <c r="T742" s="408">
        <v>173.25</v>
      </c>
      <c r="U742" s="408"/>
      <c r="V742" s="408">
        <v>163.88226999999998</v>
      </c>
      <c r="W742" s="408">
        <v>163.88226999999998</v>
      </c>
      <c r="X742" s="408">
        <v>143.69243999999998</v>
      </c>
      <c r="Y742" s="408">
        <v>0</v>
      </c>
      <c r="Z742" s="408">
        <v>5.7292411040293851</v>
      </c>
      <c r="AA742" s="408">
        <v>0</v>
      </c>
      <c r="AB742" s="408">
        <v>0</v>
      </c>
      <c r="AC742" s="408">
        <v>2.0268034519024911</v>
      </c>
      <c r="AD742" s="408">
        <v>1.9473096379184227</v>
      </c>
      <c r="AE742" s="408">
        <v>107.91032569763851</v>
      </c>
      <c r="AF742" s="408">
        <v>18.226430352628491</v>
      </c>
      <c r="AG742" s="408">
        <v>0.31107398776791378</v>
      </c>
      <c r="AH742" s="408">
        <v>0</v>
      </c>
      <c r="AI742" s="408">
        <v>0</v>
      </c>
      <c r="AJ742" s="408">
        <v>0</v>
      </c>
      <c r="AK742" s="408">
        <v>0</v>
      </c>
      <c r="AL742" s="408">
        <v>1.0174662396738188</v>
      </c>
      <c r="AM742" s="408"/>
      <c r="AN742" s="408">
        <v>8.5687079524859863E-2</v>
      </c>
      <c r="AO742" s="408">
        <v>4.3025579746927303</v>
      </c>
      <c r="AP742" s="408">
        <v>20.0620828261026</v>
      </c>
      <c r="AQ742" s="408">
        <v>0</v>
      </c>
      <c r="AR742" s="408">
        <v>0</v>
      </c>
      <c r="AS742" s="408">
        <v>0</v>
      </c>
      <c r="AT742" s="408">
        <v>0</v>
      </c>
      <c r="AU742" s="408">
        <v>0</v>
      </c>
      <c r="AV742" s="408">
        <v>0</v>
      </c>
      <c r="AW742" s="408">
        <v>0</v>
      </c>
      <c r="AX742" s="408">
        <v>0</v>
      </c>
      <c r="AY742" s="408">
        <v>0</v>
      </c>
      <c r="AZ742" s="408">
        <v>0</v>
      </c>
      <c r="BA742" s="408"/>
      <c r="BB742" s="408">
        <v>0</v>
      </c>
      <c r="BC742" s="408">
        <v>0</v>
      </c>
      <c r="BD742" s="408">
        <v>0</v>
      </c>
      <c r="BE742" s="408">
        <v>0</v>
      </c>
      <c r="BF742" s="408">
        <v>0</v>
      </c>
      <c r="BG742" s="408">
        <v>0.80021625438154775</v>
      </c>
      <c r="BH742" s="408">
        <v>0</v>
      </c>
      <c r="BI742" s="408">
        <v>0</v>
      </c>
      <c r="BJ742" s="408">
        <v>0</v>
      </c>
      <c r="BK742" s="408">
        <v>0</v>
      </c>
      <c r="BL742" s="408">
        <v>0</v>
      </c>
      <c r="BM742" s="408"/>
      <c r="BN742" s="408"/>
      <c r="BO742" s="408"/>
      <c r="BP742" s="408"/>
      <c r="BQ742" s="408"/>
      <c r="BR742" s="408">
        <v>5.7476976000000075</v>
      </c>
      <c r="BS742" s="408"/>
      <c r="BT742" s="408"/>
      <c r="BU742" s="408"/>
      <c r="BV742" s="408">
        <v>19.02664660701004</v>
      </c>
      <c r="BW742" s="408"/>
      <c r="BX742" s="408"/>
      <c r="BY742" s="408"/>
      <c r="BZ742" s="408"/>
      <c r="CA742" s="408"/>
      <c r="CB742" s="408"/>
      <c r="CC742" s="408"/>
      <c r="CD742" s="408"/>
      <c r="CE742" s="408"/>
      <c r="CF742" s="408"/>
      <c r="CG742" s="408"/>
      <c r="CH742" s="408"/>
      <c r="CI742" s="408">
        <v>134.292</v>
      </c>
      <c r="CJ742" s="408">
        <v>-23.064979199999954</v>
      </c>
      <c r="CK742" s="408"/>
      <c r="CL742" s="408"/>
      <c r="CM742" s="408"/>
      <c r="CN742" s="408"/>
      <c r="CO742" s="408">
        <v>-22.499959999999998</v>
      </c>
      <c r="CP742" s="408">
        <v>2.3101300000000005</v>
      </c>
      <c r="CQ742" s="408">
        <v>31</v>
      </c>
      <c r="CR742" s="408">
        <v>6.6165280884175175</v>
      </c>
      <c r="CS742" s="408">
        <v>0.4287407057073116</v>
      </c>
      <c r="CT742" s="408">
        <v>1.9991436720701792</v>
      </c>
      <c r="CU742" s="408">
        <v>0</v>
      </c>
      <c r="CV742" s="408">
        <v>0</v>
      </c>
      <c r="CW742" s="408">
        <v>0</v>
      </c>
      <c r="CX742" s="408">
        <v>0</v>
      </c>
      <c r="CY742" s="408">
        <v>0</v>
      </c>
      <c r="CZ742" s="408">
        <v>2.0050837112337159</v>
      </c>
      <c r="DA742" s="408">
        <v>0</v>
      </c>
      <c r="DB742" s="408">
        <v>0</v>
      </c>
      <c r="DC742" s="408">
        <v>2.3098691729639427</v>
      </c>
      <c r="DD742" s="408">
        <v>0</v>
      </c>
      <c r="DE742" s="408">
        <v>0</v>
      </c>
      <c r="DF742" s="408">
        <v>0</v>
      </c>
      <c r="DG742" s="408">
        <v>0.10141288348511057</v>
      </c>
      <c r="DH742" s="408">
        <v>0</v>
      </c>
      <c r="DI742" s="408">
        <v>-0.19454689823693894</v>
      </c>
      <c r="DJ742" s="408"/>
      <c r="DK742" s="408">
        <v>0</v>
      </c>
      <c r="DL742" s="408">
        <v>0</v>
      </c>
      <c r="DM742" s="408">
        <v>0</v>
      </c>
      <c r="DN742" s="408">
        <v>0</v>
      </c>
      <c r="DO742" s="408">
        <v>-3.0750948804413314E-2</v>
      </c>
      <c r="DP742" s="408">
        <v>-2.4242100013902451E-3</v>
      </c>
      <c r="DQ742" s="408">
        <v>0</v>
      </c>
      <c r="DR742" s="408">
        <v>0</v>
      </c>
      <c r="DS742" s="408"/>
      <c r="DT742" s="408"/>
      <c r="DU742" s="408"/>
      <c r="DV742" s="408">
        <v>107.91032569763851</v>
      </c>
      <c r="DW742" s="408">
        <v>0</v>
      </c>
      <c r="DX742" s="408">
        <v>0</v>
      </c>
      <c r="DY742" s="408">
        <v>-22.499960000000002</v>
      </c>
      <c r="DZ742" s="408">
        <v>2.3101300000000009</v>
      </c>
      <c r="EA742" s="408">
        <v>0</v>
      </c>
      <c r="EB742" s="408">
        <v>0</v>
      </c>
      <c r="EC742" s="408">
        <v>-26.806755339328802</v>
      </c>
      <c r="ED742" s="408">
        <v>0</v>
      </c>
      <c r="EE742" s="408">
        <v>0</v>
      </c>
      <c r="EF742" s="408">
        <v>0</v>
      </c>
      <c r="EG742" s="408">
        <v>0</v>
      </c>
      <c r="EH742" s="408">
        <v>0</v>
      </c>
      <c r="EI742" s="408">
        <v>0</v>
      </c>
      <c r="EJ742" s="408">
        <v>0</v>
      </c>
      <c r="EK742" s="408">
        <v>0</v>
      </c>
      <c r="EL742" s="408">
        <v>0</v>
      </c>
      <c r="EM742" s="408">
        <v>0</v>
      </c>
      <c r="EN742" s="408">
        <v>0</v>
      </c>
      <c r="EO742" s="408">
        <v>0</v>
      </c>
      <c r="EP742" s="408">
        <v>1.463145996539942</v>
      </c>
      <c r="EQ742" s="408">
        <v>0</v>
      </c>
      <c r="ER742" s="408">
        <v>0</v>
      </c>
      <c r="ES742" s="408">
        <v>0</v>
      </c>
      <c r="ET742" s="408">
        <v>0</v>
      </c>
      <c r="EU742" s="408">
        <v>0</v>
      </c>
      <c r="EV742" s="408">
        <v>240</v>
      </c>
      <c r="EW742" s="408">
        <v>0</v>
      </c>
      <c r="EX742" s="408">
        <v>0</v>
      </c>
      <c r="EY742" s="408">
        <v>0</v>
      </c>
      <c r="EZ742" s="408"/>
      <c r="FA742" s="408">
        <v>0</v>
      </c>
      <c r="FB742" s="408"/>
      <c r="FC742" s="408"/>
      <c r="FD742" s="408"/>
      <c r="FE742" s="408"/>
      <c r="FF742" s="408">
        <v>0</v>
      </c>
      <c r="FG742" s="408">
        <v>0</v>
      </c>
      <c r="FH742" s="408">
        <v>0</v>
      </c>
      <c r="FI742" s="408">
        <v>0</v>
      </c>
    </row>
    <row r="743" spans="1:165">
      <c r="A743" s="408">
        <v>741</v>
      </c>
      <c r="B743" s="408" t="s">
        <v>1036</v>
      </c>
      <c r="C743" s="408" t="s">
        <v>2243</v>
      </c>
      <c r="D743" s="408" t="s">
        <v>597</v>
      </c>
      <c r="E743" s="408" t="s">
        <v>974</v>
      </c>
      <c r="F743" s="408" t="s">
        <v>1322</v>
      </c>
      <c r="G743" s="408" t="s">
        <v>1322</v>
      </c>
      <c r="H743" s="408" t="s">
        <v>1322</v>
      </c>
      <c r="I743" s="408" t="s">
        <v>2244</v>
      </c>
      <c r="J743" s="408" t="s">
        <v>2236</v>
      </c>
      <c r="K743" s="826">
        <v>44682</v>
      </c>
      <c r="L743" s="408">
        <v>0</v>
      </c>
      <c r="M743" s="408">
        <v>0</v>
      </c>
      <c r="N743" s="408">
        <v>68.063000000000002</v>
      </c>
      <c r="O743" s="408">
        <v>65.340479999999999</v>
      </c>
      <c r="P743" s="408">
        <v>68.063000000000002</v>
      </c>
      <c r="Q743" s="408">
        <v>65.340479999999999</v>
      </c>
      <c r="R743" s="408"/>
      <c r="S743" s="408">
        <v>85.01</v>
      </c>
      <c r="T743" s="408">
        <v>173.25</v>
      </c>
      <c r="U743" s="408"/>
      <c r="V743" s="408">
        <v>17577.950380000002</v>
      </c>
      <c r="W743" s="408">
        <v>17577.950380000002</v>
      </c>
      <c r="X743" s="408">
        <v>18967.11621</v>
      </c>
      <c r="Y743" s="408">
        <v>0</v>
      </c>
      <c r="Z743" s="408">
        <v>3644.3863295659075</v>
      </c>
      <c r="AA743" s="408">
        <v>0</v>
      </c>
      <c r="AB743" s="408">
        <v>0</v>
      </c>
      <c r="AC743" s="408">
        <v>0</v>
      </c>
      <c r="AD743" s="408">
        <v>0</v>
      </c>
      <c r="AE743" s="408">
        <v>0</v>
      </c>
      <c r="AF743" s="408">
        <v>11593.88344944816</v>
      </c>
      <c r="AG743" s="408">
        <v>197.87503578922912</v>
      </c>
      <c r="AH743" s="408">
        <v>0</v>
      </c>
      <c r="AI743" s="408">
        <v>0</v>
      </c>
      <c r="AJ743" s="408">
        <v>0</v>
      </c>
      <c r="AK743" s="408">
        <v>0</v>
      </c>
      <c r="AL743" s="408">
        <v>647.21312776559944</v>
      </c>
      <c r="AM743" s="408"/>
      <c r="AN743" s="408">
        <v>54.505791529911562</v>
      </c>
      <c r="AO743" s="408">
        <v>0</v>
      </c>
      <c r="AP743" s="408">
        <v>0</v>
      </c>
      <c r="AQ743" s="408">
        <v>0</v>
      </c>
      <c r="AR743" s="408">
        <v>0</v>
      </c>
      <c r="AS743" s="408">
        <v>0</v>
      </c>
      <c r="AT743" s="408">
        <v>0</v>
      </c>
      <c r="AU743" s="408">
        <v>0</v>
      </c>
      <c r="AV743" s="408">
        <v>0</v>
      </c>
      <c r="AW743" s="408">
        <v>0</v>
      </c>
      <c r="AX743" s="408">
        <v>0</v>
      </c>
      <c r="AY743" s="408">
        <v>0</v>
      </c>
      <c r="AZ743" s="408">
        <v>0</v>
      </c>
      <c r="BA743" s="408"/>
      <c r="BB743" s="408">
        <v>0</v>
      </c>
      <c r="BC743" s="408">
        <v>0</v>
      </c>
      <c r="BD743" s="408">
        <v>0</v>
      </c>
      <c r="BE743" s="408">
        <v>0</v>
      </c>
      <c r="BF743" s="408">
        <v>0</v>
      </c>
      <c r="BG743" s="408">
        <v>509.01980300907746</v>
      </c>
      <c r="BH743" s="408">
        <v>0</v>
      </c>
      <c r="BI743" s="408">
        <v>0</v>
      </c>
      <c r="BJ743" s="408">
        <v>0</v>
      </c>
      <c r="BK743" s="408">
        <v>0</v>
      </c>
      <c r="BL743" s="408">
        <v>0</v>
      </c>
      <c r="BM743" s="408"/>
      <c r="BN743" s="408"/>
      <c r="BO743" s="408"/>
      <c r="BP743" s="408"/>
      <c r="BQ743" s="408"/>
      <c r="BR743" s="408">
        <v>758.68464840000081</v>
      </c>
      <c r="BS743" s="408"/>
      <c r="BT743" s="408"/>
      <c r="BU743" s="408"/>
      <c r="BV743" s="408">
        <v>12102.903252457238</v>
      </c>
      <c r="BW743" s="408"/>
      <c r="BX743" s="408"/>
      <c r="BY743" s="408"/>
      <c r="BZ743" s="408"/>
      <c r="CA743" s="408"/>
      <c r="CB743" s="408"/>
      <c r="CC743" s="408"/>
      <c r="CD743" s="408"/>
      <c r="CE743" s="408"/>
      <c r="CF743" s="408"/>
      <c r="CG743" s="408"/>
      <c r="CH743" s="408"/>
      <c r="CI743" s="408">
        <v>18208.2978</v>
      </c>
      <c r="CJ743" s="408">
        <v>1333.4354352000009</v>
      </c>
      <c r="CK743" s="408"/>
      <c r="CL743" s="408"/>
      <c r="CM743" s="408"/>
      <c r="CN743" s="408"/>
      <c r="CO743" s="408">
        <v>-80.31434000000047</v>
      </c>
      <c r="CP743" s="408">
        <v>1469.4801700000003</v>
      </c>
      <c r="CQ743" s="408">
        <v>31</v>
      </c>
      <c r="CR743" s="408">
        <v>1388.9686377531907</v>
      </c>
      <c r="CS743" s="408">
        <v>0</v>
      </c>
      <c r="CT743" s="408">
        <v>0</v>
      </c>
      <c r="CU743" s="408">
        <v>0</v>
      </c>
      <c r="CV743" s="408">
        <v>0</v>
      </c>
      <c r="CW743" s="408">
        <v>0</v>
      </c>
      <c r="CX743" s="408">
        <v>0</v>
      </c>
      <c r="CY743" s="408">
        <v>0</v>
      </c>
      <c r="CZ743" s="408">
        <v>0</v>
      </c>
      <c r="DA743" s="408">
        <v>0</v>
      </c>
      <c r="DB743" s="408">
        <v>0</v>
      </c>
      <c r="DC743" s="408">
        <v>1469.3142571910721</v>
      </c>
      <c r="DD743" s="408">
        <v>0</v>
      </c>
      <c r="DE743" s="408">
        <v>0</v>
      </c>
      <c r="DF743" s="408">
        <v>0</v>
      </c>
      <c r="DG743" s="408">
        <v>64.50901952006609</v>
      </c>
      <c r="DH743" s="408">
        <v>0</v>
      </c>
      <c r="DI743" s="408">
        <v>-123.75182742711058</v>
      </c>
      <c r="DJ743" s="408"/>
      <c r="DK743" s="408">
        <v>0</v>
      </c>
      <c r="DL743" s="408">
        <v>0</v>
      </c>
      <c r="DM743" s="408">
        <v>0</v>
      </c>
      <c r="DN743" s="408">
        <v>0</v>
      </c>
      <c r="DO743" s="408">
        <v>-19.560764752100908</v>
      </c>
      <c r="DP743" s="408">
        <v>-1.5420467787348002</v>
      </c>
      <c r="DQ743" s="408">
        <v>0</v>
      </c>
      <c r="DR743" s="408">
        <v>0</v>
      </c>
      <c r="DS743" s="408"/>
      <c r="DT743" s="408"/>
      <c r="DU743" s="408"/>
      <c r="DV743" s="408">
        <v>0</v>
      </c>
      <c r="DW743" s="408">
        <v>0</v>
      </c>
      <c r="DX743" s="408">
        <v>0</v>
      </c>
      <c r="DY743" s="408">
        <v>-80.314339999999902</v>
      </c>
      <c r="DZ743" s="408">
        <v>1469.4801700000007</v>
      </c>
      <c r="EA743" s="408">
        <v>0</v>
      </c>
      <c r="EB743" s="408">
        <v>0</v>
      </c>
      <c r="EC743" s="408">
        <v>0</v>
      </c>
      <c r="ED743" s="408">
        <v>0</v>
      </c>
      <c r="EE743" s="408">
        <v>0</v>
      </c>
      <c r="EF743" s="408">
        <v>0</v>
      </c>
      <c r="EG743" s="408">
        <v>0</v>
      </c>
      <c r="EH743" s="408">
        <v>0</v>
      </c>
      <c r="EI743" s="408">
        <v>0</v>
      </c>
      <c r="EJ743" s="408">
        <v>0</v>
      </c>
      <c r="EK743" s="408">
        <v>0</v>
      </c>
      <c r="EL743" s="408">
        <v>0</v>
      </c>
      <c r="EM743" s="408">
        <v>0</v>
      </c>
      <c r="EN743" s="408">
        <v>0</v>
      </c>
      <c r="EO743" s="408">
        <v>0</v>
      </c>
      <c r="EP743" s="408">
        <v>930.71127067755219</v>
      </c>
      <c r="EQ743" s="408">
        <v>0</v>
      </c>
      <c r="ER743" s="408">
        <v>0</v>
      </c>
      <c r="ES743" s="408">
        <v>0</v>
      </c>
      <c r="ET743" s="408">
        <v>0</v>
      </c>
      <c r="EU743" s="408">
        <v>0</v>
      </c>
      <c r="EV743" s="408">
        <v>240</v>
      </c>
      <c r="EW743" s="408">
        <v>0</v>
      </c>
      <c r="EX743" s="408">
        <v>0</v>
      </c>
      <c r="EY743" s="408">
        <v>0</v>
      </c>
      <c r="EZ743" s="408"/>
      <c r="FA743" s="408">
        <v>0</v>
      </c>
      <c r="FB743" s="408"/>
      <c r="FC743" s="408"/>
      <c r="FD743" s="408"/>
      <c r="FE743" s="408"/>
      <c r="FF743" s="408">
        <v>0</v>
      </c>
      <c r="FG743" s="408">
        <v>0</v>
      </c>
      <c r="FH743" s="408">
        <v>0</v>
      </c>
      <c r="FI743" s="408">
        <v>0</v>
      </c>
    </row>
    <row r="744" spans="1:165">
      <c r="A744" s="408">
        <v>742</v>
      </c>
      <c r="B744" s="408" t="s">
        <v>2238</v>
      </c>
      <c r="C744" s="408" t="s">
        <v>2243</v>
      </c>
      <c r="D744" s="408" t="s">
        <v>597</v>
      </c>
      <c r="E744" s="408" t="s">
        <v>974</v>
      </c>
      <c r="F744" s="408" t="s">
        <v>1322</v>
      </c>
      <c r="G744" s="408" t="s">
        <v>1322</v>
      </c>
      <c r="H744" s="408" t="s">
        <v>1322</v>
      </c>
      <c r="I744" s="408" t="s">
        <v>2244</v>
      </c>
      <c r="J744" s="408" t="s">
        <v>2236</v>
      </c>
      <c r="K744" s="826">
        <v>44682</v>
      </c>
      <c r="L744" s="408">
        <v>0</v>
      </c>
      <c r="M744" s="408">
        <v>0</v>
      </c>
      <c r="N744" s="408">
        <v>31.882999999999999</v>
      </c>
      <c r="O744" s="408">
        <v>30.607679999999998</v>
      </c>
      <c r="P744" s="408">
        <v>31.882999999999999</v>
      </c>
      <c r="Q744" s="408">
        <v>30.607679999999998</v>
      </c>
      <c r="R744" s="408"/>
      <c r="S744" s="408">
        <v>85.01</v>
      </c>
      <c r="T744" s="408">
        <v>173.25</v>
      </c>
      <c r="U744" s="408"/>
      <c r="V744" s="408">
        <v>8234.1035799999991</v>
      </c>
      <c r="W744" s="408">
        <v>8234.1035799999991</v>
      </c>
      <c r="X744" s="408">
        <v>8884.8356100000001</v>
      </c>
      <c r="Y744" s="408">
        <v>0</v>
      </c>
      <c r="Z744" s="408">
        <v>1707.1532160726065</v>
      </c>
      <c r="AA744" s="408">
        <v>0</v>
      </c>
      <c r="AB744" s="408">
        <v>0</v>
      </c>
      <c r="AC744" s="408">
        <v>0</v>
      </c>
      <c r="AD744" s="408">
        <v>0</v>
      </c>
      <c r="AE744" s="408">
        <v>0</v>
      </c>
      <c r="AF744" s="408">
        <v>5430.9652236715347</v>
      </c>
      <c r="AG744" s="408">
        <v>92.69132665424668</v>
      </c>
      <c r="AH744" s="408">
        <v>0</v>
      </c>
      <c r="AI744" s="408">
        <v>0</v>
      </c>
      <c r="AJ744" s="408">
        <v>0</v>
      </c>
      <c r="AK744" s="408">
        <v>0</v>
      </c>
      <c r="AL744" s="408">
        <v>303.17641233196605</v>
      </c>
      <c r="AM744" s="408"/>
      <c r="AN744" s="408">
        <v>25.532347256926233</v>
      </c>
      <c r="AO744" s="408">
        <v>0</v>
      </c>
      <c r="AP744" s="408">
        <v>0</v>
      </c>
      <c r="AQ744" s="408">
        <v>0</v>
      </c>
      <c r="AR744" s="408">
        <v>0</v>
      </c>
      <c r="AS744" s="408">
        <v>0</v>
      </c>
      <c r="AT744" s="408">
        <v>0</v>
      </c>
      <c r="AU744" s="408">
        <v>0</v>
      </c>
      <c r="AV744" s="408">
        <v>0</v>
      </c>
      <c r="AW744" s="408">
        <v>0</v>
      </c>
      <c r="AX744" s="408">
        <v>0</v>
      </c>
      <c r="AY744" s="408">
        <v>0</v>
      </c>
      <c r="AZ744" s="408">
        <v>0</v>
      </c>
      <c r="BA744" s="408"/>
      <c r="BB744" s="408">
        <v>0</v>
      </c>
      <c r="BC744" s="408">
        <v>0</v>
      </c>
      <c r="BD744" s="408">
        <v>0</v>
      </c>
      <c r="BE744" s="408">
        <v>0</v>
      </c>
      <c r="BF744" s="408">
        <v>0</v>
      </c>
      <c r="BG744" s="408">
        <v>238.44200783595221</v>
      </c>
      <c r="BH744" s="408">
        <v>0</v>
      </c>
      <c r="BI744" s="408">
        <v>0</v>
      </c>
      <c r="BJ744" s="408">
        <v>0</v>
      </c>
      <c r="BK744" s="408">
        <v>0</v>
      </c>
      <c r="BL744" s="408">
        <v>0</v>
      </c>
      <c r="BM744" s="408"/>
      <c r="BN744" s="408"/>
      <c r="BO744" s="408"/>
      <c r="BP744" s="408"/>
      <c r="BQ744" s="408"/>
      <c r="BR744" s="408">
        <v>355.39342440000019</v>
      </c>
      <c r="BS744" s="408"/>
      <c r="BT744" s="408"/>
      <c r="BU744" s="408"/>
      <c r="BV744" s="408">
        <v>5669.4072315074873</v>
      </c>
      <c r="BW744" s="408"/>
      <c r="BX744" s="408"/>
      <c r="BY744" s="408"/>
      <c r="BZ744" s="408"/>
      <c r="CA744" s="408"/>
      <c r="CB744" s="408"/>
      <c r="CC744" s="408"/>
      <c r="CD744" s="408"/>
      <c r="CE744" s="408"/>
      <c r="CF744" s="408"/>
      <c r="CG744" s="408"/>
      <c r="CH744" s="408"/>
      <c r="CI744" s="408">
        <v>8530.0887000000002</v>
      </c>
      <c r="CJ744" s="408">
        <v>625.31926319999911</v>
      </c>
      <c r="CK744" s="408"/>
      <c r="CL744" s="408"/>
      <c r="CM744" s="408"/>
      <c r="CN744" s="408"/>
      <c r="CO744" s="408">
        <v>-37.621940000000215</v>
      </c>
      <c r="CP744" s="408">
        <v>688.35397000000012</v>
      </c>
      <c r="CQ744" s="408">
        <v>31</v>
      </c>
      <c r="CR744" s="408">
        <v>650.63965851468674</v>
      </c>
      <c r="CS744" s="408">
        <v>0</v>
      </c>
      <c r="CT744" s="408">
        <v>0</v>
      </c>
      <c r="CU744" s="408">
        <v>0</v>
      </c>
      <c r="CV744" s="408">
        <v>0</v>
      </c>
      <c r="CW744" s="408">
        <v>0</v>
      </c>
      <c r="CX744" s="408">
        <v>0</v>
      </c>
      <c r="CY744" s="408">
        <v>0</v>
      </c>
      <c r="CZ744" s="408">
        <v>0</v>
      </c>
      <c r="DA744" s="408">
        <v>0</v>
      </c>
      <c r="DB744" s="408">
        <v>0</v>
      </c>
      <c r="DC744" s="408">
        <v>688.27625085616182</v>
      </c>
      <c r="DD744" s="408">
        <v>0</v>
      </c>
      <c r="DE744" s="408">
        <v>0</v>
      </c>
      <c r="DF744" s="408">
        <v>0</v>
      </c>
      <c r="DG744" s="408">
        <v>30.218195926689532</v>
      </c>
      <c r="DH744" s="408">
        <v>0</v>
      </c>
      <c r="DI744" s="408">
        <v>-57.969521088676174</v>
      </c>
      <c r="DJ744" s="408"/>
      <c r="DK744" s="408">
        <v>0</v>
      </c>
      <c r="DL744" s="408">
        <v>0</v>
      </c>
      <c r="DM744" s="408">
        <v>0</v>
      </c>
      <c r="DN744" s="408">
        <v>0</v>
      </c>
      <c r="DO744" s="408">
        <v>-9.1629205675804997</v>
      </c>
      <c r="DP744" s="408">
        <v>-0.72234661190957894</v>
      </c>
      <c r="DQ744" s="408">
        <v>0</v>
      </c>
      <c r="DR744" s="408">
        <v>0</v>
      </c>
      <c r="DS744" s="408"/>
      <c r="DT744" s="408"/>
      <c r="DU744" s="408"/>
      <c r="DV744" s="408">
        <v>0</v>
      </c>
      <c r="DW744" s="408">
        <v>0</v>
      </c>
      <c r="DX744" s="408">
        <v>0</v>
      </c>
      <c r="DY744" s="408">
        <v>-37.621939999999995</v>
      </c>
      <c r="DZ744" s="408">
        <v>688.35397000000012</v>
      </c>
      <c r="EA744" s="408">
        <v>0</v>
      </c>
      <c r="EB744" s="408">
        <v>0</v>
      </c>
      <c r="EC744" s="408">
        <v>0</v>
      </c>
      <c r="ED744" s="408">
        <v>0</v>
      </c>
      <c r="EE744" s="408">
        <v>0</v>
      </c>
      <c r="EF744" s="408">
        <v>0</v>
      </c>
      <c r="EG744" s="408">
        <v>0</v>
      </c>
      <c r="EH744" s="408">
        <v>0</v>
      </c>
      <c r="EI744" s="408">
        <v>0</v>
      </c>
      <c r="EJ744" s="408">
        <v>0</v>
      </c>
      <c r="EK744" s="408">
        <v>0</v>
      </c>
      <c r="EL744" s="408">
        <v>0</v>
      </c>
      <c r="EM744" s="408">
        <v>0</v>
      </c>
      <c r="EN744" s="408">
        <v>0</v>
      </c>
      <c r="EO744" s="408">
        <v>0</v>
      </c>
      <c r="EP744" s="408">
        <v>435.976484183953</v>
      </c>
      <c r="EQ744" s="408">
        <v>0</v>
      </c>
      <c r="ER744" s="408">
        <v>0</v>
      </c>
      <c r="ES744" s="408">
        <v>0</v>
      </c>
      <c r="ET744" s="408">
        <v>0</v>
      </c>
      <c r="EU744" s="408">
        <v>0</v>
      </c>
      <c r="EV744" s="408">
        <v>240</v>
      </c>
      <c r="EW744" s="408">
        <v>0</v>
      </c>
      <c r="EX744" s="408">
        <v>0</v>
      </c>
      <c r="EY744" s="408">
        <v>0</v>
      </c>
      <c r="EZ744" s="408"/>
      <c r="FA744" s="408">
        <v>0</v>
      </c>
      <c r="FB744" s="408"/>
      <c r="FC744" s="408"/>
      <c r="FD744" s="408"/>
      <c r="FE744" s="408"/>
      <c r="FF744" s="408">
        <v>0</v>
      </c>
      <c r="FG744" s="408">
        <v>0</v>
      </c>
      <c r="FH744" s="408">
        <v>0</v>
      </c>
      <c r="FI744" s="408">
        <v>0</v>
      </c>
    </row>
    <row r="745" spans="1:165">
      <c r="A745" s="408">
        <v>743</v>
      </c>
      <c r="B745" s="408" t="s">
        <v>1036</v>
      </c>
      <c r="C745" s="408" t="s">
        <v>2243</v>
      </c>
      <c r="D745" s="408" t="s">
        <v>597</v>
      </c>
      <c r="E745" s="408" t="s">
        <v>974</v>
      </c>
      <c r="F745" s="408" t="s">
        <v>1322</v>
      </c>
      <c r="G745" s="408" t="s">
        <v>1322</v>
      </c>
      <c r="H745" s="408" t="s">
        <v>1322</v>
      </c>
      <c r="I745" s="408" t="s">
        <v>1322</v>
      </c>
      <c r="J745" s="408" t="s">
        <v>2236</v>
      </c>
      <c r="K745" s="826">
        <v>44682</v>
      </c>
      <c r="L745" s="408">
        <v>649</v>
      </c>
      <c r="M745" s="408">
        <v>623.04</v>
      </c>
      <c r="N745" s="408">
        <v>0</v>
      </c>
      <c r="O745" s="408">
        <v>0</v>
      </c>
      <c r="P745" s="408">
        <v>0</v>
      </c>
      <c r="Q745" s="408">
        <v>0</v>
      </c>
      <c r="R745" s="408">
        <v>27.19</v>
      </c>
      <c r="S745" s="408"/>
      <c r="T745" s="408"/>
      <c r="U745" s="408">
        <v>17646.310000000001</v>
      </c>
      <c r="V745" s="408"/>
      <c r="W745" s="408">
        <v>17646.310000000001</v>
      </c>
      <c r="X745" s="408">
        <v>14122.240000000002</v>
      </c>
      <c r="Y745" s="408">
        <v>0</v>
      </c>
      <c r="Z745" s="408">
        <v>0</v>
      </c>
      <c r="AA745" s="408">
        <v>0</v>
      </c>
      <c r="AB745" s="408">
        <v>0</v>
      </c>
      <c r="AC745" s="408">
        <v>151.34719811448903</v>
      </c>
      <c r="AD745" s="408">
        <v>145.39861075140519</v>
      </c>
      <c r="AE745" s="408">
        <v>15531.887627810514</v>
      </c>
      <c r="AF745" s="408"/>
      <c r="AG745" s="408"/>
      <c r="AH745" s="408"/>
      <c r="AI745" s="408">
        <v>0</v>
      </c>
      <c r="AJ745" s="408">
        <v>0</v>
      </c>
      <c r="AK745" s="408">
        <v>0</v>
      </c>
      <c r="AL745" s="408">
        <v>0</v>
      </c>
      <c r="AM745" s="408"/>
      <c r="AN745" s="408">
        <v>0</v>
      </c>
      <c r="AO745" s="408">
        <v>321.18025537771115</v>
      </c>
      <c r="AP745" s="408">
        <v>1497.9496591144571</v>
      </c>
      <c r="AQ745" s="408">
        <v>0</v>
      </c>
      <c r="AR745" s="408">
        <v>0</v>
      </c>
      <c r="AS745" s="408"/>
      <c r="AT745" s="408"/>
      <c r="AU745" s="408">
        <v>0</v>
      </c>
      <c r="AV745" s="408">
        <v>0</v>
      </c>
      <c r="AW745" s="408">
        <v>0</v>
      </c>
      <c r="AX745" s="408"/>
      <c r="AY745" s="408"/>
      <c r="AZ745" s="408">
        <v>0</v>
      </c>
      <c r="BA745" s="408"/>
      <c r="BB745" s="408">
        <v>0</v>
      </c>
      <c r="BC745" s="408">
        <v>0</v>
      </c>
      <c r="BD745" s="408">
        <v>0</v>
      </c>
      <c r="BE745" s="408">
        <v>0</v>
      </c>
      <c r="BF745" s="408"/>
      <c r="BG745" s="408">
        <v>0</v>
      </c>
      <c r="BH745" s="408">
        <v>0</v>
      </c>
      <c r="BI745" s="408">
        <v>27.57</v>
      </c>
      <c r="BJ745" s="408">
        <v>354.72</v>
      </c>
      <c r="BK745" s="408">
        <v>19.72</v>
      </c>
      <c r="BL745" s="408">
        <v>4</v>
      </c>
      <c r="BM745" s="408"/>
      <c r="BN745" s="408"/>
      <c r="BO745" s="408"/>
      <c r="BP745" s="408"/>
      <c r="BQ745" s="408"/>
      <c r="BR745" s="408">
        <v>564.88960000000088</v>
      </c>
      <c r="BS745" s="408"/>
      <c r="BT745" s="408"/>
      <c r="BU745" s="408"/>
      <c r="BV745" s="408">
        <v>0</v>
      </c>
      <c r="BW745" s="408"/>
      <c r="BX745" s="408"/>
      <c r="BY745" s="408"/>
      <c r="BZ745" s="408"/>
      <c r="CA745" s="408"/>
      <c r="CB745" s="408"/>
      <c r="CC745" s="408"/>
      <c r="CD745" s="408"/>
      <c r="CE745" s="408"/>
      <c r="CF745" s="408"/>
      <c r="CG745" s="408"/>
      <c r="CH745" s="408"/>
      <c r="CI745" s="408">
        <v>13557.350399999999</v>
      </c>
      <c r="CJ745" s="408">
        <v>-3383.1371999999974</v>
      </c>
      <c r="CK745" s="408"/>
      <c r="CL745" s="408"/>
      <c r="CM745" s="408"/>
      <c r="CN745" s="408"/>
      <c r="CO745" s="408">
        <v>-3524.0699999999997</v>
      </c>
      <c r="CP745" s="408">
        <v>0</v>
      </c>
      <c r="CQ745" s="408">
        <v>31</v>
      </c>
      <c r="CR745" s="408">
        <v>330.98480082115429</v>
      </c>
      <c r="CS745" s="408">
        <v>32.004925944020556</v>
      </c>
      <c r="CT745" s="408">
        <v>149.26748174930435</v>
      </c>
      <c r="CU745" s="408">
        <v>0</v>
      </c>
      <c r="CV745" s="408">
        <v>0</v>
      </c>
      <c r="CW745" s="408"/>
      <c r="CX745" s="408"/>
      <c r="CY745" s="408"/>
      <c r="CZ745" s="408">
        <v>149.7123931278297</v>
      </c>
      <c r="DA745" s="408">
        <v>0</v>
      </c>
      <c r="DB745" s="408">
        <v>0</v>
      </c>
      <c r="DC745" s="408"/>
      <c r="DD745" s="408"/>
      <c r="DE745" s="408">
        <v>0</v>
      </c>
      <c r="DF745" s="408">
        <v>0</v>
      </c>
      <c r="DG745" s="408">
        <v>0</v>
      </c>
      <c r="DH745" s="408">
        <v>0</v>
      </c>
      <c r="DI745" s="408">
        <v>0</v>
      </c>
      <c r="DJ745" s="408"/>
      <c r="DK745" s="408">
        <v>0</v>
      </c>
      <c r="DL745" s="408">
        <v>0</v>
      </c>
      <c r="DM745" s="408"/>
      <c r="DN745" s="408">
        <v>0</v>
      </c>
      <c r="DO745" s="408">
        <v>0</v>
      </c>
      <c r="DP745" s="408">
        <v>0</v>
      </c>
      <c r="DQ745" s="408">
        <v>0</v>
      </c>
      <c r="DR745" s="408">
        <v>0</v>
      </c>
      <c r="DS745" s="408"/>
      <c r="DT745" s="408"/>
      <c r="DU745" s="408">
        <v>15531.887627810514</v>
      </c>
      <c r="DV745" s="408"/>
      <c r="DW745" s="408">
        <v>0</v>
      </c>
      <c r="DX745" s="408">
        <v>0</v>
      </c>
      <c r="DY745" s="408">
        <v>-3524.0699999999997</v>
      </c>
      <c r="DZ745" s="408"/>
      <c r="EA745" s="408">
        <v>0</v>
      </c>
      <c r="EB745" s="408"/>
      <c r="EC745" s="408">
        <v>-3858.3843474190489</v>
      </c>
      <c r="ED745" s="408"/>
      <c r="EE745" s="408">
        <v>0</v>
      </c>
      <c r="EF745" s="408">
        <v>0</v>
      </c>
      <c r="EG745" s="408"/>
      <c r="EH745" s="408">
        <v>0</v>
      </c>
      <c r="EI745" s="408">
        <v>0</v>
      </c>
      <c r="EJ745" s="408">
        <v>0</v>
      </c>
      <c r="EK745" s="408">
        <v>0</v>
      </c>
      <c r="EL745" s="408">
        <v>0</v>
      </c>
      <c r="EM745" s="408"/>
      <c r="EN745" s="408"/>
      <c r="EO745" s="408">
        <v>0</v>
      </c>
      <c r="EP745" s="408">
        <v>0</v>
      </c>
      <c r="EQ745" s="408"/>
      <c r="ER745" s="408">
        <v>0</v>
      </c>
      <c r="ES745" s="408"/>
      <c r="ET745" s="408">
        <v>0</v>
      </c>
      <c r="EU745" s="408"/>
      <c r="EV745" s="408">
        <v>240</v>
      </c>
      <c r="EW745" s="408"/>
      <c r="EX745" s="408"/>
      <c r="EY745" s="408"/>
      <c r="EZ745" s="408"/>
      <c r="FA745" s="408">
        <v>0</v>
      </c>
      <c r="FB745" s="408"/>
      <c r="FC745" s="408"/>
      <c r="FD745" s="408"/>
      <c r="FE745" s="408"/>
      <c r="FF745" s="408">
        <v>0</v>
      </c>
      <c r="FG745" s="408">
        <v>0</v>
      </c>
      <c r="FH745" s="408">
        <v>0</v>
      </c>
      <c r="FI745" s="408">
        <v>0</v>
      </c>
    </row>
    <row r="746" spans="1:165">
      <c r="A746" s="408">
        <v>744</v>
      </c>
      <c r="B746" s="408" t="s">
        <v>2238</v>
      </c>
      <c r="C746" s="408" t="s">
        <v>2243</v>
      </c>
      <c r="D746" s="408" t="s">
        <v>597</v>
      </c>
      <c r="E746" s="408" t="s">
        <v>974</v>
      </c>
      <c r="F746" s="408" t="s">
        <v>1322</v>
      </c>
      <c r="G746" s="408" t="s">
        <v>1322</v>
      </c>
      <c r="H746" s="408" t="s">
        <v>1322</v>
      </c>
      <c r="I746" s="408" t="s">
        <v>1322</v>
      </c>
      <c r="J746" s="408" t="s">
        <v>2236</v>
      </c>
      <c r="K746" s="826">
        <v>44682</v>
      </c>
      <c r="L746" s="408">
        <v>150</v>
      </c>
      <c r="M746" s="408">
        <v>144</v>
      </c>
      <c r="N746" s="408">
        <v>0</v>
      </c>
      <c r="O746" s="408">
        <v>0</v>
      </c>
      <c r="P746" s="408">
        <v>0</v>
      </c>
      <c r="Q746" s="408">
        <v>0</v>
      </c>
      <c r="R746" s="408">
        <v>27.19</v>
      </c>
      <c r="S746" s="408"/>
      <c r="T746" s="408"/>
      <c r="U746" s="408">
        <v>4078.5</v>
      </c>
      <c r="V746" s="408"/>
      <c r="W746" s="408">
        <v>4078.5</v>
      </c>
      <c r="X746" s="408">
        <v>3264.0000000000005</v>
      </c>
      <c r="Y746" s="408">
        <v>0</v>
      </c>
      <c r="Z746" s="408">
        <v>0</v>
      </c>
      <c r="AA746" s="408">
        <v>0</v>
      </c>
      <c r="AB746" s="408">
        <v>0</v>
      </c>
      <c r="AC746" s="408">
        <v>34.980092014134605</v>
      </c>
      <c r="AD746" s="408">
        <v>33.6052259055636</v>
      </c>
      <c r="AE746" s="408">
        <v>3589.8045364739251</v>
      </c>
      <c r="AF746" s="408"/>
      <c r="AG746" s="408"/>
      <c r="AH746" s="408"/>
      <c r="AI746" s="408">
        <v>0</v>
      </c>
      <c r="AJ746" s="408">
        <v>0</v>
      </c>
      <c r="AK746" s="408">
        <v>0</v>
      </c>
      <c r="AL746" s="408">
        <v>0</v>
      </c>
      <c r="AM746" s="408"/>
      <c r="AN746" s="408">
        <v>0</v>
      </c>
      <c r="AO746" s="408">
        <v>74.232724663569599</v>
      </c>
      <c r="AP746" s="408">
        <v>346.2133264517235</v>
      </c>
      <c r="AQ746" s="408">
        <v>0</v>
      </c>
      <c r="AR746" s="408">
        <v>0</v>
      </c>
      <c r="AS746" s="408"/>
      <c r="AT746" s="408"/>
      <c r="AU746" s="408">
        <v>0</v>
      </c>
      <c r="AV746" s="408">
        <v>0</v>
      </c>
      <c r="AW746" s="408">
        <v>0</v>
      </c>
      <c r="AX746" s="408"/>
      <c r="AY746" s="408"/>
      <c r="AZ746" s="408">
        <v>0</v>
      </c>
      <c r="BA746" s="408"/>
      <c r="BB746" s="408">
        <v>0</v>
      </c>
      <c r="BC746" s="408">
        <v>0</v>
      </c>
      <c r="BD746" s="408">
        <v>0</v>
      </c>
      <c r="BE746" s="408">
        <v>0</v>
      </c>
      <c r="BF746" s="408"/>
      <c r="BG746" s="408">
        <v>0</v>
      </c>
      <c r="BH746" s="408">
        <v>0</v>
      </c>
      <c r="BI746" s="408">
        <v>8.41</v>
      </c>
      <c r="BJ746" s="408">
        <v>108.24</v>
      </c>
      <c r="BK746" s="408">
        <v>3.83</v>
      </c>
      <c r="BL746" s="408">
        <v>1</v>
      </c>
      <c r="BM746" s="408"/>
      <c r="BN746" s="408"/>
      <c r="BO746" s="408"/>
      <c r="BP746" s="408"/>
      <c r="BQ746" s="408"/>
      <c r="BR746" s="408">
        <v>130.56</v>
      </c>
      <c r="BS746" s="408"/>
      <c r="BT746" s="408"/>
      <c r="BU746" s="408"/>
      <c r="BV746" s="408">
        <v>0</v>
      </c>
      <c r="BW746" s="408"/>
      <c r="BX746" s="408"/>
      <c r="BY746" s="408"/>
      <c r="BZ746" s="408"/>
      <c r="CA746" s="408"/>
      <c r="CB746" s="408"/>
      <c r="CC746" s="408"/>
      <c r="CD746" s="408"/>
      <c r="CE746" s="408"/>
      <c r="CF746" s="408"/>
      <c r="CG746" s="408"/>
      <c r="CH746" s="408"/>
      <c r="CI746" s="408">
        <v>3133.44</v>
      </c>
      <c r="CJ746" s="408">
        <v>-781.95000000000073</v>
      </c>
      <c r="CK746" s="408"/>
      <c r="CL746" s="408"/>
      <c r="CM746" s="408"/>
      <c r="CN746" s="408"/>
      <c r="CO746" s="408">
        <v>-814.5</v>
      </c>
      <c r="CP746" s="408">
        <v>0</v>
      </c>
      <c r="CQ746" s="408">
        <v>31</v>
      </c>
      <c r="CR746" s="408">
        <v>76.498798340790756</v>
      </c>
      <c r="CS746" s="408">
        <v>7.3971323445347963</v>
      </c>
      <c r="CT746" s="408">
        <v>34.499417969793001</v>
      </c>
      <c r="CU746" s="408">
        <v>0</v>
      </c>
      <c r="CV746" s="408">
        <v>0</v>
      </c>
      <c r="CW746" s="408"/>
      <c r="CX746" s="408"/>
      <c r="CY746" s="408"/>
      <c r="CZ746" s="408">
        <v>34.602248026462945</v>
      </c>
      <c r="DA746" s="408">
        <v>0</v>
      </c>
      <c r="DB746" s="408">
        <v>0</v>
      </c>
      <c r="DC746" s="408"/>
      <c r="DD746" s="408"/>
      <c r="DE746" s="408">
        <v>0</v>
      </c>
      <c r="DF746" s="408">
        <v>0</v>
      </c>
      <c r="DG746" s="408">
        <v>0</v>
      </c>
      <c r="DH746" s="408">
        <v>0</v>
      </c>
      <c r="DI746" s="408">
        <v>0</v>
      </c>
      <c r="DJ746" s="408"/>
      <c r="DK746" s="408">
        <v>0</v>
      </c>
      <c r="DL746" s="408">
        <v>0</v>
      </c>
      <c r="DM746" s="408"/>
      <c r="DN746" s="408">
        <v>0</v>
      </c>
      <c r="DO746" s="408">
        <v>0</v>
      </c>
      <c r="DP746" s="408">
        <v>0</v>
      </c>
      <c r="DQ746" s="408">
        <v>0</v>
      </c>
      <c r="DR746" s="408">
        <v>0</v>
      </c>
      <c r="DS746" s="408"/>
      <c r="DT746" s="408"/>
      <c r="DU746" s="408">
        <v>3589.8045364739251</v>
      </c>
      <c r="DV746" s="408"/>
      <c r="DW746" s="408">
        <v>0</v>
      </c>
      <c r="DX746" s="408">
        <v>0</v>
      </c>
      <c r="DY746" s="408">
        <v>-814.49999999999955</v>
      </c>
      <c r="DZ746" s="408"/>
      <c r="EA746" s="408">
        <v>0</v>
      </c>
      <c r="EB746" s="408"/>
      <c r="EC746" s="408">
        <v>-891.76833915694533</v>
      </c>
      <c r="ED746" s="408"/>
      <c r="EE746" s="408">
        <v>0</v>
      </c>
      <c r="EF746" s="408">
        <v>0</v>
      </c>
      <c r="EG746" s="408"/>
      <c r="EH746" s="408">
        <v>0</v>
      </c>
      <c r="EI746" s="408">
        <v>0</v>
      </c>
      <c r="EJ746" s="408">
        <v>0</v>
      </c>
      <c r="EK746" s="408">
        <v>0</v>
      </c>
      <c r="EL746" s="408">
        <v>0</v>
      </c>
      <c r="EM746" s="408"/>
      <c r="EN746" s="408"/>
      <c r="EO746" s="408">
        <v>0</v>
      </c>
      <c r="EP746" s="408">
        <v>0</v>
      </c>
      <c r="EQ746" s="408"/>
      <c r="ER746" s="408">
        <v>0</v>
      </c>
      <c r="ES746" s="408"/>
      <c r="ET746" s="408">
        <v>0</v>
      </c>
      <c r="EU746" s="408"/>
      <c r="EV746" s="408">
        <v>240</v>
      </c>
      <c r="EW746" s="408"/>
      <c r="EX746" s="408"/>
      <c r="EY746" s="408"/>
      <c r="EZ746" s="408"/>
      <c r="FA746" s="408">
        <v>0</v>
      </c>
      <c r="FB746" s="408"/>
      <c r="FC746" s="408"/>
      <c r="FD746" s="408"/>
      <c r="FE746" s="408"/>
      <c r="FF746" s="408">
        <v>0</v>
      </c>
      <c r="FG746" s="408">
        <v>0</v>
      </c>
      <c r="FH746" s="408">
        <v>0</v>
      </c>
      <c r="FI746" s="408">
        <v>0</v>
      </c>
    </row>
    <row r="747" spans="1:165">
      <c r="A747" s="408">
        <v>745</v>
      </c>
      <c r="B747" s="408" t="s">
        <v>1036</v>
      </c>
      <c r="C747" s="408" t="s">
        <v>2235</v>
      </c>
      <c r="D747" s="408" t="s">
        <v>1958</v>
      </c>
      <c r="E747" s="408" t="s">
        <v>2246</v>
      </c>
      <c r="F747" s="408" t="s">
        <v>1322</v>
      </c>
      <c r="G747" s="408" t="s">
        <v>1322</v>
      </c>
      <c r="H747" s="408" t="s">
        <v>1322</v>
      </c>
      <c r="I747" s="408" t="s">
        <v>1322</v>
      </c>
      <c r="J747" s="408" t="s">
        <v>2236</v>
      </c>
      <c r="K747" s="826">
        <v>44682</v>
      </c>
      <c r="L747" s="408">
        <v>0</v>
      </c>
      <c r="M747" s="408">
        <v>0</v>
      </c>
      <c r="N747" s="408">
        <v>463.75</v>
      </c>
      <c r="O747" s="408">
        <v>463.75</v>
      </c>
      <c r="P747" s="408">
        <v>463.75</v>
      </c>
      <c r="Q747" s="408">
        <v>463.75</v>
      </c>
      <c r="R747" s="408"/>
      <c r="S747" s="408">
        <v>368.24</v>
      </c>
      <c r="T747" s="408">
        <v>173.25</v>
      </c>
      <c r="U747" s="408"/>
      <c r="V747" s="408">
        <v>251115.98750000002</v>
      </c>
      <c r="W747" s="408">
        <v>251115.98750000002</v>
      </c>
      <c r="X747" s="408">
        <v>235997.73749999999</v>
      </c>
      <c r="Y747" s="408">
        <v>0</v>
      </c>
      <c r="Z747" s="408">
        <v>28541.578708708024</v>
      </c>
      <c r="AA747" s="408">
        <v>0</v>
      </c>
      <c r="AB747" s="408">
        <v>0</v>
      </c>
      <c r="AC747" s="408">
        <v>1186.9854529634802</v>
      </c>
      <c r="AD747" s="408">
        <v>1140.4268530038264</v>
      </c>
      <c r="AE747" s="408">
        <v>109230.33281183674</v>
      </c>
      <c r="AF747" s="408">
        <v>78995.393233938899</v>
      </c>
      <c r="AG747" s="408">
        <v>1348.2295497885048</v>
      </c>
      <c r="AH747" s="408">
        <v>0</v>
      </c>
      <c r="AI747" s="408">
        <v>0</v>
      </c>
      <c r="AJ747" s="408">
        <v>0</v>
      </c>
      <c r="AK747" s="408">
        <v>0</v>
      </c>
      <c r="AL747" s="408">
        <v>4409.812791109659</v>
      </c>
      <c r="AM747" s="408"/>
      <c r="AN747" s="408">
        <v>560.1435512857114</v>
      </c>
      <c r="AO747" s="408">
        <v>2519.7371852670449</v>
      </c>
      <c r="AP747" s="408">
        <v>11749.162765723584</v>
      </c>
      <c r="AQ747" s="408">
        <v>0</v>
      </c>
      <c r="AR747" s="408">
        <v>0</v>
      </c>
      <c r="AS747" s="408">
        <v>0</v>
      </c>
      <c r="AT747" s="408">
        <v>0</v>
      </c>
      <c r="AU747" s="408">
        <v>0</v>
      </c>
      <c r="AV747" s="408">
        <v>0</v>
      </c>
      <c r="AW747" s="408">
        <v>0</v>
      </c>
      <c r="AX747" s="408">
        <v>0</v>
      </c>
      <c r="AY747" s="408">
        <v>0</v>
      </c>
      <c r="AZ747" s="408">
        <v>0</v>
      </c>
      <c r="BA747" s="408"/>
      <c r="BB747" s="408">
        <v>0</v>
      </c>
      <c r="BC747" s="408">
        <v>0</v>
      </c>
      <c r="BD747" s="408">
        <v>0</v>
      </c>
      <c r="BE747" s="408">
        <v>0</v>
      </c>
      <c r="BF747" s="408">
        <v>0</v>
      </c>
      <c r="BG747" s="408">
        <v>4145.8284588604356</v>
      </c>
      <c r="BH747" s="408">
        <v>0</v>
      </c>
      <c r="BI747" s="408">
        <v>168.08</v>
      </c>
      <c r="BJ747" s="408">
        <v>2197.0500000000002</v>
      </c>
      <c r="BK747" s="408">
        <v>73588.3</v>
      </c>
      <c r="BL747" s="408">
        <v>588</v>
      </c>
      <c r="BM747" s="408"/>
      <c r="BN747" s="408"/>
      <c r="BO747" s="408"/>
      <c r="BP747" s="408"/>
      <c r="BQ747" s="408"/>
      <c r="BR747" s="408"/>
      <c r="BS747" s="408"/>
      <c r="BT747" s="408"/>
      <c r="BU747" s="408"/>
      <c r="BV747" s="408">
        <v>83141.221692799329</v>
      </c>
      <c r="BW747" s="408"/>
      <c r="BX747" s="408"/>
      <c r="BY747" s="408"/>
      <c r="BZ747" s="408"/>
      <c r="CA747" s="408"/>
      <c r="CB747" s="408"/>
      <c r="CC747" s="408"/>
      <c r="CD747" s="408"/>
      <c r="CE747" s="408"/>
      <c r="CF747" s="408"/>
      <c r="CG747" s="408"/>
      <c r="CH747" s="408"/>
      <c r="CI747" s="408">
        <v>235997.73749999999</v>
      </c>
      <c r="CJ747" s="408">
        <v>-15118.280000000057</v>
      </c>
      <c r="CK747" s="408"/>
      <c r="CL747" s="408"/>
      <c r="CM747" s="408"/>
      <c r="CN747" s="408"/>
      <c r="CO747" s="408">
        <v>-25130.612499999999</v>
      </c>
      <c r="CP747" s="408">
        <v>10012.362500000001</v>
      </c>
      <c r="CQ747" s="408">
        <v>31</v>
      </c>
      <c r="CR747" s="408">
        <v>12014.460697590112</v>
      </c>
      <c r="CS747" s="408">
        <v>251.08642471819712</v>
      </c>
      <c r="CT747" s="408">
        <v>1170.7789564430641</v>
      </c>
      <c r="CU747" s="408">
        <v>0</v>
      </c>
      <c r="CV747" s="408">
        <v>0</v>
      </c>
      <c r="CW747" s="408">
        <v>0</v>
      </c>
      <c r="CX747" s="408">
        <v>0</v>
      </c>
      <c r="CY747" s="408">
        <v>0</v>
      </c>
      <c r="CZ747" s="408">
        <v>1174.2617929297655</v>
      </c>
      <c r="DA747" s="408">
        <v>0</v>
      </c>
      <c r="DB747" s="408">
        <v>0</v>
      </c>
      <c r="DC747" s="408">
        <v>10011.232046374105</v>
      </c>
      <c r="DD747" s="408">
        <v>0</v>
      </c>
      <c r="DE747" s="408">
        <v>0</v>
      </c>
      <c r="DF747" s="408">
        <v>0</v>
      </c>
      <c r="DG747" s="408">
        <v>525.40849569798411</v>
      </c>
      <c r="DH747" s="408">
        <v>0</v>
      </c>
      <c r="DI747" s="408">
        <v>-969.18169575016873</v>
      </c>
      <c r="DJ747" s="408"/>
      <c r="DK747" s="408">
        <v>0</v>
      </c>
      <c r="DL747" s="408">
        <v>0</v>
      </c>
      <c r="DM747" s="408">
        <v>0</v>
      </c>
      <c r="DN747" s="408">
        <v>0</v>
      </c>
      <c r="DO747" s="408">
        <v>-133.27806082286679</v>
      </c>
      <c r="DP747" s="408">
        <v>-15.847261999950206</v>
      </c>
      <c r="DQ747" s="408">
        <v>0</v>
      </c>
      <c r="DR747" s="408">
        <v>0</v>
      </c>
      <c r="DS747" s="408"/>
      <c r="DT747" s="408"/>
      <c r="DU747" s="408"/>
      <c r="DV747" s="408">
        <v>109230.33281183674</v>
      </c>
      <c r="DW747" s="408">
        <v>0</v>
      </c>
      <c r="DX747" s="408">
        <v>0</v>
      </c>
      <c r="DY747" s="408">
        <v>-25130.612500000017</v>
      </c>
      <c r="DZ747" s="408">
        <v>10012.362500000003</v>
      </c>
      <c r="EA747" s="408">
        <v>0</v>
      </c>
      <c r="EB747" s="408">
        <v>0</v>
      </c>
      <c r="EC747" s="408">
        <v>-27134.667497203685</v>
      </c>
      <c r="ED747" s="408">
        <v>0</v>
      </c>
      <c r="EE747" s="408">
        <v>0</v>
      </c>
      <c r="EF747" s="408">
        <v>0</v>
      </c>
      <c r="EG747" s="408">
        <v>0</v>
      </c>
      <c r="EH747" s="408">
        <v>0</v>
      </c>
      <c r="EI747" s="408">
        <v>0</v>
      </c>
      <c r="EJ747" s="408">
        <v>0</v>
      </c>
      <c r="EK747" s="408">
        <v>0</v>
      </c>
      <c r="EL747" s="408">
        <v>0</v>
      </c>
      <c r="EM747" s="408">
        <v>0</v>
      </c>
      <c r="EN747" s="408">
        <v>0</v>
      </c>
      <c r="EO747" s="408">
        <v>0</v>
      </c>
      <c r="EP747" s="408">
        <v>7289.0101610849351</v>
      </c>
      <c r="EQ747" s="408">
        <v>0</v>
      </c>
      <c r="ER747" s="408">
        <v>0</v>
      </c>
      <c r="ES747" s="408">
        <v>0</v>
      </c>
      <c r="ET747" s="408">
        <v>0</v>
      </c>
      <c r="EU747" s="408">
        <v>0</v>
      </c>
      <c r="EV747" s="408">
        <v>240</v>
      </c>
      <c r="EW747" s="408">
        <v>0</v>
      </c>
      <c r="EX747" s="408">
        <v>0</v>
      </c>
      <c r="EY747" s="408">
        <v>0</v>
      </c>
      <c r="EZ747" s="408"/>
      <c r="FA747" s="408">
        <v>0</v>
      </c>
      <c r="FB747" s="408"/>
      <c r="FC747" s="408"/>
      <c r="FD747" s="408"/>
      <c r="FE747" s="408"/>
      <c r="FF747" s="408">
        <v>0</v>
      </c>
      <c r="FG747" s="408">
        <v>0</v>
      </c>
      <c r="FH747" s="408">
        <v>0</v>
      </c>
      <c r="FI747" s="408">
        <v>0</v>
      </c>
    </row>
    <row r="748" spans="1:165">
      <c r="A748" s="408">
        <v>746</v>
      </c>
      <c r="B748" s="408" t="s">
        <v>2238</v>
      </c>
      <c r="C748" s="408" t="s">
        <v>2235</v>
      </c>
      <c r="D748" s="408" t="s">
        <v>1958</v>
      </c>
      <c r="E748" s="408" t="s">
        <v>2246</v>
      </c>
      <c r="F748" s="408" t="s">
        <v>1322</v>
      </c>
      <c r="G748" s="408" t="s">
        <v>1322</v>
      </c>
      <c r="H748" s="408" t="s">
        <v>1322</v>
      </c>
      <c r="I748" s="408" t="s">
        <v>1322</v>
      </c>
      <c r="J748" s="408" t="s">
        <v>2236</v>
      </c>
      <c r="K748" s="826">
        <v>44682</v>
      </c>
      <c r="L748" s="408">
        <v>0</v>
      </c>
      <c r="M748" s="408">
        <v>0</v>
      </c>
      <c r="N748" s="408">
        <v>1.4430000000000001</v>
      </c>
      <c r="O748" s="408">
        <v>1.4430000000000001</v>
      </c>
      <c r="P748" s="408">
        <v>1.4430000000000001</v>
      </c>
      <c r="Q748" s="408">
        <v>1.4430000000000001</v>
      </c>
      <c r="R748" s="408"/>
      <c r="S748" s="408">
        <v>368.24</v>
      </c>
      <c r="T748" s="408">
        <v>173.25</v>
      </c>
      <c r="U748" s="408"/>
      <c r="V748" s="408">
        <v>781.37006999999994</v>
      </c>
      <c r="W748" s="408">
        <v>781.37006999999994</v>
      </c>
      <c r="X748" s="408">
        <v>734.32827000000009</v>
      </c>
      <c r="Y748" s="408">
        <v>0</v>
      </c>
      <c r="Z748" s="408">
        <v>88.809699356691496</v>
      </c>
      <c r="AA748" s="408">
        <v>0</v>
      </c>
      <c r="AB748" s="408">
        <v>0</v>
      </c>
      <c r="AC748" s="408">
        <v>3.6934124175230232</v>
      </c>
      <c r="AD748" s="408">
        <v>3.5485411296701272</v>
      </c>
      <c r="AE748" s="408">
        <v>339.8800436603351</v>
      </c>
      <c r="AF748" s="408">
        <v>245.80129905460666</v>
      </c>
      <c r="AG748" s="408">
        <v>4.1951379845710246</v>
      </c>
      <c r="AH748" s="408">
        <v>0</v>
      </c>
      <c r="AI748" s="408">
        <v>0</v>
      </c>
      <c r="AJ748" s="408">
        <v>0</v>
      </c>
      <c r="AK748" s="408">
        <v>0</v>
      </c>
      <c r="AL748" s="408">
        <v>13.721530690180566</v>
      </c>
      <c r="AM748" s="408"/>
      <c r="AN748" s="408">
        <v>1.742937238825405</v>
      </c>
      <c r="AO748" s="408">
        <v>7.8403897753969725</v>
      </c>
      <c r="AP748" s="408">
        <v>36.558580853777109</v>
      </c>
      <c r="AQ748" s="408">
        <v>0</v>
      </c>
      <c r="AR748" s="408">
        <v>0</v>
      </c>
      <c r="AS748" s="408">
        <v>0</v>
      </c>
      <c r="AT748" s="408">
        <v>0</v>
      </c>
      <c r="AU748" s="408">
        <v>0</v>
      </c>
      <c r="AV748" s="408">
        <v>0</v>
      </c>
      <c r="AW748" s="408">
        <v>0</v>
      </c>
      <c r="AX748" s="408">
        <v>0</v>
      </c>
      <c r="AY748" s="408">
        <v>0</v>
      </c>
      <c r="AZ748" s="408">
        <v>0</v>
      </c>
      <c r="BA748" s="408"/>
      <c r="BB748" s="408">
        <v>0</v>
      </c>
      <c r="BC748" s="408">
        <v>0</v>
      </c>
      <c r="BD748" s="408">
        <v>0</v>
      </c>
      <c r="BE748" s="408">
        <v>0</v>
      </c>
      <c r="BF748" s="408">
        <v>0</v>
      </c>
      <c r="BG748" s="408">
        <v>12.900119603526921</v>
      </c>
      <c r="BH748" s="408">
        <v>0</v>
      </c>
      <c r="BI748" s="408">
        <v>0.51</v>
      </c>
      <c r="BJ748" s="408">
        <v>6.67</v>
      </c>
      <c r="BK748" s="408">
        <v>326.5</v>
      </c>
      <c r="BL748" s="408">
        <v>2</v>
      </c>
      <c r="BM748" s="408"/>
      <c r="BN748" s="408"/>
      <c r="BO748" s="408"/>
      <c r="BP748" s="408"/>
      <c r="BQ748" s="408"/>
      <c r="BR748" s="408"/>
      <c r="BS748" s="408"/>
      <c r="BT748" s="408"/>
      <c r="BU748" s="408"/>
      <c r="BV748" s="408">
        <v>258.7014186581336</v>
      </c>
      <c r="BW748" s="408"/>
      <c r="BX748" s="408"/>
      <c r="BY748" s="408"/>
      <c r="BZ748" s="408"/>
      <c r="CA748" s="408"/>
      <c r="CB748" s="408"/>
      <c r="CC748" s="408"/>
      <c r="CD748" s="408"/>
      <c r="CE748" s="408"/>
      <c r="CF748" s="408"/>
      <c r="CG748" s="408"/>
      <c r="CH748" s="408"/>
      <c r="CI748" s="408">
        <v>732.80160000000001</v>
      </c>
      <c r="CJ748" s="408">
        <v>-48.598469999999907</v>
      </c>
      <c r="CK748" s="408"/>
      <c r="CL748" s="408"/>
      <c r="CM748" s="408"/>
      <c r="CN748" s="408"/>
      <c r="CO748" s="408">
        <v>-78.196169999999995</v>
      </c>
      <c r="CP748" s="408">
        <v>31.154370000000007</v>
      </c>
      <c r="CQ748" s="408">
        <v>31</v>
      </c>
      <c r="CR748" s="408">
        <v>37.384079324253378</v>
      </c>
      <c r="CS748" s="408">
        <v>0.7812780827350041</v>
      </c>
      <c r="CT748" s="408">
        <v>3.6429844402098936</v>
      </c>
      <c r="CU748" s="408">
        <v>0</v>
      </c>
      <c r="CV748" s="408">
        <v>0</v>
      </c>
      <c r="CW748" s="408">
        <v>0</v>
      </c>
      <c r="CX748" s="408">
        <v>0</v>
      </c>
      <c r="CY748" s="408">
        <v>0</v>
      </c>
      <c r="CZ748" s="408">
        <v>3.6538216004262036</v>
      </c>
      <c r="DA748" s="408">
        <v>0</v>
      </c>
      <c r="DB748" s="408">
        <v>0</v>
      </c>
      <c r="DC748" s="408">
        <v>31.150852491466992</v>
      </c>
      <c r="DD748" s="408">
        <v>0</v>
      </c>
      <c r="DE748" s="408">
        <v>0</v>
      </c>
      <c r="DF748" s="408">
        <v>0</v>
      </c>
      <c r="DG748" s="408">
        <v>1.6348559769103819</v>
      </c>
      <c r="DH748" s="408">
        <v>0</v>
      </c>
      <c r="DI748" s="408">
        <v>-3.0156963600377225</v>
      </c>
      <c r="DJ748" s="408"/>
      <c r="DK748" s="408">
        <v>0</v>
      </c>
      <c r="DL748" s="408">
        <v>0</v>
      </c>
      <c r="DM748" s="408">
        <v>0</v>
      </c>
      <c r="DN748" s="408">
        <v>0</v>
      </c>
      <c r="DO748" s="408">
        <v>-0.41470672079222837</v>
      </c>
      <c r="DP748" s="408">
        <v>-4.9310186665074252E-2</v>
      </c>
      <c r="DQ748" s="408">
        <v>0</v>
      </c>
      <c r="DR748" s="408">
        <v>0</v>
      </c>
      <c r="DS748" s="408"/>
      <c r="DT748" s="408"/>
      <c r="DU748" s="408"/>
      <c r="DV748" s="408">
        <v>339.8800436603351</v>
      </c>
      <c r="DW748" s="408">
        <v>0</v>
      </c>
      <c r="DX748" s="408">
        <v>0</v>
      </c>
      <c r="DY748" s="408">
        <v>-78.196169999999938</v>
      </c>
      <c r="DZ748" s="408">
        <v>31.154370000000029</v>
      </c>
      <c r="EA748" s="408">
        <v>0</v>
      </c>
      <c r="EB748" s="408">
        <v>0</v>
      </c>
      <c r="EC748" s="408">
        <v>-84.4319680829432</v>
      </c>
      <c r="ED748" s="408">
        <v>0</v>
      </c>
      <c r="EE748" s="408">
        <v>0</v>
      </c>
      <c r="EF748" s="408">
        <v>0</v>
      </c>
      <c r="EG748" s="408">
        <v>0</v>
      </c>
      <c r="EH748" s="408">
        <v>0</v>
      </c>
      <c r="EI748" s="408">
        <v>0</v>
      </c>
      <c r="EJ748" s="408">
        <v>0</v>
      </c>
      <c r="EK748" s="408">
        <v>0</v>
      </c>
      <c r="EL748" s="408">
        <v>0</v>
      </c>
      <c r="EM748" s="408">
        <v>0</v>
      </c>
      <c r="EN748" s="408">
        <v>0</v>
      </c>
      <c r="EO748" s="408">
        <v>0</v>
      </c>
      <c r="EP748" s="408">
        <v>22.680413288292314</v>
      </c>
      <c r="EQ748" s="408">
        <v>0</v>
      </c>
      <c r="ER748" s="408">
        <v>0</v>
      </c>
      <c r="ES748" s="408">
        <v>0</v>
      </c>
      <c r="ET748" s="408">
        <v>0</v>
      </c>
      <c r="EU748" s="408">
        <v>0</v>
      </c>
      <c r="EV748" s="408">
        <v>240</v>
      </c>
      <c r="EW748" s="408">
        <v>0</v>
      </c>
      <c r="EX748" s="408">
        <v>0</v>
      </c>
      <c r="EY748" s="408">
        <v>0</v>
      </c>
      <c r="EZ748" s="408"/>
      <c r="FA748" s="408">
        <v>0</v>
      </c>
      <c r="FB748" s="408"/>
      <c r="FC748" s="408"/>
      <c r="FD748" s="408"/>
      <c r="FE748" s="408"/>
      <c r="FF748" s="408">
        <v>0</v>
      </c>
      <c r="FG748" s="408">
        <v>0</v>
      </c>
      <c r="FH748" s="408">
        <v>0</v>
      </c>
      <c r="FI748" s="408">
        <v>0</v>
      </c>
    </row>
    <row r="749" spans="1:165">
      <c r="A749" s="408">
        <v>747</v>
      </c>
      <c r="B749" s="408" t="s">
        <v>1036</v>
      </c>
      <c r="C749" s="408" t="s">
        <v>2243</v>
      </c>
      <c r="D749" s="408" t="s">
        <v>597</v>
      </c>
      <c r="E749" s="408" t="s">
        <v>2246</v>
      </c>
      <c r="F749" s="408" t="s">
        <v>1322</v>
      </c>
      <c r="G749" s="408" t="s">
        <v>1322</v>
      </c>
      <c r="H749" s="408" t="s">
        <v>1322</v>
      </c>
      <c r="I749" s="408" t="s">
        <v>973</v>
      </c>
      <c r="J749" s="408" t="s">
        <v>2236</v>
      </c>
      <c r="K749" s="826">
        <v>44682</v>
      </c>
      <c r="L749" s="408">
        <v>0</v>
      </c>
      <c r="M749" s="408">
        <v>0</v>
      </c>
      <c r="N749" s="408">
        <v>3.0920000000000001</v>
      </c>
      <c r="O749" s="408">
        <v>3.0920000000000001</v>
      </c>
      <c r="P749" s="408">
        <v>3.0920000000000001</v>
      </c>
      <c r="Q749" s="408">
        <v>3.0920000000000001</v>
      </c>
      <c r="R749" s="408"/>
      <c r="S749" s="408">
        <v>1358.36</v>
      </c>
      <c r="T749" s="408">
        <v>173.25</v>
      </c>
      <c r="U749" s="408"/>
      <c r="V749" s="408">
        <v>4735.73812</v>
      </c>
      <c r="W749" s="408">
        <v>4735.73812</v>
      </c>
      <c r="X749" s="408">
        <v>4152.3086400000002</v>
      </c>
      <c r="Y749" s="408">
        <v>0</v>
      </c>
      <c r="Z749" s="408">
        <v>165.55900461363422</v>
      </c>
      <c r="AA749" s="408">
        <v>0</v>
      </c>
      <c r="AB749" s="408">
        <v>0</v>
      </c>
      <c r="AC749" s="408">
        <v>58.568937133481334</v>
      </c>
      <c r="AD749" s="408">
        <v>56.271788789194055</v>
      </c>
      <c r="AE749" s="408">
        <v>3118.305860346713</v>
      </c>
      <c r="AF749" s="408">
        <v>526.69273504978776</v>
      </c>
      <c r="AG749" s="408">
        <v>8.9891660764335466</v>
      </c>
      <c r="AH749" s="408">
        <v>0</v>
      </c>
      <c r="AI749" s="408">
        <v>0</v>
      </c>
      <c r="AJ749" s="408">
        <v>0</v>
      </c>
      <c r="AK749" s="408">
        <v>0</v>
      </c>
      <c r="AL749" s="408">
        <v>29.401921617490167</v>
      </c>
      <c r="AM749" s="408"/>
      <c r="AN749" s="408">
        <v>2.4761163541202498</v>
      </c>
      <c r="AO749" s="408">
        <v>124.33186222196188</v>
      </c>
      <c r="AP749" s="408">
        <v>579.73794484401162</v>
      </c>
      <c r="AQ749" s="408">
        <v>0</v>
      </c>
      <c r="AR749" s="408">
        <v>0</v>
      </c>
      <c r="AS749" s="408">
        <v>0</v>
      </c>
      <c r="AT749" s="408">
        <v>0</v>
      </c>
      <c r="AU749" s="408">
        <v>0</v>
      </c>
      <c r="AV749" s="408">
        <v>0</v>
      </c>
      <c r="AW749" s="408">
        <v>0</v>
      </c>
      <c r="AX749" s="408">
        <v>0</v>
      </c>
      <c r="AY749" s="408">
        <v>0</v>
      </c>
      <c r="AZ749" s="408">
        <v>0</v>
      </c>
      <c r="BA749" s="408"/>
      <c r="BB749" s="408">
        <v>0</v>
      </c>
      <c r="BC749" s="408">
        <v>0</v>
      </c>
      <c r="BD749" s="408">
        <v>0</v>
      </c>
      <c r="BE749" s="408">
        <v>0</v>
      </c>
      <c r="BF749" s="408">
        <v>0</v>
      </c>
      <c r="BG749" s="408">
        <v>23.124006154651831</v>
      </c>
      <c r="BH749" s="408">
        <v>0</v>
      </c>
      <c r="BI749" s="408">
        <v>0</v>
      </c>
      <c r="BJ749" s="408">
        <v>0</v>
      </c>
      <c r="BK749" s="408">
        <v>0</v>
      </c>
      <c r="BL749" s="408">
        <v>0</v>
      </c>
      <c r="BM749" s="408"/>
      <c r="BN749" s="408"/>
      <c r="BO749" s="408"/>
      <c r="BP749" s="408"/>
      <c r="BQ749" s="408"/>
      <c r="BR749" s="408"/>
      <c r="BS749" s="408"/>
      <c r="BT749" s="408"/>
      <c r="BU749" s="408"/>
      <c r="BV749" s="408">
        <v>549.81674120443961</v>
      </c>
      <c r="BW749" s="408"/>
      <c r="BX749" s="408"/>
      <c r="BY749" s="408"/>
      <c r="BZ749" s="408"/>
      <c r="CA749" s="408"/>
      <c r="CB749" s="408"/>
      <c r="CC749" s="408"/>
      <c r="CD749" s="408"/>
      <c r="CE749" s="408"/>
      <c r="CF749" s="408"/>
      <c r="CG749" s="408"/>
      <c r="CH749" s="408"/>
      <c r="CI749" s="408">
        <v>4149.6227999999992</v>
      </c>
      <c r="CJ749" s="408">
        <v>-586.14532000000145</v>
      </c>
      <c r="CK749" s="408"/>
      <c r="CL749" s="408"/>
      <c r="CM749" s="408"/>
      <c r="CN749" s="408"/>
      <c r="CO749" s="408">
        <v>-650.18575999999996</v>
      </c>
      <c r="CP749" s="408">
        <v>66.756280000000018</v>
      </c>
      <c r="CQ749" s="408">
        <v>31</v>
      </c>
      <c r="CR749" s="408">
        <v>191.19911074193419</v>
      </c>
      <c r="CS749" s="408">
        <v>12.389404318196327</v>
      </c>
      <c r="CT749" s="408">
        <v>57.769647047112016</v>
      </c>
      <c r="CU749" s="408">
        <v>0</v>
      </c>
      <c r="CV749" s="408">
        <v>0</v>
      </c>
      <c r="CW749" s="408">
        <v>0</v>
      </c>
      <c r="CX749" s="408">
        <v>0</v>
      </c>
      <c r="CY749" s="408">
        <v>0</v>
      </c>
      <c r="CZ749" s="408">
        <v>57.94129752462289</v>
      </c>
      <c r="DA749" s="408">
        <v>0</v>
      </c>
      <c r="DB749" s="408">
        <v>0</v>
      </c>
      <c r="DC749" s="408">
        <v>66.748742829948696</v>
      </c>
      <c r="DD749" s="408">
        <v>0</v>
      </c>
      <c r="DE749" s="408">
        <v>0</v>
      </c>
      <c r="DF749" s="408">
        <v>0</v>
      </c>
      <c r="DG749" s="408">
        <v>2.9305479975323507</v>
      </c>
      <c r="DH749" s="408">
        <v>0</v>
      </c>
      <c r="DI749" s="408">
        <v>-5.6218599004543819</v>
      </c>
      <c r="DJ749" s="408"/>
      <c r="DK749" s="408">
        <v>0</v>
      </c>
      <c r="DL749" s="408">
        <v>0</v>
      </c>
      <c r="DM749" s="408">
        <v>0</v>
      </c>
      <c r="DN749" s="408">
        <v>0</v>
      </c>
      <c r="DO749" s="408">
        <v>-0.88861620283407561</v>
      </c>
      <c r="DP749" s="408">
        <v>-7.0052872189707127E-2</v>
      </c>
      <c r="DQ749" s="408">
        <v>0</v>
      </c>
      <c r="DR749" s="408">
        <v>0</v>
      </c>
      <c r="DS749" s="408"/>
      <c r="DT749" s="408"/>
      <c r="DU749" s="408"/>
      <c r="DV749" s="408">
        <v>3118.305860346713</v>
      </c>
      <c r="DW749" s="408">
        <v>0</v>
      </c>
      <c r="DX749" s="408">
        <v>0</v>
      </c>
      <c r="DY749" s="408">
        <v>-650.18575999999985</v>
      </c>
      <c r="DZ749" s="408">
        <v>66.756280000000061</v>
      </c>
      <c r="EA749" s="408">
        <v>0</v>
      </c>
      <c r="EB749" s="408">
        <v>0</v>
      </c>
      <c r="EC749" s="408">
        <v>-774.64007017948279</v>
      </c>
      <c r="ED749" s="408">
        <v>0</v>
      </c>
      <c r="EE749" s="408">
        <v>0</v>
      </c>
      <c r="EF749" s="408">
        <v>0</v>
      </c>
      <c r="EG749" s="408">
        <v>0</v>
      </c>
      <c r="EH749" s="408">
        <v>0</v>
      </c>
      <c r="EI749" s="408">
        <v>0</v>
      </c>
      <c r="EJ749" s="408">
        <v>0</v>
      </c>
      <c r="EK749" s="408">
        <v>0</v>
      </c>
      <c r="EL749" s="408">
        <v>0</v>
      </c>
      <c r="EM749" s="408">
        <v>0</v>
      </c>
      <c r="EN749" s="408">
        <v>0</v>
      </c>
      <c r="EO749" s="408">
        <v>0</v>
      </c>
      <c r="EP749" s="408">
        <v>42.280817021509357</v>
      </c>
      <c r="EQ749" s="408">
        <v>0</v>
      </c>
      <c r="ER749" s="408">
        <v>0</v>
      </c>
      <c r="ES749" s="408">
        <v>0</v>
      </c>
      <c r="ET749" s="408">
        <v>0</v>
      </c>
      <c r="EU749" s="408">
        <v>0</v>
      </c>
      <c r="EV749" s="408">
        <v>240</v>
      </c>
      <c r="EW749" s="408">
        <v>0</v>
      </c>
      <c r="EX749" s="408">
        <v>0</v>
      </c>
      <c r="EY749" s="408">
        <v>0</v>
      </c>
      <c r="EZ749" s="408"/>
      <c r="FA749" s="408">
        <v>0</v>
      </c>
      <c r="FB749" s="408"/>
      <c r="FC749" s="408"/>
      <c r="FD749" s="408"/>
      <c r="FE749" s="408"/>
      <c r="FF749" s="408">
        <v>0</v>
      </c>
      <c r="FG749" s="408">
        <v>0</v>
      </c>
      <c r="FH749" s="408">
        <v>0</v>
      </c>
      <c r="FI749" s="408">
        <v>0</v>
      </c>
    </row>
    <row r="750" spans="1:165">
      <c r="A750" s="408">
        <v>748</v>
      </c>
      <c r="B750" s="408" t="s">
        <v>2238</v>
      </c>
      <c r="C750" s="408" t="s">
        <v>2243</v>
      </c>
      <c r="D750" s="408" t="s">
        <v>597</v>
      </c>
      <c r="E750" s="408" t="s">
        <v>2246</v>
      </c>
      <c r="F750" s="408" t="s">
        <v>1322</v>
      </c>
      <c r="G750" s="408" t="s">
        <v>1322</v>
      </c>
      <c r="H750" s="408" t="s">
        <v>1322</v>
      </c>
      <c r="I750" s="408" t="s">
        <v>973</v>
      </c>
      <c r="J750" s="408" t="s">
        <v>2236</v>
      </c>
      <c r="K750" s="826">
        <v>44682</v>
      </c>
      <c r="L750" s="408">
        <v>0</v>
      </c>
      <c r="M750" s="408">
        <v>0</v>
      </c>
      <c r="N750" s="408">
        <v>0.88600000000000001</v>
      </c>
      <c r="O750" s="408">
        <v>0.88600000000000001</v>
      </c>
      <c r="P750" s="408">
        <v>0.88600000000000001</v>
      </c>
      <c r="Q750" s="408">
        <v>0.88600000000000001</v>
      </c>
      <c r="R750" s="408"/>
      <c r="S750" s="408">
        <v>1358.36</v>
      </c>
      <c r="T750" s="408">
        <v>173.25</v>
      </c>
      <c r="U750" s="408"/>
      <c r="V750" s="408">
        <v>1357.0064600000001</v>
      </c>
      <c r="W750" s="408">
        <v>1357.0064600000001</v>
      </c>
      <c r="X750" s="408">
        <v>1189.8271199999999</v>
      </c>
      <c r="Y750" s="408">
        <v>0</v>
      </c>
      <c r="Z750" s="408">
        <v>47.440258113738651</v>
      </c>
      <c r="AA750" s="408">
        <v>0</v>
      </c>
      <c r="AB750" s="408">
        <v>0</v>
      </c>
      <c r="AC750" s="408">
        <v>16.782690265286046</v>
      </c>
      <c r="AD750" s="408">
        <v>16.124451768184326</v>
      </c>
      <c r="AE750" s="408">
        <v>893.53783708511889</v>
      </c>
      <c r="AF750" s="408">
        <v>150.92165693858732</v>
      </c>
      <c r="AG750" s="408">
        <v>2.5758089080595479</v>
      </c>
      <c r="AH750" s="408">
        <v>0</v>
      </c>
      <c r="AI750" s="408">
        <v>0</v>
      </c>
      <c r="AJ750" s="408">
        <v>0</v>
      </c>
      <c r="AK750" s="408">
        <v>0</v>
      </c>
      <c r="AL750" s="408">
        <v>8.4250008257103133</v>
      </c>
      <c r="AM750" s="408"/>
      <c r="AN750" s="408">
        <v>0.70952105101893315</v>
      </c>
      <c r="AO750" s="408">
        <v>35.626788463343544</v>
      </c>
      <c r="AP750" s="408">
        <v>166.12154564417668</v>
      </c>
      <c r="AQ750" s="408">
        <v>0</v>
      </c>
      <c r="AR750" s="408">
        <v>0</v>
      </c>
      <c r="AS750" s="408">
        <v>0</v>
      </c>
      <c r="AT750" s="408">
        <v>0</v>
      </c>
      <c r="AU750" s="408">
        <v>0</v>
      </c>
      <c r="AV750" s="408">
        <v>0</v>
      </c>
      <c r="AW750" s="408">
        <v>0</v>
      </c>
      <c r="AX750" s="408">
        <v>0</v>
      </c>
      <c r="AY750" s="408">
        <v>0</v>
      </c>
      <c r="AZ750" s="408">
        <v>0</v>
      </c>
      <c r="BA750" s="408"/>
      <c r="BB750" s="408">
        <v>0</v>
      </c>
      <c r="BC750" s="408">
        <v>0</v>
      </c>
      <c r="BD750" s="408">
        <v>0</v>
      </c>
      <c r="BE750" s="408">
        <v>0</v>
      </c>
      <c r="BF750" s="408">
        <v>0</v>
      </c>
      <c r="BG750" s="408">
        <v>6.6260897325425363</v>
      </c>
      <c r="BH750" s="408">
        <v>0</v>
      </c>
      <c r="BI750" s="408">
        <v>0</v>
      </c>
      <c r="BJ750" s="408">
        <v>0</v>
      </c>
      <c r="BK750" s="408">
        <v>0</v>
      </c>
      <c r="BL750" s="408">
        <v>0</v>
      </c>
      <c r="BM750" s="408"/>
      <c r="BN750" s="408"/>
      <c r="BO750" s="408"/>
      <c r="BP750" s="408"/>
      <c r="BQ750" s="408"/>
      <c r="BR750" s="408"/>
      <c r="BS750" s="408"/>
      <c r="BT750" s="408"/>
      <c r="BU750" s="408"/>
      <c r="BV750" s="408">
        <v>157.54774667112986</v>
      </c>
      <c r="BW750" s="408"/>
      <c r="BX750" s="408"/>
      <c r="BY750" s="408"/>
      <c r="BZ750" s="408"/>
      <c r="CA750" s="408"/>
      <c r="CB750" s="408"/>
      <c r="CC750" s="408"/>
      <c r="CD750" s="408"/>
      <c r="CE750" s="408"/>
      <c r="CF750" s="408"/>
      <c r="CG750" s="408"/>
      <c r="CH750" s="408"/>
      <c r="CI750" s="408">
        <v>1195.1988000000001</v>
      </c>
      <c r="CJ750" s="408">
        <v>-161.83765999999991</v>
      </c>
      <c r="CK750" s="408"/>
      <c r="CL750" s="408"/>
      <c r="CM750" s="408"/>
      <c r="CN750" s="408"/>
      <c r="CO750" s="408">
        <v>-186.30807999999999</v>
      </c>
      <c r="CP750" s="408">
        <v>19.128740000000004</v>
      </c>
      <c r="CQ750" s="408">
        <v>31</v>
      </c>
      <c r="CR750" s="408">
        <v>54.787326040541302</v>
      </c>
      <c r="CS750" s="408">
        <v>3.5501333201558651</v>
      </c>
      <c r="CT750" s="408">
        <v>16.553656948169873</v>
      </c>
      <c r="CU750" s="408">
        <v>0</v>
      </c>
      <c r="CV750" s="408">
        <v>0</v>
      </c>
      <c r="CW750" s="408">
        <v>0</v>
      </c>
      <c r="CX750" s="408">
        <v>0</v>
      </c>
      <c r="CY750" s="408">
        <v>0</v>
      </c>
      <c r="CZ750" s="408">
        <v>16.602842693019365</v>
      </c>
      <c r="DA750" s="408">
        <v>0</v>
      </c>
      <c r="DB750" s="408">
        <v>0</v>
      </c>
      <c r="DC750" s="408">
        <v>19.126580254635996</v>
      </c>
      <c r="DD750" s="408">
        <v>0</v>
      </c>
      <c r="DE750" s="408">
        <v>0</v>
      </c>
      <c r="DF750" s="408">
        <v>0</v>
      </c>
      <c r="DG750" s="408">
        <v>0.83973658661502704</v>
      </c>
      <c r="DH750" s="408">
        <v>0</v>
      </c>
      <c r="DI750" s="408">
        <v>-1.6109210452142833</v>
      </c>
      <c r="DJ750" s="408"/>
      <c r="DK750" s="408">
        <v>0</v>
      </c>
      <c r="DL750" s="408">
        <v>0</v>
      </c>
      <c r="DM750" s="408">
        <v>0</v>
      </c>
      <c r="DN750" s="408">
        <v>0</v>
      </c>
      <c r="DO750" s="408">
        <v>-0.25462935178233792</v>
      </c>
      <c r="DP750" s="408">
        <v>-2.0073365058240755E-2</v>
      </c>
      <c r="DQ750" s="408">
        <v>0</v>
      </c>
      <c r="DR750" s="408">
        <v>0</v>
      </c>
      <c r="DS750" s="408"/>
      <c r="DT750" s="408"/>
      <c r="DU750" s="408"/>
      <c r="DV750" s="408">
        <v>893.53783708511889</v>
      </c>
      <c r="DW750" s="408">
        <v>0</v>
      </c>
      <c r="DX750" s="408">
        <v>0</v>
      </c>
      <c r="DY750" s="408">
        <v>-186.30808000000002</v>
      </c>
      <c r="DZ750" s="408">
        <v>19.128739999999993</v>
      </c>
      <c r="EA750" s="408">
        <v>0</v>
      </c>
      <c r="EB750" s="408">
        <v>0</v>
      </c>
      <c r="EC750" s="408">
        <v>-221.96995542659181</v>
      </c>
      <c r="ED750" s="408">
        <v>0</v>
      </c>
      <c r="EE750" s="408">
        <v>0</v>
      </c>
      <c r="EF750" s="408">
        <v>0</v>
      </c>
      <c r="EG750" s="408">
        <v>0</v>
      </c>
      <c r="EH750" s="408">
        <v>0</v>
      </c>
      <c r="EI750" s="408">
        <v>0</v>
      </c>
      <c r="EJ750" s="408">
        <v>0</v>
      </c>
      <c r="EK750" s="408">
        <v>0</v>
      </c>
      <c r="EL750" s="408">
        <v>0</v>
      </c>
      <c r="EM750" s="408">
        <v>0</v>
      </c>
      <c r="EN750" s="408">
        <v>0</v>
      </c>
      <c r="EO750" s="408">
        <v>0</v>
      </c>
      <c r="EP750" s="408">
        <v>12.115395821816717</v>
      </c>
      <c r="EQ750" s="408">
        <v>0</v>
      </c>
      <c r="ER750" s="408">
        <v>0</v>
      </c>
      <c r="ES750" s="408">
        <v>0</v>
      </c>
      <c r="ET750" s="408">
        <v>0</v>
      </c>
      <c r="EU750" s="408">
        <v>0</v>
      </c>
      <c r="EV750" s="408">
        <v>240</v>
      </c>
      <c r="EW750" s="408">
        <v>0</v>
      </c>
      <c r="EX750" s="408">
        <v>0</v>
      </c>
      <c r="EY750" s="408">
        <v>0</v>
      </c>
      <c r="EZ750" s="408"/>
      <c r="FA750" s="408">
        <v>0</v>
      </c>
      <c r="FB750" s="408"/>
      <c r="FC750" s="408"/>
      <c r="FD750" s="408"/>
      <c r="FE750" s="408"/>
      <c r="FF750" s="408">
        <v>0</v>
      </c>
      <c r="FG750" s="408">
        <v>0</v>
      </c>
      <c r="FH750" s="408">
        <v>0</v>
      </c>
      <c r="FI750" s="408">
        <v>0</v>
      </c>
    </row>
    <row r="751" spans="1:165">
      <c r="A751" s="408">
        <v>749</v>
      </c>
      <c r="B751" s="408" t="s">
        <v>1036</v>
      </c>
      <c r="C751" s="408" t="s">
        <v>2243</v>
      </c>
      <c r="D751" s="408" t="s">
        <v>597</v>
      </c>
      <c r="E751" s="408" t="s">
        <v>2246</v>
      </c>
      <c r="F751" s="408" t="s">
        <v>1322</v>
      </c>
      <c r="G751" s="408" t="s">
        <v>1322</v>
      </c>
      <c r="H751" s="408" t="s">
        <v>1322</v>
      </c>
      <c r="I751" s="408" t="s">
        <v>2244</v>
      </c>
      <c r="J751" s="408" t="s">
        <v>2236</v>
      </c>
      <c r="K751" s="826">
        <v>44682</v>
      </c>
      <c r="L751" s="408">
        <v>0</v>
      </c>
      <c r="M751" s="408">
        <v>0</v>
      </c>
      <c r="N751" s="408">
        <v>22.754000000000001</v>
      </c>
      <c r="O751" s="408">
        <v>22.754000000000001</v>
      </c>
      <c r="P751" s="408">
        <v>22.754000000000001</v>
      </c>
      <c r="Q751" s="408">
        <v>22.754000000000001</v>
      </c>
      <c r="R751" s="408"/>
      <c r="S751" s="408">
        <v>85.01</v>
      </c>
      <c r="T751" s="408">
        <v>173.25</v>
      </c>
      <c r="U751" s="408"/>
      <c r="V751" s="408">
        <v>5876.4480400000002</v>
      </c>
      <c r="W751" s="408">
        <v>5876.4480400000002</v>
      </c>
      <c r="X751" s="408">
        <v>6340.85718</v>
      </c>
      <c r="Y751" s="408">
        <v>0</v>
      </c>
      <c r="Z751" s="408">
        <v>1218.3472157110714</v>
      </c>
      <c r="AA751" s="408">
        <v>0</v>
      </c>
      <c r="AB751" s="408">
        <v>0</v>
      </c>
      <c r="AC751" s="408">
        <v>0</v>
      </c>
      <c r="AD751" s="408">
        <v>0</v>
      </c>
      <c r="AE751" s="408">
        <v>0</v>
      </c>
      <c r="AF751" s="408">
        <v>3875.9270676982123</v>
      </c>
      <c r="AG751" s="408">
        <v>66.151191753935606</v>
      </c>
      <c r="AH751" s="408">
        <v>0</v>
      </c>
      <c r="AI751" s="408">
        <v>0</v>
      </c>
      <c r="AJ751" s="408">
        <v>0</v>
      </c>
      <c r="AK751" s="408">
        <v>0</v>
      </c>
      <c r="AL751" s="408">
        <v>216.36847493026238</v>
      </c>
      <c r="AM751" s="408"/>
      <c r="AN751" s="408">
        <v>18.221717827183753</v>
      </c>
      <c r="AO751" s="408">
        <v>0</v>
      </c>
      <c r="AP751" s="408">
        <v>0</v>
      </c>
      <c r="AQ751" s="408">
        <v>0</v>
      </c>
      <c r="AR751" s="408">
        <v>0</v>
      </c>
      <c r="AS751" s="408">
        <v>0</v>
      </c>
      <c r="AT751" s="408">
        <v>0</v>
      </c>
      <c r="AU751" s="408">
        <v>0</v>
      </c>
      <c r="AV751" s="408">
        <v>0</v>
      </c>
      <c r="AW751" s="408">
        <v>0</v>
      </c>
      <c r="AX751" s="408">
        <v>0</v>
      </c>
      <c r="AY751" s="408">
        <v>0</v>
      </c>
      <c r="AZ751" s="408">
        <v>0</v>
      </c>
      <c r="BA751" s="408"/>
      <c r="BB751" s="408">
        <v>0</v>
      </c>
      <c r="BC751" s="408">
        <v>0</v>
      </c>
      <c r="BD751" s="408">
        <v>0</v>
      </c>
      <c r="BE751" s="408">
        <v>0</v>
      </c>
      <c r="BF751" s="408">
        <v>0</v>
      </c>
      <c r="BG751" s="408">
        <v>170.1693518896985</v>
      </c>
      <c r="BH751" s="408">
        <v>0</v>
      </c>
      <c r="BI751" s="408">
        <v>0</v>
      </c>
      <c r="BJ751" s="408">
        <v>0</v>
      </c>
      <c r="BK751" s="408">
        <v>0</v>
      </c>
      <c r="BL751" s="408">
        <v>0</v>
      </c>
      <c r="BM751" s="408"/>
      <c r="BN751" s="408"/>
      <c r="BO751" s="408"/>
      <c r="BP751" s="408"/>
      <c r="BQ751" s="408"/>
      <c r="BR751" s="408"/>
      <c r="BS751" s="408"/>
      <c r="BT751" s="408"/>
      <c r="BU751" s="408"/>
      <c r="BV751" s="408">
        <v>4046.096419587911</v>
      </c>
      <c r="BW751" s="408"/>
      <c r="BX751" s="408"/>
      <c r="BY751" s="408"/>
      <c r="BZ751" s="408"/>
      <c r="CA751" s="408"/>
      <c r="CB751" s="408"/>
      <c r="CC751" s="408"/>
      <c r="CD751" s="408"/>
      <c r="CE751" s="408"/>
      <c r="CF751" s="408"/>
      <c r="CG751" s="408"/>
      <c r="CH751" s="408"/>
      <c r="CI751" s="408">
        <v>6339.7424999999994</v>
      </c>
      <c r="CJ751" s="408">
        <v>463.26445999999851</v>
      </c>
      <c r="CK751" s="408"/>
      <c r="CL751" s="408"/>
      <c r="CM751" s="408"/>
      <c r="CN751" s="408"/>
      <c r="CO751" s="408">
        <v>-26.849720000000158</v>
      </c>
      <c r="CP751" s="408">
        <v>491.25886000000008</v>
      </c>
      <c r="CQ751" s="408">
        <v>31</v>
      </c>
      <c r="CR751" s="408">
        <v>464.34321707001072</v>
      </c>
      <c r="CS751" s="408">
        <v>0</v>
      </c>
      <c r="CT751" s="408">
        <v>0</v>
      </c>
      <c r="CU751" s="408">
        <v>0</v>
      </c>
      <c r="CV751" s="408">
        <v>0</v>
      </c>
      <c r="CW751" s="408">
        <v>0</v>
      </c>
      <c r="CX751" s="408">
        <v>0</v>
      </c>
      <c r="CY751" s="408">
        <v>0</v>
      </c>
      <c r="CZ751" s="408">
        <v>0</v>
      </c>
      <c r="DA751" s="408">
        <v>0</v>
      </c>
      <c r="DB751" s="408">
        <v>0</v>
      </c>
      <c r="DC751" s="408">
        <v>491.20339403384605</v>
      </c>
      <c r="DD751" s="408">
        <v>0</v>
      </c>
      <c r="DE751" s="408">
        <v>0</v>
      </c>
      <c r="DF751" s="408">
        <v>0</v>
      </c>
      <c r="DG751" s="408">
        <v>21.56587617588977</v>
      </c>
      <c r="DH751" s="408">
        <v>0</v>
      </c>
      <c r="DI751" s="408">
        <v>-41.371216097974866</v>
      </c>
      <c r="DJ751" s="408"/>
      <c r="DK751" s="408">
        <v>0</v>
      </c>
      <c r="DL751" s="408">
        <v>0</v>
      </c>
      <c r="DM751" s="408">
        <v>0</v>
      </c>
      <c r="DN751" s="408">
        <v>0</v>
      </c>
      <c r="DO751" s="408">
        <v>-6.5393185896786861</v>
      </c>
      <c r="DP751" s="408">
        <v>-0.5155184520713405</v>
      </c>
      <c r="DQ751" s="408">
        <v>0</v>
      </c>
      <c r="DR751" s="408">
        <v>0</v>
      </c>
      <c r="DS751" s="408"/>
      <c r="DT751" s="408"/>
      <c r="DU751" s="408"/>
      <c r="DV751" s="408">
        <v>0</v>
      </c>
      <c r="DW751" s="408">
        <v>0</v>
      </c>
      <c r="DX751" s="408">
        <v>0</v>
      </c>
      <c r="DY751" s="408">
        <v>-26.849720000000161</v>
      </c>
      <c r="DZ751" s="408">
        <v>491.25885999999991</v>
      </c>
      <c r="EA751" s="408">
        <v>0</v>
      </c>
      <c r="EB751" s="408">
        <v>0</v>
      </c>
      <c r="EC751" s="408">
        <v>0</v>
      </c>
      <c r="ED751" s="408">
        <v>0</v>
      </c>
      <c r="EE751" s="408">
        <v>0</v>
      </c>
      <c r="EF751" s="408">
        <v>0</v>
      </c>
      <c r="EG751" s="408">
        <v>0</v>
      </c>
      <c r="EH751" s="408">
        <v>0</v>
      </c>
      <c r="EI751" s="408">
        <v>0</v>
      </c>
      <c r="EJ751" s="408">
        <v>0</v>
      </c>
      <c r="EK751" s="408">
        <v>0</v>
      </c>
      <c r="EL751" s="408">
        <v>0</v>
      </c>
      <c r="EM751" s="408">
        <v>0</v>
      </c>
      <c r="EN751" s="408">
        <v>0</v>
      </c>
      <c r="EO751" s="408">
        <v>0</v>
      </c>
      <c r="EP751" s="408">
        <v>311.14414958196113</v>
      </c>
      <c r="EQ751" s="408">
        <v>0</v>
      </c>
      <c r="ER751" s="408">
        <v>0</v>
      </c>
      <c r="ES751" s="408">
        <v>0</v>
      </c>
      <c r="ET751" s="408">
        <v>0</v>
      </c>
      <c r="EU751" s="408">
        <v>0</v>
      </c>
      <c r="EV751" s="408">
        <v>240</v>
      </c>
      <c r="EW751" s="408">
        <v>0</v>
      </c>
      <c r="EX751" s="408">
        <v>0</v>
      </c>
      <c r="EY751" s="408">
        <v>0</v>
      </c>
      <c r="EZ751" s="408"/>
      <c r="FA751" s="408">
        <v>0</v>
      </c>
      <c r="FB751" s="408"/>
      <c r="FC751" s="408"/>
      <c r="FD751" s="408"/>
      <c r="FE751" s="408"/>
      <c r="FF751" s="408">
        <v>0</v>
      </c>
      <c r="FG751" s="408">
        <v>0</v>
      </c>
      <c r="FH751" s="408">
        <v>0</v>
      </c>
      <c r="FI751" s="408">
        <v>0</v>
      </c>
    </row>
    <row r="752" spans="1:165">
      <c r="A752" s="408">
        <v>750</v>
      </c>
      <c r="B752" s="408" t="s">
        <v>2238</v>
      </c>
      <c r="C752" s="408" t="s">
        <v>2243</v>
      </c>
      <c r="D752" s="408" t="s">
        <v>597</v>
      </c>
      <c r="E752" s="408" t="s">
        <v>2246</v>
      </c>
      <c r="F752" s="408" t="s">
        <v>1322</v>
      </c>
      <c r="G752" s="408" t="s">
        <v>1322</v>
      </c>
      <c r="H752" s="408" t="s">
        <v>1322</v>
      </c>
      <c r="I752" s="408" t="s">
        <v>2244</v>
      </c>
      <c r="J752" s="408" t="s">
        <v>2236</v>
      </c>
      <c r="K752" s="826">
        <v>44682</v>
      </c>
      <c r="L752" s="408">
        <v>0</v>
      </c>
      <c r="M752" s="408">
        <v>0</v>
      </c>
      <c r="N752" s="408">
        <v>3.6230000000000002</v>
      </c>
      <c r="O752" s="408">
        <v>3.6230000000000002</v>
      </c>
      <c r="P752" s="408">
        <v>3.6230000000000002</v>
      </c>
      <c r="Q752" s="408">
        <v>3.6230000000000002</v>
      </c>
      <c r="R752" s="408"/>
      <c r="S752" s="408">
        <v>85.01</v>
      </c>
      <c r="T752" s="408">
        <v>173.25</v>
      </c>
      <c r="U752" s="408"/>
      <c r="V752" s="408">
        <v>935.67597999999998</v>
      </c>
      <c r="W752" s="408">
        <v>935.67597999999998</v>
      </c>
      <c r="X752" s="408">
        <v>1009.6214100000001</v>
      </c>
      <c r="Y752" s="408">
        <v>0</v>
      </c>
      <c r="Z752" s="408">
        <v>193.99103289624733</v>
      </c>
      <c r="AA752" s="408">
        <v>0</v>
      </c>
      <c r="AB752" s="408">
        <v>0</v>
      </c>
      <c r="AC752" s="408">
        <v>0</v>
      </c>
      <c r="AD752" s="408">
        <v>0</v>
      </c>
      <c r="AE752" s="408">
        <v>0</v>
      </c>
      <c r="AF752" s="408">
        <v>617.14352493058902</v>
      </c>
      <c r="AG752" s="408">
        <v>10.532907081150951</v>
      </c>
      <c r="AH752" s="408">
        <v>0</v>
      </c>
      <c r="AI752" s="408">
        <v>0</v>
      </c>
      <c r="AJ752" s="408">
        <v>0</v>
      </c>
      <c r="AK752" s="408">
        <v>0</v>
      </c>
      <c r="AL752" s="408">
        <v>34.451216694749959</v>
      </c>
      <c r="AM752" s="408"/>
      <c r="AN752" s="408">
        <v>2.9013484964352085</v>
      </c>
      <c r="AO752" s="408">
        <v>0</v>
      </c>
      <c r="AP752" s="408">
        <v>0</v>
      </c>
      <c r="AQ752" s="408">
        <v>0</v>
      </c>
      <c r="AR752" s="408">
        <v>0</v>
      </c>
      <c r="AS752" s="408">
        <v>0</v>
      </c>
      <c r="AT752" s="408">
        <v>0</v>
      </c>
      <c r="AU752" s="408">
        <v>0</v>
      </c>
      <c r="AV752" s="408">
        <v>0</v>
      </c>
      <c r="AW752" s="408">
        <v>0</v>
      </c>
      <c r="AX752" s="408">
        <v>0</v>
      </c>
      <c r="AY752" s="408">
        <v>0</v>
      </c>
      <c r="AZ752" s="408">
        <v>0</v>
      </c>
      <c r="BA752" s="408"/>
      <c r="BB752" s="408">
        <v>0</v>
      </c>
      <c r="BC752" s="408">
        <v>0</v>
      </c>
      <c r="BD752" s="408">
        <v>0</v>
      </c>
      <c r="BE752" s="408">
        <v>0</v>
      </c>
      <c r="BF752" s="408">
        <v>0</v>
      </c>
      <c r="BG752" s="408">
        <v>27.095172800227552</v>
      </c>
      <c r="BH752" s="408">
        <v>0</v>
      </c>
      <c r="BI752" s="408">
        <v>0</v>
      </c>
      <c r="BJ752" s="408">
        <v>0</v>
      </c>
      <c r="BK752" s="408">
        <v>0</v>
      </c>
      <c r="BL752" s="408">
        <v>0</v>
      </c>
      <c r="BM752" s="408"/>
      <c r="BN752" s="408"/>
      <c r="BO752" s="408"/>
      <c r="BP752" s="408"/>
      <c r="BQ752" s="408"/>
      <c r="BR752" s="408"/>
      <c r="BS752" s="408"/>
      <c r="BT752" s="408"/>
      <c r="BU752" s="408"/>
      <c r="BV752" s="408">
        <v>644.23869773081663</v>
      </c>
      <c r="BW752" s="408"/>
      <c r="BX752" s="408"/>
      <c r="BY752" s="408"/>
      <c r="BZ752" s="408"/>
      <c r="CA752" s="408"/>
      <c r="CB752" s="408"/>
      <c r="CC752" s="408"/>
      <c r="CD752" s="408"/>
      <c r="CE752" s="408"/>
      <c r="CF752" s="408"/>
      <c r="CG752" s="408"/>
      <c r="CH752" s="408"/>
      <c r="CI752" s="408">
        <v>1008.7854000000001</v>
      </c>
      <c r="CJ752" s="408">
        <v>73.079420000000141</v>
      </c>
      <c r="CK752" s="408"/>
      <c r="CL752" s="408"/>
      <c r="CM752" s="408"/>
      <c r="CN752" s="408"/>
      <c r="CO752" s="408">
        <v>-4.2751400000000253</v>
      </c>
      <c r="CP752" s="408">
        <v>78.220570000000023</v>
      </c>
      <c r="CQ752" s="408">
        <v>31</v>
      </c>
      <c r="CR752" s="408">
        <v>73.934933437841551</v>
      </c>
      <c r="CS752" s="408">
        <v>0</v>
      </c>
      <c r="CT752" s="408">
        <v>0</v>
      </c>
      <c r="CU752" s="408">
        <v>0</v>
      </c>
      <c r="CV752" s="408">
        <v>0</v>
      </c>
      <c r="CW752" s="408">
        <v>0</v>
      </c>
      <c r="CX752" s="408">
        <v>0</v>
      </c>
      <c r="CY752" s="408">
        <v>0</v>
      </c>
      <c r="CZ752" s="408">
        <v>0</v>
      </c>
      <c r="DA752" s="408">
        <v>0</v>
      </c>
      <c r="DB752" s="408">
        <v>0</v>
      </c>
      <c r="DC752" s="408">
        <v>78.211738445311767</v>
      </c>
      <c r="DD752" s="408">
        <v>0</v>
      </c>
      <c r="DE752" s="408">
        <v>0</v>
      </c>
      <c r="DF752" s="408">
        <v>0</v>
      </c>
      <c r="DG752" s="408">
        <v>3.4338212791266827</v>
      </c>
      <c r="DH752" s="408">
        <v>0</v>
      </c>
      <c r="DI752" s="408">
        <v>-6.5873216103965717</v>
      </c>
      <c r="DJ752" s="408"/>
      <c r="DK752" s="408">
        <v>0</v>
      </c>
      <c r="DL752" s="408">
        <v>0</v>
      </c>
      <c r="DM752" s="408">
        <v>0</v>
      </c>
      <c r="DN752" s="408">
        <v>0</v>
      </c>
      <c r="DO752" s="408">
        <v>-1.0412213786765392</v>
      </c>
      <c r="DP752" s="408">
        <v>-8.2083297523708687E-2</v>
      </c>
      <c r="DQ752" s="408">
        <v>0</v>
      </c>
      <c r="DR752" s="408">
        <v>0</v>
      </c>
      <c r="DS752" s="408"/>
      <c r="DT752" s="408"/>
      <c r="DU752" s="408"/>
      <c r="DV752" s="408">
        <v>0</v>
      </c>
      <c r="DW752" s="408">
        <v>0</v>
      </c>
      <c r="DX752" s="408">
        <v>0</v>
      </c>
      <c r="DY752" s="408">
        <v>-4.2751400000000217</v>
      </c>
      <c r="DZ752" s="408">
        <v>78.220570000000066</v>
      </c>
      <c r="EA752" s="408">
        <v>0</v>
      </c>
      <c r="EB752" s="408">
        <v>0</v>
      </c>
      <c r="EC752" s="408">
        <v>0</v>
      </c>
      <c r="ED752" s="408">
        <v>0</v>
      </c>
      <c r="EE752" s="408">
        <v>0</v>
      </c>
      <c r="EF752" s="408">
        <v>0</v>
      </c>
      <c r="EG752" s="408">
        <v>0</v>
      </c>
      <c r="EH752" s="408">
        <v>0</v>
      </c>
      <c r="EI752" s="408">
        <v>0</v>
      </c>
      <c r="EJ752" s="408">
        <v>0</v>
      </c>
      <c r="EK752" s="408">
        <v>0</v>
      </c>
      <c r="EL752" s="408">
        <v>0</v>
      </c>
      <c r="EM752" s="408">
        <v>0</v>
      </c>
      <c r="EN752" s="408">
        <v>0</v>
      </c>
      <c r="EO752" s="408">
        <v>0</v>
      </c>
      <c r="EP752" s="408">
        <v>49.541849957609443</v>
      </c>
      <c r="EQ752" s="408">
        <v>0</v>
      </c>
      <c r="ER752" s="408">
        <v>0</v>
      </c>
      <c r="ES752" s="408">
        <v>0</v>
      </c>
      <c r="ET752" s="408">
        <v>0</v>
      </c>
      <c r="EU752" s="408">
        <v>0</v>
      </c>
      <c r="EV752" s="408">
        <v>240</v>
      </c>
      <c r="EW752" s="408">
        <v>0</v>
      </c>
      <c r="EX752" s="408">
        <v>0</v>
      </c>
      <c r="EY752" s="408">
        <v>0</v>
      </c>
      <c r="EZ752" s="408"/>
      <c r="FA752" s="408">
        <v>0</v>
      </c>
      <c r="FB752" s="408"/>
      <c r="FC752" s="408"/>
      <c r="FD752" s="408"/>
      <c r="FE752" s="408"/>
      <c r="FF752" s="408">
        <v>0</v>
      </c>
      <c r="FG752" s="408">
        <v>0</v>
      </c>
      <c r="FH752" s="408">
        <v>0</v>
      </c>
      <c r="FI752" s="408">
        <v>0</v>
      </c>
    </row>
    <row r="753" spans="1:165">
      <c r="A753" s="408">
        <v>751</v>
      </c>
      <c r="B753" s="408" t="s">
        <v>1036</v>
      </c>
      <c r="C753" s="408" t="s">
        <v>2243</v>
      </c>
      <c r="D753" s="408" t="s">
        <v>597</v>
      </c>
      <c r="E753" s="408" t="s">
        <v>2246</v>
      </c>
      <c r="F753" s="408" t="s">
        <v>1322</v>
      </c>
      <c r="G753" s="408" t="s">
        <v>1322</v>
      </c>
      <c r="H753" s="408" t="s">
        <v>1322</v>
      </c>
      <c r="I753" s="408" t="s">
        <v>1322</v>
      </c>
      <c r="J753" s="408" t="s">
        <v>2236</v>
      </c>
      <c r="K753" s="826">
        <v>44682</v>
      </c>
      <c r="L753" s="408">
        <v>278</v>
      </c>
      <c r="M753" s="408">
        <v>278</v>
      </c>
      <c r="N753" s="408">
        <v>0</v>
      </c>
      <c r="O753" s="408">
        <v>0</v>
      </c>
      <c r="P753" s="408">
        <v>0</v>
      </c>
      <c r="Q753" s="408">
        <v>0</v>
      </c>
      <c r="R753" s="408">
        <v>27.19</v>
      </c>
      <c r="S753" s="408"/>
      <c r="T753" s="408"/>
      <c r="U753" s="408">
        <v>7558.8200000000006</v>
      </c>
      <c r="V753" s="408"/>
      <c r="W753" s="408">
        <v>7558.8200000000006</v>
      </c>
      <c r="X753" s="408">
        <v>6049.2800000000007</v>
      </c>
      <c r="Y753" s="408">
        <v>0</v>
      </c>
      <c r="Z753" s="408">
        <v>0</v>
      </c>
      <c r="AA753" s="408">
        <v>0</v>
      </c>
      <c r="AB753" s="408">
        <v>0</v>
      </c>
      <c r="AC753" s="408">
        <v>64.829770532862796</v>
      </c>
      <c r="AD753" s="408">
        <v>62.281685344977873</v>
      </c>
      <c r="AE753" s="408">
        <v>6653.1044075983409</v>
      </c>
      <c r="AF753" s="408"/>
      <c r="AG753" s="408"/>
      <c r="AH753" s="408"/>
      <c r="AI753" s="408">
        <v>0</v>
      </c>
      <c r="AJ753" s="408">
        <v>0</v>
      </c>
      <c r="AK753" s="408">
        <v>0</v>
      </c>
      <c r="AL753" s="408">
        <v>0</v>
      </c>
      <c r="AM753" s="408"/>
      <c r="AN753" s="408">
        <v>0</v>
      </c>
      <c r="AO753" s="408">
        <v>137.577983043149</v>
      </c>
      <c r="AP753" s="408">
        <v>641.64869835719423</v>
      </c>
      <c r="AQ753" s="408">
        <v>0</v>
      </c>
      <c r="AR753" s="408">
        <v>0</v>
      </c>
      <c r="AS753" s="408"/>
      <c r="AT753" s="408"/>
      <c r="AU753" s="408">
        <v>0</v>
      </c>
      <c r="AV753" s="408">
        <v>0</v>
      </c>
      <c r="AW753" s="408">
        <v>0</v>
      </c>
      <c r="AX753" s="408"/>
      <c r="AY753" s="408"/>
      <c r="AZ753" s="408">
        <v>0</v>
      </c>
      <c r="BA753" s="408"/>
      <c r="BB753" s="408">
        <v>0</v>
      </c>
      <c r="BC753" s="408">
        <v>0</v>
      </c>
      <c r="BD753" s="408">
        <v>0</v>
      </c>
      <c r="BE753" s="408">
        <v>0</v>
      </c>
      <c r="BF753" s="408"/>
      <c r="BG753" s="408">
        <v>0</v>
      </c>
      <c r="BH753" s="408">
        <v>0</v>
      </c>
      <c r="BI753" s="408">
        <v>12.19</v>
      </c>
      <c r="BJ753" s="408">
        <v>157.06</v>
      </c>
      <c r="BK753" s="408">
        <v>4945.53</v>
      </c>
      <c r="BL753" s="408">
        <v>5</v>
      </c>
      <c r="BM753" s="408"/>
      <c r="BN753" s="408"/>
      <c r="BO753" s="408"/>
      <c r="BP753" s="408"/>
      <c r="BQ753" s="408"/>
      <c r="BR753" s="408"/>
      <c r="BS753" s="408"/>
      <c r="BT753" s="408"/>
      <c r="BU753" s="408"/>
      <c r="BV753" s="408">
        <v>0</v>
      </c>
      <c r="BW753" s="408"/>
      <c r="BX753" s="408"/>
      <c r="BY753" s="408"/>
      <c r="BZ753" s="408"/>
      <c r="CA753" s="408"/>
      <c r="CB753" s="408"/>
      <c r="CC753" s="408"/>
      <c r="CD753" s="408"/>
      <c r="CE753" s="408"/>
      <c r="CF753" s="408"/>
      <c r="CG753" s="408"/>
      <c r="CH753" s="408"/>
      <c r="CI753" s="408">
        <v>6049.2800000000007</v>
      </c>
      <c r="CJ753" s="408">
        <v>-1509.5700000000006</v>
      </c>
      <c r="CK753" s="408"/>
      <c r="CL753" s="408"/>
      <c r="CM753" s="408"/>
      <c r="CN753" s="408"/>
      <c r="CO753" s="408">
        <v>-1509.54</v>
      </c>
      <c r="CP753" s="408">
        <v>0</v>
      </c>
      <c r="CQ753" s="408">
        <v>31</v>
      </c>
      <c r="CR753" s="408">
        <v>141.77777292493215</v>
      </c>
      <c r="CS753" s="408">
        <v>13.709351945204475</v>
      </c>
      <c r="CT753" s="408">
        <v>63.938921304016276</v>
      </c>
      <c r="CU753" s="408">
        <v>0</v>
      </c>
      <c r="CV753" s="408">
        <v>0</v>
      </c>
      <c r="CW753" s="408"/>
      <c r="CX753" s="408"/>
      <c r="CY753" s="408"/>
      <c r="CZ753" s="408">
        <v>64.12949967571133</v>
      </c>
      <c r="DA753" s="408">
        <v>0</v>
      </c>
      <c r="DB753" s="408">
        <v>0</v>
      </c>
      <c r="DC753" s="408"/>
      <c r="DD753" s="408"/>
      <c r="DE753" s="408">
        <v>0</v>
      </c>
      <c r="DF753" s="408">
        <v>0</v>
      </c>
      <c r="DG753" s="408">
        <v>0</v>
      </c>
      <c r="DH753" s="408">
        <v>0</v>
      </c>
      <c r="DI753" s="408">
        <v>0</v>
      </c>
      <c r="DJ753" s="408"/>
      <c r="DK753" s="408">
        <v>0</v>
      </c>
      <c r="DL753" s="408">
        <v>0</v>
      </c>
      <c r="DM753" s="408"/>
      <c r="DN753" s="408">
        <v>0</v>
      </c>
      <c r="DO753" s="408">
        <v>0</v>
      </c>
      <c r="DP753" s="408">
        <v>0</v>
      </c>
      <c r="DQ753" s="408">
        <v>0</v>
      </c>
      <c r="DR753" s="408">
        <v>0</v>
      </c>
      <c r="DS753" s="408"/>
      <c r="DT753" s="408"/>
      <c r="DU753" s="408">
        <v>6653.1044075983409</v>
      </c>
      <c r="DV753" s="408"/>
      <c r="DW753" s="408">
        <v>0</v>
      </c>
      <c r="DX753" s="408">
        <v>0</v>
      </c>
      <c r="DY753" s="408">
        <v>-1509.54</v>
      </c>
      <c r="DZ753" s="408"/>
      <c r="EA753" s="408">
        <v>0</v>
      </c>
      <c r="EB753" s="408"/>
      <c r="EC753" s="408">
        <v>-1652.7439885708718</v>
      </c>
      <c r="ED753" s="408"/>
      <c r="EE753" s="408">
        <v>0</v>
      </c>
      <c r="EF753" s="408">
        <v>0</v>
      </c>
      <c r="EG753" s="408"/>
      <c r="EH753" s="408">
        <v>0</v>
      </c>
      <c r="EI753" s="408">
        <v>0</v>
      </c>
      <c r="EJ753" s="408">
        <v>0</v>
      </c>
      <c r="EK753" s="408">
        <v>0</v>
      </c>
      <c r="EL753" s="408">
        <v>0</v>
      </c>
      <c r="EM753" s="408"/>
      <c r="EN753" s="408"/>
      <c r="EO753" s="408">
        <v>0</v>
      </c>
      <c r="EP753" s="408">
        <v>0</v>
      </c>
      <c r="EQ753" s="408"/>
      <c r="ER753" s="408">
        <v>0</v>
      </c>
      <c r="ES753" s="408"/>
      <c r="ET753" s="408">
        <v>0</v>
      </c>
      <c r="EU753" s="408"/>
      <c r="EV753" s="408">
        <v>240</v>
      </c>
      <c r="EW753" s="408"/>
      <c r="EX753" s="408"/>
      <c r="EY753" s="408"/>
      <c r="EZ753" s="408"/>
      <c r="FA753" s="408">
        <v>0</v>
      </c>
      <c r="FB753" s="408"/>
      <c r="FC753" s="408"/>
      <c r="FD753" s="408"/>
      <c r="FE753" s="408"/>
      <c r="FF753" s="408">
        <v>0</v>
      </c>
      <c r="FG753" s="408">
        <v>0</v>
      </c>
      <c r="FH753" s="408">
        <v>0</v>
      </c>
      <c r="FI753" s="408">
        <v>0</v>
      </c>
    </row>
    <row r="754" spans="1:165">
      <c r="A754" s="408">
        <v>752</v>
      </c>
      <c r="B754" s="408" t="s">
        <v>2238</v>
      </c>
      <c r="C754" s="408" t="s">
        <v>2243</v>
      </c>
      <c r="D754" s="408" t="s">
        <v>597</v>
      </c>
      <c r="E754" s="408" t="s">
        <v>2246</v>
      </c>
      <c r="F754" s="408" t="s">
        <v>1322</v>
      </c>
      <c r="G754" s="408" t="s">
        <v>1322</v>
      </c>
      <c r="H754" s="408" t="s">
        <v>1322</v>
      </c>
      <c r="I754" s="408" t="s">
        <v>1322</v>
      </c>
      <c r="J754" s="408" t="s">
        <v>2236</v>
      </c>
      <c r="K754" s="826">
        <v>44682</v>
      </c>
      <c r="L754" s="408">
        <v>40</v>
      </c>
      <c r="M754" s="408">
        <v>40</v>
      </c>
      <c r="N754" s="408">
        <v>0</v>
      </c>
      <c r="O754" s="408">
        <v>0</v>
      </c>
      <c r="P754" s="408">
        <v>0</v>
      </c>
      <c r="Q754" s="408">
        <v>0</v>
      </c>
      <c r="R754" s="408">
        <v>27.19</v>
      </c>
      <c r="S754" s="408"/>
      <c r="T754" s="408"/>
      <c r="U754" s="408">
        <v>1087.6000000000001</v>
      </c>
      <c r="V754" s="408"/>
      <c r="W754" s="408">
        <v>1087.6000000000001</v>
      </c>
      <c r="X754" s="408">
        <v>870.40000000000009</v>
      </c>
      <c r="Y754" s="408">
        <v>0</v>
      </c>
      <c r="Z754" s="408">
        <v>0</v>
      </c>
      <c r="AA754" s="408">
        <v>0</v>
      </c>
      <c r="AB754" s="408">
        <v>0</v>
      </c>
      <c r="AC754" s="408">
        <v>9.3280245371025607</v>
      </c>
      <c r="AD754" s="408">
        <v>8.9613935748169595</v>
      </c>
      <c r="AE754" s="408">
        <v>957.28120972637998</v>
      </c>
      <c r="AF754" s="408"/>
      <c r="AG754" s="408"/>
      <c r="AH754" s="408"/>
      <c r="AI754" s="408">
        <v>0</v>
      </c>
      <c r="AJ754" s="408">
        <v>0</v>
      </c>
      <c r="AK754" s="408">
        <v>0</v>
      </c>
      <c r="AL754" s="408">
        <v>0</v>
      </c>
      <c r="AM754" s="408"/>
      <c r="AN754" s="408">
        <v>0</v>
      </c>
      <c r="AO754" s="408">
        <v>19.795393243618559</v>
      </c>
      <c r="AP754" s="408">
        <v>92.3235537204596</v>
      </c>
      <c r="AQ754" s="408">
        <v>0</v>
      </c>
      <c r="AR754" s="408">
        <v>0</v>
      </c>
      <c r="AS754" s="408"/>
      <c r="AT754" s="408"/>
      <c r="AU754" s="408">
        <v>0</v>
      </c>
      <c r="AV754" s="408">
        <v>0</v>
      </c>
      <c r="AW754" s="408">
        <v>0</v>
      </c>
      <c r="AX754" s="408"/>
      <c r="AY754" s="408"/>
      <c r="AZ754" s="408">
        <v>0</v>
      </c>
      <c r="BA754" s="408"/>
      <c r="BB754" s="408">
        <v>0</v>
      </c>
      <c r="BC754" s="408">
        <v>0</v>
      </c>
      <c r="BD754" s="408">
        <v>0</v>
      </c>
      <c r="BE754" s="408">
        <v>0</v>
      </c>
      <c r="BF754" s="408"/>
      <c r="BG754" s="408">
        <v>0</v>
      </c>
      <c r="BH754" s="408">
        <v>0</v>
      </c>
      <c r="BI754" s="408">
        <v>2.2000000000000002</v>
      </c>
      <c r="BJ754" s="408">
        <v>28.34</v>
      </c>
      <c r="BK754" s="408">
        <v>919.46</v>
      </c>
      <c r="BL754" s="408">
        <v>1</v>
      </c>
      <c r="BM754" s="408"/>
      <c r="BN754" s="408"/>
      <c r="BO754" s="408"/>
      <c r="BP754" s="408"/>
      <c r="BQ754" s="408"/>
      <c r="BR754" s="408"/>
      <c r="BS754" s="408"/>
      <c r="BT754" s="408"/>
      <c r="BU754" s="408"/>
      <c r="BV754" s="408">
        <v>0</v>
      </c>
      <c r="BW754" s="408"/>
      <c r="BX754" s="408"/>
      <c r="BY754" s="408"/>
      <c r="BZ754" s="408"/>
      <c r="CA754" s="408"/>
      <c r="CB754" s="408"/>
      <c r="CC754" s="408"/>
      <c r="CD754" s="408"/>
      <c r="CE754" s="408"/>
      <c r="CF754" s="408"/>
      <c r="CG754" s="408"/>
      <c r="CH754" s="408"/>
      <c r="CI754" s="408">
        <v>870.40000000000009</v>
      </c>
      <c r="CJ754" s="408">
        <v>-217.23000000000002</v>
      </c>
      <c r="CK754" s="408"/>
      <c r="CL754" s="408"/>
      <c r="CM754" s="408"/>
      <c r="CN754" s="408"/>
      <c r="CO754" s="408">
        <v>-217.2</v>
      </c>
      <c r="CP754" s="408">
        <v>0</v>
      </c>
      <c r="CQ754" s="408">
        <v>31</v>
      </c>
      <c r="CR754" s="408">
        <v>20.399679557544232</v>
      </c>
      <c r="CS754" s="408">
        <v>1.9725686252092807</v>
      </c>
      <c r="CT754" s="408">
        <v>9.1998447919447983</v>
      </c>
      <c r="CU754" s="408">
        <v>0</v>
      </c>
      <c r="CV754" s="408">
        <v>0</v>
      </c>
      <c r="CW754" s="408"/>
      <c r="CX754" s="408"/>
      <c r="CY754" s="408"/>
      <c r="CZ754" s="408">
        <v>9.2272661403901211</v>
      </c>
      <c r="DA754" s="408">
        <v>0</v>
      </c>
      <c r="DB754" s="408">
        <v>0</v>
      </c>
      <c r="DC754" s="408"/>
      <c r="DD754" s="408"/>
      <c r="DE754" s="408">
        <v>0</v>
      </c>
      <c r="DF754" s="408">
        <v>0</v>
      </c>
      <c r="DG754" s="408">
        <v>0</v>
      </c>
      <c r="DH754" s="408">
        <v>0</v>
      </c>
      <c r="DI754" s="408">
        <v>0</v>
      </c>
      <c r="DJ754" s="408"/>
      <c r="DK754" s="408">
        <v>0</v>
      </c>
      <c r="DL754" s="408">
        <v>0</v>
      </c>
      <c r="DM754" s="408"/>
      <c r="DN754" s="408">
        <v>0</v>
      </c>
      <c r="DO754" s="408">
        <v>0</v>
      </c>
      <c r="DP754" s="408">
        <v>0</v>
      </c>
      <c r="DQ754" s="408">
        <v>0</v>
      </c>
      <c r="DR754" s="408">
        <v>0</v>
      </c>
      <c r="DS754" s="408"/>
      <c r="DT754" s="408"/>
      <c r="DU754" s="408">
        <v>957.28120972637998</v>
      </c>
      <c r="DV754" s="408"/>
      <c r="DW754" s="408">
        <v>0</v>
      </c>
      <c r="DX754" s="408">
        <v>0</v>
      </c>
      <c r="DY754" s="408">
        <v>-217.20000000000005</v>
      </c>
      <c r="DZ754" s="408"/>
      <c r="EA754" s="408">
        <v>0</v>
      </c>
      <c r="EB754" s="408"/>
      <c r="EC754" s="408">
        <v>-237.80489044185208</v>
      </c>
      <c r="ED754" s="408"/>
      <c r="EE754" s="408">
        <v>0</v>
      </c>
      <c r="EF754" s="408">
        <v>0</v>
      </c>
      <c r="EG754" s="408"/>
      <c r="EH754" s="408">
        <v>0</v>
      </c>
      <c r="EI754" s="408">
        <v>0</v>
      </c>
      <c r="EJ754" s="408">
        <v>0</v>
      </c>
      <c r="EK754" s="408">
        <v>0</v>
      </c>
      <c r="EL754" s="408">
        <v>0</v>
      </c>
      <c r="EM754" s="408"/>
      <c r="EN754" s="408"/>
      <c r="EO754" s="408">
        <v>0</v>
      </c>
      <c r="EP754" s="408">
        <v>0</v>
      </c>
      <c r="EQ754" s="408"/>
      <c r="ER754" s="408">
        <v>0</v>
      </c>
      <c r="ES754" s="408"/>
      <c r="ET754" s="408">
        <v>0</v>
      </c>
      <c r="EU754" s="408"/>
      <c r="EV754" s="408">
        <v>240</v>
      </c>
      <c r="EW754" s="408"/>
      <c r="EX754" s="408"/>
      <c r="EY754" s="408"/>
      <c r="EZ754" s="408"/>
      <c r="FA754" s="408">
        <v>0</v>
      </c>
      <c r="FB754" s="408"/>
      <c r="FC754" s="408"/>
      <c r="FD754" s="408"/>
      <c r="FE754" s="408"/>
      <c r="FF754" s="408">
        <v>0</v>
      </c>
      <c r="FG754" s="408">
        <v>0</v>
      </c>
      <c r="FH754" s="408">
        <v>0</v>
      </c>
      <c r="FI754" s="408">
        <v>0</v>
      </c>
    </row>
    <row r="755" spans="1:165">
      <c r="A755" s="408">
        <v>753</v>
      </c>
      <c r="B755" s="408" t="s">
        <v>1036</v>
      </c>
      <c r="C755" s="408" t="s">
        <v>2235</v>
      </c>
      <c r="D755" s="408" t="s">
        <v>2248</v>
      </c>
      <c r="E755" s="408" t="s">
        <v>2249</v>
      </c>
      <c r="F755" s="408" t="s">
        <v>2250</v>
      </c>
      <c r="G755" s="408" t="s">
        <v>1322</v>
      </c>
      <c r="H755" s="408" t="s">
        <v>1322</v>
      </c>
      <c r="I755" s="408" t="s">
        <v>1322</v>
      </c>
      <c r="J755" s="408" t="s">
        <v>2236</v>
      </c>
      <c r="K755" s="826">
        <v>44682</v>
      </c>
      <c r="L755" s="408">
        <v>0</v>
      </c>
      <c r="M755" s="408">
        <v>0</v>
      </c>
      <c r="N755" s="408">
        <v>1608.354</v>
      </c>
      <c r="O755" s="408">
        <v>1608.354</v>
      </c>
      <c r="P755" s="408">
        <v>1608.354</v>
      </c>
      <c r="Q755" s="408">
        <v>1608.354</v>
      </c>
      <c r="R755" s="408"/>
      <c r="S755" s="408">
        <v>199.07</v>
      </c>
      <c r="T755" s="408">
        <v>95.29</v>
      </c>
      <c r="U755" s="408"/>
      <c r="V755" s="408">
        <v>473435.08343999996</v>
      </c>
      <c r="W755" s="408">
        <v>473435.08343999996</v>
      </c>
      <c r="X755" s="408">
        <v>446913.32597999997</v>
      </c>
      <c r="Y755" s="408">
        <v>0</v>
      </c>
      <c r="Z755" s="408">
        <v>54442.542868692064</v>
      </c>
      <c r="AA755" s="408">
        <v>0</v>
      </c>
      <c r="AB755" s="408">
        <v>0</v>
      </c>
      <c r="AC755" s="408">
        <v>2264.1531874255379</v>
      </c>
      <c r="AD755" s="408">
        <v>2920.0999282465518</v>
      </c>
      <c r="AE755" s="408">
        <v>202033.97257624741</v>
      </c>
      <c r="AF755" s="408">
        <v>150682.2774752737</v>
      </c>
      <c r="AG755" s="408">
        <v>2571.7233727790822</v>
      </c>
      <c r="AH755" s="408">
        <v>0</v>
      </c>
      <c r="AI755" s="408">
        <v>0</v>
      </c>
      <c r="AJ755" s="408">
        <v>0</v>
      </c>
      <c r="AK755" s="408">
        <v>0</v>
      </c>
      <c r="AL755" s="408">
        <v>8411.6377854615966</v>
      </c>
      <c r="AM755" s="408"/>
      <c r="AN755" s="408">
        <v>1068.4636478846744</v>
      </c>
      <c r="AO755" s="408">
        <v>4806.3529045394025</v>
      </c>
      <c r="AP755" s="408">
        <v>22411.314527216058</v>
      </c>
      <c r="AQ755" s="408">
        <v>0</v>
      </c>
      <c r="AR755" s="408">
        <v>0</v>
      </c>
      <c r="AS755" s="408">
        <v>0</v>
      </c>
      <c r="AT755" s="408">
        <v>0</v>
      </c>
      <c r="AU755" s="408">
        <v>0</v>
      </c>
      <c r="AV755" s="408">
        <v>0</v>
      </c>
      <c r="AW755" s="408">
        <v>0</v>
      </c>
      <c r="AX755" s="408">
        <v>0</v>
      </c>
      <c r="AY755" s="408">
        <v>0</v>
      </c>
      <c r="AZ755" s="408">
        <v>0</v>
      </c>
      <c r="BA755" s="408"/>
      <c r="BB755" s="408">
        <v>0</v>
      </c>
      <c r="BC755" s="408">
        <v>0</v>
      </c>
      <c r="BD755" s="408">
        <v>0</v>
      </c>
      <c r="BE755" s="408">
        <v>0</v>
      </c>
      <c r="BF755" s="408">
        <v>0</v>
      </c>
      <c r="BG755" s="408">
        <v>7908.0924675301567</v>
      </c>
      <c r="BH755" s="408">
        <v>0</v>
      </c>
      <c r="BI755" s="408">
        <v>315.66000000000003</v>
      </c>
      <c r="BJ755" s="408">
        <v>4062.95</v>
      </c>
      <c r="BK755" s="408">
        <v>112859.37</v>
      </c>
      <c r="BL755" s="408">
        <v>69</v>
      </c>
      <c r="BM755" s="408"/>
      <c r="BN755" s="408"/>
      <c r="BO755" s="408"/>
      <c r="BP755" s="408"/>
      <c r="BQ755" s="408"/>
      <c r="BR755" s="408"/>
      <c r="BS755" s="408"/>
      <c r="BT755" s="408"/>
      <c r="BU755" s="408"/>
      <c r="BV755" s="408">
        <v>158590.36994280387</v>
      </c>
      <c r="BW755" s="408"/>
      <c r="BX755" s="408"/>
      <c r="BY755" s="408"/>
      <c r="BZ755" s="408"/>
      <c r="CA755" s="408"/>
      <c r="CB755" s="408"/>
      <c r="CC755" s="408"/>
      <c r="CD755" s="408"/>
      <c r="CE755" s="408"/>
      <c r="CF755" s="408"/>
      <c r="CG755" s="408"/>
      <c r="CH755" s="408"/>
      <c r="CI755" s="408">
        <v>446912.2145</v>
      </c>
      <c r="CJ755" s="408">
        <v>-26522.898939999985</v>
      </c>
      <c r="CK755" s="408"/>
      <c r="CL755" s="408"/>
      <c r="CM755" s="408"/>
      <c r="CN755" s="408"/>
      <c r="CO755" s="408">
        <v>-45612.919439999976</v>
      </c>
      <c r="CP755" s="408">
        <v>19091.161979999986</v>
      </c>
      <c r="CQ755" s="408">
        <v>31</v>
      </c>
      <c r="CR755" s="408">
        <v>23684.217864300706</v>
      </c>
      <c r="CS755" s="408">
        <v>478.94279363378791</v>
      </c>
      <c r="CT755" s="408">
        <v>2233.2395897381284</v>
      </c>
      <c r="CU755" s="408">
        <v>0</v>
      </c>
      <c r="CV755" s="408">
        <v>0</v>
      </c>
      <c r="CW755" s="408">
        <v>0</v>
      </c>
      <c r="CX755" s="408">
        <v>0</v>
      </c>
      <c r="CY755" s="408">
        <v>0</v>
      </c>
      <c r="CZ755" s="408">
        <v>3006.7353888109192</v>
      </c>
      <c r="DA755" s="408">
        <v>0</v>
      </c>
      <c r="DB755" s="408">
        <v>0</v>
      </c>
      <c r="DC755" s="408">
        <v>19096.2432532456</v>
      </c>
      <c r="DD755" s="408">
        <v>0</v>
      </c>
      <c r="DE755" s="408">
        <v>0</v>
      </c>
      <c r="DF755" s="408">
        <v>0</v>
      </c>
      <c r="DG755" s="408">
        <v>1002.2071603868308</v>
      </c>
      <c r="DH755" s="408">
        <v>0</v>
      </c>
      <c r="DI755" s="408">
        <v>-1848.6964774070875</v>
      </c>
      <c r="DJ755" s="408"/>
      <c r="DK755" s="408">
        <v>0</v>
      </c>
      <c r="DL755" s="408">
        <v>0</v>
      </c>
      <c r="DM755" s="408">
        <v>0</v>
      </c>
      <c r="DN755" s="408">
        <v>0</v>
      </c>
      <c r="DO755" s="408">
        <v>-254.22547974163626</v>
      </c>
      <c r="DP755" s="408">
        <v>-30.228364365858852</v>
      </c>
      <c r="DQ755" s="408">
        <v>0</v>
      </c>
      <c r="DR755" s="408">
        <v>0</v>
      </c>
      <c r="DS755" s="408"/>
      <c r="DT755" s="408"/>
      <c r="DU755" s="408"/>
      <c r="DV755" s="408">
        <v>202033.97257624741</v>
      </c>
      <c r="DW755" s="408">
        <v>0</v>
      </c>
      <c r="DX755" s="408">
        <v>0</v>
      </c>
      <c r="DY755" s="408">
        <v>-45612.919439999969</v>
      </c>
      <c r="DZ755" s="408">
        <v>19091.161979999975</v>
      </c>
      <c r="EA755" s="408">
        <v>0</v>
      </c>
      <c r="EB755" s="408">
        <v>0</v>
      </c>
      <c r="EC755" s="408">
        <v>-50188.665802559204</v>
      </c>
      <c r="ED755" s="408">
        <v>0</v>
      </c>
      <c r="EE755" s="408">
        <v>0</v>
      </c>
      <c r="EF755" s="408">
        <v>0</v>
      </c>
      <c r="EG755" s="408">
        <v>0</v>
      </c>
      <c r="EH755" s="408">
        <v>0</v>
      </c>
      <c r="EI755" s="408">
        <v>0</v>
      </c>
      <c r="EJ755" s="408">
        <v>0</v>
      </c>
      <c r="EK755" s="408">
        <v>0</v>
      </c>
      <c r="EL755" s="408">
        <v>0</v>
      </c>
      <c r="EM755" s="408">
        <v>0</v>
      </c>
      <c r="EN755" s="408">
        <v>0</v>
      </c>
      <c r="EO755" s="408">
        <v>0</v>
      </c>
      <c r="EP755" s="408">
        <v>13903.654461977121</v>
      </c>
      <c r="EQ755" s="408">
        <v>0</v>
      </c>
      <c r="ER755" s="408">
        <v>0</v>
      </c>
      <c r="ES755" s="408">
        <v>0</v>
      </c>
      <c r="ET755" s="408">
        <v>0</v>
      </c>
      <c r="EU755" s="408">
        <v>0</v>
      </c>
      <c r="EV755" s="408">
        <v>240</v>
      </c>
      <c r="EW755" s="408">
        <v>0</v>
      </c>
      <c r="EX755" s="408">
        <v>0</v>
      </c>
      <c r="EY755" s="408">
        <v>0</v>
      </c>
      <c r="EZ755" s="408"/>
      <c r="FA755" s="408">
        <v>0</v>
      </c>
      <c r="FB755" s="408"/>
      <c r="FC755" s="408"/>
      <c r="FD755" s="408"/>
      <c r="FE755" s="408"/>
      <c r="FF755" s="408">
        <v>0</v>
      </c>
      <c r="FG755" s="408">
        <v>0</v>
      </c>
      <c r="FH755" s="408">
        <v>0</v>
      </c>
      <c r="FI755" s="408">
        <v>0</v>
      </c>
    </row>
    <row r="756" spans="1:165">
      <c r="A756" s="408">
        <v>754</v>
      </c>
      <c r="B756" s="408" t="s">
        <v>1036</v>
      </c>
      <c r="C756" s="408" t="s">
        <v>2235</v>
      </c>
      <c r="D756" s="408" t="s">
        <v>1958</v>
      </c>
      <c r="E756" s="408" t="s">
        <v>1001</v>
      </c>
      <c r="F756" s="408" t="s">
        <v>2251</v>
      </c>
      <c r="G756" s="408" t="s">
        <v>1322</v>
      </c>
      <c r="H756" s="408" t="s">
        <v>1322</v>
      </c>
      <c r="I756" s="408" t="s">
        <v>1322</v>
      </c>
      <c r="J756" s="408" t="s">
        <v>2236</v>
      </c>
      <c r="K756" s="826">
        <v>44682</v>
      </c>
      <c r="L756" s="408">
        <v>0</v>
      </c>
      <c r="M756" s="408">
        <v>0</v>
      </c>
      <c r="N756" s="408">
        <v>640.52200000000005</v>
      </c>
      <c r="O756" s="408">
        <v>602.09068000000002</v>
      </c>
      <c r="P756" s="408">
        <v>640.52200000000005</v>
      </c>
      <c r="Q756" s="408">
        <v>602.09068000000002</v>
      </c>
      <c r="R756" s="408"/>
      <c r="S756" s="408">
        <v>368.24</v>
      </c>
      <c r="T756" s="408">
        <v>173.25</v>
      </c>
      <c r="U756" s="408"/>
      <c r="V756" s="408">
        <v>346836.25778000004</v>
      </c>
      <c r="W756" s="408">
        <v>346836.25778000004</v>
      </c>
      <c r="X756" s="408">
        <v>325955.24058000004</v>
      </c>
      <c r="Y756" s="408">
        <v>0</v>
      </c>
      <c r="Z756" s="408">
        <v>39421.04383322713</v>
      </c>
      <c r="AA756" s="408">
        <v>0</v>
      </c>
      <c r="AB756" s="408">
        <v>0</v>
      </c>
      <c r="AC756" s="408">
        <v>1639.4399920281926</v>
      </c>
      <c r="AD756" s="408">
        <v>1575.1342075249961</v>
      </c>
      <c r="AE756" s="408">
        <v>150866.69807720385</v>
      </c>
      <c r="AF756" s="408">
        <v>109106.81890024587</v>
      </c>
      <c r="AG756" s="408">
        <v>1862.1470354493429</v>
      </c>
      <c r="AH756" s="408">
        <v>0</v>
      </c>
      <c r="AI756" s="408">
        <v>0</v>
      </c>
      <c r="AJ756" s="408">
        <v>0</v>
      </c>
      <c r="AK756" s="408">
        <v>0</v>
      </c>
      <c r="AL756" s="408">
        <v>6090.7430912930267</v>
      </c>
      <c r="AM756" s="408"/>
      <c r="AN756" s="408">
        <v>773.65879839703814</v>
      </c>
      <c r="AO756" s="408">
        <v>3480.2093830331391</v>
      </c>
      <c r="AP756" s="408">
        <v>16227.702928359682</v>
      </c>
      <c r="AQ756" s="408">
        <v>0</v>
      </c>
      <c r="AR756" s="408">
        <v>0</v>
      </c>
      <c r="AS756" s="408">
        <v>0</v>
      </c>
      <c r="AT756" s="408">
        <v>0</v>
      </c>
      <c r="AU756" s="408">
        <v>0</v>
      </c>
      <c r="AV756" s="408">
        <v>0</v>
      </c>
      <c r="AW756" s="408">
        <v>0</v>
      </c>
      <c r="AX756" s="408">
        <v>0</v>
      </c>
      <c r="AY756" s="408">
        <v>0</v>
      </c>
      <c r="AZ756" s="408">
        <v>0</v>
      </c>
      <c r="BA756" s="408"/>
      <c r="BB756" s="408">
        <v>0</v>
      </c>
      <c r="BC756" s="408">
        <v>0</v>
      </c>
      <c r="BD756" s="408">
        <v>0</v>
      </c>
      <c r="BE756" s="408">
        <v>0</v>
      </c>
      <c r="BF756" s="408">
        <v>0</v>
      </c>
      <c r="BG756" s="408">
        <v>5726.133339355697</v>
      </c>
      <c r="BH756" s="408">
        <v>0</v>
      </c>
      <c r="BI756" s="408">
        <v>224.36</v>
      </c>
      <c r="BJ756" s="408">
        <v>2897.34</v>
      </c>
      <c r="BK756" s="408">
        <v>113891.7</v>
      </c>
      <c r="BL756" s="408">
        <v>202</v>
      </c>
      <c r="BM756" s="408"/>
      <c r="BN756" s="408"/>
      <c r="BO756" s="408"/>
      <c r="BP756" s="408"/>
      <c r="BQ756" s="408">
        <v>19557.314434800013</v>
      </c>
      <c r="BR756" s="408"/>
      <c r="BS756" s="408"/>
      <c r="BT756" s="408"/>
      <c r="BU756" s="408"/>
      <c r="BV756" s="408">
        <v>114832.95223960157</v>
      </c>
      <c r="BW756" s="408"/>
      <c r="BX756" s="408"/>
      <c r="BY756" s="408"/>
      <c r="BZ756" s="408"/>
      <c r="CA756" s="408"/>
      <c r="CB756" s="408"/>
      <c r="CC756" s="408"/>
      <c r="CD756" s="408"/>
      <c r="CE756" s="408"/>
      <c r="CF756" s="408"/>
      <c r="CG756" s="408"/>
      <c r="CH756" s="408"/>
      <c r="CI756" s="408">
        <v>306397.58010000002</v>
      </c>
      <c r="CJ756" s="408">
        <v>-19628.532213200058</v>
      </c>
      <c r="CK756" s="408"/>
      <c r="CL756" s="408"/>
      <c r="CM756" s="408"/>
      <c r="CN756" s="408"/>
      <c r="CO756" s="408">
        <v>-34709.887179999998</v>
      </c>
      <c r="CP756" s="408">
        <v>13828.869980000003</v>
      </c>
      <c r="CQ756" s="408">
        <v>31</v>
      </c>
      <c r="CR756" s="408">
        <v>16594.126997179119</v>
      </c>
      <c r="CS756" s="408">
        <v>346.79542627137243</v>
      </c>
      <c r="CT756" s="408">
        <v>1617.0559110271133</v>
      </c>
      <c r="CU756" s="408">
        <v>0</v>
      </c>
      <c r="CV756" s="408">
        <v>0</v>
      </c>
      <c r="CW756" s="408">
        <v>0</v>
      </c>
      <c r="CX756" s="408">
        <v>0</v>
      </c>
      <c r="CY756" s="408">
        <v>0</v>
      </c>
      <c r="CZ756" s="408">
        <v>1621.866333436031</v>
      </c>
      <c r="DA756" s="408">
        <v>0</v>
      </c>
      <c r="DB756" s="408">
        <v>0</v>
      </c>
      <c r="DC756" s="408">
        <v>13827.30862060943</v>
      </c>
      <c r="DD756" s="408">
        <v>0</v>
      </c>
      <c r="DE756" s="408">
        <v>0</v>
      </c>
      <c r="DF756" s="408">
        <v>0</v>
      </c>
      <c r="DG756" s="408">
        <v>725.68345117296758</v>
      </c>
      <c r="DH756" s="408">
        <v>0</v>
      </c>
      <c r="DI756" s="408">
        <v>-1338.6139043132862</v>
      </c>
      <c r="DJ756" s="408"/>
      <c r="DK756" s="408">
        <v>0</v>
      </c>
      <c r="DL756" s="408">
        <v>0</v>
      </c>
      <c r="DM756" s="408">
        <v>0</v>
      </c>
      <c r="DN756" s="408">
        <v>0</v>
      </c>
      <c r="DO756" s="408">
        <v>-184.08092738411688</v>
      </c>
      <c r="DP756" s="408">
        <v>-21.887913640392753</v>
      </c>
      <c r="DQ756" s="408">
        <v>0</v>
      </c>
      <c r="DR756" s="408">
        <v>0</v>
      </c>
      <c r="DS756" s="408"/>
      <c r="DT756" s="408"/>
      <c r="DU756" s="408"/>
      <c r="DV756" s="408">
        <v>150866.69807720385</v>
      </c>
      <c r="DW756" s="408">
        <v>0</v>
      </c>
      <c r="DX756" s="408">
        <v>0</v>
      </c>
      <c r="DY756" s="408">
        <v>-34709.88718000002</v>
      </c>
      <c r="DZ756" s="408">
        <v>13828.869980000003</v>
      </c>
      <c r="EA756" s="408">
        <v>0</v>
      </c>
      <c r="EB756" s="408">
        <v>0</v>
      </c>
      <c r="EC756" s="408">
        <v>-37477.846888719985</v>
      </c>
      <c r="ED756" s="408">
        <v>0</v>
      </c>
      <c r="EE756" s="408">
        <v>0</v>
      </c>
      <c r="EF756" s="408">
        <v>0</v>
      </c>
      <c r="EG756" s="408">
        <v>0</v>
      </c>
      <c r="EH756" s="408">
        <v>0</v>
      </c>
      <c r="EI756" s="408">
        <v>0</v>
      </c>
      <c r="EJ756" s="408">
        <v>0</v>
      </c>
      <c r="EK756" s="408">
        <v>0</v>
      </c>
      <c r="EL756" s="408">
        <v>0</v>
      </c>
      <c r="EM756" s="408">
        <v>0</v>
      </c>
      <c r="EN756" s="408">
        <v>0</v>
      </c>
      <c r="EO756" s="408">
        <v>0</v>
      </c>
      <c r="EP756" s="408">
        <v>10067.431517840312</v>
      </c>
      <c r="EQ756" s="408">
        <v>0</v>
      </c>
      <c r="ER756" s="408">
        <v>0</v>
      </c>
      <c r="ES756" s="408">
        <v>0</v>
      </c>
      <c r="ET756" s="408">
        <v>0</v>
      </c>
      <c r="EU756" s="408">
        <v>0</v>
      </c>
      <c r="EV756" s="408">
        <v>240</v>
      </c>
      <c r="EW756" s="408">
        <v>0</v>
      </c>
      <c r="EX756" s="408">
        <v>0</v>
      </c>
      <c r="EY756" s="408">
        <v>0</v>
      </c>
      <c r="EZ756" s="408"/>
      <c r="FA756" s="408">
        <v>0</v>
      </c>
      <c r="FB756" s="408"/>
      <c r="FC756" s="408"/>
      <c r="FD756" s="408"/>
      <c r="FE756" s="408"/>
      <c r="FF756" s="408">
        <v>0</v>
      </c>
      <c r="FG756" s="408">
        <v>0</v>
      </c>
      <c r="FH756" s="408">
        <v>0</v>
      </c>
      <c r="FI756" s="408">
        <v>0</v>
      </c>
    </row>
    <row r="757" spans="1:165">
      <c r="A757" s="408">
        <v>755</v>
      </c>
      <c r="B757" s="408" t="s">
        <v>1036</v>
      </c>
      <c r="C757" s="408" t="s">
        <v>2247</v>
      </c>
      <c r="D757" s="408" t="s">
        <v>597</v>
      </c>
      <c r="E757" s="408" t="s">
        <v>1001</v>
      </c>
      <c r="F757" s="408" t="s">
        <v>2251</v>
      </c>
      <c r="G757" s="408" t="s">
        <v>1322</v>
      </c>
      <c r="H757" s="408" t="s">
        <v>1322</v>
      </c>
      <c r="I757" s="408" t="s">
        <v>973</v>
      </c>
      <c r="J757" s="408" t="s">
        <v>2236</v>
      </c>
      <c r="K757" s="826">
        <v>44682</v>
      </c>
      <c r="L757" s="408">
        <v>65</v>
      </c>
      <c r="M757" s="408">
        <v>61.1</v>
      </c>
      <c r="N757" s="408">
        <v>3.3969999999999998</v>
      </c>
      <c r="O757" s="408">
        <v>3.1931799999999999</v>
      </c>
      <c r="P757" s="408">
        <v>3.3969999999999998</v>
      </c>
      <c r="Q757" s="408">
        <v>3.1931799999999999</v>
      </c>
      <c r="R757" s="408">
        <v>52.95</v>
      </c>
      <c r="S757" s="408">
        <v>85.01</v>
      </c>
      <c r="T757" s="408">
        <v>173.25</v>
      </c>
      <c r="U757" s="408">
        <v>3441.75</v>
      </c>
      <c r="V757" s="408">
        <v>877.30921999999987</v>
      </c>
      <c r="W757" s="408">
        <v>4319.0592200000001</v>
      </c>
      <c r="X757" s="408">
        <v>3822.8919900000001</v>
      </c>
      <c r="Y757" s="408">
        <v>0</v>
      </c>
      <c r="Z757" s="408">
        <v>181.89001897558711</v>
      </c>
      <c r="AA757" s="408">
        <v>0</v>
      </c>
      <c r="AB757" s="408">
        <v>0</v>
      </c>
      <c r="AC757" s="408">
        <v>51.198306474712865</v>
      </c>
      <c r="AD757" s="408">
        <v>49.188863943031343</v>
      </c>
      <c r="AE757" s="408">
        <v>2725.6914092779475</v>
      </c>
      <c r="AF757" s="408">
        <v>578.64657857830821</v>
      </c>
      <c r="AG757" s="408">
        <v>9.8758723032486255</v>
      </c>
      <c r="AH757" s="408">
        <v>0</v>
      </c>
      <c r="AI757" s="408">
        <v>0</v>
      </c>
      <c r="AJ757" s="408">
        <v>0</v>
      </c>
      <c r="AK757" s="408">
        <v>0</v>
      </c>
      <c r="AL757" s="408">
        <v>32.302175852074413</v>
      </c>
      <c r="AM757" s="408"/>
      <c r="AN757" s="408">
        <v>2.7203645714574667</v>
      </c>
      <c r="AO757" s="408">
        <v>108.68330737188015</v>
      </c>
      <c r="AP757" s="408">
        <v>506.76761947441048</v>
      </c>
      <c r="AQ757" s="408">
        <v>0</v>
      </c>
      <c r="AR757" s="408">
        <v>0</v>
      </c>
      <c r="AS757" s="408">
        <v>0</v>
      </c>
      <c r="AT757" s="408">
        <v>0</v>
      </c>
      <c r="AU757" s="408">
        <v>0</v>
      </c>
      <c r="AV757" s="408">
        <v>0</v>
      </c>
      <c r="AW757" s="408">
        <v>0</v>
      </c>
      <c r="AX757" s="408">
        <v>0</v>
      </c>
      <c r="AY757" s="408">
        <v>0</v>
      </c>
      <c r="AZ757" s="408">
        <v>0</v>
      </c>
      <c r="BA757" s="408"/>
      <c r="BB757" s="408">
        <v>0</v>
      </c>
      <c r="BC757" s="408">
        <v>0</v>
      </c>
      <c r="BD757" s="408">
        <v>0</v>
      </c>
      <c r="BE757" s="408">
        <v>0</v>
      </c>
      <c r="BF757" s="408">
        <v>0</v>
      </c>
      <c r="BG757" s="408">
        <v>25.404996412468389</v>
      </c>
      <c r="BH757" s="408">
        <v>0</v>
      </c>
      <c r="BI757" s="408">
        <v>0</v>
      </c>
      <c r="BJ757" s="408">
        <v>0</v>
      </c>
      <c r="BK757" s="408">
        <v>0</v>
      </c>
      <c r="BL757" s="408">
        <v>0</v>
      </c>
      <c r="BM757" s="408"/>
      <c r="BN757" s="408"/>
      <c r="BO757" s="408"/>
      <c r="BP757" s="408"/>
      <c r="BQ757" s="408">
        <v>229.37351939999991</v>
      </c>
      <c r="BR757" s="408"/>
      <c r="BS757" s="408"/>
      <c r="BT757" s="408"/>
      <c r="BU757" s="408"/>
      <c r="BV757" s="408">
        <v>604.05157499077654</v>
      </c>
      <c r="BW757" s="408"/>
      <c r="BX757" s="408"/>
      <c r="BY757" s="408"/>
      <c r="BZ757" s="408"/>
      <c r="CA757" s="408"/>
      <c r="CB757" s="408"/>
      <c r="CC757" s="408"/>
      <c r="CD757" s="408"/>
      <c r="CE757" s="408"/>
      <c r="CF757" s="408"/>
      <c r="CG757" s="408"/>
      <c r="CH757" s="408"/>
      <c r="CI757" s="408">
        <v>3592.6323000000002</v>
      </c>
      <c r="CJ757" s="408">
        <v>-467.31336680000095</v>
      </c>
      <c r="CK757" s="408"/>
      <c r="CL757" s="408"/>
      <c r="CM757" s="408"/>
      <c r="CN757" s="408"/>
      <c r="CO757" s="408">
        <v>-569.50846000000024</v>
      </c>
      <c r="CP757" s="408">
        <v>73.34123000000001</v>
      </c>
      <c r="CQ757" s="408">
        <v>31</v>
      </c>
      <c r="CR757" s="408">
        <v>181.29952934310677</v>
      </c>
      <c r="CS757" s="408">
        <v>10.830059275274195</v>
      </c>
      <c r="CT757" s="408">
        <v>50.498310093914142</v>
      </c>
      <c r="CU757" s="408">
        <v>0</v>
      </c>
      <c r="CV757" s="408">
        <v>0</v>
      </c>
      <c r="CW757" s="408">
        <v>0</v>
      </c>
      <c r="CX757" s="408">
        <v>0</v>
      </c>
      <c r="CY757" s="408">
        <v>0</v>
      </c>
      <c r="CZ757" s="408">
        <v>50.648231768467902</v>
      </c>
      <c r="DA757" s="408">
        <v>0</v>
      </c>
      <c r="DB757" s="408">
        <v>0</v>
      </c>
      <c r="DC757" s="408">
        <v>73.332949351014122</v>
      </c>
      <c r="DD757" s="408">
        <v>0</v>
      </c>
      <c r="DE757" s="408">
        <v>0</v>
      </c>
      <c r="DF757" s="408">
        <v>0</v>
      </c>
      <c r="DG757" s="408">
        <v>3.2196221046628075</v>
      </c>
      <c r="DH757" s="408">
        <v>0</v>
      </c>
      <c r="DI757" s="408">
        <v>-6.1764094701951819</v>
      </c>
      <c r="DJ757" s="408"/>
      <c r="DK757" s="408">
        <v>0</v>
      </c>
      <c r="DL757" s="408">
        <v>0</v>
      </c>
      <c r="DM757" s="408">
        <v>0</v>
      </c>
      <c r="DN757" s="408">
        <v>0</v>
      </c>
      <c r="DO757" s="408">
        <v>-0.97627077652889582</v>
      </c>
      <c r="DP757" s="408">
        <v>-7.6963003502080518E-2</v>
      </c>
      <c r="DQ757" s="408">
        <v>0</v>
      </c>
      <c r="DR757" s="408">
        <v>0</v>
      </c>
      <c r="DS757" s="408"/>
      <c r="DT757" s="408"/>
      <c r="DU757" s="408">
        <v>2725.6914092779475</v>
      </c>
      <c r="DV757" s="408">
        <v>0</v>
      </c>
      <c r="DW757" s="408">
        <v>0</v>
      </c>
      <c r="DX757" s="408">
        <v>0</v>
      </c>
      <c r="DY757" s="408">
        <v>-569.50846000000001</v>
      </c>
      <c r="DZ757" s="408">
        <v>73.34123000000011</v>
      </c>
      <c r="EA757" s="408">
        <v>0</v>
      </c>
      <c r="EB757" s="408">
        <v>0</v>
      </c>
      <c r="EC757" s="408">
        <v>-677.10798078540483</v>
      </c>
      <c r="ED757" s="408">
        <v>0</v>
      </c>
      <c r="EE757" s="408">
        <v>0</v>
      </c>
      <c r="EF757" s="408">
        <v>0</v>
      </c>
      <c r="EG757" s="408">
        <v>0</v>
      </c>
      <c r="EH757" s="408">
        <v>0</v>
      </c>
      <c r="EI757" s="408">
        <v>0</v>
      </c>
      <c r="EJ757" s="408">
        <v>0</v>
      </c>
      <c r="EK757" s="408">
        <v>0</v>
      </c>
      <c r="EL757" s="408">
        <v>0</v>
      </c>
      <c r="EM757" s="408">
        <v>0</v>
      </c>
      <c r="EN757" s="408">
        <v>0</v>
      </c>
      <c r="EO757" s="408">
        <v>0</v>
      </c>
      <c r="EP757" s="408">
        <v>46.45146682473068</v>
      </c>
      <c r="EQ757" s="408">
        <v>0</v>
      </c>
      <c r="ER757" s="408">
        <v>0</v>
      </c>
      <c r="ES757" s="408">
        <v>0</v>
      </c>
      <c r="ET757" s="408">
        <v>0</v>
      </c>
      <c r="EU757" s="408">
        <v>0</v>
      </c>
      <c r="EV757" s="408">
        <v>240</v>
      </c>
      <c r="EW757" s="408">
        <v>0</v>
      </c>
      <c r="EX757" s="408">
        <v>0</v>
      </c>
      <c r="EY757" s="408">
        <v>0</v>
      </c>
      <c r="EZ757" s="408"/>
      <c r="FA757" s="408">
        <v>0</v>
      </c>
      <c r="FB757" s="408"/>
      <c r="FC757" s="408"/>
      <c r="FD757" s="408"/>
      <c r="FE757" s="408"/>
      <c r="FF757" s="408">
        <v>0</v>
      </c>
      <c r="FG757" s="408">
        <v>0</v>
      </c>
      <c r="FH757" s="408">
        <v>0</v>
      </c>
      <c r="FI757" s="408">
        <v>0</v>
      </c>
    </row>
    <row r="758" spans="1:165">
      <c r="A758" s="408">
        <v>756</v>
      </c>
      <c r="B758" s="408" t="s">
        <v>1036</v>
      </c>
      <c r="C758" s="408" t="s">
        <v>2247</v>
      </c>
      <c r="D758" s="408" t="s">
        <v>597</v>
      </c>
      <c r="E758" s="408" t="s">
        <v>1001</v>
      </c>
      <c r="F758" s="408" t="s">
        <v>2251</v>
      </c>
      <c r="G758" s="408" t="s">
        <v>1322</v>
      </c>
      <c r="H758" s="408" t="s">
        <v>1322</v>
      </c>
      <c r="I758" s="408" t="s">
        <v>2244</v>
      </c>
      <c r="J758" s="408" t="s">
        <v>2236</v>
      </c>
      <c r="K758" s="826">
        <v>44682</v>
      </c>
      <c r="L758" s="408">
        <v>65</v>
      </c>
      <c r="M758" s="408">
        <v>61.1</v>
      </c>
      <c r="N758" s="408">
        <v>22.908999999999999</v>
      </c>
      <c r="O758" s="408">
        <v>21.534459999999999</v>
      </c>
      <c r="P758" s="408">
        <v>22.908999999999999</v>
      </c>
      <c r="Q758" s="408">
        <v>21.534459999999999</v>
      </c>
      <c r="R758" s="408">
        <v>27.19</v>
      </c>
      <c r="S758" s="408">
        <v>85.01</v>
      </c>
      <c r="T758" s="408">
        <v>173.25</v>
      </c>
      <c r="U758" s="408">
        <v>1767.3500000000001</v>
      </c>
      <c r="V758" s="408">
        <v>5916.4783399999997</v>
      </c>
      <c r="W758" s="408">
        <v>7683.82834</v>
      </c>
      <c r="X758" s="408">
        <v>7798.4510299999993</v>
      </c>
      <c r="Y758" s="408">
        <v>0</v>
      </c>
      <c r="Z758" s="408">
        <v>1226.6465836655063</v>
      </c>
      <c r="AA758" s="408">
        <v>0</v>
      </c>
      <c r="AB758" s="408">
        <v>0</v>
      </c>
      <c r="AC758" s="408">
        <v>15.158039872791662</v>
      </c>
      <c r="AD758" s="408">
        <v>14.56226455907756</v>
      </c>
      <c r="AE758" s="408">
        <v>1555.5819658053674</v>
      </c>
      <c r="AF758" s="408">
        <v>3902.3298406389354</v>
      </c>
      <c r="AG758" s="408">
        <v>66.601812951169492</v>
      </c>
      <c r="AH758" s="408">
        <v>0</v>
      </c>
      <c r="AI758" s="408">
        <v>0</v>
      </c>
      <c r="AJ758" s="408">
        <v>0</v>
      </c>
      <c r="AK758" s="408">
        <v>0</v>
      </c>
      <c r="AL758" s="408">
        <v>217.84237462324779</v>
      </c>
      <c r="AM758" s="408"/>
      <c r="AN758" s="408">
        <v>18.345843970420699</v>
      </c>
      <c r="AO758" s="408">
        <v>32.167514020880162</v>
      </c>
      <c r="AP758" s="408">
        <v>150.02577479574686</v>
      </c>
      <c r="AQ758" s="408">
        <v>0</v>
      </c>
      <c r="AR758" s="408">
        <v>0</v>
      </c>
      <c r="AS758" s="408">
        <v>0</v>
      </c>
      <c r="AT758" s="408">
        <v>0</v>
      </c>
      <c r="AU758" s="408">
        <v>0</v>
      </c>
      <c r="AV758" s="408">
        <v>0</v>
      </c>
      <c r="AW758" s="408">
        <v>0</v>
      </c>
      <c r="AX758" s="408">
        <v>0</v>
      </c>
      <c r="AY758" s="408">
        <v>0</v>
      </c>
      <c r="AZ758" s="408">
        <v>0</v>
      </c>
      <c r="BA758" s="408"/>
      <c r="BB758" s="408">
        <v>0</v>
      </c>
      <c r="BC758" s="408">
        <v>0</v>
      </c>
      <c r="BD758" s="408">
        <v>0</v>
      </c>
      <c r="BE758" s="408">
        <v>0</v>
      </c>
      <c r="BF758" s="408">
        <v>0</v>
      </c>
      <c r="BG758" s="408">
        <v>171.32854366006427</v>
      </c>
      <c r="BH758" s="408">
        <v>0</v>
      </c>
      <c r="BI758" s="408">
        <v>0</v>
      </c>
      <c r="BJ758" s="408">
        <v>0</v>
      </c>
      <c r="BK758" s="408">
        <v>0</v>
      </c>
      <c r="BL758" s="408">
        <v>0</v>
      </c>
      <c r="BM758" s="408"/>
      <c r="BN758" s="408"/>
      <c r="BO758" s="408"/>
      <c r="BP758" s="408"/>
      <c r="BQ758" s="408">
        <v>467.90706179999989</v>
      </c>
      <c r="BR758" s="408"/>
      <c r="BS758" s="408"/>
      <c r="BT758" s="408"/>
      <c r="BU758" s="408"/>
      <c r="BV758" s="408">
        <v>4073.6583842989994</v>
      </c>
      <c r="BW758" s="408"/>
      <c r="BX758" s="408"/>
      <c r="BY758" s="408"/>
      <c r="BZ758" s="408"/>
      <c r="CA758" s="408"/>
      <c r="CB758" s="408"/>
      <c r="CC758" s="408"/>
      <c r="CD758" s="408"/>
      <c r="CE758" s="408"/>
      <c r="CF758" s="408"/>
      <c r="CG758" s="408"/>
      <c r="CH758" s="408"/>
      <c r="CI758" s="408">
        <v>7329.3011000000006</v>
      </c>
      <c r="CJ758" s="408">
        <v>106.47246040000027</v>
      </c>
      <c r="CK758" s="408"/>
      <c r="CL758" s="408"/>
      <c r="CM758" s="408"/>
      <c r="CN758" s="408"/>
      <c r="CO758" s="408">
        <v>-379.98262000000017</v>
      </c>
      <c r="CP758" s="408">
        <v>494.60531000000003</v>
      </c>
      <c r="CQ758" s="408">
        <v>31</v>
      </c>
      <c r="CR758" s="408">
        <v>500.65579728473949</v>
      </c>
      <c r="CS758" s="408">
        <v>3.2054240159650789</v>
      </c>
      <c r="CT758" s="408">
        <v>14.94974778691028</v>
      </c>
      <c r="CU758" s="408">
        <v>0</v>
      </c>
      <c r="CV758" s="408">
        <v>0</v>
      </c>
      <c r="CW758" s="408">
        <v>0</v>
      </c>
      <c r="CX758" s="408">
        <v>0</v>
      </c>
      <c r="CY758" s="408">
        <v>0</v>
      </c>
      <c r="CZ758" s="408">
        <v>14.994307478133946</v>
      </c>
      <c r="DA758" s="408">
        <v>0</v>
      </c>
      <c r="DB758" s="408">
        <v>0</v>
      </c>
      <c r="DC758" s="408">
        <v>494.54946620028886</v>
      </c>
      <c r="DD758" s="408">
        <v>0</v>
      </c>
      <c r="DE758" s="408">
        <v>0</v>
      </c>
      <c r="DF758" s="408">
        <v>0</v>
      </c>
      <c r="DG758" s="408">
        <v>21.712782689349496</v>
      </c>
      <c r="DH758" s="408">
        <v>0</v>
      </c>
      <c r="DI758" s="408">
        <v>-41.653036371121971</v>
      </c>
      <c r="DJ758" s="408"/>
      <c r="DK758" s="408">
        <v>0</v>
      </c>
      <c r="DL758" s="408">
        <v>0</v>
      </c>
      <c r="DM758" s="408">
        <v>0</v>
      </c>
      <c r="DN758" s="408">
        <v>0</v>
      </c>
      <c r="DO758" s="408">
        <v>-6.5838643566383723</v>
      </c>
      <c r="DP758" s="408">
        <v>-0.51903015814812292</v>
      </c>
      <c r="DQ758" s="408">
        <v>0</v>
      </c>
      <c r="DR758" s="408">
        <v>0</v>
      </c>
      <c r="DS758" s="408"/>
      <c r="DT758" s="408"/>
      <c r="DU758" s="408">
        <v>1555.5819658053674</v>
      </c>
      <c r="DV758" s="408">
        <v>0</v>
      </c>
      <c r="DW758" s="408">
        <v>0</v>
      </c>
      <c r="DX758" s="408">
        <v>0</v>
      </c>
      <c r="DY758" s="408">
        <v>-379.98262000000022</v>
      </c>
      <c r="DZ758" s="408">
        <v>494.60530999999946</v>
      </c>
      <c r="EA758" s="408">
        <v>0</v>
      </c>
      <c r="EB758" s="408">
        <v>0</v>
      </c>
      <c r="EC758" s="408">
        <v>-386.43294696800945</v>
      </c>
      <c r="ED758" s="408">
        <v>0</v>
      </c>
      <c r="EE758" s="408">
        <v>0</v>
      </c>
      <c r="EF758" s="408">
        <v>0</v>
      </c>
      <c r="EG758" s="408">
        <v>0</v>
      </c>
      <c r="EH758" s="408">
        <v>0</v>
      </c>
      <c r="EI758" s="408">
        <v>0</v>
      </c>
      <c r="EJ758" s="408">
        <v>0</v>
      </c>
      <c r="EK758" s="408">
        <v>0</v>
      </c>
      <c r="EL758" s="408">
        <v>0</v>
      </c>
      <c r="EM758" s="408">
        <v>0</v>
      </c>
      <c r="EN758" s="408">
        <v>0</v>
      </c>
      <c r="EO758" s="408">
        <v>0</v>
      </c>
      <c r="EP758" s="408">
        <v>313.26366013769655</v>
      </c>
      <c r="EQ758" s="408">
        <v>0</v>
      </c>
      <c r="ER758" s="408">
        <v>0</v>
      </c>
      <c r="ES758" s="408">
        <v>0</v>
      </c>
      <c r="ET758" s="408">
        <v>0</v>
      </c>
      <c r="EU758" s="408">
        <v>0</v>
      </c>
      <c r="EV758" s="408">
        <v>240</v>
      </c>
      <c r="EW758" s="408">
        <v>0</v>
      </c>
      <c r="EX758" s="408">
        <v>0</v>
      </c>
      <c r="EY758" s="408">
        <v>0</v>
      </c>
      <c r="EZ758" s="408"/>
      <c r="FA758" s="408">
        <v>0</v>
      </c>
      <c r="FB758" s="408"/>
      <c r="FC758" s="408"/>
      <c r="FD758" s="408"/>
      <c r="FE758" s="408"/>
      <c r="FF758" s="408">
        <v>0</v>
      </c>
      <c r="FG758" s="408">
        <v>0</v>
      </c>
      <c r="FH758" s="408">
        <v>0</v>
      </c>
      <c r="FI758" s="408">
        <v>0</v>
      </c>
    </row>
    <row r="759" spans="1:165">
      <c r="A759" s="408">
        <v>757</v>
      </c>
      <c r="B759" s="408" t="s">
        <v>1036</v>
      </c>
      <c r="C759" s="408" t="s">
        <v>2247</v>
      </c>
      <c r="D759" s="408" t="s">
        <v>597</v>
      </c>
      <c r="E759" s="408" t="s">
        <v>1001</v>
      </c>
      <c r="F759" s="408" t="s">
        <v>2251</v>
      </c>
      <c r="G759" s="408" t="s">
        <v>1322</v>
      </c>
      <c r="H759" s="408" t="s">
        <v>1322</v>
      </c>
      <c r="I759" s="408" t="s">
        <v>1322</v>
      </c>
      <c r="J759" s="408" t="s">
        <v>2236</v>
      </c>
      <c r="K759" s="826">
        <v>44682</v>
      </c>
      <c r="L759" s="408">
        <v>0</v>
      </c>
      <c r="M759" s="408">
        <v>0</v>
      </c>
      <c r="N759" s="408">
        <v>0</v>
      </c>
      <c r="O759" s="408">
        <v>0</v>
      </c>
      <c r="P759" s="408">
        <v>0</v>
      </c>
      <c r="Q759" s="408">
        <v>0</v>
      </c>
      <c r="R759" s="408"/>
      <c r="S759" s="408"/>
      <c r="T759" s="408"/>
      <c r="U759" s="408"/>
      <c r="V759" s="408"/>
      <c r="W759" s="408"/>
      <c r="X759" s="408"/>
      <c r="Y759" s="408"/>
      <c r="Z759" s="408"/>
      <c r="AA759" s="408">
        <v>0</v>
      </c>
      <c r="AB759" s="408"/>
      <c r="AC759" s="408"/>
      <c r="AD759" s="408"/>
      <c r="AE759" s="408"/>
      <c r="AF759" s="408"/>
      <c r="AG759" s="408"/>
      <c r="AH759" s="408"/>
      <c r="AI759" s="408"/>
      <c r="AJ759" s="408"/>
      <c r="AK759" s="408"/>
      <c r="AL759" s="408"/>
      <c r="AM759" s="408"/>
      <c r="AN759" s="408"/>
      <c r="AO759" s="408"/>
      <c r="AP759" s="408"/>
      <c r="AQ759" s="408"/>
      <c r="AR759" s="408"/>
      <c r="AS759" s="408"/>
      <c r="AT759" s="408"/>
      <c r="AU759" s="408"/>
      <c r="AV759" s="408"/>
      <c r="AW759" s="408"/>
      <c r="AX759" s="408"/>
      <c r="AY759" s="408"/>
      <c r="AZ759" s="408">
        <v>0</v>
      </c>
      <c r="BA759" s="408"/>
      <c r="BB759" s="408"/>
      <c r="BC759" s="408"/>
      <c r="BD759" s="408"/>
      <c r="BE759" s="408"/>
      <c r="BF759" s="408"/>
      <c r="BG759" s="408"/>
      <c r="BH759" s="408"/>
      <c r="BI759" s="408">
        <v>7.71</v>
      </c>
      <c r="BJ759" s="408">
        <v>99.29</v>
      </c>
      <c r="BK759" s="408">
        <v>3845.06</v>
      </c>
      <c r="BL759" s="408">
        <v>1</v>
      </c>
      <c r="BM759" s="408"/>
      <c r="BN759" s="408"/>
      <c r="BO759" s="408"/>
      <c r="BP759" s="408"/>
      <c r="BQ759" s="408"/>
      <c r="BR759" s="408"/>
      <c r="BS759" s="408"/>
      <c r="BT759" s="408"/>
      <c r="BU759" s="408"/>
      <c r="BV759" s="408"/>
      <c r="BW759" s="408"/>
      <c r="BX759" s="408"/>
      <c r="BY759" s="408"/>
      <c r="BZ759" s="408"/>
      <c r="CA759" s="408"/>
      <c r="CB759" s="408"/>
      <c r="CC759" s="408"/>
      <c r="CD759" s="408"/>
      <c r="CE759" s="408"/>
      <c r="CF759" s="408"/>
      <c r="CG759" s="408"/>
      <c r="CH759" s="408"/>
      <c r="CI759" s="408"/>
      <c r="CJ759" s="408">
        <v>-0.03</v>
      </c>
      <c r="CK759" s="408"/>
      <c r="CL759" s="408"/>
      <c r="CM759" s="408"/>
      <c r="CN759" s="408"/>
      <c r="CO759" s="408">
        <v>0</v>
      </c>
      <c r="CP759" s="408">
        <v>0</v>
      </c>
      <c r="CQ759" s="408">
        <v>31</v>
      </c>
      <c r="CR759" s="408"/>
      <c r="CS759" s="408"/>
      <c r="CT759" s="408"/>
      <c r="CU759" s="408"/>
      <c r="CV759" s="408"/>
      <c r="CW759" s="408"/>
      <c r="CX759" s="408"/>
      <c r="CY759" s="408"/>
      <c r="CZ759" s="408"/>
      <c r="DA759" s="408"/>
      <c r="DB759" s="408"/>
      <c r="DC759" s="408"/>
      <c r="DD759" s="408"/>
      <c r="DE759" s="408"/>
      <c r="DF759" s="408"/>
      <c r="DG759" s="408"/>
      <c r="DH759" s="408"/>
      <c r="DI759" s="408"/>
      <c r="DJ759" s="408"/>
      <c r="DK759" s="408">
        <v>0</v>
      </c>
      <c r="DL759" s="408"/>
      <c r="DM759" s="408"/>
      <c r="DN759" s="408"/>
      <c r="DO759" s="408"/>
      <c r="DP759" s="408"/>
      <c r="DQ759" s="408"/>
      <c r="DR759" s="408"/>
      <c r="DS759" s="408"/>
      <c r="DT759" s="408"/>
      <c r="DU759" s="408"/>
      <c r="DV759" s="408"/>
      <c r="DW759" s="408"/>
      <c r="DX759" s="408"/>
      <c r="DY759" s="408"/>
      <c r="DZ759" s="408"/>
      <c r="EA759" s="408"/>
      <c r="EB759" s="408"/>
      <c r="EC759" s="408"/>
      <c r="ED759" s="408"/>
      <c r="EE759" s="408"/>
      <c r="EF759" s="408"/>
      <c r="EG759" s="408"/>
      <c r="EH759" s="408"/>
      <c r="EI759" s="408"/>
      <c r="EJ759" s="408"/>
      <c r="EK759" s="408"/>
      <c r="EL759" s="408"/>
      <c r="EM759" s="408"/>
      <c r="EN759" s="408"/>
      <c r="EO759" s="408"/>
      <c r="EP759" s="408"/>
      <c r="EQ759" s="408"/>
      <c r="ER759" s="408"/>
      <c r="ES759" s="408"/>
      <c r="ET759" s="408"/>
      <c r="EU759" s="408"/>
      <c r="EV759" s="408">
        <v>240</v>
      </c>
      <c r="EW759" s="408"/>
      <c r="EX759" s="408"/>
      <c r="EY759" s="408"/>
      <c r="EZ759" s="408"/>
      <c r="FA759" s="408">
        <v>0</v>
      </c>
      <c r="FB759" s="408"/>
      <c r="FC759" s="408"/>
      <c r="FD759" s="408"/>
      <c r="FE759" s="408"/>
      <c r="FF759" s="408">
        <v>0</v>
      </c>
      <c r="FG759" s="408">
        <v>0</v>
      </c>
      <c r="FH759" s="408">
        <v>0</v>
      </c>
      <c r="FI759" s="408">
        <v>0</v>
      </c>
    </row>
    <row r="760" spans="1:165">
      <c r="A760" s="408">
        <v>758</v>
      </c>
      <c r="B760" s="408" t="s">
        <v>1036</v>
      </c>
      <c r="C760" s="408" t="s">
        <v>2235</v>
      </c>
      <c r="D760" s="408" t="s">
        <v>1958</v>
      </c>
      <c r="E760" s="408" t="s">
        <v>2252</v>
      </c>
      <c r="F760" s="408" t="s">
        <v>1322</v>
      </c>
      <c r="G760" s="408" t="s">
        <v>1322</v>
      </c>
      <c r="H760" s="408" t="s">
        <v>1322</v>
      </c>
      <c r="I760" s="408" t="s">
        <v>1322</v>
      </c>
      <c r="J760" s="408" t="s">
        <v>2236</v>
      </c>
      <c r="K760" s="826">
        <v>44682</v>
      </c>
      <c r="L760" s="408">
        <v>0</v>
      </c>
      <c r="M760" s="408">
        <v>0</v>
      </c>
      <c r="N760" s="408">
        <v>8.3019999999999996</v>
      </c>
      <c r="O760" s="408">
        <v>8.3019999999999996</v>
      </c>
      <c r="P760" s="408">
        <v>8.3019999999999996</v>
      </c>
      <c r="Q760" s="408">
        <v>8.3019999999999996</v>
      </c>
      <c r="R760" s="408"/>
      <c r="S760" s="408">
        <v>368.24</v>
      </c>
      <c r="T760" s="408">
        <v>173.25</v>
      </c>
      <c r="U760" s="408"/>
      <c r="V760" s="408">
        <v>4495.4499799999994</v>
      </c>
      <c r="W760" s="408">
        <v>4495.4499799999994</v>
      </c>
      <c r="X760" s="408">
        <v>4224.8047800000004</v>
      </c>
      <c r="Y760" s="408">
        <v>0</v>
      </c>
      <c r="Z760" s="408">
        <v>510.94811092117305</v>
      </c>
      <c r="AA760" s="408">
        <v>0</v>
      </c>
      <c r="AB760" s="408">
        <v>0</v>
      </c>
      <c r="AC760" s="408">
        <v>21.249279203240565</v>
      </c>
      <c r="AD760" s="408">
        <v>20.415792417547745</v>
      </c>
      <c r="AE760" s="408">
        <v>1955.4290522994468</v>
      </c>
      <c r="AF760" s="408">
        <v>1414.1665867992685</v>
      </c>
      <c r="AG760" s="408">
        <v>24.135852770553459</v>
      </c>
      <c r="AH760" s="408">
        <v>0</v>
      </c>
      <c r="AI760" s="408">
        <v>0</v>
      </c>
      <c r="AJ760" s="408">
        <v>0</v>
      </c>
      <c r="AK760" s="408">
        <v>0</v>
      </c>
      <c r="AL760" s="408">
        <v>78.943969362355546</v>
      </c>
      <c r="AM760" s="408"/>
      <c r="AN760" s="408">
        <v>10.027626442639301</v>
      </c>
      <c r="AO760" s="408">
        <v>45.108049837384378</v>
      </c>
      <c r="AP760" s="408">
        <v>210.33218173808558</v>
      </c>
      <c r="AQ760" s="408">
        <v>0</v>
      </c>
      <c r="AR760" s="408">
        <v>0</v>
      </c>
      <c r="AS760" s="408">
        <v>0</v>
      </c>
      <c r="AT760" s="408">
        <v>0</v>
      </c>
      <c r="AU760" s="408">
        <v>0</v>
      </c>
      <c r="AV760" s="408">
        <v>0</v>
      </c>
      <c r="AW760" s="408">
        <v>0</v>
      </c>
      <c r="AX760" s="408">
        <v>0</v>
      </c>
      <c r="AY760" s="408">
        <v>0</v>
      </c>
      <c r="AZ760" s="408">
        <v>0</v>
      </c>
      <c r="BA760" s="408"/>
      <c r="BB760" s="408">
        <v>0</v>
      </c>
      <c r="BC760" s="408">
        <v>0</v>
      </c>
      <c r="BD760" s="408">
        <v>0</v>
      </c>
      <c r="BE760" s="408">
        <v>0</v>
      </c>
      <c r="BF760" s="408">
        <v>0</v>
      </c>
      <c r="BG760" s="408">
        <v>74.2181517314487</v>
      </c>
      <c r="BH760" s="408">
        <v>0</v>
      </c>
      <c r="BI760" s="408">
        <v>3.08</v>
      </c>
      <c r="BJ760" s="408">
        <v>39.950000000000003</v>
      </c>
      <c r="BK760" s="408">
        <v>1479.33</v>
      </c>
      <c r="BL760" s="408">
        <v>5</v>
      </c>
      <c r="BM760" s="408"/>
      <c r="BN760" s="408"/>
      <c r="BO760" s="408"/>
      <c r="BP760" s="408"/>
      <c r="BQ760" s="408"/>
      <c r="BR760" s="408"/>
      <c r="BS760" s="408"/>
      <c r="BT760" s="408"/>
      <c r="BU760" s="408"/>
      <c r="BV760" s="408">
        <v>1488.3847385307172</v>
      </c>
      <c r="BW760" s="408"/>
      <c r="BX760" s="408"/>
      <c r="BY760" s="408"/>
      <c r="BZ760" s="408"/>
      <c r="CA760" s="408"/>
      <c r="CB760" s="408"/>
      <c r="CC760" s="408"/>
      <c r="CD760" s="408"/>
      <c r="CE760" s="408"/>
      <c r="CF760" s="408"/>
      <c r="CG760" s="408"/>
      <c r="CH760" s="408"/>
      <c r="CI760" s="408">
        <v>4223.7870000000003</v>
      </c>
      <c r="CJ760" s="408">
        <v>-271.69297999999981</v>
      </c>
      <c r="CK760" s="408"/>
      <c r="CL760" s="408"/>
      <c r="CM760" s="408"/>
      <c r="CN760" s="408"/>
      <c r="CO760" s="408">
        <v>-449.88537999999994</v>
      </c>
      <c r="CP760" s="408">
        <v>179.24018000000001</v>
      </c>
      <c r="CQ760" s="408">
        <v>31</v>
      </c>
      <c r="CR760" s="408">
        <v>215.08151528063127</v>
      </c>
      <c r="CS760" s="408">
        <v>4.4949207504268927</v>
      </c>
      <c r="CT760" s="408">
        <v>20.959152337229796</v>
      </c>
      <c r="CU760" s="408">
        <v>0</v>
      </c>
      <c r="CV760" s="408">
        <v>0</v>
      </c>
      <c r="CW760" s="408">
        <v>0</v>
      </c>
      <c r="CX760" s="408">
        <v>0</v>
      </c>
      <c r="CY760" s="408">
        <v>0</v>
      </c>
      <c r="CZ760" s="408">
        <v>21.021501681731348</v>
      </c>
      <c r="DA760" s="408">
        <v>0</v>
      </c>
      <c r="DB760" s="408">
        <v>0</v>
      </c>
      <c r="DC760" s="408">
        <v>179.21994274716485</v>
      </c>
      <c r="DD760" s="408">
        <v>0</v>
      </c>
      <c r="DE760" s="408">
        <v>0</v>
      </c>
      <c r="DF760" s="408">
        <v>0</v>
      </c>
      <c r="DG760" s="408">
        <v>9.4058034097782439</v>
      </c>
      <c r="DH760" s="408">
        <v>0</v>
      </c>
      <c r="DI760" s="408">
        <v>-17.350180998636972</v>
      </c>
      <c r="DJ760" s="408"/>
      <c r="DK760" s="408">
        <v>0</v>
      </c>
      <c r="DL760" s="408">
        <v>0</v>
      </c>
      <c r="DM760" s="408">
        <v>0</v>
      </c>
      <c r="DN760" s="408">
        <v>0</v>
      </c>
      <c r="DO760" s="408">
        <v>-2.3859287567685925</v>
      </c>
      <c r="DP760" s="408">
        <v>-0.28369589029344944</v>
      </c>
      <c r="DQ760" s="408">
        <v>0</v>
      </c>
      <c r="DR760" s="408">
        <v>0</v>
      </c>
      <c r="DS760" s="408"/>
      <c r="DT760" s="408"/>
      <c r="DU760" s="408"/>
      <c r="DV760" s="408">
        <v>1955.4290522994468</v>
      </c>
      <c r="DW760" s="408">
        <v>0</v>
      </c>
      <c r="DX760" s="408">
        <v>0</v>
      </c>
      <c r="DY760" s="408">
        <v>-449.88537999999971</v>
      </c>
      <c r="DZ760" s="408">
        <v>179.24018000000001</v>
      </c>
      <c r="EA760" s="408">
        <v>0</v>
      </c>
      <c r="EB760" s="408">
        <v>0</v>
      </c>
      <c r="EC760" s="408">
        <v>-485.76174568578949</v>
      </c>
      <c r="ED760" s="408">
        <v>0</v>
      </c>
      <c r="EE760" s="408">
        <v>0</v>
      </c>
      <c r="EF760" s="408">
        <v>0</v>
      </c>
      <c r="EG760" s="408">
        <v>0</v>
      </c>
      <c r="EH760" s="408">
        <v>0</v>
      </c>
      <c r="EI760" s="408">
        <v>0</v>
      </c>
      <c r="EJ760" s="408">
        <v>0</v>
      </c>
      <c r="EK760" s="408">
        <v>0</v>
      </c>
      <c r="EL760" s="408">
        <v>0</v>
      </c>
      <c r="EM760" s="408">
        <v>0</v>
      </c>
      <c r="EN760" s="408">
        <v>0</v>
      </c>
      <c r="EO760" s="408">
        <v>0</v>
      </c>
      <c r="EP760" s="408">
        <v>130.48703473278087</v>
      </c>
      <c r="EQ760" s="408">
        <v>0</v>
      </c>
      <c r="ER760" s="408">
        <v>0</v>
      </c>
      <c r="ES760" s="408">
        <v>0</v>
      </c>
      <c r="ET760" s="408">
        <v>0</v>
      </c>
      <c r="EU760" s="408">
        <v>0</v>
      </c>
      <c r="EV760" s="408">
        <v>240</v>
      </c>
      <c r="EW760" s="408">
        <v>0</v>
      </c>
      <c r="EX760" s="408">
        <v>0</v>
      </c>
      <c r="EY760" s="408">
        <v>0</v>
      </c>
      <c r="EZ760" s="408"/>
      <c r="FA760" s="408">
        <v>0</v>
      </c>
      <c r="FB760" s="408"/>
      <c r="FC760" s="408"/>
      <c r="FD760" s="408"/>
      <c r="FE760" s="408"/>
      <c r="FF760" s="408">
        <v>0</v>
      </c>
      <c r="FG760" s="408">
        <v>0</v>
      </c>
      <c r="FH760" s="408">
        <v>0</v>
      </c>
      <c r="FI760" s="408">
        <v>0</v>
      </c>
    </row>
    <row r="761" spans="1:165">
      <c r="A761" s="408">
        <v>759</v>
      </c>
      <c r="B761" s="408" t="s">
        <v>2238</v>
      </c>
      <c r="C761" s="408" t="s">
        <v>2235</v>
      </c>
      <c r="D761" s="408" t="s">
        <v>1958</v>
      </c>
      <c r="E761" s="408" t="s">
        <v>2252</v>
      </c>
      <c r="F761" s="408" t="s">
        <v>1322</v>
      </c>
      <c r="G761" s="408" t="s">
        <v>1322</v>
      </c>
      <c r="H761" s="408" t="s">
        <v>1322</v>
      </c>
      <c r="I761" s="408" t="s">
        <v>1322</v>
      </c>
      <c r="J761" s="408" t="s">
        <v>2236</v>
      </c>
      <c r="K761" s="826">
        <v>44682</v>
      </c>
      <c r="L761" s="408">
        <v>0</v>
      </c>
      <c r="M761" s="408">
        <v>0</v>
      </c>
      <c r="N761" s="408">
        <v>2.4769999999999999</v>
      </c>
      <c r="O761" s="408">
        <v>2.4769999999999999</v>
      </c>
      <c r="P761" s="408">
        <v>2.4769999999999999</v>
      </c>
      <c r="Q761" s="408">
        <v>2.4769999999999999</v>
      </c>
      <c r="R761" s="408"/>
      <c r="S761" s="408">
        <v>368.24</v>
      </c>
      <c r="T761" s="408">
        <v>173.25</v>
      </c>
      <c r="U761" s="408"/>
      <c r="V761" s="408">
        <v>1341.27073</v>
      </c>
      <c r="W761" s="408">
        <v>1341.27073</v>
      </c>
      <c r="X761" s="408">
        <v>1260.52053</v>
      </c>
      <c r="Y761" s="408">
        <v>0</v>
      </c>
      <c r="Z761" s="408">
        <v>152.44741878484047</v>
      </c>
      <c r="AA761" s="408">
        <v>0</v>
      </c>
      <c r="AB761" s="408">
        <v>0</v>
      </c>
      <c r="AC761" s="408">
        <v>6.339974052809791</v>
      </c>
      <c r="AD761" s="408">
        <v>6.0912934013810842</v>
      </c>
      <c r="AE761" s="408">
        <v>583.42541105103953</v>
      </c>
      <c r="AF761" s="408">
        <v>421.93334563982029</v>
      </c>
      <c r="AG761" s="408">
        <v>7.201217455150676</v>
      </c>
      <c r="AH761" s="408">
        <v>0</v>
      </c>
      <c r="AI761" s="408">
        <v>0</v>
      </c>
      <c r="AJ761" s="408">
        <v>0</v>
      </c>
      <c r="AK761" s="408">
        <v>0</v>
      </c>
      <c r="AL761" s="408">
        <v>23.55386799693504</v>
      </c>
      <c r="AM761" s="408"/>
      <c r="AN761" s="408">
        <v>2.9918610814764572</v>
      </c>
      <c r="AO761" s="408">
        <v>13.458520771765974</v>
      </c>
      <c r="AP761" s="408">
        <v>62.755096864037341</v>
      </c>
      <c r="AQ761" s="408">
        <v>0</v>
      </c>
      <c r="AR761" s="408">
        <v>0</v>
      </c>
      <c r="AS761" s="408">
        <v>0</v>
      </c>
      <c r="AT761" s="408">
        <v>0</v>
      </c>
      <c r="AU761" s="408">
        <v>0</v>
      </c>
      <c r="AV761" s="408">
        <v>0</v>
      </c>
      <c r="AW761" s="408">
        <v>0</v>
      </c>
      <c r="AX761" s="408">
        <v>0</v>
      </c>
      <c r="AY761" s="408">
        <v>0</v>
      </c>
      <c r="AZ761" s="408">
        <v>0</v>
      </c>
      <c r="BA761" s="408"/>
      <c r="BB761" s="408">
        <v>0</v>
      </c>
      <c r="BC761" s="408">
        <v>0</v>
      </c>
      <c r="BD761" s="408">
        <v>0</v>
      </c>
      <c r="BE761" s="408">
        <v>0</v>
      </c>
      <c r="BF761" s="408">
        <v>0</v>
      </c>
      <c r="BG761" s="408">
        <v>22.143864350614123</v>
      </c>
      <c r="BH761" s="408">
        <v>0</v>
      </c>
      <c r="BI761" s="408">
        <v>0.89</v>
      </c>
      <c r="BJ761" s="408">
        <v>11.45</v>
      </c>
      <c r="BK761" s="408">
        <v>482.8</v>
      </c>
      <c r="BL761" s="408">
        <v>1</v>
      </c>
      <c r="BM761" s="408"/>
      <c r="BN761" s="408"/>
      <c r="BO761" s="408"/>
      <c r="BP761" s="408"/>
      <c r="BQ761" s="408"/>
      <c r="BR761" s="408"/>
      <c r="BS761" s="408"/>
      <c r="BT761" s="408"/>
      <c r="BU761" s="408"/>
      <c r="BV761" s="408">
        <v>444.07720999043443</v>
      </c>
      <c r="BW761" s="408"/>
      <c r="BX761" s="408"/>
      <c r="BY761" s="408"/>
      <c r="BZ761" s="408"/>
      <c r="CA761" s="408"/>
      <c r="CB761" s="408"/>
      <c r="CC761" s="408"/>
      <c r="CD761" s="408"/>
      <c r="CE761" s="408"/>
      <c r="CF761" s="408"/>
      <c r="CG761" s="408"/>
      <c r="CH761" s="408"/>
      <c r="CI761" s="408">
        <v>1262.0472</v>
      </c>
      <c r="CJ761" s="408">
        <v>-79.253529999999955</v>
      </c>
      <c r="CK761" s="408"/>
      <c r="CL761" s="408"/>
      <c r="CM761" s="408"/>
      <c r="CN761" s="408"/>
      <c r="CO761" s="408">
        <v>-134.22862999999998</v>
      </c>
      <c r="CP761" s="408">
        <v>53.478430000000003</v>
      </c>
      <c r="CQ761" s="408">
        <v>31</v>
      </c>
      <c r="CR761" s="408">
        <v>64.172116761036477</v>
      </c>
      <c r="CS761" s="408">
        <v>1.3411128280905089</v>
      </c>
      <c r="CT761" s="408">
        <v>6.2534112670824129</v>
      </c>
      <c r="CU761" s="408">
        <v>0</v>
      </c>
      <c r="CV761" s="408">
        <v>0</v>
      </c>
      <c r="CW761" s="408">
        <v>0</v>
      </c>
      <c r="CX761" s="408">
        <v>0</v>
      </c>
      <c r="CY761" s="408">
        <v>0</v>
      </c>
      <c r="CZ761" s="408">
        <v>6.2720139322631363</v>
      </c>
      <c r="DA761" s="408">
        <v>0</v>
      </c>
      <c r="DB761" s="408">
        <v>0</v>
      </c>
      <c r="DC761" s="408">
        <v>53.472391975997027</v>
      </c>
      <c r="DD761" s="408">
        <v>0</v>
      </c>
      <c r="DE761" s="408">
        <v>0</v>
      </c>
      <c r="DF761" s="408">
        <v>0</v>
      </c>
      <c r="DG761" s="408">
        <v>2.8063328169140789</v>
      </c>
      <c r="DH761" s="408">
        <v>0</v>
      </c>
      <c r="DI761" s="408">
        <v>-5.1766319361146316</v>
      </c>
      <c r="DJ761" s="408"/>
      <c r="DK761" s="408">
        <v>0</v>
      </c>
      <c r="DL761" s="408">
        <v>0</v>
      </c>
      <c r="DM761" s="408">
        <v>0</v>
      </c>
      <c r="DN761" s="408">
        <v>0</v>
      </c>
      <c r="DO761" s="408">
        <v>-0.7118700952199255</v>
      </c>
      <c r="DP761" s="408">
        <v>-8.464402797601478E-2</v>
      </c>
      <c r="DQ761" s="408">
        <v>0</v>
      </c>
      <c r="DR761" s="408">
        <v>0</v>
      </c>
      <c r="DS761" s="408"/>
      <c r="DT761" s="408"/>
      <c r="DU761" s="408"/>
      <c r="DV761" s="408">
        <v>583.42541105103953</v>
      </c>
      <c r="DW761" s="408">
        <v>0</v>
      </c>
      <c r="DX761" s="408">
        <v>0</v>
      </c>
      <c r="DY761" s="408">
        <v>-134.22862999999995</v>
      </c>
      <c r="DZ761" s="408">
        <v>53.478430000000003</v>
      </c>
      <c r="EA761" s="408">
        <v>0</v>
      </c>
      <c r="EB761" s="408">
        <v>0</v>
      </c>
      <c r="EC761" s="408">
        <v>-144.93276849719359</v>
      </c>
      <c r="ED761" s="408">
        <v>0</v>
      </c>
      <c r="EE761" s="408">
        <v>0</v>
      </c>
      <c r="EF761" s="408">
        <v>0</v>
      </c>
      <c r="EG761" s="408">
        <v>0</v>
      </c>
      <c r="EH761" s="408">
        <v>0</v>
      </c>
      <c r="EI761" s="408">
        <v>0</v>
      </c>
      <c r="EJ761" s="408">
        <v>0</v>
      </c>
      <c r="EK761" s="408">
        <v>0</v>
      </c>
      <c r="EL761" s="408">
        <v>0</v>
      </c>
      <c r="EM761" s="408">
        <v>0</v>
      </c>
      <c r="EN761" s="408">
        <v>0</v>
      </c>
      <c r="EO761" s="408">
        <v>0</v>
      </c>
      <c r="EP761" s="408">
        <v>38.932351846916191</v>
      </c>
      <c r="EQ761" s="408">
        <v>0</v>
      </c>
      <c r="ER761" s="408">
        <v>0</v>
      </c>
      <c r="ES761" s="408">
        <v>0</v>
      </c>
      <c r="ET761" s="408">
        <v>0</v>
      </c>
      <c r="EU761" s="408">
        <v>0</v>
      </c>
      <c r="EV761" s="408">
        <v>240</v>
      </c>
      <c r="EW761" s="408">
        <v>0</v>
      </c>
      <c r="EX761" s="408">
        <v>0</v>
      </c>
      <c r="EY761" s="408">
        <v>0</v>
      </c>
      <c r="EZ761" s="408"/>
      <c r="FA761" s="408">
        <v>0</v>
      </c>
      <c r="FB761" s="408"/>
      <c r="FC761" s="408"/>
      <c r="FD761" s="408"/>
      <c r="FE761" s="408"/>
      <c r="FF761" s="408">
        <v>0</v>
      </c>
      <c r="FG761" s="408">
        <v>0</v>
      </c>
      <c r="FH761" s="408">
        <v>0</v>
      </c>
      <c r="FI761" s="408">
        <v>0</v>
      </c>
    </row>
    <row r="762" spans="1:165">
      <c r="A762" s="408">
        <v>760</v>
      </c>
      <c r="B762" s="408" t="s">
        <v>1036</v>
      </c>
      <c r="C762" s="408" t="s">
        <v>2235</v>
      </c>
      <c r="D762" s="408" t="s">
        <v>2245</v>
      </c>
      <c r="E762" s="408" t="s">
        <v>974</v>
      </c>
      <c r="F762" s="408" t="s">
        <v>2253</v>
      </c>
      <c r="G762" s="408" t="s">
        <v>2254</v>
      </c>
      <c r="H762" s="408" t="s">
        <v>1322</v>
      </c>
      <c r="I762" s="408" t="s">
        <v>1322</v>
      </c>
      <c r="J762" s="408" t="s">
        <v>2236</v>
      </c>
      <c r="K762" s="826">
        <v>44682</v>
      </c>
      <c r="L762" s="408">
        <v>0</v>
      </c>
      <c r="M762" s="408">
        <v>0</v>
      </c>
      <c r="N762" s="408">
        <v>0</v>
      </c>
      <c r="O762" s="408">
        <v>0</v>
      </c>
      <c r="P762" s="408">
        <v>0</v>
      </c>
      <c r="Q762" s="408">
        <v>0</v>
      </c>
      <c r="R762" s="408"/>
      <c r="S762" s="408"/>
      <c r="T762" s="408"/>
      <c r="U762" s="408"/>
      <c r="V762" s="408"/>
      <c r="W762" s="408"/>
      <c r="X762" s="408"/>
      <c r="Y762" s="408"/>
      <c r="Z762" s="408"/>
      <c r="AA762" s="408">
        <v>0</v>
      </c>
      <c r="AB762" s="408"/>
      <c r="AC762" s="408"/>
      <c r="AD762" s="408"/>
      <c r="AE762" s="408"/>
      <c r="AF762" s="408"/>
      <c r="AG762" s="408"/>
      <c r="AH762" s="408"/>
      <c r="AI762" s="408"/>
      <c r="AJ762" s="408"/>
      <c r="AK762" s="408"/>
      <c r="AL762" s="408"/>
      <c r="AM762" s="408"/>
      <c r="AN762" s="408"/>
      <c r="AO762" s="408"/>
      <c r="AP762" s="408"/>
      <c r="AQ762" s="408"/>
      <c r="AR762" s="408"/>
      <c r="AS762" s="408"/>
      <c r="AT762" s="408"/>
      <c r="AU762" s="408"/>
      <c r="AV762" s="408"/>
      <c r="AW762" s="408"/>
      <c r="AX762" s="408"/>
      <c r="AY762" s="408"/>
      <c r="AZ762" s="408">
        <v>0</v>
      </c>
      <c r="BA762" s="408"/>
      <c r="BB762" s="408"/>
      <c r="BC762" s="408"/>
      <c r="BD762" s="408"/>
      <c r="BE762" s="408"/>
      <c r="BF762" s="408"/>
      <c r="BG762" s="408"/>
      <c r="BH762" s="408"/>
      <c r="BI762" s="408">
        <v>0.17</v>
      </c>
      <c r="BJ762" s="408">
        <v>2.44</v>
      </c>
      <c r="BK762" s="408">
        <v>29.81</v>
      </c>
      <c r="BL762" s="408">
        <v>4</v>
      </c>
      <c r="BM762" s="408"/>
      <c r="BN762" s="408"/>
      <c r="BO762" s="408"/>
      <c r="BP762" s="408"/>
      <c r="BQ762" s="408"/>
      <c r="BR762" s="408"/>
      <c r="BS762" s="408"/>
      <c r="BT762" s="408"/>
      <c r="BU762" s="408"/>
      <c r="BV762" s="408"/>
      <c r="BW762" s="408"/>
      <c r="BX762" s="408"/>
      <c r="BY762" s="408"/>
      <c r="BZ762" s="408"/>
      <c r="CA762" s="408"/>
      <c r="CB762" s="408"/>
      <c r="CC762" s="408"/>
      <c r="CD762" s="408"/>
      <c r="CE762" s="408"/>
      <c r="CF762" s="408"/>
      <c r="CG762" s="408"/>
      <c r="CH762" s="408"/>
      <c r="CI762" s="408"/>
      <c r="CJ762" s="408">
        <v>-0.03</v>
      </c>
      <c r="CK762" s="408"/>
      <c r="CL762" s="408"/>
      <c r="CM762" s="408"/>
      <c r="CN762" s="408"/>
      <c r="CO762" s="408">
        <v>0</v>
      </c>
      <c r="CP762" s="408">
        <v>0</v>
      </c>
      <c r="CQ762" s="408">
        <v>31</v>
      </c>
      <c r="CR762" s="408"/>
      <c r="CS762" s="408"/>
      <c r="CT762" s="408"/>
      <c r="CU762" s="408"/>
      <c r="CV762" s="408"/>
      <c r="CW762" s="408"/>
      <c r="CX762" s="408"/>
      <c r="CY762" s="408"/>
      <c r="CZ762" s="408"/>
      <c r="DA762" s="408"/>
      <c r="DB762" s="408"/>
      <c r="DC762" s="408"/>
      <c r="DD762" s="408"/>
      <c r="DE762" s="408"/>
      <c r="DF762" s="408"/>
      <c r="DG762" s="408"/>
      <c r="DH762" s="408"/>
      <c r="DI762" s="408"/>
      <c r="DJ762" s="408"/>
      <c r="DK762" s="408">
        <v>0</v>
      </c>
      <c r="DL762" s="408"/>
      <c r="DM762" s="408"/>
      <c r="DN762" s="408"/>
      <c r="DO762" s="408"/>
      <c r="DP762" s="408"/>
      <c r="DQ762" s="408"/>
      <c r="DR762" s="408"/>
      <c r="DS762" s="408"/>
      <c r="DT762" s="408"/>
      <c r="DU762" s="408"/>
      <c r="DV762" s="408"/>
      <c r="DW762" s="408"/>
      <c r="DX762" s="408"/>
      <c r="DY762" s="408"/>
      <c r="DZ762" s="408"/>
      <c r="EA762" s="408"/>
      <c r="EB762" s="408"/>
      <c r="EC762" s="408"/>
      <c r="ED762" s="408"/>
      <c r="EE762" s="408"/>
      <c r="EF762" s="408"/>
      <c r="EG762" s="408"/>
      <c r="EH762" s="408"/>
      <c r="EI762" s="408"/>
      <c r="EJ762" s="408"/>
      <c r="EK762" s="408"/>
      <c r="EL762" s="408"/>
      <c r="EM762" s="408"/>
      <c r="EN762" s="408"/>
      <c r="EO762" s="408"/>
      <c r="EP762" s="408"/>
      <c r="EQ762" s="408"/>
      <c r="ER762" s="408"/>
      <c r="ES762" s="408"/>
      <c r="ET762" s="408"/>
      <c r="EU762" s="408"/>
      <c r="EV762" s="408">
        <v>240</v>
      </c>
      <c r="EW762" s="408"/>
      <c r="EX762" s="408"/>
      <c r="EY762" s="408"/>
      <c r="EZ762" s="408"/>
      <c r="FA762" s="408">
        <v>0</v>
      </c>
      <c r="FB762" s="408"/>
      <c r="FC762" s="408"/>
      <c r="FD762" s="408"/>
      <c r="FE762" s="408"/>
      <c r="FF762" s="408">
        <v>0</v>
      </c>
      <c r="FG762" s="408">
        <v>0</v>
      </c>
      <c r="FH762" s="408">
        <v>0</v>
      </c>
      <c r="FI762" s="408">
        <v>0</v>
      </c>
    </row>
    <row r="763" spans="1:165">
      <c r="A763" s="408">
        <v>761</v>
      </c>
      <c r="B763" s="408" t="s">
        <v>1036</v>
      </c>
      <c r="C763" s="408" t="s">
        <v>2235</v>
      </c>
      <c r="D763" s="408" t="s">
        <v>2245</v>
      </c>
      <c r="E763" s="408" t="s">
        <v>974</v>
      </c>
      <c r="F763" s="408" t="s">
        <v>2253</v>
      </c>
      <c r="G763" s="408" t="s">
        <v>2254</v>
      </c>
      <c r="H763" s="408" t="s">
        <v>1322</v>
      </c>
      <c r="I763" s="408" t="s">
        <v>1322</v>
      </c>
      <c r="J763" s="408" t="s">
        <v>2236</v>
      </c>
      <c r="K763" s="826">
        <v>44682</v>
      </c>
      <c r="L763" s="408">
        <v>0</v>
      </c>
      <c r="M763" s="408">
        <v>0</v>
      </c>
      <c r="N763" s="408">
        <v>0.45300000000000001</v>
      </c>
      <c r="O763" s="408">
        <v>0.45300000000000001</v>
      </c>
      <c r="P763" s="408">
        <v>0.45300000000000001</v>
      </c>
      <c r="Q763" s="408">
        <v>0.45300000000000001</v>
      </c>
      <c r="R763" s="408"/>
      <c r="S763" s="408">
        <v>368.24</v>
      </c>
      <c r="T763" s="408">
        <v>173.25</v>
      </c>
      <c r="U763" s="408"/>
      <c r="V763" s="408">
        <v>245.29497000000003</v>
      </c>
      <c r="W763" s="408">
        <v>245.29497000000003</v>
      </c>
      <c r="X763" s="408">
        <v>230.52717000000001</v>
      </c>
      <c r="Y763" s="408">
        <v>0</v>
      </c>
      <c r="Z763" s="408">
        <v>27.879967989314792</v>
      </c>
      <c r="AA763" s="408">
        <v>0</v>
      </c>
      <c r="AB763" s="408">
        <v>0</v>
      </c>
      <c r="AC763" s="408">
        <v>1.1594704262910114</v>
      </c>
      <c r="AD763" s="408">
        <v>1.1139910822872958</v>
      </c>
      <c r="AE763" s="408">
        <v>106.69830892455427</v>
      </c>
      <c r="AF763" s="408">
        <v>77.164233175146791</v>
      </c>
      <c r="AG763" s="408">
        <v>1.3169767893351865</v>
      </c>
      <c r="AH763" s="408">
        <v>0</v>
      </c>
      <c r="AI763" s="408">
        <v>0</v>
      </c>
      <c r="AJ763" s="408">
        <v>0</v>
      </c>
      <c r="AK763" s="408">
        <v>0</v>
      </c>
      <c r="AL763" s="408">
        <v>4.307590715628411</v>
      </c>
      <c r="AM763" s="408"/>
      <c r="AN763" s="408">
        <v>0.54715909160631215</v>
      </c>
      <c r="AO763" s="408">
        <v>2.4613281831287792</v>
      </c>
      <c r="AP763" s="408">
        <v>11.476810205655598</v>
      </c>
      <c r="AQ763" s="408">
        <v>0</v>
      </c>
      <c r="AR763" s="408">
        <v>0</v>
      </c>
      <c r="AS763" s="408">
        <v>0</v>
      </c>
      <c r="AT763" s="408">
        <v>0</v>
      </c>
      <c r="AU763" s="408">
        <v>0</v>
      </c>
      <c r="AV763" s="408">
        <v>0</v>
      </c>
      <c r="AW763" s="408">
        <v>0</v>
      </c>
      <c r="AX763" s="408">
        <v>0</v>
      </c>
      <c r="AY763" s="408">
        <v>0</v>
      </c>
      <c r="AZ763" s="408">
        <v>0</v>
      </c>
      <c r="BA763" s="408"/>
      <c r="BB763" s="408">
        <v>0</v>
      </c>
      <c r="BC763" s="408">
        <v>0</v>
      </c>
      <c r="BD763" s="408">
        <v>0</v>
      </c>
      <c r="BE763" s="408">
        <v>0</v>
      </c>
      <c r="BF763" s="408">
        <v>0</v>
      </c>
      <c r="BG763" s="408">
        <v>4.0497256967412989</v>
      </c>
      <c r="BH763" s="408">
        <v>0</v>
      </c>
      <c r="BI763" s="408">
        <v>0</v>
      </c>
      <c r="BJ763" s="408">
        <v>0</v>
      </c>
      <c r="BK763" s="408">
        <v>0</v>
      </c>
      <c r="BL763" s="408">
        <v>0</v>
      </c>
      <c r="BM763" s="408"/>
      <c r="BN763" s="408"/>
      <c r="BO763" s="408"/>
      <c r="BP763" s="408"/>
      <c r="BQ763" s="408"/>
      <c r="BR763" s="408">
        <v>27.660180000000004</v>
      </c>
      <c r="BS763" s="408"/>
      <c r="BT763" s="408"/>
      <c r="BU763" s="408"/>
      <c r="BV763" s="408">
        <v>81.213958871888096</v>
      </c>
      <c r="BW763" s="408"/>
      <c r="BX763" s="408"/>
      <c r="BY763" s="408"/>
      <c r="BZ763" s="408"/>
      <c r="CA763" s="408"/>
      <c r="CB763" s="408"/>
      <c r="CC763" s="408"/>
      <c r="CD763" s="408"/>
      <c r="CE763" s="408"/>
      <c r="CF763" s="408"/>
      <c r="CG763" s="408"/>
      <c r="CH763" s="408"/>
      <c r="CI763" s="408">
        <v>201.52350000000001</v>
      </c>
      <c r="CJ763" s="408">
        <v>-14.365529999999978</v>
      </c>
      <c r="CK763" s="408"/>
      <c r="CL763" s="408"/>
      <c r="CM763" s="408"/>
      <c r="CN763" s="408"/>
      <c r="CO763" s="408">
        <v>-24.548069999999999</v>
      </c>
      <c r="CP763" s="408">
        <v>9.7802700000000016</v>
      </c>
      <c r="CQ763" s="408">
        <v>31</v>
      </c>
      <c r="CR763" s="408">
        <v>11.735958374141916</v>
      </c>
      <c r="CS763" s="408">
        <v>0.2452660925010095</v>
      </c>
      <c r="CT763" s="408">
        <v>1.1436396059702592</v>
      </c>
      <c r="CU763" s="408">
        <v>0</v>
      </c>
      <c r="CV763" s="408">
        <v>0</v>
      </c>
      <c r="CW763" s="408">
        <v>0</v>
      </c>
      <c r="CX763" s="408">
        <v>0</v>
      </c>
      <c r="CY763" s="408">
        <v>0</v>
      </c>
      <c r="CZ763" s="408">
        <v>1.1470417082419055</v>
      </c>
      <c r="DA763" s="408">
        <v>0</v>
      </c>
      <c r="DB763" s="408">
        <v>0</v>
      </c>
      <c r="DC763" s="408">
        <v>9.7791657509594927</v>
      </c>
      <c r="DD763" s="408">
        <v>0</v>
      </c>
      <c r="DE763" s="408">
        <v>0</v>
      </c>
      <c r="DF763" s="408">
        <v>0</v>
      </c>
      <c r="DG763" s="408">
        <v>0.51322921520471532</v>
      </c>
      <c r="DH763" s="408">
        <v>0</v>
      </c>
      <c r="DI763" s="408">
        <v>-0.94671548932576854</v>
      </c>
      <c r="DJ763" s="408"/>
      <c r="DK763" s="408">
        <v>0</v>
      </c>
      <c r="DL763" s="408">
        <v>0</v>
      </c>
      <c r="DM763" s="408">
        <v>0</v>
      </c>
      <c r="DN763" s="408">
        <v>0</v>
      </c>
      <c r="DO763" s="408">
        <v>-0.13018859634018032</v>
      </c>
      <c r="DP763" s="408">
        <v>-1.5479913069493145E-2</v>
      </c>
      <c r="DQ763" s="408">
        <v>0</v>
      </c>
      <c r="DR763" s="408">
        <v>0</v>
      </c>
      <c r="DS763" s="408"/>
      <c r="DT763" s="408"/>
      <c r="DU763" s="408"/>
      <c r="DV763" s="408">
        <v>106.69830892455427</v>
      </c>
      <c r="DW763" s="408">
        <v>0</v>
      </c>
      <c r="DX763" s="408">
        <v>0</v>
      </c>
      <c r="DY763" s="408">
        <v>-24.548069999999996</v>
      </c>
      <c r="DZ763" s="408">
        <v>9.7802700000000016</v>
      </c>
      <c r="EA763" s="408">
        <v>0</v>
      </c>
      <c r="EB763" s="408">
        <v>0</v>
      </c>
      <c r="EC763" s="408">
        <v>-26.505669813980091</v>
      </c>
      <c r="ED763" s="408">
        <v>0</v>
      </c>
      <c r="EE763" s="408">
        <v>0</v>
      </c>
      <c r="EF763" s="408">
        <v>0</v>
      </c>
      <c r="EG763" s="408">
        <v>0</v>
      </c>
      <c r="EH763" s="408">
        <v>0</v>
      </c>
      <c r="EI763" s="408">
        <v>0</v>
      </c>
      <c r="EJ763" s="408">
        <v>0</v>
      </c>
      <c r="EK763" s="408">
        <v>0</v>
      </c>
      <c r="EL763" s="408">
        <v>0</v>
      </c>
      <c r="EM763" s="408">
        <v>0</v>
      </c>
      <c r="EN763" s="408">
        <v>0</v>
      </c>
      <c r="EO763" s="408">
        <v>0</v>
      </c>
      <c r="EP763" s="408">
        <v>7.1200465832269018</v>
      </c>
      <c r="EQ763" s="408">
        <v>0</v>
      </c>
      <c r="ER763" s="408">
        <v>0</v>
      </c>
      <c r="ES763" s="408">
        <v>0</v>
      </c>
      <c r="ET763" s="408">
        <v>0</v>
      </c>
      <c r="EU763" s="408">
        <v>0</v>
      </c>
      <c r="EV763" s="408">
        <v>240</v>
      </c>
      <c r="EW763" s="408">
        <v>0</v>
      </c>
      <c r="EX763" s="408">
        <v>0</v>
      </c>
      <c r="EY763" s="408">
        <v>0</v>
      </c>
      <c r="EZ763" s="408"/>
      <c r="FA763" s="408">
        <v>0</v>
      </c>
      <c r="FB763" s="408"/>
      <c r="FC763" s="408"/>
      <c r="FD763" s="408"/>
      <c r="FE763" s="408"/>
      <c r="FF763" s="408">
        <v>0</v>
      </c>
      <c r="FG763" s="408">
        <v>0</v>
      </c>
      <c r="FH763" s="408">
        <v>0</v>
      </c>
      <c r="FI763" s="408">
        <v>0</v>
      </c>
    </row>
    <row r="764" spans="1:165">
      <c r="A764" s="408">
        <v>762</v>
      </c>
      <c r="B764" s="408" t="s">
        <v>1036</v>
      </c>
      <c r="C764" s="408" t="s">
        <v>2235</v>
      </c>
      <c r="D764" s="408" t="s">
        <v>2245</v>
      </c>
      <c r="E764" s="408" t="s">
        <v>974</v>
      </c>
      <c r="F764" s="408" t="s">
        <v>2253</v>
      </c>
      <c r="G764" s="408" t="s">
        <v>2255</v>
      </c>
      <c r="H764" s="408" t="s">
        <v>1322</v>
      </c>
      <c r="I764" s="408" t="s">
        <v>1322</v>
      </c>
      <c r="J764" s="408" t="s">
        <v>2236</v>
      </c>
      <c r="K764" s="826">
        <v>44682</v>
      </c>
      <c r="L764" s="408">
        <v>0</v>
      </c>
      <c r="M764" s="408">
        <v>0</v>
      </c>
      <c r="N764" s="408">
        <v>0.30199999999999999</v>
      </c>
      <c r="O764" s="408">
        <v>0.1208</v>
      </c>
      <c r="P764" s="408">
        <v>0.30199999999999999</v>
      </c>
      <c r="Q764" s="408">
        <v>0.1208</v>
      </c>
      <c r="R764" s="408"/>
      <c r="S764" s="408">
        <v>368.24</v>
      </c>
      <c r="T764" s="408">
        <v>173.25</v>
      </c>
      <c r="U764" s="408"/>
      <c r="V764" s="408">
        <v>163.52997999999999</v>
      </c>
      <c r="W764" s="408">
        <v>163.52997999999999</v>
      </c>
      <c r="X764" s="408">
        <v>153.68477999999999</v>
      </c>
      <c r="Y764" s="408">
        <v>0</v>
      </c>
      <c r="Z764" s="408">
        <v>18.586645326209862</v>
      </c>
      <c r="AA764" s="408">
        <v>0</v>
      </c>
      <c r="AB764" s="408">
        <v>0</v>
      </c>
      <c r="AC764" s="408">
        <v>0.77298028419400755</v>
      </c>
      <c r="AD764" s="408">
        <v>0.74266072152486373</v>
      </c>
      <c r="AE764" s="408">
        <v>71.132205949702836</v>
      </c>
      <c r="AF764" s="408">
        <v>51.442822116764525</v>
      </c>
      <c r="AG764" s="408">
        <v>0.87798452622345757</v>
      </c>
      <c r="AH764" s="408">
        <v>0</v>
      </c>
      <c r="AI764" s="408">
        <v>0</v>
      </c>
      <c r="AJ764" s="408">
        <v>0</v>
      </c>
      <c r="AK764" s="408">
        <v>0</v>
      </c>
      <c r="AL764" s="408">
        <v>2.8717271437522736</v>
      </c>
      <c r="AM764" s="408"/>
      <c r="AN764" s="408">
        <v>0.36477272773754138</v>
      </c>
      <c r="AO764" s="408">
        <v>1.6408854554191861</v>
      </c>
      <c r="AP764" s="408">
        <v>7.6512068037703989</v>
      </c>
      <c r="AQ764" s="408">
        <v>0</v>
      </c>
      <c r="AR764" s="408">
        <v>0</v>
      </c>
      <c r="AS764" s="408">
        <v>0</v>
      </c>
      <c r="AT764" s="408">
        <v>0</v>
      </c>
      <c r="AU764" s="408">
        <v>0</v>
      </c>
      <c r="AV764" s="408">
        <v>0</v>
      </c>
      <c r="AW764" s="408">
        <v>0</v>
      </c>
      <c r="AX764" s="408">
        <v>0</v>
      </c>
      <c r="AY764" s="408">
        <v>0</v>
      </c>
      <c r="AZ764" s="408">
        <v>0</v>
      </c>
      <c r="BA764" s="408"/>
      <c r="BB764" s="408">
        <v>0</v>
      </c>
      <c r="BC764" s="408">
        <v>0</v>
      </c>
      <c r="BD764" s="408">
        <v>0</v>
      </c>
      <c r="BE764" s="408">
        <v>0</v>
      </c>
      <c r="BF764" s="408">
        <v>0</v>
      </c>
      <c r="BG764" s="408">
        <v>2.6998171311608661</v>
      </c>
      <c r="BH764" s="408">
        <v>0</v>
      </c>
      <c r="BI764" s="408">
        <v>0</v>
      </c>
      <c r="BJ764" s="408">
        <v>0</v>
      </c>
      <c r="BK764" s="408">
        <v>0</v>
      </c>
      <c r="BL764" s="408">
        <v>0</v>
      </c>
      <c r="BM764" s="408"/>
      <c r="BN764" s="408"/>
      <c r="BO764" s="408"/>
      <c r="BP764" s="408"/>
      <c r="BQ764" s="408"/>
      <c r="BR764" s="408"/>
      <c r="BS764" s="408">
        <v>99.586916000000002</v>
      </c>
      <c r="BT764" s="408"/>
      <c r="BU764" s="408"/>
      <c r="BV764" s="408">
        <v>54.142639247925388</v>
      </c>
      <c r="BW764" s="408"/>
      <c r="BX764" s="408"/>
      <c r="BY764" s="408"/>
      <c r="BZ764" s="408"/>
      <c r="CA764" s="408"/>
      <c r="CB764" s="408"/>
      <c r="CC764" s="408"/>
      <c r="CD764" s="408"/>
      <c r="CE764" s="408"/>
      <c r="CF764" s="408"/>
      <c r="CG764" s="408"/>
      <c r="CH764" s="408"/>
      <c r="CI764" s="408">
        <v>53.739599999999996</v>
      </c>
      <c r="CJ764" s="408">
        <v>-3.8528080000000031</v>
      </c>
      <c r="CK764" s="408"/>
      <c r="CL764" s="408"/>
      <c r="CM764" s="408"/>
      <c r="CN764" s="408"/>
      <c r="CO764" s="408">
        <v>-16.365379999999998</v>
      </c>
      <c r="CP764" s="408">
        <v>6.5201800000000008</v>
      </c>
      <c r="CQ764" s="408">
        <v>31</v>
      </c>
      <c r="CR764" s="408">
        <v>7.8239722494279818</v>
      </c>
      <c r="CS764" s="408">
        <v>0.16351072833400648</v>
      </c>
      <c r="CT764" s="408">
        <v>0.76242640398017247</v>
      </c>
      <c r="CU764" s="408">
        <v>0</v>
      </c>
      <c r="CV764" s="408">
        <v>0</v>
      </c>
      <c r="CW764" s="408">
        <v>0</v>
      </c>
      <c r="CX764" s="408">
        <v>0</v>
      </c>
      <c r="CY764" s="408">
        <v>0</v>
      </c>
      <c r="CZ764" s="408">
        <v>0.76469447216127051</v>
      </c>
      <c r="DA764" s="408">
        <v>0</v>
      </c>
      <c r="DB764" s="408">
        <v>0</v>
      </c>
      <c r="DC764" s="408">
        <v>6.5194438339729928</v>
      </c>
      <c r="DD764" s="408">
        <v>0</v>
      </c>
      <c r="DE764" s="408">
        <v>0</v>
      </c>
      <c r="DF764" s="408">
        <v>0</v>
      </c>
      <c r="DG764" s="408">
        <v>0.34215281013647658</v>
      </c>
      <c r="DH764" s="408">
        <v>0</v>
      </c>
      <c r="DI764" s="408">
        <v>-0.63114365955051355</v>
      </c>
      <c r="DJ764" s="408"/>
      <c r="DK764" s="408">
        <v>0</v>
      </c>
      <c r="DL764" s="408">
        <v>0</v>
      </c>
      <c r="DM764" s="408">
        <v>0</v>
      </c>
      <c r="DN764" s="408">
        <v>0</v>
      </c>
      <c r="DO764" s="408">
        <v>-8.6792397560119916E-2</v>
      </c>
      <c r="DP764" s="408">
        <v>-1.0319942046328745E-2</v>
      </c>
      <c r="DQ764" s="408">
        <v>0</v>
      </c>
      <c r="DR764" s="408">
        <v>0</v>
      </c>
      <c r="DS764" s="408"/>
      <c r="DT764" s="408"/>
      <c r="DU764" s="408"/>
      <c r="DV764" s="408">
        <v>71.132205949702836</v>
      </c>
      <c r="DW764" s="408">
        <v>0</v>
      </c>
      <c r="DX764" s="408">
        <v>0</v>
      </c>
      <c r="DY764" s="408">
        <v>-16.365379999999988</v>
      </c>
      <c r="DZ764" s="408">
        <v>6.5201799999999963</v>
      </c>
      <c r="EA764" s="408">
        <v>0</v>
      </c>
      <c r="EB764" s="408">
        <v>0</v>
      </c>
      <c r="EC764" s="408">
        <v>-17.670446542653387</v>
      </c>
      <c r="ED764" s="408">
        <v>0</v>
      </c>
      <c r="EE764" s="408">
        <v>0</v>
      </c>
      <c r="EF764" s="408">
        <v>0</v>
      </c>
      <c r="EG764" s="408">
        <v>0</v>
      </c>
      <c r="EH764" s="408">
        <v>0</v>
      </c>
      <c r="EI764" s="408">
        <v>0</v>
      </c>
      <c r="EJ764" s="408">
        <v>0</v>
      </c>
      <c r="EK764" s="408">
        <v>0</v>
      </c>
      <c r="EL764" s="408">
        <v>0</v>
      </c>
      <c r="EM764" s="408">
        <v>0</v>
      </c>
      <c r="EN764" s="408">
        <v>0</v>
      </c>
      <c r="EO764" s="408">
        <v>0</v>
      </c>
      <c r="EP764" s="408">
        <v>4.746697722151267</v>
      </c>
      <c r="EQ764" s="408">
        <v>0</v>
      </c>
      <c r="ER764" s="408">
        <v>0</v>
      </c>
      <c r="ES764" s="408">
        <v>0</v>
      </c>
      <c r="ET764" s="408">
        <v>0</v>
      </c>
      <c r="EU764" s="408">
        <v>0</v>
      </c>
      <c r="EV764" s="408">
        <v>240</v>
      </c>
      <c r="EW764" s="408">
        <v>0</v>
      </c>
      <c r="EX764" s="408">
        <v>0</v>
      </c>
      <c r="EY764" s="408">
        <v>0</v>
      </c>
      <c r="EZ764" s="408"/>
      <c r="FA764" s="408">
        <v>0</v>
      </c>
      <c r="FB764" s="408"/>
      <c r="FC764" s="408"/>
      <c r="FD764" s="408"/>
      <c r="FE764" s="408"/>
      <c r="FF764" s="408">
        <v>0</v>
      </c>
      <c r="FG764" s="408">
        <v>0</v>
      </c>
      <c r="FH764" s="408">
        <v>0</v>
      </c>
      <c r="FI764" s="408">
        <v>0</v>
      </c>
    </row>
    <row r="765" spans="1:165">
      <c r="A765" s="408">
        <v>763</v>
      </c>
      <c r="B765" s="408" t="s">
        <v>1036</v>
      </c>
      <c r="C765" s="408" t="s">
        <v>2235</v>
      </c>
      <c r="D765" s="408" t="s">
        <v>1955</v>
      </c>
      <c r="E765" s="408" t="s">
        <v>969</v>
      </c>
      <c r="F765" s="408" t="s">
        <v>969</v>
      </c>
      <c r="G765" s="408" t="s">
        <v>1322</v>
      </c>
      <c r="H765" s="408" t="s">
        <v>1322</v>
      </c>
      <c r="I765" s="408" t="s">
        <v>1322</v>
      </c>
      <c r="J765" s="408" t="s">
        <v>2236</v>
      </c>
      <c r="K765" s="826">
        <v>44713</v>
      </c>
      <c r="L765" s="408">
        <v>0</v>
      </c>
      <c r="M765" s="408">
        <v>0</v>
      </c>
      <c r="N765" s="408">
        <v>9455.9879999999994</v>
      </c>
      <c r="O765" s="408">
        <v>9455.9879999999994</v>
      </c>
      <c r="P765" s="408">
        <v>9455.9879999999994</v>
      </c>
      <c r="Q765" s="408">
        <v>9455.9879999999994</v>
      </c>
      <c r="R765" s="408"/>
      <c r="S765" s="408">
        <v>368.24</v>
      </c>
      <c r="T765" s="408">
        <v>173.25</v>
      </c>
      <c r="U765" s="408"/>
      <c r="V765" s="408">
        <v>5120322.9421199998</v>
      </c>
      <c r="W765" s="408">
        <v>5120322.9421199998</v>
      </c>
      <c r="X765" s="408">
        <v>4812057.7333199997</v>
      </c>
      <c r="Y765" s="408">
        <v>0</v>
      </c>
      <c r="Z765" s="408">
        <v>581970.51379104808</v>
      </c>
      <c r="AA765" s="408">
        <v>0</v>
      </c>
      <c r="AB765" s="408">
        <v>0</v>
      </c>
      <c r="AC765" s="408">
        <v>24202.954607864653</v>
      </c>
      <c r="AD765" s="408">
        <v>23253.612155001501</v>
      </c>
      <c r="AE765" s="408">
        <v>2227236.0459401277</v>
      </c>
      <c r="AF765" s="408">
        <v>1610737.4457690725</v>
      </c>
      <c r="AG765" s="408">
        <v>27490.765377995693</v>
      </c>
      <c r="AH765" s="408">
        <v>0</v>
      </c>
      <c r="AI765" s="408">
        <v>0</v>
      </c>
      <c r="AJ765" s="408">
        <v>0</v>
      </c>
      <c r="AK765" s="408">
        <v>0</v>
      </c>
      <c r="AL765" s="408">
        <v>89917.276194025748</v>
      </c>
      <c r="AM765" s="408"/>
      <c r="AN765" s="408">
        <v>11421.478596733306</v>
      </c>
      <c r="AO765" s="408">
        <v>51378.123098736287</v>
      </c>
      <c r="AP765" s="408">
        <v>239568.60835089814</v>
      </c>
      <c r="AQ765" s="408">
        <v>0</v>
      </c>
      <c r="AR765" s="408">
        <v>0</v>
      </c>
      <c r="AS765" s="408">
        <v>0</v>
      </c>
      <c r="AT765" s="408">
        <v>0</v>
      </c>
      <c r="AU765" s="408">
        <v>0</v>
      </c>
      <c r="AV765" s="408">
        <v>0</v>
      </c>
      <c r="AW765" s="408">
        <v>0</v>
      </c>
      <c r="AX765" s="408">
        <v>0</v>
      </c>
      <c r="AY765" s="408">
        <v>0</v>
      </c>
      <c r="AZ765" s="408">
        <v>0</v>
      </c>
      <c r="BA765" s="408"/>
      <c r="BB765" s="408">
        <v>0</v>
      </c>
      <c r="BC765" s="408">
        <v>0</v>
      </c>
      <c r="BD765" s="408">
        <v>0</v>
      </c>
      <c r="BE765" s="408">
        <v>0</v>
      </c>
      <c r="BF765" s="408">
        <v>0</v>
      </c>
      <c r="BG765" s="408">
        <v>84534.56422003833</v>
      </c>
      <c r="BH765" s="408">
        <v>0</v>
      </c>
      <c r="BI765" s="408">
        <v>4643.79</v>
      </c>
      <c r="BJ765" s="408">
        <v>53564.84</v>
      </c>
      <c r="BK765" s="408">
        <v>1605915.98</v>
      </c>
      <c r="BL765" s="408">
        <v>45852</v>
      </c>
      <c r="BM765" s="408"/>
      <c r="BN765" s="408"/>
      <c r="BO765" s="408"/>
      <c r="BP765" s="408"/>
      <c r="BQ765" s="408"/>
      <c r="BR765" s="408"/>
      <c r="BS765" s="408"/>
      <c r="BT765" s="408"/>
      <c r="BU765" s="408"/>
      <c r="BV765" s="408">
        <v>1695272.0099891108</v>
      </c>
      <c r="BW765" s="408"/>
      <c r="BX765" s="408"/>
      <c r="BY765" s="408"/>
      <c r="BZ765" s="408"/>
      <c r="CA765" s="408"/>
      <c r="CB765" s="408"/>
      <c r="CC765" s="408"/>
      <c r="CD765" s="408"/>
      <c r="CE765" s="408"/>
      <c r="CF765" s="408"/>
      <c r="CG765" s="408"/>
      <c r="CH765" s="408"/>
      <c r="CI765" s="408">
        <v>4812058.7511</v>
      </c>
      <c r="CJ765" s="408">
        <v>-308264.22101999912</v>
      </c>
      <c r="CK765" s="408"/>
      <c r="CL765" s="408"/>
      <c r="CM765" s="408"/>
      <c r="CN765" s="408"/>
      <c r="CO765" s="408">
        <v>-512419.98971999995</v>
      </c>
      <c r="CP765" s="408">
        <v>204154.78092000002</v>
      </c>
      <c r="CQ765" s="408">
        <v>30</v>
      </c>
      <c r="CR765" s="408">
        <v>244978.10497656884</v>
      </c>
      <c r="CS765" s="408">
        <v>5119.7201489987565</v>
      </c>
      <c r="CT765" s="408">
        <v>23872.499758012127</v>
      </c>
      <c r="CU765" s="408">
        <v>0</v>
      </c>
      <c r="CV765" s="408">
        <v>0</v>
      </c>
      <c r="CW765" s="408">
        <v>0</v>
      </c>
      <c r="CX765" s="408">
        <v>0</v>
      </c>
      <c r="CY765" s="408">
        <v>0</v>
      </c>
      <c r="CZ765" s="408">
        <v>23943.515736501016</v>
      </c>
      <c r="DA765" s="408">
        <v>0</v>
      </c>
      <c r="DB765" s="408">
        <v>0</v>
      </c>
      <c r="DC765" s="408">
        <v>204131.73066464462</v>
      </c>
      <c r="DD765" s="408">
        <v>0</v>
      </c>
      <c r="DE765" s="408">
        <v>0</v>
      </c>
      <c r="DF765" s="408">
        <v>0</v>
      </c>
      <c r="DG765" s="408">
        <v>10713.221413300664</v>
      </c>
      <c r="DH765" s="408">
        <v>0</v>
      </c>
      <c r="DI765" s="408">
        <v>-19761.877056244179</v>
      </c>
      <c r="DJ765" s="408"/>
      <c r="DK765" s="408">
        <v>0</v>
      </c>
      <c r="DL765" s="408">
        <v>0</v>
      </c>
      <c r="DM765" s="408">
        <v>0</v>
      </c>
      <c r="DN765" s="408">
        <v>0</v>
      </c>
      <c r="DO765" s="408">
        <v>-2717.5757278798847</v>
      </c>
      <c r="DP765" s="408">
        <v>-323.12996076417221</v>
      </c>
      <c r="DQ765" s="408">
        <v>0</v>
      </c>
      <c r="DR765" s="408">
        <v>0</v>
      </c>
      <c r="DS765" s="408"/>
      <c r="DT765" s="408"/>
      <c r="DU765" s="408"/>
      <c r="DV765" s="408">
        <v>2227236.0459401277</v>
      </c>
      <c r="DW765" s="408">
        <v>0</v>
      </c>
      <c r="DX765" s="408">
        <v>0</v>
      </c>
      <c r="DY765" s="408">
        <v>-512419.98971999995</v>
      </c>
      <c r="DZ765" s="408">
        <v>204154.78092000005</v>
      </c>
      <c r="EA765" s="408">
        <v>0</v>
      </c>
      <c r="EB765" s="408">
        <v>0</v>
      </c>
      <c r="EC765" s="408">
        <v>-553283.21345023811</v>
      </c>
      <c r="ED765" s="408">
        <v>0</v>
      </c>
      <c r="EE765" s="408">
        <v>0</v>
      </c>
      <c r="EF765" s="408">
        <v>0</v>
      </c>
      <c r="EG765" s="408">
        <v>0</v>
      </c>
      <c r="EH765" s="408">
        <v>0</v>
      </c>
      <c r="EI765" s="408">
        <v>0</v>
      </c>
      <c r="EJ765" s="408">
        <v>0</v>
      </c>
      <c r="EK765" s="408">
        <v>0</v>
      </c>
      <c r="EL765" s="408">
        <v>0</v>
      </c>
      <c r="EM765" s="408">
        <v>0</v>
      </c>
      <c r="EN765" s="408">
        <v>0</v>
      </c>
      <c r="EO765" s="408">
        <v>0</v>
      </c>
      <c r="EP765" s="408">
        <v>148624.88973605866</v>
      </c>
      <c r="EQ765" s="408">
        <v>0</v>
      </c>
      <c r="ER765" s="408">
        <v>0</v>
      </c>
      <c r="ES765" s="408">
        <v>0</v>
      </c>
      <c r="ET765" s="408">
        <v>0</v>
      </c>
      <c r="EU765" s="408">
        <v>0</v>
      </c>
      <c r="EV765" s="408">
        <v>240</v>
      </c>
      <c r="EW765" s="408">
        <v>0</v>
      </c>
      <c r="EX765" s="408">
        <v>0</v>
      </c>
      <c r="EY765" s="408">
        <v>0</v>
      </c>
      <c r="EZ765" s="408"/>
      <c r="FA765" s="408">
        <v>0</v>
      </c>
      <c r="FB765" s="408"/>
      <c r="FC765" s="408"/>
      <c r="FD765" s="408"/>
      <c r="FE765" s="408"/>
      <c r="FF765" s="408">
        <v>0</v>
      </c>
      <c r="FG765" s="408">
        <v>0</v>
      </c>
      <c r="FH765" s="408">
        <v>0</v>
      </c>
      <c r="FI765" s="408">
        <v>0</v>
      </c>
    </row>
    <row r="766" spans="1:165">
      <c r="A766" s="408">
        <v>764</v>
      </c>
      <c r="B766" s="408" t="s">
        <v>2237</v>
      </c>
      <c r="C766" s="408" t="s">
        <v>2235</v>
      </c>
      <c r="D766" s="408" t="s">
        <v>1955</v>
      </c>
      <c r="E766" s="408" t="s">
        <v>969</v>
      </c>
      <c r="F766" s="408" t="s">
        <v>969</v>
      </c>
      <c r="G766" s="408" t="s">
        <v>1322</v>
      </c>
      <c r="H766" s="408" t="s">
        <v>1322</v>
      </c>
      <c r="I766" s="408" t="s">
        <v>1322</v>
      </c>
      <c r="J766" s="408" t="s">
        <v>2236</v>
      </c>
      <c r="K766" s="826">
        <v>44713</v>
      </c>
      <c r="L766" s="408">
        <v>0</v>
      </c>
      <c r="M766" s="408">
        <v>0</v>
      </c>
      <c r="N766" s="408">
        <v>-2.68</v>
      </c>
      <c r="O766" s="408">
        <v>-2.68</v>
      </c>
      <c r="P766" s="408">
        <v>-2.68</v>
      </c>
      <c r="Q766" s="408">
        <v>-2.68</v>
      </c>
      <c r="R766" s="408"/>
      <c r="S766" s="408">
        <v>368.24</v>
      </c>
      <c r="T766" s="408">
        <v>173.25</v>
      </c>
      <c r="U766" s="408"/>
      <c r="V766" s="408">
        <v>-1451.1932000000002</v>
      </c>
      <c r="W766" s="408">
        <v>-1451.1932000000002</v>
      </c>
      <c r="X766" s="408">
        <v>-1363.8252000000002</v>
      </c>
      <c r="Y766" s="408">
        <v>0</v>
      </c>
      <c r="Z766" s="408">
        <v>-164.94109097431269</v>
      </c>
      <c r="AA766" s="408">
        <v>0</v>
      </c>
      <c r="AB766" s="408">
        <v>0</v>
      </c>
      <c r="AC766" s="408">
        <v>-6.8595601378805977</v>
      </c>
      <c r="AD766" s="408">
        <v>-6.5904991181676662</v>
      </c>
      <c r="AE766" s="408">
        <v>-631.23944352716433</v>
      </c>
      <c r="AF766" s="408">
        <v>-456.51246116863888</v>
      </c>
      <c r="AG766" s="408">
        <v>-7.7913858618505509</v>
      </c>
      <c r="AH766" s="408">
        <v>0</v>
      </c>
      <c r="AI766" s="408">
        <v>0</v>
      </c>
      <c r="AJ766" s="408">
        <v>0</v>
      </c>
      <c r="AK766" s="408">
        <v>0</v>
      </c>
      <c r="AL766" s="408">
        <v>-25.484201143232099</v>
      </c>
      <c r="AM766" s="408"/>
      <c r="AN766" s="408">
        <v>-3.2370559944920894</v>
      </c>
      <c r="AO766" s="408">
        <v>-14.561500067958342</v>
      </c>
      <c r="AP766" s="408">
        <v>-67.898126602995603</v>
      </c>
      <c r="AQ766" s="408">
        <v>0</v>
      </c>
      <c r="AR766" s="408">
        <v>0</v>
      </c>
      <c r="AS766" s="408">
        <v>0</v>
      </c>
      <c r="AT766" s="408">
        <v>0</v>
      </c>
      <c r="AU766" s="408">
        <v>0</v>
      </c>
      <c r="AV766" s="408">
        <v>0</v>
      </c>
      <c r="AW766" s="408">
        <v>0</v>
      </c>
      <c r="AX766" s="408">
        <v>0</v>
      </c>
      <c r="AY766" s="408">
        <v>0</v>
      </c>
      <c r="AZ766" s="408">
        <v>0</v>
      </c>
      <c r="BA766" s="408"/>
      <c r="BB766" s="408">
        <v>0</v>
      </c>
      <c r="BC766" s="408">
        <v>0</v>
      </c>
      <c r="BD766" s="408">
        <v>0</v>
      </c>
      <c r="BE766" s="408">
        <v>0</v>
      </c>
      <c r="BF766" s="408">
        <v>0</v>
      </c>
      <c r="BG766" s="408">
        <v>-23.958642091096429</v>
      </c>
      <c r="BH766" s="408">
        <v>0</v>
      </c>
      <c r="BI766" s="408">
        <v>-1.26</v>
      </c>
      <c r="BJ766" s="408">
        <v>-15.35</v>
      </c>
      <c r="BK766" s="408">
        <v>-509.57</v>
      </c>
      <c r="BL766" s="408">
        <v>0</v>
      </c>
      <c r="BM766" s="408"/>
      <c r="BN766" s="408"/>
      <c r="BO766" s="408"/>
      <c r="BP766" s="408"/>
      <c r="BQ766" s="408"/>
      <c r="BR766" s="408"/>
      <c r="BS766" s="408"/>
      <c r="BT766" s="408"/>
      <c r="BU766" s="408"/>
      <c r="BV766" s="408">
        <v>-480.47110325973529</v>
      </c>
      <c r="BW766" s="408"/>
      <c r="BX766" s="408"/>
      <c r="BY766" s="408"/>
      <c r="BZ766" s="408"/>
      <c r="CA766" s="408"/>
      <c r="CB766" s="408"/>
      <c r="CC766" s="408"/>
      <c r="CD766" s="408"/>
      <c r="CE766" s="408"/>
      <c r="CF766" s="408"/>
      <c r="CG766" s="408"/>
      <c r="CH766" s="408"/>
      <c r="CI766" s="408">
        <v>-1363.8252000000002</v>
      </c>
      <c r="CJ766" s="408">
        <v>87.337999999999965</v>
      </c>
      <c r="CK766" s="408"/>
      <c r="CL766" s="408"/>
      <c r="CM766" s="408"/>
      <c r="CN766" s="408"/>
      <c r="CO766" s="408">
        <v>145.22919999999999</v>
      </c>
      <c r="CP766" s="408">
        <v>-57.861200000000011</v>
      </c>
      <c r="CQ766" s="408">
        <v>30</v>
      </c>
      <c r="CR766" s="408">
        <v>-69.431276915453395</v>
      </c>
      <c r="CS766" s="408">
        <v>-1.451022357401115</v>
      </c>
      <c r="CT766" s="408">
        <v>-6.7659031876386138</v>
      </c>
      <c r="CU766" s="408">
        <v>0</v>
      </c>
      <c r="CV766" s="408">
        <v>0</v>
      </c>
      <c r="CW766" s="408">
        <v>0</v>
      </c>
      <c r="CX766" s="408">
        <v>0</v>
      </c>
      <c r="CY766" s="408">
        <v>0</v>
      </c>
      <c r="CZ766" s="408">
        <v>-6.7860304152059774</v>
      </c>
      <c r="DA766" s="408">
        <v>0</v>
      </c>
      <c r="DB766" s="408">
        <v>0</v>
      </c>
      <c r="DC766" s="408">
        <v>-57.854667135919271</v>
      </c>
      <c r="DD766" s="408">
        <v>0</v>
      </c>
      <c r="DE766" s="408">
        <v>0</v>
      </c>
      <c r="DF766" s="408">
        <v>0</v>
      </c>
      <c r="DG766" s="408">
        <v>-3.0363229508799883</v>
      </c>
      <c r="DH766" s="408">
        <v>0</v>
      </c>
      <c r="DI766" s="408">
        <v>5.6008775085939533</v>
      </c>
      <c r="DJ766" s="408"/>
      <c r="DK766" s="408">
        <v>0</v>
      </c>
      <c r="DL766" s="408">
        <v>0</v>
      </c>
      <c r="DM766" s="408">
        <v>0</v>
      </c>
      <c r="DN766" s="408">
        <v>0</v>
      </c>
      <c r="DO766" s="408">
        <v>0.77021068033483786</v>
      </c>
      <c r="DP766" s="408">
        <v>9.1580942662784715E-2</v>
      </c>
      <c r="DQ766" s="408">
        <v>0</v>
      </c>
      <c r="DR766" s="408">
        <v>0</v>
      </c>
      <c r="DS766" s="408"/>
      <c r="DT766" s="408"/>
      <c r="DU766" s="408"/>
      <c r="DV766" s="408">
        <v>-631.23944352716433</v>
      </c>
      <c r="DW766" s="408">
        <v>0</v>
      </c>
      <c r="DX766" s="408">
        <v>0</v>
      </c>
      <c r="DY766" s="408">
        <v>145.22919999999999</v>
      </c>
      <c r="DZ766" s="408">
        <v>-57.861199999999997</v>
      </c>
      <c r="EA766" s="408">
        <v>0</v>
      </c>
      <c r="EB766" s="408">
        <v>0</v>
      </c>
      <c r="EC766" s="408">
        <v>156.81058521295063</v>
      </c>
      <c r="ED766" s="408">
        <v>0</v>
      </c>
      <c r="EE766" s="408">
        <v>0</v>
      </c>
      <c r="EF766" s="408">
        <v>0</v>
      </c>
      <c r="EG766" s="408">
        <v>0</v>
      </c>
      <c r="EH766" s="408">
        <v>0</v>
      </c>
      <c r="EI766" s="408">
        <v>0</v>
      </c>
      <c r="EJ766" s="408">
        <v>0</v>
      </c>
      <c r="EK766" s="408">
        <v>0</v>
      </c>
      <c r="EL766" s="408">
        <v>0</v>
      </c>
      <c r="EM766" s="408">
        <v>0</v>
      </c>
      <c r="EN766" s="408">
        <v>0</v>
      </c>
      <c r="EO766" s="408">
        <v>0</v>
      </c>
      <c r="EP766" s="408">
        <v>-42.123012898560923</v>
      </c>
      <c r="EQ766" s="408">
        <v>0</v>
      </c>
      <c r="ER766" s="408">
        <v>0</v>
      </c>
      <c r="ES766" s="408">
        <v>0</v>
      </c>
      <c r="ET766" s="408">
        <v>0</v>
      </c>
      <c r="EU766" s="408">
        <v>0</v>
      </c>
      <c r="EV766" s="408">
        <v>240</v>
      </c>
      <c r="EW766" s="408">
        <v>0</v>
      </c>
      <c r="EX766" s="408">
        <v>0</v>
      </c>
      <c r="EY766" s="408">
        <v>0</v>
      </c>
      <c r="EZ766" s="408"/>
      <c r="FA766" s="408">
        <v>0</v>
      </c>
      <c r="FB766" s="408"/>
      <c r="FC766" s="408"/>
      <c r="FD766" s="408"/>
      <c r="FE766" s="408"/>
      <c r="FF766" s="408">
        <v>0</v>
      </c>
      <c r="FG766" s="408">
        <v>0</v>
      </c>
      <c r="FH766" s="408">
        <v>0</v>
      </c>
      <c r="FI766" s="408">
        <v>0</v>
      </c>
    </row>
    <row r="767" spans="1:165">
      <c r="A767" s="408">
        <v>765</v>
      </c>
      <c r="B767" s="408" t="s">
        <v>2238</v>
      </c>
      <c r="C767" s="408" t="s">
        <v>2235</v>
      </c>
      <c r="D767" s="408" t="s">
        <v>1955</v>
      </c>
      <c r="E767" s="408" t="s">
        <v>969</v>
      </c>
      <c r="F767" s="408" t="s">
        <v>969</v>
      </c>
      <c r="G767" s="408" t="s">
        <v>1322</v>
      </c>
      <c r="H767" s="408" t="s">
        <v>1322</v>
      </c>
      <c r="I767" s="408" t="s">
        <v>1322</v>
      </c>
      <c r="J767" s="408" t="s">
        <v>2236</v>
      </c>
      <c r="K767" s="826">
        <v>44713</v>
      </c>
      <c r="L767" s="408">
        <v>0</v>
      </c>
      <c r="M767" s="408">
        <v>0</v>
      </c>
      <c r="N767" s="408">
        <v>302.39400000000001</v>
      </c>
      <c r="O767" s="408">
        <v>302.39400000000001</v>
      </c>
      <c r="P767" s="408">
        <v>302.39400000000001</v>
      </c>
      <c r="Q767" s="408">
        <v>302.39400000000001</v>
      </c>
      <c r="R767" s="408"/>
      <c r="S767" s="408">
        <v>368.24</v>
      </c>
      <c r="T767" s="408">
        <v>173.25</v>
      </c>
      <c r="U767" s="408"/>
      <c r="V767" s="408">
        <v>163743.32706000001</v>
      </c>
      <c r="W767" s="408">
        <v>163743.32706000001</v>
      </c>
      <c r="X767" s="408">
        <v>153885.28266000003</v>
      </c>
      <c r="Y767" s="408">
        <v>0</v>
      </c>
      <c r="Z767" s="408">
        <v>18610.894128390413</v>
      </c>
      <c r="AA767" s="408">
        <v>0</v>
      </c>
      <c r="AB767" s="408">
        <v>0</v>
      </c>
      <c r="AC767" s="408">
        <v>773.98874191577067</v>
      </c>
      <c r="AD767" s="408">
        <v>743.62962326089291</v>
      </c>
      <c r="AE767" s="408">
        <v>71225.007569385562</v>
      </c>
      <c r="AF767" s="408">
        <v>51509.936262175142</v>
      </c>
      <c r="AG767" s="408">
        <v>879.12997623449087</v>
      </c>
      <c r="AH767" s="408">
        <v>0</v>
      </c>
      <c r="AI767" s="408">
        <v>0</v>
      </c>
      <c r="AJ767" s="408">
        <v>0</v>
      </c>
      <c r="AK767" s="408">
        <v>0</v>
      </c>
      <c r="AL767" s="408">
        <v>2875.4737016815402</v>
      </c>
      <c r="AM767" s="408"/>
      <c r="AN767" s="408">
        <v>365.24862328300031</v>
      </c>
      <c r="AO767" s="408">
        <v>1643.026213264998</v>
      </c>
      <c r="AP767" s="408">
        <v>7661.1888417859136</v>
      </c>
      <c r="AQ767" s="408">
        <v>0</v>
      </c>
      <c r="AR767" s="408">
        <v>0</v>
      </c>
      <c r="AS767" s="408">
        <v>0</v>
      </c>
      <c r="AT767" s="408">
        <v>0</v>
      </c>
      <c r="AU767" s="408">
        <v>0</v>
      </c>
      <c r="AV767" s="408">
        <v>0</v>
      </c>
      <c r="AW767" s="408">
        <v>0</v>
      </c>
      <c r="AX767" s="408">
        <v>0</v>
      </c>
      <c r="AY767" s="408">
        <v>0</v>
      </c>
      <c r="AZ767" s="408">
        <v>0</v>
      </c>
      <c r="BA767" s="408"/>
      <c r="BB767" s="408">
        <v>0</v>
      </c>
      <c r="BC767" s="408">
        <v>0</v>
      </c>
      <c r="BD767" s="408">
        <v>0</v>
      </c>
      <c r="BE767" s="408">
        <v>0</v>
      </c>
      <c r="BF767" s="408">
        <v>0</v>
      </c>
      <c r="BG767" s="408">
        <v>2703.3394091399305</v>
      </c>
      <c r="BH767" s="408">
        <v>0</v>
      </c>
      <c r="BI767" s="408">
        <v>146.46</v>
      </c>
      <c r="BJ767" s="408">
        <v>1710.47</v>
      </c>
      <c r="BK767" s="408">
        <v>109342.96</v>
      </c>
      <c r="BL767" s="408">
        <v>2049</v>
      </c>
      <c r="BM767" s="408"/>
      <c r="BN767" s="408"/>
      <c r="BO767" s="408"/>
      <c r="BP767" s="408"/>
      <c r="BQ767" s="408"/>
      <c r="BR767" s="408"/>
      <c r="BS767" s="408"/>
      <c r="BT767" s="408"/>
      <c r="BU767" s="408"/>
      <c r="BV767" s="408">
        <v>54213.275671315074</v>
      </c>
      <c r="BW767" s="408"/>
      <c r="BX767" s="408"/>
      <c r="BY767" s="408"/>
      <c r="BZ767" s="408"/>
      <c r="CA767" s="408"/>
      <c r="CB767" s="408"/>
      <c r="CC767" s="408"/>
      <c r="CD767" s="408"/>
      <c r="CE767" s="408"/>
      <c r="CF767" s="408"/>
      <c r="CG767" s="408"/>
      <c r="CH767" s="408"/>
      <c r="CI767" s="408">
        <v>153883.24709999998</v>
      </c>
      <c r="CJ767" s="408">
        <v>-9860.1099600000307</v>
      </c>
      <c r="CK767" s="408"/>
      <c r="CL767" s="408"/>
      <c r="CM767" s="408"/>
      <c r="CN767" s="408"/>
      <c r="CO767" s="408">
        <v>-16386.73086</v>
      </c>
      <c r="CP767" s="408">
        <v>6528.6864600000008</v>
      </c>
      <c r="CQ767" s="408">
        <v>30</v>
      </c>
      <c r="CR767" s="408">
        <v>7834.1796834222623</v>
      </c>
      <c r="CS767" s="408">
        <v>163.72405027759442</v>
      </c>
      <c r="CT767" s="408">
        <v>763.42109273238566</v>
      </c>
      <c r="CU767" s="408">
        <v>0</v>
      </c>
      <c r="CV767" s="408">
        <v>0</v>
      </c>
      <c r="CW767" s="408">
        <v>0</v>
      </c>
      <c r="CX767" s="408">
        <v>0</v>
      </c>
      <c r="CY767" s="408">
        <v>0</v>
      </c>
      <c r="CZ767" s="408">
        <v>765.69211991634188</v>
      </c>
      <c r="DA767" s="408">
        <v>0</v>
      </c>
      <c r="DB767" s="408">
        <v>0</v>
      </c>
      <c r="DC767" s="408">
        <v>6527.9493335444713</v>
      </c>
      <c r="DD767" s="408">
        <v>0</v>
      </c>
      <c r="DE767" s="408">
        <v>0</v>
      </c>
      <c r="DF767" s="408">
        <v>0</v>
      </c>
      <c r="DG767" s="408">
        <v>342.5991949285085</v>
      </c>
      <c r="DH767" s="408">
        <v>0</v>
      </c>
      <c r="DI767" s="408">
        <v>-631.96707213946138</v>
      </c>
      <c r="DJ767" s="408"/>
      <c r="DK767" s="408">
        <v>0</v>
      </c>
      <c r="DL767" s="408">
        <v>0</v>
      </c>
      <c r="DM767" s="408">
        <v>0</v>
      </c>
      <c r="DN767" s="408">
        <v>0</v>
      </c>
      <c r="DO767" s="408">
        <v>-86.905630025811206</v>
      </c>
      <c r="DP767" s="408">
        <v>-10.333405811779926</v>
      </c>
      <c r="DQ767" s="408">
        <v>0</v>
      </c>
      <c r="DR767" s="408">
        <v>0</v>
      </c>
      <c r="DS767" s="408"/>
      <c r="DT767" s="408"/>
      <c r="DU767" s="408"/>
      <c r="DV767" s="408">
        <v>71225.007569385562</v>
      </c>
      <c r="DW767" s="408">
        <v>0</v>
      </c>
      <c r="DX767" s="408">
        <v>0</v>
      </c>
      <c r="DY767" s="408">
        <v>-16386.730859999996</v>
      </c>
      <c r="DZ767" s="408">
        <v>6528.6864599999972</v>
      </c>
      <c r="EA767" s="408">
        <v>0</v>
      </c>
      <c r="EB767" s="408">
        <v>0</v>
      </c>
      <c r="EC767" s="408">
        <v>-17693.50003913619</v>
      </c>
      <c r="ED767" s="408">
        <v>0</v>
      </c>
      <c r="EE767" s="408">
        <v>0</v>
      </c>
      <c r="EF767" s="408">
        <v>0</v>
      </c>
      <c r="EG767" s="408">
        <v>0</v>
      </c>
      <c r="EH767" s="408">
        <v>0</v>
      </c>
      <c r="EI767" s="408">
        <v>0</v>
      </c>
      <c r="EJ767" s="408">
        <v>0</v>
      </c>
      <c r="EK767" s="408">
        <v>0</v>
      </c>
      <c r="EL767" s="408">
        <v>0</v>
      </c>
      <c r="EM767" s="408">
        <v>0</v>
      </c>
      <c r="EN767" s="408">
        <v>0</v>
      </c>
      <c r="EO767" s="408">
        <v>0</v>
      </c>
      <c r="EP767" s="408">
        <v>4752.8904337490412</v>
      </c>
      <c r="EQ767" s="408">
        <v>0</v>
      </c>
      <c r="ER767" s="408">
        <v>0</v>
      </c>
      <c r="ES767" s="408">
        <v>0</v>
      </c>
      <c r="ET767" s="408">
        <v>0</v>
      </c>
      <c r="EU767" s="408">
        <v>0</v>
      </c>
      <c r="EV767" s="408">
        <v>240</v>
      </c>
      <c r="EW767" s="408">
        <v>0</v>
      </c>
      <c r="EX767" s="408">
        <v>0</v>
      </c>
      <c r="EY767" s="408">
        <v>0</v>
      </c>
      <c r="EZ767" s="408"/>
      <c r="FA767" s="408">
        <v>0</v>
      </c>
      <c r="FB767" s="408"/>
      <c r="FC767" s="408"/>
      <c r="FD767" s="408"/>
      <c r="FE767" s="408"/>
      <c r="FF767" s="408">
        <v>0</v>
      </c>
      <c r="FG767" s="408">
        <v>0</v>
      </c>
      <c r="FH767" s="408">
        <v>0</v>
      </c>
      <c r="FI767" s="408">
        <v>0</v>
      </c>
    </row>
    <row r="768" spans="1:165">
      <c r="A768" s="408">
        <v>766</v>
      </c>
      <c r="B768" s="408" t="s">
        <v>1036</v>
      </c>
      <c r="C768" s="408" t="s">
        <v>2235</v>
      </c>
      <c r="D768" s="408" t="s">
        <v>1955</v>
      </c>
      <c r="E768" s="408" t="s">
        <v>969</v>
      </c>
      <c r="F768" s="408" t="s">
        <v>2239</v>
      </c>
      <c r="G768" s="408" t="s">
        <v>1322</v>
      </c>
      <c r="H768" s="408" t="s">
        <v>1322</v>
      </c>
      <c r="I768" s="408" t="s">
        <v>1322</v>
      </c>
      <c r="J768" s="408" t="s">
        <v>2236</v>
      </c>
      <c r="K768" s="826">
        <v>44713</v>
      </c>
      <c r="L768" s="408">
        <v>0</v>
      </c>
      <c r="M768" s="408">
        <v>0</v>
      </c>
      <c r="N768" s="408">
        <v>49.387999999999998</v>
      </c>
      <c r="O768" s="408">
        <v>49.387999999999998</v>
      </c>
      <c r="P768" s="408">
        <v>49.387999999999998</v>
      </c>
      <c r="Q768" s="408">
        <v>49.387999999999998</v>
      </c>
      <c r="R768" s="408"/>
      <c r="S768" s="408">
        <v>281.47000000000003</v>
      </c>
      <c r="T768" s="408">
        <v>173.25</v>
      </c>
      <c r="U768" s="408"/>
      <c r="V768" s="408">
        <v>22457.711360000001</v>
      </c>
      <c r="W768" s="408">
        <v>22457.711360000001</v>
      </c>
      <c r="X768" s="408">
        <v>20965.205999999998</v>
      </c>
      <c r="Y768" s="408">
        <v>0</v>
      </c>
      <c r="Z768" s="408">
        <v>0</v>
      </c>
      <c r="AA768" s="408">
        <v>0</v>
      </c>
      <c r="AB768" s="408">
        <v>0</v>
      </c>
      <c r="AC768" s="408">
        <v>126.41043137673392</v>
      </c>
      <c r="AD768" s="408">
        <v>121.45207852539725</v>
      </c>
      <c r="AE768" s="408">
        <v>11632.706580940145</v>
      </c>
      <c r="AF768" s="408">
        <v>8412.7751612674383</v>
      </c>
      <c r="AG768" s="408">
        <v>143.58244960637126</v>
      </c>
      <c r="AH768" s="408">
        <v>0</v>
      </c>
      <c r="AI768" s="408">
        <v>0</v>
      </c>
      <c r="AJ768" s="408">
        <v>0</v>
      </c>
      <c r="AK768" s="408">
        <v>0</v>
      </c>
      <c r="AL768" s="408">
        <v>0</v>
      </c>
      <c r="AM768" s="408"/>
      <c r="AN768" s="408">
        <v>59.653627408946008</v>
      </c>
      <c r="AO768" s="408">
        <v>268.34453931206212</v>
      </c>
      <c r="AP768" s="408">
        <v>1251.2509987569949</v>
      </c>
      <c r="AQ768" s="408">
        <v>0</v>
      </c>
      <c r="AR768" s="408">
        <v>0</v>
      </c>
      <c r="AS768" s="408">
        <v>0</v>
      </c>
      <c r="AT768" s="408">
        <v>0</v>
      </c>
      <c r="AU768" s="408">
        <v>0</v>
      </c>
      <c r="AV768" s="408">
        <v>0</v>
      </c>
      <c r="AW768" s="408">
        <v>0</v>
      </c>
      <c r="AX768" s="408">
        <v>0</v>
      </c>
      <c r="AY768" s="408">
        <v>0</v>
      </c>
      <c r="AZ768" s="408">
        <v>0</v>
      </c>
      <c r="BA768" s="408"/>
      <c r="BB768" s="408">
        <v>0</v>
      </c>
      <c r="BC768" s="408">
        <v>0</v>
      </c>
      <c r="BD768" s="408">
        <v>0</v>
      </c>
      <c r="BE768" s="408">
        <v>0</v>
      </c>
      <c r="BF768" s="408">
        <v>0</v>
      </c>
      <c r="BG768" s="408">
        <v>441.518438654877</v>
      </c>
      <c r="BH768" s="408">
        <v>0</v>
      </c>
      <c r="BI768" s="408">
        <v>0.02</v>
      </c>
      <c r="BJ768" s="408">
        <v>82.18</v>
      </c>
      <c r="BK768" s="408">
        <v>2355.79</v>
      </c>
      <c r="BL768" s="408">
        <v>86</v>
      </c>
      <c r="BM768" s="408"/>
      <c r="BN768" s="408"/>
      <c r="BO768" s="408"/>
      <c r="BP768" s="408"/>
      <c r="BQ768" s="408"/>
      <c r="BR768" s="408"/>
      <c r="BS768" s="408"/>
      <c r="BT768" s="408">
        <v>13627.63084</v>
      </c>
      <c r="BU768" s="408"/>
      <c r="BV768" s="408">
        <v>8854.2935999223155</v>
      </c>
      <c r="BW768" s="408"/>
      <c r="BX768" s="408"/>
      <c r="BY768" s="408"/>
      <c r="BZ768" s="408"/>
      <c r="CA768" s="408"/>
      <c r="CB768" s="408"/>
      <c r="CC768" s="408"/>
      <c r="CD768" s="408"/>
      <c r="CE768" s="408"/>
      <c r="CF768" s="408"/>
      <c r="CG768" s="408"/>
      <c r="CH768" s="408"/>
      <c r="CI768" s="408">
        <v>7337.8722999999991</v>
      </c>
      <c r="CJ768" s="408">
        <v>-522.75178000000142</v>
      </c>
      <c r="CK768" s="408"/>
      <c r="CL768" s="408"/>
      <c r="CM768" s="408"/>
      <c r="CN768" s="408"/>
      <c r="CO768" s="408">
        <v>-2558.7922800000015</v>
      </c>
      <c r="CP768" s="408">
        <v>1066.2869200000002</v>
      </c>
      <c r="CQ768" s="408">
        <v>30</v>
      </c>
      <c r="CR768" s="408">
        <v>1396.9131372295615</v>
      </c>
      <c r="CS768" s="408">
        <v>26.739959771390431</v>
      </c>
      <c r="CT768" s="408">
        <v>124.68448754891642</v>
      </c>
      <c r="CU768" s="408">
        <v>0</v>
      </c>
      <c r="CV768" s="408">
        <v>0</v>
      </c>
      <c r="CW768" s="408">
        <v>0</v>
      </c>
      <c r="CX768" s="408">
        <v>0</v>
      </c>
      <c r="CY768" s="408">
        <v>0</v>
      </c>
      <c r="CZ768" s="408">
        <v>125.05539930828088</v>
      </c>
      <c r="DA768" s="408">
        <v>0</v>
      </c>
      <c r="DB768" s="408">
        <v>0</v>
      </c>
      <c r="DC768" s="408">
        <v>1066.1665300405912</v>
      </c>
      <c r="DD768" s="408">
        <v>0</v>
      </c>
      <c r="DE768" s="408">
        <v>0</v>
      </c>
      <c r="DF768" s="408">
        <v>0</v>
      </c>
      <c r="DG768" s="408">
        <v>55.954446976888391</v>
      </c>
      <c r="DH768" s="408">
        <v>0</v>
      </c>
      <c r="DI768" s="408">
        <v>0</v>
      </c>
      <c r="DJ768" s="408"/>
      <c r="DK768" s="408">
        <v>0</v>
      </c>
      <c r="DL768" s="408">
        <v>0</v>
      </c>
      <c r="DM768" s="408">
        <v>0</v>
      </c>
      <c r="DN768" s="408">
        <v>0</v>
      </c>
      <c r="DO768" s="408">
        <v>0</v>
      </c>
      <c r="DP768" s="408">
        <v>-1.6876864165035954</v>
      </c>
      <c r="DQ768" s="408">
        <v>0</v>
      </c>
      <c r="DR768" s="408">
        <v>0</v>
      </c>
      <c r="DS768" s="408"/>
      <c r="DT768" s="408"/>
      <c r="DU768" s="408"/>
      <c r="DV768" s="408">
        <v>11632.706580940145</v>
      </c>
      <c r="DW768" s="408">
        <v>0</v>
      </c>
      <c r="DX768" s="408">
        <v>0</v>
      </c>
      <c r="DY768" s="408">
        <v>-2558.7922800000015</v>
      </c>
      <c r="DZ768" s="408">
        <v>1066.2869200000005</v>
      </c>
      <c r="EA768" s="408">
        <v>0</v>
      </c>
      <c r="EB768" s="408">
        <v>0</v>
      </c>
      <c r="EC768" s="408">
        <v>-2889.7616352601508</v>
      </c>
      <c r="ED768" s="408">
        <v>0</v>
      </c>
      <c r="EE768" s="408">
        <v>0</v>
      </c>
      <c r="EF768" s="408">
        <v>0</v>
      </c>
      <c r="EG768" s="408">
        <v>0</v>
      </c>
      <c r="EH768" s="408">
        <v>0</v>
      </c>
      <c r="EI768" s="408">
        <v>0</v>
      </c>
      <c r="EJ768" s="408">
        <v>0</v>
      </c>
      <c r="EK768" s="408">
        <v>0</v>
      </c>
      <c r="EL768" s="408">
        <v>0</v>
      </c>
      <c r="EM768" s="408">
        <v>0</v>
      </c>
      <c r="EN768" s="408">
        <v>0</v>
      </c>
      <c r="EO768" s="408">
        <v>0</v>
      </c>
      <c r="EP768" s="408">
        <v>0</v>
      </c>
      <c r="EQ768" s="408">
        <v>0</v>
      </c>
      <c r="ER768" s="408">
        <v>0</v>
      </c>
      <c r="ES768" s="408">
        <v>0</v>
      </c>
      <c r="ET768" s="408">
        <v>0</v>
      </c>
      <c r="EU768" s="408">
        <v>0</v>
      </c>
      <c r="EV768" s="408">
        <v>240</v>
      </c>
      <c r="EW768" s="408">
        <v>0</v>
      </c>
      <c r="EX768" s="408">
        <v>0</v>
      </c>
      <c r="EY768" s="408">
        <v>0</v>
      </c>
      <c r="EZ768" s="408"/>
      <c r="FA768" s="408">
        <v>0</v>
      </c>
      <c r="FB768" s="408"/>
      <c r="FC768" s="408"/>
      <c r="FD768" s="408"/>
      <c r="FE768" s="408"/>
      <c r="FF768" s="408">
        <v>0</v>
      </c>
      <c r="FG768" s="408">
        <v>0</v>
      </c>
      <c r="FH768" s="408">
        <v>0</v>
      </c>
      <c r="FI768" s="408">
        <v>0</v>
      </c>
    </row>
    <row r="769" spans="1:165">
      <c r="A769" s="408">
        <v>767</v>
      </c>
      <c r="B769" s="408" t="s">
        <v>1036</v>
      </c>
      <c r="C769" s="408" t="s">
        <v>2235</v>
      </c>
      <c r="D769" s="408" t="s">
        <v>1955</v>
      </c>
      <c r="E769" s="408" t="s">
        <v>969</v>
      </c>
      <c r="F769" s="408" t="s">
        <v>2240</v>
      </c>
      <c r="G769" s="408" t="s">
        <v>1322</v>
      </c>
      <c r="H769" s="408" t="s">
        <v>1322</v>
      </c>
      <c r="I769" s="408" t="s">
        <v>1322</v>
      </c>
      <c r="J769" s="408" t="s">
        <v>2236</v>
      </c>
      <c r="K769" s="826">
        <v>44713</v>
      </c>
      <c r="L769" s="408">
        <v>0</v>
      </c>
      <c r="M769" s="408">
        <v>0</v>
      </c>
      <c r="N769" s="408">
        <v>101.41500000000001</v>
      </c>
      <c r="O769" s="408">
        <v>101.41500000000001</v>
      </c>
      <c r="P769" s="408">
        <v>101.41500000000001</v>
      </c>
      <c r="Q769" s="408">
        <v>101.41500000000001</v>
      </c>
      <c r="R769" s="408"/>
      <c r="S769" s="408">
        <v>281.47000000000003</v>
      </c>
      <c r="T769" s="408">
        <v>173.25</v>
      </c>
      <c r="U769" s="408"/>
      <c r="V769" s="408">
        <v>46115.428800000009</v>
      </c>
      <c r="W769" s="408">
        <v>46115.428800000009</v>
      </c>
      <c r="X769" s="408">
        <v>43050.667500000003</v>
      </c>
      <c r="Y769" s="408">
        <v>0</v>
      </c>
      <c r="Z769" s="408">
        <v>0</v>
      </c>
      <c r="AA769" s="408">
        <v>0</v>
      </c>
      <c r="AB769" s="408">
        <v>0</v>
      </c>
      <c r="AC769" s="408">
        <v>259.57548185938839</v>
      </c>
      <c r="AD769" s="408">
        <v>249.39383136902009</v>
      </c>
      <c r="AE769" s="408">
        <v>23886.995584069915</v>
      </c>
      <c r="AF769" s="408">
        <v>17275.07882440952</v>
      </c>
      <c r="AG769" s="408">
        <v>294.83708849984089</v>
      </c>
      <c r="AH769" s="408">
        <v>0</v>
      </c>
      <c r="AI769" s="408">
        <v>0</v>
      </c>
      <c r="AJ769" s="408">
        <v>0</v>
      </c>
      <c r="AK769" s="408">
        <v>0</v>
      </c>
      <c r="AL769" s="408">
        <v>0</v>
      </c>
      <c r="AM769" s="408"/>
      <c r="AN769" s="408">
        <v>122.49478868709525</v>
      </c>
      <c r="AO769" s="408">
        <v>551.02780947462509</v>
      </c>
      <c r="AP769" s="408">
        <v>2569.3613841204474</v>
      </c>
      <c r="AQ769" s="408">
        <v>0</v>
      </c>
      <c r="AR769" s="408">
        <v>0</v>
      </c>
      <c r="AS769" s="408">
        <v>0</v>
      </c>
      <c r="AT769" s="408">
        <v>0</v>
      </c>
      <c r="AU769" s="408">
        <v>0</v>
      </c>
      <c r="AV769" s="408">
        <v>0</v>
      </c>
      <c r="AW769" s="408">
        <v>0</v>
      </c>
      <c r="AX769" s="408">
        <v>0</v>
      </c>
      <c r="AY769" s="408">
        <v>0</v>
      </c>
      <c r="AZ769" s="408">
        <v>0</v>
      </c>
      <c r="BA769" s="408"/>
      <c r="BB769" s="408">
        <v>0</v>
      </c>
      <c r="BC769" s="408">
        <v>0</v>
      </c>
      <c r="BD769" s="408">
        <v>0</v>
      </c>
      <c r="BE769" s="408">
        <v>0</v>
      </c>
      <c r="BF769" s="408">
        <v>0</v>
      </c>
      <c r="BG769" s="408">
        <v>906.62898793602403</v>
      </c>
      <c r="BH769" s="408">
        <v>0</v>
      </c>
      <c r="BI769" s="408">
        <v>26.71</v>
      </c>
      <c r="BJ769" s="408">
        <v>291.06</v>
      </c>
      <c r="BK769" s="408">
        <v>8678.26</v>
      </c>
      <c r="BL769" s="408">
        <v>289</v>
      </c>
      <c r="BM769" s="408"/>
      <c r="BN769" s="408"/>
      <c r="BO769" s="408"/>
      <c r="BP769" s="408"/>
      <c r="BQ769" s="408"/>
      <c r="BR769" s="408"/>
      <c r="BS769" s="408"/>
      <c r="BT769" s="408">
        <v>17221.281150000003</v>
      </c>
      <c r="BU769" s="408"/>
      <c r="BV769" s="408">
        <v>18181.707812345543</v>
      </c>
      <c r="BW769" s="408"/>
      <c r="BX769" s="408"/>
      <c r="BY769" s="408"/>
      <c r="BZ769" s="408"/>
      <c r="CA769" s="408"/>
      <c r="CB769" s="408"/>
      <c r="CC769" s="408"/>
      <c r="CD769" s="408"/>
      <c r="CE769" s="408"/>
      <c r="CF769" s="408"/>
      <c r="CG769" s="408"/>
      <c r="CH769" s="408"/>
      <c r="CI769" s="408">
        <v>25830.659800000001</v>
      </c>
      <c r="CJ769" s="408">
        <v>-1838.4246499999972</v>
      </c>
      <c r="CK769" s="408"/>
      <c r="CL769" s="408"/>
      <c r="CM769" s="408"/>
      <c r="CN769" s="408"/>
      <c r="CO769" s="408">
        <v>-5254.3111500000032</v>
      </c>
      <c r="CP769" s="408">
        <v>2189.5498500000003</v>
      </c>
      <c r="CQ769" s="408">
        <v>30</v>
      </c>
      <c r="CR769" s="408">
        <v>2868.4689765152762</v>
      </c>
      <c r="CS769" s="408">
        <v>54.908743423818692</v>
      </c>
      <c r="CT769" s="408">
        <v>256.03137006506358</v>
      </c>
      <c r="CU769" s="408">
        <v>0</v>
      </c>
      <c r="CV769" s="408">
        <v>0</v>
      </c>
      <c r="CW769" s="408">
        <v>0</v>
      </c>
      <c r="CX769" s="408">
        <v>0</v>
      </c>
      <c r="CY769" s="408">
        <v>0</v>
      </c>
      <c r="CZ769" s="408">
        <v>256.79301289481873</v>
      </c>
      <c r="DA769" s="408">
        <v>0</v>
      </c>
      <c r="DB769" s="408">
        <v>0</v>
      </c>
      <c r="DC769" s="408">
        <v>2189.30263716017</v>
      </c>
      <c r="DD769" s="408">
        <v>0</v>
      </c>
      <c r="DE769" s="408">
        <v>0</v>
      </c>
      <c r="DF769" s="408">
        <v>0</v>
      </c>
      <c r="DG769" s="408">
        <v>114.89876569533362</v>
      </c>
      <c r="DH769" s="408">
        <v>0</v>
      </c>
      <c r="DI769" s="408">
        <v>0</v>
      </c>
      <c r="DJ769" s="408"/>
      <c r="DK769" s="408">
        <v>0</v>
      </c>
      <c r="DL769" s="408">
        <v>0</v>
      </c>
      <c r="DM769" s="408">
        <v>0</v>
      </c>
      <c r="DN769" s="408">
        <v>0</v>
      </c>
      <c r="DO769" s="408">
        <v>0</v>
      </c>
      <c r="DP769" s="408">
        <v>-3.465552723935204</v>
      </c>
      <c r="DQ769" s="408">
        <v>0</v>
      </c>
      <c r="DR769" s="408">
        <v>0</v>
      </c>
      <c r="DS769" s="408"/>
      <c r="DT769" s="408"/>
      <c r="DU769" s="408"/>
      <c r="DV769" s="408">
        <v>23886.995584069915</v>
      </c>
      <c r="DW769" s="408">
        <v>0</v>
      </c>
      <c r="DX769" s="408">
        <v>0</v>
      </c>
      <c r="DY769" s="408">
        <v>-5254.311150000005</v>
      </c>
      <c r="DZ769" s="408">
        <v>2189.5498500000031</v>
      </c>
      <c r="EA769" s="408">
        <v>0</v>
      </c>
      <c r="EB769" s="408">
        <v>0</v>
      </c>
      <c r="EC769" s="408">
        <v>-5933.9348878251476</v>
      </c>
      <c r="ED769" s="408">
        <v>0</v>
      </c>
      <c r="EE769" s="408">
        <v>0</v>
      </c>
      <c r="EF769" s="408">
        <v>0</v>
      </c>
      <c r="EG769" s="408">
        <v>0</v>
      </c>
      <c r="EH769" s="408">
        <v>0</v>
      </c>
      <c r="EI769" s="408">
        <v>0</v>
      </c>
      <c r="EJ769" s="408">
        <v>0</v>
      </c>
      <c r="EK769" s="408">
        <v>0</v>
      </c>
      <c r="EL769" s="408">
        <v>0</v>
      </c>
      <c r="EM769" s="408">
        <v>0</v>
      </c>
      <c r="EN769" s="408">
        <v>0</v>
      </c>
      <c r="EO769" s="408">
        <v>0</v>
      </c>
      <c r="EP769" s="408">
        <v>0</v>
      </c>
      <c r="EQ769" s="408">
        <v>0</v>
      </c>
      <c r="ER769" s="408">
        <v>0</v>
      </c>
      <c r="ES769" s="408">
        <v>0</v>
      </c>
      <c r="ET769" s="408">
        <v>0</v>
      </c>
      <c r="EU769" s="408">
        <v>0</v>
      </c>
      <c r="EV769" s="408">
        <v>240</v>
      </c>
      <c r="EW769" s="408">
        <v>0</v>
      </c>
      <c r="EX769" s="408">
        <v>0</v>
      </c>
      <c r="EY769" s="408">
        <v>0</v>
      </c>
      <c r="EZ769" s="408"/>
      <c r="FA769" s="408">
        <v>0</v>
      </c>
      <c r="FB769" s="408"/>
      <c r="FC769" s="408"/>
      <c r="FD769" s="408"/>
      <c r="FE769" s="408"/>
      <c r="FF769" s="408">
        <v>0</v>
      </c>
      <c r="FG769" s="408">
        <v>0</v>
      </c>
      <c r="FH769" s="408">
        <v>0</v>
      </c>
      <c r="FI769" s="408">
        <v>0</v>
      </c>
    </row>
    <row r="770" spans="1:165">
      <c r="A770" s="408">
        <v>768</v>
      </c>
      <c r="B770" s="408" t="s">
        <v>1036</v>
      </c>
      <c r="C770" s="408" t="s">
        <v>2235</v>
      </c>
      <c r="D770" s="408" t="s">
        <v>1955</v>
      </c>
      <c r="E770" s="408" t="s">
        <v>969</v>
      </c>
      <c r="F770" s="408" t="s">
        <v>2241</v>
      </c>
      <c r="G770" s="408" t="s">
        <v>1322</v>
      </c>
      <c r="H770" s="408" t="s">
        <v>1322</v>
      </c>
      <c r="I770" s="408" t="s">
        <v>1322</v>
      </c>
      <c r="J770" s="408" t="s">
        <v>2236</v>
      </c>
      <c r="K770" s="826">
        <v>44713</v>
      </c>
      <c r="L770" s="408">
        <v>0</v>
      </c>
      <c r="M770" s="408">
        <v>0</v>
      </c>
      <c r="N770" s="408">
        <v>104.858</v>
      </c>
      <c r="O770" s="408">
        <v>104.858</v>
      </c>
      <c r="P770" s="408">
        <v>104.858</v>
      </c>
      <c r="Q770" s="408">
        <v>104.858</v>
      </c>
      <c r="R770" s="408"/>
      <c r="S770" s="408">
        <v>281.47000000000003</v>
      </c>
      <c r="T770" s="408">
        <v>173.25</v>
      </c>
      <c r="U770" s="408"/>
      <c r="V770" s="408">
        <v>47681.029760000005</v>
      </c>
      <c r="W770" s="408">
        <v>47681.029760000005</v>
      </c>
      <c r="X770" s="408">
        <v>44512.221000000005</v>
      </c>
      <c r="Y770" s="408">
        <v>0</v>
      </c>
      <c r="Z770" s="408">
        <v>0</v>
      </c>
      <c r="AA770" s="408">
        <v>0</v>
      </c>
      <c r="AB770" s="408">
        <v>0</v>
      </c>
      <c r="AC770" s="408">
        <v>268.38796900667302</v>
      </c>
      <c r="AD770" s="408">
        <v>257.86065542269591</v>
      </c>
      <c r="AE770" s="408">
        <v>24697.949839317684</v>
      </c>
      <c r="AF770" s="408">
        <v>17861.561064634752</v>
      </c>
      <c r="AG770" s="408">
        <v>304.84669354549442</v>
      </c>
      <c r="AH770" s="408">
        <v>0</v>
      </c>
      <c r="AI770" s="408">
        <v>0</v>
      </c>
      <c r="AJ770" s="408">
        <v>0</v>
      </c>
      <c r="AK770" s="408">
        <v>0</v>
      </c>
      <c r="AL770" s="408">
        <v>0</v>
      </c>
      <c r="AM770" s="408"/>
      <c r="AN770" s="408">
        <v>126.65343935464608</v>
      </c>
      <c r="AO770" s="408">
        <v>569.73499034551332</v>
      </c>
      <c r="AP770" s="408">
        <v>2656.590208707803</v>
      </c>
      <c r="AQ770" s="408">
        <v>0</v>
      </c>
      <c r="AR770" s="408">
        <v>0</v>
      </c>
      <c r="AS770" s="408">
        <v>0</v>
      </c>
      <c r="AT770" s="408">
        <v>0</v>
      </c>
      <c r="AU770" s="408">
        <v>0</v>
      </c>
      <c r="AV770" s="408">
        <v>0</v>
      </c>
      <c r="AW770" s="408">
        <v>0</v>
      </c>
      <c r="AX770" s="408">
        <v>0</v>
      </c>
      <c r="AY770" s="408">
        <v>0</v>
      </c>
      <c r="AZ770" s="408">
        <v>0</v>
      </c>
      <c r="BA770" s="408"/>
      <c r="BB770" s="408">
        <v>0</v>
      </c>
      <c r="BC770" s="408">
        <v>0</v>
      </c>
      <c r="BD770" s="408">
        <v>0</v>
      </c>
      <c r="BE770" s="408">
        <v>0</v>
      </c>
      <c r="BF770" s="408">
        <v>0</v>
      </c>
      <c r="BG770" s="408">
        <v>937.40869118962291</v>
      </c>
      <c r="BH770" s="408">
        <v>0</v>
      </c>
      <c r="BI770" s="408">
        <v>38.15</v>
      </c>
      <c r="BJ770" s="408">
        <v>441.45</v>
      </c>
      <c r="BK770" s="408">
        <v>13506.92</v>
      </c>
      <c r="BL770" s="408">
        <v>756</v>
      </c>
      <c r="BM770" s="408"/>
      <c r="BN770" s="408"/>
      <c r="BO770" s="408"/>
      <c r="BP770" s="408"/>
      <c r="BQ770" s="408"/>
      <c r="BR770" s="408"/>
      <c r="BS770" s="408"/>
      <c r="BT770" s="408">
        <v>4452.2706800000014</v>
      </c>
      <c r="BU770" s="408"/>
      <c r="BV770" s="408">
        <v>18798.969755824375</v>
      </c>
      <c r="BW770" s="408"/>
      <c r="BX770" s="408"/>
      <c r="BY770" s="408"/>
      <c r="BZ770" s="408"/>
      <c r="CA770" s="408"/>
      <c r="CB770" s="408"/>
      <c r="CC770" s="408"/>
      <c r="CD770" s="408"/>
      <c r="CE770" s="408"/>
      <c r="CF770" s="408"/>
      <c r="CG770" s="408"/>
      <c r="CH770" s="408"/>
      <c r="CI770" s="408">
        <v>40060.714399999997</v>
      </c>
      <c r="CJ770" s="408">
        <v>-2851.4035199999998</v>
      </c>
      <c r="CK770" s="408"/>
      <c r="CL770" s="408"/>
      <c r="CM770" s="408"/>
      <c r="CN770" s="408"/>
      <c r="CO770" s="408">
        <v>-5432.6929800000034</v>
      </c>
      <c r="CP770" s="408">
        <v>2263.8842200000004</v>
      </c>
      <c r="CQ770" s="408">
        <v>30</v>
      </c>
      <c r="CR770" s="408">
        <v>2965.8523881027249</v>
      </c>
      <c r="CS770" s="408">
        <v>56.772874012076954</v>
      </c>
      <c r="CT770" s="408">
        <v>264.72353598858626</v>
      </c>
      <c r="CU770" s="408">
        <v>0</v>
      </c>
      <c r="CV770" s="408">
        <v>0</v>
      </c>
      <c r="CW770" s="408">
        <v>0</v>
      </c>
      <c r="CX770" s="408">
        <v>0</v>
      </c>
      <c r="CY770" s="408">
        <v>0</v>
      </c>
      <c r="CZ770" s="408">
        <v>265.51103629763747</v>
      </c>
      <c r="DA770" s="408">
        <v>0</v>
      </c>
      <c r="DB770" s="408">
        <v>0</v>
      </c>
      <c r="DC770" s="408">
        <v>2263.6286143799334</v>
      </c>
      <c r="DD770" s="408">
        <v>0</v>
      </c>
      <c r="DE770" s="408">
        <v>0</v>
      </c>
      <c r="DF770" s="408">
        <v>0</v>
      </c>
      <c r="DG770" s="408">
        <v>118.79953432215439</v>
      </c>
      <c r="DH770" s="408">
        <v>0</v>
      </c>
      <c r="DI770" s="408">
        <v>0</v>
      </c>
      <c r="DJ770" s="408"/>
      <c r="DK770" s="408">
        <v>0</v>
      </c>
      <c r="DL770" s="408">
        <v>0</v>
      </c>
      <c r="DM770" s="408">
        <v>0</v>
      </c>
      <c r="DN770" s="408">
        <v>0</v>
      </c>
      <c r="DO770" s="408">
        <v>0</v>
      </c>
      <c r="DP770" s="408">
        <v>-3.5832068976620519</v>
      </c>
      <c r="DQ770" s="408">
        <v>0</v>
      </c>
      <c r="DR770" s="408">
        <v>0</v>
      </c>
      <c r="DS770" s="408"/>
      <c r="DT770" s="408"/>
      <c r="DU770" s="408"/>
      <c r="DV770" s="408">
        <v>24697.949839317684</v>
      </c>
      <c r="DW770" s="408">
        <v>0</v>
      </c>
      <c r="DX770" s="408">
        <v>0</v>
      </c>
      <c r="DY770" s="408">
        <v>-5432.6929800000034</v>
      </c>
      <c r="DZ770" s="408">
        <v>2263.8842200000036</v>
      </c>
      <c r="EA770" s="408">
        <v>0</v>
      </c>
      <c r="EB770" s="408">
        <v>0</v>
      </c>
      <c r="EC770" s="408">
        <v>-6135.3896806938719</v>
      </c>
      <c r="ED770" s="408">
        <v>0</v>
      </c>
      <c r="EE770" s="408">
        <v>0</v>
      </c>
      <c r="EF770" s="408">
        <v>0</v>
      </c>
      <c r="EG770" s="408">
        <v>0</v>
      </c>
      <c r="EH770" s="408">
        <v>0</v>
      </c>
      <c r="EI770" s="408">
        <v>0</v>
      </c>
      <c r="EJ770" s="408">
        <v>0</v>
      </c>
      <c r="EK770" s="408">
        <v>0</v>
      </c>
      <c r="EL770" s="408">
        <v>0</v>
      </c>
      <c r="EM770" s="408">
        <v>0</v>
      </c>
      <c r="EN770" s="408">
        <v>0</v>
      </c>
      <c r="EO770" s="408">
        <v>0</v>
      </c>
      <c r="EP770" s="408">
        <v>0</v>
      </c>
      <c r="EQ770" s="408">
        <v>0</v>
      </c>
      <c r="ER770" s="408">
        <v>0</v>
      </c>
      <c r="ES770" s="408">
        <v>0</v>
      </c>
      <c r="ET770" s="408">
        <v>0</v>
      </c>
      <c r="EU770" s="408">
        <v>0</v>
      </c>
      <c r="EV770" s="408">
        <v>240</v>
      </c>
      <c r="EW770" s="408">
        <v>0</v>
      </c>
      <c r="EX770" s="408">
        <v>0</v>
      </c>
      <c r="EY770" s="408">
        <v>0</v>
      </c>
      <c r="EZ770" s="408"/>
      <c r="FA770" s="408">
        <v>0</v>
      </c>
      <c r="FB770" s="408"/>
      <c r="FC770" s="408"/>
      <c r="FD770" s="408"/>
      <c r="FE770" s="408"/>
      <c r="FF770" s="408">
        <v>0</v>
      </c>
      <c r="FG770" s="408">
        <v>0</v>
      </c>
      <c r="FH770" s="408">
        <v>0</v>
      </c>
      <c r="FI770" s="408">
        <v>0</v>
      </c>
    </row>
    <row r="771" spans="1:165">
      <c r="A771" s="408">
        <v>769</v>
      </c>
      <c r="B771" s="408" t="s">
        <v>1036</v>
      </c>
      <c r="C771" s="408" t="s">
        <v>2235</v>
      </c>
      <c r="D771" s="408" t="s">
        <v>1955</v>
      </c>
      <c r="E771" s="408" t="s">
        <v>969</v>
      </c>
      <c r="F771" s="408" t="s">
        <v>2242</v>
      </c>
      <c r="G771" s="408" t="s">
        <v>1322</v>
      </c>
      <c r="H771" s="408" t="s">
        <v>1322</v>
      </c>
      <c r="I771" s="408" t="s">
        <v>1322</v>
      </c>
      <c r="J771" s="408" t="s">
        <v>2236</v>
      </c>
      <c r="K771" s="826">
        <v>44713</v>
      </c>
      <c r="L771" s="408">
        <v>0</v>
      </c>
      <c r="M771" s="408">
        <v>0</v>
      </c>
      <c r="N771" s="408">
        <v>55.104999999999997</v>
      </c>
      <c r="O771" s="408">
        <v>55.104999999999997</v>
      </c>
      <c r="P771" s="408">
        <v>55.104999999999997</v>
      </c>
      <c r="Q771" s="408">
        <v>55.104999999999997</v>
      </c>
      <c r="R771" s="408"/>
      <c r="S771" s="408">
        <v>281.47000000000003</v>
      </c>
      <c r="T771" s="408">
        <v>173.25</v>
      </c>
      <c r="U771" s="408"/>
      <c r="V771" s="408">
        <v>25057.345600000001</v>
      </c>
      <c r="W771" s="408">
        <v>25057.345600000001</v>
      </c>
      <c r="X771" s="408">
        <v>23392.072499999998</v>
      </c>
      <c r="Y771" s="408">
        <v>0</v>
      </c>
      <c r="Z771" s="408">
        <v>0</v>
      </c>
      <c r="AA771" s="408">
        <v>0</v>
      </c>
      <c r="AB771" s="408">
        <v>0</v>
      </c>
      <c r="AC771" s="408">
        <v>141.04330649175756</v>
      </c>
      <c r="AD771" s="408">
        <v>135.51099026366759</v>
      </c>
      <c r="AE771" s="408">
        <v>12979.27221476283</v>
      </c>
      <c r="AF771" s="408">
        <v>9386.6116316036714</v>
      </c>
      <c r="AG771" s="408">
        <v>160.20310370047559</v>
      </c>
      <c r="AH771" s="408">
        <v>0</v>
      </c>
      <c r="AI771" s="408">
        <v>0</v>
      </c>
      <c r="AJ771" s="408">
        <v>0</v>
      </c>
      <c r="AK771" s="408">
        <v>0</v>
      </c>
      <c r="AL771" s="408">
        <v>0</v>
      </c>
      <c r="AM771" s="408"/>
      <c r="AN771" s="408">
        <v>66.558944244957672</v>
      </c>
      <c r="AO771" s="408">
        <v>299.40726165852402</v>
      </c>
      <c r="AP771" s="408">
        <v>1396.0918904694299</v>
      </c>
      <c r="AQ771" s="408">
        <v>0</v>
      </c>
      <c r="AR771" s="408">
        <v>0</v>
      </c>
      <c r="AS771" s="408">
        <v>0</v>
      </c>
      <c r="AT771" s="408">
        <v>0</v>
      </c>
      <c r="AU771" s="408">
        <v>0</v>
      </c>
      <c r="AV771" s="408">
        <v>0</v>
      </c>
      <c r="AW771" s="408">
        <v>0</v>
      </c>
      <c r="AX771" s="408">
        <v>0</v>
      </c>
      <c r="AY771" s="408">
        <v>0</v>
      </c>
      <c r="AZ771" s="408">
        <v>0</v>
      </c>
      <c r="BA771" s="408"/>
      <c r="BB771" s="408">
        <v>0</v>
      </c>
      <c r="BC771" s="408">
        <v>0</v>
      </c>
      <c r="BD771" s="408">
        <v>0</v>
      </c>
      <c r="BE771" s="408">
        <v>0</v>
      </c>
      <c r="BF771" s="408">
        <v>0</v>
      </c>
      <c r="BG771" s="408">
        <v>492.62722851860769</v>
      </c>
      <c r="BH771" s="408">
        <v>0</v>
      </c>
      <c r="BI771" s="408">
        <v>24.47</v>
      </c>
      <c r="BJ771" s="408">
        <v>260.7</v>
      </c>
      <c r="BK771" s="408">
        <v>7891.53</v>
      </c>
      <c r="BL771" s="408">
        <v>513</v>
      </c>
      <c r="BM771" s="408"/>
      <c r="BN771" s="408"/>
      <c r="BO771" s="408"/>
      <c r="BP771" s="408"/>
      <c r="BQ771" s="408"/>
      <c r="BR771" s="408"/>
      <c r="BS771" s="408"/>
      <c r="BT771" s="408"/>
      <c r="BU771" s="408"/>
      <c r="BV771" s="408">
        <v>9879.2388601222792</v>
      </c>
      <c r="BW771" s="408"/>
      <c r="BX771" s="408"/>
      <c r="BY771" s="408"/>
      <c r="BZ771" s="408"/>
      <c r="CA771" s="408"/>
      <c r="CB771" s="408"/>
      <c r="CC771" s="408"/>
      <c r="CD771" s="408"/>
      <c r="CE771" s="408"/>
      <c r="CF771" s="408"/>
      <c r="CG771" s="408"/>
      <c r="CH771" s="408"/>
      <c r="CI771" s="408">
        <v>23394.195</v>
      </c>
      <c r="CJ771" s="408">
        <v>-1663.1805999999997</v>
      </c>
      <c r="CK771" s="408"/>
      <c r="CL771" s="408"/>
      <c r="CM771" s="408"/>
      <c r="CN771" s="408"/>
      <c r="CO771" s="408">
        <v>-2854.9900500000017</v>
      </c>
      <c r="CP771" s="408">
        <v>1189.7169500000002</v>
      </c>
      <c r="CQ771" s="408">
        <v>30</v>
      </c>
      <c r="CR771" s="408">
        <v>1558.6154212973815</v>
      </c>
      <c r="CS771" s="408">
        <v>29.835293658428498</v>
      </c>
      <c r="CT771" s="408">
        <v>139.11757281896485</v>
      </c>
      <c r="CU771" s="408">
        <v>0</v>
      </c>
      <c r="CV771" s="408">
        <v>0</v>
      </c>
      <c r="CW771" s="408">
        <v>0</v>
      </c>
      <c r="CX771" s="408">
        <v>0</v>
      </c>
      <c r="CY771" s="408">
        <v>0</v>
      </c>
      <c r="CZ771" s="408">
        <v>139.53142016041991</v>
      </c>
      <c r="DA771" s="408">
        <v>0</v>
      </c>
      <c r="DB771" s="408">
        <v>0</v>
      </c>
      <c r="DC771" s="408">
        <v>1189.5826240764309</v>
      </c>
      <c r="DD771" s="408">
        <v>0</v>
      </c>
      <c r="DE771" s="408">
        <v>0</v>
      </c>
      <c r="DF771" s="408">
        <v>0</v>
      </c>
      <c r="DG771" s="408">
        <v>62.431558286657378</v>
      </c>
      <c r="DH771" s="408">
        <v>0</v>
      </c>
      <c r="DI771" s="408">
        <v>0</v>
      </c>
      <c r="DJ771" s="408"/>
      <c r="DK771" s="408">
        <v>0</v>
      </c>
      <c r="DL771" s="408">
        <v>0</v>
      </c>
      <c r="DM771" s="408">
        <v>0</v>
      </c>
      <c r="DN771" s="408">
        <v>0</v>
      </c>
      <c r="DO771" s="408">
        <v>0</v>
      </c>
      <c r="DP771" s="408">
        <v>-1.8830477035196793</v>
      </c>
      <c r="DQ771" s="408">
        <v>0</v>
      </c>
      <c r="DR771" s="408">
        <v>0</v>
      </c>
      <c r="DS771" s="408"/>
      <c r="DT771" s="408"/>
      <c r="DU771" s="408"/>
      <c r="DV771" s="408">
        <v>12979.27221476283</v>
      </c>
      <c r="DW771" s="408">
        <v>0</v>
      </c>
      <c r="DX771" s="408">
        <v>0</v>
      </c>
      <c r="DY771" s="408">
        <v>-2854.9900500000022</v>
      </c>
      <c r="DZ771" s="408">
        <v>1189.71695</v>
      </c>
      <c r="EA771" s="408">
        <v>0</v>
      </c>
      <c r="EB771" s="408">
        <v>0</v>
      </c>
      <c r="EC771" s="408">
        <v>-3224.2713799103149</v>
      </c>
      <c r="ED771" s="408">
        <v>0</v>
      </c>
      <c r="EE771" s="408">
        <v>0</v>
      </c>
      <c r="EF771" s="408">
        <v>0</v>
      </c>
      <c r="EG771" s="408">
        <v>0</v>
      </c>
      <c r="EH771" s="408">
        <v>0</v>
      </c>
      <c r="EI771" s="408">
        <v>0</v>
      </c>
      <c r="EJ771" s="408">
        <v>0</v>
      </c>
      <c r="EK771" s="408">
        <v>0</v>
      </c>
      <c r="EL771" s="408">
        <v>0</v>
      </c>
      <c r="EM771" s="408">
        <v>0</v>
      </c>
      <c r="EN771" s="408">
        <v>0</v>
      </c>
      <c r="EO771" s="408">
        <v>0</v>
      </c>
      <c r="EP771" s="408">
        <v>0</v>
      </c>
      <c r="EQ771" s="408">
        <v>0</v>
      </c>
      <c r="ER771" s="408">
        <v>0</v>
      </c>
      <c r="ES771" s="408">
        <v>0</v>
      </c>
      <c r="ET771" s="408">
        <v>0</v>
      </c>
      <c r="EU771" s="408">
        <v>0</v>
      </c>
      <c r="EV771" s="408">
        <v>240</v>
      </c>
      <c r="EW771" s="408">
        <v>0</v>
      </c>
      <c r="EX771" s="408">
        <v>0</v>
      </c>
      <c r="EY771" s="408">
        <v>0</v>
      </c>
      <c r="EZ771" s="408"/>
      <c r="FA771" s="408">
        <v>0</v>
      </c>
      <c r="FB771" s="408"/>
      <c r="FC771" s="408"/>
      <c r="FD771" s="408"/>
      <c r="FE771" s="408"/>
      <c r="FF771" s="408">
        <v>0</v>
      </c>
      <c r="FG771" s="408">
        <v>0</v>
      </c>
      <c r="FH771" s="408">
        <v>0</v>
      </c>
      <c r="FI771" s="408">
        <v>0</v>
      </c>
    </row>
    <row r="772" spans="1:165">
      <c r="A772" s="408">
        <v>770</v>
      </c>
      <c r="B772" s="408" t="s">
        <v>1036</v>
      </c>
      <c r="C772" s="408" t="s">
        <v>2316</v>
      </c>
      <c r="D772" s="408" t="s">
        <v>1955</v>
      </c>
      <c r="E772" s="408" t="s">
        <v>969</v>
      </c>
      <c r="F772" s="408" t="s">
        <v>969</v>
      </c>
      <c r="G772" s="408" t="s">
        <v>1322</v>
      </c>
      <c r="H772" s="408" t="s">
        <v>1322</v>
      </c>
      <c r="I772" s="408" t="s">
        <v>973</v>
      </c>
      <c r="J772" s="408" t="s">
        <v>2236</v>
      </c>
      <c r="K772" s="826">
        <v>44713</v>
      </c>
      <c r="L772" s="408">
        <v>0</v>
      </c>
      <c r="M772" s="408">
        <v>0</v>
      </c>
      <c r="N772" s="408">
        <v>0.51600000000000001</v>
      </c>
      <c r="O772" s="408">
        <v>0.51600000000000001</v>
      </c>
      <c r="P772" s="408">
        <v>0.51600000000000001</v>
      </c>
      <c r="Q772" s="408">
        <v>0.51600000000000001</v>
      </c>
      <c r="R772" s="408"/>
      <c r="S772" s="408">
        <v>775.22</v>
      </c>
      <c r="T772" s="408">
        <v>173.25</v>
      </c>
      <c r="U772" s="408"/>
      <c r="V772" s="408">
        <v>489.41052000000002</v>
      </c>
      <c r="W772" s="408">
        <v>489.41052000000002</v>
      </c>
      <c r="X772" s="408">
        <v>431.63400000000001</v>
      </c>
      <c r="Y772" s="408">
        <v>0</v>
      </c>
      <c r="Z772" s="408">
        <v>31.757314530875128</v>
      </c>
      <c r="AA772" s="408">
        <v>0</v>
      </c>
      <c r="AB772" s="408">
        <v>0</v>
      </c>
      <c r="AC772" s="408">
        <v>3.3015691685733453</v>
      </c>
      <c r="AD772" s="408">
        <v>3.1720824783201795</v>
      </c>
      <c r="AE772" s="408">
        <v>303.84281090516635</v>
      </c>
      <c r="AF772" s="408">
        <v>87.895682822021513</v>
      </c>
      <c r="AG772" s="408">
        <v>1.5001325017592853</v>
      </c>
      <c r="AH772" s="408">
        <v>0</v>
      </c>
      <c r="AI772" s="408">
        <v>0</v>
      </c>
      <c r="AJ772" s="408">
        <v>0</v>
      </c>
      <c r="AK772" s="408">
        <v>0</v>
      </c>
      <c r="AL772" s="408">
        <v>4.9066596230999115</v>
      </c>
      <c r="AM772" s="408"/>
      <c r="AN772" s="408">
        <v>0.62325406461116351</v>
      </c>
      <c r="AO772" s="408">
        <v>7.0086830290341533</v>
      </c>
      <c r="AP772" s="408">
        <v>32.680211976397537</v>
      </c>
      <c r="AQ772" s="408">
        <v>0</v>
      </c>
      <c r="AR772" s="408">
        <v>0</v>
      </c>
      <c r="AS772" s="408">
        <v>0</v>
      </c>
      <c r="AT772" s="408">
        <v>0</v>
      </c>
      <c r="AU772" s="408">
        <v>0</v>
      </c>
      <c r="AV772" s="408">
        <v>0</v>
      </c>
      <c r="AW772" s="408">
        <v>0</v>
      </c>
      <c r="AX772" s="408">
        <v>0</v>
      </c>
      <c r="AY772" s="408">
        <v>0</v>
      </c>
      <c r="AZ772" s="408">
        <v>0</v>
      </c>
      <c r="BA772" s="408"/>
      <c r="BB772" s="408">
        <v>0</v>
      </c>
      <c r="BC772" s="408">
        <v>0</v>
      </c>
      <c r="BD772" s="408">
        <v>0</v>
      </c>
      <c r="BE772" s="408">
        <v>0</v>
      </c>
      <c r="BF772" s="408">
        <v>0</v>
      </c>
      <c r="BG772" s="408">
        <v>4.6129325817185665</v>
      </c>
      <c r="BH772" s="408">
        <v>0</v>
      </c>
      <c r="BI772" s="408">
        <v>0</v>
      </c>
      <c r="BJ772" s="408">
        <v>0</v>
      </c>
      <c r="BK772" s="408">
        <v>0</v>
      </c>
      <c r="BL772" s="408">
        <v>0</v>
      </c>
      <c r="BM772" s="408"/>
      <c r="BN772" s="408"/>
      <c r="BO772" s="408"/>
      <c r="BP772" s="408"/>
      <c r="BQ772" s="408"/>
      <c r="BR772" s="408"/>
      <c r="BS772" s="408"/>
      <c r="BT772" s="408"/>
      <c r="BU772" s="408"/>
      <c r="BV772" s="408">
        <v>92.50861540374008</v>
      </c>
      <c r="BW772" s="408"/>
      <c r="BX772" s="408"/>
      <c r="BY772" s="408"/>
      <c r="BZ772" s="408"/>
      <c r="CA772" s="408"/>
      <c r="CB772" s="408"/>
      <c r="CC772" s="408"/>
      <c r="CD772" s="408"/>
      <c r="CE772" s="408"/>
      <c r="CF772" s="408"/>
      <c r="CG772" s="408"/>
      <c r="CH772" s="408"/>
      <c r="CI772" s="408">
        <v>434.98</v>
      </c>
      <c r="CJ772" s="408">
        <v>-54.460519999999974</v>
      </c>
      <c r="CK772" s="408"/>
      <c r="CL772" s="408"/>
      <c r="CM772" s="408"/>
      <c r="CN772" s="408"/>
      <c r="CO772" s="408">
        <v>-68.916960000000032</v>
      </c>
      <c r="CP772" s="408">
        <v>11.140440000000002</v>
      </c>
      <c r="CQ772" s="408">
        <v>30</v>
      </c>
      <c r="CR772" s="408">
        <v>17.70059017016419</v>
      </c>
      <c r="CS772" s="408">
        <v>0.6984002831853795</v>
      </c>
      <c r="CT772" s="408">
        <v>3.2565132713699469</v>
      </c>
      <c r="CU772" s="408">
        <v>0</v>
      </c>
      <c r="CV772" s="408">
        <v>0</v>
      </c>
      <c r="CW772" s="408">
        <v>0</v>
      </c>
      <c r="CX772" s="408">
        <v>0</v>
      </c>
      <c r="CY772" s="408">
        <v>0</v>
      </c>
      <c r="CZ772" s="408">
        <v>3.2661939242330718</v>
      </c>
      <c r="DA772" s="408">
        <v>0</v>
      </c>
      <c r="DB772" s="408">
        <v>0</v>
      </c>
      <c r="DC772" s="408">
        <v>11.139182179900885</v>
      </c>
      <c r="DD772" s="408">
        <v>0</v>
      </c>
      <c r="DE772" s="408">
        <v>0</v>
      </c>
      <c r="DF772" s="408">
        <v>0</v>
      </c>
      <c r="DG772" s="408">
        <v>0.58460546367689314</v>
      </c>
      <c r="DH772" s="408">
        <v>0</v>
      </c>
      <c r="DI772" s="408">
        <v>-1.0783779083710741</v>
      </c>
      <c r="DJ772" s="408"/>
      <c r="DK772" s="408">
        <v>0</v>
      </c>
      <c r="DL772" s="408">
        <v>0</v>
      </c>
      <c r="DM772" s="408">
        <v>0</v>
      </c>
      <c r="DN772" s="408">
        <v>0</v>
      </c>
      <c r="DO772" s="408">
        <v>-0.14829429516894699</v>
      </c>
      <c r="DP772" s="408">
        <v>-1.7632748661939202E-2</v>
      </c>
      <c r="DQ772" s="408">
        <v>0</v>
      </c>
      <c r="DR772" s="408">
        <v>0</v>
      </c>
      <c r="DS772" s="408"/>
      <c r="DT772" s="408"/>
      <c r="DU772" s="408"/>
      <c r="DV772" s="408">
        <v>303.84281090516635</v>
      </c>
      <c r="DW772" s="408">
        <v>0</v>
      </c>
      <c r="DX772" s="408">
        <v>0</v>
      </c>
      <c r="DY772" s="408">
        <v>-68.916960000000017</v>
      </c>
      <c r="DZ772" s="408">
        <v>11.140439999999998</v>
      </c>
      <c r="EA772" s="408">
        <v>0</v>
      </c>
      <c r="EB772" s="408">
        <v>0</v>
      </c>
      <c r="EC772" s="408">
        <v>-75.479708182614985</v>
      </c>
      <c r="ED772" s="408">
        <v>0</v>
      </c>
      <c r="EE772" s="408">
        <v>0</v>
      </c>
      <c r="EF772" s="408">
        <v>0</v>
      </c>
      <c r="EG772" s="408">
        <v>0</v>
      </c>
      <c r="EH772" s="408">
        <v>0</v>
      </c>
      <c r="EI772" s="408">
        <v>0</v>
      </c>
      <c r="EJ772" s="408">
        <v>0</v>
      </c>
      <c r="EK772" s="408">
        <v>0</v>
      </c>
      <c r="EL772" s="408">
        <v>0</v>
      </c>
      <c r="EM772" s="408">
        <v>0</v>
      </c>
      <c r="EN772" s="408">
        <v>0</v>
      </c>
      <c r="EO772" s="408">
        <v>0</v>
      </c>
      <c r="EP772" s="408">
        <v>8.1102517371856102</v>
      </c>
      <c r="EQ772" s="408">
        <v>0</v>
      </c>
      <c r="ER772" s="408">
        <v>0</v>
      </c>
      <c r="ES772" s="408">
        <v>0</v>
      </c>
      <c r="ET772" s="408">
        <v>0</v>
      </c>
      <c r="EU772" s="408">
        <v>0</v>
      </c>
      <c r="EV772" s="408">
        <v>240</v>
      </c>
      <c r="EW772" s="408">
        <v>0</v>
      </c>
      <c r="EX772" s="408">
        <v>0</v>
      </c>
      <c r="EY772" s="408">
        <v>0</v>
      </c>
      <c r="EZ772" s="408"/>
      <c r="FA772" s="408">
        <v>0</v>
      </c>
      <c r="FB772" s="408"/>
      <c r="FC772" s="408"/>
      <c r="FD772" s="408"/>
      <c r="FE772" s="408"/>
      <c r="FF772" s="408">
        <v>0</v>
      </c>
      <c r="FG772" s="408">
        <v>0</v>
      </c>
      <c r="FH772" s="408">
        <v>0</v>
      </c>
      <c r="FI772" s="408">
        <v>0</v>
      </c>
    </row>
    <row r="773" spans="1:165">
      <c r="A773" s="408">
        <v>771</v>
      </c>
      <c r="B773" s="408" t="s">
        <v>1036</v>
      </c>
      <c r="C773" s="408" t="s">
        <v>2316</v>
      </c>
      <c r="D773" s="408" t="s">
        <v>1955</v>
      </c>
      <c r="E773" s="408" t="s">
        <v>969</v>
      </c>
      <c r="F773" s="408" t="s">
        <v>969</v>
      </c>
      <c r="G773" s="408" t="s">
        <v>1322</v>
      </c>
      <c r="H773" s="408" t="s">
        <v>1322</v>
      </c>
      <c r="I773" s="408" t="s">
        <v>2244</v>
      </c>
      <c r="J773" s="408" t="s">
        <v>2236</v>
      </c>
      <c r="K773" s="826">
        <v>44713</v>
      </c>
      <c r="L773" s="408">
        <v>0</v>
      </c>
      <c r="M773" s="408">
        <v>0</v>
      </c>
      <c r="N773" s="408">
        <v>4.16</v>
      </c>
      <c r="O773" s="408">
        <v>4.16</v>
      </c>
      <c r="P773" s="408">
        <v>4.16</v>
      </c>
      <c r="Q773" s="408">
        <v>4.16</v>
      </c>
      <c r="R773" s="408"/>
      <c r="S773" s="408">
        <v>232.58</v>
      </c>
      <c r="T773" s="408">
        <v>173.25</v>
      </c>
      <c r="U773" s="408"/>
      <c r="V773" s="408">
        <v>1688.2528000000002</v>
      </c>
      <c r="W773" s="408">
        <v>1688.2528000000002</v>
      </c>
      <c r="X773" s="408">
        <v>1662.7103999999999</v>
      </c>
      <c r="Y773" s="408">
        <v>0</v>
      </c>
      <c r="Z773" s="408">
        <v>256.02796210938089</v>
      </c>
      <c r="AA773" s="408">
        <v>0</v>
      </c>
      <c r="AB773" s="408">
        <v>0</v>
      </c>
      <c r="AC773" s="408">
        <v>5.323837718952106</v>
      </c>
      <c r="AD773" s="408">
        <v>5.1150142409659498</v>
      </c>
      <c r="AE773" s="408">
        <v>489.9171800509335</v>
      </c>
      <c r="AF773" s="408">
        <v>708.6163576349021</v>
      </c>
      <c r="AG773" s="408">
        <v>12.094091487051601</v>
      </c>
      <c r="AH773" s="408">
        <v>0</v>
      </c>
      <c r="AI773" s="408">
        <v>0</v>
      </c>
      <c r="AJ773" s="408">
        <v>0</v>
      </c>
      <c r="AK773" s="408">
        <v>0</v>
      </c>
      <c r="AL773" s="408">
        <v>39.557565953673709</v>
      </c>
      <c r="AM773" s="408"/>
      <c r="AN773" s="408">
        <v>5.0246839317489149</v>
      </c>
      <c r="AO773" s="408">
        <v>11.301920232843718</v>
      </c>
      <c r="AP773" s="408">
        <v>52.697053482921952</v>
      </c>
      <c r="AQ773" s="408">
        <v>0</v>
      </c>
      <c r="AR773" s="408">
        <v>0</v>
      </c>
      <c r="AS773" s="408">
        <v>0</v>
      </c>
      <c r="AT773" s="408">
        <v>0</v>
      </c>
      <c r="AU773" s="408">
        <v>0</v>
      </c>
      <c r="AV773" s="408">
        <v>0</v>
      </c>
      <c r="AW773" s="408">
        <v>0</v>
      </c>
      <c r="AX773" s="408">
        <v>0</v>
      </c>
      <c r="AY773" s="408">
        <v>0</v>
      </c>
      <c r="AZ773" s="408">
        <v>0</v>
      </c>
      <c r="BA773" s="408"/>
      <c r="BB773" s="408">
        <v>0</v>
      </c>
      <c r="BC773" s="408">
        <v>0</v>
      </c>
      <c r="BD773" s="408">
        <v>0</v>
      </c>
      <c r="BE773" s="408">
        <v>0</v>
      </c>
      <c r="BF773" s="408">
        <v>0</v>
      </c>
      <c r="BG773" s="408">
        <v>37.189533992149677</v>
      </c>
      <c r="BH773" s="408">
        <v>0</v>
      </c>
      <c r="BI773" s="408">
        <v>0</v>
      </c>
      <c r="BJ773" s="408">
        <v>0</v>
      </c>
      <c r="BK773" s="408">
        <v>0</v>
      </c>
      <c r="BL773" s="408">
        <v>0</v>
      </c>
      <c r="BM773" s="408"/>
      <c r="BN773" s="408"/>
      <c r="BO773" s="408"/>
      <c r="BP773" s="408"/>
      <c r="BQ773" s="408"/>
      <c r="BR773" s="408"/>
      <c r="BS773" s="408"/>
      <c r="BT773" s="408"/>
      <c r="BU773" s="408"/>
      <c r="BV773" s="408">
        <v>745.80589162705178</v>
      </c>
      <c r="BW773" s="408"/>
      <c r="BX773" s="408"/>
      <c r="BY773" s="408"/>
      <c r="BZ773" s="408"/>
      <c r="CA773" s="408"/>
      <c r="CB773" s="408"/>
      <c r="CC773" s="408"/>
      <c r="CD773" s="408"/>
      <c r="CE773" s="408"/>
      <c r="CF773" s="408"/>
      <c r="CG773" s="408"/>
      <c r="CH773" s="408"/>
      <c r="CI773" s="408">
        <v>1662.7103999999999</v>
      </c>
      <c r="CJ773" s="408">
        <v>-25.572400000000243</v>
      </c>
      <c r="CK773" s="408"/>
      <c r="CL773" s="408"/>
      <c r="CM773" s="408"/>
      <c r="CN773" s="408"/>
      <c r="CO773" s="408">
        <v>-115.35680000000008</v>
      </c>
      <c r="CP773" s="408">
        <v>89.81440000000002</v>
      </c>
      <c r="CQ773" s="408">
        <v>30</v>
      </c>
      <c r="CR773" s="408">
        <v>96.129882741601477</v>
      </c>
      <c r="CS773" s="408">
        <v>1.1262121939968228</v>
      </c>
      <c r="CT773" s="408">
        <v>5.2511487426449008</v>
      </c>
      <c r="CU773" s="408">
        <v>0</v>
      </c>
      <c r="CV773" s="408">
        <v>0</v>
      </c>
      <c r="CW773" s="408">
        <v>0</v>
      </c>
      <c r="CX773" s="408">
        <v>0</v>
      </c>
      <c r="CY773" s="408">
        <v>0</v>
      </c>
      <c r="CZ773" s="408">
        <v>5.2667698744882205</v>
      </c>
      <c r="DA773" s="408">
        <v>0</v>
      </c>
      <c r="DB773" s="408">
        <v>0</v>
      </c>
      <c r="DC773" s="408">
        <v>89.804259434859773</v>
      </c>
      <c r="DD773" s="408">
        <v>0</v>
      </c>
      <c r="DE773" s="408">
        <v>0</v>
      </c>
      <c r="DF773" s="408">
        <v>0</v>
      </c>
      <c r="DG773" s="408">
        <v>4.7130983118137166</v>
      </c>
      <c r="DH773" s="408">
        <v>0</v>
      </c>
      <c r="DI773" s="408">
        <v>-8.6938994163249674</v>
      </c>
      <c r="DJ773" s="408"/>
      <c r="DK773" s="408">
        <v>0</v>
      </c>
      <c r="DL773" s="408">
        <v>0</v>
      </c>
      <c r="DM773" s="408">
        <v>0</v>
      </c>
      <c r="DN773" s="408">
        <v>0</v>
      </c>
      <c r="DO773" s="408">
        <v>-1.1955509067884122</v>
      </c>
      <c r="DP773" s="408">
        <v>-0.14215549308850228</v>
      </c>
      <c r="DQ773" s="408">
        <v>0</v>
      </c>
      <c r="DR773" s="408">
        <v>0</v>
      </c>
      <c r="DS773" s="408"/>
      <c r="DT773" s="408"/>
      <c r="DU773" s="408"/>
      <c r="DV773" s="408">
        <v>489.9171800509335</v>
      </c>
      <c r="DW773" s="408">
        <v>0</v>
      </c>
      <c r="DX773" s="408">
        <v>0</v>
      </c>
      <c r="DY773" s="408">
        <v>-115.35680000000002</v>
      </c>
      <c r="DZ773" s="408">
        <v>89.814399999999978</v>
      </c>
      <c r="EA773" s="408">
        <v>0</v>
      </c>
      <c r="EB773" s="408">
        <v>0</v>
      </c>
      <c r="EC773" s="408">
        <v>-121.70373777721494</v>
      </c>
      <c r="ED773" s="408">
        <v>0</v>
      </c>
      <c r="EE773" s="408">
        <v>0</v>
      </c>
      <c r="EF773" s="408">
        <v>0</v>
      </c>
      <c r="EG773" s="408">
        <v>0</v>
      </c>
      <c r="EH773" s="408">
        <v>0</v>
      </c>
      <c r="EI773" s="408">
        <v>0</v>
      </c>
      <c r="EJ773" s="408">
        <v>0</v>
      </c>
      <c r="EK773" s="408">
        <v>0</v>
      </c>
      <c r="EL773" s="408">
        <v>0</v>
      </c>
      <c r="EM773" s="408">
        <v>0</v>
      </c>
      <c r="EN773" s="408">
        <v>0</v>
      </c>
      <c r="EO773" s="408">
        <v>0</v>
      </c>
      <c r="EP773" s="408">
        <v>65.3849752455274</v>
      </c>
      <c r="EQ773" s="408">
        <v>0</v>
      </c>
      <c r="ER773" s="408">
        <v>0</v>
      </c>
      <c r="ES773" s="408">
        <v>0</v>
      </c>
      <c r="ET773" s="408">
        <v>0</v>
      </c>
      <c r="EU773" s="408">
        <v>0</v>
      </c>
      <c r="EV773" s="408">
        <v>240</v>
      </c>
      <c r="EW773" s="408">
        <v>0</v>
      </c>
      <c r="EX773" s="408">
        <v>0</v>
      </c>
      <c r="EY773" s="408">
        <v>0</v>
      </c>
      <c r="EZ773" s="408"/>
      <c r="FA773" s="408">
        <v>0</v>
      </c>
      <c r="FB773" s="408"/>
      <c r="FC773" s="408"/>
      <c r="FD773" s="408"/>
      <c r="FE773" s="408"/>
      <c r="FF773" s="408">
        <v>0</v>
      </c>
      <c r="FG773" s="408">
        <v>0</v>
      </c>
      <c r="FH773" s="408">
        <v>0</v>
      </c>
      <c r="FI773" s="408">
        <v>0</v>
      </c>
    </row>
    <row r="774" spans="1:165">
      <c r="A774" s="408">
        <v>772</v>
      </c>
      <c r="B774" s="408" t="s">
        <v>1036</v>
      </c>
      <c r="C774" s="408" t="s">
        <v>2316</v>
      </c>
      <c r="D774" s="408" t="s">
        <v>1955</v>
      </c>
      <c r="E774" s="408" t="s">
        <v>969</v>
      </c>
      <c r="F774" s="408" t="s">
        <v>969</v>
      </c>
      <c r="G774" s="408" t="s">
        <v>1322</v>
      </c>
      <c r="H774" s="408" t="s">
        <v>1322</v>
      </c>
      <c r="I774" s="408" t="s">
        <v>1322</v>
      </c>
      <c r="J774" s="408" t="s">
        <v>2236</v>
      </c>
      <c r="K774" s="826">
        <v>44713</v>
      </c>
      <c r="L774" s="408">
        <v>0</v>
      </c>
      <c r="M774" s="408">
        <v>0</v>
      </c>
      <c r="N774" s="408">
        <v>0</v>
      </c>
      <c r="O774" s="408">
        <v>0</v>
      </c>
      <c r="P774" s="408">
        <v>0</v>
      </c>
      <c r="Q774" s="408">
        <v>0</v>
      </c>
      <c r="R774" s="408"/>
      <c r="S774" s="408"/>
      <c r="T774" s="408"/>
      <c r="U774" s="408"/>
      <c r="V774" s="408"/>
      <c r="W774" s="408"/>
      <c r="X774" s="408"/>
      <c r="Y774" s="408"/>
      <c r="Z774" s="408"/>
      <c r="AA774" s="408">
        <v>0</v>
      </c>
      <c r="AB774" s="408"/>
      <c r="AC774" s="408"/>
      <c r="AD774" s="408"/>
      <c r="AE774" s="408"/>
      <c r="AF774" s="408"/>
      <c r="AG774" s="408"/>
      <c r="AH774" s="408"/>
      <c r="AI774" s="408"/>
      <c r="AJ774" s="408"/>
      <c r="AK774" s="408"/>
      <c r="AL774" s="408"/>
      <c r="AM774" s="408"/>
      <c r="AN774" s="408"/>
      <c r="AO774" s="408"/>
      <c r="AP774" s="408"/>
      <c r="AQ774" s="408"/>
      <c r="AR774" s="408"/>
      <c r="AS774" s="408"/>
      <c r="AT774" s="408"/>
      <c r="AU774" s="408"/>
      <c r="AV774" s="408"/>
      <c r="AW774" s="408"/>
      <c r="AX774" s="408"/>
      <c r="AY774" s="408"/>
      <c r="AZ774" s="408">
        <v>0</v>
      </c>
      <c r="BA774" s="408"/>
      <c r="BB774" s="408"/>
      <c r="BC774" s="408"/>
      <c r="BD774" s="408"/>
      <c r="BE774" s="408"/>
      <c r="BF774" s="408"/>
      <c r="BG774" s="408"/>
      <c r="BH774" s="408"/>
      <c r="BI774" s="408">
        <v>2.2799999999999998</v>
      </c>
      <c r="BJ774" s="408">
        <v>25.53</v>
      </c>
      <c r="BK774" s="408">
        <v>773.99</v>
      </c>
      <c r="BL774" s="408">
        <v>13</v>
      </c>
      <c r="BM774" s="408"/>
      <c r="BN774" s="408"/>
      <c r="BO774" s="408"/>
      <c r="BP774" s="408"/>
      <c r="BQ774" s="408"/>
      <c r="BR774" s="408"/>
      <c r="BS774" s="408"/>
      <c r="BT774" s="408"/>
      <c r="BU774" s="408"/>
      <c r="BV774" s="408"/>
      <c r="BW774" s="408"/>
      <c r="BX774" s="408"/>
      <c r="BY774" s="408"/>
      <c r="BZ774" s="408"/>
      <c r="CA774" s="408"/>
      <c r="CB774" s="408"/>
      <c r="CC774" s="408"/>
      <c r="CD774" s="408"/>
      <c r="CE774" s="408"/>
      <c r="CF774" s="408"/>
      <c r="CG774" s="408"/>
      <c r="CH774" s="408"/>
      <c r="CI774" s="408"/>
      <c r="CJ774" s="408">
        <v>-0.03</v>
      </c>
      <c r="CK774" s="408"/>
      <c r="CL774" s="408"/>
      <c r="CM774" s="408"/>
      <c r="CN774" s="408"/>
      <c r="CO774" s="408">
        <v>0</v>
      </c>
      <c r="CP774" s="408">
        <v>0</v>
      </c>
      <c r="CQ774" s="408">
        <v>30</v>
      </c>
      <c r="CR774" s="408"/>
      <c r="CS774" s="408"/>
      <c r="CT774" s="408"/>
      <c r="CU774" s="408"/>
      <c r="CV774" s="408"/>
      <c r="CW774" s="408"/>
      <c r="CX774" s="408"/>
      <c r="CY774" s="408"/>
      <c r="CZ774" s="408"/>
      <c r="DA774" s="408"/>
      <c r="DB774" s="408"/>
      <c r="DC774" s="408"/>
      <c r="DD774" s="408"/>
      <c r="DE774" s="408"/>
      <c r="DF774" s="408"/>
      <c r="DG774" s="408"/>
      <c r="DH774" s="408"/>
      <c r="DI774" s="408"/>
      <c r="DJ774" s="408"/>
      <c r="DK774" s="408">
        <v>0</v>
      </c>
      <c r="DL774" s="408"/>
      <c r="DM774" s="408"/>
      <c r="DN774" s="408"/>
      <c r="DO774" s="408"/>
      <c r="DP774" s="408"/>
      <c r="DQ774" s="408"/>
      <c r="DR774" s="408"/>
      <c r="DS774" s="408"/>
      <c r="DT774" s="408"/>
      <c r="DU774" s="408"/>
      <c r="DV774" s="408"/>
      <c r="DW774" s="408"/>
      <c r="DX774" s="408"/>
      <c r="DY774" s="408"/>
      <c r="DZ774" s="408"/>
      <c r="EA774" s="408"/>
      <c r="EB774" s="408"/>
      <c r="EC774" s="408"/>
      <c r="ED774" s="408"/>
      <c r="EE774" s="408"/>
      <c r="EF774" s="408"/>
      <c r="EG774" s="408"/>
      <c r="EH774" s="408"/>
      <c r="EI774" s="408"/>
      <c r="EJ774" s="408"/>
      <c r="EK774" s="408"/>
      <c r="EL774" s="408"/>
      <c r="EM774" s="408"/>
      <c r="EN774" s="408"/>
      <c r="EO774" s="408"/>
      <c r="EP774" s="408"/>
      <c r="EQ774" s="408"/>
      <c r="ER774" s="408"/>
      <c r="ES774" s="408"/>
      <c r="ET774" s="408"/>
      <c r="EU774" s="408"/>
      <c r="EV774" s="408">
        <v>240</v>
      </c>
      <c r="EW774" s="408"/>
      <c r="EX774" s="408"/>
      <c r="EY774" s="408"/>
      <c r="EZ774" s="408"/>
      <c r="FA774" s="408">
        <v>0</v>
      </c>
      <c r="FB774" s="408"/>
      <c r="FC774" s="408"/>
      <c r="FD774" s="408"/>
      <c r="FE774" s="408"/>
      <c r="FF774" s="408">
        <v>0</v>
      </c>
      <c r="FG774" s="408">
        <v>0</v>
      </c>
      <c r="FH774" s="408">
        <v>0</v>
      </c>
      <c r="FI774" s="408">
        <v>0</v>
      </c>
    </row>
    <row r="775" spans="1:165">
      <c r="A775" s="408">
        <v>773</v>
      </c>
      <c r="B775" s="408" t="s">
        <v>1036</v>
      </c>
      <c r="C775" s="408" t="s">
        <v>2316</v>
      </c>
      <c r="D775" s="408" t="s">
        <v>1955</v>
      </c>
      <c r="E775" s="408" t="s">
        <v>969</v>
      </c>
      <c r="F775" s="408" t="s">
        <v>969</v>
      </c>
      <c r="G775" s="408" t="s">
        <v>1322</v>
      </c>
      <c r="H775" s="408" t="s">
        <v>1322</v>
      </c>
      <c r="I775" s="408" t="s">
        <v>2317</v>
      </c>
      <c r="J775" s="408" t="s">
        <v>2236</v>
      </c>
      <c r="K775" s="826">
        <v>44713</v>
      </c>
      <c r="L775" s="408">
        <v>0</v>
      </c>
      <c r="M775" s="408">
        <v>0</v>
      </c>
      <c r="N775" s="408">
        <v>0.32400000000000001</v>
      </c>
      <c r="O775" s="408">
        <v>0.32400000000000001</v>
      </c>
      <c r="P775" s="408">
        <v>0.32400000000000001</v>
      </c>
      <c r="Q775" s="408">
        <v>0.32400000000000001</v>
      </c>
      <c r="R775" s="408"/>
      <c r="S775" s="408">
        <v>503.9</v>
      </c>
      <c r="T775" s="408">
        <v>173.25</v>
      </c>
      <c r="U775" s="408"/>
      <c r="V775" s="408">
        <v>219.39660000000001</v>
      </c>
      <c r="W775" s="408">
        <v>219.39660000000001</v>
      </c>
      <c r="X775" s="408">
        <v>200.26116000000002</v>
      </c>
      <c r="Y775" s="408">
        <v>0</v>
      </c>
      <c r="Z775" s="408">
        <v>19.940639356596009</v>
      </c>
      <c r="AA775" s="408">
        <v>0</v>
      </c>
      <c r="AB775" s="408">
        <v>0</v>
      </c>
      <c r="AC775" s="408">
        <v>1.2437882089293193</v>
      </c>
      <c r="AD775" s="408">
        <v>1.195013158795565</v>
      </c>
      <c r="AE775" s="408">
        <v>114.4709636317609</v>
      </c>
      <c r="AF775" s="408">
        <v>55.190312469641412</v>
      </c>
      <c r="AG775" s="408">
        <v>0.9419436638953651</v>
      </c>
      <c r="AH775" s="408">
        <v>0</v>
      </c>
      <c r="AI775" s="408">
        <v>0</v>
      </c>
      <c r="AJ775" s="408">
        <v>0</v>
      </c>
      <c r="AK775" s="408">
        <v>0</v>
      </c>
      <c r="AL775" s="408">
        <v>3.0809258098534329</v>
      </c>
      <c r="AM775" s="408"/>
      <c r="AN775" s="408">
        <v>0.39134557545352128</v>
      </c>
      <c r="AO775" s="408">
        <v>2.6403808142495189</v>
      </c>
      <c r="AP775" s="408">
        <v>12.311553616619152</v>
      </c>
      <c r="AQ775" s="408">
        <v>0</v>
      </c>
      <c r="AR775" s="408">
        <v>0</v>
      </c>
      <c r="AS775" s="408">
        <v>0</v>
      </c>
      <c r="AT775" s="408">
        <v>0</v>
      </c>
      <c r="AU775" s="408">
        <v>0</v>
      </c>
      <c r="AV775" s="408">
        <v>0</v>
      </c>
      <c r="AW775" s="408">
        <v>0</v>
      </c>
      <c r="AX775" s="408">
        <v>0</v>
      </c>
      <c r="AY775" s="408">
        <v>0</v>
      </c>
      <c r="AZ775" s="408">
        <v>0</v>
      </c>
      <c r="BA775" s="408"/>
      <c r="BB775" s="408">
        <v>0</v>
      </c>
      <c r="BC775" s="408">
        <v>0</v>
      </c>
      <c r="BD775" s="408">
        <v>0</v>
      </c>
      <c r="BE775" s="408">
        <v>0</v>
      </c>
      <c r="BF775" s="408">
        <v>0</v>
      </c>
      <c r="BG775" s="408">
        <v>2.8964925513116579</v>
      </c>
      <c r="BH775" s="408">
        <v>0</v>
      </c>
      <c r="BI775" s="408">
        <v>0</v>
      </c>
      <c r="BJ775" s="408">
        <v>0</v>
      </c>
      <c r="BK775" s="408">
        <v>0</v>
      </c>
      <c r="BL775" s="408">
        <v>0</v>
      </c>
      <c r="BM775" s="408"/>
      <c r="BN775" s="408"/>
      <c r="BO775" s="408"/>
      <c r="BP775" s="408"/>
      <c r="BQ775" s="408"/>
      <c r="BR775" s="408"/>
      <c r="BS775" s="408"/>
      <c r="BT775" s="408"/>
      <c r="BU775" s="408"/>
      <c r="BV775" s="408">
        <v>58.086805020953072</v>
      </c>
      <c r="BW775" s="408"/>
      <c r="BX775" s="408"/>
      <c r="BY775" s="408"/>
      <c r="BZ775" s="408"/>
      <c r="CA775" s="408"/>
      <c r="CB775" s="408"/>
      <c r="CC775" s="408"/>
      <c r="CD775" s="408"/>
      <c r="CE775" s="408"/>
      <c r="CF775" s="408"/>
      <c r="CG775" s="408"/>
      <c r="CH775" s="408"/>
      <c r="CI775" s="408">
        <v>197.78880000000001</v>
      </c>
      <c r="CJ775" s="408">
        <v>-21.63779999999997</v>
      </c>
      <c r="CK775" s="408"/>
      <c r="CL775" s="408"/>
      <c r="CM775" s="408"/>
      <c r="CN775" s="408"/>
      <c r="CO775" s="408">
        <v>-26.130599999999994</v>
      </c>
      <c r="CP775" s="408">
        <v>6.9951600000000012</v>
      </c>
      <c r="CQ775" s="408">
        <v>30</v>
      </c>
      <c r="CR775" s="408">
        <v>9.3005362031488374</v>
      </c>
      <c r="CS775" s="408">
        <v>0.26310830447746403</v>
      </c>
      <c r="CT775" s="408">
        <v>1.2268200026566127</v>
      </c>
      <c r="CU775" s="408">
        <v>0</v>
      </c>
      <c r="CV775" s="408">
        <v>0</v>
      </c>
      <c r="CW775" s="408">
        <v>0</v>
      </c>
      <c r="CX775" s="408">
        <v>0</v>
      </c>
      <c r="CY775" s="408">
        <v>0</v>
      </c>
      <c r="CZ775" s="408">
        <v>1.2304676014299676</v>
      </c>
      <c r="DA775" s="408">
        <v>0</v>
      </c>
      <c r="DB775" s="408">
        <v>0</v>
      </c>
      <c r="DC775" s="408">
        <v>6.9943702059842749</v>
      </c>
      <c r="DD775" s="408">
        <v>0</v>
      </c>
      <c r="DE775" s="408">
        <v>0</v>
      </c>
      <c r="DF775" s="408">
        <v>0</v>
      </c>
      <c r="DG775" s="408">
        <v>0.36707784928549136</v>
      </c>
      <c r="DH775" s="408">
        <v>0</v>
      </c>
      <c r="DI775" s="408">
        <v>-0.67712101223299825</v>
      </c>
      <c r="DJ775" s="408"/>
      <c r="DK775" s="408">
        <v>0</v>
      </c>
      <c r="DL775" s="408">
        <v>0</v>
      </c>
      <c r="DM775" s="408">
        <v>0</v>
      </c>
      <c r="DN775" s="408">
        <v>0</v>
      </c>
      <c r="DO775" s="408">
        <v>-9.3115022547943127E-2</v>
      </c>
      <c r="DP775" s="408">
        <v>-1.1071725904008345E-2</v>
      </c>
      <c r="DQ775" s="408">
        <v>0</v>
      </c>
      <c r="DR775" s="408">
        <v>0</v>
      </c>
      <c r="DS775" s="408"/>
      <c r="DT775" s="408"/>
      <c r="DU775" s="408"/>
      <c r="DV775" s="408">
        <v>114.4709636317609</v>
      </c>
      <c r="DW775" s="408">
        <v>0</v>
      </c>
      <c r="DX775" s="408">
        <v>0</v>
      </c>
      <c r="DY775" s="408">
        <v>-26.130599999999987</v>
      </c>
      <c r="DZ775" s="408">
        <v>6.9951599999999985</v>
      </c>
      <c r="EA775" s="408">
        <v>0</v>
      </c>
      <c r="EB775" s="408">
        <v>0</v>
      </c>
      <c r="EC775" s="408">
        <v>-28.436529087419459</v>
      </c>
      <c r="ED775" s="408">
        <v>0</v>
      </c>
      <c r="EE775" s="408">
        <v>0</v>
      </c>
      <c r="EF775" s="408">
        <v>0</v>
      </c>
      <c r="EG775" s="408">
        <v>0</v>
      </c>
      <c r="EH775" s="408">
        <v>0</v>
      </c>
      <c r="EI775" s="408">
        <v>0</v>
      </c>
      <c r="EJ775" s="408">
        <v>0</v>
      </c>
      <c r="EK775" s="408">
        <v>0</v>
      </c>
      <c r="EL775" s="408">
        <v>0</v>
      </c>
      <c r="EM775" s="408">
        <v>0</v>
      </c>
      <c r="EN775" s="408">
        <v>0</v>
      </c>
      <c r="EO775" s="408">
        <v>0</v>
      </c>
      <c r="EP775" s="408">
        <v>5.0924836489304992</v>
      </c>
      <c r="EQ775" s="408">
        <v>0</v>
      </c>
      <c r="ER775" s="408">
        <v>0</v>
      </c>
      <c r="ES775" s="408">
        <v>0</v>
      </c>
      <c r="ET775" s="408">
        <v>0</v>
      </c>
      <c r="EU775" s="408">
        <v>0</v>
      </c>
      <c r="EV775" s="408">
        <v>240</v>
      </c>
      <c r="EW775" s="408">
        <v>0</v>
      </c>
      <c r="EX775" s="408">
        <v>0</v>
      </c>
      <c r="EY775" s="408">
        <v>0</v>
      </c>
      <c r="EZ775" s="408"/>
      <c r="FA775" s="408">
        <v>0</v>
      </c>
      <c r="FB775" s="408"/>
      <c r="FC775" s="408"/>
      <c r="FD775" s="408"/>
      <c r="FE775" s="408"/>
      <c r="FF775" s="408">
        <v>0</v>
      </c>
      <c r="FG775" s="408">
        <v>0</v>
      </c>
      <c r="FH775" s="408">
        <v>0</v>
      </c>
      <c r="FI775" s="408">
        <v>0</v>
      </c>
    </row>
    <row r="776" spans="1:165">
      <c r="A776" s="408">
        <v>774</v>
      </c>
      <c r="B776" s="408" t="s">
        <v>1036</v>
      </c>
      <c r="C776" s="408" t="s">
        <v>2235</v>
      </c>
      <c r="D776" s="408" t="s">
        <v>1958</v>
      </c>
      <c r="E776" s="408" t="s">
        <v>970</v>
      </c>
      <c r="F776" s="408" t="s">
        <v>1322</v>
      </c>
      <c r="G776" s="408" t="s">
        <v>1322</v>
      </c>
      <c r="H776" s="408" t="s">
        <v>1322</v>
      </c>
      <c r="I776" s="408" t="s">
        <v>1322</v>
      </c>
      <c r="J776" s="408" t="s">
        <v>2236</v>
      </c>
      <c r="K776" s="826">
        <v>44713</v>
      </c>
      <c r="L776" s="408">
        <v>0</v>
      </c>
      <c r="M776" s="408">
        <v>0</v>
      </c>
      <c r="N776" s="408">
        <v>458.35700000000003</v>
      </c>
      <c r="O776" s="408">
        <v>458.35700000000003</v>
      </c>
      <c r="P776" s="408">
        <v>458.35700000000003</v>
      </c>
      <c r="Q776" s="408">
        <v>458.35700000000003</v>
      </c>
      <c r="R776" s="408"/>
      <c r="S776" s="408">
        <v>368.24</v>
      </c>
      <c r="T776" s="408">
        <v>173.25</v>
      </c>
      <c r="U776" s="408"/>
      <c r="V776" s="408">
        <v>248195.73193000001</v>
      </c>
      <c r="W776" s="408">
        <v>248195.73193000001</v>
      </c>
      <c r="X776" s="408">
        <v>233253.29373000003</v>
      </c>
      <c r="Y776" s="408">
        <v>0</v>
      </c>
      <c r="Z776" s="408">
        <v>28209.665535713819</v>
      </c>
      <c r="AA776" s="408">
        <v>0</v>
      </c>
      <c r="AB776" s="408">
        <v>0</v>
      </c>
      <c r="AC776" s="408">
        <v>1173.181867954678</v>
      </c>
      <c r="AD776" s="408">
        <v>1127.1647030992451</v>
      </c>
      <c r="AE776" s="408">
        <v>107960.08120029121</v>
      </c>
      <c r="AF776" s="408">
        <v>78076.747076072308</v>
      </c>
      <c r="AG776" s="408">
        <v>1332.5508393582959</v>
      </c>
      <c r="AH776" s="408">
        <v>0</v>
      </c>
      <c r="AI776" s="408">
        <v>0</v>
      </c>
      <c r="AJ776" s="408">
        <v>0</v>
      </c>
      <c r="AK776" s="408">
        <v>0</v>
      </c>
      <c r="AL776" s="408">
        <v>4358.5305908240434</v>
      </c>
      <c r="AM776" s="408"/>
      <c r="AN776" s="408">
        <v>553.62958002515325</v>
      </c>
      <c r="AO776" s="408">
        <v>2490.4348830780527</v>
      </c>
      <c r="AP776" s="408">
        <v>11612.530453495991</v>
      </c>
      <c r="AQ776" s="408">
        <v>0</v>
      </c>
      <c r="AR776" s="408">
        <v>0</v>
      </c>
      <c r="AS776" s="408">
        <v>0</v>
      </c>
      <c r="AT776" s="408">
        <v>0</v>
      </c>
      <c r="AU776" s="408">
        <v>0</v>
      </c>
      <c r="AV776" s="408">
        <v>0</v>
      </c>
      <c r="AW776" s="408">
        <v>0</v>
      </c>
      <c r="AX776" s="408">
        <v>0</v>
      </c>
      <c r="AY776" s="408">
        <v>0</v>
      </c>
      <c r="AZ776" s="408">
        <v>0</v>
      </c>
      <c r="BA776" s="408"/>
      <c r="BB776" s="408">
        <v>0</v>
      </c>
      <c r="BC776" s="408">
        <v>0</v>
      </c>
      <c r="BD776" s="408">
        <v>0</v>
      </c>
      <c r="BE776" s="408">
        <v>0</v>
      </c>
      <c r="BF776" s="408">
        <v>0</v>
      </c>
      <c r="BG776" s="408">
        <v>4097.6161615480169</v>
      </c>
      <c r="BH776" s="408">
        <v>0</v>
      </c>
      <c r="BI776" s="408">
        <v>234.69</v>
      </c>
      <c r="BJ776" s="408">
        <v>2596.9499999999998</v>
      </c>
      <c r="BK776" s="408">
        <v>48855.68</v>
      </c>
      <c r="BL776" s="408">
        <v>277</v>
      </c>
      <c r="BM776" s="408"/>
      <c r="BN776" s="408"/>
      <c r="BO776" s="408"/>
      <c r="BP776" s="408"/>
      <c r="BQ776" s="408"/>
      <c r="BR776" s="408"/>
      <c r="BS776" s="408"/>
      <c r="BT776" s="408"/>
      <c r="BU776" s="408"/>
      <c r="BV776" s="408">
        <v>82174.363237620331</v>
      </c>
      <c r="BW776" s="408"/>
      <c r="BX776" s="408"/>
      <c r="BY776" s="408"/>
      <c r="BZ776" s="408"/>
      <c r="CA776" s="408"/>
      <c r="CB776" s="408"/>
      <c r="CC776" s="408"/>
      <c r="CD776" s="408"/>
      <c r="CE776" s="408"/>
      <c r="CF776" s="408"/>
      <c r="CG776" s="408"/>
      <c r="CH776" s="408"/>
      <c r="CI776" s="408">
        <v>233254.82040000003</v>
      </c>
      <c r="CJ776" s="408">
        <v>-14940.941530000011</v>
      </c>
      <c r="CK776" s="408"/>
      <c r="CL776" s="408"/>
      <c r="CM776" s="408"/>
      <c r="CN776" s="408"/>
      <c r="CO776" s="408">
        <v>-24838.365829999999</v>
      </c>
      <c r="CP776" s="408">
        <v>9895.927630000002</v>
      </c>
      <c r="CQ776" s="408">
        <v>30</v>
      </c>
      <c r="CR776" s="408">
        <v>11874.743206394196</v>
      </c>
      <c r="CS776" s="408">
        <v>248.16651293705354</v>
      </c>
      <c r="CT776" s="408">
        <v>1157.1638385733113</v>
      </c>
      <c r="CU776" s="408">
        <v>0</v>
      </c>
      <c r="CV776" s="408">
        <v>0</v>
      </c>
      <c r="CW776" s="408">
        <v>0</v>
      </c>
      <c r="CX776" s="408">
        <v>0</v>
      </c>
      <c r="CY776" s="408">
        <v>0</v>
      </c>
      <c r="CZ776" s="408">
        <v>1160.606172769614</v>
      </c>
      <c r="DA776" s="408">
        <v>0</v>
      </c>
      <c r="DB776" s="408">
        <v>0</v>
      </c>
      <c r="DC776" s="408">
        <v>9894.8103225442464</v>
      </c>
      <c r="DD776" s="408">
        <v>0</v>
      </c>
      <c r="DE776" s="408">
        <v>0</v>
      </c>
      <c r="DF776" s="408">
        <v>0</v>
      </c>
      <c r="DG776" s="408">
        <v>519.29846223749973</v>
      </c>
      <c r="DH776" s="408">
        <v>0</v>
      </c>
      <c r="DI776" s="408">
        <v>-957.91097470395471</v>
      </c>
      <c r="DJ776" s="408"/>
      <c r="DK776" s="408">
        <v>0</v>
      </c>
      <c r="DL776" s="408">
        <v>0</v>
      </c>
      <c r="DM776" s="408">
        <v>0</v>
      </c>
      <c r="DN776" s="408">
        <v>0</v>
      </c>
      <c r="DO776" s="408">
        <v>-131.72815552471548</v>
      </c>
      <c r="DP776" s="408">
        <v>-15.662972438838096</v>
      </c>
      <c r="DQ776" s="408">
        <v>0</v>
      </c>
      <c r="DR776" s="408">
        <v>0</v>
      </c>
      <c r="DS776" s="408"/>
      <c r="DT776" s="408"/>
      <c r="DU776" s="408"/>
      <c r="DV776" s="408">
        <v>107960.08120029121</v>
      </c>
      <c r="DW776" s="408">
        <v>0</v>
      </c>
      <c r="DX776" s="408">
        <v>0</v>
      </c>
      <c r="DY776" s="408">
        <v>-24838.365829999995</v>
      </c>
      <c r="DZ776" s="408">
        <v>9895.9276300000056</v>
      </c>
      <c r="EA776" s="408">
        <v>0</v>
      </c>
      <c r="EB776" s="408">
        <v>0</v>
      </c>
      <c r="EC776" s="408">
        <v>-26819.115450168814</v>
      </c>
      <c r="ED776" s="408">
        <v>0</v>
      </c>
      <c r="EE776" s="408">
        <v>0</v>
      </c>
      <c r="EF776" s="408">
        <v>0</v>
      </c>
      <c r="EG776" s="408">
        <v>0</v>
      </c>
      <c r="EH776" s="408">
        <v>0</v>
      </c>
      <c r="EI776" s="408">
        <v>0</v>
      </c>
      <c r="EJ776" s="408">
        <v>0</v>
      </c>
      <c r="EK776" s="408">
        <v>0</v>
      </c>
      <c r="EL776" s="408">
        <v>0</v>
      </c>
      <c r="EM776" s="408">
        <v>0</v>
      </c>
      <c r="EN776" s="408">
        <v>0</v>
      </c>
      <c r="EO776" s="408">
        <v>0</v>
      </c>
      <c r="EP776" s="408">
        <v>7204.2454563976444</v>
      </c>
      <c r="EQ776" s="408">
        <v>0</v>
      </c>
      <c r="ER776" s="408">
        <v>0</v>
      </c>
      <c r="ES776" s="408">
        <v>0</v>
      </c>
      <c r="ET776" s="408">
        <v>0</v>
      </c>
      <c r="EU776" s="408">
        <v>0</v>
      </c>
      <c r="EV776" s="408">
        <v>240</v>
      </c>
      <c r="EW776" s="408">
        <v>0</v>
      </c>
      <c r="EX776" s="408">
        <v>0</v>
      </c>
      <c r="EY776" s="408">
        <v>0</v>
      </c>
      <c r="EZ776" s="408"/>
      <c r="FA776" s="408">
        <v>0</v>
      </c>
      <c r="FB776" s="408"/>
      <c r="FC776" s="408"/>
      <c r="FD776" s="408"/>
      <c r="FE776" s="408"/>
      <c r="FF776" s="408">
        <v>0</v>
      </c>
      <c r="FG776" s="408">
        <v>0</v>
      </c>
      <c r="FH776" s="408">
        <v>0</v>
      </c>
      <c r="FI776" s="408">
        <v>0</v>
      </c>
    </row>
    <row r="777" spans="1:165">
      <c r="A777" s="408">
        <v>775</v>
      </c>
      <c r="B777" s="408" t="s">
        <v>2238</v>
      </c>
      <c r="C777" s="408" t="s">
        <v>2235</v>
      </c>
      <c r="D777" s="408" t="s">
        <v>1958</v>
      </c>
      <c r="E777" s="408" t="s">
        <v>970</v>
      </c>
      <c r="F777" s="408" t="s">
        <v>1322</v>
      </c>
      <c r="G777" s="408" t="s">
        <v>1322</v>
      </c>
      <c r="H777" s="408" t="s">
        <v>1322</v>
      </c>
      <c r="I777" s="408" t="s">
        <v>1322</v>
      </c>
      <c r="J777" s="408" t="s">
        <v>2236</v>
      </c>
      <c r="K777" s="826">
        <v>44713</v>
      </c>
      <c r="L777" s="408">
        <v>0</v>
      </c>
      <c r="M777" s="408">
        <v>0</v>
      </c>
      <c r="N777" s="408">
        <v>105.74</v>
      </c>
      <c r="O777" s="408">
        <v>105.74</v>
      </c>
      <c r="P777" s="408">
        <v>105.74</v>
      </c>
      <c r="Q777" s="408">
        <v>105.74</v>
      </c>
      <c r="R777" s="408"/>
      <c r="S777" s="408">
        <v>368.24</v>
      </c>
      <c r="T777" s="408">
        <v>173.25</v>
      </c>
      <c r="U777" s="408"/>
      <c r="V777" s="408">
        <v>57257.152600000001</v>
      </c>
      <c r="W777" s="408">
        <v>57257.152600000001</v>
      </c>
      <c r="X777" s="408">
        <v>53810.028599999998</v>
      </c>
      <c r="Y777" s="408">
        <v>0</v>
      </c>
      <c r="Z777" s="408">
        <v>6507.7876715014254</v>
      </c>
      <c r="AA777" s="408">
        <v>0</v>
      </c>
      <c r="AB777" s="408">
        <v>0</v>
      </c>
      <c r="AC777" s="408">
        <v>270.64548096249791</v>
      </c>
      <c r="AD777" s="408">
        <v>260.02961819218245</v>
      </c>
      <c r="AE777" s="408">
        <v>24905.693566627742</v>
      </c>
      <c r="AF777" s="408">
        <v>18011.801359690995</v>
      </c>
      <c r="AG777" s="408">
        <v>307.41087351943179</v>
      </c>
      <c r="AH777" s="408">
        <v>0</v>
      </c>
      <c r="AI777" s="408">
        <v>0</v>
      </c>
      <c r="AJ777" s="408">
        <v>0</v>
      </c>
      <c r="AK777" s="408">
        <v>0</v>
      </c>
      <c r="AL777" s="408">
        <v>1005.4848615243887</v>
      </c>
      <c r="AM777" s="408"/>
      <c r="AN777" s="408">
        <v>127.718768976714</v>
      </c>
      <c r="AO777" s="408">
        <v>574.52724521862501</v>
      </c>
      <c r="AP777" s="408">
        <v>2678.9357861943113</v>
      </c>
      <c r="AQ777" s="408">
        <v>0</v>
      </c>
      <c r="AR777" s="408">
        <v>0</v>
      </c>
      <c r="AS777" s="408">
        <v>0</v>
      </c>
      <c r="AT777" s="408">
        <v>0</v>
      </c>
      <c r="AU777" s="408">
        <v>0</v>
      </c>
      <c r="AV777" s="408">
        <v>0</v>
      </c>
      <c r="AW777" s="408">
        <v>0</v>
      </c>
      <c r="AX777" s="408">
        <v>0</v>
      </c>
      <c r="AY777" s="408">
        <v>0</v>
      </c>
      <c r="AZ777" s="408">
        <v>0</v>
      </c>
      <c r="BA777" s="408"/>
      <c r="BB777" s="408">
        <v>0</v>
      </c>
      <c r="BC777" s="408">
        <v>0</v>
      </c>
      <c r="BD777" s="408">
        <v>0</v>
      </c>
      <c r="BE777" s="408">
        <v>0</v>
      </c>
      <c r="BF777" s="408">
        <v>0</v>
      </c>
      <c r="BG777" s="408">
        <v>945.29358757930459</v>
      </c>
      <c r="BH777" s="408">
        <v>0</v>
      </c>
      <c r="BI777" s="408">
        <v>55.75</v>
      </c>
      <c r="BJ777" s="408">
        <v>615.87</v>
      </c>
      <c r="BK777" s="408">
        <v>16463.169999999998</v>
      </c>
      <c r="BL777" s="408">
        <v>68</v>
      </c>
      <c r="BM777" s="408"/>
      <c r="BN777" s="408"/>
      <c r="BO777" s="408"/>
      <c r="BP777" s="408"/>
      <c r="BQ777" s="408"/>
      <c r="BR777" s="408"/>
      <c r="BS777" s="408"/>
      <c r="BT777" s="408"/>
      <c r="BU777" s="408"/>
      <c r="BV777" s="408">
        <v>18957.0949472703</v>
      </c>
      <c r="BW777" s="408"/>
      <c r="BX777" s="408"/>
      <c r="BY777" s="408"/>
      <c r="BZ777" s="408"/>
      <c r="CA777" s="408"/>
      <c r="CB777" s="408"/>
      <c r="CC777" s="408"/>
      <c r="CD777" s="408"/>
      <c r="CE777" s="408"/>
      <c r="CF777" s="408"/>
      <c r="CG777" s="408"/>
      <c r="CH777" s="408"/>
      <c r="CI777" s="408">
        <v>53810.028599999998</v>
      </c>
      <c r="CJ777" s="408">
        <v>-3447.1540000000095</v>
      </c>
      <c r="CK777" s="408"/>
      <c r="CL777" s="408"/>
      <c r="CM777" s="408"/>
      <c r="CN777" s="408"/>
      <c r="CO777" s="408">
        <v>-5730.0505999999996</v>
      </c>
      <c r="CP777" s="408">
        <v>2282.9266000000002</v>
      </c>
      <c r="CQ777" s="408">
        <v>30</v>
      </c>
      <c r="CR777" s="408">
        <v>2739.4265750149461</v>
      </c>
      <c r="CS777" s="408">
        <v>57.25041196701261</v>
      </c>
      <c r="CT777" s="408">
        <v>266.9502250227265</v>
      </c>
      <c r="CU777" s="408">
        <v>0</v>
      </c>
      <c r="CV777" s="408">
        <v>0</v>
      </c>
      <c r="CW777" s="408">
        <v>0</v>
      </c>
      <c r="CX777" s="408">
        <v>0</v>
      </c>
      <c r="CY777" s="408">
        <v>0</v>
      </c>
      <c r="CZ777" s="408">
        <v>267.74434929249247</v>
      </c>
      <c r="DA777" s="408">
        <v>0</v>
      </c>
      <c r="DB777" s="408">
        <v>0</v>
      </c>
      <c r="DC777" s="408">
        <v>2282.6688443851162</v>
      </c>
      <c r="DD777" s="408">
        <v>0</v>
      </c>
      <c r="DE777" s="408">
        <v>0</v>
      </c>
      <c r="DF777" s="408">
        <v>0</v>
      </c>
      <c r="DG777" s="408">
        <v>119.79880180076498</v>
      </c>
      <c r="DH777" s="408">
        <v>0</v>
      </c>
      <c r="DI777" s="408">
        <v>-220.98387602937419</v>
      </c>
      <c r="DJ777" s="408"/>
      <c r="DK777" s="408">
        <v>0</v>
      </c>
      <c r="DL777" s="408">
        <v>0</v>
      </c>
      <c r="DM777" s="408">
        <v>0</v>
      </c>
      <c r="DN777" s="408">
        <v>0</v>
      </c>
      <c r="DO777" s="408">
        <v>-30.388834827837968</v>
      </c>
      <c r="DP777" s="408">
        <v>-3.6133465959563154</v>
      </c>
      <c r="DQ777" s="408">
        <v>0</v>
      </c>
      <c r="DR777" s="408">
        <v>0</v>
      </c>
      <c r="DS777" s="408"/>
      <c r="DT777" s="408"/>
      <c r="DU777" s="408"/>
      <c r="DV777" s="408">
        <v>24905.693566627742</v>
      </c>
      <c r="DW777" s="408">
        <v>0</v>
      </c>
      <c r="DX777" s="408">
        <v>0</v>
      </c>
      <c r="DY777" s="408">
        <v>-5730.0506000000023</v>
      </c>
      <c r="DZ777" s="408">
        <v>2282.9266000000025</v>
      </c>
      <c r="EA777" s="408">
        <v>0</v>
      </c>
      <c r="EB777" s="408">
        <v>0</v>
      </c>
      <c r="EC777" s="408">
        <v>-6186.9967464244037</v>
      </c>
      <c r="ED777" s="408">
        <v>0</v>
      </c>
      <c r="EE777" s="408">
        <v>0</v>
      </c>
      <c r="EF777" s="408">
        <v>0</v>
      </c>
      <c r="EG777" s="408">
        <v>0</v>
      </c>
      <c r="EH777" s="408">
        <v>0</v>
      </c>
      <c r="EI777" s="408">
        <v>0</v>
      </c>
      <c r="EJ777" s="408">
        <v>0</v>
      </c>
      <c r="EK777" s="408">
        <v>0</v>
      </c>
      <c r="EL777" s="408">
        <v>0</v>
      </c>
      <c r="EM777" s="408">
        <v>0</v>
      </c>
      <c r="EN777" s="408">
        <v>0</v>
      </c>
      <c r="EO777" s="408">
        <v>0</v>
      </c>
      <c r="EP777" s="408">
        <v>1661.9729044379967</v>
      </c>
      <c r="EQ777" s="408">
        <v>0</v>
      </c>
      <c r="ER777" s="408">
        <v>0</v>
      </c>
      <c r="ES777" s="408">
        <v>0</v>
      </c>
      <c r="ET777" s="408">
        <v>0</v>
      </c>
      <c r="EU777" s="408">
        <v>0</v>
      </c>
      <c r="EV777" s="408">
        <v>240</v>
      </c>
      <c r="EW777" s="408">
        <v>0</v>
      </c>
      <c r="EX777" s="408">
        <v>0</v>
      </c>
      <c r="EY777" s="408">
        <v>0</v>
      </c>
      <c r="EZ777" s="408"/>
      <c r="FA777" s="408">
        <v>0</v>
      </c>
      <c r="FB777" s="408"/>
      <c r="FC777" s="408"/>
      <c r="FD777" s="408"/>
      <c r="FE777" s="408"/>
      <c r="FF777" s="408">
        <v>0</v>
      </c>
      <c r="FG777" s="408">
        <v>0</v>
      </c>
      <c r="FH777" s="408">
        <v>0</v>
      </c>
      <c r="FI777" s="408">
        <v>0</v>
      </c>
    </row>
    <row r="778" spans="1:165">
      <c r="A778" s="408">
        <v>776</v>
      </c>
      <c r="B778" s="408" t="s">
        <v>1036</v>
      </c>
      <c r="C778" s="408" t="s">
        <v>2247</v>
      </c>
      <c r="D778" s="408" t="s">
        <v>597</v>
      </c>
      <c r="E778" s="408" t="s">
        <v>970</v>
      </c>
      <c r="F778" s="408" t="s">
        <v>1322</v>
      </c>
      <c r="G778" s="408" t="s">
        <v>1322</v>
      </c>
      <c r="H778" s="408" t="s">
        <v>1322</v>
      </c>
      <c r="I778" s="408" t="s">
        <v>973</v>
      </c>
      <c r="J778" s="408" t="s">
        <v>2236</v>
      </c>
      <c r="K778" s="826">
        <v>44713</v>
      </c>
      <c r="L778" s="408">
        <v>9959</v>
      </c>
      <c r="M778" s="408">
        <v>9959</v>
      </c>
      <c r="N778" s="408">
        <v>485.048</v>
      </c>
      <c r="O778" s="408">
        <v>485.048</v>
      </c>
      <c r="P778" s="408">
        <v>485.048</v>
      </c>
      <c r="Q778" s="408">
        <v>485.048</v>
      </c>
      <c r="R778" s="408">
        <v>52.95</v>
      </c>
      <c r="S778" s="408">
        <v>85.01</v>
      </c>
      <c r="T778" s="408">
        <v>173.25</v>
      </c>
      <c r="U778" s="408">
        <v>527329.05000000005</v>
      </c>
      <c r="V778" s="408">
        <v>125268.49648</v>
      </c>
      <c r="W778" s="408">
        <v>652597.54648000002</v>
      </c>
      <c r="X778" s="408">
        <v>575854.07615999994</v>
      </c>
      <c r="Y778" s="408">
        <v>0</v>
      </c>
      <c r="Z778" s="408">
        <v>25971.560177824722</v>
      </c>
      <c r="AA778" s="408">
        <v>0</v>
      </c>
      <c r="AB778" s="408">
        <v>0</v>
      </c>
      <c r="AC778" s="408">
        <v>7844.3682181794684</v>
      </c>
      <c r="AD778" s="408">
        <v>7536.4907078253718</v>
      </c>
      <c r="AE778" s="408">
        <v>417617.85761537042</v>
      </c>
      <c r="AF778" s="408">
        <v>82623.3045764649</v>
      </c>
      <c r="AG778" s="408">
        <v>1410.1478095219722</v>
      </c>
      <c r="AH778" s="408">
        <v>0</v>
      </c>
      <c r="AI778" s="408">
        <v>0</v>
      </c>
      <c r="AJ778" s="408">
        <v>0</v>
      </c>
      <c r="AK778" s="408">
        <v>0</v>
      </c>
      <c r="AL778" s="408">
        <v>4612.3361179561352</v>
      </c>
      <c r="AM778" s="408"/>
      <c r="AN778" s="408">
        <v>388.43314532125447</v>
      </c>
      <c r="AO778" s="408">
        <v>16651.954740254681</v>
      </c>
      <c r="AP778" s="408">
        <v>77644.595728394677</v>
      </c>
      <c r="AQ778" s="408">
        <v>0</v>
      </c>
      <c r="AR778" s="408">
        <v>0</v>
      </c>
      <c r="AS778" s="408">
        <v>0</v>
      </c>
      <c r="AT778" s="408">
        <v>0</v>
      </c>
      <c r="AU778" s="408">
        <v>0</v>
      </c>
      <c r="AV778" s="408">
        <v>0</v>
      </c>
      <c r="AW778" s="408">
        <v>0</v>
      </c>
      <c r="AX778" s="408">
        <v>0</v>
      </c>
      <c r="AY778" s="408">
        <v>0</v>
      </c>
      <c r="AZ778" s="408">
        <v>0</v>
      </c>
      <c r="BA778" s="408"/>
      <c r="BB778" s="408">
        <v>0</v>
      </c>
      <c r="BC778" s="408">
        <v>0</v>
      </c>
      <c r="BD778" s="408">
        <v>0</v>
      </c>
      <c r="BE778" s="408">
        <v>0</v>
      </c>
      <c r="BF778" s="408">
        <v>0</v>
      </c>
      <c r="BG778" s="408">
        <v>3627.5074182734675</v>
      </c>
      <c r="BH778" s="408">
        <v>0</v>
      </c>
      <c r="BI778" s="408">
        <v>0</v>
      </c>
      <c r="BJ778" s="408">
        <v>0</v>
      </c>
      <c r="BK778" s="408">
        <v>0</v>
      </c>
      <c r="BL778" s="408">
        <v>0</v>
      </c>
      <c r="BM778" s="408"/>
      <c r="BN778" s="408"/>
      <c r="BO778" s="408"/>
      <c r="BP778" s="408"/>
      <c r="BQ778" s="408"/>
      <c r="BR778" s="408"/>
      <c r="BS778" s="408"/>
      <c r="BT778" s="408"/>
      <c r="BU778" s="408"/>
      <c r="BV778" s="408">
        <v>86250.811994738368</v>
      </c>
      <c r="BW778" s="408"/>
      <c r="BX778" s="408"/>
      <c r="BY778" s="408"/>
      <c r="BZ778" s="408"/>
      <c r="CA778" s="408"/>
      <c r="CB778" s="408"/>
      <c r="CC778" s="408"/>
      <c r="CD778" s="408"/>
      <c r="CE778" s="408"/>
      <c r="CF778" s="408"/>
      <c r="CG778" s="408"/>
      <c r="CH778" s="408"/>
      <c r="CI778" s="408">
        <v>575854.6335</v>
      </c>
      <c r="CJ778" s="408">
        <v>-76742.942980000051</v>
      </c>
      <c r="CK778" s="408"/>
      <c r="CL778" s="408"/>
      <c r="CM778" s="408"/>
      <c r="CN778" s="408"/>
      <c r="CO778" s="408">
        <v>-87215.65664000003</v>
      </c>
      <c r="CP778" s="408">
        <v>10472.186320000003</v>
      </c>
      <c r="CQ778" s="408">
        <v>30</v>
      </c>
      <c r="CR778" s="408">
        <v>27054.962409285887</v>
      </c>
      <c r="CS778" s="408">
        <v>1659.3316972685534</v>
      </c>
      <c r="CT778" s="408">
        <v>7737.118003466021</v>
      </c>
      <c r="CU778" s="408">
        <v>0</v>
      </c>
      <c r="CV778" s="408">
        <v>0</v>
      </c>
      <c r="CW778" s="408">
        <v>0</v>
      </c>
      <c r="CX778" s="408">
        <v>0</v>
      </c>
      <c r="CY778" s="408">
        <v>0</v>
      </c>
      <c r="CZ778" s="408">
        <v>7760.0883104949526</v>
      </c>
      <c r="DA778" s="408">
        <v>0</v>
      </c>
      <c r="DB778" s="408">
        <v>0</v>
      </c>
      <c r="DC778" s="408">
        <v>10471.003949605743</v>
      </c>
      <c r="DD778" s="408">
        <v>0</v>
      </c>
      <c r="DE778" s="408">
        <v>0</v>
      </c>
      <c r="DF778" s="408">
        <v>0</v>
      </c>
      <c r="DG778" s="408">
        <v>459.72071316528854</v>
      </c>
      <c r="DH778" s="408">
        <v>0</v>
      </c>
      <c r="DI778" s="408">
        <v>-881.91199902832523</v>
      </c>
      <c r="DJ778" s="408"/>
      <c r="DK778" s="408">
        <v>0</v>
      </c>
      <c r="DL778" s="408">
        <v>0</v>
      </c>
      <c r="DM778" s="408">
        <v>0</v>
      </c>
      <c r="DN778" s="408">
        <v>0</v>
      </c>
      <c r="DO778" s="408">
        <v>-139.39893659516929</v>
      </c>
      <c r="DP778" s="408">
        <v>-10.989329091162006</v>
      </c>
      <c r="DQ778" s="408">
        <v>0</v>
      </c>
      <c r="DR778" s="408">
        <v>0</v>
      </c>
      <c r="DS778" s="408"/>
      <c r="DT778" s="408"/>
      <c r="DU778" s="408">
        <v>417617.85761537042</v>
      </c>
      <c r="DV778" s="408">
        <v>0</v>
      </c>
      <c r="DW778" s="408">
        <v>0</v>
      </c>
      <c r="DX778" s="408">
        <v>0</v>
      </c>
      <c r="DY778" s="408">
        <v>-87215.656640000059</v>
      </c>
      <c r="DZ778" s="408">
        <v>10472.186319999993</v>
      </c>
      <c r="EA778" s="408">
        <v>0</v>
      </c>
      <c r="EB778" s="408">
        <v>0</v>
      </c>
      <c r="EC778" s="408">
        <v>-103743.35970218224</v>
      </c>
      <c r="ED778" s="408">
        <v>0</v>
      </c>
      <c r="EE778" s="408">
        <v>0</v>
      </c>
      <c r="EF778" s="408">
        <v>0</v>
      </c>
      <c r="EG778" s="408">
        <v>0</v>
      </c>
      <c r="EH778" s="408">
        <v>0</v>
      </c>
      <c r="EI778" s="408">
        <v>0</v>
      </c>
      <c r="EJ778" s="408">
        <v>0</v>
      </c>
      <c r="EK778" s="408">
        <v>0</v>
      </c>
      <c r="EL778" s="408">
        <v>0</v>
      </c>
      <c r="EM778" s="408">
        <v>0</v>
      </c>
      <c r="EN778" s="408">
        <v>0</v>
      </c>
      <c r="EO778" s="408">
        <v>0</v>
      </c>
      <c r="EP778" s="408">
        <v>6632.6732647636054</v>
      </c>
      <c r="EQ778" s="408">
        <v>0</v>
      </c>
      <c r="ER778" s="408">
        <v>0</v>
      </c>
      <c r="ES778" s="408">
        <v>0</v>
      </c>
      <c r="ET778" s="408">
        <v>0</v>
      </c>
      <c r="EU778" s="408">
        <v>0</v>
      </c>
      <c r="EV778" s="408">
        <v>240</v>
      </c>
      <c r="EW778" s="408">
        <v>0</v>
      </c>
      <c r="EX778" s="408">
        <v>0</v>
      </c>
      <c r="EY778" s="408">
        <v>0</v>
      </c>
      <c r="EZ778" s="408"/>
      <c r="FA778" s="408">
        <v>0</v>
      </c>
      <c r="FB778" s="408"/>
      <c r="FC778" s="408"/>
      <c r="FD778" s="408"/>
      <c r="FE778" s="408"/>
      <c r="FF778" s="408">
        <v>0</v>
      </c>
      <c r="FG778" s="408">
        <v>0</v>
      </c>
      <c r="FH778" s="408">
        <v>0</v>
      </c>
      <c r="FI778" s="408">
        <v>0</v>
      </c>
    </row>
    <row r="779" spans="1:165">
      <c r="A779" s="408">
        <v>777</v>
      </c>
      <c r="B779" s="408" t="s">
        <v>1036</v>
      </c>
      <c r="C779" s="408" t="s">
        <v>2247</v>
      </c>
      <c r="D779" s="408" t="s">
        <v>597</v>
      </c>
      <c r="E779" s="408" t="s">
        <v>970</v>
      </c>
      <c r="F779" s="408" t="s">
        <v>1322</v>
      </c>
      <c r="G779" s="408" t="s">
        <v>1322</v>
      </c>
      <c r="H779" s="408" t="s">
        <v>1322</v>
      </c>
      <c r="I779" s="408" t="s">
        <v>2244</v>
      </c>
      <c r="J779" s="408" t="s">
        <v>2236</v>
      </c>
      <c r="K779" s="826">
        <v>44713</v>
      </c>
      <c r="L779" s="408">
        <v>11018</v>
      </c>
      <c r="M779" s="408">
        <v>11018</v>
      </c>
      <c r="N779" s="408">
        <v>4222.0879999999997</v>
      </c>
      <c r="O779" s="408">
        <v>4222.0879999999997</v>
      </c>
      <c r="P779" s="408">
        <v>4222.0879999999997</v>
      </c>
      <c r="Q779" s="408">
        <v>4222.0879999999997</v>
      </c>
      <c r="R779" s="408">
        <v>27.19</v>
      </c>
      <c r="S779" s="408">
        <v>85.01</v>
      </c>
      <c r="T779" s="408">
        <v>173.25</v>
      </c>
      <c r="U779" s="408">
        <v>299579.42000000004</v>
      </c>
      <c r="V779" s="408">
        <v>1090396.4468799999</v>
      </c>
      <c r="W779" s="408">
        <v>1389975.8668800001</v>
      </c>
      <c r="X779" s="408">
        <v>1416320.9429600001</v>
      </c>
      <c r="Y779" s="408">
        <v>0</v>
      </c>
      <c r="Z779" s="408">
        <v>226068.78611616092</v>
      </c>
      <c r="AA779" s="408">
        <v>0</v>
      </c>
      <c r="AB779" s="408">
        <v>0</v>
      </c>
      <c r="AC779" s="408">
        <v>2569.4043587449005</v>
      </c>
      <c r="AD779" s="408">
        <v>2468.4158601833319</v>
      </c>
      <c r="AE779" s="408">
        <v>263683.10921913135</v>
      </c>
      <c r="AF779" s="408">
        <v>719192.45677260298</v>
      </c>
      <c r="AG779" s="408">
        <v>12274.595802495845</v>
      </c>
      <c r="AH779" s="408">
        <v>0</v>
      </c>
      <c r="AI779" s="408">
        <v>0</v>
      </c>
      <c r="AJ779" s="408">
        <v>0</v>
      </c>
      <c r="AK779" s="408">
        <v>0</v>
      </c>
      <c r="AL779" s="408">
        <v>40147.96262553228</v>
      </c>
      <c r="AM779" s="408"/>
      <c r="AN779" s="408">
        <v>3381.1064506257621</v>
      </c>
      <c r="AO779" s="408">
        <v>5452.641068954732</v>
      </c>
      <c r="AP779" s="408">
        <v>25430.522872300597</v>
      </c>
      <c r="AQ779" s="408">
        <v>0</v>
      </c>
      <c r="AR779" s="408">
        <v>0</v>
      </c>
      <c r="AS779" s="408">
        <v>0</v>
      </c>
      <c r="AT779" s="408">
        <v>0</v>
      </c>
      <c r="AU779" s="408">
        <v>0</v>
      </c>
      <c r="AV779" s="408">
        <v>0</v>
      </c>
      <c r="AW779" s="408">
        <v>0</v>
      </c>
      <c r="AX779" s="408">
        <v>0</v>
      </c>
      <c r="AY779" s="408">
        <v>0</v>
      </c>
      <c r="AZ779" s="408">
        <v>0</v>
      </c>
      <c r="BA779" s="408"/>
      <c r="BB779" s="408">
        <v>0</v>
      </c>
      <c r="BC779" s="408">
        <v>0</v>
      </c>
      <c r="BD779" s="408">
        <v>0</v>
      </c>
      <c r="BE779" s="408">
        <v>0</v>
      </c>
      <c r="BF779" s="408">
        <v>0</v>
      </c>
      <c r="BG779" s="408">
        <v>31575.546215226917</v>
      </c>
      <c r="BH779" s="408">
        <v>0</v>
      </c>
      <c r="BI779" s="408">
        <v>0</v>
      </c>
      <c r="BJ779" s="408">
        <v>0</v>
      </c>
      <c r="BK779" s="408">
        <v>0</v>
      </c>
      <c r="BL779" s="408">
        <v>0</v>
      </c>
      <c r="BM779" s="408"/>
      <c r="BN779" s="408"/>
      <c r="BO779" s="408"/>
      <c r="BP779" s="408"/>
      <c r="BQ779" s="408"/>
      <c r="BR779" s="408"/>
      <c r="BS779" s="408"/>
      <c r="BT779" s="408"/>
      <c r="BU779" s="408"/>
      <c r="BV779" s="408">
        <v>750768.00298782985</v>
      </c>
      <c r="BW779" s="408"/>
      <c r="BX779" s="408"/>
      <c r="BY779" s="408"/>
      <c r="BZ779" s="408"/>
      <c r="CA779" s="408"/>
      <c r="CB779" s="408"/>
      <c r="CC779" s="408"/>
      <c r="CD779" s="408"/>
      <c r="CE779" s="408"/>
      <c r="CF779" s="408"/>
      <c r="CG779" s="408"/>
      <c r="CH779" s="408"/>
      <c r="CI779" s="408">
        <v>1416321.5003</v>
      </c>
      <c r="CJ779" s="408">
        <v>26345.603419999825</v>
      </c>
      <c r="CK779" s="408"/>
      <c r="CL779" s="408"/>
      <c r="CM779" s="408"/>
      <c r="CN779" s="408"/>
      <c r="CO779" s="408">
        <v>-64809.80384000003</v>
      </c>
      <c r="CP779" s="408">
        <v>91154.879920000007</v>
      </c>
      <c r="CQ779" s="408">
        <v>30</v>
      </c>
      <c r="CR779" s="408">
        <v>91779.67557312944</v>
      </c>
      <c r="CS779" s="408">
        <v>543.34402781389599</v>
      </c>
      <c r="CT779" s="408">
        <v>2534.0972479411939</v>
      </c>
      <c r="CU779" s="408">
        <v>0</v>
      </c>
      <c r="CV779" s="408">
        <v>0</v>
      </c>
      <c r="CW779" s="408">
        <v>0</v>
      </c>
      <c r="CX779" s="408">
        <v>0</v>
      </c>
      <c r="CY779" s="408">
        <v>0</v>
      </c>
      <c r="CZ779" s="408">
        <v>2541.6504583704586</v>
      </c>
      <c r="DA779" s="408">
        <v>0</v>
      </c>
      <c r="DB779" s="408">
        <v>0</v>
      </c>
      <c r="DC779" s="408">
        <v>91144.588006925071</v>
      </c>
      <c r="DD779" s="408">
        <v>0</v>
      </c>
      <c r="DE779" s="408">
        <v>0</v>
      </c>
      <c r="DF779" s="408">
        <v>0</v>
      </c>
      <c r="DG779" s="408">
        <v>4001.6272748400297</v>
      </c>
      <c r="DH779" s="408">
        <v>0</v>
      </c>
      <c r="DI779" s="408">
        <v>-7676.5806026486389</v>
      </c>
      <c r="DJ779" s="408"/>
      <c r="DK779" s="408">
        <v>0</v>
      </c>
      <c r="DL779" s="408">
        <v>0</v>
      </c>
      <c r="DM779" s="408">
        <v>0</v>
      </c>
      <c r="DN779" s="408">
        <v>0</v>
      </c>
      <c r="DO779" s="408">
        <v>-1213.3945040722247</v>
      </c>
      <c r="DP779" s="408">
        <v>-95.656336040651695</v>
      </c>
      <c r="DQ779" s="408">
        <v>0</v>
      </c>
      <c r="DR779" s="408">
        <v>0</v>
      </c>
      <c r="DS779" s="408"/>
      <c r="DT779" s="408"/>
      <c r="DU779" s="408">
        <v>263683.10921913135</v>
      </c>
      <c r="DV779" s="408">
        <v>0</v>
      </c>
      <c r="DW779" s="408">
        <v>0</v>
      </c>
      <c r="DX779" s="408">
        <v>0</v>
      </c>
      <c r="DY779" s="408">
        <v>-64809.803840000066</v>
      </c>
      <c r="DZ779" s="408">
        <v>91154.879920000094</v>
      </c>
      <c r="EA779" s="408">
        <v>0</v>
      </c>
      <c r="EB779" s="408">
        <v>0</v>
      </c>
      <c r="EC779" s="408">
        <v>-65503.357072208135</v>
      </c>
      <c r="ED779" s="408">
        <v>0</v>
      </c>
      <c r="EE779" s="408">
        <v>0</v>
      </c>
      <c r="EF779" s="408">
        <v>0</v>
      </c>
      <c r="EG779" s="408">
        <v>0</v>
      </c>
      <c r="EH779" s="408">
        <v>0</v>
      </c>
      <c r="EI779" s="408">
        <v>0</v>
      </c>
      <c r="EJ779" s="408">
        <v>0</v>
      </c>
      <c r="EK779" s="408">
        <v>0</v>
      </c>
      <c r="EL779" s="408">
        <v>0</v>
      </c>
      <c r="EM779" s="408">
        <v>0</v>
      </c>
      <c r="EN779" s="408">
        <v>0</v>
      </c>
      <c r="EO779" s="408">
        <v>0</v>
      </c>
      <c r="EP779" s="408">
        <v>57733.936020928326</v>
      </c>
      <c r="EQ779" s="408">
        <v>0</v>
      </c>
      <c r="ER779" s="408">
        <v>0</v>
      </c>
      <c r="ES779" s="408">
        <v>0</v>
      </c>
      <c r="ET779" s="408">
        <v>0</v>
      </c>
      <c r="EU779" s="408">
        <v>0</v>
      </c>
      <c r="EV779" s="408">
        <v>240</v>
      </c>
      <c r="EW779" s="408">
        <v>0</v>
      </c>
      <c r="EX779" s="408">
        <v>0</v>
      </c>
      <c r="EY779" s="408">
        <v>0</v>
      </c>
      <c r="EZ779" s="408"/>
      <c r="FA779" s="408">
        <v>0</v>
      </c>
      <c r="FB779" s="408"/>
      <c r="FC779" s="408"/>
      <c r="FD779" s="408"/>
      <c r="FE779" s="408"/>
      <c r="FF779" s="408">
        <v>0</v>
      </c>
      <c r="FG779" s="408">
        <v>0</v>
      </c>
      <c r="FH779" s="408">
        <v>0</v>
      </c>
      <c r="FI779" s="408">
        <v>0</v>
      </c>
    </row>
    <row r="780" spans="1:165">
      <c r="A780" s="408">
        <v>778</v>
      </c>
      <c r="B780" s="408" t="s">
        <v>1036</v>
      </c>
      <c r="C780" s="408" t="s">
        <v>2247</v>
      </c>
      <c r="D780" s="408" t="s">
        <v>597</v>
      </c>
      <c r="E780" s="408" t="s">
        <v>970</v>
      </c>
      <c r="F780" s="408" t="s">
        <v>1322</v>
      </c>
      <c r="G780" s="408" t="s">
        <v>1322</v>
      </c>
      <c r="H780" s="408" t="s">
        <v>1322</v>
      </c>
      <c r="I780" s="408" t="s">
        <v>1322</v>
      </c>
      <c r="J780" s="408" t="s">
        <v>2236</v>
      </c>
      <c r="K780" s="826">
        <v>44713</v>
      </c>
      <c r="L780" s="408">
        <v>0</v>
      </c>
      <c r="M780" s="408">
        <v>0</v>
      </c>
      <c r="N780" s="408">
        <v>0</v>
      </c>
      <c r="O780" s="408">
        <v>0</v>
      </c>
      <c r="P780" s="408">
        <v>0</v>
      </c>
      <c r="Q780" s="408">
        <v>0</v>
      </c>
      <c r="R780" s="408"/>
      <c r="S780" s="408"/>
      <c r="T780" s="408"/>
      <c r="U780" s="408"/>
      <c r="V780" s="408"/>
      <c r="W780" s="408"/>
      <c r="X780" s="408"/>
      <c r="Y780" s="408"/>
      <c r="Z780" s="408"/>
      <c r="AA780" s="408">
        <v>0</v>
      </c>
      <c r="AB780" s="408"/>
      <c r="AC780" s="408"/>
      <c r="AD780" s="408"/>
      <c r="AE780" s="408"/>
      <c r="AF780" s="408"/>
      <c r="AG780" s="408"/>
      <c r="AH780" s="408"/>
      <c r="AI780" s="408"/>
      <c r="AJ780" s="408"/>
      <c r="AK780" s="408"/>
      <c r="AL780" s="408"/>
      <c r="AM780" s="408"/>
      <c r="AN780" s="408"/>
      <c r="AO780" s="408"/>
      <c r="AP780" s="408"/>
      <c r="AQ780" s="408"/>
      <c r="AR780" s="408"/>
      <c r="AS780" s="408"/>
      <c r="AT780" s="408"/>
      <c r="AU780" s="408"/>
      <c r="AV780" s="408"/>
      <c r="AW780" s="408"/>
      <c r="AX780" s="408"/>
      <c r="AY780" s="408"/>
      <c r="AZ780" s="408">
        <v>0</v>
      </c>
      <c r="BA780" s="408"/>
      <c r="BB780" s="408"/>
      <c r="BC780" s="408"/>
      <c r="BD780" s="408"/>
      <c r="BE780" s="408"/>
      <c r="BF780" s="408"/>
      <c r="BG780" s="408"/>
      <c r="BH780" s="408"/>
      <c r="BI780" s="408">
        <v>2019.44</v>
      </c>
      <c r="BJ780" s="408">
        <v>22213.99</v>
      </c>
      <c r="BK780" s="408">
        <v>399896.44</v>
      </c>
      <c r="BL780" s="408">
        <v>5</v>
      </c>
      <c r="BM780" s="408"/>
      <c r="BN780" s="408"/>
      <c r="BO780" s="408"/>
      <c r="BP780" s="408"/>
      <c r="BQ780" s="408"/>
      <c r="BR780" s="408"/>
      <c r="BS780" s="408"/>
      <c r="BT780" s="408"/>
      <c r="BU780" s="408"/>
      <c r="BV780" s="408"/>
      <c r="BW780" s="408"/>
      <c r="BX780" s="408"/>
      <c r="BY780" s="408"/>
      <c r="BZ780" s="408"/>
      <c r="CA780" s="408"/>
      <c r="CB780" s="408"/>
      <c r="CC780" s="408"/>
      <c r="CD780" s="408"/>
      <c r="CE780" s="408"/>
      <c r="CF780" s="408"/>
      <c r="CG780" s="408"/>
      <c r="CH780" s="408"/>
      <c r="CI780" s="408"/>
      <c r="CJ780" s="408">
        <v>-0.03</v>
      </c>
      <c r="CK780" s="408"/>
      <c r="CL780" s="408"/>
      <c r="CM780" s="408"/>
      <c r="CN780" s="408"/>
      <c r="CO780" s="408">
        <v>0</v>
      </c>
      <c r="CP780" s="408">
        <v>0</v>
      </c>
      <c r="CQ780" s="408">
        <v>30</v>
      </c>
      <c r="CR780" s="408"/>
      <c r="CS780" s="408"/>
      <c r="CT780" s="408"/>
      <c r="CU780" s="408"/>
      <c r="CV780" s="408"/>
      <c r="CW780" s="408"/>
      <c r="CX780" s="408"/>
      <c r="CY780" s="408"/>
      <c r="CZ780" s="408"/>
      <c r="DA780" s="408"/>
      <c r="DB780" s="408"/>
      <c r="DC780" s="408"/>
      <c r="DD780" s="408"/>
      <c r="DE780" s="408"/>
      <c r="DF780" s="408"/>
      <c r="DG780" s="408"/>
      <c r="DH780" s="408"/>
      <c r="DI780" s="408"/>
      <c r="DJ780" s="408"/>
      <c r="DK780" s="408">
        <v>0</v>
      </c>
      <c r="DL780" s="408"/>
      <c r="DM780" s="408"/>
      <c r="DN780" s="408"/>
      <c r="DO780" s="408"/>
      <c r="DP780" s="408"/>
      <c r="DQ780" s="408"/>
      <c r="DR780" s="408"/>
      <c r="DS780" s="408"/>
      <c r="DT780" s="408"/>
      <c r="DU780" s="408"/>
      <c r="DV780" s="408"/>
      <c r="DW780" s="408"/>
      <c r="DX780" s="408"/>
      <c r="DY780" s="408"/>
      <c r="DZ780" s="408"/>
      <c r="EA780" s="408"/>
      <c r="EB780" s="408"/>
      <c r="EC780" s="408"/>
      <c r="ED780" s="408"/>
      <c r="EE780" s="408"/>
      <c r="EF780" s="408"/>
      <c r="EG780" s="408"/>
      <c r="EH780" s="408"/>
      <c r="EI780" s="408"/>
      <c r="EJ780" s="408"/>
      <c r="EK780" s="408"/>
      <c r="EL780" s="408"/>
      <c r="EM780" s="408"/>
      <c r="EN780" s="408"/>
      <c r="EO780" s="408"/>
      <c r="EP780" s="408"/>
      <c r="EQ780" s="408"/>
      <c r="ER780" s="408"/>
      <c r="ES780" s="408"/>
      <c r="ET780" s="408"/>
      <c r="EU780" s="408"/>
      <c r="EV780" s="408">
        <v>240</v>
      </c>
      <c r="EW780" s="408"/>
      <c r="EX780" s="408"/>
      <c r="EY780" s="408"/>
      <c r="EZ780" s="408"/>
      <c r="FA780" s="408">
        <v>0</v>
      </c>
      <c r="FB780" s="408"/>
      <c r="FC780" s="408"/>
      <c r="FD780" s="408"/>
      <c r="FE780" s="408"/>
      <c r="FF780" s="408">
        <v>0</v>
      </c>
      <c r="FG780" s="408">
        <v>0</v>
      </c>
      <c r="FH780" s="408">
        <v>0</v>
      </c>
      <c r="FI780" s="408">
        <v>0</v>
      </c>
    </row>
    <row r="781" spans="1:165">
      <c r="A781" s="408">
        <v>779</v>
      </c>
      <c r="B781" s="408" t="s">
        <v>1036</v>
      </c>
      <c r="C781" s="408" t="s">
        <v>2243</v>
      </c>
      <c r="D781" s="408" t="s">
        <v>597</v>
      </c>
      <c r="E781" s="408" t="s">
        <v>970</v>
      </c>
      <c r="F781" s="408" t="s">
        <v>1322</v>
      </c>
      <c r="G781" s="408" t="s">
        <v>1322</v>
      </c>
      <c r="H781" s="408" t="s">
        <v>1322</v>
      </c>
      <c r="I781" s="408" t="s">
        <v>973</v>
      </c>
      <c r="J781" s="408" t="s">
        <v>2236</v>
      </c>
      <c r="K781" s="826">
        <v>44713</v>
      </c>
      <c r="L781" s="408">
        <v>0</v>
      </c>
      <c r="M781" s="408">
        <v>0</v>
      </c>
      <c r="N781" s="408">
        <v>178.29499999999999</v>
      </c>
      <c r="O781" s="408">
        <v>178.29499999999999</v>
      </c>
      <c r="P781" s="408">
        <v>178.29499999999999</v>
      </c>
      <c r="Q781" s="408">
        <v>178.29499999999999</v>
      </c>
      <c r="R781" s="408"/>
      <c r="S781" s="408">
        <v>1358.36</v>
      </c>
      <c r="T781" s="408">
        <v>173.25</v>
      </c>
      <c r="U781" s="408"/>
      <c r="V781" s="408">
        <v>273078.40494999994</v>
      </c>
      <c r="W781" s="408">
        <v>273078.40494999994</v>
      </c>
      <c r="X781" s="408">
        <v>239435.92139999999</v>
      </c>
      <c r="Y781" s="408">
        <v>0</v>
      </c>
      <c r="Z781" s="408">
        <v>9546.6826415226096</v>
      </c>
      <c r="AA781" s="408">
        <v>0</v>
      </c>
      <c r="AB781" s="408">
        <v>0</v>
      </c>
      <c r="AC781" s="408">
        <v>3377.2796397846228</v>
      </c>
      <c r="AD781" s="408">
        <v>3244.818428903413</v>
      </c>
      <c r="AE781" s="408">
        <v>179811.88336692017</v>
      </c>
      <c r="AF781" s="408">
        <v>30370.854203008381</v>
      </c>
      <c r="AG781" s="408">
        <v>518.34520232785212</v>
      </c>
      <c r="AH781" s="408">
        <v>0</v>
      </c>
      <c r="AI781" s="408">
        <v>0</v>
      </c>
      <c r="AJ781" s="408">
        <v>0</v>
      </c>
      <c r="AK781" s="408">
        <v>0</v>
      </c>
      <c r="AL781" s="408">
        <v>1695.4125532957339</v>
      </c>
      <c r="AM781" s="408"/>
      <c r="AN781" s="408">
        <v>142.78110134471859</v>
      </c>
      <c r="AO781" s="408">
        <v>7169.3885429704696</v>
      </c>
      <c r="AP781" s="408">
        <v>33429.617359625823</v>
      </c>
      <c r="AQ781" s="408">
        <v>0</v>
      </c>
      <c r="AR781" s="408">
        <v>0</v>
      </c>
      <c r="AS781" s="408">
        <v>0</v>
      </c>
      <c r="AT781" s="408">
        <v>0</v>
      </c>
      <c r="AU781" s="408">
        <v>0</v>
      </c>
      <c r="AV781" s="408">
        <v>0</v>
      </c>
      <c r="AW781" s="408">
        <v>0</v>
      </c>
      <c r="AX781" s="408">
        <v>0</v>
      </c>
      <c r="AY781" s="408">
        <v>0</v>
      </c>
      <c r="AZ781" s="408">
        <v>0</v>
      </c>
      <c r="BA781" s="408"/>
      <c r="BB781" s="408">
        <v>0</v>
      </c>
      <c r="BC781" s="408">
        <v>0</v>
      </c>
      <c r="BD781" s="408">
        <v>0</v>
      </c>
      <c r="BE781" s="408">
        <v>0</v>
      </c>
      <c r="BF781" s="408">
        <v>0</v>
      </c>
      <c r="BG781" s="408">
        <v>1333.4070754668978</v>
      </c>
      <c r="BH781" s="408">
        <v>0</v>
      </c>
      <c r="BI781" s="408">
        <v>0</v>
      </c>
      <c r="BJ781" s="408">
        <v>0</v>
      </c>
      <c r="BK781" s="408">
        <v>0</v>
      </c>
      <c r="BL781" s="408">
        <v>0</v>
      </c>
      <c r="BM781" s="408"/>
      <c r="BN781" s="408"/>
      <c r="BO781" s="408"/>
      <c r="BP781" s="408"/>
      <c r="BQ781" s="408"/>
      <c r="BR781" s="408"/>
      <c r="BS781" s="408"/>
      <c r="BT781" s="408"/>
      <c r="BU781" s="408"/>
      <c r="BV781" s="408">
        <v>31704.261278475278</v>
      </c>
      <c r="BW781" s="408"/>
      <c r="BX781" s="408"/>
      <c r="BY781" s="408"/>
      <c r="BZ781" s="408"/>
      <c r="CA781" s="408"/>
      <c r="CB781" s="408"/>
      <c r="CC781" s="408"/>
      <c r="CD781" s="408"/>
      <c r="CE781" s="408"/>
      <c r="CF781" s="408"/>
      <c r="CG781" s="408"/>
      <c r="CH781" s="408"/>
      <c r="CI781" s="408">
        <v>239442.636</v>
      </c>
      <c r="CJ781" s="408">
        <v>-33635.798949999968</v>
      </c>
      <c r="CK781" s="408"/>
      <c r="CL781" s="408"/>
      <c r="CM781" s="408"/>
      <c r="CN781" s="408"/>
      <c r="CO781" s="408">
        <v>-37491.872599999995</v>
      </c>
      <c r="CP781" s="408">
        <v>3849.3890500000002</v>
      </c>
      <c r="CQ781" s="408">
        <v>30</v>
      </c>
      <c r="CR781" s="408">
        <v>11025.176406770086</v>
      </c>
      <c r="CS781" s="408">
        <v>714.41424415032816</v>
      </c>
      <c r="CT781" s="408">
        <v>3331.189915997682</v>
      </c>
      <c r="CU781" s="408">
        <v>0</v>
      </c>
      <c r="CV781" s="408">
        <v>0</v>
      </c>
      <c r="CW781" s="408">
        <v>0</v>
      </c>
      <c r="CX781" s="408">
        <v>0</v>
      </c>
      <c r="CY781" s="408">
        <v>0</v>
      </c>
      <c r="CZ781" s="408">
        <v>3341.0878532188349</v>
      </c>
      <c r="DA781" s="408">
        <v>0</v>
      </c>
      <c r="DB781" s="408">
        <v>0</v>
      </c>
      <c r="DC781" s="408">
        <v>3848.9544317159416</v>
      </c>
      <c r="DD781" s="408">
        <v>0</v>
      </c>
      <c r="DE781" s="408">
        <v>0</v>
      </c>
      <c r="DF781" s="408">
        <v>0</v>
      </c>
      <c r="DG781" s="408">
        <v>168.98514075680146</v>
      </c>
      <c r="DH781" s="408">
        <v>0</v>
      </c>
      <c r="DI781" s="408">
        <v>-324.17513290799252</v>
      </c>
      <c r="DJ781" s="408"/>
      <c r="DK781" s="408">
        <v>0</v>
      </c>
      <c r="DL781" s="408">
        <v>0</v>
      </c>
      <c r="DM781" s="408">
        <v>0</v>
      </c>
      <c r="DN781" s="408">
        <v>0</v>
      </c>
      <c r="DO781" s="408">
        <v>-51.240564645634549</v>
      </c>
      <c r="DP781" s="408">
        <v>-4.0394815158679762</v>
      </c>
      <c r="DQ781" s="408">
        <v>0</v>
      </c>
      <c r="DR781" s="408">
        <v>0</v>
      </c>
      <c r="DS781" s="408"/>
      <c r="DT781" s="408"/>
      <c r="DU781" s="408"/>
      <c r="DV781" s="408">
        <v>179811.88336692017</v>
      </c>
      <c r="DW781" s="408">
        <v>0</v>
      </c>
      <c r="DX781" s="408">
        <v>0</v>
      </c>
      <c r="DY781" s="408">
        <v>-37491.872599999973</v>
      </c>
      <c r="DZ781" s="408">
        <v>3849.389049999998</v>
      </c>
      <c r="EA781" s="408">
        <v>0</v>
      </c>
      <c r="EB781" s="408">
        <v>0</v>
      </c>
      <c r="EC781" s="408">
        <v>-44668.321899304952</v>
      </c>
      <c r="ED781" s="408">
        <v>0</v>
      </c>
      <c r="EE781" s="408">
        <v>0</v>
      </c>
      <c r="EF781" s="408">
        <v>0</v>
      </c>
      <c r="EG781" s="408">
        <v>0</v>
      </c>
      <c r="EH781" s="408">
        <v>0</v>
      </c>
      <c r="EI781" s="408">
        <v>0</v>
      </c>
      <c r="EJ781" s="408">
        <v>0</v>
      </c>
      <c r="EK781" s="408">
        <v>0</v>
      </c>
      <c r="EL781" s="408">
        <v>0</v>
      </c>
      <c r="EM781" s="408">
        <v>0</v>
      </c>
      <c r="EN781" s="408">
        <v>0</v>
      </c>
      <c r="EO781" s="408">
        <v>0</v>
      </c>
      <c r="EP781" s="408">
        <v>2438.0524808699902</v>
      </c>
      <c r="EQ781" s="408">
        <v>0</v>
      </c>
      <c r="ER781" s="408">
        <v>0</v>
      </c>
      <c r="ES781" s="408">
        <v>0</v>
      </c>
      <c r="ET781" s="408">
        <v>0</v>
      </c>
      <c r="EU781" s="408">
        <v>0</v>
      </c>
      <c r="EV781" s="408">
        <v>240</v>
      </c>
      <c r="EW781" s="408">
        <v>0</v>
      </c>
      <c r="EX781" s="408">
        <v>0</v>
      </c>
      <c r="EY781" s="408">
        <v>0</v>
      </c>
      <c r="EZ781" s="408"/>
      <c r="FA781" s="408">
        <v>0</v>
      </c>
      <c r="FB781" s="408"/>
      <c r="FC781" s="408"/>
      <c r="FD781" s="408"/>
      <c r="FE781" s="408"/>
      <c r="FF781" s="408">
        <v>0</v>
      </c>
      <c r="FG781" s="408">
        <v>0</v>
      </c>
      <c r="FH781" s="408">
        <v>0</v>
      </c>
      <c r="FI781" s="408">
        <v>0</v>
      </c>
    </row>
    <row r="782" spans="1:165">
      <c r="A782" s="408">
        <v>780</v>
      </c>
      <c r="B782" s="408" t="s">
        <v>2238</v>
      </c>
      <c r="C782" s="408" t="s">
        <v>2243</v>
      </c>
      <c r="D782" s="408" t="s">
        <v>597</v>
      </c>
      <c r="E782" s="408" t="s">
        <v>970</v>
      </c>
      <c r="F782" s="408" t="s">
        <v>1322</v>
      </c>
      <c r="G782" s="408" t="s">
        <v>1322</v>
      </c>
      <c r="H782" s="408" t="s">
        <v>1322</v>
      </c>
      <c r="I782" s="408" t="s">
        <v>973</v>
      </c>
      <c r="J782" s="408" t="s">
        <v>2236</v>
      </c>
      <c r="K782" s="826">
        <v>44713</v>
      </c>
      <c r="L782" s="408">
        <v>0</v>
      </c>
      <c r="M782" s="408">
        <v>0</v>
      </c>
      <c r="N782" s="408">
        <v>2.3929999999999998</v>
      </c>
      <c r="O782" s="408">
        <v>2.3929999999999998</v>
      </c>
      <c r="P782" s="408">
        <v>2.3929999999999998</v>
      </c>
      <c r="Q782" s="408">
        <v>2.3929999999999998</v>
      </c>
      <c r="R782" s="408"/>
      <c r="S782" s="408">
        <v>1358.36</v>
      </c>
      <c r="T782" s="408">
        <v>173.25</v>
      </c>
      <c r="U782" s="408"/>
      <c r="V782" s="408">
        <v>3665.1427299999996</v>
      </c>
      <c r="W782" s="408">
        <v>3665.1427299999996</v>
      </c>
      <c r="X782" s="408">
        <v>3213.6075599999995</v>
      </c>
      <c r="Y782" s="408">
        <v>0</v>
      </c>
      <c r="Z782" s="408">
        <v>128.13153235460112</v>
      </c>
      <c r="AA782" s="408">
        <v>0</v>
      </c>
      <c r="AB782" s="408">
        <v>0</v>
      </c>
      <c r="AC782" s="408">
        <v>45.328417386940757</v>
      </c>
      <c r="AD782" s="408">
        <v>43.550579098493323</v>
      </c>
      <c r="AE782" s="408">
        <v>2413.3589663032612</v>
      </c>
      <c r="AF782" s="408">
        <v>407.62474611065397</v>
      </c>
      <c r="AG782" s="408">
        <v>6.9570098385852113</v>
      </c>
      <c r="AH782" s="408">
        <v>0</v>
      </c>
      <c r="AI782" s="408">
        <v>0</v>
      </c>
      <c r="AJ782" s="408">
        <v>0</v>
      </c>
      <c r="AK782" s="408">
        <v>0</v>
      </c>
      <c r="AL782" s="408">
        <v>22.755109453639704</v>
      </c>
      <c r="AM782" s="408"/>
      <c r="AN782" s="408">
        <v>1.9163474888129874</v>
      </c>
      <c r="AO782" s="408">
        <v>96.224497508782264</v>
      </c>
      <c r="AP782" s="408">
        <v>448.67817012021982</v>
      </c>
      <c r="AQ782" s="408">
        <v>0</v>
      </c>
      <c r="AR782" s="408">
        <v>0</v>
      </c>
      <c r="AS782" s="408">
        <v>0</v>
      </c>
      <c r="AT782" s="408">
        <v>0</v>
      </c>
      <c r="AU782" s="408">
        <v>0</v>
      </c>
      <c r="AV782" s="408">
        <v>0</v>
      </c>
      <c r="AW782" s="408">
        <v>0</v>
      </c>
      <c r="AX782" s="408">
        <v>0</v>
      </c>
      <c r="AY782" s="408">
        <v>0</v>
      </c>
      <c r="AZ782" s="408">
        <v>0</v>
      </c>
      <c r="BA782" s="408"/>
      <c r="BB782" s="408">
        <v>0</v>
      </c>
      <c r="BC782" s="408">
        <v>0</v>
      </c>
      <c r="BD782" s="408">
        <v>0</v>
      </c>
      <c r="BE782" s="408">
        <v>0</v>
      </c>
      <c r="BF782" s="408">
        <v>0</v>
      </c>
      <c r="BG782" s="408">
        <v>17.896425203131251</v>
      </c>
      <c r="BH782" s="408">
        <v>0</v>
      </c>
      <c r="BI782" s="408">
        <v>0</v>
      </c>
      <c r="BJ782" s="408">
        <v>0</v>
      </c>
      <c r="BK782" s="408">
        <v>0</v>
      </c>
      <c r="BL782" s="408">
        <v>0</v>
      </c>
      <c r="BM782" s="408"/>
      <c r="BN782" s="408"/>
      <c r="BO782" s="408"/>
      <c r="BP782" s="408"/>
      <c r="BQ782" s="408"/>
      <c r="BR782" s="408"/>
      <c r="BS782" s="408"/>
      <c r="BT782" s="408"/>
      <c r="BU782" s="408"/>
      <c r="BV782" s="408">
        <v>425.5211713137852</v>
      </c>
      <c r="BW782" s="408"/>
      <c r="BX782" s="408"/>
      <c r="BY782" s="408"/>
      <c r="BZ782" s="408"/>
      <c r="CA782" s="408"/>
      <c r="CB782" s="408"/>
      <c r="CC782" s="408"/>
      <c r="CD782" s="408"/>
      <c r="CE782" s="408"/>
      <c r="CF782" s="408"/>
      <c r="CG782" s="408"/>
      <c r="CH782" s="408"/>
      <c r="CI782" s="408">
        <v>3209.5788000000002</v>
      </c>
      <c r="CJ782" s="408">
        <v>-455.59393</v>
      </c>
      <c r="CK782" s="408"/>
      <c r="CL782" s="408"/>
      <c r="CM782" s="408"/>
      <c r="CN782" s="408"/>
      <c r="CO782" s="408">
        <v>-503.20003999999989</v>
      </c>
      <c r="CP782" s="408">
        <v>51.664870000000001</v>
      </c>
      <c r="CQ782" s="408">
        <v>30</v>
      </c>
      <c r="CR782" s="408">
        <v>147.9752496783467</v>
      </c>
      <c r="CS782" s="408">
        <v>9.5885655024074481</v>
      </c>
      <c r="CT782" s="408">
        <v>44.709820628634873</v>
      </c>
      <c r="CU782" s="408">
        <v>0</v>
      </c>
      <c r="CV782" s="408">
        <v>0</v>
      </c>
      <c r="CW782" s="408">
        <v>0</v>
      </c>
      <c r="CX782" s="408">
        <v>0</v>
      </c>
      <c r="CY782" s="408">
        <v>0</v>
      </c>
      <c r="CZ782" s="408">
        <v>44.84266655123627</v>
      </c>
      <c r="DA782" s="408">
        <v>0</v>
      </c>
      <c r="DB782" s="408">
        <v>0</v>
      </c>
      <c r="DC782" s="408">
        <v>51.659036737408542</v>
      </c>
      <c r="DD782" s="408">
        <v>0</v>
      </c>
      <c r="DE782" s="408">
        <v>0</v>
      </c>
      <c r="DF782" s="408">
        <v>0</v>
      </c>
      <c r="DG782" s="408">
        <v>2.2680470110268161</v>
      </c>
      <c r="DH782" s="408">
        <v>0</v>
      </c>
      <c r="DI782" s="408">
        <v>-4.3509413783270787</v>
      </c>
      <c r="DJ782" s="408"/>
      <c r="DK782" s="408">
        <v>0</v>
      </c>
      <c r="DL782" s="408">
        <v>0</v>
      </c>
      <c r="DM782" s="408">
        <v>0</v>
      </c>
      <c r="DN782" s="408">
        <v>0</v>
      </c>
      <c r="DO782" s="408">
        <v>-0.68772916344823543</v>
      </c>
      <c r="DP782" s="408">
        <v>-5.4216210591839786E-2</v>
      </c>
      <c r="DQ782" s="408">
        <v>0</v>
      </c>
      <c r="DR782" s="408">
        <v>0</v>
      </c>
      <c r="DS782" s="408"/>
      <c r="DT782" s="408"/>
      <c r="DU782" s="408"/>
      <c r="DV782" s="408">
        <v>2413.3589663032612</v>
      </c>
      <c r="DW782" s="408">
        <v>0</v>
      </c>
      <c r="DX782" s="408">
        <v>0</v>
      </c>
      <c r="DY782" s="408">
        <v>-503.20004000000017</v>
      </c>
      <c r="DZ782" s="408">
        <v>51.664870000000008</v>
      </c>
      <c r="EA782" s="408">
        <v>0</v>
      </c>
      <c r="EB782" s="408">
        <v>0</v>
      </c>
      <c r="EC782" s="408">
        <v>-599.51930399078356</v>
      </c>
      <c r="ED782" s="408">
        <v>0</v>
      </c>
      <c r="EE782" s="408">
        <v>0</v>
      </c>
      <c r="EF782" s="408">
        <v>0</v>
      </c>
      <c r="EG782" s="408">
        <v>0</v>
      </c>
      <c r="EH782" s="408">
        <v>0</v>
      </c>
      <c r="EI782" s="408">
        <v>0</v>
      </c>
      <c r="EJ782" s="408">
        <v>0</v>
      </c>
      <c r="EK782" s="408">
        <v>0</v>
      </c>
      <c r="EL782" s="408">
        <v>0</v>
      </c>
      <c r="EM782" s="408">
        <v>0</v>
      </c>
      <c r="EN782" s="408">
        <v>0</v>
      </c>
      <c r="EO782" s="408">
        <v>0</v>
      </c>
      <c r="EP782" s="408">
        <v>32.722508128225058</v>
      </c>
      <c r="EQ782" s="408">
        <v>0</v>
      </c>
      <c r="ER782" s="408">
        <v>0</v>
      </c>
      <c r="ES782" s="408">
        <v>0</v>
      </c>
      <c r="ET782" s="408">
        <v>0</v>
      </c>
      <c r="EU782" s="408">
        <v>0</v>
      </c>
      <c r="EV782" s="408">
        <v>240</v>
      </c>
      <c r="EW782" s="408">
        <v>0</v>
      </c>
      <c r="EX782" s="408">
        <v>0</v>
      </c>
      <c r="EY782" s="408">
        <v>0</v>
      </c>
      <c r="EZ782" s="408"/>
      <c r="FA782" s="408">
        <v>0</v>
      </c>
      <c r="FB782" s="408"/>
      <c r="FC782" s="408"/>
      <c r="FD782" s="408"/>
      <c r="FE782" s="408"/>
      <c r="FF782" s="408">
        <v>0</v>
      </c>
      <c r="FG782" s="408">
        <v>0</v>
      </c>
      <c r="FH782" s="408">
        <v>0</v>
      </c>
      <c r="FI782" s="408">
        <v>0</v>
      </c>
    </row>
    <row r="783" spans="1:165">
      <c r="A783" s="408">
        <v>781</v>
      </c>
      <c r="B783" s="408" t="s">
        <v>1036</v>
      </c>
      <c r="C783" s="408" t="s">
        <v>2243</v>
      </c>
      <c r="D783" s="408" t="s">
        <v>597</v>
      </c>
      <c r="E783" s="408" t="s">
        <v>970</v>
      </c>
      <c r="F783" s="408" t="s">
        <v>1322</v>
      </c>
      <c r="G783" s="408" t="s">
        <v>1322</v>
      </c>
      <c r="H783" s="408" t="s">
        <v>1322</v>
      </c>
      <c r="I783" s="408" t="s">
        <v>2244</v>
      </c>
      <c r="J783" s="408" t="s">
        <v>2236</v>
      </c>
      <c r="K783" s="826">
        <v>44713</v>
      </c>
      <c r="L783" s="408">
        <v>0</v>
      </c>
      <c r="M783" s="408">
        <v>0</v>
      </c>
      <c r="N783" s="408">
        <v>3125.5830000000001</v>
      </c>
      <c r="O783" s="408">
        <v>3125.5830000000001</v>
      </c>
      <c r="P783" s="408">
        <v>3125.5830000000001</v>
      </c>
      <c r="Q783" s="408">
        <v>3125.5830000000001</v>
      </c>
      <c r="R783" s="408"/>
      <c r="S783" s="408">
        <v>85.01</v>
      </c>
      <c r="T783" s="408">
        <v>173.25</v>
      </c>
      <c r="U783" s="408"/>
      <c r="V783" s="408">
        <v>807213.06557999994</v>
      </c>
      <c r="W783" s="408">
        <v>807213.06557999994</v>
      </c>
      <c r="X783" s="408">
        <v>871006.21461000002</v>
      </c>
      <c r="Y783" s="408">
        <v>0</v>
      </c>
      <c r="Z783" s="408">
        <v>167357.18315565868</v>
      </c>
      <c r="AA783" s="408">
        <v>0</v>
      </c>
      <c r="AB783" s="408">
        <v>0</v>
      </c>
      <c r="AC783" s="408">
        <v>0</v>
      </c>
      <c r="AD783" s="408">
        <v>0</v>
      </c>
      <c r="AE783" s="408">
        <v>0</v>
      </c>
      <c r="AF783" s="408">
        <v>532413.27907345432</v>
      </c>
      <c r="AG783" s="408">
        <v>9086.7997000897121</v>
      </c>
      <c r="AH783" s="408">
        <v>0</v>
      </c>
      <c r="AI783" s="408">
        <v>0</v>
      </c>
      <c r="AJ783" s="408">
        <v>0</v>
      </c>
      <c r="AK783" s="408">
        <v>0</v>
      </c>
      <c r="AL783" s="408">
        <v>29721.263381293586</v>
      </c>
      <c r="AM783" s="408"/>
      <c r="AN783" s="408">
        <v>2503.0100848836455</v>
      </c>
      <c r="AO783" s="408">
        <v>0</v>
      </c>
      <c r="AP783" s="408">
        <v>0</v>
      </c>
      <c r="AQ783" s="408">
        <v>0</v>
      </c>
      <c r="AR783" s="408">
        <v>0</v>
      </c>
      <c r="AS783" s="408">
        <v>0</v>
      </c>
      <c r="AT783" s="408">
        <v>0</v>
      </c>
      <c r="AU783" s="408">
        <v>0</v>
      </c>
      <c r="AV783" s="408">
        <v>0</v>
      </c>
      <c r="AW783" s="408">
        <v>0</v>
      </c>
      <c r="AX783" s="408">
        <v>0</v>
      </c>
      <c r="AY783" s="408">
        <v>0</v>
      </c>
      <c r="AZ783" s="408">
        <v>0</v>
      </c>
      <c r="BA783" s="408"/>
      <c r="BB783" s="408">
        <v>0</v>
      </c>
      <c r="BC783" s="408">
        <v>0</v>
      </c>
      <c r="BD783" s="408">
        <v>0</v>
      </c>
      <c r="BE783" s="408">
        <v>0</v>
      </c>
      <c r="BF783" s="408">
        <v>0</v>
      </c>
      <c r="BG783" s="408">
        <v>23375.161878678893</v>
      </c>
      <c r="BH783" s="408">
        <v>0</v>
      </c>
      <c r="BI783" s="408">
        <v>0</v>
      </c>
      <c r="BJ783" s="408">
        <v>0</v>
      </c>
      <c r="BK783" s="408">
        <v>0</v>
      </c>
      <c r="BL783" s="408">
        <v>0</v>
      </c>
      <c r="BM783" s="408"/>
      <c r="BN783" s="408"/>
      <c r="BO783" s="408"/>
      <c r="BP783" s="408"/>
      <c r="BQ783" s="408"/>
      <c r="BR783" s="408"/>
      <c r="BS783" s="408"/>
      <c r="BT783" s="408"/>
      <c r="BU783" s="408"/>
      <c r="BV783" s="408">
        <v>555788.44095213327</v>
      </c>
      <c r="BW783" s="408"/>
      <c r="BX783" s="408"/>
      <c r="BY783" s="408"/>
      <c r="BZ783" s="408"/>
      <c r="CA783" s="408"/>
      <c r="CB783" s="408"/>
      <c r="CC783" s="408"/>
      <c r="CD783" s="408"/>
      <c r="CE783" s="408"/>
      <c r="CF783" s="408"/>
      <c r="CG783" s="408"/>
      <c r="CH783" s="408"/>
      <c r="CI783" s="408">
        <v>871005.37859999994</v>
      </c>
      <c r="CJ783" s="408">
        <v>63792.283019999973</v>
      </c>
      <c r="CK783" s="408"/>
      <c r="CL783" s="408"/>
      <c r="CM783" s="408"/>
      <c r="CN783" s="408"/>
      <c r="CO783" s="408">
        <v>-3688.1879400000216</v>
      </c>
      <c r="CP783" s="408">
        <v>67481.336970000018</v>
      </c>
      <c r="CQ783" s="408">
        <v>30</v>
      </c>
      <c r="CR783" s="408">
        <v>63784.093585274532</v>
      </c>
      <c r="CS783" s="408">
        <v>0</v>
      </c>
      <c r="CT783" s="408">
        <v>0</v>
      </c>
      <c r="CU783" s="408">
        <v>0</v>
      </c>
      <c r="CV783" s="408">
        <v>0</v>
      </c>
      <c r="CW783" s="408">
        <v>0</v>
      </c>
      <c r="CX783" s="408">
        <v>0</v>
      </c>
      <c r="CY783" s="408">
        <v>0</v>
      </c>
      <c r="CZ783" s="408">
        <v>0</v>
      </c>
      <c r="DA783" s="408">
        <v>0</v>
      </c>
      <c r="DB783" s="408">
        <v>0</v>
      </c>
      <c r="DC783" s="408">
        <v>67473.717936823959</v>
      </c>
      <c r="DD783" s="408">
        <v>0</v>
      </c>
      <c r="DE783" s="408">
        <v>0</v>
      </c>
      <c r="DF783" s="408">
        <v>0</v>
      </c>
      <c r="DG783" s="408">
        <v>2962.3774261873077</v>
      </c>
      <c r="DH783" s="408">
        <v>0</v>
      </c>
      <c r="DI783" s="408">
        <v>-5682.9203535710985</v>
      </c>
      <c r="DJ783" s="408"/>
      <c r="DK783" s="408">
        <v>0</v>
      </c>
      <c r="DL783" s="408">
        <v>0</v>
      </c>
      <c r="DM783" s="408">
        <v>0</v>
      </c>
      <c r="DN783" s="408">
        <v>0</v>
      </c>
      <c r="DO783" s="408">
        <v>-898.26768987798641</v>
      </c>
      <c r="DP783" s="408">
        <v>-70.813734287619809</v>
      </c>
      <c r="DQ783" s="408">
        <v>0</v>
      </c>
      <c r="DR783" s="408">
        <v>0</v>
      </c>
      <c r="DS783" s="408"/>
      <c r="DT783" s="408"/>
      <c r="DU783" s="408"/>
      <c r="DV783" s="408">
        <v>0</v>
      </c>
      <c r="DW783" s="408">
        <v>0</v>
      </c>
      <c r="DX783" s="408">
        <v>0</v>
      </c>
      <c r="DY783" s="408">
        <v>-3688.1879400000325</v>
      </c>
      <c r="DZ783" s="408">
        <v>67481.336970000062</v>
      </c>
      <c r="EA783" s="408">
        <v>0</v>
      </c>
      <c r="EB783" s="408">
        <v>0</v>
      </c>
      <c r="EC783" s="408">
        <v>0</v>
      </c>
      <c r="ED783" s="408">
        <v>0</v>
      </c>
      <c r="EE783" s="408">
        <v>0</v>
      </c>
      <c r="EF783" s="408">
        <v>0</v>
      </c>
      <c r="EG783" s="408">
        <v>0</v>
      </c>
      <c r="EH783" s="408">
        <v>0</v>
      </c>
      <c r="EI783" s="408">
        <v>0</v>
      </c>
      <c r="EJ783" s="408">
        <v>0</v>
      </c>
      <c r="EK783" s="408">
        <v>0</v>
      </c>
      <c r="EL783" s="408">
        <v>0</v>
      </c>
      <c r="EM783" s="408">
        <v>0</v>
      </c>
      <c r="EN783" s="408">
        <v>0</v>
      </c>
      <c r="EO783" s="408">
        <v>0</v>
      </c>
      <c r="EP783" s="408">
        <v>42740.039750498145</v>
      </c>
      <c r="EQ783" s="408">
        <v>0</v>
      </c>
      <c r="ER783" s="408">
        <v>0</v>
      </c>
      <c r="ES783" s="408">
        <v>0</v>
      </c>
      <c r="ET783" s="408">
        <v>0</v>
      </c>
      <c r="EU783" s="408">
        <v>0</v>
      </c>
      <c r="EV783" s="408">
        <v>240</v>
      </c>
      <c r="EW783" s="408">
        <v>0</v>
      </c>
      <c r="EX783" s="408">
        <v>0</v>
      </c>
      <c r="EY783" s="408">
        <v>0</v>
      </c>
      <c r="EZ783" s="408"/>
      <c r="FA783" s="408">
        <v>0</v>
      </c>
      <c r="FB783" s="408"/>
      <c r="FC783" s="408"/>
      <c r="FD783" s="408"/>
      <c r="FE783" s="408"/>
      <c r="FF783" s="408">
        <v>0</v>
      </c>
      <c r="FG783" s="408">
        <v>0</v>
      </c>
      <c r="FH783" s="408">
        <v>0</v>
      </c>
      <c r="FI783" s="408">
        <v>0</v>
      </c>
    </row>
    <row r="784" spans="1:165">
      <c r="A784" s="408">
        <v>782</v>
      </c>
      <c r="B784" s="408" t="s">
        <v>2238</v>
      </c>
      <c r="C784" s="408" t="s">
        <v>2243</v>
      </c>
      <c r="D784" s="408" t="s">
        <v>597</v>
      </c>
      <c r="E784" s="408" t="s">
        <v>970</v>
      </c>
      <c r="F784" s="408" t="s">
        <v>1322</v>
      </c>
      <c r="G784" s="408" t="s">
        <v>1322</v>
      </c>
      <c r="H784" s="408" t="s">
        <v>1322</v>
      </c>
      <c r="I784" s="408" t="s">
        <v>2244</v>
      </c>
      <c r="J784" s="408" t="s">
        <v>2236</v>
      </c>
      <c r="K784" s="826">
        <v>44713</v>
      </c>
      <c r="L784" s="408">
        <v>0</v>
      </c>
      <c r="M784" s="408">
        <v>0</v>
      </c>
      <c r="N784" s="408">
        <v>48.686999999999998</v>
      </c>
      <c r="O784" s="408">
        <v>48.686999999999998</v>
      </c>
      <c r="P784" s="408">
        <v>48.686999999999998</v>
      </c>
      <c r="Q784" s="408">
        <v>48.686999999999998</v>
      </c>
      <c r="R784" s="408"/>
      <c r="S784" s="408">
        <v>85.01</v>
      </c>
      <c r="T784" s="408">
        <v>173.25</v>
      </c>
      <c r="U784" s="408"/>
      <c r="V784" s="408">
        <v>12573.904620000001</v>
      </c>
      <c r="W784" s="408">
        <v>12573.904620000001</v>
      </c>
      <c r="X784" s="408">
        <v>13567.60629</v>
      </c>
      <c r="Y784" s="408">
        <v>0</v>
      </c>
      <c r="Z784" s="408">
        <v>2606.9117909521374</v>
      </c>
      <c r="AA784" s="408">
        <v>0</v>
      </c>
      <c r="AB784" s="408">
        <v>0</v>
      </c>
      <c r="AC784" s="408">
        <v>0</v>
      </c>
      <c r="AD784" s="408">
        <v>0</v>
      </c>
      <c r="AE784" s="408">
        <v>0</v>
      </c>
      <c r="AF784" s="408">
        <v>8293.3664913871344</v>
      </c>
      <c r="AG784" s="408">
        <v>141.54447890146184</v>
      </c>
      <c r="AH784" s="408">
        <v>0</v>
      </c>
      <c r="AI784" s="408">
        <v>0</v>
      </c>
      <c r="AJ784" s="408">
        <v>0</v>
      </c>
      <c r="AK784" s="408">
        <v>0</v>
      </c>
      <c r="AL784" s="408">
        <v>462.96615711214218</v>
      </c>
      <c r="AM784" s="408"/>
      <c r="AN784" s="408">
        <v>38.989222811465908</v>
      </c>
      <c r="AO784" s="408">
        <v>0</v>
      </c>
      <c r="AP784" s="408">
        <v>0</v>
      </c>
      <c r="AQ784" s="408">
        <v>0</v>
      </c>
      <c r="AR784" s="408">
        <v>0</v>
      </c>
      <c r="AS784" s="408">
        <v>0</v>
      </c>
      <c r="AT784" s="408">
        <v>0</v>
      </c>
      <c r="AU784" s="408">
        <v>0</v>
      </c>
      <c r="AV784" s="408">
        <v>0</v>
      </c>
      <c r="AW784" s="408">
        <v>0</v>
      </c>
      <c r="AX784" s="408">
        <v>0</v>
      </c>
      <c r="AY784" s="408">
        <v>0</v>
      </c>
      <c r="AZ784" s="408">
        <v>0</v>
      </c>
      <c r="BA784" s="408"/>
      <c r="BB784" s="408">
        <v>0</v>
      </c>
      <c r="BC784" s="408">
        <v>0</v>
      </c>
      <c r="BD784" s="408">
        <v>0</v>
      </c>
      <c r="BE784" s="408">
        <v>0</v>
      </c>
      <c r="BF784" s="408">
        <v>0</v>
      </c>
      <c r="BG784" s="408">
        <v>364.11335305677022</v>
      </c>
      <c r="BH784" s="408">
        <v>0</v>
      </c>
      <c r="BI784" s="408">
        <v>0</v>
      </c>
      <c r="BJ784" s="408">
        <v>0</v>
      </c>
      <c r="BK784" s="408">
        <v>0</v>
      </c>
      <c r="BL784" s="408">
        <v>0</v>
      </c>
      <c r="BM784" s="408"/>
      <c r="BN784" s="408"/>
      <c r="BO784" s="408"/>
      <c r="BP784" s="408"/>
      <c r="BQ784" s="408"/>
      <c r="BR784" s="408"/>
      <c r="BS784" s="408"/>
      <c r="BT784" s="408"/>
      <c r="BU784" s="408"/>
      <c r="BV784" s="408">
        <v>8657.4798444439039</v>
      </c>
      <c r="BW784" s="408"/>
      <c r="BX784" s="408"/>
      <c r="BY784" s="408"/>
      <c r="BZ784" s="408"/>
      <c r="CA784" s="408"/>
      <c r="CB784" s="408"/>
      <c r="CC784" s="408"/>
      <c r="CD784" s="408"/>
      <c r="CE784" s="408"/>
      <c r="CF784" s="408"/>
      <c r="CG784" s="408"/>
      <c r="CH784" s="408"/>
      <c r="CI784" s="408">
        <v>13568.442299999999</v>
      </c>
      <c r="CJ784" s="408">
        <v>994.50767999999698</v>
      </c>
      <c r="CK784" s="408"/>
      <c r="CL784" s="408"/>
      <c r="CM784" s="408"/>
      <c r="CN784" s="408"/>
      <c r="CO784" s="408">
        <v>-57.450660000000326</v>
      </c>
      <c r="CP784" s="408">
        <v>1051.1523300000001</v>
      </c>
      <c r="CQ784" s="408">
        <v>30</v>
      </c>
      <c r="CR784" s="408">
        <v>993.56061393546588</v>
      </c>
      <c r="CS784" s="408">
        <v>0</v>
      </c>
      <c r="CT784" s="408">
        <v>0</v>
      </c>
      <c r="CU784" s="408">
        <v>0</v>
      </c>
      <c r="CV784" s="408">
        <v>0</v>
      </c>
      <c r="CW784" s="408">
        <v>0</v>
      </c>
      <c r="CX784" s="408">
        <v>0</v>
      </c>
      <c r="CY784" s="408">
        <v>0</v>
      </c>
      <c r="CZ784" s="408">
        <v>0</v>
      </c>
      <c r="DA784" s="408">
        <v>0</v>
      </c>
      <c r="DB784" s="408">
        <v>0</v>
      </c>
      <c r="DC784" s="408">
        <v>1051.0336488233206</v>
      </c>
      <c r="DD784" s="408">
        <v>0</v>
      </c>
      <c r="DE784" s="408">
        <v>0</v>
      </c>
      <c r="DF784" s="408">
        <v>0</v>
      </c>
      <c r="DG784" s="408">
        <v>46.144757553640886</v>
      </c>
      <c r="DH784" s="408">
        <v>0</v>
      </c>
      <c r="DI784" s="408">
        <v>-88.522475088429019</v>
      </c>
      <c r="DJ784" s="408"/>
      <c r="DK784" s="408">
        <v>0</v>
      </c>
      <c r="DL784" s="408">
        <v>0</v>
      </c>
      <c r="DM784" s="408">
        <v>0</v>
      </c>
      <c r="DN784" s="408">
        <v>0</v>
      </c>
      <c r="DO784" s="408">
        <v>-13.992256490097873</v>
      </c>
      <c r="DP784" s="408">
        <v>-1.1030608629690377</v>
      </c>
      <c r="DQ784" s="408">
        <v>0</v>
      </c>
      <c r="DR784" s="408">
        <v>0</v>
      </c>
      <c r="DS784" s="408"/>
      <c r="DT784" s="408"/>
      <c r="DU784" s="408"/>
      <c r="DV784" s="408">
        <v>0</v>
      </c>
      <c r="DW784" s="408">
        <v>0</v>
      </c>
      <c r="DX784" s="408">
        <v>0</v>
      </c>
      <c r="DY784" s="408">
        <v>-57.450660000000425</v>
      </c>
      <c r="DZ784" s="408">
        <v>1051.152329999999</v>
      </c>
      <c r="EA784" s="408">
        <v>0</v>
      </c>
      <c r="EB784" s="408">
        <v>0</v>
      </c>
      <c r="EC784" s="408">
        <v>0</v>
      </c>
      <c r="ED784" s="408">
        <v>0</v>
      </c>
      <c r="EE784" s="408">
        <v>0</v>
      </c>
      <c r="EF784" s="408">
        <v>0</v>
      </c>
      <c r="EG784" s="408">
        <v>0</v>
      </c>
      <c r="EH784" s="408">
        <v>0</v>
      </c>
      <c r="EI784" s="408">
        <v>0</v>
      </c>
      <c r="EJ784" s="408">
        <v>0</v>
      </c>
      <c r="EK784" s="408">
        <v>0</v>
      </c>
      <c r="EL784" s="408">
        <v>0</v>
      </c>
      <c r="EM784" s="408">
        <v>0</v>
      </c>
      <c r="EN784" s="408">
        <v>0</v>
      </c>
      <c r="EO784" s="408">
        <v>0</v>
      </c>
      <c r="EP784" s="408">
        <v>665.75877694897338</v>
      </c>
      <c r="EQ784" s="408">
        <v>0</v>
      </c>
      <c r="ER784" s="408">
        <v>0</v>
      </c>
      <c r="ES784" s="408">
        <v>0</v>
      </c>
      <c r="ET784" s="408">
        <v>0</v>
      </c>
      <c r="EU784" s="408">
        <v>0</v>
      </c>
      <c r="EV784" s="408">
        <v>240</v>
      </c>
      <c r="EW784" s="408">
        <v>0</v>
      </c>
      <c r="EX784" s="408">
        <v>0</v>
      </c>
      <c r="EY784" s="408">
        <v>0</v>
      </c>
      <c r="EZ784" s="408"/>
      <c r="FA784" s="408">
        <v>0</v>
      </c>
      <c r="FB784" s="408"/>
      <c r="FC784" s="408"/>
      <c r="FD784" s="408"/>
      <c r="FE784" s="408"/>
      <c r="FF784" s="408">
        <v>0</v>
      </c>
      <c r="FG784" s="408">
        <v>0</v>
      </c>
      <c r="FH784" s="408">
        <v>0</v>
      </c>
      <c r="FI784" s="408">
        <v>0</v>
      </c>
    </row>
    <row r="785" spans="1:165">
      <c r="A785" s="408">
        <v>783</v>
      </c>
      <c r="B785" s="408" t="s">
        <v>1036</v>
      </c>
      <c r="C785" s="408" t="s">
        <v>2243</v>
      </c>
      <c r="D785" s="408" t="s">
        <v>597</v>
      </c>
      <c r="E785" s="408" t="s">
        <v>970</v>
      </c>
      <c r="F785" s="408" t="s">
        <v>1322</v>
      </c>
      <c r="G785" s="408" t="s">
        <v>1322</v>
      </c>
      <c r="H785" s="408" t="s">
        <v>1322</v>
      </c>
      <c r="I785" s="408" t="s">
        <v>1322</v>
      </c>
      <c r="J785" s="408" t="s">
        <v>2236</v>
      </c>
      <c r="K785" s="826">
        <v>44713</v>
      </c>
      <c r="L785" s="408">
        <v>18157</v>
      </c>
      <c r="M785" s="408">
        <v>18157</v>
      </c>
      <c r="N785" s="408">
        <v>0</v>
      </c>
      <c r="O785" s="408">
        <v>0</v>
      </c>
      <c r="P785" s="408">
        <v>0</v>
      </c>
      <c r="Q785" s="408">
        <v>0</v>
      </c>
      <c r="R785" s="408">
        <v>27.19</v>
      </c>
      <c r="S785" s="408"/>
      <c r="T785" s="408"/>
      <c r="U785" s="408">
        <v>493688.83</v>
      </c>
      <c r="V785" s="408"/>
      <c r="W785" s="408">
        <v>493688.83</v>
      </c>
      <c r="X785" s="408">
        <v>395096.32000000001</v>
      </c>
      <c r="Y785" s="408">
        <v>0</v>
      </c>
      <c r="Z785" s="408">
        <v>0</v>
      </c>
      <c r="AA785" s="408">
        <v>0</v>
      </c>
      <c r="AB785" s="408">
        <v>0</v>
      </c>
      <c r="AC785" s="408">
        <v>4234.2235380042794</v>
      </c>
      <c r="AD785" s="408">
        <v>4067.8005784487887</v>
      </c>
      <c r="AE785" s="408">
        <v>434533.87312504702</v>
      </c>
      <c r="AF785" s="408"/>
      <c r="AG785" s="408"/>
      <c r="AH785" s="408"/>
      <c r="AI785" s="408">
        <v>0</v>
      </c>
      <c r="AJ785" s="408">
        <v>0</v>
      </c>
      <c r="AK785" s="408">
        <v>0</v>
      </c>
      <c r="AL785" s="408">
        <v>0</v>
      </c>
      <c r="AM785" s="408"/>
      <c r="AN785" s="408">
        <v>0</v>
      </c>
      <c r="AO785" s="408">
        <v>8985.6238781095544</v>
      </c>
      <c r="AP785" s="408">
        <v>41907.969122559625</v>
      </c>
      <c r="AQ785" s="408">
        <v>0</v>
      </c>
      <c r="AR785" s="408">
        <v>0</v>
      </c>
      <c r="AS785" s="408"/>
      <c r="AT785" s="408"/>
      <c r="AU785" s="408">
        <v>0</v>
      </c>
      <c r="AV785" s="408">
        <v>0</v>
      </c>
      <c r="AW785" s="408">
        <v>0</v>
      </c>
      <c r="AX785" s="408"/>
      <c r="AY785" s="408"/>
      <c r="AZ785" s="408">
        <v>0</v>
      </c>
      <c r="BA785" s="408"/>
      <c r="BB785" s="408">
        <v>0</v>
      </c>
      <c r="BC785" s="408">
        <v>0</v>
      </c>
      <c r="BD785" s="408">
        <v>0</v>
      </c>
      <c r="BE785" s="408">
        <v>0</v>
      </c>
      <c r="BF785" s="408"/>
      <c r="BG785" s="408">
        <v>0</v>
      </c>
      <c r="BH785" s="408">
        <v>0</v>
      </c>
      <c r="BI785" s="408">
        <v>1566.82</v>
      </c>
      <c r="BJ785" s="408">
        <v>17241.39</v>
      </c>
      <c r="BK785" s="408">
        <v>319855.15999999997</v>
      </c>
      <c r="BL785" s="408">
        <v>100</v>
      </c>
      <c r="BM785" s="408"/>
      <c r="BN785" s="408"/>
      <c r="BO785" s="408"/>
      <c r="BP785" s="408"/>
      <c r="BQ785" s="408"/>
      <c r="BR785" s="408"/>
      <c r="BS785" s="408"/>
      <c r="BT785" s="408"/>
      <c r="BU785" s="408"/>
      <c r="BV785" s="408">
        <v>0</v>
      </c>
      <c r="BW785" s="408"/>
      <c r="BX785" s="408"/>
      <c r="BY785" s="408"/>
      <c r="BZ785" s="408"/>
      <c r="CA785" s="408"/>
      <c r="CB785" s="408"/>
      <c r="CC785" s="408"/>
      <c r="CD785" s="408"/>
      <c r="CE785" s="408"/>
      <c r="CF785" s="408"/>
      <c r="CG785" s="408"/>
      <c r="CH785" s="408"/>
      <c r="CI785" s="408">
        <v>395096.32000000001</v>
      </c>
      <c r="CJ785" s="408">
        <v>-98592.540000000037</v>
      </c>
      <c r="CK785" s="408"/>
      <c r="CL785" s="408"/>
      <c r="CM785" s="408"/>
      <c r="CN785" s="408"/>
      <c r="CO785" s="408">
        <v>-98592.51</v>
      </c>
      <c r="CP785" s="408">
        <v>0</v>
      </c>
      <c r="CQ785" s="408">
        <v>30</v>
      </c>
      <c r="CR785" s="408">
        <v>9259.9245431582458</v>
      </c>
      <c r="CS785" s="408">
        <v>895.3982131981229</v>
      </c>
      <c r="CT785" s="408">
        <v>4176.0395471835363</v>
      </c>
      <c r="CU785" s="408">
        <v>0</v>
      </c>
      <c r="CV785" s="408">
        <v>0</v>
      </c>
      <c r="CW785" s="408"/>
      <c r="CX785" s="408"/>
      <c r="CY785" s="408"/>
      <c r="CZ785" s="408">
        <v>4188.4867827765847</v>
      </c>
      <c r="DA785" s="408">
        <v>0</v>
      </c>
      <c r="DB785" s="408">
        <v>0</v>
      </c>
      <c r="DC785" s="408"/>
      <c r="DD785" s="408"/>
      <c r="DE785" s="408">
        <v>0</v>
      </c>
      <c r="DF785" s="408">
        <v>0</v>
      </c>
      <c r="DG785" s="408">
        <v>0</v>
      </c>
      <c r="DH785" s="408">
        <v>0</v>
      </c>
      <c r="DI785" s="408">
        <v>0</v>
      </c>
      <c r="DJ785" s="408"/>
      <c r="DK785" s="408">
        <v>0</v>
      </c>
      <c r="DL785" s="408">
        <v>0</v>
      </c>
      <c r="DM785" s="408"/>
      <c r="DN785" s="408">
        <v>0</v>
      </c>
      <c r="DO785" s="408">
        <v>0</v>
      </c>
      <c r="DP785" s="408">
        <v>0</v>
      </c>
      <c r="DQ785" s="408">
        <v>0</v>
      </c>
      <c r="DR785" s="408">
        <v>0</v>
      </c>
      <c r="DS785" s="408"/>
      <c r="DT785" s="408"/>
      <c r="DU785" s="408">
        <v>434533.87312504702</v>
      </c>
      <c r="DV785" s="408"/>
      <c r="DW785" s="408">
        <v>0</v>
      </c>
      <c r="DX785" s="408">
        <v>0</v>
      </c>
      <c r="DY785" s="408">
        <v>-98592.510000000009</v>
      </c>
      <c r="DZ785" s="408"/>
      <c r="EA785" s="408">
        <v>0</v>
      </c>
      <c r="EB785" s="408"/>
      <c r="EC785" s="408">
        <v>-107945.58489381766</v>
      </c>
      <c r="ED785" s="408"/>
      <c r="EE785" s="408">
        <v>0</v>
      </c>
      <c r="EF785" s="408">
        <v>0</v>
      </c>
      <c r="EG785" s="408"/>
      <c r="EH785" s="408">
        <v>0</v>
      </c>
      <c r="EI785" s="408">
        <v>0</v>
      </c>
      <c r="EJ785" s="408">
        <v>0</v>
      </c>
      <c r="EK785" s="408">
        <v>0</v>
      </c>
      <c r="EL785" s="408">
        <v>0</v>
      </c>
      <c r="EM785" s="408"/>
      <c r="EN785" s="408"/>
      <c r="EO785" s="408">
        <v>0</v>
      </c>
      <c r="EP785" s="408">
        <v>0</v>
      </c>
      <c r="EQ785" s="408"/>
      <c r="ER785" s="408">
        <v>0</v>
      </c>
      <c r="ES785" s="408"/>
      <c r="ET785" s="408">
        <v>0</v>
      </c>
      <c r="EU785" s="408"/>
      <c r="EV785" s="408">
        <v>240</v>
      </c>
      <c r="EW785" s="408"/>
      <c r="EX785" s="408"/>
      <c r="EY785" s="408"/>
      <c r="EZ785" s="408"/>
      <c r="FA785" s="408">
        <v>0</v>
      </c>
      <c r="FB785" s="408"/>
      <c r="FC785" s="408"/>
      <c r="FD785" s="408"/>
      <c r="FE785" s="408"/>
      <c r="FF785" s="408">
        <v>0</v>
      </c>
      <c r="FG785" s="408">
        <v>0</v>
      </c>
      <c r="FH785" s="408">
        <v>0</v>
      </c>
      <c r="FI785" s="408">
        <v>0</v>
      </c>
    </row>
    <row r="786" spans="1:165">
      <c r="A786" s="408">
        <v>784</v>
      </c>
      <c r="B786" s="408" t="s">
        <v>2238</v>
      </c>
      <c r="C786" s="408" t="s">
        <v>2243</v>
      </c>
      <c r="D786" s="408" t="s">
        <v>597</v>
      </c>
      <c r="E786" s="408" t="s">
        <v>970</v>
      </c>
      <c r="F786" s="408" t="s">
        <v>1322</v>
      </c>
      <c r="G786" s="408" t="s">
        <v>1322</v>
      </c>
      <c r="H786" s="408" t="s">
        <v>1322</v>
      </c>
      <c r="I786" s="408" t="s">
        <v>1322</v>
      </c>
      <c r="J786" s="408" t="s">
        <v>2236</v>
      </c>
      <c r="K786" s="826">
        <v>44713</v>
      </c>
      <c r="L786" s="408">
        <v>689</v>
      </c>
      <c r="M786" s="408">
        <v>689</v>
      </c>
      <c r="N786" s="408">
        <v>0</v>
      </c>
      <c r="O786" s="408">
        <v>0</v>
      </c>
      <c r="P786" s="408">
        <v>0</v>
      </c>
      <c r="Q786" s="408">
        <v>0</v>
      </c>
      <c r="R786" s="408">
        <v>27.19</v>
      </c>
      <c r="S786" s="408"/>
      <c r="T786" s="408"/>
      <c r="U786" s="408">
        <v>18733.91</v>
      </c>
      <c r="V786" s="408"/>
      <c r="W786" s="408">
        <v>18733.91</v>
      </c>
      <c r="X786" s="408">
        <v>14992.640000000001</v>
      </c>
      <c r="Y786" s="408">
        <v>0</v>
      </c>
      <c r="Z786" s="408">
        <v>0</v>
      </c>
      <c r="AA786" s="408">
        <v>0</v>
      </c>
      <c r="AB786" s="408">
        <v>0</v>
      </c>
      <c r="AC786" s="408">
        <v>160.67522265159161</v>
      </c>
      <c r="AD786" s="408">
        <v>154.36000432622214</v>
      </c>
      <c r="AE786" s="408">
        <v>16489.168837536894</v>
      </c>
      <c r="AF786" s="408"/>
      <c r="AG786" s="408"/>
      <c r="AH786" s="408"/>
      <c r="AI786" s="408">
        <v>0</v>
      </c>
      <c r="AJ786" s="408">
        <v>0</v>
      </c>
      <c r="AK786" s="408">
        <v>0</v>
      </c>
      <c r="AL786" s="408">
        <v>0</v>
      </c>
      <c r="AM786" s="408"/>
      <c r="AN786" s="408">
        <v>0</v>
      </c>
      <c r="AO786" s="408">
        <v>340.9756486213297</v>
      </c>
      <c r="AP786" s="408">
        <v>1590.2732128349166</v>
      </c>
      <c r="AQ786" s="408">
        <v>0</v>
      </c>
      <c r="AR786" s="408">
        <v>0</v>
      </c>
      <c r="AS786" s="408"/>
      <c r="AT786" s="408"/>
      <c r="AU786" s="408">
        <v>0</v>
      </c>
      <c r="AV786" s="408">
        <v>0</v>
      </c>
      <c r="AW786" s="408">
        <v>0</v>
      </c>
      <c r="AX786" s="408"/>
      <c r="AY786" s="408"/>
      <c r="AZ786" s="408">
        <v>0</v>
      </c>
      <c r="BA786" s="408"/>
      <c r="BB786" s="408">
        <v>0</v>
      </c>
      <c r="BC786" s="408">
        <v>0</v>
      </c>
      <c r="BD786" s="408">
        <v>0</v>
      </c>
      <c r="BE786" s="408">
        <v>0</v>
      </c>
      <c r="BF786" s="408"/>
      <c r="BG786" s="408">
        <v>0</v>
      </c>
      <c r="BH786" s="408">
        <v>0</v>
      </c>
      <c r="BI786" s="408">
        <v>33.979999999999997</v>
      </c>
      <c r="BJ786" s="408">
        <v>374.24</v>
      </c>
      <c r="BK786" s="408">
        <v>7497.87</v>
      </c>
      <c r="BL786" s="408">
        <v>6</v>
      </c>
      <c r="BM786" s="408"/>
      <c r="BN786" s="408"/>
      <c r="BO786" s="408"/>
      <c r="BP786" s="408"/>
      <c r="BQ786" s="408"/>
      <c r="BR786" s="408"/>
      <c r="BS786" s="408"/>
      <c r="BT786" s="408"/>
      <c r="BU786" s="408"/>
      <c r="BV786" s="408">
        <v>0</v>
      </c>
      <c r="BW786" s="408"/>
      <c r="BX786" s="408"/>
      <c r="BY786" s="408"/>
      <c r="BZ786" s="408"/>
      <c r="CA786" s="408"/>
      <c r="CB786" s="408"/>
      <c r="CC786" s="408"/>
      <c r="CD786" s="408"/>
      <c r="CE786" s="408"/>
      <c r="CF786" s="408"/>
      <c r="CG786" s="408"/>
      <c r="CH786" s="408"/>
      <c r="CI786" s="408">
        <v>14992.640000000001</v>
      </c>
      <c r="CJ786" s="408">
        <v>-3741.2999999999938</v>
      </c>
      <c r="CK786" s="408"/>
      <c r="CL786" s="408"/>
      <c r="CM786" s="408"/>
      <c r="CN786" s="408"/>
      <c r="CO786" s="408">
        <v>-3741.27</v>
      </c>
      <c r="CP786" s="408">
        <v>0</v>
      </c>
      <c r="CQ786" s="408">
        <v>30</v>
      </c>
      <c r="CR786" s="408">
        <v>351.38448037869875</v>
      </c>
      <c r="CS786" s="408">
        <v>33.977494569229805</v>
      </c>
      <c r="CT786" s="408">
        <v>158.46732654124912</v>
      </c>
      <c r="CU786" s="408">
        <v>0</v>
      </c>
      <c r="CV786" s="408">
        <v>0</v>
      </c>
      <c r="CW786" s="408"/>
      <c r="CX786" s="408"/>
      <c r="CY786" s="408"/>
      <c r="CZ786" s="408">
        <v>158.9396592682198</v>
      </c>
      <c r="DA786" s="408">
        <v>0</v>
      </c>
      <c r="DB786" s="408">
        <v>0</v>
      </c>
      <c r="DC786" s="408"/>
      <c r="DD786" s="408"/>
      <c r="DE786" s="408">
        <v>0</v>
      </c>
      <c r="DF786" s="408">
        <v>0</v>
      </c>
      <c r="DG786" s="408">
        <v>0</v>
      </c>
      <c r="DH786" s="408">
        <v>0</v>
      </c>
      <c r="DI786" s="408">
        <v>0</v>
      </c>
      <c r="DJ786" s="408"/>
      <c r="DK786" s="408">
        <v>0</v>
      </c>
      <c r="DL786" s="408">
        <v>0</v>
      </c>
      <c r="DM786" s="408"/>
      <c r="DN786" s="408">
        <v>0</v>
      </c>
      <c r="DO786" s="408">
        <v>0</v>
      </c>
      <c r="DP786" s="408">
        <v>0</v>
      </c>
      <c r="DQ786" s="408">
        <v>0</v>
      </c>
      <c r="DR786" s="408">
        <v>0</v>
      </c>
      <c r="DS786" s="408"/>
      <c r="DT786" s="408"/>
      <c r="DU786" s="408">
        <v>16489.168837536894</v>
      </c>
      <c r="DV786" s="408"/>
      <c r="DW786" s="408">
        <v>0</v>
      </c>
      <c r="DX786" s="408">
        <v>0</v>
      </c>
      <c r="DY786" s="408">
        <v>-3741.2699999999986</v>
      </c>
      <c r="DZ786" s="408"/>
      <c r="EA786" s="408">
        <v>0</v>
      </c>
      <c r="EB786" s="408"/>
      <c r="EC786" s="408">
        <v>-4096.1892378609009</v>
      </c>
      <c r="ED786" s="408"/>
      <c r="EE786" s="408">
        <v>0</v>
      </c>
      <c r="EF786" s="408">
        <v>0</v>
      </c>
      <c r="EG786" s="408"/>
      <c r="EH786" s="408">
        <v>0</v>
      </c>
      <c r="EI786" s="408">
        <v>0</v>
      </c>
      <c r="EJ786" s="408">
        <v>0</v>
      </c>
      <c r="EK786" s="408">
        <v>0</v>
      </c>
      <c r="EL786" s="408">
        <v>0</v>
      </c>
      <c r="EM786" s="408"/>
      <c r="EN786" s="408"/>
      <c r="EO786" s="408">
        <v>0</v>
      </c>
      <c r="EP786" s="408">
        <v>0</v>
      </c>
      <c r="EQ786" s="408"/>
      <c r="ER786" s="408">
        <v>0</v>
      </c>
      <c r="ES786" s="408"/>
      <c r="ET786" s="408">
        <v>0</v>
      </c>
      <c r="EU786" s="408"/>
      <c r="EV786" s="408">
        <v>240</v>
      </c>
      <c r="EW786" s="408"/>
      <c r="EX786" s="408"/>
      <c r="EY786" s="408"/>
      <c r="EZ786" s="408"/>
      <c r="FA786" s="408">
        <v>0</v>
      </c>
      <c r="FB786" s="408"/>
      <c r="FC786" s="408"/>
      <c r="FD786" s="408"/>
      <c r="FE786" s="408"/>
      <c r="FF786" s="408">
        <v>0</v>
      </c>
      <c r="FG786" s="408">
        <v>0</v>
      </c>
      <c r="FH786" s="408">
        <v>0</v>
      </c>
      <c r="FI786" s="408">
        <v>0</v>
      </c>
    </row>
    <row r="787" spans="1:165">
      <c r="A787" s="408">
        <v>785</v>
      </c>
      <c r="B787" s="408" t="s">
        <v>1036</v>
      </c>
      <c r="C787" s="408" t="s">
        <v>2316</v>
      </c>
      <c r="D787" s="408" t="s">
        <v>1958</v>
      </c>
      <c r="E787" s="408" t="s">
        <v>970</v>
      </c>
      <c r="F787" s="408" t="s">
        <v>1322</v>
      </c>
      <c r="G787" s="408" t="s">
        <v>1322</v>
      </c>
      <c r="H787" s="408" t="s">
        <v>1322</v>
      </c>
      <c r="I787" s="408" t="s">
        <v>973</v>
      </c>
      <c r="J787" s="408" t="s">
        <v>2236</v>
      </c>
      <c r="K787" s="826">
        <v>44713</v>
      </c>
      <c r="L787" s="408">
        <v>0</v>
      </c>
      <c r="M787" s="408">
        <v>0</v>
      </c>
      <c r="N787" s="408">
        <v>2.4E-2</v>
      </c>
      <c r="O787" s="408">
        <v>2.4E-2</v>
      </c>
      <c r="P787" s="408">
        <v>2.4E-2</v>
      </c>
      <c r="Q787" s="408">
        <v>2.4E-2</v>
      </c>
      <c r="R787" s="408"/>
      <c r="S787" s="408">
        <v>1553.42</v>
      </c>
      <c r="T787" s="408">
        <v>173.25</v>
      </c>
      <c r="U787" s="408"/>
      <c r="V787" s="408">
        <v>41.440080000000002</v>
      </c>
      <c r="W787" s="408">
        <v>41.440080000000002</v>
      </c>
      <c r="X787" s="408">
        <v>39.317760000000007</v>
      </c>
      <c r="Y787" s="408">
        <v>0</v>
      </c>
      <c r="Z787" s="408">
        <v>1.4770843967848897</v>
      </c>
      <c r="AA787" s="408">
        <v>0</v>
      </c>
      <c r="AB787" s="408">
        <v>0</v>
      </c>
      <c r="AC787" s="408">
        <v>2.602781905214568</v>
      </c>
      <c r="AD787" s="408">
        <v>0.17999088249937081</v>
      </c>
      <c r="AE787" s="408">
        <v>17.241309682619978</v>
      </c>
      <c r="AF787" s="408">
        <v>4.0881712940475117</v>
      </c>
      <c r="AG787" s="408">
        <v>6.9773604732990005E-2</v>
      </c>
      <c r="AH787" s="408">
        <v>0</v>
      </c>
      <c r="AI787" s="408">
        <v>0</v>
      </c>
      <c r="AJ787" s="408">
        <v>0</v>
      </c>
      <c r="AK787" s="408">
        <v>0</v>
      </c>
      <c r="AL787" s="408">
        <v>0.22821672665580983</v>
      </c>
      <c r="AM787" s="408"/>
      <c r="AN787" s="408">
        <v>2.8988561144705279E-2</v>
      </c>
      <c r="AO787" s="408">
        <v>7.5732951532859278</v>
      </c>
      <c r="AP787" s="408">
        <v>7.3585462675628639</v>
      </c>
      <c r="AQ787" s="408">
        <v>0</v>
      </c>
      <c r="AR787" s="408">
        <v>0</v>
      </c>
      <c r="AS787" s="408">
        <v>0</v>
      </c>
      <c r="AT787" s="408">
        <v>0</v>
      </c>
      <c r="AU787" s="408">
        <v>0</v>
      </c>
      <c r="AV787" s="408">
        <v>0</v>
      </c>
      <c r="AW787" s="408">
        <v>0</v>
      </c>
      <c r="AX787" s="408">
        <v>0</v>
      </c>
      <c r="AY787" s="408">
        <v>0</v>
      </c>
      <c r="AZ787" s="408">
        <v>0</v>
      </c>
      <c r="BA787" s="408"/>
      <c r="BB787" s="408">
        <v>0</v>
      </c>
      <c r="BC787" s="408">
        <v>0</v>
      </c>
      <c r="BD787" s="408">
        <v>0</v>
      </c>
      <c r="BE787" s="408">
        <v>0</v>
      </c>
      <c r="BF787" s="408">
        <v>0</v>
      </c>
      <c r="BG787" s="408">
        <v>0.21455500380086354</v>
      </c>
      <c r="BH787" s="408">
        <v>0</v>
      </c>
      <c r="BI787" s="408">
        <v>0</v>
      </c>
      <c r="BJ787" s="408">
        <v>0</v>
      </c>
      <c r="BK787" s="408">
        <v>0</v>
      </c>
      <c r="BL787" s="408">
        <v>0</v>
      </c>
      <c r="BM787" s="408"/>
      <c r="BN787" s="408"/>
      <c r="BO787" s="408"/>
      <c r="BP787" s="408"/>
      <c r="BQ787" s="408"/>
      <c r="BR787" s="408"/>
      <c r="BS787" s="408"/>
      <c r="BT787" s="408"/>
      <c r="BU787" s="408"/>
      <c r="BV787" s="408">
        <v>4.3027262978483751</v>
      </c>
      <c r="BW787" s="408"/>
      <c r="BX787" s="408"/>
      <c r="BY787" s="408"/>
      <c r="BZ787" s="408"/>
      <c r="CA787" s="408"/>
      <c r="CB787" s="408"/>
      <c r="CC787" s="408"/>
      <c r="CD787" s="408"/>
      <c r="CE787" s="408"/>
      <c r="CF787" s="408"/>
      <c r="CG787" s="408"/>
      <c r="CH787" s="408"/>
      <c r="CI787" s="408">
        <v>32.764800000000001</v>
      </c>
      <c r="CJ787" s="408">
        <v>-8.7052799999999948</v>
      </c>
      <c r="CK787" s="408"/>
      <c r="CL787" s="408"/>
      <c r="CM787" s="408"/>
      <c r="CN787" s="408"/>
      <c r="CO787" s="408">
        <v>-2.6404799999999997</v>
      </c>
      <c r="CP787" s="408">
        <v>0.51816000000000006</v>
      </c>
      <c r="CQ787" s="408">
        <v>30</v>
      </c>
      <c r="CR787" s="408">
        <v>2.1606748525592572</v>
      </c>
      <c r="CS787" s="408">
        <v>0.75466267454107339</v>
      </c>
      <c r="CT787" s="408">
        <v>0.73326340709219995</v>
      </c>
      <c r="CU787" s="408">
        <v>0</v>
      </c>
      <c r="CV787" s="408">
        <v>0</v>
      </c>
      <c r="CW787" s="408">
        <v>0</v>
      </c>
      <c r="CX787" s="408">
        <v>0</v>
      </c>
      <c r="CY787" s="408">
        <v>0</v>
      </c>
      <c r="CZ787" s="408">
        <v>0.18533097132711238</v>
      </c>
      <c r="DA787" s="408">
        <v>0</v>
      </c>
      <c r="DB787" s="408">
        <v>0</v>
      </c>
      <c r="DC787" s="408">
        <v>0.51810149673957628</v>
      </c>
      <c r="DD787" s="408">
        <v>0</v>
      </c>
      <c r="DE787" s="408">
        <v>0</v>
      </c>
      <c r="DF787" s="408">
        <v>0</v>
      </c>
      <c r="DG787" s="408">
        <v>2.7190951798925278E-2</v>
      </c>
      <c r="DH787" s="408">
        <v>0</v>
      </c>
      <c r="DI787" s="408">
        <v>-5.0157112017259253E-2</v>
      </c>
      <c r="DJ787" s="408"/>
      <c r="DK787" s="408">
        <v>0</v>
      </c>
      <c r="DL787" s="408">
        <v>0</v>
      </c>
      <c r="DM787" s="408">
        <v>0</v>
      </c>
      <c r="DN787" s="408">
        <v>0</v>
      </c>
      <c r="DO787" s="408">
        <v>-6.8974090776254271E-3</v>
      </c>
      <c r="DP787" s="408">
        <v>-8.2012784474136055E-4</v>
      </c>
      <c r="DQ787" s="408">
        <v>0</v>
      </c>
      <c r="DR787" s="408">
        <v>0</v>
      </c>
      <c r="DS787" s="408"/>
      <c r="DT787" s="408"/>
      <c r="DU787" s="408"/>
      <c r="DV787" s="408">
        <v>17.241309682619978</v>
      </c>
      <c r="DW787" s="408">
        <v>0</v>
      </c>
      <c r="DX787" s="408">
        <v>0</v>
      </c>
      <c r="DY787" s="408">
        <v>-2.6404799999999966</v>
      </c>
      <c r="DZ787" s="408">
        <v>0.51815999999999995</v>
      </c>
      <c r="EA787" s="408">
        <v>0</v>
      </c>
      <c r="EB787" s="408">
        <v>0</v>
      </c>
      <c r="EC787" s="408">
        <v>-4.2830337820183928</v>
      </c>
      <c r="ED787" s="408">
        <v>0</v>
      </c>
      <c r="EE787" s="408">
        <v>0</v>
      </c>
      <c r="EF787" s="408">
        <v>0</v>
      </c>
      <c r="EG787" s="408">
        <v>0</v>
      </c>
      <c r="EH787" s="408">
        <v>0</v>
      </c>
      <c r="EI787" s="408">
        <v>0</v>
      </c>
      <c r="EJ787" s="408">
        <v>0</v>
      </c>
      <c r="EK787" s="408">
        <v>0</v>
      </c>
      <c r="EL787" s="408">
        <v>0</v>
      </c>
      <c r="EM787" s="408">
        <v>0</v>
      </c>
      <c r="EN787" s="408">
        <v>0</v>
      </c>
      <c r="EO787" s="408">
        <v>0</v>
      </c>
      <c r="EP787" s="408">
        <v>0.37722101103188882</v>
      </c>
      <c r="EQ787" s="408">
        <v>0</v>
      </c>
      <c r="ER787" s="408">
        <v>0</v>
      </c>
      <c r="ES787" s="408">
        <v>0</v>
      </c>
      <c r="ET787" s="408">
        <v>0</v>
      </c>
      <c r="EU787" s="408">
        <v>0</v>
      </c>
      <c r="EV787" s="408">
        <v>240</v>
      </c>
      <c r="EW787" s="408">
        <v>0</v>
      </c>
      <c r="EX787" s="408">
        <v>0</v>
      </c>
      <c r="EY787" s="408">
        <v>0</v>
      </c>
      <c r="EZ787" s="408"/>
      <c r="FA787" s="408">
        <v>0</v>
      </c>
      <c r="FB787" s="408"/>
      <c r="FC787" s="408"/>
      <c r="FD787" s="408"/>
      <c r="FE787" s="408"/>
      <c r="FF787" s="408">
        <v>0</v>
      </c>
      <c r="FG787" s="408">
        <v>0</v>
      </c>
      <c r="FH787" s="408">
        <v>0</v>
      </c>
      <c r="FI787" s="408">
        <v>0</v>
      </c>
    </row>
    <row r="788" spans="1:165">
      <c r="A788" s="408">
        <v>786</v>
      </c>
      <c r="B788" s="408" t="s">
        <v>1036</v>
      </c>
      <c r="C788" s="408" t="s">
        <v>2316</v>
      </c>
      <c r="D788" s="408" t="s">
        <v>1958</v>
      </c>
      <c r="E788" s="408" t="s">
        <v>970</v>
      </c>
      <c r="F788" s="408" t="s">
        <v>1322</v>
      </c>
      <c r="G788" s="408" t="s">
        <v>1322</v>
      </c>
      <c r="H788" s="408" t="s">
        <v>1322</v>
      </c>
      <c r="I788" s="408" t="s">
        <v>2244</v>
      </c>
      <c r="J788" s="408" t="s">
        <v>2236</v>
      </c>
      <c r="K788" s="826">
        <v>44713</v>
      </c>
      <c r="L788" s="408">
        <v>0</v>
      </c>
      <c r="M788" s="408">
        <v>0</v>
      </c>
      <c r="N788" s="408">
        <v>2.161</v>
      </c>
      <c r="O788" s="408">
        <v>2.161</v>
      </c>
      <c r="P788" s="408">
        <v>2.161</v>
      </c>
      <c r="Q788" s="408">
        <v>2.161</v>
      </c>
      <c r="R788" s="408"/>
      <c r="S788" s="408">
        <v>388.22</v>
      </c>
      <c r="T788" s="408">
        <v>173.25</v>
      </c>
      <c r="U788" s="408"/>
      <c r="V788" s="408">
        <v>1213.3366700000001</v>
      </c>
      <c r="W788" s="408">
        <v>1213.3366700000001</v>
      </c>
      <c r="X788" s="408">
        <v>1210.2248300000001</v>
      </c>
      <c r="Y788" s="408">
        <v>0</v>
      </c>
      <c r="Z788" s="408">
        <v>132.99914089383944</v>
      </c>
      <c r="AA788" s="408">
        <v>0</v>
      </c>
      <c r="AB788" s="408">
        <v>0</v>
      </c>
      <c r="AC788" s="408">
        <v>46.871764143072348</v>
      </c>
      <c r="AD788" s="408">
        <v>3.2413388417986098</v>
      </c>
      <c r="AE788" s="408">
        <v>310.48748458882562</v>
      </c>
      <c r="AF788" s="408">
        <v>368.1057569348614</v>
      </c>
      <c r="AG788" s="408">
        <v>6.2825316594996421</v>
      </c>
      <c r="AH788" s="408">
        <v>0</v>
      </c>
      <c r="AI788" s="408">
        <v>0</v>
      </c>
      <c r="AJ788" s="408">
        <v>0</v>
      </c>
      <c r="AK788" s="408">
        <v>0</v>
      </c>
      <c r="AL788" s="408">
        <v>20.549014429300211</v>
      </c>
      <c r="AM788" s="408"/>
      <c r="AN788" s="408">
        <v>2.6101783597378376</v>
      </c>
      <c r="AO788" s="408">
        <v>136.38242355209076</v>
      </c>
      <c r="AP788" s="408">
        <v>132.5151540350279</v>
      </c>
      <c r="AQ788" s="408">
        <v>0</v>
      </c>
      <c r="AR788" s="408">
        <v>0</v>
      </c>
      <c r="AS788" s="408">
        <v>0</v>
      </c>
      <c r="AT788" s="408">
        <v>0</v>
      </c>
      <c r="AU788" s="408">
        <v>0</v>
      </c>
      <c r="AV788" s="408">
        <v>0</v>
      </c>
      <c r="AW788" s="408">
        <v>0</v>
      </c>
      <c r="AX788" s="408">
        <v>0</v>
      </c>
      <c r="AY788" s="408">
        <v>0</v>
      </c>
      <c r="AZ788" s="408">
        <v>0</v>
      </c>
      <c r="BA788" s="408"/>
      <c r="BB788" s="408">
        <v>0</v>
      </c>
      <c r="BC788" s="408">
        <v>0</v>
      </c>
      <c r="BD788" s="408">
        <v>0</v>
      </c>
      <c r="BE788" s="408">
        <v>0</v>
      </c>
      <c r="BF788" s="408">
        <v>0</v>
      </c>
      <c r="BG788" s="408">
        <v>19.318890133902755</v>
      </c>
      <c r="BH788" s="408">
        <v>0</v>
      </c>
      <c r="BI788" s="408">
        <v>0</v>
      </c>
      <c r="BJ788" s="408">
        <v>0</v>
      </c>
      <c r="BK788" s="408">
        <v>0</v>
      </c>
      <c r="BL788" s="408">
        <v>0</v>
      </c>
      <c r="BM788" s="408"/>
      <c r="BN788" s="408"/>
      <c r="BO788" s="408"/>
      <c r="BP788" s="408"/>
      <c r="BQ788" s="408"/>
      <c r="BR788" s="408"/>
      <c r="BS788" s="408"/>
      <c r="BT788" s="408"/>
      <c r="BU788" s="408"/>
      <c r="BV788" s="408">
        <v>387.42464706876416</v>
      </c>
      <c r="BW788" s="408"/>
      <c r="BX788" s="408"/>
      <c r="BY788" s="408"/>
      <c r="BZ788" s="408"/>
      <c r="CA788" s="408"/>
      <c r="CB788" s="408"/>
      <c r="CC788" s="408"/>
      <c r="CD788" s="408"/>
      <c r="CE788" s="408"/>
      <c r="CF788" s="408"/>
      <c r="CG788" s="408"/>
      <c r="CH788" s="408"/>
      <c r="CI788" s="408">
        <v>1209.6648</v>
      </c>
      <c r="CJ788" s="408">
        <v>-3.701870000000099</v>
      </c>
      <c r="CK788" s="408"/>
      <c r="CL788" s="408"/>
      <c r="CM788" s="408"/>
      <c r="CN788" s="408"/>
      <c r="CO788" s="408">
        <v>-49.767830000000068</v>
      </c>
      <c r="CP788" s="408">
        <v>46.65599000000001</v>
      </c>
      <c r="CQ788" s="408">
        <v>30</v>
      </c>
      <c r="CR788" s="408">
        <v>74.020484923711138</v>
      </c>
      <c r="CS788" s="408">
        <v>13.590216997360244</v>
      </c>
      <c r="CT788" s="408">
        <v>13.204851856051818</v>
      </c>
      <c r="CU788" s="408">
        <v>0</v>
      </c>
      <c r="CV788" s="408">
        <v>0</v>
      </c>
      <c r="CW788" s="408">
        <v>0</v>
      </c>
      <c r="CX788" s="408">
        <v>0</v>
      </c>
      <c r="CY788" s="408">
        <v>0</v>
      </c>
      <c r="CZ788" s="408">
        <v>3.337505031416979</v>
      </c>
      <c r="DA788" s="408">
        <v>0</v>
      </c>
      <c r="DB788" s="408">
        <v>0</v>
      </c>
      <c r="DC788" s="408">
        <v>46.650722268925961</v>
      </c>
      <c r="DD788" s="408">
        <v>0</v>
      </c>
      <c r="DE788" s="408">
        <v>0</v>
      </c>
      <c r="DF788" s="408">
        <v>0</v>
      </c>
      <c r="DG788" s="408">
        <v>2.4483186182282282</v>
      </c>
      <c r="DH788" s="408">
        <v>0</v>
      </c>
      <c r="DI788" s="408">
        <v>-4.5162299612207164</v>
      </c>
      <c r="DJ788" s="408"/>
      <c r="DK788" s="408">
        <v>0</v>
      </c>
      <c r="DL788" s="408">
        <v>0</v>
      </c>
      <c r="DM788" s="408">
        <v>0</v>
      </c>
      <c r="DN788" s="408">
        <v>0</v>
      </c>
      <c r="DO788" s="408">
        <v>-0.62105420903118969</v>
      </c>
      <c r="DP788" s="408">
        <v>-7.3845678020253214E-2</v>
      </c>
      <c r="DQ788" s="408">
        <v>0</v>
      </c>
      <c r="DR788" s="408">
        <v>0</v>
      </c>
      <c r="DS788" s="408"/>
      <c r="DT788" s="408"/>
      <c r="DU788" s="408"/>
      <c r="DV788" s="408">
        <v>310.48748458882562</v>
      </c>
      <c r="DW788" s="408">
        <v>0</v>
      </c>
      <c r="DX788" s="408">
        <v>0</v>
      </c>
      <c r="DY788" s="408">
        <v>-49.767830000000004</v>
      </c>
      <c r="DZ788" s="408">
        <v>46.655989999999974</v>
      </c>
      <c r="EA788" s="408">
        <v>0</v>
      </c>
      <c r="EB788" s="408">
        <v>0</v>
      </c>
      <c r="EC788" s="408">
        <v>-77.130357836352431</v>
      </c>
      <c r="ED788" s="408">
        <v>0</v>
      </c>
      <c r="EE788" s="408">
        <v>0</v>
      </c>
      <c r="EF788" s="408">
        <v>0</v>
      </c>
      <c r="EG788" s="408">
        <v>0</v>
      </c>
      <c r="EH788" s="408">
        <v>0</v>
      </c>
      <c r="EI788" s="408">
        <v>0</v>
      </c>
      <c r="EJ788" s="408">
        <v>0</v>
      </c>
      <c r="EK788" s="408">
        <v>0</v>
      </c>
      <c r="EL788" s="408">
        <v>0</v>
      </c>
      <c r="EM788" s="408">
        <v>0</v>
      </c>
      <c r="EN788" s="408">
        <v>0</v>
      </c>
      <c r="EO788" s="408">
        <v>0</v>
      </c>
      <c r="EP788" s="408">
        <v>33.965608534996321</v>
      </c>
      <c r="EQ788" s="408">
        <v>0</v>
      </c>
      <c r="ER788" s="408">
        <v>0</v>
      </c>
      <c r="ES788" s="408">
        <v>0</v>
      </c>
      <c r="ET788" s="408">
        <v>0</v>
      </c>
      <c r="EU788" s="408">
        <v>0</v>
      </c>
      <c r="EV788" s="408">
        <v>240</v>
      </c>
      <c r="EW788" s="408">
        <v>0</v>
      </c>
      <c r="EX788" s="408">
        <v>0</v>
      </c>
      <c r="EY788" s="408">
        <v>0</v>
      </c>
      <c r="EZ788" s="408"/>
      <c r="FA788" s="408">
        <v>0</v>
      </c>
      <c r="FB788" s="408"/>
      <c r="FC788" s="408"/>
      <c r="FD788" s="408"/>
      <c r="FE788" s="408"/>
      <c r="FF788" s="408">
        <v>0</v>
      </c>
      <c r="FG788" s="408">
        <v>0</v>
      </c>
      <c r="FH788" s="408">
        <v>0</v>
      </c>
      <c r="FI788" s="408">
        <v>0</v>
      </c>
    </row>
    <row r="789" spans="1:165">
      <c r="A789" s="408">
        <v>787</v>
      </c>
      <c r="B789" s="408" t="s">
        <v>1036</v>
      </c>
      <c r="C789" s="408" t="s">
        <v>2316</v>
      </c>
      <c r="D789" s="408" t="s">
        <v>1958</v>
      </c>
      <c r="E789" s="408" t="s">
        <v>970</v>
      </c>
      <c r="F789" s="408" t="s">
        <v>1322</v>
      </c>
      <c r="G789" s="408" t="s">
        <v>1322</v>
      </c>
      <c r="H789" s="408" t="s">
        <v>1322</v>
      </c>
      <c r="I789" s="408" t="s">
        <v>1322</v>
      </c>
      <c r="J789" s="408" t="s">
        <v>2236</v>
      </c>
      <c r="K789" s="826">
        <v>44713</v>
      </c>
      <c r="L789" s="408">
        <v>0</v>
      </c>
      <c r="M789" s="408">
        <v>0</v>
      </c>
      <c r="N789" s="408">
        <v>0</v>
      </c>
      <c r="O789" s="408">
        <v>0</v>
      </c>
      <c r="P789" s="408">
        <v>0</v>
      </c>
      <c r="Q789" s="408">
        <v>0</v>
      </c>
      <c r="R789" s="408"/>
      <c r="S789" s="408"/>
      <c r="T789" s="408"/>
      <c r="U789" s="408"/>
      <c r="V789" s="408"/>
      <c r="W789" s="408"/>
      <c r="X789" s="408"/>
      <c r="Y789" s="408"/>
      <c r="Z789" s="408"/>
      <c r="AA789" s="408">
        <v>0</v>
      </c>
      <c r="AB789" s="408"/>
      <c r="AC789" s="408"/>
      <c r="AD789" s="408"/>
      <c r="AE789" s="408"/>
      <c r="AF789" s="408"/>
      <c r="AG789" s="408"/>
      <c r="AH789" s="408"/>
      <c r="AI789" s="408"/>
      <c r="AJ789" s="408"/>
      <c r="AK789" s="408"/>
      <c r="AL789" s="408"/>
      <c r="AM789" s="408"/>
      <c r="AN789" s="408"/>
      <c r="AO789" s="408"/>
      <c r="AP789" s="408"/>
      <c r="AQ789" s="408"/>
      <c r="AR789" s="408"/>
      <c r="AS789" s="408"/>
      <c r="AT789" s="408"/>
      <c r="AU789" s="408"/>
      <c r="AV789" s="408"/>
      <c r="AW789" s="408"/>
      <c r="AX789" s="408"/>
      <c r="AY789" s="408"/>
      <c r="AZ789" s="408">
        <v>0</v>
      </c>
      <c r="BA789" s="408"/>
      <c r="BB789" s="408"/>
      <c r="BC789" s="408"/>
      <c r="BD789" s="408"/>
      <c r="BE789" s="408"/>
      <c r="BF789" s="408"/>
      <c r="BG789" s="408"/>
      <c r="BH789" s="408"/>
      <c r="BI789" s="408">
        <v>1.41</v>
      </c>
      <c r="BJ789" s="408">
        <v>15.6</v>
      </c>
      <c r="BK789" s="408">
        <v>290.47000000000003</v>
      </c>
      <c r="BL789" s="408">
        <v>1</v>
      </c>
      <c r="BM789" s="408"/>
      <c r="BN789" s="408"/>
      <c r="BO789" s="408"/>
      <c r="BP789" s="408"/>
      <c r="BQ789" s="408"/>
      <c r="BR789" s="408"/>
      <c r="BS789" s="408"/>
      <c r="BT789" s="408"/>
      <c r="BU789" s="408"/>
      <c r="BV789" s="408"/>
      <c r="BW789" s="408"/>
      <c r="BX789" s="408"/>
      <c r="BY789" s="408"/>
      <c r="BZ789" s="408"/>
      <c r="CA789" s="408"/>
      <c r="CB789" s="408"/>
      <c r="CC789" s="408"/>
      <c r="CD789" s="408"/>
      <c r="CE789" s="408"/>
      <c r="CF789" s="408"/>
      <c r="CG789" s="408"/>
      <c r="CH789" s="408"/>
      <c r="CI789" s="408"/>
      <c r="CJ789" s="408">
        <v>-0.03</v>
      </c>
      <c r="CK789" s="408"/>
      <c r="CL789" s="408"/>
      <c r="CM789" s="408"/>
      <c r="CN789" s="408"/>
      <c r="CO789" s="408">
        <v>0</v>
      </c>
      <c r="CP789" s="408">
        <v>0</v>
      </c>
      <c r="CQ789" s="408">
        <v>30</v>
      </c>
      <c r="CR789" s="408"/>
      <c r="CS789" s="408"/>
      <c r="CT789" s="408"/>
      <c r="CU789" s="408"/>
      <c r="CV789" s="408"/>
      <c r="CW789" s="408"/>
      <c r="CX789" s="408"/>
      <c r="CY789" s="408"/>
      <c r="CZ789" s="408"/>
      <c r="DA789" s="408"/>
      <c r="DB789" s="408"/>
      <c r="DC789" s="408"/>
      <c r="DD789" s="408"/>
      <c r="DE789" s="408"/>
      <c r="DF789" s="408"/>
      <c r="DG789" s="408"/>
      <c r="DH789" s="408"/>
      <c r="DI789" s="408"/>
      <c r="DJ789" s="408"/>
      <c r="DK789" s="408">
        <v>0</v>
      </c>
      <c r="DL789" s="408"/>
      <c r="DM789" s="408"/>
      <c r="DN789" s="408"/>
      <c r="DO789" s="408"/>
      <c r="DP789" s="408"/>
      <c r="DQ789" s="408"/>
      <c r="DR789" s="408"/>
      <c r="DS789" s="408"/>
      <c r="DT789" s="408"/>
      <c r="DU789" s="408"/>
      <c r="DV789" s="408"/>
      <c r="DW789" s="408"/>
      <c r="DX789" s="408"/>
      <c r="DY789" s="408"/>
      <c r="DZ789" s="408"/>
      <c r="EA789" s="408"/>
      <c r="EB789" s="408"/>
      <c r="EC789" s="408"/>
      <c r="ED789" s="408"/>
      <c r="EE789" s="408"/>
      <c r="EF789" s="408"/>
      <c r="EG789" s="408"/>
      <c r="EH789" s="408"/>
      <c r="EI789" s="408"/>
      <c r="EJ789" s="408"/>
      <c r="EK789" s="408"/>
      <c r="EL789" s="408"/>
      <c r="EM789" s="408"/>
      <c r="EN789" s="408"/>
      <c r="EO789" s="408"/>
      <c r="EP789" s="408"/>
      <c r="EQ789" s="408"/>
      <c r="ER789" s="408"/>
      <c r="ES789" s="408"/>
      <c r="ET789" s="408"/>
      <c r="EU789" s="408"/>
      <c r="EV789" s="408">
        <v>240</v>
      </c>
      <c r="EW789" s="408"/>
      <c r="EX789" s="408"/>
      <c r="EY789" s="408"/>
      <c r="EZ789" s="408"/>
      <c r="FA789" s="408">
        <v>0</v>
      </c>
      <c r="FB789" s="408"/>
      <c r="FC789" s="408"/>
      <c r="FD789" s="408"/>
      <c r="FE789" s="408"/>
      <c r="FF789" s="408">
        <v>0</v>
      </c>
      <c r="FG789" s="408">
        <v>0</v>
      </c>
      <c r="FH789" s="408">
        <v>0</v>
      </c>
      <c r="FI789" s="408">
        <v>0</v>
      </c>
    </row>
    <row r="790" spans="1:165">
      <c r="A790" s="408">
        <v>788</v>
      </c>
      <c r="B790" s="408" t="s">
        <v>1036</v>
      </c>
      <c r="C790" s="408" t="s">
        <v>2316</v>
      </c>
      <c r="D790" s="408" t="s">
        <v>1958</v>
      </c>
      <c r="E790" s="408" t="s">
        <v>970</v>
      </c>
      <c r="F790" s="408" t="s">
        <v>1322</v>
      </c>
      <c r="G790" s="408" t="s">
        <v>1322</v>
      </c>
      <c r="H790" s="408" t="s">
        <v>1322</v>
      </c>
      <c r="I790" s="408" t="s">
        <v>2317</v>
      </c>
      <c r="J790" s="408" t="s">
        <v>2236</v>
      </c>
      <c r="K790" s="826">
        <v>44713</v>
      </c>
      <c r="L790" s="408">
        <v>0</v>
      </c>
      <c r="M790" s="408">
        <v>0</v>
      </c>
      <c r="N790" s="408">
        <v>0.13800000000000001</v>
      </c>
      <c r="O790" s="408">
        <v>0.13800000000000001</v>
      </c>
      <c r="P790" s="408">
        <v>0.13800000000000001</v>
      </c>
      <c r="Q790" s="408">
        <v>0.13800000000000001</v>
      </c>
      <c r="R790" s="408"/>
      <c r="S790" s="408">
        <v>970.82</v>
      </c>
      <c r="T790" s="408">
        <v>173.25</v>
      </c>
      <c r="U790" s="408"/>
      <c r="V790" s="408">
        <v>157.88166000000001</v>
      </c>
      <c r="W790" s="408">
        <v>157.88166000000001</v>
      </c>
      <c r="X790" s="408">
        <v>151.67994000000002</v>
      </c>
      <c r="Y790" s="408">
        <v>0</v>
      </c>
      <c r="Z790" s="408">
        <v>8.4932352815131154</v>
      </c>
      <c r="AA790" s="408">
        <v>0</v>
      </c>
      <c r="AB790" s="408">
        <v>0</v>
      </c>
      <c r="AC790" s="408">
        <v>8.9795975729902739</v>
      </c>
      <c r="AD790" s="408">
        <v>0.62096912563841811</v>
      </c>
      <c r="AE790" s="408">
        <v>59.482533266443234</v>
      </c>
      <c r="AF790" s="408">
        <v>23.506984940773197</v>
      </c>
      <c r="AG790" s="408">
        <v>0.40119822721469256</v>
      </c>
      <c r="AH790" s="408">
        <v>0</v>
      </c>
      <c r="AI790" s="408">
        <v>0</v>
      </c>
      <c r="AJ790" s="408">
        <v>0</v>
      </c>
      <c r="AK790" s="408">
        <v>0</v>
      </c>
      <c r="AL790" s="408">
        <v>1.3122461782709067</v>
      </c>
      <c r="AM790" s="408"/>
      <c r="AN790" s="408">
        <v>0.16668422658205537</v>
      </c>
      <c r="AO790" s="408">
        <v>26.127868278836427</v>
      </c>
      <c r="AP790" s="408">
        <v>25.386984623091937</v>
      </c>
      <c r="AQ790" s="408">
        <v>0</v>
      </c>
      <c r="AR790" s="408">
        <v>0</v>
      </c>
      <c r="AS790" s="408">
        <v>0</v>
      </c>
      <c r="AT790" s="408">
        <v>0</v>
      </c>
      <c r="AU790" s="408">
        <v>0</v>
      </c>
      <c r="AV790" s="408">
        <v>0</v>
      </c>
      <c r="AW790" s="408">
        <v>0</v>
      </c>
      <c r="AX790" s="408">
        <v>0</v>
      </c>
      <c r="AY790" s="408">
        <v>0</v>
      </c>
      <c r="AZ790" s="408">
        <v>0</v>
      </c>
      <c r="BA790" s="408"/>
      <c r="BB790" s="408">
        <v>0</v>
      </c>
      <c r="BC790" s="408">
        <v>0</v>
      </c>
      <c r="BD790" s="408">
        <v>0</v>
      </c>
      <c r="BE790" s="408">
        <v>0</v>
      </c>
      <c r="BF790" s="408">
        <v>0</v>
      </c>
      <c r="BG790" s="408">
        <v>1.2336912718549653</v>
      </c>
      <c r="BH790" s="408">
        <v>0</v>
      </c>
      <c r="BI790" s="408">
        <v>0</v>
      </c>
      <c r="BJ790" s="408">
        <v>0</v>
      </c>
      <c r="BK790" s="408">
        <v>0</v>
      </c>
      <c r="BL790" s="408">
        <v>0</v>
      </c>
      <c r="BM790" s="408"/>
      <c r="BN790" s="408"/>
      <c r="BO790" s="408"/>
      <c r="BP790" s="408"/>
      <c r="BQ790" s="408"/>
      <c r="BR790" s="408"/>
      <c r="BS790" s="408"/>
      <c r="BT790" s="408"/>
      <c r="BU790" s="408"/>
      <c r="BV790" s="408">
        <v>24.740676212628163</v>
      </c>
      <c r="BW790" s="408"/>
      <c r="BX790" s="408"/>
      <c r="BY790" s="408"/>
      <c r="BZ790" s="408"/>
      <c r="CA790" s="408"/>
      <c r="CB790" s="408"/>
      <c r="CC790" s="408"/>
      <c r="CD790" s="408"/>
      <c r="CE790" s="408"/>
      <c r="CF790" s="408"/>
      <c r="CG790" s="408"/>
      <c r="CH790" s="408"/>
      <c r="CI790" s="408">
        <v>153.87819999999999</v>
      </c>
      <c r="CJ790" s="408">
        <v>-4.0334599999999909</v>
      </c>
      <c r="CK790" s="408"/>
      <c r="CL790" s="408"/>
      <c r="CM790" s="408"/>
      <c r="CN790" s="408"/>
      <c r="CO790" s="408">
        <v>-9.1811400000000134</v>
      </c>
      <c r="CP790" s="408">
        <v>2.9794200000000006</v>
      </c>
      <c r="CQ790" s="408">
        <v>30</v>
      </c>
      <c r="CR790" s="408">
        <v>8.575389778660309</v>
      </c>
      <c r="CS790" s="408">
        <v>2.6035862271667263</v>
      </c>
      <c r="CT790" s="408">
        <v>2.5297587544679523</v>
      </c>
      <c r="CU790" s="408">
        <v>0</v>
      </c>
      <c r="CV790" s="408">
        <v>0</v>
      </c>
      <c r="CW790" s="408">
        <v>0</v>
      </c>
      <c r="CX790" s="408">
        <v>0</v>
      </c>
      <c r="CY790" s="408">
        <v>0</v>
      </c>
      <c r="CZ790" s="408">
        <v>0.63939244933208472</v>
      </c>
      <c r="DA790" s="408">
        <v>0</v>
      </c>
      <c r="DB790" s="408">
        <v>0</v>
      </c>
      <c r="DC790" s="408">
        <v>2.9790836062525585</v>
      </c>
      <c r="DD790" s="408">
        <v>0</v>
      </c>
      <c r="DE790" s="408">
        <v>0</v>
      </c>
      <c r="DF790" s="408">
        <v>0</v>
      </c>
      <c r="DG790" s="408">
        <v>0.1563479728438204</v>
      </c>
      <c r="DH790" s="408">
        <v>0</v>
      </c>
      <c r="DI790" s="408">
        <v>-0.28840339409924098</v>
      </c>
      <c r="DJ790" s="408"/>
      <c r="DK790" s="408">
        <v>0</v>
      </c>
      <c r="DL790" s="408">
        <v>0</v>
      </c>
      <c r="DM790" s="408">
        <v>0</v>
      </c>
      <c r="DN790" s="408">
        <v>0</v>
      </c>
      <c r="DO790" s="408">
        <v>-3.9660102196346303E-2</v>
      </c>
      <c r="DP790" s="408">
        <v>-4.7157351072628084E-3</v>
      </c>
      <c r="DQ790" s="408">
        <v>0</v>
      </c>
      <c r="DR790" s="408">
        <v>0</v>
      </c>
      <c r="DS790" s="408"/>
      <c r="DT790" s="408"/>
      <c r="DU790" s="408"/>
      <c r="DV790" s="408">
        <v>59.482533266443234</v>
      </c>
      <c r="DW790" s="408">
        <v>0</v>
      </c>
      <c r="DX790" s="408">
        <v>0</v>
      </c>
      <c r="DY790" s="408">
        <v>-9.1811399999999992</v>
      </c>
      <c r="DZ790" s="408">
        <v>2.9794199999999975</v>
      </c>
      <c r="EA790" s="408">
        <v>0</v>
      </c>
      <c r="EB790" s="408">
        <v>0</v>
      </c>
      <c r="EC790" s="408">
        <v>-14.776470239788331</v>
      </c>
      <c r="ED790" s="408">
        <v>0</v>
      </c>
      <c r="EE790" s="408">
        <v>0</v>
      </c>
      <c r="EF790" s="408">
        <v>0</v>
      </c>
      <c r="EG790" s="408">
        <v>0</v>
      </c>
      <c r="EH790" s="408">
        <v>0</v>
      </c>
      <c r="EI790" s="408">
        <v>0</v>
      </c>
      <c r="EJ790" s="408">
        <v>0</v>
      </c>
      <c r="EK790" s="408">
        <v>0</v>
      </c>
      <c r="EL790" s="408">
        <v>0</v>
      </c>
      <c r="EM790" s="408">
        <v>0</v>
      </c>
      <c r="EN790" s="408">
        <v>0</v>
      </c>
      <c r="EO790" s="408">
        <v>0</v>
      </c>
      <c r="EP790" s="408">
        <v>2.1690208134333608</v>
      </c>
      <c r="EQ790" s="408">
        <v>0</v>
      </c>
      <c r="ER790" s="408">
        <v>0</v>
      </c>
      <c r="ES790" s="408">
        <v>0</v>
      </c>
      <c r="ET790" s="408">
        <v>0</v>
      </c>
      <c r="EU790" s="408">
        <v>0</v>
      </c>
      <c r="EV790" s="408">
        <v>240</v>
      </c>
      <c r="EW790" s="408">
        <v>0</v>
      </c>
      <c r="EX790" s="408">
        <v>0</v>
      </c>
      <c r="EY790" s="408">
        <v>0</v>
      </c>
      <c r="EZ790" s="408"/>
      <c r="FA790" s="408">
        <v>0</v>
      </c>
      <c r="FB790" s="408"/>
      <c r="FC790" s="408"/>
      <c r="FD790" s="408"/>
      <c r="FE790" s="408"/>
      <c r="FF790" s="408">
        <v>0</v>
      </c>
      <c r="FG790" s="408">
        <v>0</v>
      </c>
      <c r="FH790" s="408">
        <v>0</v>
      </c>
      <c r="FI790" s="408">
        <v>0</v>
      </c>
    </row>
    <row r="791" spans="1:165">
      <c r="A791" s="408">
        <v>789</v>
      </c>
      <c r="B791" s="408" t="s">
        <v>1036</v>
      </c>
      <c r="C791" s="408" t="s">
        <v>2235</v>
      </c>
      <c r="D791" s="408" t="s">
        <v>1958</v>
      </c>
      <c r="E791" s="408" t="s">
        <v>998</v>
      </c>
      <c r="F791" s="408" t="s">
        <v>1322</v>
      </c>
      <c r="G791" s="408" t="s">
        <v>1322</v>
      </c>
      <c r="H791" s="408" t="s">
        <v>1322</v>
      </c>
      <c r="I791" s="408" t="s">
        <v>1322</v>
      </c>
      <c r="J791" s="408" t="s">
        <v>2236</v>
      </c>
      <c r="K791" s="826">
        <v>44713</v>
      </c>
      <c r="L791" s="408">
        <v>0</v>
      </c>
      <c r="M791" s="408">
        <v>0</v>
      </c>
      <c r="N791" s="408">
        <v>2556.2660000000001</v>
      </c>
      <c r="O791" s="408">
        <v>2556.2660000000001</v>
      </c>
      <c r="P791" s="408">
        <v>2556.2660000000001</v>
      </c>
      <c r="Q791" s="408">
        <v>2556.2660000000001</v>
      </c>
      <c r="R791" s="408"/>
      <c r="S791" s="408">
        <v>368.24</v>
      </c>
      <c r="T791" s="408">
        <v>173.25</v>
      </c>
      <c r="U791" s="408"/>
      <c r="V791" s="408">
        <v>1384192.4763400001</v>
      </c>
      <c r="W791" s="408">
        <v>1384192.4763400001</v>
      </c>
      <c r="X791" s="408">
        <v>1300858.20474</v>
      </c>
      <c r="Y791" s="408">
        <v>0</v>
      </c>
      <c r="Z791" s="408">
        <v>157325.85927632177</v>
      </c>
      <c r="AA791" s="408">
        <v>0</v>
      </c>
      <c r="AB791" s="408">
        <v>0</v>
      </c>
      <c r="AC791" s="408">
        <v>6542.8583415744342</v>
      </c>
      <c r="AD791" s="408">
        <v>6286.2197085082034</v>
      </c>
      <c r="AE791" s="408">
        <v>602095.49527888442</v>
      </c>
      <c r="AF791" s="408">
        <v>435435.55338123575</v>
      </c>
      <c r="AG791" s="408">
        <v>7431.6622281825594</v>
      </c>
      <c r="AH791" s="408">
        <v>0</v>
      </c>
      <c r="AI791" s="408">
        <v>0</v>
      </c>
      <c r="AJ791" s="408">
        <v>0</v>
      </c>
      <c r="AK791" s="408">
        <v>0</v>
      </c>
      <c r="AL791" s="408">
        <v>24307.610790897517</v>
      </c>
      <c r="AM791" s="408"/>
      <c r="AN791" s="408">
        <v>3087.6030517971326</v>
      </c>
      <c r="AO791" s="408">
        <v>13889.204303253582</v>
      </c>
      <c r="AP791" s="408">
        <v>64763.310633930276</v>
      </c>
      <c r="AQ791" s="408">
        <v>0</v>
      </c>
      <c r="AR791" s="408">
        <v>0</v>
      </c>
      <c r="AS791" s="408">
        <v>0</v>
      </c>
      <c r="AT791" s="408">
        <v>0</v>
      </c>
      <c r="AU791" s="408">
        <v>0</v>
      </c>
      <c r="AV791" s="408">
        <v>0</v>
      </c>
      <c r="AW791" s="408">
        <v>0</v>
      </c>
      <c r="AX791" s="408">
        <v>0</v>
      </c>
      <c r="AY791" s="408">
        <v>0</v>
      </c>
      <c r="AZ791" s="408">
        <v>0</v>
      </c>
      <c r="BA791" s="408"/>
      <c r="BB791" s="408">
        <v>0</v>
      </c>
      <c r="BC791" s="408">
        <v>0</v>
      </c>
      <c r="BD791" s="408">
        <v>0</v>
      </c>
      <c r="BE791" s="408">
        <v>0</v>
      </c>
      <c r="BF791" s="408">
        <v>0</v>
      </c>
      <c r="BG791" s="408">
        <v>22852.485889417425</v>
      </c>
      <c r="BH791" s="408">
        <v>0</v>
      </c>
      <c r="BI791" s="408">
        <v>1296.56</v>
      </c>
      <c r="BJ791" s="408">
        <v>14479.64</v>
      </c>
      <c r="BK791" s="408">
        <v>438854.40000000002</v>
      </c>
      <c r="BL791" s="408">
        <v>4344</v>
      </c>
      <c r="BM791" s="408"/>
      <c r="BN791" s="408"/>
      <c r="BO791" s="408"/>
      <c r="BP791" s="408"/>
      <c r="BQ791" s="408"/>
      <c r="BR791" s="408"/>
      <c r="BS791" s="408"/>
      <c r="BT791" s="408"/>
      <c r="BU791" s="408"/>
      <c r="BV791" s="408">
        <v>458288.03927065316</v>
      </c>
      <c r="BW791" s="408"/>
      <c r="BX791" s="408"/>
      <c r="BY791" s="408"/>
      <c r="BZ791" s="408"/>
      <c r="CA791" s="408"/>
      <c r="CB791" s="408"/>
      <c r="CC791" s="408"/>
      <c r="CD791" s="408"/>
      <c r="CE791" s="408"/>
      <c r="CF791" s="408"/>
      <c r="CG791" s="408"/>
      <c r="CH791" s="408"/>
      <c r="CI791" s="408">
        <v>1300860.2403000002</v>
      </c>
      <c r="CJ791" s="408">
        <v>-83332.2660399999</v>
      </c>
      <c r="CK791" s="408"/>
      <c r="CL791" s="408"/>
      <c r="CM791" s="408"/>
      <c r="CN791" s="408"/>
      <c r="CO791" s="408">
        <v>-138524.05454000001</v>
      </c>
      <c r="CP791" s="408">
        <v>55189.782940000012</v>
      </c>
      <c r="CQ791" s="408">
        <v>30</v>
      </c>
      <c r="CR791" s="408">
        <v>66225.67631177546</v>
      </c>
      <c r="CS791" s="408">
        <v>1384.0295214419093</v>
      </c>
      <c r="CT791" s="408">
        <v>6453.5254768105369</v>
      </c>
      <c r="CU791" s="408">
        <v>0</v>
      </c>
      <c r="CV791" s="408">
        <v>0</v>
      </c>
      <c r="CW791" s="408">
        <v>0</v>
      </c>
      <c r="CX791" s="408">
        <v>0</v>
      </c>
      <c r="CY791" s="408">
        <v>0</v>
      </c>
      <c r="CZ791" s="408">
        <v>6472.7234422973588</v>
      </c>
      <c r="DA791" s="408">
        <v>0</v>
      </c>
      <c r="DB791" s="408">
        <v>0</v>
      </c>
      <c r="DC791" s="408">
        <v>55183.551694353693</v>
      </c>
      <c r="DD791" s="408">
        <v>0</v>
      </c>
      <c r="DE791" s="408">
        <v>0</v>
      </c>
      <c r="DF791" s="408">
        <v>0</v>
      </c>
      <c r="DG791" s="408">
        <v>2896.1377329679817</v>
      </c>
      <c r="DH791" s="408">
        <v>0</v>
      </c>
      <c r="DI791" s="408">
        <v>-5342.2883378296392</v>
      </c>
      <c r="DJ791" s="408"/>
      <c r="DK791" s="408">
        <v>0</v>
      </c>
      <c r="DL791" s="408">
        <v>0</v>
      </c>
      <c r="DM791" s="408">
        <v>0</v>
      </c>
      <c r="DN791" s="408">
        <v>0</v>
      </c>
      <c r="DO791" s="408">
        <v>-734.65051305105226</v>
      </c>
      <c r="DP791" s="408">
        <v>-87.352705215233982</v>
      </c>
      <c r="DQ791" s="408">
        <v>0</v>
      </c>
      <c r="DR791" s="408">
        <v>0</v>
      </c>
      <c r="DS791" s="408"/>
      <c r="DT791" s="408"/>
      <c r="DU791" s="408"/>
      <c r="DV791" s="408">
        <v>602095.49527888442</v>
      </c>
      <c r="DW791" s="408">
        <v>0</v>
      </c>
      <c r="DX791" s="408">
        <v>0</v>
      </c>
      <c r="DY791" s="408">
        <v>-138524.05454000004</v>
      </c>
      <c r="DZ791" s="408">
        <v>55189.782940000005</v>
      </c>
      <c r="EA791" s="408">
        <v>0</v>
      </c>
      <c r="EB791" s="408">
        <v>0</v>
      </c>
      <c r="EC791" s="408">
        <v>-149570.73411192856</v>
      </c>
      <c r="ED791" s="408">
        <v>0</v>
      </c>
      <c r="EE791" s="408">
        <v>0</v>
      </c>
      <c r="EF791" s="408">
        <v>0</v>
      </c>
      <c r="EG791" s="408">
        <v>0</v>
      </c>
      <c r="EH791" s="408">
        <v>0</v>
      </c>
      <c r="EI791" s="408">
        <v>0</v>
      </c>
      <c r="EJ791" s="408">
        <v>0</v>
      </c>
      <c r="EK791" s="408">
        <v>0</v>
      </c>
      <c r="EL791" s="408">
        <v>0</v>
      </c>
      <c r="EM791" s="408">
        <v>0</v>
      </c>
      <c r="EN791" s="408">
        <v>0</v>
      </c>
      <c r="EO791" s="408">
        <v>0</v>
      </c>
      <c r="EP791" s="408">
        <v>40178.218541101764</v>
      </c>
      <c r="EQ791" s="408">
        <v>0</v>
      </c>
      <c r="ER791" s="408">
        <v>0</v>
      </c>
      <c r="ES791" s="408">
        <v>0</v>
      </c>
      <c r="ET791" s="408">
        <v>0</v>
      </c>
      <c r="EU791" s="408">
        <v>0</v>
      </c>
      <c r="EV791" s="408">
        <v>240</v>
      </c>
      <c r="EW791" s="408">
        <v>0</v>
      </c>
      <c r="EX791" s="408">
        <v>0</v>
      </c>
      <c r="EY791" s="408">
        <v>0</v>
      </c>
      <c r="EZ791" s="408"/>
      <c r="FA791" s="408">
        <v>0</v>
      </c>
      <c r="FB791" s="408"/>
      <c r="FC791" s="408"/>
      <c r="FD791" s="408"/>
      <c r="FE791" s="408"/>
      <c r="FF791" s="408">
        <v>0</v>
      </c>
      <c r="FG791" s="408">
        <v>0</v>
      </c>
      <c r="FH791" s="408">
        <v>0</v>
      </c>
      <c r="FI791" s="408">
        <v>0</v>
      </c>
    </row>
    <row r="792" spans="1:165">
      <c r="A792" s="408">
        <v>790</v>
      </c>
      <c r="B792" s="408" t="s">
        <v>2237</v>
      </c>
      <c r="C792" s="408" t="s">
        <v>2235</v>
      </c>
      <c r="D792" s="408" t="s">
        <v>1958</v>
      </c>
      <c r="E792" s="408" t="s">
        <v>998</v>
      </c>
      <c r="F792" s="408" t="s">
        <v>1322</v>
      </c>
      <c r="G792" s="408" t="s">
        <v>1322</v>
      </c>
      <c r="H792" s="408" t="s">
        <v>1322</v>
      </c>
      <c r="I792" s="408" t="s">
        <v>1322</v>
      </c>
      <c r="J792" s="408" t="s">
        <v>2236</v>
      </c>
      <c r="K792" s="826">
        <v>44713</v>
      </c>
      <c r="L792" s="408">
        <v>0</v>
      </c>
      <c r="M792" s="408">
        <v>0</v>
      </c>
      <c r="N792" s="408">
        <v>-0.1</v>
      </c>
      <c r="O792" s="408">
        <v>-0.1</v>
      </c>
      <c r="P792" s="408">
        <v>-0.1</v>
      </c>
      <c r="Q792" s="408">
        <v>-0.1</v>
      </c>
      <c r="R792" s="408"/>
      <c r="S792" s="408">
        <v>368.24</v>
      </c>
      <c r="T792" s="408">
        <v>173.25</v>
      </c>
      <c r="U792" s="408"/>
      <c r="V792" s="408">
        <v>-54.149000000000001</v>
      </c>
      <c r="W792" s="408">
        <v>-54.149000000000001</v>
      </c>
      <c r="X792" s="408">
        <v>-50.889000000000003</v>
      </c>
      <c r="Y792" s="408">
        <v>0</v>
      </c>
      <c r="Z792" s="408">
        <v>-6.1545183199370399</v>
      </c>
      <c r="AA792" s="408">
        <v>0</v>
      </c>
      <c r="AB792" s="408">
        <v>0</v>
      </c>
      <c r="AC792" s="408">
        <v>-0.25595373648808201</v>
      </c>
      <c r="AD792" s="408">
        <v>-0.24591414620028604</v>
      </c>
      <c r="AE792" s="408">
        <v>-23.553710579371803</v>
      </c>
      <c r="AF792" s="408">
        <v>-17.0340470585313</v>
      </c>
      <c r="AG792" s="408">
        <v>-0.29072335305412506</v>
      </c>
      <c r="AH792" s="408">
        <v>0</v>
      </c>
      <c r="AI792" s="408">
        <v>0</v>
      </c>
      <c r="AJ792" s="408">
        <v>0</v>
      </c>
      <c r="AK792" s="408">
        <v>0</v>
      </c>
      <c r="AL792" s="408">
        <v>-0.95090302773254098</v>
      </c>
      <c r="AM792" s="408"/>
      <c r="AN792" s="408">
        <v>-0.120785671436272</v>
      </c>
      <c r="AO792" s="408">
        <v>-0.54333955477456497</v>
      </c>
      <c r="AP792" s="408">
        <v>-2.5335121866789403</v>
      </c>
      <c r="AQ792" s="408">
        <v>0</v>
      </c>
      <c r="AR792" s="408">
        <v>0</v>
      </c>
      <c r="AS792" s="408">
        <v>0</v>
      </c>
      <c r="AT792" s="408">
        <v>0</v>
      </c>
      <c r="AU792" s="408">
        <v>0</v>
      </c>
      <c r="AV792" s="408">
        <v>0</v>
      </c>
      <c r="AW792" s="408">
        <v>0</v>
      </c>
      <c r="AX792" s="408">
        <v>0</v>
      </c>
      <c r="AY792" s="408">
        <v>0</v>
      </c>
      <c r="AZ792" s="408">
        <v>0</v>
      </c>
      <c r="BA792" s="408"/>
      <c r="BB792" s="408">
        <v>0</v>
      </c>
      <c r="BC792" s="408">
        <v>0</v>
      </c>
      <c r="BD792" s="408">
        <v>0</v>
      </c>
      <c r="BE792" s="408">
        <v>0</v>
      </c>
      <c r="BF792" s="408">
        <v>0</v>
      </c>
      <c r="BG792" s="408">
        <v>-0.89397918250359809</v>
      </c>
      <c r="BH792" s="408">
        <v>0</v>
      </c>
      <c r="BI792" s="408">
        <v>-0.1</v>
      </c>
      <c r="BJ792" s="408">
        <v>-1.1000000000000001</v>
      </c>
      <c r="BK792" s="408">
        <v>-21.83</v>
      </c>
      <c r="BL792" s="408">
        <v>0</v>
      </c>
      <c r="BM792" s="408"/>
      <c r="BN792" s="408"/>
      <c r="BO792" s="408"/>
      <c r="BP792" s="408"/>
      <c r="BQ792" s="408"/>
      <c r="BR792" s="408"/>
      <c r="BS792" s="408"/>
      <c r="BT792" s="408"/>
      <c r="BU792" s="408"/>
      <c r="BV792" s="408">
        <v>-17.9280262410349</v>
      </c>
      <c r="BW792" s="408"/>
      <c r="BX792" s="408"/>
      <c r="BY792" s="408"/>
      <c r="BZ792" s="408"/>
      <c r="CA792" s="408"/>
      <c r="CB792" s="408"/>
      <c r="CC792" s="408"/>
      <c r="CD792" s="408"/>
      <c r="CE792" s="408"/>
      <c r="CF792" s="408"/>
      <c r="CG792" s="408"/>
      <c r="CH792" s="408"/>
      <c r="CI792" s="408">
        <v>-50.889000000000003</v>
      </c>
      <c r="CJ792" s="408">
        <v>3.230000000000004</v>
      </c>
      <c r="CK792" s="408"/>
      <c r="CL792" s="408"/>
      <c r="CM792" s="408"/>
      <c r="CN792" s="408"/>
      <c r="CO792" s="408">
        <v>5.4190000000000005</v>
      </c>
      <c r="CP792" s="408">
        <v>-2.1590000000000003</v>
      </c>
      <c r="CQ792" s="408">
        <v>30</v>
      </c>
      <c r="CR792" s="408">
        <v>-2.5907192878900496</v>
      </c>
      <c r="CS792" s="408">
        <v>-5.4142625276161094E-2</v>
      </c>
      <c r="CT792" s="408">
        <v>-0.25245907416561986</v>
      </c>
      <c r="CU792" s="408">
        <v>0</v>
      </c>
      <c r="CV792" s="408">
        <v>0</v>
      </c>
      <c r="CW792" s="408">
        <v>0</v>
      </c>
      <c r="CX792" s="408">
        <v>0</v>
      </c>
      <c r="CY792" s="408">
        <v>0</v>
      </c>
      <c r="CZ792" s="408">
        <v>-0.25321009011962603</v>
      </c>
      <c r="DA792" s="408">
        <v>0</v>
      </c>
      <c r="DB792" s="408">
        <v>0</v>
      </c>
      <c r="DC792" s="408">
        <v>-2.1587562364148987</v>
      </c>
      <c r="DD792" s="408">
        <v>0</v>
      </c>
      <c r="DE792" s="408">
        <v>0</v>
      </c>
      <c r="DF792" s="408">
        <v>0</v>
      </c>
      <c r="DG792" s="408">
        <v>-0.1132956324955221</v>
      </c>
      <c r="DH792" s="408">
        <v>0</v>
      </c>
      <c r="DI792" s="408">
        <v>0.20898796673857944</v>
      </c>
      <c r="DJ792" s="408"/>
      <c r="DK792" s="408">
        <v>0</v>
      </c>
      <c r="DL792" s="408">
        <v>0</v>
      </c>
      <c r="DM792" s="408">
        <v>0</v>
      </c>
      <c r="DN792" s="408">
        <v>0</v>
      </c>
      <c r="DO792" s="408">
        <v>2.8739204490105918E-2</v>
      </c>
      <c r="DP792" s="408">
        <v>3.4171993530889982E-3</v>
      </c>
      <c r="DQ792" s="408">
        <v>0</v>
      </c>
      <c r="DR792" s="408">
        <v>0</v>
      </c>
      <c r="DS792" s="408"/>
      <c r="DT792" s="408"/>
      <c r="DU792" s="408"/>
      <c r="DV792" s="408">
        <v>-23.553710579371803</v>
      </c>
      <c r="DW792" s="408">
        <v>0</v>
      </c>
      <c r="DX792" s="408">
        <v>0</v>
      </c>
      <c r="DY792" s="408">
        <v>5.419000000000004</v>
      </c>
      <c r="DZ792" s="408">
        <v>-2.1590000000000025</v>
      </c>
      <c r="EA792" s="408">
        <v>0</v>
      </c>
      <c r="EB792" s="408">
        <v>0</v>
      </c>
      <c r="EC792" s="408">
        <v>5.8511412392892019</v>
      </c>
      <c r="ED792" s="408">
        <v>0</v>
      </c>
      <c r="EE792" s="408">
        <v>0</v>
      </c>
      <c r="EF792" s="408">
        <v>0</v>
      </c>
      <c r="EG792" s="408">
        <v>0</v>
      </c>
      <c r="EH792" s="408">
        <v>0</v>
      </c>
      <c r="EI792" s="408">
        <v>0</v>
      </c>
      <c r="EJ792" s="408">
        <v>0</v>
      </c>
      <c r="EK792" s="408">
        <v>0</v>
      </c>
      <c r="EL792" s="408">
        <v>0</v>
      </c>
      <c r="EM792" s="408">
        <v>0</v>
      </c>
      <c r="EN792" s="408">
        <v>0</v>
      </c>
      <c r="EO792" s="408">
        <v>0</v>
      </c>
      <c r="EP792" s="408">
        <v>-1.5717542126328701</v>
      </c>
      <c r="EQ792" s="408">
        <v>0</v>
      </c>
      <c r="ER792" s="408">
        <v>0</v>
      </c>
      <c r="ES792" s="408">
        <v>0</v>
      </c>
      <c r="ET792" s="408">
        <v>0</v>
      </c>
      <c r="EU792" s="408">
        <v>0</v>
      </c>
      <c r="EV792" s="408">
        <v>240</v>
      </c>
      <c r="EW792" s="408">
        <v>0</v>
      </c>
      <c r="EX792" s="408">
        <v>0</v>
      </c>
      <c r="EY792" s="408">
        <v>0</v>
      </c>
      <c r="EZ792" s="408"/>
      <c r="FA792" s="408">
        <v>0</v>
      </c>
      <c r="FB792" s="408"/>
      <c r="FC792" s="408"/>
      <c r="FD792" s="408"/>
      <c r="FE792" s="408"/>
      <c r="FF792" s="408">
        <v>0</v>
      </c>
      <c r="FG792" s="408">
        <v>0</v>
      </c>
      <c r="FH792" s="408">
        <v>0</v>
      </c>
      <c r="FI792" s="408">
        <v>0</v>
      </c>
    </row>
    <row r="793" spans="1:165">
      <c r="A793" s="408">
        <v>791</v>
      </c>
      <c r="B793" s="408" t="s">
        <v>2238</v>
      </c>
      <c r="C793" s="408" t="s">
        <v>2235</v>
      </c>
      <c r="D793" s="408" t="s">
        <v>1958</v>
      </c>
      <c r="E793" s="408" t="s">
        <v>998</v>
      </c>
      <c r="F793" s="408" t="s">
        <v>1322</v>
      </c>
      <c r="G793" s="408" t="s">
        <v>1322</v>
      </c>
      <c r="H793" s="408" t="s">
        <v>1322</v>
      </c>
      <c r="I793" s="408" t="s">
        <v>1322</v>
      </c>
      <c r="J793" s="408" t="s">
        <v>2236</v>
      </c>
      <c r="K793" s="826">
        <v>44713</v>
      </c>
      <c r="L793" s="408">
        <v>0</v>
      </c>
      <c r="M793" s="408">
        <v>0</v>
      </c>
      <c r="N793" s="408">
        <v>286.74099999999999</v>
      </c>
      <c r="O793" s="408">
        <v>286.74099999999999</v>
      </c>
      <c r="P793" s="408">
        <v>286.74099999999999</v>
      </c>
      <c r="Q793" s="408">
        <v>286.74099999999999</v>
      </c>
      <c r="R793" s="408"/>
      <c r="S793" s="408">
        <v>368.24</v>
      </c>
      <c r="T793" s="408">
        <v>173.25</v>
      </c>
      <c r="U793" s="408"/>
      <c r="V793" s="408">
        <v>155267.38409000001</v>
      </c>
      <c r="W793" s="408">
        <v>155267.38409000001</v>
      </c>
      <c r="X793" s="408">
        <v>145919.62748999998</v>
      </c>
      <c r="Y793" s="408">
        <v>0</v>
      </c>
      <c r="Z793" s="408">
        <v>17647.527375770667</v>
      </c>
      <c r="AA793" s="408">
        <v>0</v>
      </c>
      <c r="AB793" s="408">
        <v>0</v>
      </c>
      <c r="AC793" s="408">
        <v>733.9243035432911</v>
      </c>
      <c r="AD793" s="408">
        <v>705.13668195616208</v>
      </c>
      <c r="AE793" s="408">
        <v>67538.145252396498</v>
      </c>
      <c r="AF793" s="408">
        <v>48843.596876103235</v>
      </c>
      <c r="AG793" s="408">
        <v>833.62304978092857</v>
      </c>
      <c r="AH793" s="408">
        <v>0</v>
      </c>
      <c r="AI793" s="408">
        <v>0</v>
      </c>
      <c r="AJ793" s="408">
        <v>0</v>
      </c>
      <c r="AK793" s="408">
        <v>0</v>
      </c>
      <c r="AL793" s="408">
        <v>2726.6288507505651</v>
      </c>
      <c r="AM793" s="408"/>
      <c r="AN793" s="408">
        <v>346.34204213308067</v>
      </c>
      <c r="AO793" s="408">
        <v>1557.9772727561353</v>
      </c>
      <c r="AP793" s="408">
        <v>7264.6181792050593</v>
      </c>
      <c r="AQ793" s="408">
        <v>0</v>
      </c>
      <c r="AR793" s="408">
        <v>0</v>
      </c>
      <c r="AS793" s="408">
        <v>0</v>
      </c>
      <c r="AT793" s="408">
        <v>0</v>
      </c>
      <c r="AU793" s="408">
        <v>0</v>
      </c>
      <c r="AV793" s="408">
        <v>0</v>
      </c>
      <c r="AW793" s="408">
        <v>0</v>
      </c>
      <c r="AX793" s="408">
        <v>0</v>
      </c>
      <c r="AY793" s="408">
        <v>0</v>
      </c>
      <c r="AZ793" s="408">
        <v>0</v>
      </c>
      <c r="BA793" s="408"/>
      <c r="BB793" s="408">
        <v>0</v>
      </c>
      <c r="BC793" s="408">
        <v>0</v>
      </c>
      <c r="BD793" s="408">
        <v>0</v>
      </c>
      <c r="BE793" s="408">
        <v>0</v>
      </c>
      <c r="BF793" s="408">
        <v>0</v>
      </c>
      <c r="BG793" s="408">
        <v>2563.4048477026417</v>
      </c>
      <c r="BH793" s="408">
        <v>0</v>
      </c>
      <c r="BI793" s="408">
        <v>147.36000000000001</v>
      </c>
      <c r="BJ793" s="408">
        <v>1634.79</v>
      </c>
      <c r="BK793" s="408">
        <v>77118.22</v>
      </c>
      <c r="BL793" s="408">
        <v>360</v>
      </c>
      <c r="BM793" s="408"/>
      <c r="BN793" s="408"/>
      <c r="BO793" s="408"/>
      <c r="BP793" s="408"/>
      <c r="BQ793" s="408"/>
      <c r="BR793" s="408"/>
      <c r="BS793" s="408"/>
      <c r="BT793" s="408"/>
      <c r="BU793" s="408"/>
      <c r="BV793" s="408">
        <v>51407.001723805879</v>
      </c>
      <c r="BW793" s="408"/>
      <c r="BX793" s="408"/>
      <c r="BY793" s="408"/>
      <c r="BZ793" s="408"/>
      <c r="CA793" s="408"/>
      <c r="CB793" s="408"/>
      <c r="CC793" s="408"/>
      <c r="CD793" s="408"/>
      <c r="CE793" s="408"/>
      <c r="CF793" s="408"/>
      <c r="CG793" s="408"/>
      <c r="CH793" s="408"/>
      <c r="CI793" s="408">
        <v>145919.11859999999</v>
      </c>
      <c r="CJ793" s="408">
        <v>-9348.2954899999895</v>
      </c>
      <c r="CK793" s="408"/>
      <c r="CL793" s="408"/>
      <c r="CM793" s="408"/>
      <c r="CN793" s="408"/>
      <c r="CO793" s="408">
        <v>-15538.494789999999</v>
      </c>
      <c r="CP793" s="408">
        <v>6190.7381900000009</v>
      </c>
      <c r="CQ793" s="408">
        <v>30</v>
      </c>
      <c r="CR793" s="408">
        <v>7428.6543932888162</v>
      </c>
      <c r="CS793" s="408">
        <v>155.24910514311682</v>
      </c>
      <c r="CT793" s="408">
        <v>723.90367385324043</v>
      </c>
      <c r="CU793" s="408">
        <v>0</v>
      </c>
      <c r="CV793" s="408">
        <v>0</v>
      </c>
      <c r="CW793" s="408">
        <v>0</v>
      </c>
      <c r="CX793" s="408">
        <v>0</v>
      </c>
      <c r="CY793" s="408">
        <v>0</v>
      </c>
      <c r="CZ793" s="408">
        <v>726.05714450991684</v>
      </c>
      <c r="DA793" s="408">
        <v>0</v>
      </c>
      <c r="DB793" s="408">
        <v>0</v>
      </c>
      <c r="DC793" s="408">
        <v>6190.039219858445</v>
      </c>
      <c r="DD793" s="408">
        <v>0</v>
      </c>
      <c r="DE793" s="408">
        <v>0</v>
      </c>
      <c r="DF793" s="408">
        <v>0</v>
      </c>
      <c r="DG793" s="408">
        <v>324.86502957398488</v>
      </c>
      <c r="DH793" s="408">
        <v>0</v>
      </c>
      <c r="DI793" s="408">
        <v>-599.25418570587135</v>
      </c>
      <c r="DJ793" s="408"/>
      <c r="DK793" s="408">
        <v>0</v>
      </c>
      <c r="DL793" s="408">
        <v>0</v>
      </c>
      <c r="DM793" s="408">
        <v>0</v>
      </c>
      <c r="DN793" s="408">
        <v>0</v>
      </c>
      <c r="DO793" s="408">
        <v>-82.407082346974676</v>
      </c>
      <c r="DP793" s="408">
        <v>-9.7985115970409424</v>
      </c>
      <c r="DQ793" s="408">
        <v>0</v>
      </c>
      <c r="DR793" s="408">
        <v>0</v>
      </c>
      <c r="DS793" s="408"/>
      <c r="DT793" s="408"/>
      <c r="DU793" s="408"/>
      <c r="DV793" s="408">
        <v>67538.145252396498</v>
      </c>
      <c r="DW793" s="408">
        <v>0</v>
      </c>
      <c r="DX793" s="408">
        <v>0</v>
      </c>
      <c r="DY793" s="408">
        <v>-15538.494789999997</v>
      </c>
      <c r="DZ793" s="408">
        <v>6190.7381900000037</v>
      </c>
      <c r="EA793" s="408">
        <v>0</v>
      </c>
      <c r="EB793" s="408">
        <v>0</v>
      </c>
      <c r="EC793" s="408">
        <v>-16777.620900950256</v>
      </c>
      <c r="ED793" s="408">
        <v>0</v>
      </c>
      <c r="EE793" s="408">
        <v>0</v>
      </c>
      <c r="EF793" s="408">
        <v>0</v>
      </c>
      <c r="EG793" s="408">
        <v>0</v>
      </c>
      <c r="EH793" s="408">
        <v>0</v>
      </c>
      <c r="EI793" s="408">
        <v>0</v>
      </c>
      <c r="EJ793" s="408">
        <v>0</v>
      </c>
      <c r="EK793" s="408">
        <v>0</v>
      </c>
      <c r="EL793" s="408">
        <v>0</v>
      </c>
      <c r="EM793" s="408">
        <v>0</v>
      </c>
      <c r="EN793" s="408">
        <v>0</v>
      </c>
      <c r="EO793" s="408">
        <v>0</v>
      </c>
      <c r="EP793" s="408">
        <v>4506.8637468456172</v>
      </c>
      <c r="EQ793" s="408">
        <v>0</v>
      </c>
      <c r="ER793" s="408">
        <v>0</v>
      </c>
      <c r="ES793" s="408">
        <v>0</v>
      </c>
      <c r="ET793" s="408">
        <v>0</v>
      </c>
      <c r="EU793" s="408">
        <v>0</v>
      </c>
      <c r="EV793" s="408">
        <v>240</v>
      </c>
      <c r="EW793" s="408">
        <v>0</v>
      </c>
      <c r="EX793" s="408">
        <v>0</v>
      </c>
      <c r="EY793" s="408">
        <v>0</v>
      </c>
      <c r="EZ793" s="408"/>
      <c r="FA793" s="408">
        <v>0</v>
      </c>
      <c r="FB793" s="408"/>
      <c r="FC793" s="408"/>
      <c r="FD793" s="408"/>
      <c r="FE793" s="408"/>
      <c r="FF793" s="408">
        <v>0</v>
      </c>
      <c r="FG793" s="408">
        <v>0</v>
      </c>
      <c r="FH793" s="408">
        <v>0</v>
      </c>
      <c r="FI793" s="408">
        <v>0</v>
      </c>
    </row>
    <row r="794" spans="1:165">
      <c r="A794" s="408">
        <v>792</v>
      </c>
      <c r="B794" s="408" t="s">
        <v>1036</v>
      </c>
      <c r="C794" s="408" t="s">
        <v>2243</v>
      </c>
      <c r="D794" s="408" t="s">
        <v>597</v>
      </c>
      <c r="E794" s="408" t="s">
        <v>998</v>
      </c>
      <c r="F794" s="408" t="s">
        <v>1322</v>
      </c>
      <c r="G794" s="408" t="s">
        <v>1322</v>
      </c>
      <c r="H794" s="408" t="s">
        <v>1322</v>
      </c>
      <c r="I794" s="408" t="s">
        <v>973</v>
      </c>
      <c r="J794" s="408" t="s">
        <v>2236</v>
      </c>
      <c r="K794" s="826">
        <v>44713</v>
      </c>
      <c r="L794" s="408">
        <v>0</v>
      </c>
      <c r="M794" s="408">
        <v>0</v>
      </c>
      <c r="N794" s="408">
        <v>75.194999999999993</v>
      </c>
      <c r="O794" s="408">
        <v>75.194999999999993</v>
      </c>
      <c r="P794" s="408">
        <v>75.194999999999993</v>
      </c>
      <c r="Q794" s="408">
        <v>75.194999999999993</v>
      </c>
      <c r="R794" s="408"/>
      <c r="S794" s="408">
        <v>1358.36</v>
      </c>
      <c r="T794" s="408">
        <v>173.25</v>
      </c>
      <c r="U794" s="408"/>
      <c r="V794" s="408">
        <v>115169.41394999999</v>
      </c>
      <c r="W794" s="408">
        <v>115169.41394999999</v>
      </c>
      <c r="X794" s="408">
        <v>100980.86939999998</v>
      </c>
      <c r="Y794" s="408">
        <v>0</v>
      </c>
      <c r="Z794" s="408">
        <v>4026.2643440886877</v>
      </c>
      <c r="AA794" s="408">
        <v>0</v>
      </c>
      <c r="AB794" s="408">
        <v>0</v>
      </c>
      <c r="AC794" s="408">
        <v>1424.3503323907271</v>
      </c>
      <c r="AD794" s="408">
        <v>1368.4854974137925</v>
      </c>
      <c r="AE794" s="408">
        <v>75834.737764803067</v>
      </c>
      <c r="AF794" s="408">
        <v>12808.75168566261</v>
      </c>
      <c r="AG794" s="408">
        <v>218.60942532904929</v>
      </c>
      <c r="AH794" s="408">
        <v>0</v>
      </c>
      <c r="AI794" s="408">
        <v>0</v>
      </c>
      <c r="AJ794" s="408">
        <v>0</v>
      </c>
      <c r="AK794" s="408">
        <v>0</v>
      </c>
      <c r="AL794" s="408">
        <v>715.03153170348412</v>
      </c>
      <c r="AM794" s="408"/>
      <c r="AN794" s="408">
        <v>60.217195746465769</v>
      </c>
      <c r="AO794" s="408">
        <v>3023.6527748319609</v>
      </c>
      <c r="AP794" s="408">
        <v>14098.769328119486</v>
      </c>
      <c r="AQ794" s="408">
        <v>0</v>
      </c>
      <c r="AR794" s="408">
        <v>0</v>
      </c>
      <c r="AS794" s="408">
        <v>0</v>
      </c>
      <c r="AT794" s="408">
        <v>0</v>
      </c>
      <c r="AU794" s="408">
        <v>0</v>
      </c>
      <c r="AV794" s="408">
        <v>0</v>
      </c>
      <c r="AW794" s="408">
        <v>0</v>
      </c>
      <c r="AX794" s="408">
        <v>0</v>
      </c>
      <c r="AY794" s="408">
        <v>0</v>
      </c>
      <c r="AZ794" s="408">
        <v>0</v>
      </c>
      <c r="BA794" s="408"/>
      <c r="BB794" s="408">
        <v>0</v>
      </c>
      <c r="BC794" s="408">
        <v>0</v>
      </c>
      <c r="BD794" s="408">
        <v>0</v>
      </c>
      <c r="BE794" s="408">
        <v>0</v>
      </c>
      <c r="BF794" s="408">
        <v>0</v>
      </c>
      <c r="BG794" s="408">
        <v>562.35758175906994</v>
      </c>
      <c r="BH794" s="408">
        <v>0</v>
      </c>
      <c r="BI794" s="408">
        <v>0</v>
      </c>
      <c r="BJ794" s="408">
        <v>0</v>
      </c>
      <c r="BK794" s="408">
        <v>0</v>
      </c>
      <c r="BL794" s="408">
        <v>0</v>
      </c>
      <c r="BM794" s="408"/>
      <c r="BN794" s="408"/>
      <c r="BO794" s="408"/>
      <c r="BP794" s="408"/>
      <c r="BQ794" s="408"/>
      <c r="BR794" s="408"/>
      <c r="BS794" s="408"/>
      <c r="BT794" s="408"/>
      <c r="BU794" s="408"/>
      <c r="BV794" s="408">
        <v>13371.10926742168</v>
      </c>
      <c r="BW794" s="408"/>
      <c r="BX794" s="408"/>
      <c r="BY794" s="408"/>
      <c r="BZ794" s="408"/>
      <c r="CA794" s="408"/>
      <c r="CB794" s="408"/>
      <c r="CC794" s="408"/>
      <c r="CD794" s="408"/>
      <c r="CE794" s="408"/>
      <c r="CF794" s="408"/>
      <c r="CG794" s="408"/>
      <c r="CH794" s="408"/>
      <c r="CI794" s="408">
        <v>100987.584</v>
      </c>
      <c r="CJ794" s="408">
        <v>-14181.859949999969</v>
      </c>
      <c r="CK794" s="408"/>
      <c r="CL794" s="408"/>
      <c r="CM794" s="408"/>
      <c r="CN794" s="408"/>
      <c r="CO794" s="408">
        <v>-15812.004599999997</v>
      </c>
      <c r="CP794" s="408">
        <v>1623.4600500000001</v>
      </c>
      <c r="CQ794" s="408">
        <v>30</v>
      </c>
      <c r="CR794" s="408">
        <v>4649.8114916687409</v>
      </c>
      <c r="CS794" s="408">
        <v>301.30053612767551</v>
      </c>
      <c r="CT794" s="408">
        <v>1404.9122282366061</v>
      </c>
      <c r="CU794" s="408">
        <v>0</v>
      </c>
      <c r="CV794" s="408">
        <v>0</v>
      </c>
      <c r="CW794" s="408">
        <v>0</v>
      </c>
      <c r="CX794" s="408">
        <v>0</v>
      </c>
      <c r="CY794" s="408">
        <v>0</v>
      </c>
      <c r="CZ794" s="408">
        <v>1409.0866323945725</v>
      </c>
      <c r="DA794" s="408">
        <v>0</v>
      </c>
      <c r="DB794" s="408">
        <v>0</v>
      </c>
      <c r="DC794" s="408">
        <v>1623.2767519721838</v>
      </c>
      <c r="DD794" s="408">
        <v>0</v>
      </c>
      <c r="DE794" s="408">
        <v>0</v>
      </c>
      <c r="DF794" s="408">
        <v>0</v>
      </c>
      <c r="DG794" s="408">
        <v>71.2686147071297</v>
      </c>
      <c r="DH794" s="408">
        <v>0</v>
      </c>
      <c r="DI794" s="408">
        <v>-136.7191963824921</v>
      </c>
      <c r="DJ794" s="408"/>
      <c r="DK794" s="408">
        <v>0</v>
      </c>
      <c r="DL794" s="408">
        <v>0</v>
      </c>
      <c r="DM794" s="408">
        <v>0</v>
      </c>
      <c r="DN794" s="408">
        <v>0</v>
      </c>
      <c r="DO794" s="408">
        <v>-21.610444816335189</v>
      </c>
      <c r="DP794" s="408">
        <v>-1.703630570603174</v>
      </c>
      <c r="DQ794" s="408">
        <v>0</v>
      </c>
      <c r="DR794" s="408">
        <v>0</v>
      </c>
      <c r="DS794" s="408"/>
      <c r="DT794" s="408"/>
      <c r="DU794" s="408"/>
      <c r="DV794" s="408">
        <v>75834.737764803067</v>
      </c>
      <c r="DW794" s="408">
        <v>0</v>
      </c>
      <c r="DX794" s="408">
        <v>0</v>
      </c>
      <c r="DY794" s="408">
        <v>-15812.0046</v>
      </c>
      <c r="DZ794" s="408">
        <v>1623.4600499999997</v>
      </c>
      <c r="EA794" s="408">
        <v>0</v>
      </c>
      <c r="EB794" s="408">
        <v>0</v>
      </c>
      <c r="EC794" s="408">
        <v>-18838.635212531124</v>
      </c>
      <c r="ED794" s="408">
        <v>0</v>
      </c>
      <c r="EE794" s="408">
        <v>0</v>
      </c>
      <c r="EF794" s="408">
        <v>0</v>
      </c>
      <c r="EG794" s="408">
        <v>0</v>
      </c>
      <c r="EH794" s="408">
        <v>0</v>
      </c>
      <c r="EI794" s="408">
        <v>0</v>
      </c>
      <c r="EJ794" s="408">
        <v>0</v>
      </c>
      <c r="EK794" s="408">
        <v>0</v>
      </c>
      <c r="EL794" s="408">
        <v>0</v>
      </c>
      <c r="EM794" s="408">
        <v>0</v>
      </c>
      <c r="EN794" s="408">
        <v>0</v>
      </c>
      <c r="EO794" s="408">
        <v>0</v>
      </c>
      <c r="EP794" s="408">
        <v>1028.2361047646816</v>
      </c>
      <c r="EQ794" s="408">
        <v>0</v>
      </c>
      <c r="ER794" s="408">
        <v>0</v>
      </c>
      <c r="ES794" s="408">
        <v>0</v>
      </c>
      <c r="ET794" s="408">
        <v>0</v>
      </c>
      <c r="EU794" s="408">
        <v>0</v>
      </c>
      <c r="EV794" s="408">
        <v>240</v>
      </c>
      <c r="EW794" s="408">
        <v>0</v>
      </c>
      <c r="EX794" s="408">
        <v>0</v>
      </c>
      <c r="EY794" s="408">
        <v>0</v>
      </c>
      <c r="EZ794" s="408"/>
      <c r="FA794" s="408">
        <v>0</v>
      </c>
      <c r="FB794" s="408"/>
      <c r="FC794" s="408"/>
      <c r="FD794" s="408"/>
      <c r="FE794" s="408"/>
      <c r="FF794" s="408">
        <v>0</v>
      </c>
      <c r="FG794" s="408">
        <v>0</v>
      </c>
      <c r="FH794" s="408">
        <v>0</v>
      </c>
      <c r="FI794" s="408">
        <v>0</v>
      </c>
    </row>
    <row r="795" spans="1:165">
      <c r="A795" s="408">
        <v>793</v>
      </c>
      <c r="B795" s="408" t="s">
        <v>2238</v>
      </c>
      <c r="C795" s="408" t="s">
        <v>2243</v>
      </c>
      <c r="D795" s="408" t="s">
        <v>597</v>
      </c>
      <c r="E795" s="408" t="s">
        <v>998</v>
      </c>
      <c r="F795" s="408" t="s">
        <v>1322</v>
      </c>
      <c r="G795" s="408" t="s">
        <v>1322</v>
      </c>
      <c r="H795" s="408" t="s">
        <v>1322</v>
      </c>
      <c r="I795" s="408" t="s">
        <v>973</v>
      </c>
      <c r="J795" s="408" t="s">
        <v>2236</v>
      </c>
      <c r="K795" s="826">
        <v>44713</v>
      </c>
      <c r="L795" s="408">
        <v>0</v>
      </c>
      <c r="M795" s="408">
        <v>0</v>
      </c>
      <c r="N795" s="408">
        <v>4.0730000000000004</v>
      </c>
      <c r="O795" s="408">
        <v>4.0730000000000004</v>
      </c>
      <c r="P795" s="408">
        <v>4.0730000000000004</v>
      </c>
      <c r="Q795" s="408">
        <v>4.0730000000000004</v>
      </c>
      <c r="R795" s="408"/>
      <c r="S795" s="408">
        <v>1358.36</v>
      </c>
      <c r="T795" s="408">
        <v>173.25</v>
      </c>
      <c r="U795" s="408"/>
      <c r="V795" s="408">
        <v>6238.2475300000006</v>
      </c>
      <c r="W795" s="408">
        <v>6238.2475300000006</v>
      </c>
      <c r="X795" s="408">
        <v>5469.7131600000002</v>
      </c>
      <c r="Y795" s="408">
        <v>0</v>
      </c>
      <c r="Z795" s="408">
        <v>218.08597211880084</v>
      </c>
      <c r="AA795" s="408">
        <v>0</v>
      </c>
      <c r="AB795" s="408">
        <v>0</v>
      </c>
      <c r="AC795" s="408">
        <v>77.151125790643434</v>
      </c>
      <c r="AD795" s="408">
        <v>74.125160329362032</v>
      </c>
      <c r="AE795" s="408">
        <v>4107.6519305278662</v>
      </c>
      <c r="AF795" s="408">
        <v>693.79673669397994</v>
      </c>
      <c r="AG795" s="408">
        <v>11.841162169894513</v>
      </c>
      <c r="AH795" s="408">
        <v>0</v>
      </c>
      <c r="AI795" s="408">
        <v>0</v>
      </c>
      <c r="AJ795" s="408">
        <v>0</v>
      </c>
      <c r="AK795" s="408">
        <v>0</v>
      </c>
      <c r="AL795" s="408">
        <v>38.730280319546395</v>
      </c>
      <c r="AM795" s="408"/>
      <c r="AN795" s="408">
        <v>3.2617147187360214</v>
      </c>
      <c r="AO795" s="408">
        <v>163.7786787936775</v>
      </c>
      <c r="AP795" s="408">
        <v>763.67162010014863</v>
      </c>
      <c r="AQ795" s="408">
        <v>0</v>
      </c>
      <c r="AR795" s="408">
        <v>0</v>
      </c>
      <c r="AS795" s="408">
        <v>0</v>
      </c>
      <c r="AT795" s="408">
        <v>0</v>
      </c>
      <c r="AU795" s="408">
        <v>0</v>
      </c>
      <c r="AV795" s="408">
        <v>0</v>
      </c>
      <c r="AW795" s="408">
        <v>0</v>
      </c>
      <c r="AX795" s="408">
        <v>0</v>
      </c>
      <c r="AY795" s="408">
        <v>0</v>
      </c>
      <c r="AZ795" s="408">
        <v>0</v>
      </c>
      <c r="BA795" s="408"/>
      <c r="BB795" s="408">
        <v>0</v>
      </c>
      <c r="BC795" s="408">
        <v>0</v>
      </c>
      <c r="BD795" s="408">
        <v>0</v>
      </c>
      <c r="BE795" s="408">
        <v>0</v>
      </c>
      <c r="BF795" s="408">
        <v>0</v>
      </c>
      <c r="BG795" s="408">
        <v>30.460568262579855</v>
      </c>
      <c r="BH795" s="408">
        <v>0</v>
      </c>
      <c r="BI795" s="408">
        <v>0</v>
      </c>
      <c r="BJ795" s="408">
        <v>0</v>
      </c>
      <c r="BK795" s="408">
        <v>0</v>
      </c>
      <c r="BL795" s="408">
        <v>0</v>
      </c>
      <c r="BM795" s="408"/>
      <c r="BN795" s="408"/>
      <c r="BO795" s="408"/>
      <c r="BP795" s="408"/>
      <c r="BQ795" s="408"/>
      <c r="BR795" s="408"/>
      <c r="BS795" s="408"/>
      <c r="BT795" s="408"/>
      <c r="BU795" s="408"/>
      <c r="BV795" s="408">
        <v>724.25730495655978</v>
      </c>
      <c r="BW795" s="408"/>
      <c r="BX795" s="408"/>
      <c r="BY795" s="408"/>
      <c r="BZ795" s="408"/>
      <c r="CA795" s="408"/>
      <c r="CB795" s="408"/>
      <c r="CC795" s="408"/>
      <c r="CD795" s="408"/>
      <c r="CE795" s="408"/>
      <c r="CF795" s="408"/>
      <c r="CG795" s="408"/>
      <c r="CH795" s="408"/>
      <c r="CI795" s="408">
        <v>5465.6844000000001</v>
      </c>
      <c r="CJ795" s="408">
        <v>-772.59313000000111</v>
      </c>
      <c r="CK795" s="408"/>
      <c r="CL795" s="408"/>
      <c r="CM795" s="408"/>
      <c r="CN795" s="408"/>
      <c r="CO795" s="408">
        <v>-856.47043999999994</v>
      </c>
      <c r="CP795" s="408">
        <v>87.936070000000029</v>
      </c>
      <c r="CQ795" s="408">
        <v>30</v>
      </c>
      <c r="CR795" s="408">
        <v>251.86092433761223</v>
      </c>
      <c r="CS795" s="408">
        <v>16.320195274260556</v>
      </c>
      <c r="CT795" s="408">
        <v>76.098244638708707</v>
      </c>
      <c r="CU795" s="408">
        <v>0</v>
      </c>
      <c r="CV795" s="408">
        <v>0</v>
      </c>
      <c r="CW795" s="408">
        <v>0</v>
      </c>
      <c r="CX795" s="408">
        <v>0</v>
      </c>
      <c r="CY795" s="408">
        <v>0</v>
      </c>
      <c r="CZ795" s="408">
        <v>76.324354727616125</v>
      </c>
      <c r="DA795" s="408">
        <v>0</v>
      </c>
      <c r="DB795" s="408">
        <v>0</v>
      </c>
      <c r="DC795" s="408">
        <v>87.926141509178819</v>
      </c>
      <c r="DD795" s="408">
        <v>0</v>
      </c>
      <c r="DE795" s="408">
        <v>0</v>
      </c>
      <c r="DF795" s="408">
        <v>0</v>
      </c>
      <c r="DG795" s="408">
        <v>3.8603240601388293</v>
      </c>
      <c r="DH795" s="408">
        <v>0</v>
      </c>
      <c r="DI795" s="408">
        <v>-7.4055095001780842</v>
      </c>
      <c r="DJ795" s="408"/>
      <c r="DK795" s="408">
        <v>0</v>
      </c>
      <c r="DL795" s="408">
        <v>0</v>
      </c>
      <c r="DM795" s="408">
        <v>0</v>
      </c>
      <c r="DN795" s="408">
        <v>0</v>
      </c>
      <c r="DO795" s="408">
        <v>-1.1705477988820121</v>
      </c>
      <c r="DP795" s="408">
        <v>-9.227857323049049E-2</v>
      </c>
      <c r="DQ795" s="408">
        <v>0</v>
      </c>
      <c r="DR795" s="408">
        <v>0</v>
      </c>
      <c r="DS795" s="408"/>
      <c r="DT795" s="408"/>
      <c r="DU795" s="408"/>
      <c r="DV795" s="408">
        <v>4107.6519305278662</v>
      </c>
      <c r="DW795" s="408">
        <v>0</v>
      </c>
      <c r="DX795" s="408">
        <v>0</v>
      </c>
      <c r="DY795" s="408">
        <v>-856.47044000000005</v>
      </c>
      <c r="DZ795" s="408">
        <v>87.936069999999972</v>
      </c>
      <c r="EA795" s="408">
        <v>0</v>
      </c>
      <c r="EB795" s="408">
        <v>0</v>
      </c>
      <c r="EC795" s="408">
        <v>-1020.4104158606187</v>
      </c>
      <c r="ED795" s="408">
        <v>0</v>
      </c>
      <c r="EE795" s="408">
        <v>0</v>
      </c>
      <c r="EF795" s="408">
        <v>0</v>
      </c>
      <c r="EG795" s="408">
        <v>0</v>
      </c>
      <c r="EH795" s="408">
        <v>0</v>
      </c>
      <c r="EI795" s="408">
        <v>0</v>
      </c>
      <c r="EJ795" s="408">
        <v>0</v>
      </c>
      <c r="EK795" s="408">
        <v>0</v>
      </c>
      <c r="EL795" s="408">
        <v>0</v>
      </c>
      <c r="EM795" s="408">
        <v>0</v>
      </c>
      <c r="EN795" s="408">
        <v>0</v>
      </c>
      <c r="EO795" s="408">
        <v>0</v>
      </c>
      <c r="EP795" s="408">
        <v>55.695267700067149</v>
      </c>
      <c r="EQ795" s="408">
        <v>0</v>
      </c>
      <c r="ER795" s="408">
        <v>0</v>
      </c>
      <c r="ES795" s="408">
        <v>0</v>
      </c>
      <c r="ET795" s="408">
        <v>0</v>
      </c>
      <c r="EU795" s="408">
        <v>0</v>
      </c>
      <c r="EV795" s="408">
        <v>240</v>
      </c>
      <c r="EW795" s="408">
        <v>0</v>
      </c>
      <c r="EX795" s="408">
        <v>0</v>
      </c>
      <c r="EY795" s="408">
        <v>0</v>
      </c>
      <c r="EZ795" s="408"/>
      <c r="FA795" s="408">
        <v>0</v>
      </c>
      <c r="FB795" s="408"/>
      <c r="FC795" s="408"/>
      <c r="FD795" s="408"/>
      <c r="FE795" s="408"/>
      <c r="FF795" s="408">
        <v>0</v>
      </c>
      <c r="FG795" s="408">
        <v>0</v>
      </c>
      <c r="FH795" s="408">
        <v>0</v>
      </c>
      <c r="FI795" s="408">
        <v>0</v>
      </c>
    </row>
    <row r="796" spans="1:165">
      <c r="A796" s="408">
        <v>794</v>
      </c>
      <c r="B796" s="408" t="s">
        <v>1036</v>
      </c>
      <c r="C796" s="408" t="s">
        <v>2243</v>
      </c>
      <c r="D796" s="408" t="s">
        <v>597</v>
      </c>
      <c r="E796" s="408" t="s">
        <v>998</v>
      </c>
      <c r="F796" s="408" t="s">
        <v>1322</v>
      </c>
      <c r="G796" s="408" t="s">
        <v>1322</v>
      </c>
      <c r="H796" s="408" t="s">
        <v>1322</v>
      </c>
      <c r="I796" s="408" t="s">
        <v>2244</v>
      </c>
      <c r="J796" s="408" t="s">
        <v>2236</v>
      </c>
      <c r="K796" s="826">
        <v>44713</v>
      </c>
      <c r="L796" s="408">
        <v>0</v>
      </c>
      <c r="M796" s="408">
        <v>0</v>
      </c>
      <c r="N796" s="408">
        <v>857.83699999999999</v>
      </c>
      <c r="O796" s="408">
        <v>857.83699999999999</v>
      </c>
      <c r="P796" s="408">
        <v>857.83699999999999</v>
      </c>
      <c r="Q796" s="408">
        <v>857.83699999999999</v>
      </c>
      <c r="R796" s="408"/>
      <c r="S796" s="408">
        <v>85.01</v>
      </c>
      <c r="T796" s="408">
        <v>173.25</v>
      </c>
      <c r="U796" s="408"/>
      <c r="V796" s="408">
        <v>221544.98362000001</v>
      </c>
      <c r="W796" s="408">
        <v>221544.98362000001</v>
      </c>
      <c r="X796" s="408">
        <v>239053.43679000001</v>
      </c>
      <c r="Y796" s="408">
        <v>0</v>
      </c>
      <c r="Z796" s="408">
        <v>45932.289728572483</v>
      </c>
      <c r="AA796" s="408">
        <v>0</v>
      </c>
      <c r="AB796" s="408">
        <v>0</v>
      </c>
      <c r="AC796" s="408">
        <v>0</v>
      </c>
      <c r="AD796" s="408">
        <v>0</v>
      </c>
      <c r="AE796" s="408">
        <v>0</v>
      </c>
      <c r="AF796" s="408">
        <v>146124.35826549315</v>
      </c>
      <c r="AG796" s="408">
        <v>2493.9324901389145</v>
      </c>
      <c r="AH796" s="408">
        <v>0</v>
      </c>
      <c r="AI796" s="408">
        <v>0</v>
      </c>
      <c r="AJ796" s="408">
        <v>0</v>
      </c>
      <c r="AK796" s="408">
        <v>0</v>
      </c>
      <c r="AL796" s="408">
        <v>8157.1980060099977</v>
      </c>
      <c r="AM796" s="408"/>
      <c r="AN796" s="408">
        <v>686.96773119969362</v>
      </c>
      <c r="AO796" s="408">
        <v>0</v>
      </c>
      <c r="AP796" s="408">
        <v>0</v>
      </c>
      <c r="AQ796" s="408">
        <v>0</v>
      </c>
      <c r="AR796" s="408">
        <v>0</v>
      </c>
      <c r="AS796" s="408">
        <v>0</v>
      </c>
      <c r="AT796" s="408">
        <v>0</v>
      </c>
      <c r="AU796" s="408">
        <v>0</v>
      </c>
      <c r="AV796" s="408">
        <v>0</v>
      </c>
      <c r="AW796" s="408">
        <v>0</v>
      </c>
      <c r="AX796" s="408">
        <v>0</v>
      </c>
      <c r="AY796" s="408">
        <v>0</v>
      </c>
      <c r="AZ796" s="408">
        <v>0</v>
      </c>
      <c r="BA796" s="408"/>
      <c r="BB796" s="408">
        <v>0</v>
      </c>
      <c r="BC796" s="408">
        <v>0</v>
      </c>
      <c r="BD796" s="408">
        <v>0</v>
      </c>
      <c r="BE796" s="408">
        <v>0</v>
      </c>
      <c r="BF796" s="408">
        <v>0</v>
      </c>
      <c r="BG796" s="408">
        <v>6415.4683271953627</v>
      </c>
      <c r="BH796" s="408">
        <v>0</v>
      </c>
      <c r="BI796" s="408">
        <v>0</v>
      </c>
      <c r="BJ796" s="408">
        <v>0</v>
      </c>
      <c r="BK796" s="408">
        <v>0</v>
      </c>
      <c r="BL796" s="408">
        <v>0</v>
      </c>
      <c r="BM796" s="408"/>
      <c r="BN796" s="408"/>
      <c r="BO796" s="408"/>
      <c r="BP796" s="408"/>
      <c r="BQ796" s="408"/>
      <c r="BR796" s="408"/>
      <c r="BS796" s="408"/>
      <c r="BT796" s="408"/>
      <c r="BU796" s="408"/>
      <c r="BV796" s="408">
        <v>152539.82659268851</v>
      </c>
      <c r="BW796" s="408"/>
      <c r="BX796" s="408"/>
      <c r="BY796" s="408"/>
      <c r="BZ796" s="408"/>
      <c r="CA796" s="408"/>
      <c r="CB796" s="408"/>
      <c r="CC796" s="408"/>
      <c r="CD796" s="408"/>
      <c r="CE796" s="408"/>
      <c r="CF796" s="408"/>
      <c r="CG796" s="408"/>
      <c r="CH796" s="408"/>
      <c r="CI796" s="408">
        <v>239054.27280000004</v>
      </c>
      <c r="CJ796" s="408">
        <v>17509.259180000052</v>
      </c>
      <c r="CK796" s="408"/>
      <c r="CL796" s="408"/>
      <c r="CM796" s="408"/>
      <c r="CN796" s="408"/>
      <c r="CO796" s="408">
        <v>-1012.2476600000058</v>
      </c>
      <c r="CP796" s="408">
        <v>18520.700830000002</v>
      </c>
      <c r="CQ796" s="408">
        <v>30</v>
      </c>
      <c r="CR796" s="408">
        <v>17505.967843090766</v>
      </c>
      <c r="CS796" s="408">
        <v>0</v>
      </c>
      <c r="CT796" s="408">
        <v>0</v>
      </c>
      <c r="CU796" s="408">
        <v>0</v>
      </c>
      <c r="CV796" s="408">
        <v>0</v>
      </c>
      <c r="CW796" s="408">
        <v>0</v>
      </c>
      <c r="CX796" s="408">
        <v>0</v>
      </c>
      <c r="CY796" s="408">
        <v>0</v>
      </c>
      <c r="CZ796" s="408">
        <v>0</v>
      </c>
      <c r="DA796" s="408">
        <v>0</v>
      </c>
      <c r="DB796" s="408">
        <v>0</v>
      </c>
      <c r="DC796" s="408">
        <v>18518.609735774487</v>
      </c>
      <c r="DD796" s="408">
        <v>0</v>
      </c>
      <c r="DE796" s="408">
        <v>0</v>
      </c>
      <c r="DF796" s="408">
        <v>0</v>
      </c>
      <c r="DG796" s="408">
        <v>813.04414701137102</v>
      </c>
      <c r="DH796" s="408">
        <v>0</v>
      </c>
      <c r="DI796" s="408">
        <v>-1559.7152106811336</v>
      </c>
      <c r="DJ796" s="408"/>
      <c r="DK796" s="408">
        <v>0</v>
      </c>
      <c r="DL796" s="408">
        <v>0</v>
      </c>
      <c r="DM796" s="408">
        <v>0</v>
      </c>
      <c r="DN796" s="408">
        <v>0</v>
      </c>
      <c r="DO796" s="408">
        <v>-246.53552962179037</v>
      </c>
      <c r="DP796" s="408">
        <v>-19.435299392173874</v>
      </c>
      <c r="DQ796" s="408">
        <v>0</v>
      </c>
      <c r="DR796" s="408">
        <v>0</v>
      </c>
      <c r="DS796" s="408"/>
      <c r="DT796" s="408"/>
      <c r="DU796" s="408"/>
      <c r="DV796" s="408">
        <v>0</v>
      </c>
      <c r="DW796" s="408">
        <v>0</v>
      </c>
      <c r="DX796" s="408">
        <v>0</v>
      </c>
      <c r="DY796" s="408">
        <v>-1012.2476600000082</v>
      </c>
      <c r="DZ796" s="408">
        <v>18520.700830000016</v>
      </c>
      <c r="EA796" s="408">
        <v>0</v>
      </c>
      <c r="EB796" s="408">
        <v>0</v>
      </c>
      <c r="EC796" s="408">
        <v>0</v>
      </c>
      <c r="ED796" s="408">
        <v>0</v>
      </c>
      <c r="EE796" s="408">
        <v>0</v>
      </c>
      <c r="EF796" s="408">
        <v>0</v>
      </c>
      <c r="EG796" s="408">
        <v>0</v>
      </c>
      <c r="EH796" s="408">
        <v>0</v>
      </c>
      <c r="EI796" s="408">
        <v>0</v>
      </c>
      <c r="EJ796" s="408">
        <v>0</v>
      </c>
      <c r="EK796" s="408">
        <v>0</v>
      </c>
      <c r="EL796" s="408">
        <v>0</v>
      </c>
      <c r="EM796" s="408">
        <v>0</v>
      </c>
      <c r="EN796" s="408">
        <v>0</v>
      </c>
      <c r="EO796" s="408">
        <v>0</v>
      </c>
      <c r="EP796" s="408">
        <v>11730.287590970414</v>
      </c>
      <c r="EQ796" s="408">
        <v>0</v>
      </c>
      <c r="ER796" s="408">
        <v>0</v>
      </c>
      <c r="ES796" s="408">
        <v>0</v>
      </c>
      <c r="ET796" s="408">
        <v>0</v>
      </c>
      <c r="EU796" s="408">
        <v>0</v>
      </c>
      <c r="EV796" s="408">
        <v>240</v>
      </c>
      <c r="EW796" s="408">
        <v>0</v>
      </c>
      <c r="EX796" s="408">
        <v>0</v>
      </c>
      <c r="EY796" s="408">
        <v>0</v>
      </c>
      <c r="EZ796" s="408"/>
      <c r="FA796" s="408">
        <v>0</v>
      </c>
      <c r="FB796" s="408"/>
      <c r="FC796" s="408"/>
      <c r="FD796" s="408"/>
      <c r="FE796" s="408"/>
      <c r="FF796" s="408">
        <v>0</v>
      </c>
      <c r="FG796" s="408">
        <v>0</v>
      </c>
      <c r="FH796" s="408">
        <v>0</v>
      </c>
      <c r="FI796" s="408">
        <v>0</v>
      </c>
    </row>
    <row r="797" spans="1:165">
      <c r="A797" s="408">
        <v>795</v>
      </c>
      <c r="B797" s="408" t="s">
        <v>2238</v>
      </c>
      <c r="C797" s="408" t="s">
        <v>2243</v>
      </c>
      <c r="D797" s="408" t="s">
        <v>597</v>
      </c>
      <c r="E797" s="408" t="s">
        <v>998</v>
      </c>
      <c r="F797" s="408" t="s">
        <v>1322</v>
      </c>
      <c r="G797" s="408" t="s">
        <v>1322</v>
      </c>
      <c r="H797" s="408" t="s">
        <v>1322</v>
      </c>
      <c r="I797" s="408" t="s">
        <v>2244</v>
      </c>
      <c r="J797" s="408" t="s">
        <v>2236</v>
      </c>
      <c r="K797" s="826">
        <v>44713</v>
      </c>
      <c r="L797" s="408">
        <v>0</v>
      </c>
      <c r="M797" s="408">
        <v>0</v>
      </c>
      <c r="N797" s="408">
        <v>66.385999999999996</v>
      </c>
      <c r="O797" s="408">
        <v>66.385999999999996</v>
      </c>
      <c r="P797" s="408">
        <v>66.385999999999996</v>
      </c>
      <c r="Q797" s="408">
        <v>66.385999999999996</v>
      </c>
      <c r="R797" s="408"/>
      <c r="S797" s="408">
        <v>85.01</v>
      </c>
      <c r="T797" s="408">
        <v>173.25</v>
      </c>
      <c r="U797" s="408"/>
      <c r="V797" s="408">
        <v>17144.84836</v>
      </c>
      <c r="W797" s="408">
        <v>17144.84836</v>
      </c>
      <c r="X797" s="408">
        <v>18499.786619999999</v>
      </c>
      <c r="Y797" s="408">
        <v>0</v>
      </c>
      <c r="Z797" s="408">
        <v>3554.5925227298576</v>
      </c>
      <c r="AA797" s="408">
        <v>0</v>
      </c>
      <c r="AB797" s="408">
        <v>0</v>
      </c>
      <c r="AC797" s="408">
        <v>0</v>
      </c>
      <c r="AD797" s="408">
        <v>0</v>
      </c>
      <c r="AE797" s="408">
        <v>0</v>
      </c>
      <c r="AF797" s="408">
        <v>11308.222480276589</v>
      </c>
      <c r="AG797" s="408">
        <v>192.99960515851143</v>
      </c>
      <c r="AH797" s="408">
        <v>0</v>
      </c>
      <c r="AI797" s="408">
        <v>0</v>
      </c>
      <c r="AJ797" s="408">
        <v>0</v>
      </c>
      <c r="AK797" s="408">
        <v>0</v>
      </c>
      <c r="AL797" s="408">
        <v>631.26648399052465</v>
      </c>
      <c r="AM797" s="408"/>
      <c r="AN797" s="408">
        <v>53.162826741470532</v>
      </c>
      <c r="AO797" s="408">
        <v>0</v>
      </c>
      <c r="AP797" s="408">
        <v>0</v>
      </c>
      <c r="AQ797" s="408">
        <v>0</v>
      </c>
      <c r="AR797" s="408">
        <v>0</v>
      </c>
      <c r="AS797" s="408">
        <v>0</v>
      </c>
      <c r="AT797" s="408">
        <v>0</v>
      </c>
      <c r="AU797" s="408">
        <v>0</v>
      </c>
      <c r="AV797" s="408">
        <v>0</v>
      </c>
      <c r="AW797" s="408">
        <v>0</v>
      </c>
      <c r="AX797" s="408">
        <v>0</v>
      </c>
      <c r="AY797" s="408">
        <v>0</v>
      </c>
      <c r="AZ797" s="408">
        <v>0</v>
      </c>
      <c r="BA797" s="408"/>
      <c r="BB797" s="408">
        <v>0</v>
      </c>
      <c r="BC797" s="408">
        <v>0</v>
      </c>
      <c r="BD797" s="408">
        <v>0</v>
      </c>
      <c r="BE797" s="408">
        <v>0</v>
      </c>
      <c r="BF797" s="408">
        <v>0</v>
      </c>
      <c r="BG797" s="408">
        <v>496.47809591937784</v>
      </c>
      <c r="BH797" s="408">
        <v>0</v>
      </c>
      <c r="BI797" s="408">
        <v>0</v>
      </c>
      <c r="BJ797" s="408">
        <v>0</v>
      </c>
      <c r="BK797" s="408">
        <v>0</v>
      </c>
      <c r="BL797" s="408">
        <v>0</v>
      </c>
      <c r="BM797" s="408"/>
      <c r="BN797" s="408"/>
      <c r="BO797" s="408"/>
      <c r="BP797" s="408"/>
      <c r="BQ797" s="408"/>
      <c r="BR797" s="408"/>
      <c r="BS797" s="408"/>
      <c r="BT797" s="408"/>
      <c r="BU797" s="408"/>
      <c r="BV797" s="408">
        <v>11804.700576195966</v>
      </c>
      <c r="BW797" s="408"/>
      <c r="BX797" s="408"/>
      <c r="BY797" s="408"/>
      <c r="BZ797" s="408"/>
      <c r="CA797" s="408"/>
      <c r="CB797" s="408"/>
      <c r="CC797" s="408"/>
      <c r="CD797" s="408"/>
      <c r="CE797" s="408"/>
      <c r="CF797" s="408"/>
      <c r="CG797" s="408"/>
      <c r="CH797" s="408"/>
      <c r="CI797" s="408">
        <v>18500.901300000001</v>
      </c>
      <c r="CJ797" s="408">
        <v>1356.0229400000026</v>
      </c>
      <c r="CK797" s="408"/>
      <c r="CL797" s="408"/>
      <c r="CM797" s="408"/>
      <c r="CN797" s="408"/>
      <c r="CO797" s="408">
        <v>-78.335480000000445</v>
      </c>
      <c r="CP797" s="408">
        <v>1433.2737400000001</v>
      </c>
      <c r="CQ797" s="408">
        <v>30</v>
      </c>
      <c r="CR797" s="408">
        <v>1354.7459263606252</v>
      </c>
      <c r="CS797" s="408">
        <v>0</v>
      </c>
      <c r="CT797" s="408">
        <v>0</v>
      </c>
      <c r="CU797" s="408">
        <v>0</v>
      </c>
      <c r="CV797" s="408">
        <v>0</v>
      </c>
      <c r="CW797" s="408">
        <v>0</v>
      </c>
      <c r="CX797" s="408">
        <v>0</v>
      </c>
      <c r="CY797" s="408">
        <v>0</v>
      </c>
      <c r="CZ797" s="408">
        <v>0</v>
      </c>
      <c r="DA797" s="408">
        <v>0</v>
      </c>
      <c r="DB797" s="408">
        <v>0</v>
      </c>
      <c r="DC797" s="408">
        <v>1433.111915106394</v>
      </c>
      <c r="DD797" s="408">
        <v>0</v>
      </c>
      <c r="DE797" s="408">
        <v>0</v>
      </c>
      <c r="DF797" s="408">
        <v>0</v>
      </c>
      <c r="DG797" s="408">
        <v>62.919585822827514</v>
      </c>
      <c r="DH797" s="408">
        <v>0</v>
      </c>
      <c r="DI797" s="408">
        <v>-120.70271389119125</v>
      </c>
      <c r="DJ797" s="408"/>
      <c r="DK797" s="408">
        <v>0</v>
      </c>
      <c r="DL797" s="408">
        <v>0</v>
      </c>
      <c r="DM797" s="408">
        <v>0</v>
      </c>
      <c r="DN797" s="408">
        <v>0</v>
      </c>
      <c r="DO797" s="408">
        <v>-19.078808292801796</v>
      </c>
      <c r="DP797" s="408">
        <v>-1.5040523846008682</v>
      </c>
      <c r="DQ797" s="408">
        <v>0</v>
      </c>
      <c r="DR797" s="408">
        <v>0</v>
      </c>
      <c r="DS797" s="408"/>
      <c r="DT797" s="408"/>
      <c r="DU797" s="408"/>
      <c r="DV797" s="408">
        <v>0</v>
      </c>
      <c r="DW797" s="408">
        <v>0</v>
      </c>
      <c r="DX797" s="408">
        <v>0</v>
      </c>
      <c r="DY797" s="408">
        <v>-78.335480000000643</v>
      </c>
      <c r="DZ797" s="408">
        <v>1433.2737399999987</v>
      </c>
      <c r="EA797" s="408">
        <v>0</v>
      </c>
      <c r="EB797" s="408">
        <v>0</v>
      </c>
      <c r="EC797" s="408">
        <v>0</v>
      </c>
      <c r="ED797" s="408">
        <v>0</v>
      </c>
      <c r="EE797" s="408">
        <v>0</v>
      </c>
      <c r="EF797" s="408">
        <v>0</v>
      </c>
      <c r="EG797" s="408">
        <v>0</v>
      </c>
      <c r="EH797" s="408">
        <v>0</v>
      </c>
      <c r="EI797" s="408">
        <v>0</v>
      </c>
      <c r="EJ797" s="408">
        <v>0</v>
      </c>
      <c r="EK797" s="408">
        <v>0</v>
      </c>
      <c r="EL797" s="408">
        <v>0</v>
      </c>
      <c r="EM797" s="408">
        <v>0</v>
      </c>
      <c r="EN797" s="408">
        <v>0</v>
      </c>
      <c r="EO797" s="408">
        <v>0</v>
      </c>
      <c r="EP797" s="408">
        <v>907.77953389065965</v>
      </c>
      <c r="EQ797" s="408">
        <v>0</v>
      </c>
      <c r="ER797" s="408">
        <v>0</v>
      </c>
      <c r="ES797" s="408">
        <v>0</v>
      </c>
      <c r="ET797" s="408">
        <v>0</v>
      </c>
      <c r="EU797" s="408">
        <v>0</v>
      </c>
      <c r="EV797" s="408">
        <v>240</v>
      </c>
      <c r="EW797" s="408">
        <v>0</v>
      </c>
      <c r="EX797" s="408">
        <v>0</v>
      </c>
      <c r="EY797" s="408">
        <v>0</v>
      </c>
      <c r="EZ797" s="408"/>
      <c r="FA797" s="408">
        <v>0</v>
      </c>
      <c r="FB797" s="408"/>
      <c r="FC797" s="408"/>
      <c r="FD797" s="408"/>
      <c r="FE797" s="408"/>
      <c r="FF797" s="408">
        <v>0</v>
      </c>
      <c r="FG797" s="408">
        <v>0</v>
      </c>
      <c r="FH797" s="408">
        <v>0</v>
      </c>
      <c r="FI797" s="408">
        <v>0</v>
      </c>
    </row>
    <row r="798" spans="1:165">
      <c r="A798" s="408">
        <v>796</v>
      </c>
      <c r="B798" s="408" t="s">
        <v>1036</v>
      </c>
      <c r="C798" s="408" t="s">
        <v>2243</v>
      </c>
      <c r="D798" s="408" t="s">
        <v>597</v>
      </c>
      <c r="E798" s="408" t="s">
        <v>998</v>
      </c>
      <c r="F798" s="408" t="s">
        <v>1322</v>
      </c>
      <c r="G798" s="408" t="s">
        <v>1322</v>
      </c>
      <c r="H798" s="408" t="s">
        <v>1322</v>
      </c>
      <c r="I798" s="408" t="s">
        <v>1322</v>
      </c>
      <c r="J798" s="408" t="s">
        <v>2236</v>
      </c>
      <c r="K798" s="826">
        <v>44713</v>
      </c>
      <c r="L798" s="408">
        <v>4362</v>
      </c>
      <c r="M798" s="408">
        <v>4362</v>
      </c>
      <c r="N798" s="408">
        <v>0</v>
      </c>
      <c r="O798" s="408">
        <v>0</v>
      </c>
      <c r="P798" s="408">
        <v>0</v>
      </c>
      <c r="Q798" s="408">
        <v>0</v>
      </c>
      <c r="R798" s="408">
        <v>27.19</v>
      </c>
      <c r="S798" s="408"/>
      <c r="T798" s="408"/>
      <c r="U798" s="408">
        <v>118602.78</v>
      </c>
      <c r="V798" s="408"/>
      <c r="W798" s="408">
        <v>118602.78</v>
      </c>
      <c r="X798" s="408">
        <v>94917.12000000001</v>
      </c>
      <c r="Y798" s="408">
        <v>0</v>
      </c>
      <c r="Z798" s="408">
        <v>0</v>
      </c>
      <c r="AA798" s="408">
        <v>0</v>
      </c>
      <c r="AB798" s="408">
        <v>0</v>
      </c>
      <c r="AC798" s="408">
        <v>1017.2210757710342</v>
      </c>
      <c r="AD798" s="408">
        <v>977.23996933378953</v>
      </c>
      <c r="AE798" s="408">
        <v>104391.51592066174</v>
      </c>
      <c r="AF798" s="408"/>
      <c r="AG798" s="408"/>
      <c r="AH798" s="408"/>
      <c r="AI798" s="408">
        <v>0</v>
      </c>
      <c r="AJ798" s="408">
        <v>0</v>
      </c>
      <c r="AK798" s="408">
        <v>0</v>
      </c>
      <c r="AL798" s="408">
        <v>0</v>
      </c>
      <c r="AM798" s="408"/>
      <c r="AN798" s="408">
        <v>0</v>
      </c>
      <c r="AO798" s="408">
        <v>2158.6876332166039</v>
      </c>
      <c r="AP798" s="408">
        <v>10067.88353321612</v>
      </c>
      <c r="AQ798" s="408">
        <v>0</v>
      </c>
      <c r="AR798" s="408">
        <v>0</v>
      </c>
      <c r="AS798" s="408"/>
      <c r="AT798" s="408"/>
      <c r="AU798" s="408">
        <v>0</v>
      </c>
      <c r="AV798" s="408">
        <v>0</v>
      </c>
      <c r="AW798" s="408">
        <v>0</v>
      </c>
      <c r="AX798" s="408"/>
      <c r="AY798" s="408"/>
      <c r="AZ798" s="408">
        <v>0</v>
      </c>
      <c r="BA798" s="408"/>
      <c r="BB798" s="408">
        <v>0</v>
      </c>
      <c r="BC798" s="408">
        <v>0</v>
      </c>
      <c r="BD798" s="408">
        <v>0</v>
      </c>
      <c r="BE798" s="408">
        <v>0</v>
      </c>
      <c r="BF798" s="408"/>
      <c r="BG798" s="408">
        <v>0</v>
      </c>
      <c r="BH798" s="408">
        <v>0</v>
      </c>
      <c r="BI798" s="408">
        <v>443.6</v>
      </c>
      <c r="BJ798" s="408">
        <v>4881.83</v>
      </c>
      <c r="BK798" s="408">
        <v>136883.26</v>
      </c>
      <c r="BL798" s="408">
        <v>43</v>
      </c>
      <c r="BM798" s="408"/>
      <c r="BN798" s="408"/>
      <c r="BO798" s="408"/>
      <c r="BP798" s="408"/>
      <c r="BQ798" s="408"/>
      <c r="BR798" s="408"/>
      <c r="BS798" s="408"/>
      <c r="BT798" s="408"/>
      <c r="BU798" s="408"/>
      <c r="BV798" s="408">
        <v>0</v>
      </c>
      <c r="BW798" s="408"/>
      <c r="BX798" s="408"/>
      <c r="BY798" s="408"/>
      <c r="BZ798" s="408"/>
      <c r="CA798" s="408"/>
      <c r="CB798" s="408"/>
      <c r="CC798" s="408"/>
      <c r="CD798" s="408"/>
      <c r="CE798" s="408"/>
      <c r="CF798" s="408"/>
      <c r="CG798" s="408"/>
      <c r="CH798" s="408"/>
      <c r="CI798" s="408">
        <v>94917.12000000001</v>
      </c>
      <c r="CJ798" s="408">
        <v>-23685.689999999973</v>
      </c>
      <c r="CK798" s="408"/>
      <c r="CL798" s="408"/>
      <c r="CM798" s="408"/>
      <c r="CN798" s="408"/>
      <c r="CO798" s="408">
        <v>-23685.66</v>
      </c>
      <c r="CP798" s="408">
        <v>0</v>
      </c>
      <c r="CQ798" s="408">
        <v>30</v>
      </c>
      <c r="CR798" s="408">
        <v>2224.5850557501963</v>
      </c>
      <c r="CS798" s="408">
        <v>215.1086085790721</v>
      </c>
      <c r="CT798" s="408">
        <v>1003.2430745615802</v>
      </c>
      <c r="CU798" s="408">
        <v>0</v>
      </c>
      <c r="CV798" s="408">
        <v>0</v>
      </c>
      <c r="CW798" s="408"/>
      <c r="CX798" s="408"/>
      <c r="CY798" s="408"/>
      <c r="CZ798" s="408">
        <v>1006.2333726095426</v>
      </c>
      <c r="DA798" s="408">
        <v>0</v>
      </c>
      <c r="DB798" s="408">
        <v>0</v>
      </c>
      <c r="DC798" s="408"/>
      <c r="DD798" s="408"/>
      <c r="DE798" s="408">
        <v>0</v>
      </c>
      <c r="DF798" s="408">
        <v>0</v>
      </c>
      <c r="DG798" s="408">
        <v>0</v>
      </c>
      <c r="DH798" s="408">
        <v>0</v>
      </c>
      <c r="DI798" s="408">
        <v>0</v>
      </c>
      <c r="DJ798" s="408"/>
      <c r="DK798" s="408">
        <v>0</v>
      </c>
      <c r="DL798" s="408">
        <v>0</v>
      </c>
      <c r="DM798" s="408"/>
      <c r="DN798" s="408">
        <v>0</v>
      </c>
      <c r="DO798" s="408">
        <v>0</v>
      </c>
      <c r="DP798" s="408">
        <v>0</v>
      </c>
      <c r="DQ798" s="408">
        <v>0</v>
      </c>
      <c r="DR798" s="408">
        <v>0</v>
      </c>
      <c r="DS798" s="408"/>
      <c r="DT798" s="408"/>
      <c r="DU798" s="408">
        <v>104391.51592066174</v>
      </c>
      <c r="DV798" s="408"/>
      <c r="DW798" s="408">
        <v>0</v>
      </c>
      <c r="DX798" s="408">
        <v>0</v>
      </c>
      <c r="DY798" s="408">
        <v>-23685.659999999989</v>
      </c>
      <c r="DZ798" s="408"/>
      <c r="EA798" s="408">
        <v>0</v>
      </c>
      <c r="EB798" s="408"/>
      <c r="EC798" s="408">
        <v>-25932.623302683962</v>
      </c>
      <c r="ED798" s="408"/>
      <c r="EE798" s="408">
        <v>0</v>
      </c>
      <c r="EF798" s="408">
        <v>0</v>
      </c>
      <c r="EG798" s="408"/>
      <c r="EH798" s="408">
        <v>0</v>
      </c>
      <c r="EI798" s="408">
        <v>0</v>
      </c>
      <c r="EJ798" s="408">
        <v>0</v>
      </c>
      <c r="EK798" s="408">
        <v>0</v>
      </c>
      <c r="EL798" s="408">
        <v>0</v>
      </c>
      <c r="EM798" s="408"/>
      <c r="EN798" s="408"/>
      <c r="EO798" s="408">
        <v>0</v>
      </c>
      <c r="EP798" s="408">
        <v>0</v>
      </c>
      <c r="EQ798" s="408"/>
      <c r="ER798" s="408">
        <v>0</v>
      </c>
      <c r="ES798" s="408"/>
      <c r="ET798" s="408">
        <v>0</v>
      </c>
      <c r="EU798" s="408"/>
      <c r="EV798" s="408">
        <v>240</v>
      </c>
      <c r="EW798" s="408"/>
      <c r="EX798" s="408"/>
      <c r="EY798" s="408"/>
      <c r="EZ798" s="408"/>
      <c r="FA798" s="408">
        <v>0</v>
      </c>
      <c r="FB798" s="408"/>
      <c r="FC798" s="408"/>
      <c r="FD798" s="408"/>
      <c r="FE798" s="408"/>
      <c r="FF798" s="408">
        <v>0</v>
      </c>
      <c r="FG798" s="408">
        <v>0</v>
      </c>
      <c r="FH798" s="408">
        <v>0</v>
      </c>
      <c r="FI798" s="408">
        <v>0</v>
      </c>
    </row>
    <row r="799" spans="1:165">
      <c r="A799" s="408">
        <v>797</v>
      </c>
      <c r="B799" s="408" t="s">
        <v>2238</v>
      </c>
      <c r="C799" s="408" t="s">
        <v>2243</v>
      </c>
      <c r="D799" s="408" t="s">
        <v>597</v>
      </c>
      <c r="E799" s="408" t="s">
        <v>998</v>
      </c>
      <c r="F799" s="408" t="s">
        <v>1322</v>
      </c>
      <c r="G799" s="408" t="s">
        <v>1322</v>
      </c>
      <c r="H799" s="408" t="s">
        <v>1322</v>
      </c>
      <c r="I799" s="408" t="s">
        <v>1322</v>
      </c>
      <c r="J799" s="408" t="s">
        <v>2236</v>
      </c>
      <c r="K799" s="826">
        <v>44713</v>
      </c>
      <c r="L799" s="408">
        <v>532</v>
      </c>
      <c r="M799" s="408">
        <v>532</v>
      </c>
      <c r="N799" s="408">
        <v>0</v>
      </c>
      <c r="O799" s="408">
        <v>0</v>
      </c>
      <c r="P799" s="408">
        <v>0</v>
      </c>
      <c r="Q799" s="408">
        <v>0</v>
      </c>
      <c r="R799" s="408">
        <v>27.19</v>
      </c>
      <c r="S799" s="408"/>
      <c r="T799" s="408"/>
      <c r="U799" s="408">
        <v>14465.08</v>
      </c>
      <c r="V799" s="408"/>
      <c r="W799" s="408">
        <v>14465.08</v>
      </c>
      <c r="X799" s="408">
        <v>11576.320000000002</v>
      </c>
      <c r="Y799" s="408">
        <v>0</v>
      </c>
      <c r="Z799" s="408">
        <v>0</v>
      </c>
      <c r="AA799" s="408">
        <v>0</v>
      </c>
      <c r="AB799" s="408">
        <v>0</v>
      </c>
      <c r="AC799" s="408">
        <v>124.06272634346405</v>
      </c>
      <c r="AD799" s="408">
        <v>119.18653454506557</v>
      </c>
      <c r="AE799" s="408">
        <v>12731.840089360854</v>
      </c>
      <c r="AF799" s="408"/>
      <c r="AG799" s="408"/>
      <c r="AH799" s="408"/>
      <c r="AI799" s="408">
        <v>0</v>
      </c>
      <c r="AJ799" s="408">
        <v>0</v>
      </c>
      <c r="AK799" s="408">
        <v>0</v>
      </c>
      <c r="AL799" s="408">
        <v>0</v>
      </c>
      <c r="AM799" s="408"/>
      <c r="AN799" s="408">
        <v>0</v>
      </c>
      <c r="AO799" s="408">
        <v>263.27873014012687</v>
      </c>
      <c r="AP799" s="408">
        <v>1227.9032644821127</v>
      </c>
      <c r="AQ799" s="408">
        <v>0</v>
      </c>
      <c r="AR799" s="408">
        <v>0</v>
      </c>
      <c r="AS799" s="408"/>
      <c r="AT799" s="408"/>
      <c r="AU799" s="408">
        <v>0</v>
      </c>
      <c r="AV799" s="408">
        <v>0</v>
      </c>
      <c r="AW799" s="408">
        <v>0</v>
      </c>
      <c r="AX799" s="408"/>
      <c r="AY799" s="408"/>
      <c r="AZ799" s="408">
        <v>0</v>
      </c>
      <c r="BA799" s="408"/>
      <c r="BB799" s="408">
        <v>0</v>
      </c>
      <c r="BC799" s="408">
        <v>0</v>
      </c>
      <c r="BD799" s="408">
        <v>0</v>
      </c>
      <c r="BE799" s="408">
        <v>0</v>
      </c>
      <c r="BF799" s="408"/>
      <c r="BG799" s="408">
        <v>0</v>
      </c>
      <c r="BH799" s="408">
        <v>0</v>
      </c>
      <c r="BI799" s="408">
        <v>36.090000000000003</v>
      </c>
      <c r="BJ799" s="408">
        <v>397.2</v>
      </c>
      <c r="BK799" s="408">
        <v>11732.77</v>
      </c>
      <c r="BL799" s="408">
        <v>5</v>
      </c>
      <c r="BM799" s="408"/>
      <c r="BN799" s="408"/>
      <c r="BO799" s="408"/>
      <c r="BP799" s="408"/>
      <c r="BQ799" s="408"/>
      <c r="BR799" s="408"/>
      <c r="BS799" s="408"/>
      <c r="BT799" s="408"/>
      <c r="BU799" s="408"/>
      <c r="BV799" s="408">
        <v>0</v>
      </c>
      <c r="BW799" s="408"/>
      <c r="BX799" s="408"/>
      <c r="BY799" s="408"/>
      <c r="BZ799" s="408"/>
      <c r="CA799" s="408"/>
      <c r="CB799" s="408"/>
      <c r="CC799" s="408"/>
      <c r="CD799" s="408"/>
      <c r="CE799" s="408"/>
      <c r="CF799" s="408"/>
      <c r="CG799" s="408"/>
      <c r="CH799" s="408"/>
      <c r="CI799" s="408">
        <v>11576.320000000002</v>
      </c>
      <c r="CJ799" s="408">
        <v>-2888.7899999999991</v>
      </c>
      <c r="CK799" s="408"/>
      <c r="CL799" s="408"/>
      <c r="CM799" s="408"/>
      <c r="CN799" s="408"/>
      <c r="CO799" s="408">
        <v>-2888.7599999999998</v>
      </c>
      <c r="CP799" s="408">
        <v>0</v>
      </c>
      <c r="CQ799" s="408">
        <v>30</v>
      </c>
      <c r="CR799" s="408">
        <v>271.31573811533781</v>
      </c>
      <c r="CS799" s="408">
        <v>26.235162715283366</v>
      </c>
      <c r="CT799" s="408">
        <v>122.35793573286583</v>
      </c>
      <c r="CU799" s="408">
        <v>0</v>
      </c>
      <c r="CV799" s="408">
        <v>0</v>
      </c>
      <c r="CW799" s="408"/>
      <c r="CX799" s="408"/>
      <c r="CY799" s="408"/>
      <c r="CZ799" s="408">
        <v>122.72263966718862</v>
      </c>
      <c r="DA799" s="408">
        <v>0</v>
      </c>
      <c r="DB799" s="408">
        <v>0</v>
      </c>
      <c r="DC799" s="408"/>
      <c r="DD799" s="408"/>
      <c r="DE799" s="408">
        <v>0</v>
      </c>
      <c r="DF799" s="408">
        <v>0</v>
      </c>
      <c r="DG799" s="408">
        <v>0</v>
      </c>
      <c r="DH799" s="408">
        <v>0</v>
      </c>
      <c r="DI799" s="408">
        <v>0</v>
      </c>
      <c r="DJ799" s="408"/>
      <c r="DK799" s="408">
        <v>0</v>
      </c>
      <c r="DL799" s="408">
        <v>0</v>
      </c>
      <c r="DM799" s="408"/>
      <c r="DN799" s="408">
        <v>0</v>
      </c>
      <c r="DO799" s="408">
        <v>0</v>
      </c>
      <c r="DP799" s="408">
        <v>0</v>
      </c>
      <c r="DQ799" s="408">
        <v>0</v>
      </c>
      <c r="DR799" s="408">
        <v>0</v>
      </c>
      <c r="DS799" s="408"/>
      <c r="DT799" s="408"/>
      <c r="DU799" s="408">
        <v>12731.840089360854</v>
      </c>
      <c r="DV799" s="408"/>
      <c r="DW799" s="408">
        <v>0</v>
      </c>
      <c r="DX799" s="408">
        <v>0</v>
      </c>
      <c r="DY799" s="408">
        <v>-2888.7599999999984</v>
      </c>
      <c r="DZ799" s="408"/>
      <c r="EA799" s="408">
        <v>0</v>
      </c>
      <c r="EB799" s="408"/>
      <c r="EC799" s="408">
        <v>-3162.8050428766328</v>
      </c>
      <c r="ED799" s="408"/>
      <c r="EE799" s="408">
        <v>0</v>
      </c>
      <c r="EF799" s="408">
        <v>0</v>
      </c>
      <c r="EG799" s="408"/>
      <c r="EH799" s="408">
        <v>0</v>
      </c>
      <c r="EI799" s="408">
        <v>0</v>
      </c>
      <c r="EJ799" s="408">
        <v>0</v>
      </c>
      <c r="EK799" s="408">
        <v>0</v>
      </c>
      <c r="EL799" s="408">
        <v>0</v>
      </c>
      <c r="EM799" s="408"/>
      <c r="EN799" s="408"/>
      <c r="EO799" s="408">
        <v>0</v>
      </c>
      <c r="EP799" s="408">
        <v>0</v>
      </c>
      <c r="EQ799" s="408"/>
      <c r="ER799" s="408">
        <v>0</v>
      </c>
      <c r="ES799" s="408"/>
      <c r="ET799" s="408">
        <v>0</v>
      </c>
      <c r="EU799" s="408"/>
      <c r="EV799" s="408">
        <v>240</v>
      </c>
      <c r="EW799" s="408"/>
      <c r="EX799" s="408"/>
      <c r="EY799" s="408"/>
      <c r="EZ799" s="408"/>
      <c r="FA799" s="408">
        <v>0</v>
      </c>
      <c r="FB799" s="408"/>
      <c r="FC799" s="408"/>
      <c r="FD799" s="408"/>
      <c r="FE799" s="408"/>
      <c r="FF799" s="408">
        <v>0</v>
      </c>
      <c r="FG799" s="408">
        <v>0</v>
      </c>
      <c r="FH799" s="408">
        <v>0</v>
      </c>
      <c r="FI799" s="408">
        <v>0</v>
      </c>
    </row>
    <row r="800" spans="1:165">
      <c r="A800" s="408">
        <v>798</v>
      </c>
      <c r="B800" s="408" t="s">
        <v>1036</v>
      </c>
      <c r="C800" s="408" t="s">
        <v>2316</v>
      </c>
      <c r="D800" s="408" t="s">
        <v>1958</v>
      </c>
      <c r="E800" s="408" t="s">
        <v>998</v>
      </c>
      <c r="F800" s="408" t="s">
        <v>1322</v>
      </c>
      <c r="G800" s="408" t="s">
        <v>1322</v>
      </c>
      <c r="H800" s="408" t="s">
        <v>1322</v>
      </c>
      <c r="I800" s="408" t="s">
        <v>973</v>
      </c>
      <c r="J800" s="408" t="s">
        <v>2236</v>
      </c>
      <c r="K800" s="826">
        <v>44713</v>
      </c>
      <c r="L800" s="408">
        <v>0</v>
      </c>
      <c r="M800" s="408">
        <v>0</v>
      </c>
      <c r="N800" s="408">
        <v>0.622</v>
      </c>
      <c r="O800" s="408">
        <v>0.622</v>
      </c>
      <c r="P800" s="408">
        <v>0.622</v>
      </c>
      <c r="Q800" s="408">
        <v>0.622</v>
      </c>
      <c r="R800" s="408"/>
      <c r="S800" s="408">
        <v>1553.42</v>
      </c>
      <c r="T800" s="408">
        <v>173.25</v>
      </c>
      <c r="U800" s="408"/>
      <c r="V800" s="408">
        <v>1073.98874</v>
      </c>
      <c r="W800" s="408">
        <v>1073.98874</v>
      </c>
      <c r="X800" s="408">
        <v>1018.98528</v>
      </c>
      <c r="Y800" s="408">
        <v>0</v>
      </c>
      <c r="Z800" s="408">
        <v>38.281103950008387</v>
      </c>
      <c r="AA800" s="408">
        <v>0</v>
      </c>
      <c r="AB800" s="408">
        <v>0</v>
      </c>
      <c r="AC800" s="408">
        <v>67.45543104347756</v>
      </c>
      <c r="AD800" s="408">
        <v>4.6647637047753596</v>
      </c>
      <c r="AE800" s="408">
        <v>446.8372759412344</v>
      </c>
      <c r="AF800" s="408">
        <v>105.95177270406468</v>
      </c>
      <c r="AG800" s="408">
        <v>1.8082992559966575</v>
      </c>
      <c r="AH800" s="408">
        <v>0</v>
      </c>
      <c r="AI800" s="408">
        <v>0</v>
      </c>
      <c r="AJ800" s="408">
        <v>0</v>
      </c>
      <c r="AK800" s="408">
        <v>0</v>
      </c>
      <c r="AL800" s="408">
        <v>5.9146168324964048</v>
      </c>
      <c r="AM800" s="408"/>
      <c r="AN800" s="408">
        <v>0.7512868763336118</v>
      </c>
      <c r="AO800" s="408">
        <v>196.27456605599363</v>
      </c>
      <c r="AP800" s="408">
        <v>190.70899076767088</v>
      </c>
      <c r="AQ800" s="408">
        <v>0</v>
      </c>
      <c r="AR800" s="408">
        <v>0</v>
      </c>
      <c r="AS800" s="408">
        <v>0</v>
      </c>
      <c r="AT800" s="408">
        <v>0</v>
      </c>
      <c r="AU800" s="408">
        <v>0</v>
      </c>
      <c r="AV800" s="408">
        <v>0</v>
      </c>
      <c r="AW800" s="408">
        <v>0</v>
      </c>
      <c r="AX800" s="408">
        <v>0</v>
      </c>
      <c r="AY800" s="408">
        <v>0</v>
      </c>
      <c r="AZ800" s="408">
        <v>0</v>
      </c>
      <c r="BA800" s="408"/>
      <c r="BB800" s="408">
        <v>0</v>
      </c>
      <c r="BC800" s="408">
        <v>0</v>
      </c>
      <c r="BD800" s="408">
        <v>0</v>
      </c>
      <c r="BE800" s="408">
        <v>0</v>
      </c>
      <c r="BF800" s="408">
        <v>0</v>
      </c>
      <c r="BG800" s="408">
        <v>5.5605505151723795</v>
      </c>
      <c r="BH800" s="408">
        <v>0</v>
      </c>
      <c r="BI800" s="408">
        <v>0</v>
      </c>
      <c r="BJ800" s="408">
        <v>0</v>
      </c>
      <c r="BK800" s="408">
        <v>0</v>
      </c>
      <c r="BL800" s="408">
        <v>0</v>
      </c>
      <c r="BM800" s="408"/>
      <c r="BN800" s="408"/>
      <c r="BO800" s="408"/>
      <c r="BP800" s="408"/>
      <c r="BQ800" s="408"/>
      <c r="BR800" s="408"/>
      <c r="BS800" s="408"/>
      <c r="BT800" s="408"/>
      <c r="BU800" s="408"/>
      <c r="BV800" s="408">
        <v>111.51232321923706</v>
      </c>
      <c r="BW800" s="408"/>
      <c r="BX800" s="408"/>
      <c r="BY800" s="408"/>
      <c r="BZ800" s="408"/>
      <c r="CA800" s="408"/>
      <c r="CB800" s="408"/>
      <c r="CC800" s="408"/>
      <c r="CD800" s="408"/>
      <c r="CE800" s="408"/>
      <c r="CF800" s="408"/>
      <c r="CG800" s="408"/>
      <c r="CH800" s="408"/>
      <c r="CI800" s="408">
        <v>1015.7088</v>
      </c>
      <c r="CJ800" s="408">
        <v>-58.309939999999983</v>
      </c>
      <c r="CK800" s="408"/>
      <c r="CL800" s="408"/>
      <c r="CM800" s="408"/>
      <c r="CN800" s="408"/>
      <c r="CO800" s="408">
        <v>-68.432439999999986</v>
      </c>
      <c r="CP800" s="408">
        <v>13.428980000000003</v>
      </c>
      <c r="CQ800" s="408">
        <v>30</v>
      </c>
      <c r="CR800" s="408">
        <v>55.997489928827463</v>
      </c>
      <c r="CS800" s="408">
        <v>19.558340981856134</v>
      </c>
      <c r="CT800" s="408">
        <v>19.003743300472848</v>
      </c>
      <c r="CU800" s="408">
        <v>0</v>
      </c>
      <c r="CV800" s="408">
        <v>0</v>
      </c>
      <c r="CW800" s="408">
        <v>0</v>
      </c>
      <c r="CX800" s="408">
        <v>0</v>
      </c>
      <c r="CY800" s="408">
        <v>0</v>
      </c>
      <c r="CZ800" s="408">
        <v>4.8031610068943289</v>
      </c>
      <c r="DA800" s="408">
        <v>0</v>
      </c>
      <c r="DB800" s="408">
        <v>0</v>
      </c>
      <c r="DC800" s="408">
        <v>13.427463790500681</v>
      </c>
      <c r="DD800" s="408">
        <v>0</v>
      </c>
      <c r="DE800" s="408">
        <v>0</v>
      </c>
      <c r="DF800" s="408">
        <v>0</v>
      </c>
      <c r="DG800" s="408">
        <v>0.70469883412214696</v>
      </c>
      <c r="DH800" s="408">
        <v>0</v>
      </c>
      <c r="DI800" s="408">
        <v>-1.2999051531139685</v>
      </c>
      <c r="DJ800" s="408"/>
      <c r="DK800" s="408">
        <v>0</v>
      </c>
      <c r="DL800" s="408">
        <v>0</v>
      </c>
      <c r="DM800" s="408">
        <v>0</v>
      </c>
      <c r="DN800" s="408">
        <v>0</v>
      </c>
      <c r="DO800" s="408">
        <v>-0.1787578519284585</v>
      </c>
      <c r="DP800" s="408">
        <v>-2.1254979976213617E-2</v>
      </c>
      <c r="DQ800" s="408">
        <v>0</v>
      </c>
      <c r="DR800" s="408">
        <v>0</v>
      </c>
      <c r="DS800" s="408"/>
      <c r="DT800" s="408"/>
      <c r="DU800" s="408"/>
      <c r="DV800" s="408">
        <v>446.8372759412344</v>
      </c>
      <c r="DW800" s="408">
        <v>0</v>
      </c>
      <c r="DX800" s="408">
        <v>0</v>
      </c>
      <c r="DY800" s="408">
        <v>-68.432440000000042</v>
      </c>
      <c r="DZ800" s="408">
        <v>13.42898000000001</v>
      </c>
      <c r="EA800" s="408">
        <v>0</v>
      </c>
      <c r="EB800" s="408">
        <v>0</v>
      </c>
      <c r="EC800" s="408">
        <v>-111.00195885064335</v>
      </c>
      <c r="ED800" s="408">
        <v>0</v>
      </c>
      <c r="EE800" s="408">
        <v>0</v>
      </c>
      <c r="EF800" s="408">
        <v>0</v>
      </c>
      <c r="EG800" s="408">
        <v>0</v>
      </c>
      <c r="EH800" s="408">
        <v>0</v>
      </c>
      <c r="EI800" s="408">
        <v>0</v>
      </c>
      <c r="EJ800" s="408">
        <v>0</v>
      </c>
      <c r="EK800" s="408">
        <v>0</v>
      </c>
      <c r="EL800" s="408">
        <v>0</v>
      </c>
      <c r="EM800" s="408">
        <v>0</v>
      </c>
      <c r="EN800" s="408">
        <v>0</v>
      </c>
      <c r="EO800" s="408">
        <v>0</v>
      </c>
      <c r="EP800" s="408">
        <v>9.7763112025764514</v>
      </c>
      <c r="EQ800" s="408">
        <v>0</v>
      </c>
      <c r="ER800" s="408">
        <v>0</v>
      </c>
      <c r="ES800" s="408">
        <v>0</v>
      </c>
      <c r="ET800" s="408">
        <v>0</v>
      </c>
      <c r="EU800" s="408">
        <v>0</v>
      </c>
      <c r="EV800" s="408">
        <v>240</v>
      </c>
      <c r="EW800" s="408">
        <v>0</v>
      </c>
      <c r="EX800" s="408">
        <v>0</v>
      </c>
      <c r="EY800" s="408">
        <v>0</v>
      </c>
      <c r="EZ800" s="408"/>
      <c r="FA800" s="408">
        <v>0</v>
      </c>
      <c r="FB800" s="408"/>
      <c r="FC800" s="408"/>
      <c r="FD800" s="408"/>
      <c r="FE800" s="408"/>
      <c r="FF800" s="408">
        <v>0</v>
      </c>
      <c r="FG800" s="408">
        <v>0</v>
      </c>
      <c r="FH800" s="408">
        <v>0</v>
      </c>
      <c r="FI800" s="408">
        <v>0</v>
      </c>
    </row>
    <row r="801" spans="1:165">
      <c r="A801" s="408">
        <v>799</v>
      </c>
      <c r="B801" s="408" t="s">
        <v>1036</v>
      </c>
      <c r="C801" s="408" t="s">
        <v>2316</v>
      </c>
      <c r="D801" s="408" t="s">
        <v>1958</v>
      </c>
      <c r="E801" s="408" t="s">
        <v>998</v>
      </c>
      <c r="F801" s="408" t="s">
        <v>1322</v>
      </c>
      <c r="G801" s="408" t="s">
        <v>1322</v>
      </c>
      <c r="H801" s="408" t="s">
        <v>1322</v>
      </c>
      <c r="I801" s="408" t="s">
        <v>2244</v>
      </c>
      <c r="J801" s="408" t="s">
        <v>2236</v>
      </c>
      <c r="K801" s="826">
        <v>44713</v>
      </c>
      <c r="L801" s="408">
        <v>0</v>
      </c>
      <c r="M801" s="408">
        <v>0</v>
      </c>
      <c r="N801" s="408">
        <v>8.8620000000000001</v>
      </c>
      <c r="O801" s="408">
        <v>8.8620000000000001</v>
      </c>
      <c r="P801" s="408">
        <v>8.8620000000000001</v>
      </c>
      <c r="Q801" s="408">
        <v>8.8620000000000001</v>
      </c>
      <c r="R801" s="408"/>
      <c r="S801" s="408">
        <v>388.22</v>
      </c>
      <c r="T801" s="408">
        <v>173.25</v>
      </c>
      <c r="U801" s="408"/>
      <c r="V801" s="408">
        <v>4975.7471400000004</v>
      </c>
      <c r="W801" s="408">
        <v>4975.7471400000004</v>
      </c>
      <c r="X801" s="408">
        <v>4962.9858599999998</v>
      </c>
      <c r="Y801" s="408">
        <v>0</v>
      </c>
      <c r="Z801" s="408">
        <v>545.41341351282051</v>
      </c>
      <c r="AA801" s="408">
        <v>0</v>
      </c>
      <c r="AB801" s="408">
        <v>0</v>
      </c>
      <c r="AC801" s="408">
        <v>192.21544370009588</v>
      </c>
      <c r="AD801" s="408">
        <v>13.292339109680372</v>
      </c>
      <c r="AE801" s="408">
        <v>1273.2716744221068</v>
      </c>
      <c r="AF801" s="408">
        <v>1509.5572503270439</v>
      </c>
      <c r="AG801" s="408">
        <v>25.763903547656561</v>
      </c>
      <c r="AH801" s="408">
        <v>0</v>
      </c>
      <c r="AI801" s="408">
        <v>0</v>
      </c>
      <c r="AJ801" s="408">
        <v>0</v>
      </c>
      <c r="AK801" s="408">
        <v>0</v>
      </c>
      <c r="AL801" s="408">
        <v>84.26902631765779</v>
      </c>
      <c r="AM801" s="408"/>
      <c r="AN801" s="408">
        <v>10.704026202682424</v>
      </c>
      <c r="AO801" s="408">
        <v>559.28784707016575</v>
      </c>
      <c r="AP801" s="408">
        <v>543.42864185951748</v>
      </c>
      <c r="AQ801" s="408">
        <v>0</v>
      </c>
      <c r="AR801" s="408">
        <v>0</v>
      </c>
      <c r="AS801" s="408">
        <v>0</v>
      </c>
      <c r="AT801" s="408">
        <v>0</v>
      </c>
      <c r="AU801" s="408">
        <v>0</v>
      </c>
      <c r="AV801" s="408">
        <v>0</v>
      </c>
      <c r="AW801" s="408">
        <v>0</v>
      </c>
      <c r="AX801" s="408">
        <v>0</v>
      </c>
      <c r="AY801" s="408">
        <v>0</v>
      </c>
      <c r="AZ801" s="408">
        <v>0</v>
      </c>
      <c r="BA801" s="408"/>
      <c r="BB801" s="408">
        <v>0</v>
      </c>
      <c r="BC801" s="408">
        <v>0</v>
      </c>
      <c r="BD801" s="408">
        <v>0</v>
      </c>
      <c r="BE801" s="408">
        <v>0</v>
      </c>
      <c r="BF801" s="408">
        <v>0</v>
      </c>
      <c r="BG801" s="408">
        <v>79.22443515346886</v>
      </c>
      <c r="BH801" s="408">
        <v>0</v>
      </c>
      <c r="BI801" s="408">
        <v>0</v>
      </c>
      <c r="BJ801" s="408">
        <v>0</v>
      </c>
      <c r="BK801" s="408">
        <v>0</v>
      </c>
      <c r="BL801" s="408">
        <v>0</v>
      </c>
      <c r="BM801" s="408"/>
      <c r="BN801" s="408"/>
      <c r="BO801" s="408"/>
      <c r="BP801" s="408"/>
      <c r="BQ801" s="408"/>
      <c r="BR801" s="408"/>
      <c r="BS801" s="408"/>
      <c r="BT801" s="408"/>
      <c r="BU801" s="408"/>
      <c r="BV801" s="408">
        <v>1588.7816854805128</v>
      </c>
      <c r="BW801" s="408"/>
      <c r="BX801" s="408"/>
      <c r="BY801" s="408"/>
      <c r="BZ801" s="408"/>
      <c r="CA801" s="408"/>
      <c r="CB801" s="408"/>
      <c r="CC801" s="408"/>
      <c r="CD801" s="408"/>
      <c r="CE801" s="408"/>
      <c r="CF801" s="408"/>
      <c r="CG801" s="408"/>
      <c r="CH801" s="408"/>
      <c r="CI801" s="408">
        <v>4961.8657999999996</v>
      </c>
      <c r="CJ801" s="408">
        <v>-13.911340000001474</v>
      </c>
      <c r="CK801" s="408"/>
      <c r="CL801" s="408"/>
      <c r="CM801" s="408"/>
      <c r="CN801" s="408"/>
      <c r="CO801" s="408">
        <v>-204.09186000000025</v>
      </c>
      <c r="CP801" s="408">
        <v>191.33058000000003</v>
      </c>
      <c r="CQ801" s="408">
        <v>30</v>
      </c>
      <c r="CR801" s="408">
        <v>303.54906866910142</v>
      </c>
      <c r="CS801" s="408">
        <v>55.731838514857259</v>
      </c>
      <c r="CT801" s="408">
        <v>54.151502613758112</v>
      </c>
      <c r="CU801" s="408">
        <v>0</v>
      </c>
      <c r="CV801" s="408">
        <v>0</v>
      </c>
      <c r="CW801" s="408">
        <v>0</v>
      </c>
      <c r="CX801" s="408">
        <v>0</v>
      </c>
      <c r="CY801" s="408">
        <v>0</v>
      </c>
      <c r="CZ801" s="408">
        <v>13.686705038601231</v>
      </c>
      <c r="DA801" s="408">
        <v>0</v>
      </c>
      <c r="DB801" s="408">
        <v>0</v>
      </c>
      <c r="DC801" s="408">
        <v>191.30897767108831</v>
      </c>
      <c r="DD801" s="408">
        <v>0</v>
      </c>
      <c r="DE801" s="408">
        <v>0</v>
      </c>
      <c r="DF801" s="408">
        <v>0</v>
      </c>
      <c r="DG801" s="408">
        <v>10.04025895175316</v>
      </c>
      <c r="DH801" s="408">
        <v>0</v>
      </c>
      <c r="DI801" s="408">
        <v>-18.520513612372952</v>
      </c>
      <c r="DJ801" s="408"/>
      <c r="DK801" s="408">
        <v>0</v>
      </c>
      <c r="DL801" s="408">
        <v>0</v>
      </c>
      <c r="DM801" s="408">
        <v>0</v>
      </c>
      <c r="DN801" s="408">
        <v>0</v>
      </c>
      <c r="DO801" s="408">
        <v>-2.546868301913193</v>
      </c>
      <c r="DP801" s="408">
        <v>-0.30283220667074673</v>
      </c>
      <c r="DQ801" s="408">
        <v>0</v>
      </c>
      <c r="DR801" s="408">
        <v>0</v>
      </c>
      <c r="DS801" s="408"/>
      <c r="DT801" s="408"/>
      <c r="DU801" s="408"/>
      <c r="DV801" s="408">
        <v>1273.2716744221068</v>
      </c>
      <c r="DW801" s="408">
        <v>0</v>
      </c>
      <c r="DX801" s="408">
        <v>0</v>
      </c>
      <c r="DY801" s="408">
        <v>-204.09186000000045</v>
      </c>
      <c r="DZ801" s="408">
        <v>191.33058000000005</v>
      </c>
      <c r="EA801" s="408">
        <v>0</v>
      </c>
      <c r="EB801" s="408">
        <v>0</v>
      </c>
      <c r="EC801" s="408">
        <v>-316.30228188142314</v>
      </c>
      <c r="ED801" s="408">
        <v>0</v>
      </c>
      <c r="EE801" s="408">
        <v>0</v>
      </c>
      <c r="EF801" s="408">
        <v>0</v>
      </c>
      <c r="EG801" s="408">
        <v>0</v>
      </c>
      <c r="EH801" s="408">
        <v>0</v>
      </c>
      <c r="EI801" s="408">
        <v>0</v>
      </c>
      <c r="EJ801" s="408">
        <v>0</v>
      </c>
      <c r="EK801" s="408">
        <v>0</v>
      </c>
      <c r="EL801" s="408">
        <v>0</v>
      </c>
      <c r="EM801" s="408">
        <v>0</v>
      </c>
      <c r="EN801" s="408">
        <v>0</v>
      </c>
      <c r="EO801" s="408">
        <v>0</v>
      </c>
      <c r="EP801" s="408">
        <v>139.28885832352495</v>
      </c>
      <c r="EQ801" s="408">
        <v>0</v>
      </c>
      <c r="ER801" s="408">
        <v>0</v>
      </c>
      <c r="ES801" s="408">
        <v>0</v>
      </c>
      <c r="ET801" s="408">
        <v>0</v>
      </c>
      <c r="EU801" s="408">
        <v>0</v>
      </c>
      <c r="EV801" s="408">
        <v>240</v>
      </c>
      <c r="EW801" s="408">
        <v>0</v>
      </c>
      <c r="EX801" s="408">
        <v>0</v>
      </c>
      <c r="EY801" s="408">
        <v>0</v>
      </c>
      <c r="EZ801" s="408"/>
      <c r="FA801" s="408">
        <v>0</v>
      </c>
      <c r="FB801" s="408"/>
      <c r="FC801" s="408"/>
      <c r="FD801" s="408"/>
      <c r="FE801" s="408"/>
      <c r="FF801" s="408">
        <v>0</v>
      </c>
      <c r="FG801" s="408">
        <v>0</v>
      </c>
      <c r="FH801" s="408">
        <v>0</v>
      </c>
      <c r="FI801" s="408">
        <v>0</v>
      </c>
    </row>
    <row r="802" spans="1:165">
      <c r="A802" s="408">
        <v>800</v>
      </c>
      <c r="B802" s="408" t="s">
        <v>1036</v>
      </c>
      <c r="C802" s="408" t="s">
        <v>2316</v>
      </c>
      <c r="D802" s="408" t="s">
        <v>1958</v>
      </c>
      <c r="E802" s="408" t="s">
        <v>998</v>
      </c>
      <c r="F802" s="408" t="s">
        <v>1322</v>
      </c>
      <c r="G802" s="408" t="s">
        <v>1322</v>
      </c>
      <c r="H802" s="408" t="s">
        <v>1322</v>
      </c>
      <c r="I802" s="408" t="s">
        <v>1322</v>
      </c>
      <c r="J802" s="408" t="s">
        <v>2236</v>
      </c>
      <c r="K802" s="826">
        <v>44713</v>
      </c>
      <c r="L802" s="408">
        <v>0</v>
      </c>
      <c r="M802" s="408">
        <v>0</v>
      </c>
      <c r="N802" s="408">
        <v>0</v>
      </c>
      <c r="O802" s="408">
        <v>0</v>
      </c>
      <c r="P802" s="408">
        <v>0</v>
      </c>
      <c r="Q802" s="408">
        <v>0</v>
      </c>
      <c r="R802" s="408"/>
      <c r="S802" s="408"/>
      <c r="T802" s="408"/>
      <c r="U802" s="408"/>
      <c r="V802" s="408"/>
      <c r="W802" s="408"/>
      <c r="X802" s="408"/>
      <c r="Y802" s="408"/>
      <c r="Z802" s="408"/>
      <c r="AA802" s="408">
        <v>0</v>
      </c>
      <c r="AB802" s="408"/>
      <c r="AC802" s="408"/>
      <c r="AD802" s="408"/>
      <c r="AE802" s="408"/>
      <c r="AF802" s="408"/>
      <c r="AG802" s="408"/>
      <c r="AH802" s="408"/>
      <c r="AI802" s="408"/>
      <c r="AJ802" s="408"/>
      <c r="AK802" s="408"/>
      <c r="AL802" s="408"/>
      <c r="AM802" s="408"/>
      <c r="AN802" s="408"/>
      <c r="AO802" s="408"/>
      <c r="AP802" s="408"/>
      <c r="AQ802" s="408"/>
      <c r="AR802" s="408"/>
      <c r="AS802" s="408"/>
      <c r="AT802" s="408"/>
      <c r="AU802" s="408"/>
      <c r="AV802" s="408"/>
      <c r="AW802" s="408"/>
      <c r="AX802" s="408"/>
      <c r="AY802" s="408"/>
      <c r="AZ802" s="408">
        <v>0</v>
      </c>
      <c r="BA802" s="408"/>
      <c r="BB802" s="408"/>
      <c r="BC802" s="408"/>
      <c r="BD802" s="408"/>
      <c r="BE802" s="408"/>
      <c r="BF802" s="408"/>
      <c r="BG802" s="408"/>
      <c r="BH802" s="408"/>
      <c r="BI802" s="408">
        <v>6.53</v>
      </c>
      <c r="BJ802" s="408">
        <v>72.25</v>
      </c>
      <c r="BK802" s="408">
        <v>2189.44</v>
      </c>
      <c r="BL802" s="408">
        <v>6</v>
      </c>
      <c r="BM802" s="408"/>
      <c r="BN802" s="408"/>
      <c r="BO802" s="408"/>
      <c r="BP802" s="408"/>
      <c r="BQ802" s="408"/>
      <c r="BR802" s="408"/>
      <c r="BS802" s="408"/>
      <c r="BT802" s="408"/>
      <c r="BU802" s="408"/>
      <c r="BV802" s="408"/>
      <c r="BW802" s="408"/>
      <c r="BX802" s="408"/>
      <c r="BY802" s="408"/>
      <c r="BZ802" s="408"/>
      <c r="CA802" s="408"/>
      <c r="CB802" s="408"/>
      <c r="CC802" s="408"/>
      <c r="CD802" s="408"/>
      <c r="CE802" s="408"/>
      <c r="CF802" s="408"/>
      <c r="CG802" s="408"/>
      <c r="CH802" s="408"/>
      <c r="CI802" s="408"/>
      <c r="CJ802" s="408">
        <v>-0.03</v>
      </c>
      <c r="CK802" s="408"/>
      <c r="CL802" s="408"/>
      <c r="CM802" s="408"/>
      <c r="CN802" s="408"/>
      <c r="CO802" s="408">
        <v>0</v>
      </c>
      <c r="CP802" s="408">
        <v>0</v>
      </c>
      <c r="CQ802" s="408">
        <v>30</v>
      </c>
      <c r="CR802" s="408"/>
      <c r="CS802" s="408"/>
      <c r="CT802" s="408"/>
      <c r="CU802" s="408"/>
      <c r="CV802" s="408"/>
      <c r="CW802" s="408"/>
      <c r="CX802" s="408"/>
      <c r="CY802" s="408"/>
      <c r="CZ802" s="408"/>
      <c r="DA802" s="408"/>
      <c r="DB802" s="408"/>
      <c r="DC802" s="408"/>
      <c r="DD802" s="408"/>
      <c r="DE802" s="408"/>
      <c r="DF802" s="408"/>
      <c r="DG802" s="408"/>
      <c r="DH802" s="408"/>
      <c r="DI802" s="408"/>
      <c r="DJ802" s="408"/>
      <c r="DK802" s="408">
        <v>0</v>
      </c>
      <c r="DL802" s="408"/>
      <c r="DM802" s="408"/>
      <c r="DN802" s="408"/>
      <c r="DO802" s="408"/>
      <c r="DP802" s="408"/>
      <c r="DQ802" s="408"/>
      <c r="DR802" s="408"/>
      <c r="DS802" s="408"/>
      <c r="DT802" s="408"/>
      <c r="DU802" s="408"/>
      <c r="DV802" s="408"/>
      <c r="DW802" s="408"/>
      <c r="DX802" s="408"/>
      <c r="DY802" s="408"/>
      <c r="DZ802" s="408"/>
      <c r="EA802" s="408"/>
      <c r="EB802" s="408"/>
      <c r="EC802" s="408"/>
      <c r="ED802" s="408"/>
      <c r="EE802" s="408"/>
      <c r="EF802" s="408"/>
      <c r="EG802" s="408"/>
      <c r="EH802" s="408"/>
      <c r="EI802" s="408"/>
      <c r="EJ802" s="408"/>
      <c r="EK802" s="408"/>
      <c r="EL802" s="408"/>
      <c r="EM802" s="408"/>
      <c r="EN802" s="408"/>
      <c r="EO802" s="408"/>
      <c r="EP802" s="408"/>
      <c r="EQ802" s="408"/>
      <c r="ER802" s="408"/>
      <c r="ES802" s="408"/>
      <c r="ET802" s="408"/>
      <c r="EU802" s="408"/>
      <c r="EV802" s="408">
        <v>240</v>
      </c>
      <c r="EW802" s="408"/>
      <c r="EX802" s="408"/>
      <c r="EY802" s="408"/>
      <c r="EZ802" s="408"/>
      <c r="FA802" s="408">
        <v>0</v>
      </c>
      <c r="FB802" s="408"/>
      <c r="FC802" s="408"/>
      <c r="FD802" s="408"/>
      <c r="FE802" s="408"/>
      <c r="FF802" s="408">
        <v>0</v>
      </c>
      <c r="FG802" s="408">
        <v>0</v>
      </c>
      <c r="FH802" s="408">
        <v>0</v>
      </c>
      <c r="FI802" s="408">
        <v>0</v>
      </c>
    </row>
    <row r="803" spans="1:165">
      <c r="A803" s="408">
        <v>801</v>
      </c>
      <c r="B803" s="408" t="s">
        <v>1036</v>
      </c>
      <c r="C803" s="408" t="s">
        <v>2316</v>
      </c>
      <c r="D803" s="408" t="s">
        <v>1958</v>
      </c>
      <c r="E803" s="408" t="s">
        <v>998</v>
      </c>
      <c r="F803" s="408" t="s">
        <v>1322</v>
      </c>
      <c r="G803" s="408" t="s">
        <v>1322</v>
      </c>
      <c r="H803" s="408" t="s">
        <v>1322</v>
      </c>
      <c r="I803" s="408" t="s">
        <v>2317</v>
      </c>
      <c r="J803" s="408" t="s">
        <v>2236</v>
      </c>
      <c r="K803" s="826">
        <v>44713</v>
      </c>
      <c r="L803" s="408">
        <v>0</v>
      </c>
      <c r="M803" s="408">
        <v>0</v>
      </c>
      <c r="N803" s="408">
        <v>0.46200000000000002</v>
      </c>
      <c r="O803" s="408">
        <v>0.46200000000000002</v>
      </c>
      <c r="P803" s="408">
        <v>0.46200000000000002</v>
      </c>
      <c r="Q803" s="408">
        <v>0.46200000000000002</v>
      </c>
      <c r="R803" s="408"/>
      <c r="S803" s="408">
        <v>970.82</v>
      </c>
      <c r="T803" s="408">
        <v>173.25</v>
      </c>
      <c r="U803" s="408"/>
      <c r="V803" s="408">
        <v>528.56034000000011</v>
      </c>
      <c r="W803" s="408">
        <v>528.56034000000011</v>
      </c>
      <c r="X803" s="408">
        <v>507.79805999999996</v>
      </c>
      <c r="Y803" s="408">
        <v>0</v>
      </c>
      <c r="Z803" s="408">
        <v>28.433874638109124</v>
      </c>
      <c r="AA803" s="408">
        <v>0</v>
      </c>
      <c r="AB803" s="408">
        <v>0</v>
      </c>
      <c r="AC803" s="408">
        <v>30.062131005228306</v>
      </c>
      <c r="AD803" s="408">
        <v>2.0788966380068783</v>
      </c>
      <c r="AE803" s="408">
        <v>199.13717658765776</v>
      </c>
      <c r="AF803" s="408">
        <v>78.697297410414606</v>
      </c>
      <c r="AG803" s="408">
        <v>1.3431418911100577</v>
      </c>
      <c r="AH803" s="408">
        <v>0</v>
      </c>
      <c r="AI803" s="408">
        <v>0</v>
      </c>
      <c r="AJ803" s="408">
        <v>0</v>
      </c>
      <c r="AK803" s="408">
        <v>0</v>
      </c>
      <c r="AL803" s="408">
        <v>4.3931719881243394</v>
      </c>
      <c r="AM803" s="408"/>
      <c r="AN803" s="408">
        <v>0.55802980203557662</v>
      </c>
      <c r="AO803" s="408">
        <v>87.471559020452389</v>
      </c>
      <c r="AP803" s="408">
        <v>84.991209390351273</v>
      </c>
      <c r="AQ803" s="408">
        <v>0</v>
      </c>
      <c r="AR803" s="408">
        <v>0</v>
      </c>
      <c r="AS803" s="408">
        <v>0</v>
      </c>
      <c r="AT803" s="408">
        <v>0</v>
      </c>
      <c r="AU803" s="408">
        <v>0</v>
      </c>
      <c r="AV803" s="408">
        <v>0</v>
      </c>
      <c r="AW803" s="408">
        <v>0</v>
      </c>
      <c r="AX803" s="408">
        <v>0</v>
      </c>
      <c r="AY803" s="408">
        <v>0</v>
      </c>
      <c r="AZ803" s="408">
        <v>0</v>
      </c>
      <c r="BA803" s="408"/>
      <c r="BB803" s="408">
        <v>0</v>
      </c>
      <c r="BC803" s="408">
        <v>0</v>
      </c>
      <c r="BD803" s="408">
        <v>0</v>
      </c>
      <c r="BE803" s="408">
        <v>0</v>
      </c>
      <c r="BF803" s="408">
        <v>0</v>
      </c>
      <c r="BG803" s="408">
        <v>4.1301838231666235</v>
      </c>
      <c r="BH803" s="408">
        <v>0</v>
      </c>
      <c r="BI803" s="408">
        <v>0</v>
      </c>
      <c r="BJ803" s="408">
        <v>0</v>
      </c>
      <c r="BK803" s="408">
        <v>0</v>
      </c>
      <c r="BL803" s="408">
        <v>0</v>
      </c>
      <c r="BM803" s="408"/>
      <c r="BN803" s="408"/>
      <c r="BO803" s="408"/>
      <c r="BP803" s="408"/>
      <c r="BQ803" s="408"/>
      <c r="BR803" s="408"/>
      <c r="BS803" s="408"/>
      <c r="BT803" s="408"/>
      <c r="BU803" s="408"/>
      <c r="BV803" s="408">
        <v>82.827481233581224</v>
      </c>
      <c r="BW803" s="408"/>
      <c r="BX803" s="408"/>
      <c r="BY803" s="408"/>
      <c r="BZ803" s="408"/>
      <c r="CA803" s="408"/>
      <c r="CB803" s="408"/>
      <c r="CC803" s="408"/>
      <c r="CD803" s="408"/>
      <c r="CE803" s="408"/>
      <c r="CF803" s="408"/>
      <c r="CG803" s="408"/>
      <c r="CH803" s="408"/>
      <c r="CI803" s="408">
        <v>505.59980000000002</v>
      </c>
      <c r="CJ803" s="408">
        <v>-22.990540000000067</v>
      </c>
      <c r="CK803" s="408"/>
      <c r="CL803" s="408"/>
      <c r="CM803" s="408"/>
      <c r="CN803" s="408"/>
      <c r="CO803" s="408">
        <v>-30.736860000000043</v>
      </c>
      <c r="CP803" s="408">
        <v>9.9745800000000013</v>
      </c>
      <c r="CQ803" s="408">
        <v>30</v>
      </c>
      <c r="CR803" s="408">
        <v>28.708913606819181</v>
      </c>
      <c r="CS803" s="408">
        <v>8.7163538909494633</v>
      </c>
      <c r="CT803" s="408">
        <v>8.4691923519144439</v>
      </c>
      <c r="CU803" s="408">
        <v>0</v>
      </c>
      <c r="CV803" s="408">
        <v>0</v>
      </c>
      <c r="CW803" s="408">
        <v>0</v>
      </c>
      <c r="CX803" s="408">
        <v>0</v>
      </c>
      <c r="CY803" s="408">
        <v>0</v>
      </c>
      <c r="CZ803" s="408">
        <v>2.140574721676979</v>
      </c>
      <c r="DA803" s="408">
        <v>0</v>
      </c>
      <c r="DB803" s="408">
        <v>0</v>
      </c>
      <c r="DC803" s="408">
        <v>9.9734538122368406</v>
      </c>
      <c r="DD803" s="408">
        <v>0</v>
      </c>
      <c r="DE803" s="408">
        <v>0</v>
      </c>
      <c r="DF803" s="408">
        <v>0</v>
      </c>
      <c r="DG803" s="408">
        <v>0.52342582212931177</v>
      </c>
      <c r="DH803" s="408">
        <v>0</v>
      </c>
      <c r="DI803" s="408">
        <v>-0.96552440633223924</v>
      </c>
      <c r="DJ803" s="408"/>
      <c r="DK803" s="408">
        <v>0</v>
      </c>
      <c r="DL803" s="408">
        <v>0</v>
      </c>
      <c r="DM803" s="408">
        <v>0</v>
      </c>
      <c r="DN803" s="408">
        <v>0</v>
      </c>
      <c r="DO803" s="408">
        <v>-0.13277512474428921</v>
      </c>
      <c r="DP803" s="408">
        <v>-1.5787461011271153E-2</v>
      </c>
      <c r="DQ803" s="408">
        <v>0</v>
      </c>
      <c r="DR803" s="408">
        <v>0</v>
      </c>
      <c r="DS803" s="408"/>
      <c r="DT803" s="408"/>
      <c r="DU803" s="408"/>
      <c r="DV803" s="408">
        <v>199.13717658765776</v>
      </c>
      <c r="DW803" s="408">
        <v>0</v>
      </c>
      <c r="DX803" s="408">
        <v>0</v>
      </c>
      <c r="DY803" s="408">
        <v>-30.736860000000092</v>
      </c>
      <c r="DZ803" s="408">
        <v>9.9745800000000031</v>
      </c>
      <c r="EA803" s="408">
        <v>0</v>
      </c>
      <c r="EB803" s="408">
        <v>0</v>
      </c>
      <c r="EC803" s="408">
        <v>-49.469052541900055</v>
      </c>
      <c r="ED803" s="408">
        <v>0</v>
      </c>
      <c r="EE803" s="408">
        <v>0</v>
      </c>
      <c r="EF803" s="408">
        <v>0</v>
      </c>
      <c r="EG803" s="408">
        <v>0</v>
      </c>
      <c r="EH803" s="408">
        <v>0</v>
      </c>
      <c r="EI803" s="408">
        <v>0</v>
      </c>
      <c r="EJ803" s="408">
        <v>0</v>
      </c>
      <c r="EK803" s="408">
        <v>0</v>
      </c>
      <c r="EL803" s="408">
        <v>0</v>
      </c>
      <c r="EM803" s="408">
        <v>0</v>
      </c>
      <c r="EN803" s="408">
        <v>0</v>
      </c>
      <c r="EO803" s="408">
        <v>0</v>
      </c>
      <c r="EP803" s="408">
        <v>7.2615044623638596</v>
      </c>
      <c r="EQ803" s="408">
        <v>0</v>
      </c>
      <c r="ER803" s="408">
        <v>0</v>
      </c>
      <c r="ES803" s="408">
        <v>0</v>
      </c>
      <c r="ET803" s="408">
        <v>0</v>
      </c>
      <c r="EU803" s="408">
        <v>0</v>
      </c>
      <c r="EV803" s="408">
        <v>240</v>
      </c>
      <c r="EW803" s="408">
        <v>0</v>
      </c>
      <c r="EX803" s="408">
        <v>0</v>
      </c>
      <c r="EY803" s="408">
        <v>0</v>
      </c>
      <c r="EZ803" s="408"/>
      <c r="FA803" s="408">
        <v>0</v>
      </c>
      <c r="FB803" s="408"/>
      <c r="FC803" s="408"/>
      <c r="FD803" s="408"/>
      <c r="FE803" s="408"/>
      <c r="FF803" s="408">
        <v>0</v>
      </c>
      <c r="FG803" s="408">
        <v>0</v>
      </c>
      <c r="FH803" s="408">
        <v>0</v>
      </c>
      <c r="FI803" s="408">
        <v>0</v>
      </c>
    </row>
    <row r="804" spans="1:165">
      <c r="A804" s="408">
        <v>802</v>
      </c>
      <c r="B804" s="408" t="s">
        <v>1036</v>
      </c>
      <c r="C804" s="408" t="s">
        <v>2235</v>
      </c>
      <c r="D804" s="408" t="s">
        <v>2245</v>
      </c>
      <c r="E804" s="408" t="s">
        <v>974</v>
      </c>
      <c r="F804" s="408" t="s">
        <v>1322</v>
      </c>
      <c r="G804" s="408" t="s">
        <v>1322</v>
      </c>
      <c r="H804" s="408" t="s">
        <v>1322</v>
      </c>
      <c r="I804" s="408" t="s">
        <v>1322</v>
      </c>
      <c r="J804" s="408" t="s">
        <v>2236</v>
      </c>
      <c r="K804" s="826">
        <v>44713</v>
      </c>
      <c r="L804" s="408">
        <v>0</v>
      </c>
      <c r="M804" s="408">
        <v>0</v>
      </c>
      <c r="N804" s="408">
        <v>5593.058</v>
      </c>
      <c r="O804" s="408">
        <v>5593.058</v>
      </c>
      <c r="P804" s="408">
        <v>5593.058</v>
      </c>
      <c r="Q804" s="408">
        <v>5593.058</v>
      </c>
      <c r="R804" s="408"/>
      <c r="S804" s="408">
        <v>368.24</v>
      </c>
      <c r="T804" s="408">
        <v>173.25</v>
      </c>
      <c r="U804" s="408"/>
      <c r="V804" s="408">
        <v>3028584.9764200002</v>
      </c>
      <c r="W804" s="408">
        <v>3028584.9764200002</v>
      </c>
      <c r="X804" s="408">
        <v>2846251.2856200002</v>
      </c>
      <c r="Y804" s="408">
        <v>0</v>
      </c>
      <c r="Z804" s="408">
        <v>344225.77925470419</v>
      </c>
      <c r="AA804" s="408">
        <v>0</v>
      </c>
      <c r="AB804" s="408">
        <v>0</v>
      </c>
      <c r="AC804" s="408">
        <v>14315.64093494559</v>
      </c>
      <c r="AD804" s="408">
        <v>13754.120827186793</v>
      </c>
      <c r="AE804" s="408">
        <v>1317372.6938564009</v>
      </c>
      <c r="AF804" s="408">
        <v>952724.13173094951</v>
      </c>
      <c r="AG804" s="408">
        <v>16260.325755861984</v>
      </c>
      <c r="AH804" s="408">
        <v>0</v>
      </c>
      <c r="AI804" s="408">
        <v>0</v>
      </c>
      <c r="AJ804" s="408">
        <v>0</v>
      </c>
      <c r="AK804" s="408">
        <v>0</v>
      </c>
      <c r="AL804" s="408">
        <v>53184.557864837101</v>
      </c>
      <c r="AM804" s="408"/>
      <c r="AN804" s="408">
        <v>6755.6126591201255</v>
      </c>
      <c r="AO804" s="408">
        <v>30389.296435483189</v>
      </c>
      <c r="AP804" s="408">
        <v>141700.8060380214</v>
      </c>
      <c r="AQ804" s="408">
        <v>0</v>
      </c>
      <c r="AR804" s="408">
        <v>0</v>
      </c>
      <c r="AS804" s="408">
        <v>0</v>
      </c>
      <c r="AT804" s="408">
        <v>0</v>
      </c>
      <c r="AU804" s="408">
        <v>0</v>
      </c>
      <c r="AV804" s="408">
        <v>0</v>
      </c>
      <c r="AW804" s="408">
        <v>0</v>
      </c>
      <c r="AX804" s="408">
        <v>0</v>
      </c>
      <c r="AY804" s="408">
        <v>0</v>
      </c>
      <c r="AZ804" s="408">
        <v>0</v>
      </c>
      <c r="BA804" s="408"/>
      <c r="BB804" s="408">
        <v>0</v>
      </c>
      <c r="BC804" s="408">
        <v>0</v>
      </c>
      <c r="BD804" s="408">
        <v>0</v>
      </c>
      <c r="BE804" s="408">
        <v>0</v>
      </c>
      <c r="BF804" s="408">
        <v>0</v>
      </c>
      <c r="BG804" s="408">
        <v>50000.774185352093</v>
      </c>
      <c r="BH804" s="408">
        <v>0</v>
      </c>
      <c r="BI804" s="408">
        <v>2459.91</v>
      </c>
      <c r="BJ804" s="408">
        <v>27886.05</v>
      </c>
      <c r="BK804" s="408">
        <v>130579.44</v>
      </c>
      <c r="BL804" s="408">
        <v>15518</v>
      </c>
      <c r="BM804" s="408"/>
      <c r="BN804" s="408"/>
      <c r="BO804" s="408"/>
      <c r="BP804" s="408"/>
      <c r="BQ804" s="408"/>
      <c r="BR804" s="408">
        <v>341512.12148000003</v>
      </c>
      <c r="BS804" s="408"/>
      <c r="BT804" s="408"/>
      <c r="BU804" s="408"/>
      <c r="BV804" s="408">
        <v>1002724.9059163016</v>
      </c>
      <c r="BW804" s="408"/>
      <c r="BX804" s="408"/>
      <c r="BY804" s="408"/>
      <c r="BZ804" s="408"/>
      <c r="CA804" s="408"/>
      <c r="CB804" s="408"/>
      <c r="CC804" s="408"/>
      <c r="CD804" s="408"/>
      <c r="CE804" s="408"/>
      <c r="CF804" s="408"/>
      <c r="CG804" s="408"/>
      <c r="CH804" s="408"/>
      <c r="CI804" s="408">
        <v>2504740.0598000004</v>
      </c>
      <c r="CJ804" s="408">
        <v>-160408.03777999943</v>
      </c>
      <c r="CK804" s="408"/>
      <c r="CL804" s="408"/>
      <c r="CM804" s="408"/>
      <c r="CN804" s="408"/>
      <c r="CO804" s="408">
        <v>-303087.81302</v>
      </c>
      <c r="CP804" s="408">
        <v>120754.12222000002</v>
      </c>
      <c r="CQ804" s="408">
        <v>30</v>
      </c>
      <c r="CR804" s="408">
        <v>144900.4323888775</v>
      </c>
      <c r="CS804" s="408">
        <v>3028.2284344183463</v>
      </c>
      <c r="CT804" s="408">
        <v>14120.182444346137</v>
      </c>
      <c r="CU804" s="408">
        <v>0</v>
      </c>
      <c r="CV804" s="408">
        <v>0</v>
      </c>
      <c r="CW804" s="408">
        <v>0</v>
      </c>
      <c r="CX804" s="408">
        <v>0</v>
      </c>
      <c r="CY804" s="408">
        <v>0</v>
      </c>
      <c r="CZ804" s="408">
        <v>14162.187202242954</v>
      </c>
      <c r="DA804" s="408">
        <v>0</v>
      </c>
      <c r="DB804" s="408">
        <v>0</v>
      </c>
      <c r="DC804" s="408">
        <v>120740.48838130245</v>
      </c>
      <c r="DD804" s="408">
        <v>0</v>
      </c>
      <c r="DE804" s="408">
        <v>0</v>
      </c>
      <c r="DF804" s="408">
        <v>0</v>
      </c>
      <c r="DG804" s="408">
        <v>6336.6904369413896</v>
      </c>
      <c r="DH804" s="408">
        <v>0</v>
      </c>
      <c r="DI804" s="408">
        <v>-11688.81819270947</v>
      </c>
      <c r="DJ804" s="408"/>
      <c r="DK804" s="408">
        <v>0</v>
      </c>
      <c r="DL804" s="408">
        <v>0</v>
      </c>
      <c r="DM804" s="408">
        <v>0</v>
      </c>
      <c r="DN804" s="408">
        <v>0</v>
      </c>
      <c r="DO804" s="408">
        <v>-1607.4003758702311</v>
      </c>
      <c r="DP804" s="408">
        <v>-191.12594179389271</v>
      </c>
      <c r="DQ804" s="408">
        <v>0</v>
      </c>
      <c r="DR804" s="408">
        <v>0</v>
      </c>
      <c r="DS804" s="408"/>
      <c r="DT804" s="408"/>
      <c r="DU804" s="408"/>
      <c r="DV804" s="408">
        <v>1317372.6938564009</v>
      </c>
      <c r="DW804" s="408">
        <v>0</v>
      </c>
      <c r="DX804" s="408">
        <v>0</v>
      </c>
      <c r="DY804" s="408">
        <v>-303087.81302</v>
      </c>
      <c r="DZ804" s="408">
        <v>120754.12222000002</v>
      </c>
      <c r="EA804" s="408">
        <v>0</v>
      </c>
      <c r="EB804" s="408">
        <v>0</v>
      </c>
      <c r="EC804" s="408">
        <v>-327257.72317536396</v>
      </c>
      <c r="ED804" s="408">
        <v>0</v>
      </c>
      <c r="EE804" s="408">
        <v>0</v>
      </c>
      <c r="EF804" s="408">
        <v>0</v>
      </c>
      <c r="EG804" s="408">
        <v>0</v>
      </c>
      <c r="EH804" s="408">
        <v>0</v>
      </c>
      <c r="EI804" s="408">
        <v>0</v>
      </c>
      <c r="EJ804" s="408">
        <v>0</v>
      </c>
      <c r="EK804" s="408">
        <v>0</v>
      </c>
      <c r="EL804" s="408">
        <v>0</v>
      </c>
      <c r="EM804" s="408">
        <v>0</v>
      </c>
      <c r="EN804" s="408">
        <v>0</v>
      </c>
      <c r="EO804" s="408">
        <v>0</v>
      </c>
      <c r="EP804" s="408">
        <v>87909.124729999749</v>
      </c>
      <c r="EQ804" s="408">
        <v>0</v>
      </c>
      <c r="ER804" s="408">
        <v>0</v>
      </c>
      <c r="ES804" s="408">
        <v>0</v>
      </c>
      <c r="ET804" s="408">
        <v>0</v>
      </c>
      <c r="EU804" s="408">
        <v>0</v>
      </c>
      <c r="EV804" s="408">
        <v>240</v>
      </c>
      <c r="EW804" s="408">
        <v>0</v>
      </c>
      <c r="EX804" s="408">
        <v>0</v>
      </c>
      <c r="EY804" s="408">
        <v>0</v>
      </c>
      <c r="EZ804" s="408"/>
      <c r="FA804" s="408">
        <v>0</v>
      </c>
      <c r="FB804" s="408"/>
      <c r="FC804" s="408"/>
      <c r="FD804" s="408"/>
      <c r="FE804" s="408"/>
      <c r="FF804" s="408">
        <v>0</v>
      </c>
      <c r="FG804" s="408">
        <v>0</v>
      </c>
      <c r="FH804" s="408">
        <v>0</v>
      </c>
      <c r="FI804" s="408">
        <v>0</v>
      </c>
    </row>
    <row r="805" spans="1:165">
      <c r="A805" s="408">
        <v>803</v>
      </c>
      <c r="B805" s="408" t="s">
        <v>2237</v>
      </c>
      <c r="C805" s="408" t="s">
        <v>2235</v>
      </c>
      <c r="D805" s="408" t="s">
        <v>2245</v>
      </c>
      <c r="E805" s="408" t="s">
        <v>974</v>
      </c>
      <c r="F805" s="408" t="s">
        <v>1322</v>
      </c>
      <c r="G805" s="408" t="s">
        <v>1322</v>
      </c>
      <c r="H805" s="408" t="s">
        <v>1322</v>
      </c>
      <c r="I805" s="408" t="s">
        <v>1322</v>
      </c>
      <c r="J805" s="408" t="s">
        <v>2236</v>
      </c>
      <c r="K805" s="826">
        <v>44713</v>
      </c>
      <c r="L805" s="408">
        <v>0</v>
      </c>
      <c r="M805" s="408">
        <v>0</v>
      </c>
      <c r="N805" s="408">
        <v>-2.1389999999999998</v>
      </c>
      <c r="O805" s="408">
        <v>-2.1389999999999998</v>
      </c>
      <c r="P805" s="408">
        <v>-2.1389999999999998</v>
      </c>
      <c r="Q805" s="408">
        <v>-2.1389999999999998</v>
      </c>
      <c r="R805" s="408"/>
      <c r="S805" s="408">
        <v>368.24</v>
      </c>
      <c r="T805" s="408">
        <v>173.25</v>
      </c>
      <c r="U805" s="408"/>
      <c r="V805" s="408">
        <v>-1158.2471099999998</v>
      </c>
      <c r="W805" s="408">
        <v>-1158.2471099999998</v>
      </c>
      <c r="X805" s="408">
        <v>-1088.5157099999999</v>
      </c>
      <c r="Y805" s="408">
        <v>0</v>
      </c>
      <c r="Z805" s="408">
        <v>-131.64514686345328</v>
      </c>
      <c r="AA805" s="408">
        <v>0</v>
      </c>
      <c r="AB805" s="408">
        <v>0</v>
      </c>
      <c r="AC805" s="408">
        <v>-5.4748504234800732</v>
      </c>
      <c r="AD805" s="408">
        <v>-5.2601035872241173</v>
      </c>
      <c r="AE805" s="408">
        <v>-503.81386929276277</v>
      </c>
      <c r="AF805" s="408">
        <v>-364.35826658198448</v>
      </c>
      <c r="AG805" s="408">
        <v>-6.2185725218277339</v>
      </c>
      <c r="AH805" s="408">
        <v>0</v>
      </c>
      <c r="AI805" s="408">
        <v>0</v>
      </c>
      <c r="AJ805" s="408">
        <v>0</v>
      </c>
      <c r="AK805" s="408">
        <v>0</v>
      </c>
      <c r="AL805" s="408">
        <v>-20.339815763199049</v>
      </c>
      <c r="AM805" s="408"/>
      <c r="AN805" s="408">
        <v>-2.5836055120218577</v>
      </c>
      <c r="AO805" s="408">
        <v>-11.622033076627943</v>
      </c>
      <c r="AP805" s="408">
        <v>-54.191825673062525</v>
      </c>
      <c r="AQ805" s="408">
        <v>0</v>
      </c>
      <c r="AR805" s="408">
        <v>0</v>
      </c>
      <c r="AS805" s="408">
        <v>0</v>
      </c>
      <c r="AT805" s="408">
        <v>0</v>
      </c>
      <c r="AU805" s="408">
        <v>0</v>
      </c>
      <c r="AV805" s="408">
        <v>0</v>
      </c>
      <c r="AW805" s="408">
        <v>0</v>
      </c>
      <c r="AX805" s="408">
        <v>0</v>
      </c>
      <c r="AY805" s="408">
        <v>0</v>
      </c>
      <c r="AZ805" s="408">
        <v>0</v>
      </c>
      <c r="BA805" s="408"/>
      <c r="BB805" s="408">
        <v>0</v>
      </c>
      <c r="BC805" s="408">
        <v>0</v>
      </c>
      <c r="BD805" s="408">
        <v>0</v>
      </c>
      <c r="BE805" s="408">
        <v>0</v>
      </c>
      <c r="BF805" s="408">
        <v>0</v>
      </c>
      <c r="BG805" s="408">
        <v>-19.122214713751962</v>
      </c>
      <c r="BH805" s="408">
        <v>0</v>
      </c>
      <c r="BI805" s="408">
        <v>-0.86</v>
      </c>
      <c r="BJ805" s="408">
        <v>-9.99</v>
      </c>
      <c r="BK805" s="408">
        <v>-49.37</v>
      </c>
      <c r="BL805" s="408">
        <v>0</v>
      </c>
      <c r="BM805" s="408"/>
      <c r="BN805" s="408"/>
      <c r="BO805" s="408"/>
      <c r="BP805" s="408"/>
      <c r="BQ805" s="408"/>
      <c r="BR805" s="408">
        <v>-130.60733999999999</v>
      </c>
      <c r="BS805" s="408"/>
      <c r="BT805" s="408"/>
      <c r="BU805" s="408"/>
      <c r="BV805" s="408">
        <v>-383.48048129573647</v>
      </c>
      <c r="BW805" s="408"/>
      <c r="BX805" s="408"/>
      <c r="BY805" s="408"/>
      <c r="BZ805" s="408"/>
      <c r="CA805" s="408"/>
      <c r="CB805" s="408"/>
      <c r="CC805" s="408"/>
      <c r="CD805" s="408"/>
      <c r="CE805" s="408"/>
      <c r="CF805" s="408"/>
      <c r="CG805" s="408"/>
      <c r="CH805" s="408"/>
      <c r="CI805" s="408">
        <v>-958.35620000000017</v>
      </c>
      <c r="CJ805" s="408">
        <v>60.868689999999788</v>
      </c>
      <c r="CK805" s="408"/>
      <c r="CL805" s="408"/>
      <c r="CM805" s="408"/>
      <c r="CN805" s="408"/>
      <c r="CO805" s="408">
        <v>115.91240999999998</v>
      </c>
      <c r="CP805" s="408">
        <v>-46.181010000000001</v>
      </c>
      <c r="CQ805" s="408">
        <v>30</v>
      </c>
      <c r="CR805" s="408">
        <v>-55.415485567968062</v>
      </c>
      <c r="CS805" s="408">
        <v>-1.1581107546570841</v>
      </c>
      <c r="CT805" s="408">
        <v>-5.4000995964026117</v>
      </c>
      <c r="CU805" s="408">
        <v>0</v>
      </c>
      <c r="CV805" s="408">
        <v>0</v>
      </c>
      <c r="CW805" s="408">
        <v>0</v>
      </c>
      <c r="CX805" s="408">
        <v>0</v>
      </c>
      <c r="CY805" s="408">
        <v>0</v>
      </c>
      <c r="CZ805" s="408">
        <v>-5.4161638276587993</v>
      </c>
      <c r="DA805" s="408">
        <v>0</v>
      </c>
      <c r="DB805" s="408">
        <v>0</v>
      </c>
      <c r="DC805" s="408">
        <v>-46.175795896914678</v>
      </c>
      <c r="DD805" s="408">
        <v>0</v>
      </c>
      <c r="DE805" s="408">
        <v>0</v>
      </c>
      <c r="DF805" s="408">
        <v>0</v>
      </c>
      <c r="DG805" s="408">
        <v>-2.4233935790792138</v>
      </c>
      <c r="DH805" s="408">
        <v>0</v>
      </c>
      <c r="DI805" s="408">
        <v>4.4702526085382317</v>
      </c>
      <c r="DJ805" s="408"/>
      <c r="DK805" s="408">
        <v>0</v>
      </c>
      <c r="DL805" s="408">
        <v>0</v>
      </c>
      <c r="DM805" s="408">
        <v>0</v>
      </c>
      <c r="DN805" s="408">
        <v>0</v>
      </c>
      <c r="DO805" s="408">
        <v>0.61473158404336559</v>
      </c>
      <c r="DP805" s="408">
        <v>7.3093894162573836E-2</v>
      </c>
      <c r="DQ805" s="408">
        <v>0</v>
      </c>
      <c r="DR805" s="408">
        <v>0</v>
      </c>
      <c r="DS805" s="408"/>
      <c r="DT805" s="408"/>
      <c r="DU805" s="408"/>
      <c r="DV805" s="408">
        <v>-503.81386929276277</v>
      </c>
      <c r="DW805" s="408">
        <v>0</v>
      </c>
      <c r="DX805" s="408">
        <v>0</v>
      </c>
      <c r="DY805" s="408">
        <v>115.91241000000002</v>
      </c>
      <c r="DZ805" s="408">
        <v>-46.181010000000015</v>
      </c>
      <c r="EA805" s="408">
        <v>0</v>
      </c>
      <c r="EB805" s="408">
        <v>0</v>
      </c>
      <c r="EC805" s="408">
        <v>125.15591110839603</v>
      </c>
      <c r="ED805" s="408">
        <v>0</v>
      </c>
      <c r="EE805" s="408">
        <v>0</v>
      </c>
      <c r="EF805" s="408">
        <v>0</v>
      </c>
      <c r="EG805" s="408">
        <v>0</v>
      </c>
      <c r="EH805" s="408">
        <v>0</v>
      </c>
      <c r="EI805" s="408">
        <v>0</v>
      </c>
      <c r="EJ805" s="408">
        <v>0</v>
      </c>
      <c r="EK805" s="408">
        <v>0</v>
      </c>
      <c r="EL805" s="408">
        <v>0</v>
      </c>
      <c r="EM805" s="408">
        <v>0</v>
      </c>
      <c r="EN805" s="408">
        <v>0</v>
      </c>
      <c r="EO805" s="408">
        <v>0</v>
      </c>
      <c r="EP805" s="408">
        <v>-33.619822608217085</v>
      </c>
      <c r="EQ805" s="408">
        <v>0</v>
      </c>
      <c r="ER805" s="408">
        <v>0</v>
      </c>
      <c r="ES805" s="408">
        <v>0</v>
      </c>
      <c r="ET805" s="408">
        <v>0</v>
      </c>
      <c r="EU805" s="408">
        <v>0</v>
      </c>
      <c r="EV805" s="408">
        <v>240</v>
      </c>
      <c r="EW805" s="408">
        <v>0</v>
      </c>
      <c r="EX805" s="408">
        <v>0</v>
      </c>
      <c r="EY805" s="408">
        <v>0</v>
      </c>
      <c r="EZ805" s="408"/>
      <c r="FA805" s="408">
        <v>0</v>
      </c>
      <c r="FB805" s="408"/>
      <c r="FC805" s="408"/>
      <c r="FD805" s="408"/>
      <c r="FE805" s="408"/>
      <c r="FF805" s="408">
        <v>0</v>
      </c>
      <c r="FG805" s="408">
        <v>0</v>
      </c>
      <c r="FH805" s="408">
        <v>0</v>
      </c>
      <c r="FI805" s="408">
        <v>0</v>
      </c>
    </row>
    <row r="806" spans="1:165">
      <c r="A806" s="408">
        <v>804</v>
      </c>
      <c r="B806" s="408" t="s">
        <v>2238</v>
      </c>
      <c r="C806" s="408" t="s">
        <v>2235</v>
      </c>
      <c r="D806" s="408" t="s">
        <v>2245</v>
      </c>
      <c r="E806" s="408" t="s">
        <v>974</v>
      </c>
      <c r="F806" s="408" t="s">
        <v>1322</v>
      </c>
      <c r="G806" s="408" t="s">
        <v>1322</v>
      </c>
      <c r="H806" s="408" t="s">
        <v>1322</v>
      </c>
      <c r="I806" s="408" t="s">
        <v>1322</v>
      </c>
      <c r="J806" s="408" t="s">
        <v>2236</v>
      </c>
      <c r="K806" s="826">
        <v>44713</v>
      </c>
      <c r="L806" s="408">
        <v>0</v>
      </c>
      <c r="M806" s="408">
        <v>0</v>
      </c>
      <c r="N806" s="408">
        <v>443.76600000000002</v>
      </c>
      <c r="O806" s="408">
        <v>443.76600000000002</v>
      </c>
      <c r="P806" s="408">
        <v>443.76600000000002</v>
      </c>
      <c r="Q806" s="408">
        <v>443.76600000000002</v>
      </c>
      <c r="R806" s="408"/>
      <c r="S806" s="408">
        <v>368.24</v>
      </c>
      <c r="T806" s="408">
        <v>173.25</v>
      </c>
      <c r="U806" s="408"/>
      <c r="V806" s="408">
        <v>240294.85134000002</v>
      </c>
      <c r="W806" s="408">
        <v>240294.85134000002</v>
      </c>
      <c r="X806" s="408">
        <v>225828.07974000002</v>
      </c>
      <c r="Y806" s="408">
        <v>0</v>
      </c>
      <c r="Z806" s="408">
        <v>27311.659767651807</v>
      </c>
      <c r="AA806" s="408">
        <v>0</v>
      </c>
      <c r="AB806" s="408">
        <v>0</v>
      </c>
      <c r="AC806" s="408">
        <v>1135.835658263702</v>
      </c>
      <c r="AD806" s="408">
        <v>1091.2833700271613</v>
      </c>
      <c r="AE806" s="408">
        <v>104523.35928965507</v>
      </c>
      <c r="AF806" s="408">
        <v>75591.309269762016</v>
      </c>
      <c r="AG806" s="408">
        <v>1290.1313949141686</v>
      </c>
      <c r="AH806" s="408">
        <v>0</v>
      </c>
      <c r="AI806" s="408">
        <v>0</v>
      </c>
      <c r="AJ806" s="408">
        <v>0</v>
      </c>
      <c r="AK806" s="408">
        <v>0</v>
      </c>
      <c r="AL806" s="408">
        <v>4219.7843300475879</v>
      </c>
      <c r="AM806" s="408"/>
      <c r="AN806" s="408">
        <v>536.00574270588675</v>
      </c>
      <c r="AO806" s="408">
        <v>2411.1562086408962</v>
      </c>
      <c r="AP806" s="408">
        <v>11242.865690337665</v>
      </c>
      <c r="AQ806" s="408">
        <v>0</v>
      </c>
      <c r="AR806" s="408">
        <v>0</v>
      </c>
      <c r="AS806" s="408">
        <v>0</v>
      </c>
      <c r="AT806" s="408">
        <v>0</v>
      </c>
      <c r="AU806" s="408">
        <v>0</v>
      </c>
      <c r="AV806" s="408">
        <v>0</v>
      </c>
      <c r="AW806" s="408">
        <v>0</v>
      </c>
      <c r="AX806" s="408">
        <v>0</v>
      </c>
      <c r="AY806" s="408">
        <v>0</v>
      </c>
      <c r="AZ806" s="408">
        <v>0</v>
      </c>
      <c r="BA806" s="408"/>
      <c r="BB806" s="408">
        <v>0</v>
      </c>
      <c r="BC806" s="408">
        <v>0</v>
      </c>
      <c r="BD806" s="408">
        <v>0</v>
      </c>
      <c r="BE806" s="408">
        <v>0</v>
      </c>
      <c r="BF806" s="408">
        <v>0</v>
      </c>
      <c r="BG806" s="408">
        <v>3967.1756590289169</v>
      </c>
      <c r="BH806" s="408">
        <v>0</v>
      </c>
      <c r="BI806" s="408">
        <v>202.11</v>
      </c>
      <c r="BJ806" s="408">
        <v>2249.86</v>
      </c>
      <c r="BK806" s="408">
        <v>7155.21</v>
      </c>
      <c r="BL806" s="408">
        <v>508</v>
      </c>
      <c r="BM806" s="408"/>
      <c r="BN806" s="408"/>
      <c r="BO806" s="408"/>
      <c r="BP806" s="408"/>
      <c r="BQ806" s="408"/>
      <c r="BR806" s="408">
        <v>27096.35196</v>
      </c>
      <c r="BS806" s="408"/>
      <c r="BT806" s="408"/>
      <c r="BU806" s="408"/>
      <c r="BV806" s="408">
        <v>79558.484928790931</v>
      </c>
      <c r="BW806" s="408"/>
      <c r="BX806" s="408"/>
      <c r="BY806" s="408"/>
      <c r="BZ806" s="408"/>
      <c r="CA806" s="408"/>
      <c r="CB806" s="408"/>
      <c r="CC806" s="408"/>
      <c r="CD806" s="408"/>
      <c r="CE806" s="408"/>
      <c r="CF806" s="408"/>
      <c r="CG806" s="408"/>
      <c r="CH806" s="408"/>
      <c r="CI806" s="408">
        <v>198733.51909999998</v>
      </c>
      <c r="CJ806" s="408">
        <v>-12725.447560000059</v>
      </c>
      <c r="CK806" s="408"/>
      <c r="CL806" s="408"/>
      <c r="CM806" s="408"/>
      <c r="CN806" s="408"/>
      <c r="CO806" s="408">
        <v>-24047.679540000001</v>
      </c>
      <c r="CP806" s="408">
        <v>9580.9079400000028</v>
      </c>
      <c r="CQ806" s="408">
        <v>30</v>
      </c>
      <c r="CR806" s="408">
        <v>11496.731355098134</v>
      </c>
      <c r="CS806" s="408">
        <v>240.26656248300878</v>
      </c>
      <c r="CT806" s="408">
        <v>1120.327535061806</v>
      </c>
      <c r="CU806" s="408">
        <v>0</v>
      </c>
      <c r="CV806" s="408">
        <v>0</v>
      </c>
      <c r="CW806" s="408">
        <v>0</v>
      </c>
      <c r="CX806" s="408">
        <v>0</v>
      </c>
      <c r="CY806" s="408">
        <v>0</v>
      </c>
      <c r="CZ806" s="408">
        <v>1123.6602885202597</v>
      </c>
      <c r="DA806" s="408">
        <v>0</v>
      </c>
      <c r="DB806" s="408">
        <v>0</v>
      </c>
      <c r="DC806" s="408">
        <v>9579.8262000889372</v>
      </c>
      <c r="DD806" s="408">
        <v>0</v>
      </c>
      <c r="DE806" s="408">
        <v>0</v>
      </c>
      <c r="DF806" s="408">
        <v>0</v>
      </c>
      <c r="DG806" s="408">
        <v>502.76749650007878</v>
      </c>
      <c r="DH806" s="408">
        <v>0</v>
      </c>
      <c r="DI806" s="408">
        <v>-927.41754047713039</v>
      </c>
      <c r="DJ806" s="408"/>
      <c r="DK806" s="408">
        <v>0</v>
      </c>
      <c r="DL806" s="408">
        <v>0</v>
      </c>
      <c r="DM806" s="408">
        <v>0</v>
      </c>
      <c r="DN806" s="408">
        <v>0</v>
      </c>
      <c r="DO806" s="408">
        <v>-127.53481819756325</v>
      </c>
      <c r="DP806" s="408">
        <v>-15.164368881228825</v>
      </c>
      <c r="DQ806" s="408">
        <v>0</v>
      </c>
      <c r="DR806" s="408">
        <v>0</v>
      </c>
      <c r="DS806" s="408"/>
      <c r="DT806" s="408"/>
      <c r="DU806" s="408"/>
      <c r="DV806" s="408">
        <v>104523.35928965507</v>
      </c>
      <c r="DW806" s="408">
        <v>0</v>
      </c>
      <c r="DX806" s="408">
        <v>0</v>
      </c>
      <c r="DY806" s="408">
        <v>-24047.679540000012</v>
      </c>
      <c r="DZ806" s="408">
        <v>9580.9079400000046</v>
      </c>
      <c r="EA806" s="408">
        <v>0</v>
      </c>
      <c r="EB806" s="408">
        <v>0</v>
      </c>
      <c r="EC806" s="408">
        <v>-25965.375431944121</v>
      </c>
      <c r="ED806" s="408">
        <v>0</v>
      </c>
      <c r="EE806" s="408">
        <v>0</v>
      </c>
      <c r="EF806" s="408">
        <v>0</v>
      </c>
      <c r="EG806" s="408">
        <v>0</v>
      </c>
      <c r="EH806" s="408">
        <v>0</v>
      </c>
      <c r="EI806" s="408">
        <v>0</v>
      </c>
      <c r="EJ806" s="408">
        <v>0</v>
      </c>
      <c r="EK806" s="408">
        <v>0</v>
      </c>
      <c r="EL806" s="408">
        <v>0</v>
      </c>
      <c r="EM806" s="408">
        <v>0</v>
      </c>
      <c r="EN806" s="408">
        <v>0</v>
      </c>
      <c r="EO806" s="408">
        <v>0</v>
      </c>
      <c r="EP806" s="408">
        <v>6974.9107992323825</v>
      </c>
      <c r="EQ806" s="408">
        <v>0</v>
      </c>
      <c r="ER806" s="408">
        <v>0</v>
      </c>
      <c r="ES806" s="408">
        <v>0</v>
      </c>
      <c r="ET806" s="408">
        <v>0</v>
      </c>
      <c r="EU806" s="408">
        <v>0</v>
      </c>
      <c r="EV806" s="408">
        <v>240</v>
      </c>
      <c r="EW806" s="408">
        <v>0</v>
      </c>
      <c r="EX806" s="408">
        <v>0</v>
      </c>
      <c r="EY806" s="408">
        <v>0</v>
      </c>
      <c r="EZ806" s="408"/>
      <c r="FA806" s="408">
        <v>0</v>
      </c>
      <c r="FB806" s="408"/>
      <c r="FC806" s="408"/>
      <c r="FD806" s="408"/>
      <c r="FE806" s="408"/>
      <c r="FF806" s="408">
        <v>0</v>
      </c>
      <c r="FG806" s="408">
        <v>0</v>
      </c>
      <c r="FH806" s="408">
        <v>0</v>
      </c>
      <c r="FI806" s="408">
        <v>0</v>
      </c>
    </row>
    <row r="807" spans="1:165">
      <c r="A807" s="408">
        <v>805</v>
      </c>
      <c r="B807" s="408" t="s">
        <v>1036</v>
      </c>
      <c r="C807" s="408" t="s">
        <v>2243</v>
      </c>
      <c r="D807" s="408" t="s">
        <v>597</v>
      </c>
      <c r="E807" s="408" t="s">
        <v>974</v>
      </c>
      <c r="F807" s="408" t="s">
        <v>1322</v>
      </c>
      <c r="G807" s="408" t="s">
        <v>1322</v>
      </c>
      <c r="H807" s="408" t="s">
        <v>1322</v>
      </c>
      <c r="I807" s="408" t="s">
        <v>973</v>
      </c>
      <c r="J807" s="408" t="s">
        <v>2236</v>
      </c>
      <c r="K807" s="826">
        <v>44713</v>
      </c>
      <c r="L807" s="408">
        <v>0</v>
      </c>
      <c r="M807" s="408">
        <v>0</v>
      </c>
      <c r="N807" s="408">
        <v>6.1639999999999997</v>
      </c>
      <c r="O807" s="408">
        <v>5.91744</v>
      </c>
      <c r="P807" s="408">
        <v>6.1639999999999997</v>
      </c>
      <c r="Q807" s="408">
        <v>5.91744</v>
      </c>
      <c r="R807" s="408"/>
      <c r="S807" s="408">
        <v>1358.36</v>
      </c>
      <c r="T807" s="408">
        <v>173.25</v>
      </c>
      <c r="U807" s="408"/>
      <c r="V807" s="408">
        <v>9440.8440399999999</v>
      </c>
      <c r="W807" s="408">
        <v>9440.8440399999999</v>
      </c>
      <c r="X807" s="408">
        <v>8277.7588799999994</v>
      </c>
      <c r="Y807" s="408">
        <v>0</v>
      </c>
      <c r="Z807" s="408">
        <v>330.04712303959934</v>
      </c>
      <c r="AA807" s="408">
        <v>0</v>
      </c>
      <c r="AB807" s="408">
        <v>0</v>
      </c>
      <c r="AC807" s="408">
        <v>116.75903250025191</v>
      </c>
      <c r="AD807" s="408">
        <v>112.1795944684968</v>
      </c>
      <c r="AE807" s="408">
        <v>6216.4415663574182</v>
      </c>
      <c r="AF807" s="408">
        <v>1049.9786606878693</v>
      </c>
      <c r="AG807" s="408">
        <v>17.920187482256267</v>
      </c>
      <c r="AH807" s="408">
        <v>0</v>
      </c>
      <c r="AI807" s="408">
        <v>0</v>
      </c>
      <c r="AJ807" s="408">
        <v>0</v>
      </c>
      <c r="AK807" s="408">
        <v>0</v>
      </c>
      <c r="AL807" s="408">
        <v>58.613662629433826</v>
      </c>
      <c r="AM807" s="408"/>
      <c r="AN807" s="408">
        <v>4.9362164316937962</v>
      </c>
      <c r="AO807" s="408">
        <v>247.85950800005597</v>
      </c>
      <c r="AP807" s="408">
        <v>1155.7259676644526</v>
      </c>
      <c r="AQ807" s="408">
        <v>0</v>
      </c>
      <c r="AR807" s="408">
        <v>0</v>
      </c>
      <c r="AS807" s="408">
        <v>0</v>
      </c>
      <c r="AT807" s="408">
        <v>0</v>
      </c>
      <c r="AU807" s="408">
        <v>0</v>
      </c>
      <c r="AV807" s="408">
        <v>0</v>
      </c>
      <c r="AW807" s="408">
        <v>0</v>
      </c>
      <c r="AX807" s="408">
        <v>0</v>
      </c>
      <c r="AY807" s="408">
        <v>0</v>
      </c>
      <c r="AZ807" s="408">
        <v>0</v>
      </c>
      <c r="BA807" s="408"/>
      <c r="BB807" s="408">
        <v>0</v>
      </c>
      <c r="BC807" s="408">
        <v>0</v>
      </c>
      <c r="BD807" s="408">
        <v>0</v>
      </c>
      <c r="BE807" s="408">
        <v>0</v>
      </c>
      <c r="BF807" s="408">
        <v>0</v>
      </c>
      <c r="BG807" s="408">
        <v>46.098439177643556</v>
      </c>
      <c r="BH807" s="408">
        <v>0</v>
      </c>
      <c r="BI807" s="408">
        <v>0</v>
      </c>
      <c r="BJ807" s="408">
        <v>0</v>
      </c>
      <c r="BK807" s="408">
        <v>0</v>
      </c>
      <c r="BL807" s="408">
        <v>0</v>
      </c>
      <c r="BM807" s="408"/>
      <c r="BN807" s="408"/>
      <c r="BO807" s="408"/>
      <c r="BP807" s="408"/>
      <c r="BQ807" s="408"/>
      <c r="BR807" s="408">
        <v>331.11035519999956</v>
      </c>
      <c r="BS807" s="408"/>
      <c r="BT807" s="408"/>
      <c r="BU807" s="408"/>
      <c r="BV807" s="408">
        <v>1096.0770998655128</v>
      </c>
      <c r="BW807" s="408"/>
      <c r="BX807" s="408"/>
      <c r="BY807" s="408"/>
      <c r="BZ807" s="408"/>
      <c r="CA807" s="408"/>
      <c r="CB807" s="408"/>
      <c r="CC807" s="408"/>
      <c r="CD807" s="408"/>
      <c r="CE807" s="408"/>
      <c r="CF807" s="408"/>
      <c r="CG807" s="408"/>
      <c r="CH807" s="408"/>
      <c r="CI807" s="408">
        <v>7950.0863999999992</v>
      </c>
      <c r="CJ807" s="408">
        <v>-1113.1538784000013</v>
      </c>
      <c r="CK807" s="408"/>
      <c r="CL807" s="408"/>
      <c r="CM807" s="408"/>
      <c r="CN807" s="408"/>
      <c r="CO807" s="408">
        <v>-1296.1659199999997</v>
      </c>
      <c r="CP807" s="408">
        <v>133.08076000000003</v>
      </c>
      <c r="CQ807" s="408">
        <v>30</v>
      </c>
      <c r="CR807" s="408">
        <v>381.16148726173469</v>
      </c>
      <c r="CS807" s="408">
        <v>24.698670186727696</v>
      </c>
      <c r="CT807" s="408">
        <v>115.16562237981839</v>
      </c>
      <c r="CU807" s="408">
        <v>0</v>
      </c>
      <c r="CV807" s="408">
        <v>0</v>
      </c>
      <c r="CW807" s="408">
        <v>0</v>
      </c>
      <c r="CX807" s="408">
        <v>0</v>
      </c>
      <c r="CY807" s="408">
        <v>0</v>
      </c>
      <c r="CZ807" s="408">
        <v>115.507813047146</v>
      </c>
      <c r="DA807" s="408">
        <v>0</v>
      </c>
      <c r="DB807" s="408">
        <v>0</v>
      </c>
      <c r="DC807" s="408">
        <v>133.06573441261435</v>
      </c>
      <c r="DD807" s="408">
        <v>0</v>
      </c>
      <c r="DE807" s="408">
        <v>0</v>
      </c>
      <c r="DF807" s="408">
        <v>0</v>
      </c>
      <c r="DG807" s="408">
        <v>5.8421403159086083</v>
      </c>
      <c r="DH807" s="408">
        <v>0</v>
      </c>
      <c r="DI807" s="408">
        <v>-11.207355894696207</v>
      </c>
      <c r="DJ807" s="408"/>
      <c r="DK807" s="408">
        <v>0</v>
      </c>
      <c r="DL807" s="408">
        <v>0</v>
      </c>
      <c r="DM807" s="408">
        <v>0</v>
      </c>
      <c r="DN807" s="408">
        <v>0</v>
      </c>
      <c r="DO807" s="408">
        <v>-1.7714845647701338</v>
      </c>
      <c r="DP807" s="408">
        <v>-0.13965262101466802</v>
      </c>
      <c r="DQ807" s="408">
        <v>0</v>
      </c>
      <c r="DR807" s="408">
        <v>0</v>
      </c>
      <c r="DS807" s="408"/>
      <c r="DT807" s="408"/>
      <c r="DU807" s="408"/>
      <c r="DV807" s="408">
        <v>6216.4415663574182</v>
      </c>
      <c r="DW807" s="408">
        <v>0</v>
      </c>
      <c r="DX807" s="408">
        <v>0</v>
      </c>
      <c r="DY807" s="408">
        <v>-1296.1659200000004</v>
      </c>
      <c r="DZ807" s="408">
        <v>133.08076000000005</v>
      </c>
      <c r="EA807" s="408">
        <v>0</v>
      </c>
      <c r="EB807" s="408">
        <v>0</v>
      </c>
      <c r="EC807" s="408">
        <v>-1544.2695318843244</v>
      </c>
      <c r="ED807" s="408">
        <v>0</v>
      </c>
      <c r="EE807" s="408">
        <v>0</v>
      </c>
      <c r="EF807" s="408">
        <v>0</v>
      </c>
      <c r="EG807" s="408">
        <v>0</v>
      </c>
      <c r="EH807" s="408">
        <v>0</v>
      </c>
      <c r="EI807" s="408">
        <v>0</v>
      </c>
      <c r="EJ807" s="408">
        <v>0</v>
      </c>
      <c r="EK807" s="408">
        <v>0</v>
      </c>
      <c r="EL807" s="408">
        <v>0</v>
      </c>
      <c r="EM807" s="408">
        <v>0</v>
      </c>
      <c r="EN807" s="408">
        <v>0</v>
      </c>
      <c r="EO807" s="408">
        <v>0</v>
      </c>
      <c r="EP807" s="408">
        <v>84.288148810020587</v>
      </c>
      <c r="EQ807" s="408">
        <v>0</v>
      </c>
      <c r="ER807" s="408">
        <v>0</v>
      </c>
      <c r="ES807" s="408">
        <v>0</v>
      </c>
      <c r="ET807" s="408">
        <v>0</v>
      </c>
      <c r="EU807" s="408">
        <v>0</v>
      </c>
      <c r="EV807" s="408">
        <v>240</v>
      </c>
      <c r="EW807" s="408">
        <v>0</v>
      </c>
      <c r="EX807" s="408">
        <v>0</v>
      </c>
      <c r="EY807" s="408">
        <v>0</v>
      </c>
      <c r="EZ807" s="408"/>
      <c r="FA807" s="408">
        <v>0</v>
      </c>
      <c r="FB807" s="408"/>
      <c r="FC807" s="408"/>
      <c r="FD807" s="408"/>
      <c r="FE807" s="408"/>
      <c r="FF807" s="408">
        <v>0</v>
      </c>
      <c r="FG807" s="408">
        <v>0</v>
      </c>
      <c r="FH807" s="408">
        <v>0</v>
      </c>
      <c r="FI807" s="408">
        <v>0</v>
      </c>
    </row>
    <row r="808" spans="1:165">
      <c r="A808" s="408">
        <v>806</v>
      </c>
      <c r="B808" s="408" t="s">
        <v>1036</v>
      </c>
      <c r="C808" s="408" t="s">
        <v>2243</v>
      </c>
      <c r="D808" s="408" t="s">
        <v>597</v>
      </c>
      <c r="E808" s="408" t="s">
        <v>974</v>
      </c>
      <c r="F808" s="408" t="s">
        <v>1322</v>
      </c>
      <c r="G808" s="408" t="s">
        <v>1322</v>
      </c>
      <c r="H808" s="408" t="s">
        <v>1322</v>
      </c>
      <c r="I808" s="408" t="s">
        <v>2244</v>
      </c>
      <c r="J808" s="408" t="s">
        <v>2236</v>
      </c>
      <c r="K808" s="826">
        <v>44713</v>
      </c>
      <c r="L808" s="408">
        <v>0</v>
      </c>
      <c r="M808" s="408">
        <v>0</v>
      </c>
      <c r="N808" s="408">
        <v>79.713999999999999</v>
      </c>
      <c r="O808" s="408">
        <v>76.525440000000003</v>
      </c>
      <c r="P808" s="408">
        <v>79.713999999999999</v>
      </c>
      <c r="Q808" s="408">
        <v>76.525440000000003</v>
      </c>
      <c r="R808" s="408"/>
      <c r="S808" s="408">
        <v>85.01</v>
      </c>
      <c r="T808" s="408">
        <v>173.25</v>
      </c>
      <c r="U808" s="408"/>
      <c r="V808" s="408">
        <v>20586.93764</v>
      </c>
      <c r="W808" s="408">
        <v>20586.93764</v>
      </c>
      <c r="X808" s="408">
        <v>22213.900379999999</v>
      </c>
      <c r="Y808" s="408">
        <v>0</v>
      </c>
      <c r="Z808" s="408">
        <v>4268.2310781925089</v>
      </c>
      <c r="AA808" s="408">
        <v>0</v>
      </c>
      <c r="AB808" s="408">
        <v>0</v>
      </c>
      <c r="AC808" s="408">
        <v>0</v>
      </c>
      <c r="AD808" s="408">
        <v>0</v>
      </c>
      <c r="AE808" s="408">
        <v>0</v>
      </c>
      <c r="AF808" s="408">
        <v>13578.52027223764</v>
      </c>
      <c r="AG808" s="408">
        <v>231.74721365356521</v>
      </c>
      <c r="AH808" s="408">
        <v>0</v>
      </c>
      <c r="AI808" s="408">
        <v>0</v>
      </c>
      <c r="AJ808" s="408">
        <v>0</v>
      </c>
      <c r="AK808" s="408">
        <v>0</v>
      </c>
      <c r="AL808" s="408">
        <v>758.00283952671771</v>
      </c>
      <c r="AM808" s="408"/>
      <c r="AN808" s="408">
        <v>63.836073432193267</v>
      </c>
      <c r="AO808" s="408">
        <v>0</v>
      </c>
      <c r="AP808" s="408">
        <v>0</v>
      </c>
      <c r="AQ808" s="408">
        <v>0</v>
      </c>
      <c r="AR808" s="408">
        <v>0</v>
      </c>
      <c r="AS808" s="408">
        <v>0</v>
      </c>
      <c r="AT808" s="408">
        <v>0</v>
      </c>
      <c r="AU808" s="408">
        <v>0</v>
      </c>
      <c r="AV808" s="408">
        <v>0</v>
      </c>
      <c r="AW808" s="408">
        <v>0</v>
      </c>
      <c r="AX808" s="408">
        <v>0</v>
      </c>
      <c r="AY808" s="408">
        <v>0</v>
      </c>
      <c r="AZ808" s="408">
        <v>0</v>
      </c>
      <c r="BA808" s="408"/>
      <c r="BB808" s="408">
        <v>0</v>
      </c>
      <c r="BC808" s="408">
        <v>0</v>
      </c>
      <c r="BD808" s="408">
        <v>0</v>
      </c>
      <c r="BE808" s="408">
        <v>0</v>
      </c>
      <c r="BF808" s="408">
        <v>0</v>
      </c>
      <c r="BG808" s="408">
        <v>596.15363085767012</v>
      </c>
      <c r="BH808" s="408">
        <v>0</v>
      </c>
      <c r="BI808" s="408">
        <v>0</v>
      </c>
      <c r="BJ808" s="408">
        <v>0</v>
      </c>
      <c r="BK808" s="408">
        <v>0</v>
      </c>
      <c r="BL808" s="408">
        <v>0</v>
      </c>
      <c r="BM808" s="408"/>
      <c r="BN808" s="408"/>
      <c r="BO808" s="408"/>
      <c r="BP808" s="408"/>
      <c r="BQ808" s="408"/>
      <c r="BR808" s="408">
        <v>888.55601519999868</v>
      </c>
      <c r="BS808" s="408"/>
      <c r="BT808" s="408"/>
      <c r="BU808" s="408"/>
      <c r="BV808" s="408">
        <v>14174.67390309531</v>
      </c>
      <c r="BW808" s="408"/>
      <c r="BX808" s="408"/>
      <c r="BY808" s="408"/>
      <c r="BZ808" s="408"/>
      <c r="CA808" s="408"/>
      <c r="CB808" s="408"/>
      <c r="CC808" s="408"/>
      <c r="CD808" s="408"/>
      <c r="CE808" s="408"/>
      <c r="CF808" s="408"/>
      <c r="CG808" s="408"/>
      <c r="CH808" s="408"/>
      <c r="CI808" s="408">
        <v>21326.615099999999</v>
      </c>
      <c r="CJ808" s="408">
        <v>1563.1249656</v>
      </c>
      <c r="CK808" s="408"/>
      <c r="CL808" s="408"/>
      <c r="CM808" s="408"/>
      <c r="CN808" s="408"/>
      <c r="CO808" s="408">
        <v>-94.062520000000546</v>
      </c>
      <c r="CP808" s="408">
        <v>1721.0252600000003</v>
      </c>
      <c r="CQ808" s="408">
        <v>30</v>
      </c>
      <c r="CR808" s="408">
        <v>1626.7317924549025</v>
      </c>
      <c r="CS808" s="408">
        <v>0</v>
      </c>
      <c r="CT808" s="408">
        <v>0</v>
      </c>
      <c r="CU808" s="408">
        <v>0</v>
      </c>
      <c r="CV808" s="408">
        <v>0</v>
      </c>
      <c r="CW808" s="408">
        <v>0</v>
      </c>
      <c r="CX808" s="408">
        <v>0</v>
      </c>
      <c r="CY808" s="408">
        <v>0</v>
      </c>
      <c r="CZ808" s="408">
        <v>0</v>
      </c>
      <c r="DA808" s="408">
        <v>0</v>
      </c>
      <c r="DB808" s="408">
        <v>0</v>
      </c>
      <c r="DC808" s="408">
        <v>1720.8309462957732</v>
      </c>
      <c r="DD808" s="408">
        <v>0</v>
      </c>
      <c r="DE808" s="408">
        <v>0</v>
      </c>
      <c r="DF808" s="408">
        <v>0</v>
      </c>
      <c r="DG808" s="408">
        <v>75.551650412449476</v>
      </c>
      <c r="DH808" s="408">
        <v>0</v>
      </c>
      <c r="DI808" s="408">
        <v>-144.93562099120936</v>
      </c>
      <c r="DJ808" s="408"/>
      <c r="DK808" s="408">
        <v>0</v>
      </c>
      <c r="DL808" s="408">
        <v>0</v>
      </c>
      <c r="DM808" s="408">
        <v>0</v>
      </c>
      <c r="DN808" s="408">
        <v>0</v>
      </c>
      <c r="DO808" s="408">
        <v>-22.909169467243032</v>
      </c>
      <c r="DP808" s="408">
        <v>-1.8060137948674964</v>
      </c>
      <c r="DQ808" s="408">
        <v>0</v>
      </c>
      <c r="DR808" s="408">
        <v>0</v>
      </c>
      <c r="DS808" s="408"/>
      <c r="DT808" s="408"/>
      <c r="DU808" s="408"/>
      <c r="DV808" s="408">
        <v>0</v>
      </c>
      <c r="DW808" s="408">
        <v>0</v>
      </c>
      <c r="DX808" s="408">
        <v>0</v>
      </c>
      <c r="DY808" s="408">
        <v>-94.062520000000404</v>
      </c>
      <c r="DZ808" s="408">
        <v>1721.0252600000003</v>
      </c>
      <c r="EA808" s="408">
        <v>0</v>
      </c>
      <c r="EB808" s="408">
        <v>0</v>
      </c>
      <c r="EC808" s="408">
        <v>0</v>
      </c>
      <c r="ED808" s="408">
        <v>0</v>
      </c>
      <c r="EE808" s="408">
        <v>0</v>
      </c>
      <c r="EF808" s="408">
        <v>0</v>
      </c>
      <c r="EG808" s="408">
        <v>0</v>
      </c>
      <c r="EH808" s="408">
        <v>0</v>
      </c>
      <c r="EI808" s="408">
        <v>0</v>
      </c>
      <c r="EJ808" s="408">
        <v>0</v>
      </c>
      <c r="EK808" s="408">
        <v>0</v>
      </c>
      <c r="EL808" s="408">
        <v>0</v>
      </c>
      <c r="EM808" s="408">
        <v>0</v>
      </c>
      <c r="EN808" s="408">
        <v>0</v>
      </c>
      <c r="EO808" s="408">
        <v>0</v>
      </c>
      <c r="EP808" s="408">
        <v>1090.0300931606068</v>
      </c>
      <c r="EQ808" s="408">
        <v>0</v>
      </c>
      <c r="ER808" s="408">
        <v>0</v>
      </c>
      <c r="ES808" s="408">
        <v>0</v>
      </c>
      <c r="ET808" s="408">
        <v>0</v>
      </c>
      <c r="EU808" s="408">
        <v>0</v>
      </c>
      <c r="EV808" s="408">
        <v>240</v>
      </c>
      <c r="EW808" s="408">
        <v>0</v>
      </c>
      <c r="EX808" s="408">
        <v>0</v>
      </c>
      <c r="EY808" s="408">
        <v>0</v>
      </c>
      <c r="EZ808" s="408"/>
      <c r="FA808" s="408">
        <v>0</v>
      </c>
      <c r="FB808" s="408"/>
      <c r="FC808" s="408"/>
      <c r="FD808" s="408"/>
      <c r="FE808" s="408"/>
      <c r="FF808" s="408">
        <v>0</v>
      </c>
      <c r="FG808" s="408">
        <v>0</v>
      </c>
      <c r="FH808" s="408">
        <v>0</v>
      </c>
      <c r="FI808" s="408">
        <v>0</v>
      </c>
    </row>
    <row r="809" spans="1:165">
      <c r="A809" s="408">
        <v>807</v>
      </c>
      <c r="B809" s="408" t="s">
        <v>2238</v>
      </c>
      <c r="C809" s="408" t="s">
        <v>2243</v>
      </c>
      <c r="D809" s="408" t="s">
        <v>597</v>
      </c>
      <c r="E809" s="408" t="s">
        <v>974</v>
      </c>
      <c r="F809" s="408" t="s">
        <v>1322</v>
      </c>
      <c r="G809" s="408" t="s">
        <v>1322</v>
      </c>
      <c r="H809" s="408" t="s">
        <v>1322</v>
      </c>
      <c r="I809" s="408" t="s">
        <v>2244</v>
      </c>
      <c r="J809" s="408" t="s">
        <v>2236</v>
      </c>
      <c r="K809" s="826">
        <v>44713</v>
      </c>
      <c r="L809" s="408">
        <v>0</v>
      </c>
      <c r="M809" s="408">
        <v>0</v>
      </c>
      <c r="N809" s="408">
        <v>26.773</v>
      </c>
      <c r="O809" s="408">
        <v>25.702079999999999</v>
      </c>
      <c r="P809" s="408">
        <v>26.773</v>
      </c>
      <c r="Q809" s="408">
        <v>25.702079999999999</v>
      </c>
      <c r="R809" s="408"/>
      <c r="S809" s="408">
        <v>85.01</v>
      </c>
      <c r="T809" s="408">
        <v>173.25</v>
      </c>
      <c r="U809" s="408"/>
      <c r="V809" s="408">
        <v>6914.3949799999991</v>
      </c>
      <c r="W809" s="408">
        <v>6914.3949799999991</v>
      </c>
      <c r="X809" s="408">
        <v>7460.8319099999999</v>
      </c>
      <c r="Y809" s="408">
        <v>0</v>
      </c>
      <c r="Z809" s="408">
        <v>1433.5417951231657</v>
      </c>
      <c r="AA809" s="408">
        <v>0</v>
      </c>
      <c r="AB809" s="408">
        <v>0</v>
      </c>
      <c r="AC809" s="408">
        <v>0</v>
      </c>
      <c r="AD809" s="408">
        <v>0</v>
      </c>
      <c r="AE809" s="408">
        <v>0</v>
      </c>
      <c r="AF809" s="408">
        <v>4560.5254189805846</v>
      </c>
      <c r="AG809" s="408">
        <v>77.835363313180892</v>
      </c>
      <c r="AH809" s="408">
        <v>0</v>
      </c>
      <c r="AI809" s="408">
        <v>0</v>
      </c>
      <c r="AJ809" s="408">
        <v>0</v>
      </c>
      <c r="AK809" s="408">
        <v>0</v>
      </c>
      <c r="AL809" s="408">
        <v>254.58526761483319</v>
      </c>
      <c r="AM809" s="408"/>
      <c r="AN809" s="408">
        <v>21.440188599243676</v>
      </c>
      <c r="AO809" s="408">
        <v>0</v>
      </c>
      <c r="AP809" s="408">
        <v>0</v>
      </c>
      <c r="AQ809" s="408">
        <v>0</v>
      </c>
      <c r="AR809" s="408">
        <v>0</v>
      </c>
      <c r="AS809" s="408">
        <v>0</v>
      </c>
      <c r="AT809" s="408">
        <v>0</v>
      </c>
      <c r="AU809" s="408">
        <v>0</v>
      </c>
      <c r="AV809" s="408">
        <v>0</v>
      </c>
      <c r="AW809" s="408">
        <v>0</v>
      </c>
      <c r="AX809" s="408">
        <v>0</v>
      </c>
      <c r="AY809" s="408">
        <v>0</v>
      </c>
      <c r="AZ809" s="408">
        <v>0</v>
      </c>
      <c r="BA809" s="408"/>
      <c r="BB809" s="408">
        <v>0</v>
      </c>
      <c r="BC809" s="408">
        <v>0</v>
      </c>
      <c r="BD809" s="408">
        <v>0</v>
      </c>
      <c r="BE809" s="408">
        <v>0</v>
      </c>
      <c r="BF809" s="408">
        <v>0</v>
      </c>
      <c r="BG809" s="408">
        <v>200.22607269679608</v>
      </c>
      <c r="BH809" s="408">
        <v>0</v>
      </c>
      <c r="BI809" s="408">
        <v>0</v>
      </c>
      <c r="BJ809" s="408">
        <v>0</v>
      </c>
      <c r="BK809" s="408">
        <v>0</v>
      </c>
      <c r="BL809" s="408">
        <v>0</v>
      </c>
      <c r="BM809" s="408"/>
      <c r="BN809" s="408"/>
      <c r="BO809" s="408"/>
      <c r="BP809" s="408"/>
      <c r="BQ809" s="408"/>
      <c r="BR809" s="408">
        <v>298.4332764000003</v>
      </c>
      <c r="BS809" s="408"/>
      <c r="BT809" s="408"/>
      <c r="BU809" s="408"/>
      <c r="BV809" s="408">
        <v>4760.7514916773807</v>
      </c>
      <c r="BW809" s="408"/>
      <c r="BX809" s="408"/>
      <c r="BY809" s="408"/>
      <c r="BZ809" s="408"/>
      <c r="CA809" s="408"/>
      <c r="CB809" s="408"/>
      <c r="CC809" s="408"/>
      <c r="CD809" s="408"/>
      <c r="CE809" s="408"/>
      <c r="CF809" s="408"/>
      <c r="CG809" s="408"/>
      <c r="CH809" s="408"/>
      <c r="CI809" s="408">
        <v>7161.8189999999995</v>
      </c>
      <c r="CJ809" s="408">
        <v>523.96981919999871</v>
      </c>
      <c r="CK809" s="408"/>
      <c r="CL809" s="408"/>
      <c r="CM809" s="408"/>
      <c r="CN809" s="408"/>
      <c r="CO809" s="408">
        <v>-31.592140000000182</v>
      </c>
      <c r="CP809" s="408">
        <v>578.02907000000005</v>
      </c>
      <c r="CQ809" s="408">
        <v>30</v>
      </c>
      <c r="CR809" s="408">
        <v>546.35936321593545</v>
      </c>
      <c r="CS809" s="408">
        <v>0</v>
      </c>
      <c r="CT809" s="408">
        <v>0</v>
      </c>
      <c r="CU809" s="408">
        <v>0</v>
      </c>
      <c r="CV809" s="408">
        <v>0</v>
      </c>
      <c r="CW809" s="408">
        <v>0</v>
      </c>
      <c r="CX809" s="408">
        <v>0</v>
      </c>
      <c r="CY809" s="408">
        <v>0</v>
      </c>
      <c r="CZ809" s="408">
        <v>0</v>
      </c>
      <c r="DA809" s="408">
        <v>0</v>
      </c>
      <c r="DB809" s="408">
        <v>0</v>
      </c>
      <c r="DC809" s="408">
        <v>577.96380717536158</v>
      </c>
      <c r="DD809" s="408">
        <v>0</v>
      </c>
      <c r="DE809" s="408">
        <v>0</v>
      </c>
      <c r="DF809" s="408">
        <v>0</v>
      </c>
      <c r="DG809" s="408">
        <v>25.375019902307116</v>
      </c>
      <c r="DH809" s="408">
        <v>0</v>
      </c>
      <c r="DI809" s="408">
        <v>-48.678543051379165</v>
      </c>
      <c r="DJ809" s="408"/>
      <c r="DK809" s="408">
        <v>0</v>
      </c>
      <c r="DL809" s="408">
        <v>0</v>
      </c>
      <c r="DM809" s="408">
        <v>0</v>
      </c>
      <c r="DN809" s="408">
        <v>0</v>
      </c>
      <c r="DO809" s="408">
        <v>-7.6943472181360448</v>
      </c>
      <c r="DP809" s="408">
        <v>-0.60657359221702123</v>
      </c>
      <c r="DQ809" s="408">
        <v>0</v>
      </c>
      <c r="DR809" s="408">
        <v>0</v>
      </c>
      <c r="DS809" s="408"/>
      <c r="DT809" s="408"/>
      <c r="DU809" s="408"/>
      <c r="DV809" s="408">
        <v>0</v>
      </c>
      <c r="DW809" s="408">
        <v>0</v>
      </c>
      <c r="DX809" s="408">
        <v>0</v>
      </c>
      <c r="DY809" s="408">
        <v>-31.5921400000002</v>
      </c>
      <c r="DZ809" s="408">
        <v>578.0290700000005</v>
      </c>
      <c r="EA809" s="408">
        <v>0</v>
      </c>
      <c r="EB809" s="408">
        <v>0</v>
      </c>
      <c r="EC809" s="408">
        <v>0</v>
      </c>
      <c r="ED809" s="408">
        <v>0</v>
      </c>
      <c r="EE809" s="408">
        <v>0</v>
      </c>
      <c r="EF809" s="408">
        <v>0</v>
      </c>
      <c r="EG809" s="408">
        <v>0</v>
      </c>
      <c r="EH809" s="408">
        <v>0</v>
      </c>
      <c r="EI809" s="408">
        <v>0</v>
      </c>
      <c r="EJ809" s="408">
        <v>0</v>
      </c>
      <c r="EK809" s="408">
        <v>0</v>
      </c>
      <c r="EL809" s="408">
        <v>0</v>
      </c>
      <c r="EM809" s="408">
        <v>0</v>
      </c>
      <c r="EN809" s="408">
        <v>0</v>
      </c>
      <c r="EO809" s="408">
        <v>0</v>
      </c>
      <c r="EP809" s="408">
        <v>366.10100715293333</v>
      </c>
      <c r="EQ809" s="408">
        <v>0</v>
      </c>
      <c r="ER809" s="408">
        <v>0</v>
      </c>
      <c r="ES809" s="408">
        <v>0</v>
      </c>
      <c r="ET809" s="408">
        <v>0</v>
      </c>
      <c r="EU809" s="408">
        <v>0</v>
      </c>
      <c r="EV809" s="408">
        <v>240</v>
      </c>
      <c r="EW809" s="408">
        <v>0</v>
      </c>
      <c r="EX809" s="408">
        <v>0</v>
      </c>
      <c r="EY809" s="408">
        <v>0</v>
      </c>
      <c r="EZ809" s="408"/>
      <c r="FA809" s="408">
        <v>0</v>
      </c>
      <c r="FB809" s="408"/>
      <c r="FC809" s="408"/>
      <c r="FD809" s="408"/>
      <c r="FE809" s="408"/>
      <c r="FF809" s="408">
        <v>0</v>
      </c>
      <c r="FG809" s="408">
        <v>0</v>
      </c>
      <c r="FH809" s="408">
        <v>0</v>
      </c>
      <c r="FI809" s="408">
        <v>0</v>
      </c>
    </row>
    <row r="810" spans="1:165">
      <c r="A810" s="408">
        <v>808</v>
      </c>
      <c r="B810" s="408" t="s">
        <v>1036</v>
      </c>
      <c r="C810" s="408" t="s">
        <v>2243</v>
      </c>
      <c r="D810" s="408" t="s">
        <v>597</v>
      </c>
      <c r="E810" s="408" t="s">
        <v>974</v>
      </c>
      <c r="F810" s="408" t="s">
        <v>1322</v>
      </c>
      <c r="G810" s="408" t="s">
        <v>1322</v>
      </c>
      <c r="H810" s="408" t="s">
        <v>1322</v>
      </c>
      <c r="I810" s="408" t="s">
        <v>1322</v>
      </c>
      <c r="J810" s="408" t="s">
        <v>2236</v>
      </c>
      <c r="K810" s="826">
        <v>44713</v>
      </c>
      <c r="L810" s="408">
        <v>360</v>
      </c>
      <c r="M810" s="408">
        <v>345.6</v>
      </c>
      <c r="N810" s="408">
        <v>0</v>
      </c>
      <c r="O810" s="408">
        <v>0</v>
      </c>
      <c r="P810" s="408">
        <v>0</v>
      </c>
      <c r="Q810" s="408">
        <v>0</v>
      </c>
      <c r="R810" s="408">
        <v>27.19</v>
      </c>
      <c r="S810" s="408"/>
      <c r="T810" s="408"/>
      <c r="U810" s="408">
        <v>9788.4</v>
      </c>
      <c r="V810" s="408"/>
      <c r="W810" s="408">
        <v>9788.4</v>
      </c>
      <c r="X810" s="408">
        <v>7833.6</v>
      </c>
      <c r="Y810" s="408">
        <v>0</v>
      </c>
      <c r="Z810" s="408">
        <v>0</v>
      </c>
      <c r="AA810" s="408">
        <v>0</v>
      </c>
      <c r="AB810" s="408">
        <v>0</v>
      </c>
      <c r="AC810" s="408">
        <v>83.95222083392305</v>
      </c>
      <c r="AD810" s="408">
        <v>80.652542173352643</v>
      </c>
      <c r="AE810" s="408">
        <v>8615.5308875374194</v>
      </c>
      <c r="AF810" s="408"/>
      <c r="AG810" s="408"/>
      <c r="AH810" s="408"/>
      <c r="AI810" s="408">
        <v>0</v>
      </c>
      <c r="AJ810" s="408">
        <v>0</v>
      </c>
      <c r="AK810" s="408">
        <v>0</v>
      </c>
      <c r="AL810" s="408">
        <v>0</v>
      </c>
      <c r="AM810" s="408"/>
      <c r="AN810" s="408">
        <v>0</v>
      </c>
      <c r="AO810" s="408">
        <v>178.15853919256705</v>
      </c>
      <c r="AP810" s="408">
        <v>830.91198348413639</v>
      </c>
      <c r="AQ810" s="408">
        <v>0</v>
      </c>
      <c r="AR810" s="408">
        <v>0</v>
      </c>
      <c r="AS810" s="408"/>
      <c r="AT810" s="408"/>
      <c r="AU810" s="408">
        <v>0</v>
      </c>
      <c r="AV810" s="408">
        <v>0</v>
      </c>
      <c r="AW810" s="408">
        <v>0</v>
      </c>
      <c r="AX810" s="408"/>
      <c r="AY810" s="408"/>
      <c r="AZ810" s="408">
        <v>0</v>
      </c>
      <c r="BA810" s="408"/>
      <c r="BB810" s="408">
        <v>0</v>
      </c>
      <c r="BC810" s="408">
        <v>0</v>
      </c>
      <c r="BD810" s="408">
        <v>0</v>
      </c>
      <c r="BE810" s="408">
        <v>0</v>
      </c>
      <c r="BF810" s="408"/>
      <c r="BG810" s="408">
        <v>0</v>
      </c>
      <c r="BH810" s="408">
        <v>0</v>
      </c>
      <c r="BI810" s="408">
        <v>37.21</v>
      </c>
      <c r="BJ810" s="408">
        <v>409.63</v>
      </c>
      <c r="BK810" s="408">
        <v>19.61</v>
      </c>
      <c r="BL810" s="408">
        <v>4</v>
      </c>
      <c r="BM810" s="408"/>
      <c r="BN810" s="408"/>
      <c r="BO810" s="408"/>
      <c r="BP810" s="408"/>
      <c r="BQ810" s="408"/>
      <c r="BR810" s="408">
        <v>313.34399999999954</v>
      </c>
      <c r="BS810" s="408"/>
      <c r="BT810" s="408"/>
      <c r="BU810" s="408"/>
      <c r="BV810" s="408">
        <v>0</v>
      </c>
      <c r="BW810" s="408"/>
      <c r="BX810" s="408"/>
      <c r="BY810" s="408"/>
      <c r="BZ810" s="408"/>
      <c r="CA810" s="408"/>
      <c r="CB810" s="408"/>
      <c r="CC810" s="408"/>
      <c r="CD810" s="408"/>
      <c r="CE810" s="408"/>
      <c r="CF810" s="408"/>
      <c r="CG810" s="408"/>
      <c r="CH810" s="408"/>
      <c r="CI810" s="408">
        <v>7520.2560000000012</v>
      </c>
      <c r="CJ810" s="408">
        <v>-1876.6380000000008</v>
      </c>
      <c r="CK810" s="408"/>
      <c r="CL810" s="408"/>
      <c r="CM810" s="408"/>
      <c r="CN810" s="408"/>
      <c r="CO810" s="408">
        <v>-1954.8</v>
      </c>
      <c r="CP810" s="408">
        <v>0</v>
      </c>
      <c r="CQ810" s="408">
        <v>30</v>
      </c>
      <c r="CR810" s="408">
        <v>183.59711601789763</v>
      </c>
      <c r="CS810" s="408">
        <v>17.753117626883494</v>
      </c>
      <c r="CT810" s="408">
        <v>82.798603127503156</v>
      </c>
      <c r="CU810" s="408">
        <v>0</v>
      </c>
      <c r="CV810" s="408">
        <v>0</v>
      </c>
      <c r="CW810" s="408"/>
      <c r="CX810" s="408"/>
      <c r="CY810" s="408"/>
      <c r="CZ810" s="408">
        <v>83.045395263511082</v>
      </c>
      <c r="DA810" s="408">
        <v>0</v>
      </c>
      <c r="DB810" s="408">
        <v>0</v>
      </c>
      <c r="DC810" s="408"/>
      <c r="DD810" s="408"/>
      <c r="DE810" s="408">
        <v>0</v>
      </c>
      <c r="DF810" s="408">
        <v>0</v>
      </c>
      <c r="DG810" s="408">
        <v>0</v>
      </c>
      <c r="DH810" s="408">
        <v>0</v>
      </c>
      <c r="DI810" s="408">
        <v>0</v>
      </c>
      <c r="DJ810" s="408"/>
      <c r="DK810" s="408">
        <v>0</v>
      </c>
      <c r="DL810" s="408">
        <v>0</v>
      </c>
      <c r="DM810" s="408"/>
      <c r="DN810" s="408">
        <v>0</v>
      </c>
      <c r="DO810" s="408">
        <v>0</v>
      </c>
      <c r="DP810" s="408">
        <v>0</v>
      </c>
      <c r="DQ810" s="408">
        <v>0</v>
      </c>
      <c r="DR810" s="408">
        <v>0</v>
      </c>
      <c r="DS810" s="408"/>
      <c r="DT810" s="408"/>
      <c r="DU810" s="408">
        <v>8615.5308875374194</v>
      </c>
      <c r="DV810" s="408"/>
      <c r="DW810" s="408">
        <v>0</v>
      </c>
      <c r="DX810" s="408">
        <v>0</v>
      </c>
      <c r="DY810" s="408">
        <v>-1954.7999999999993</v>
      </c>
      <c r="DZ810" s="408"/>
      <c r="EA810" s="408">
        <v>0</v>
      </c>
      <c r="EB810" s="408"/>
      <c r="EC810" s="408">
        <v>-2140.2440139766677</v>
      </c>
      <c r="ED810" s="408"/>
      <c r="EE810" s="408">
        <v>0</v>
      </c>
      <c r="EF810" s="408">
        <v>0</v>
      </c>
      <c r="EG810" s="408"/>
      <c r="EH810" s="408">
        <v>0</v>
      </c>
      <c r="EI810" s="408">
        <v>0</v>
      </c>
      <c r="EJ810" s="408">
        <v>0</v>
      </c>
      <c r="EK810" s="408">
        <v>0</v>
      </c>
      <c r="EL810" s="408">
        <v>0</v>
      </c>
      <c r="EM810" s="408"/>
      <c r="EN810" s="408"/>
      <c r="EO810" s="408">
        <v>0</v>
      </c>
      <c r="EP810" s="408">
        <v>0</v>
      </c>
      <c r="EQ810" s="408"/>
      <c r="ER810" s="408">
        <v>0</v>
      </c>
      <c r="ES810" s="408"/>
      <c r="ET810" s="408">
        <v>0</v>
      </c>
      <c r="EU810" s="408"/>
      <c r="EV810" s="408">
        <v>240</v>
      </c>
      <c r="EW810" s="408"/>
      <c r="EX810" s="408"/>
      <c r="EY810" s="408"/>
      <c r="EZ810" s="408"/>
      <c r="FA810" s="408">
        <v>0</v>
      </c>
      <c r="FB810" s="408"/>
      <c r="FC810" s="408"/>
      <c r="FD810" s="408"/>
      <c r="FE810" s="408"/>
      <c r="FF810" s="408">
        <v>0</v>
      </c>
      <c r="FG810" s="408">
        <v>0</v>
      </c>
      <c r="FH810" s="408">
        <v>0</v>
      </c>
      <c r="FI810" s="408">
        <v>0</v>
      </c>
    </row>
    <row r="811" spans="1:165">
      <c r="A811" s="408">
        <v>809</v>
      </c>
      <c r="B811" s="408" t="s">
        <v>2238</v>
      </c>
      <c r="C811" s="408" t="s">
        <v>2243</v>
      </c>
      <c r="D811" s="408" t="s">
        <v>597</v>
      </c>
      <c r="E811" s="408" t="s">
        <v>974</v>
      </c>
      <c r="F811" s="408" t="s">
        <v>1322</v>
      </c>
      <c r="G811" s="408" t="s">
        <v>1322</v>
      </c>
      <c r="H811" s="408" t="s">
        <v>1322</v>
      </c>
      <c r="I811" s="408" t="s">
        <v>1322</v>
      </c>
      <c r="J811" s="408" t="s">
        <v>2236</v>
      </c>
      <c r="K811" s="826">
        <v>44713</v>
      </c>
      <c r="L811" s="408">
        <v>113</v>
      </c>
      <c r="M811" s="408">
        <v>108.47999999999999</v>
      </c>
      <c r="N811" s="408">
        <v>0</v>
      </c>
      <c r="O811" s="408">
        <v>0</v>
      </c>
      <c r="P811" s="408">
        <v>0</v>
      </c>
      <c r="Q811" s="408">
        <v>0</v>
      </c>
      <c r="R811" s="408">
        <v>27.19</v>
      </c>
      <c r="S811" s="408"/>
      <c r="T811" s="408"/>
      <c r="U811" s="408">
        <v>3072.4700000000003</v>
      </c>
      <c r="V811" s="408"/>
      <c r="W811" s="408">
        <v>3072.4700000000003</v>
      </c>
      <c r="X811" s="408">
        <v>2458.88</v>
      </c>
      <c r="Y811" s="408">
        <v>0</v>
      </c>
      <c r="Z811" s="408">
        <v>0</v>
      </c>
      <c r="AA811" s="408">
        <v>0</v>
      </c>
      <c r="AB811" s="408">
        <v>0</v>
      </c>
      <c r="AC811" s="408">
        <v>26.351669317314734</v>
      </c>
      <c r="AD811" s="408">
        <v>25.315936848857913</v>
      </c>
      <c r="AE811" s="408">
        <v>2704.3194174770233</v>
      </c>
      <c r="AF811" s="408"/>
      <c r="AG811" s="408"/>
      <c r="AH811" s="408"/>
      <c r="AI811" s="408">
        <v>0</v>
      </c>
      <c r="AJ811" s="408">
        <v>0</v>
      </c>
      <c r="AK811" s="408">
        <v>0</v>
      </c>
      <c r="AL811" s="408">
        <v>0</v>
      </c>
      <c r="AM811" s="408"/>
      <c r="AN811" s="408">
        <v>0</v>
      </c>
      <c r="AO811" s="408">
        <v>55.921985913222429</v>
      </c>
      <c r="AP811" s="408">
        <v>260.81403926029839</v>
      </c>
      <c r="AQ811" s="408">
        <v>0</v>
      </c>
      <c r="AR811" s="408">
        <v>0</v>
      </c>
      <c r="AS811" s="408"/>
      <c r="AT811" s="408"/>
      <c r="AU811" s="408">
        <v>0</v>
      </c>
      <c r="AV811" s="408">
        <v>0</v>
      </c>
      <c r="AW811" s="408">
        <v>0</v>
      </c>
      <c r="AX811" s="408"/>
      <c r="AY811" s="408"/>
      <c r="AZ811" s="408">
        <v>0</v>
      </c>
      <c r="BA811" s="408"/>
      <c r="BB811" s="408">
        <v>0</v>
      </c>
      <c r="BC811" s="408">
        <v>0</v>
      </c>
      <c r="BD811" s="408">
        <v>0</v>
      </c>
      <c r="BE811" s="408">
        <v>0</v>
      </c>
      <c r="BF811" s="408"/>
      <c r="BG811" s="408">
        <v>0</v>
      </c>
      <c r="BH811" s="408">
        <v>0</v>
      </c>
      <c r="BI811" s="408">
        <v>9.68</v>
      </c>
      <c r="BJ811" s="408">
        <v>106.57</v>
      </c>
      <c r="BK811" s="408">
        <v>3.84</v>
      </c>
      <c r="BL811" s="408">
        <v>1</v>
      </c>
      <c r="BM811" s="408"/>
      <c r="BN811" s="408"/>
      <c r="BO811" s="408"/>
      <c r="BP811" s="408"/>
      <c r="BQ811" s="408"/>
      <c r="BR811" s="408">
        <v>98.355200000000224</v>
      </c>
      <c r="BS811" s="408"/>
      <c r="BT811" s="408"/>
      <c r="BU811" s="408"/>
      <c r="BV811" s="408">
        <v>0</v>
      </c>
      <c r="BW811" s="408"/>
      <c r="BX811" s="408"/>
      <c r="BY811" s="408"/>
      <c r="BZ811" s="408"/>
      <c r="CA811" s="408"/>
      <c r="CB811" s="408"/>
      <c r="CC811" s="408"/>
      <c r="CD811" s="408"/>
      <c r="CE811" s="408"/>
      <c r="CF811" s="408"/>
      <c r="CG811" s="408"/>
      <c r="CH811" s="408"/>
      <c r="CI811" s="408">
        <v>2360.5248000000001</v>
      </c>
      <c r="CJ811" s="408">
        <v>-589.07640000000038</v>
      </c>
      <c r="CK811" s="408"/>
      <c r="CL811" s="408"/>
      <c r="CM811" s="408"/>
      <c r="CN811" s="408"/>
      <c r="CO811" s="408">
        <v>-613.58999999999992</v>
      </c>
      <c r="CP811" s="408">
        <v>0</v>
      </c>
      <c r="CQ811" s="408">
        <v>30</v>
      </c>
      <c r="CR811" s="408">
        <v>57.629094750062336</v>
      </c>
      <c r="CS811" s="408">
        <v>5.5725063662162171</v>
      </c>
      <c r="CT811" s="408">
        <v>25.989561537244015</v>
      </c>
      <c r="CU811" s="408">
        <v>0</v>
      </c>
      <c r="CV811" s="408">
        <v>0</v>
      </c>
      <c r="CW811" s="408"/>
      <c r="CX811" s="408"/>
      <c r="CY811" s="408"/>
      <c r="CZ811" s="408">
        <v>26.067026846602094</v>
      </c>
      <c r="DA811" s="408">
        <v>0</v>
      </c>
      <c r="DB811" s="408">
        <v>0</v>
      </c>
      <c r="DC811" s="408"/>
      <c r="DD811" s="408"/>
      <c r="DE811" s="408">
        <v>0</v>
      </c>
      <c r="DF811" s="408">
        <v>0</v>
      </c>
      <c r="DG811" s="408">
        <v>0</v>
      </c>
      <c r="DH811" s="408">
        <v>0</v>
      </c>
      <c r="DI811" s="408">
        <v>0</v>
      </c>
      <c r="DJ811" s="408"/>
      <c r="DK811" s="408">
        <v>0</v>
      </c>
      <c r="DL811" s="408">
        <v>0</v>
      </c>
      <c r="DM811" s="408"/>
      <c r="DN811" s="408">
        <v>0</v>
      </c>
      <c r="DO811" s="408">
        <v>0</v>
      </c>
      <c r="DP811" s="408">
        <v>0</v>
      </c>
      <c r="DQ811" s="408">
        <v>0</v>
      </c>
      <c r="DR811" s="408">
        <v>0</v>
      </c>
      <c r="DS811" s="408"/>
      <c r="DT811" s="408"/>
      <c r="DU811" s="408">
        <v>2704.3194174770233</v>
      </c>
      <c r="DV811" s="408"/>
      <c r="DW811" s="408">
        <v>0</v>
      </c>
      <c r="DX811" s="408">
        <v>0</v>
      </c>
      <c r="DY811" s="408">
        <v>-613.59000000000015</v>
      </c>
      <c r="DZ811" s="408"/>
      <c r="EA811" s="408">
        <v>0</v>
      </c>
      <c r="EB811" s="408"/>
      <c r="EC811" s="408">
        <v>-671.79881549823199</v>
      </c>
      <c r="ED811" s="408"/>
      <c r="EE811" s="408">
        <v>0</v>
      </c>
      <c r="EF811" s="408">
        <v>0</v>
      </c>
      <c r="EG811" s="408"/>
      <c r="EH811" s="408">
        <v>0</v>
      </c>
      <c r="EI811" s="408">
        <v>0</v>
      </c>
      <c r="EJ811" s="408">
        <v>0</v>
      </c>
      <c r="EK811" s="408">
        <v>0</v>
      </c>
      <c r="EL811" s="408">
        <v>0</v>
      </c>
      <c r="EM811" s="408"/>
      <c r="EN811" s="408"/>
      <c r="EO811" s="408">
        <v>0</v>
      </c>
      <c r="EP811" s="408">
        <v>0</v>
      </c>
      <c r="EQ811" s="408"/>
      <c r="ER811" s="408">
        <v>0</v>
      </c>
      <c r="ES811" s="408"/>
      <c r="ET811" s="408">
        <v>0</v>
      </c>
      <c r="EU811" s="408"/>
      <c r="EV811" s="408">
        <v>240</v>
      </c>
      <c r="EW811" s="408"/>
      <c r="EX811" s="408"/>
      <c r="EY811" s="408"/>
      <c r="EZ811" s="408"/>
      <c r="FA811" s="408">
        <v>0</v>
      </c>
      <c r="FB811" s="408"/>
      <c r="FC811" s="408"/>
      <c r="FD811" s="408"/>
      <c r="FE811" s="408"/>
      <c r="FF811" s="408">
        <v>0</v>
      </c>
      <c r="FG811" s="408">
        <v>0</v>
      </c>
      <c r="FH811" s="408">
        <v>0</v>
      </c>
      <c r="FI811" s="408">
        <v>0</v>
      </c>
    </row>
    <row r="812" spans="1:165">
      <c r="A812" s="408">
        <v>810</v>
      </c>
      <c r="B812" s="408" t="s">
        <v>1036</v>
      </c>
      <c r="C812" s="408" t="s">
        <v>2235</v>
      </c>
      <c r="D812" s="408" t="s">
        <v>1958</v>
      </c>
      <c r="E812" s="408" t="s">
        <v>2246</v>
      </c>
      <c r="F812" s="408" t="s">
        <v>1322</v>
      </c>
      <c r="G812" s="408" t="s">
        <v>1322</v>
      </c>
      <c r="H812" s="408" t="s">
        <v>1322</v>
      </c>
      <c r="I812" s="408" t="s">
        <v>1322</v>
      </c>
      <c r="J812" s="408" t="s">
        <v>2236</v>
      </c>
      <c r="K812" s="826">
        <v>44713</v>
      </c>
      <c r="L812" s="408">
        <v>0</v>
      </c>
      <c r="M812" s="408">
        <v>0</v>
      </c>
      <c r="N812" s="408">
        <v>557.29600000000005</v>
      </c>
      <c r="O812" s="408">
        <v>557.29600000000005</v>
      </c>
      <c r="P812" s="408">
        <v>557.29600000000005</v>
      </c>
      <c r="Q812" s="408">
        <v>557.29600000000005</v>
      </c>
      <c r="R812" s="408"/>
      <c r="S812" s="408">
        <v>368.24</v>
      </c>
      <c r="T812" s="408">
        <v>173.25</v>
      </c>
      <c r="U812" s="408"/>
      <c r="V812" s="408">
        <v>301770.21104000002</v>
      </c>
      <c r="W812" s="408">
        <v>301770.21104000002</v>
      </c>
      <c r="X812" s="408">
        <v>283602.36144000001</v>
      </c>
      <c r="Y812" s="408">
        <v>0</v>
      </c>
      <c r="Z812" s="408">
        <v>34298.884416276327</v>
      </c>
      <c r="AA812" s="408">
        <v>0</v>
      </c>
      <c r="AB812" s="408">
        <v>0</v>
      </c>
      <c r="AC812" s="408">
        <v>1426.4199352986216</v>
      </c>
      <c r="AD812" s="408">
        <v>1370.469700208346</v>
      </c>
      <c r="AE812" s="408">
        <v>131263.88691041589</v>
      </c>
      <c r="AF812" s="408">
        <v>94930.0628953126</v>
      </c>
      <c r="AG812" s="408">
        <v>1620.1896176365167</v>
      </c>
      <c r="AH812" s="408">
        <v>0</v>
      </c>
      <c r="AI812" s="408">
        <v>0</v>
      </c>
      <c r="AJ812" s="408">
        <v>0</v>
      </c>
      <c r="AK812" s="408">
        <v>0</v>
      </c>
      <c r="AL812" s="408">
        <v>5299.3445374323419</v>
      </c>
      <c r="AM812" s="408"/>
      <c r="AN812" s="408">
        <v>673.13371548748637</v>
      </c>
      <c r="AO812" s="408">
        <v>3028.0096051764599</v>
      </c>
      <c r="AP812" s="408">
        <v>14119.162075874267</v>
      </c>
      <c r="AQ812" s="408">
        <v>0</v>
      </c>
      <c r="AR812" s="408">
        <v>0</v>
      </c>
      <c r="AS812" s="408">
        <v>0</v>
      </c>
      <c r="AT812" s="408">
        <v>0</v>
      </c>
      <c r="AU812" s="408">
        <v>0</v>
      </c>
      <c r="AV812" s="408">
        <v>0</v>
      </c>
      <c r="AW812" s="408">
        <v>0</v>
      </c>
      <c r="AX812" s="408">
        <v>0</v>
      </c>
      <c r="AY812" s="408">
        <v>0</v>
      </c>
      <c r="AZ812" s="408">
        <v>0</v>
      </c>
      <c r="BA812" s="408"/>
      <c r="BB812" s="408">
        <v>0</v>
      </c>
      <c r="BC812" s="408">
        <v>0</v>
      </c>
      <c r="BD812" s="408">
        <v>0</v>
      </c>
      <c r="BE812" s="408">
        <v>0</v>
      </c>
      <c r="BF812" s="408">
        <v>0</v>
      </c>
      <c r="BG812" s="408">
        <v>4982.1102249252526</v>
      </c>
      <c r="BH812" s="408">
        <v>0</v>
      </c>
      <c r="BI812" s="408">
        <v>284.36</v>
      </c>
      <c r="BJ812" s="408">
        <v>3157.13</v>
      </c>
      <c r="BK812" s="408">
        <v>86107.31</v>
      </c>
      <c r="BL812" s="408">
        <v>584</v>
      </c>
      <c r="BM812" s="408"/>
      <c r="BN812" s="408"/>
      <c r="BO812" s="408"/>
      <c r="BP812" s="408"/>
      <c r="BQ812" s="408"/>
      <c r="BR812" s="408"/>
      <c r="BS812" s="408"/>
      <c r="BT812" s="408"/>
      <c r="BU812" s="408"/>
      <c r="BV812" s="408">
        <v>99912.173120237858</v>
      </c>
      <c r="BW812" s="408"/>
      <c r="BX812" s="408"/>
      <c r="BY812" s="408"/>
      <c r="BZ812" s="408"/>
      <c r="CA812" s="408"/>
      <c r="CB812" s="408"/>
      <c r="CC812" s="408"/>
      <c r="CD812" s="408"/>
      <c r="CE812" s="408"/>
      <c r="CF812" s="408"/>
      <c r="CG812" s="408"/>
      <c r="CH812" s="408"/>
      <c r="CI812" s="408">
        <v>283604.397</v>
      </c>
      <c r="CJ812" s="408">
        <v>-18165.844040000055</v>
      </c>
      <c r="CK812" s="408"/>
      <c r="CL812" s="408"/>
      <c r="CM812" s="408"/>
      <c r="CN812" s="408"/>
      <c r="CO812" s="408">
        <v>-30199.87024</v>
      </c>
      <c r="CP812" s="408">
        <v>12032.020640000002</v>
      </c>
      <c r="CQ812" s="408">
        <v>30</v>
      </c>
      <c r="CR812" s="408">
        <v>14437.974962639739</v>
      </c>
      <c r="CS812" s="408">
        <v>301.73468495903444</v>
      </c>
      <c r="CT812" s="408">
        <v>1406.9443219620352</v>
      </c>
      <c r="CU812" s="408">
        <v>0</v>
      </c>
      <c r="CV812" s="408">
        <v>0</v>
      </c>
      <c r="CW812" s="408">
        <v>0</v>
      </c>
      <c r="CX812" s="408">
        <v>0</v>
      </c>
      <c r="CY812" s="408">
        <v>0</v>
      </c>
      <c r="CZ812" s="408">
        <v>1411.1297038330711</v>
      </c>
      <c r="DA812" s="408">
        <v>0</v>
      </c>
      <c r="DB812" s="408">
        <v>0</v>
      </c>
      <c r="DC812" s="408">
        <v>12030.662155290775</v>
      </c>
      <c r="DD812" s="408">
        <v>0</v>
      </c>
      <c r="DE812" s="408">
        <v>0</v>
      </c>
      <c r="DF812" s="408">
        <v>0</v>
      </c>
      <c r="DG812" s="408">
        <v>631.3920280722441</v>
      </c>
      <c r="DH812" s="408">
        <v>0</v>
      </c>
      <c r="DI812" s="408">
        <v>-1164.6815791154368</v>
      </c>
      <c r="DJ812" s="408"/>
      <c r="DK812" s="408">
        <v>0</v>
      </c>
      <c r="DL812" s="408">
        <v>0</v>
      </c>
      <c r="DM812" s="408">
        <v>0</v>
      </c>
      <c r="DN812" s="408">
        <v>0</v>
      </c>
      <c r="DO812" s="408">
        <v>-160.16243705518082</v>
      </c>
      <c r="DP812" s="408">
        <v>-19.043915306790836</v>
      </c>
      <c r="DQ812" s="408">
        <v>0</v>
      </c>
      <c r="DR812" s="408">
        <v>0</v>
      </c>
      <c r="DS812" s="408"/>
      <c r="DT812" s="408"/>
      <c r="DU812" s="408"/>
      <c r="DV812" s="408">
        <v>131263.88691041589</v>
      </c>
      <c r="DW812" s="408">
        <v>0</v>
      </c>
      <c r="DX812" s="408">
        <v>0</v>
      </c>
      <c r="DY812" s="408">
        <v>-30199.870239999989</v>
      </c>
      <c r="DZ812" s="408">
        <v>12032.020640000002</v>
      </c>
      <c r="EA812" s="408">
        <v>0</v>
      </c>
      <c r="EB812" s="408">
        <v>0</v>
      </c>
      <c r="EC812" s="408">
        <v>-32608.176080909165</v>
      </c>
      <c r="ED812" s="408">
        <v>0</v>
      </c>
      <c r="EE812" s="408">
        <v>0</v>
      </c>
      <c r="EF812" s="408">
        <v>0</v>
      </c>
      <c r="EG812" s="408">
        <v>0</v>
      </c>
      <c r="EH812" s="408">
        <v>0</v>
      </c>
      <c r="EI812" s="408">
        <v>0</v>
      </c>
      <c r="EJ812" s="408">
        <v>0</v>
      </c>
      <c r="EK812" s="408">
        <v>0</v>
      </c>
      <c r="EL812" s="408">
        <v>0</v>
      </c>
      <c r="EM812" s="408">
        <v>0</v>
      </c>
      <c r="EN812" s="408">
        <v>0</v>
      </c>
      <c r="EO812" s="408">
        <v>0</v>
      </c>
      <c r="EP812" s="408">
        <v>8759.3233568344804</v>
      </c>
      <c r="EQ812" s="408">
        <v>0</v>
      </c>
      <c r="ER812" s="408">
        <v>0</v>
      </c>
      <c r="ES812" s="408">
        <v>0</v>
      </c>
      <c r="ET812" s="408">
        <v>0</v>
      </c>
      <c r="EU812" s="408">
        <v>0</v>
      </c>
      <c r="EV812" s="408">
        <v>240</v>
      </c>
      <c r="EW812" s="408">
        <v>0</v>
      </c>
      <c r="EX812" s="408">
        <v>0</v>
      </c>
      <c r="EY812" s="408">
        <v>0</v>
      </c>
      <c r="EZ812" s="408"/>
      <c r="FA812" s="408">
        <v>0</v>
      </c>
      <c r="FB812" s="408"/>
      <c r="FC812" s="408"/>
      <c r="FD812" s="408"/>
      <c r="FE812" s="408"/>
      <c r="FF812" s="408">
        <v>0</v>
      </c>
      <c r="FG812" s="408">
        <v>0</v>
      </c>
      <c r="FH812" s="408">
        <v>0</v>
      </c>
      <c r="FI812" s="408">
        <v>0</v>
      </c>
    </row>
    <row r="813" spans="1:165">
      <c r="A813" s="408">
        <v>811</v>
      </c>
      <c r="B813" s="408" t="s">
        <v>2238</v>
      </c>
      <c r="C813" s="408" t="s">
        <v>2235</v>
      </c>
      <c r="D813" s="408" t="s">
        <v>1958</v>
      </c>
      <c r="E813" s="408" t="s">
        <v>2246</v>
      </c>
      <c r="F813" s="408" t="s">
        <v>1322</v>
      </c>
      <c r="G813" s="408" t="s">
        <v>1322</v>
      </c>
      <c r="H813" s="408" t="s">
        <v>1322</v>
      </c>
      <c r="I813" s="408" t="s">
        <v>1322</v>
      </c>
      <c r="J813" s="408" t="s">
        <v>2236</v>
      </c>
      <c r="K813" s="826">
        <v>44713</v>
      </c>
      <c r="L813" s="408">
        <v>0</v>
      </c>
      <c r="M813" s="408">
        <v>0</v>
      </c>
      <c r="N813" s="408">
        <v>1.869</v>
      </c>
      <c r="O813" s="408">
        <v>1.869</v>
      </c>
      <c r="P813" s="408">
        <v>1.869</v>
      </c>
      <c r="Q813" s="408">
        <v>1.869</v>
      </c>
      <c r="R813" s="408"/>
      <c r="S813" s="408">
        <v>368.24</v>
      </c>
      <c r="T813" s="408">
        <v>173.25</v>
      </c>
      <c r="U813" s="408"/>
      <c r="V813" s="408">
        <v>1012.04481</v>
      </c>
      <c r="W813" s="408">
        <v>1012.04481</v>
      </c>
      <c r="X813" s="408">
        <v>951.11541000000011</v>
      </c>
      <c r="Y813" s="408">
        <v>0</v>
      </c>
      <c r="Z813" s="408">
        <v>115.02794739962327</v>
      </c>
      <c r="AA813" s="408">
        <v>0</v>
      </c>
      <c r="AB813" s="408">
        <v>0</v>
      </c>
      <c r="AC813" s="408">
        <v>4.783775334962252</v>
      </c>
      <c r="AD813" s="408">
        <v>4.5961353924833457</v>
      </c>
      <c r="AE813" s="408">
        <v>440.21885072845896</v>
      </c>
      <c r="AF813" s="408">
        <v>318.36633952394999</v>
      </c>
      <c r="AG813" s="408">
        <v>5.4336194685815968</v>
      </c>
      <c r="AH813" s="408">
        <v>0</v>
      </c>
      <c r="AI813" s="408">
        <v>0</v>
      </c>
      <c r="AJ813" s="408">
        <v>0</v>
      </c>
      <c r="AK813" s="408">
        <v>0</v>
      </c>
      <c r="AL813" s="408">
        <v>17.772377588321191</v>
      </c>
      <c r="AM813" s="408"/>
      <c r="AN813" s="408">
        <v>2.2574841991439234</v>
      </c>
      <c r="AO813" s="408">
        <v>10.155016278736619</v>
      </c>
      <c r="AP813" s="408">
        <v>47.351342769029387</v>
      </c>
      <c r="AQ813" s="408">
        <v>0</v>
      </c>
      <c r="AR813" s="408">
        <v>0</v>
      </c>
      <c r="AS813" s="408">
        <v>0</v>
      </c>
      <c r="AT813" s="408">
        <v>0</v>
      </c>
      <c r="AU813" s="408">
        <v>0</v>
      </c>
      <c r="AV813" s="408">
        <v>0</v>
      </c>
      <c r="AW813" s="408">
        <v>0</v>
      </c>
      <c r="AX813" s="408">
        <v>0</v>
      </c>
      <c r="AY813" s="408">
        <v>0</v>
      </c>
      <c r="AZ813" s="408">
        <v>0</v>
      </c>
      <c r="BA813" s="408"/>
      <c r="BB813" s="408">
        <v>0</v>
      </c>
      <c r="BC813" s="408">
        <v>0</v>
      </c>
      <c r="BD813" s="408">
        <v>0</v>
      </c>
      <c r="BE813" s="408">
        <v>0</v>
      </c>
      <c r="BF813" s="408">
        <v>0</v>
      </c>
      <c r="BG813" s="408">
        <v>16.708470920992248</v>
      </c>
      <c r="BH813" s="408">
        <v>0</v>
      </c>
      <c r="BI813" s="408">
        <v>0.96</v>
      </c>
      <c r="BJ813" s="408">
        <v>10.58</v>
      </c>
      <c r="BK813" s="408">
        <v>389.85</v>
      </c>
      <c r="BL813" s="408">
        <v>2</v>
      </c>
      <c r="BM813" s="408"/>
      <c r="BN813" s="408"/>
      <c r="BO813" s="408"/>
      <c r="BP813" s="408"/>
      <c r="BQ813" s="408"/>
      <c r="BR813" s="408"/>
      <c r="BS813" s="408"/>
      <c r="BT813" s="408"/>
      <c r="BU813" s="408"/>
      <c r="BV813" s="408">
        <v>335.07481044494222</v>
      </c>
      <c r="BW813" s="408"/>
      <c r="BX813" s="408"/>
      <c r="BY813" s="408"/>
      <c r="BZ813" s="408"/>
      <c r="CA813" s="408"/>
      <c r="CB813" s="408"/>
      <c r="CC813" s="408"/>
      <c r="CD813" s="408"/>
      <c r="CE813" s="408"/>
      <c r="CF813" s="408"/>
      <c r="CG813" s="408"/>
      <c r="CH813" s="408"/>
      <c r="CI813" s="408">
        <v>951.62430000000006</v>
      </c>
      <c r="CJ813" s="408">
        <v>-60.450509999999895</v>
      </c>
      <c r="CK813" s="408"/>
      <c r="CL813" s="408"/>
      <c r="CM813" s="408"/>
      <c r="CN813" s="408"/>
      <c r="CO813" s="408">
        <v>-101.28111</v>
      </c>
      <c r="CP813" s="408">
        <v>40.351710000000004</v>
      </c>
      <c r="CQ813" s="408">
        <v>30</v>
      </c>
      <c r="CR813" s="408">
        <v>48.420543490665068</v>
      </c>
      <c r="CS813" s="408">
        <v>1.0119256664114502</v>
      </c>
      <c r="CT813" s="408">
        <v>4.7184600961554395</v>
      </c>
      <c r="CU813" s="408">
        <v>0</v>
      </c>
      <c r="CV813" s="408">
        <v>0</v>
      </c>
      <c r="CW813" s="408">
        <v>0</v>
      </c>
      <c r="CX813" s="408">
        <v>0</v>
      </c>
      <c r="CY813" s="408">
        <v>0</v>
      </c>
      <c r="CZ813" s="408">
        <v>4.7324965843358093</v>
      </c>
      <c r="DA813" s="408">
        <v>0</v>
      </c>
      <c r="DB813" s="408">
        <v>0</v>
      </c>
      <c r="DC813" s="408">
        <v>40.347154058594469</v>
      </c>
      <c r="DD813" s="408">
        <v>0</v>
      </c>
      <c r="DE813" s="408">
        <v>0</v>
      </c>
      <c r="DF813" s="408">
        <v>0</v>
      </c>
      <c r="DG813" s="408">
        <v>2.1174953713413061</v>
      </c>
      <c r="DH813" s="408">
        <v>0</v>
      </c>
      <c r="DI813" s="408">
        <v>-3.9059850983440612</v>
      </c>
      <c r="DJ813" s="408"/>
      <c r="DK813" s="408">
        <v>0</v>
      </c>
      <c r="DL813" s="408">
        <v>0</v>
      </c>
      <c r="DM813" s="408">
        <v>0</v>
      </c>
      <c r="DN813" s="408">
        <v>0</v>
      </c>
      <c r="DO813" s="408">
        <v>-0.53713573192008113</v>
      </c>
      <c r="DP813" s="408">
        <v>-6.3867455909233151E-2</v>
      </c>
      <c r="DQ813" s="408">
        <v>0</v>
      </c>
      <c r="DR813" s="408">
        <v>0</v>
      </c>
      <c r="DS813" s="408"/>
      <c r="DT813" s="408"/>
      <c r="DU813" s="408"/>
      <c r="DV813" s="408">
        <v>440.21885072845896</v>
      </c>
      <c r="DW813" s="408">
        <v>0</v>
      </c>
      <c r="DX813" s="408">
        <v>0</v>
      </c>
      <c r="DY813" s="408">
        <v>-101.2811099999999</v>
      </c>
      <c r="DZ813" s="408">
        <v>40.351709999999969</v>
      </c>
      <c r="EA813" s="408">
        <v>0</v>
      </c>
      <c r="EB813" s="408">
        <v>0</v>
      </c>
      <c r="EC813" s="408">
        <v>-109.35782976231519</v>
      </c>
      <c r="ED813" s="408">
        <v>0</v>
      </c>
      <c r="EE813" s="408">
        <v>0</v>
      </c>
      <c r="EF813" s="408">
        <v>0</v>
      </c>
      <c r="EG813" s="408">
        <v>0</v>
      </c>
      <c r="EH813" s="408">
        <v>0</v>
      </c>
      <c r="EI813" s="408">
        <v>0</v>
      </c>
      <c r="EJ813" s="408">
        <v>0</v>
      </c>
      <c r="EK813" s="408">
        <v>0</v>
      </c>
      <c r="EL813" s="408">
        <v>0</v>
      </c>
      <c r="EM813" s="408">
        <v>0</v>
      </c>
      <c r="EN813" s="408">
        <v>0</v>
      </c>
      <c r="EO813" s="408">
        <v>0</v>
      </c>
      <c r="EP813" s="408">
        <v>29.376086234108342</v>
      </c>
      <c r="EQ813" s="408">
        <v>0</v>
      </c>
      <c r="ER813" s="408">
        <v>0</v>
      </c>
      <c r="ES813" s="408">
        <v>0</v>
      </c>
      <c r="ET813" s="408">
        <v>0</v>
      </c>
      <c r="EU813" s="408">
        <v>0</v>
      </c>
      <c r="EV813" s="408">
        <v>240</v>
      </c>
      <c r="EW813" s="408">
        <v>0</v>
      </c>
      <c r="EX813" s="408">
        <v>0</v>
      </c>
      <c r="EY813" s="408">
        <v>0</v>
      </c>
      <c r="EZ813" s="408"/>
      <c r="FA813" s="408">
        <v>0</v>
      </c>
      <c r="FB813" s="408"/>
      <c r="FC813" s="408"/>
      <c r="FD813" s="408"/>
      <c r="FE813" s="408"/>
      <c r="FF813" s="408">
        <v>0</v>
      </c>
      <c r="FG813" s="408">
        <v>0</v>
      </c>
      <c r="FH813" s="408">
        <v>0</v>
      </c>
      <c r="FI813" s="408">
        <v>0</v>
      </c>
    </row>
    <row r="814" spans="1:165">
      <c r="A814" s="408">
        <v>812</v>
      </c>
      <c r="B814" s="408" t="s">
        <v>1036</v>
      </c>
      <c r="C814" s="408" t="s">
        <v>2243</v>
      </c>
      <c r="D814" s="408" t="s">
        <v>597</v>
      </c>
      <c r="E814" s="408" t="s">
        <v>2246</v>
      </c>
      <c r="F814" s="408" t="s">
        <v>1322</v>
      </c>
      <c r="G814" s="408" t="s">
        <v>1322</v>
      </c>
      <c r="H814" s="408" t="s">
        <v>1322</v>
      </c>
      <c r="I814" s="408" t="s">
        <v>973</v>
      </c>
      <c r="J814" s="408" t="s">
        <v>2236</v>
      </c>
      <c r="K814" s="826">
        <v>44713</v>
      </c>
      <c r="L814" s="408">
        <v>0</v>
      </c>
      <c r="M814" s="408">
        <v>0</v>
      </c>
      <c r="N814" s="408">
        <v>2.48</v>
      </c>
      <c r="O814" s="408">
        <v>2.48</v>
      </c>
      <c r="P814" s="408">
        <v>2.48</v>
      </c>
      <c r="Q814" s="408">
        <v>2.48</v>
      </c>
      <c r="R814" s="408"/>
      <c r="S814" s="408">
        <v>1358.36</v>
      </c>
      <c r="T814" s="408">
        <v>173.25</v>
      </c>
      <c r="U814" s="408"/>
      <c r="V814" s="408">
        <v>3798.3927999999996</v>
      </c>
      <c r="W814" s="408">
        <v>3798.3927999999996</v>
      </c>
      <c r="X814" s="408">
        <v>3330.4415999999997</v>
      </c>
      <c r="Y814" s="408">
        <v>0</v>
      </c>
      <c r="Z814" s="408">
        <v>132.78988727096146</v>
      </c>
      <c r="AA814" s="408">
        <v>0</v>
      </c>
      <c r="AB814" s="408">
        <v>0</v>
      </c>
      <c r="AC814" s="408">
        <v>46.976379072132502</v>
      </c>
      <c r="AD814" s="408">
        <v>45.133905626520452</v>
      </c>
      <c r="AE814" s="408">
        <v>2501.0991376648926</v>
      </c>
      <c r="AF814" s="408">
        <v>422.44436705157625</v>
      </c>
      <c r="AG814" s="408">
        <v>7.2099391557423003</v>
      </c>
      <c r="AH814" s="408">
        <v>0</v>
      </c>
      <c r="AI814" s="408">
        <v>0</v>
      </c>
      <c r="AJ814" s="408">
        <v>0</v>
      </c>
      <c r="AK814" s="408">
        <v>0</v>
      </c>
      <c r="AL814" s="408">
        <v>23.582395087767015</v>
      </c>
      <c r="AM814" s="408"/>
      <c r="AN814" s="408">
        <v>1.9860182917911446</v>
      </c>
      <c r="AO814" s="408">
        <v>99.722839039607209</v>
      </c>
      <c r="AP814" s="408">
        <v>464.99033092275187</v>
      </c>
      <c r="AQ814" s="408">
        <v>0</v>
      </c>
      <c r="AR814" s="408">
        <v>0</v>
      </c>
      <c r="AS814" s="408">
        <v>0</v>
      </c>
      <c r="AT814" s="408">
        <v>0</v>
      </c>
      <c r="AU814" s="408">
        <v>0</v>
      </c>
      <c r="AV814" s="408">
        <v>0</v>
      </c>
      <c r="AW814" s="408">
        <v>0</v>
      </c>
      <c r="AX814" s="408">
        <v>0</v>
      </c>
      <c r="AY814" s="408">
        <v>0</v>
      </c>
      <c r="AZ814" s="408">
        <v>0</v>
      </c>
      <c r="BA814" s="408"/>
      <c r="BB814" s="408">
        <v>0</v>
      </c>
      <c r="BC814" s="408">
        <v>0</v>
      </c>
      <c r="BD814" s="408">
        <v>0</v>
      </c>
      <c r="BE814" s="408">
        <v>0</v>
      </c>
      <c r="BF814" s="408">
        <v>0</v>
      </c>
      <c r="BG814" s="408">
        <v>18.547068325852695</v>
      </c>
      <c r="BH814" s="408">
        <v>0</v>
      </c>
      <c r="BI814" s="408">
        <v>0</v>
      </c>
      <c r="BJ814" s="408">
        <v>0</v>
      </c>
      <c r="BK814" s="408">
        <v>0</v>
      </c>
      <c r="BL814" s="408">
        <v>0</v>
      </c>
      <c r="BM814" s="408"/>
      <c r="BN814" s="408"/>
      <c r="BO814" s="408"/>
      <c r="BP814" s="408"/>
      <c r="BQ814" s="408"/>
      <c r="BR814" s="408"/>
      <c r="BS814" s="408"/>
      <c r="BT814" s="408"/>
      <c r="BU814" s="408"/>
      <c r="BV814" s="408">
        <v>440.99143537742896</v>
      </c>
      <c r="BW814" s="408"/>
      <c r="BX814" s="408"/>
      <c r="BY814" s="408"/>
      <c r="BZ814" s="408"/>
      <c r="CA814" s="408"/>
      <c r="CB814" s="408"/>
      <c r="CC814" s="408"/>
      <c r="CD814" s="408"/>
      <c r="CE814" s="408"/>
      <c r="CF814" s="408"/>
      <c r="CG814" s="408"/>
      <c r="CH814" s="408"/>
      <c r="CI814" s="408">
        <v>3330.4415999999997</v>
      </c>
      <c r="CJ814" s="408">
        <v>-467.98120000000063</v>
      </c>
      <c r="CK814" s="408"/>
      <c r="CL814" s="408"/>
      <c r="CM814" s="408"/>
      <c r="CN814" s="408"/>
      <c r="CO814" s="408">
        <v>-521.49439999999993</v>
      </c>
      <c r="CP814" s="408">
        <v>53.543200000000006</v>
      </c>
      <c r="CQ814" s="408">
        <v>30</v>
      </c>
      <c r="CR814" s="408">
        <v>153.35504354463001</v>
      </c>
      <c r="CS814" s="408">
        <v>9.9371677584498315</v>
      </c>
      <c r="CT814" s="408">
        <v>46.335292586299431</v>
      </c>
      <c r="CU814" s="408">
        <v>0</v>
      </c>
      <c r="CV814" s="408">
        <v>0</v>
      </c>
      <c r="CW814" s="408">
        <v>0</v>
      </c>
      <c r="CX814" s="408">
        <v>0</v>
      </c>
      <c r="CY814" s="408">
        <v>0</v>
      </c>
      <c r="CZ814" s="408">
        <v>46.47296826037023</v>
      </c>
      <c r="DA814" s="408">
        <v>0</v>
      </c>
      <c r="DB814" s="408">
        <v>0</v>
      </c>
      <c r="DC814" s="408">
        <v>53.537154663089495</v>
      </c>
      <c r="DD814" s="408">
        <v>0</v>
      </c>
      <c r="DE814" s="408">
        <v>0</v>
      </c>
      <c r="DF814" s="408">
        <v>0</v>
      </c>
      <c r="DG814" s="408">
        <v>2.3505042153558335</v>
      </c>
      <c r="DH814" s="408">
        <v>0</v>
      </c>
      <c r="DI814" s="408">
        <v>-4.5091243703514863</v>
      </c>
      <c r="DJ814" s="408"/>
      <c r="DK814" s="408">
        <v>0</v>
      </c>
      <c r="DL814" s="408">
        <v>0</v>
      </c>
      <c r="DM814" s="408">
        <v>0</v>
      </c>
      <c r="DN814" s="408">
        <v>0</v>
      </c>
      <c r="DO814" s="408">
        <v>-0.71273227135462491</v>
      </c>
      <c r="DP814" s="408">
        <v>-5.6187297228484256E-2</v>
      </c>
      <c r="DQ814" s="408">
        <v>0</v>
      </c>
      <c r="DR814" s="408">
        <v>0</v>
      </c>
      <c r="DS814" s="408"/>
      <c r="DT814" s="408"/>
      <c r="DU814" s="408"/>
      <c r="DV814" s="408">
        <v>2501.0991376648926</v>
      </c>
      <c r="DW814" s="408">
        <v>0</v>
      </c>
      <c r="DX814" s="408">
        <v>0</v>
      </c>
      <c r="DY814" s="408">
        <v>-521.49440000000004</v>
      </c>
      <c r="DZ814" s="408">
        <v>53.543199999999956</v>
      </c>
      <c r="EA814" s="408">
        <v>0</v>
      </c>
      <c r="EB814" s="408">
        <v>0</v>
      </c>
      <c r="EC814" s="408">
        <v>-621.31545085547145</v>
      </c>
      <c r="ED814" s="408">
        <v>0</v>
      </c>
      <c r="EE814" s="408">
        <v>0</v>
      </c>
      <c r="EF814" s="408">
        <v>0</v>
      </c>
      <c r="EG814" s="408">
        <v>0</v>
      </c>
      <c r="EH814" s="408">
        <v>0</v>
      </c>
      <c r="EI814" s="408">
        <v>0</v>
      </c>
      <c r="EJ814" s="408">
        <v>0</v>
      </c>
      <c r="EK814" s="408">
        <v>0</v>
      </c>
      <c r="EL814" s="408">
        <v>0</v>
      </c>
      <c r="EM814" s="408">
        <v>0</v>
      </c>
      <c r="EN814" s="408">
        <v>0</v>
      </c>
      <c r="EO814" s="408">
        <v>0</v>
      </c>
      <c r="EP814" s="408">
        <v>33.912168891766882</v>
      </c>
      <c r="EQ814" s="408">
        <v>0</v>
      </c>
      <c r="ER814" s="408">
        <v>0</v>
      </c>
      <c r="ES814" s="408">
        <v>0</v>
      </c>
      <c r="ET814" s="408">
        <v>0</v>
      </c>
      <c r="EU814" s="408">
        <v>0</v>
      </c>
      <c r="EV814" s="408">
        <v>240</v>
      </c>
      <c r="EW814" s="408">
        <v>0</v>
      </c>
      <c r="EX814" s="408">
        <v>0</v>
      </c>
      <c r="EY814" s="408">
        <v>0</v>
      </c>
      <c r="EZ814" s="408"/>
      <c r="FA814" s="408">
        <v>0</v>
      </c>
      <c r="FB814" s="408"/>
      <c r="FC814" s="408"/>
      <c r="FD814" s="408"/>
      <c r="FE814" s="408"/>
      <c r="FF814" s="408">
        <v>0</v>
      </c>
      <c r="FG814" s="408">
        <v>0</v>
      </c>
      <c r="FH814" s="408">
        <v>0</v>
      </c>
      <c r="FI814" s="408">
        <v>0</v>
      </c>
    </row>
    <row r="815" spans="1:165">
      <c r="A815" s="408">
        <v>813</v>
      </c>
      <c r="B815" s="408" t="s">
        <v>2238</v>
      </c>
      <c r="C815" s="408" t="s">
        <v>2243</v>
      </c>
      <c r="D815" s="408" t="s">
        <v>597</v>
      </c>
      <c r="E815" s="408" t="s">
        <v>2246</v>
      </c>
      <c r="F815" s="408" t="s">
        <v>1322</v>
      </c>
      <c r="G815" s="408" t="s">
        <v>1322</v>
      </c>
      <c r="H815" s="408" t="s">
        <v>1322</v>
      </c>
      <c r="I815" s="408" t="s">
        <v>973</v>
      </c>
      <c r="J815" s="408" t="s">
        <v>2236</v>
      </c>
      <c r="K815" s="826">
        <v>44713</v>
      </c>
      <c r="L815" s="408">
        <v>0</v>
      </c>
      <c r="M815" s="408">
        <v>0</v>
      </c>
      <c r="N815" s="408">
        <v>0.91200000000000003</v>
      </c>
      <c r="O815" s="408">
        <v>0.91200000000000003</v>
      </c>
      <c r="P815" s="408">
        <v>0.91200000000000003</v>
      </c>
      <c r="Q815" s="408">
        <v>0.91200000000000003</v>
      </c>
      <c r="R815" s="408"/>
      <c r="S815" s="408">
        <v>1358.36</v>
      </c>
      <c r="T815" s="408">
        <v>173.25</v>
      </c>
      <c r="U815" s="408"/>
      <c r="V815" s="408">
        <v>1396.8283200000001</v>
      </c>
      <c r="W815" s="408">
        <v>1396.8283200000001</v>
      </c>
      <c r="X815" s="408">
        <v>1224.7430400000001</v>
      </c>
      <c r="Y815" s="408">
        <v>0</v>
      </c>
      <c r="Z815" s="408">
        <v>48.832410157708409</v>
      </c>
      <c r="AA815" s="408">
        <v>0</v>
      </c>
      <c r="AB815" s="408">
        <v>0</v>
      </c>
      <c r="AC815" s="408">
        <v>17.275184562010018</v>
      </c>
      <c r="AD815" s="408">
        <v>16.597629811043006</v>
      </c>
      <c r="AE815" s="408">
        <v>919.75903772192828</v>
      </c>
      <c r="AF815" s="408">
        <v>155.35050917380545</v>
      </c>
      <c r="AG815" s="408">
        <v>2.6513969798536201</v>
      </c>
      <c r="AH815" s="408">
        <v>0</v>
      </c>
      <c r="AI815" s="408">
        <v>0</v>
      </c>
      <c r="AJ815" s="408">
        <v>0</v>
      </c>
      <c r="AK815" s="408">
        <v>0</v>
      </c>
      <c r="AL815" s="408">
        <v>8.6722356129207743</v>
      </c>
      <c r="AM815" s="408"/>
      <c r="AN815" s="408">
        <v>0.73034221052964676</v>
      </c>
      <c r="AO815" s="408">
        <v>36.672269840371683</v>
      </c>
      <c r="AP815" s="408">
        <v>170.99644427481843</v>
      </c>
      <c r="AQ815" s="408">
        <v>0</v>
      </c>
      <c r="AR815" s="408">
        <v>0</v>
      </c>
      <c r="AS815" s="408">
        <v>0</v>
      </c>
      <c r="AT815" s="408">
        <v>0</v>
      </c>
      <c r="AU815" s="408">
        <v>0</v>
      </c>
      <c r="AV815" s="408">
        <v>0</v>
      </c>
      <c r="AW815" s="408">
        <v>0</v>
      </c>
      <c r="AX815" s="408">
        <v>0</v>
      </c>
      <c r="AY815" s="408">
        <v>0</v>
      </c>
      <c r="AZ815" s="408">
        <v>0</v>
      </c>
      <c r="BA815" s="408"/>
      <c r="BB815" s="408">
        <v>0</v>
      </c>
      <c r="BC815" s="408">
        <v>0</v>
      </c>
      <c r="BD815" s="408">
        <v>0</v>
      </c>
      <c r="BE815" s="408">
        <v>0</v>
      </c>
      <c r="BF815" s="408">
        <v>0</v>
      </c>
      <c r="BG815" s="408">
        <v>6.820534803700669</v>
      </c>
      <c r="BH815" s="408">
        <v>0</v>
      </c>
      <c r="BI815" s="408">
        <v>0</v>
      </c>
      <c r="BJ815" s="408">
        <v>0</v>
      </c>
      <c r="BK815" s="408">
        <v>0</v>
      </c>
      <c r="BL815" s="408">
        <v>0</v>
      </c>
      <c r="BM815" s="408"/>
      <c r="BN815" s="408"/>
      <c r="BO815" s="408"/>
      <c r="BP815" s="408"/>
      <c r="BQ815" s="408"/>
      <c r="BR815" s="408"/>
      <c r="BS815" s="408"/>
      <c r="BT815" s="408"/>
      <c r="BU815" s="408"/>
      <c r="BV815" s="408">
        <v>162.17104397750612</v>
      </c>
      <c r="BW815" s="408"/>
      <c r="BX815" s="408"/>
      <c r="BY815" s="408"/>
      <c r="BZ815" s="408"/>
      <c r="CA815" s="408"/>
      <c r="CB815" s="408"/>
      <c r="CC815" s="408"/>
      <c r="CD815" s="408"/>
      <c r="CE815" s="408"/>
      <c r="CF815" s="408"/>
      <c r="CG815" s="408"/>
      <c r="CH815" s="408"/>
      <c r="CI815" s="408">
        <v>1222.0572</v>
      </c>
      <c r="CJ815" s="408">
        <v>-174.80112000000008</v>
      </c>
      <c r="CK815" s="408"/>
      <c r="CL815" s="408"/>
      <c r="CM815" s="408"/>
      <c r="CN815" s="408"/>
      <c r="CO815" s="408">
        <v>-191.77535999999998</v>
      </c>
      <c r="CP815" s="408">
        <v>19.690080000000005</v>
      </c>
      <c r="CQ815" s="408">
        <v>30</v>
      </c>
      <c r="CR815" s="408">
        <v>56.395080529315635</v>
      </c>
      <c r="CS815" s="408">
        <v>3.6543133047202616</v>
      </c>
      <c r="CT815" s="408">
        <v>17.039430176897213</v>
      </c>
      <c r="CU815" s="408">
        <v>0</v>
      </c>
      <c r="CV815" s="408">
        <v>0</v>
      </c>
      <c r="CW815" s="408">
        <v>0</v>
      </c>
      <c r="CX815" s="408">
        <v>0</v>
      </c>
      <c r="CY815" s="408">
        <v>0</v>
      </c>
      <c r="CZ815" s="408">
        <v>17.090059295749057</v>
      </c>
      <c r="DA815" s="408">
        <v>0</v>
      </c>
      <c r="DB815" s="408">
        <v>0</v>
      </c>
      <c r="DC815" s="408">
        <v>19.687856876103893</v>
      </c>
      <c r="DD815" s="408">
        <v>0</v>
      </c>
      <c r="DE815" s="408">
        <v>0</v>
      </c>
      <c r="DF815" s="408">
        <v>0</v>
      </c>
      <c r="DG815" s="408">
        <v>0.86437896951795157</v>
      </c>
      <c r="DH815" s="408">
        <v>0</v>
      </c>
      <c r="DI815" s="408">
        <v>-1.6581941232905493</v>
      </c>
      <c r="DJ815" s="408"/>
      <c r="DK815" s="408">
        <v>0</v>
      </c>
      <c r="DL815" s="408">
        <v>0</v>
      </c>
      <c r="DM815" s="408">
        <v>0</v>
      </c>
      <c r="DN815" s="408">
        <v>0</v>
      </c>
      <c r="DO815" s="408">
        <v>-0.26210154494976656</v>
      </c>
      <c r="DP815" s="408">
        <v>-2.066242543241037E-2</v>
      </c>
      <c r="DQ815" s="408">
        <v>0</v>
      </c>
      <c r="DR815" s="408">
        <v>0</v>
      </c>
      <c r="DS815" s="408"/>
      <c r="DT815" s="408"/>
      <c r="DU815" s="408"/>
      <c r="DV815" s="408">
        <v>919.75903772192828</v>
      </c>
      <c r="DW815" s="408">
        <v>0</v>
      </c>
      <c r="DX815" s="408">
        <v>0</v>
      </c>
      <c r="DY815" s="408">
        <v>-191.77535999999986</v>
      </c>
      <c r="DZ815" s="408">
        <v>19.690079999999995</v>
      </c>
      <c r="EA815" s="408">
        <v>0</v>
      </c>
      <c r="EB815" s="408">
        <v>0</v>
      </c>
      <c r="EC815" s="408">
        <v>-228.48374644362491</v>
      </c>
      <c r="ED815" s="408">
        <v>0</v>
      </c>
      <c r="EE815" s="408">
        <v>0</v>
      </c>
      <c r="EF815" s="408">
        <v>0</v>
      </c>
      <c r="EG815" s="408">
        <v>0</v>
      </c>
      <c r="EH815" s="408">
        <v>0</v>
      </c>
      <c r="EI815" s="408">
        <v>0</v>
      </c>
      <c r="EJ815" s="408">
        <v>0</v>
      </c>
      <c r="EK815" s="408">
        <v>0</v>
      </c>
      <c r="EL815" s="408">
        <v>0</v>
      </c>
      <c r="EM815" s="408">
        <v>0</v>
      </c>
      <c r="EN815" s="408">
        <v>0</v>
      </c>
      <c r="EO815" s="408">
        <v>0</v>
      </c>
      <c r="EP815" s="408">
        <v>12.470926624714274</v>
      </c>
      <c r="EQ815" s="408">
        <v>0</v>
      </c>
      <c r="ER815" s="408">
        <v>0</v>
      </c>
      <c r="ES815" s="408">
        <v>0</v>
      </c>
      <c r="ET815" s="408">
        <v>0</v>
      </c>
      <c r="EU815" s="408">
        <v>0</v>
      </c>
      <c r="EV815" s="408">
        <v>240</v>
      </c>
      <c r="EW815" s="408">
        <v>0</v>
      </c>
      <c r="EX815" s="408">
        <v>0</v>
      </c>
      <c r="EY815" s="408">
        <v>0</v>
      </c>
      <c r="EZ815" s="408"/>
      <c r="FA815" s="408">
        <v>0</v>
      </c>
      <c r="FB815" s="408"/>
      <c r="FC815" s="408"/>
      <c r="FD815" s="408"/>
      <c r="FE815" s="408"/>
      <c r="FF815" s="408">
        <v>0</v>
      </c>
      <c r="FG815" s="408">
        <v>0</v>
      </c>
      <c r="FH815" s="408">
        <v>0</v>
      </c>
      <c r="FI815" s="408">
        <v>0</v>
      </c>
    </row>
    <row r="816" spans="1:165">
      <c r="A816" s="408">
        <v>814</v>
      </c>
      <c r="B816" s="408" t="s">
        <v>1036</v>
      </c>
      <c r="C816" s="408" t="s">
        <v>2243</v>
      </c>
      <c r="D816" s="408" t="s">
        <v>597</v>
      </c>
      <c r="E816" s="408" t="s">
        <v>2246</v>
      </c>
      <c r="F816" s="408" t="s">
        <v>1322</v>
      </c>
      <c r="G816" s="408" t="s">
        <v>1322</v>
      </c>
      <c r="H816" s="408" t="s">
        <v>1322</v>
      </c>
      <c r="I816" s="408" t="s">
        <v>2244</v>
      </c>
      <c r="J816" s="408" t="s">
        <v>2236</v>
      </c>
      <c r="K816" s="826">
        <v>44713</v>
      </c>
      <c r="L816" s="408">
        <v>0</v>
      </c>
      <c r="M816" s="408">
        <v>0</v>
      </c>
      <c r="N816" s="408">
        <v>23.907</v>
      </c>
      <c r="O816" s="408">
        <v>23.907</v>
      </c>
      <c r="P816" s="408">
        <v>23.907</v>
      </c>
      <c r="Q816" s="408">
        <v>23.907</v>
      </c>
      <c r="R816" s="408"/>
      <c r="S816" s="408">
        <v>85.01</v>
      </c>
      <c r="T816" s="408">
        <v>173.25</v>
      </c>
      <c r="U816" s="408"/>
      <c r="V816" s="408">
        <v>6174.2218199999998</v>
      </c>
      <c r="W816" s="408">
        <v>6174.2218199999998</v>
      </c>
      <c r="X816" s="408">
        <v>6662.1636900000003</v>
      </c>
      <c r="Y816" s="408">
        <v>0</v>
      </c>
      <c r="Z816" s="408">
        <v>1280.0838044301918</v>
      </c>
      <c r="AA816" s="408">
        <v>0</v>
      </c>
      <c r="AB816" s="408">
        <v>0</v>
      </c>
      <c r="AC816" s="408">
        <v>0</v>
      </c>
      <c r="AD816" s="408">
        <v>0</v>
      </c>
      <c r="AE816" s="408">
        <v>0</v>
      </c>
      <c r="AF816" s="408">
        <v>4072.3296302830777</v>
      </c>
      <c r="AG816" s="408">
        <v>69.503232014649669</v>
      </c>
      <c r="AH816" s="408">
        <v>0</v>
      </c>
      <c r="AI816" s="408">
        <v>0</v>
      </c>
      <c r="AJ816" s="408">
        <v>0</v>
      </c>
      <c r="AK816" s="408">
        <v>0</v>
      </c>
      <c r="AL816" s="408">
        <v>227.33238684001859</v>
      </c>
      <c r="AM816" s="408"/>
      <c r="AN816" s="408">
        <v>19.145056170101167</v>
      </c>
      <c r="AO816" s="408">
        <v>0</v>
      </c>
      <c r="AP816" s="408">
        <v>0</v>
      </c>
      <c r="AQ816" s="408">
        <v>0</v>
      </c>
      <c r="AR816" s="408">
        <v>0</v>
      </c>
      <c r="AS816" s="408">
        <v>0</v>
      </c>
      <c r="AT816" s="408">
        <v>0</v>
      </c>
      <c r="AU816" s="408">
        <v>0</v>
      </c>
      <c r="AV816" s="408">
        <v>0</v>
      </c>
      <c r="AW816" s="408">
        <v>0</v>
      </c>
      <c r="AX816" s="408">
        <v>0</v>
      </c>
      <c r="AY816" s="408">
        <v>0</v>
      </c>
      <c r="AZ816" s="408">
        <v>0</v>
      </c>
      <c r="BA816" s="408"/>
      <c r="BB816" s="408">
        <v>0</v>
      </c>
      <c r="BC816" s="408">
        <v>0</v>
      </c>
      <c r="BD816" s="408">
        <v>0</v>
      </c>
      <c r="BE816" s="408">
        <v>0</v>
      </c>
      <c r="BF816" s="408">
        <v>0</v>
      </c>
      <c r="BG816" s="408">
        <v>178.79224292990341</v>
      </c>
      <c r="BH816" s="408">
        <v>0</v>
      </c>
      <c r="BI816" s="408">
        <v>0</v>
      </c>
      <c r="BJ816" s="408">
        <v>0</v>
      </c>
      <c r="BK816" s="408">
        <v>0</v>
      </c>
      <c r="BL816" s="408">
        <v>0</v>
      </c>
      <c r="BM816" s="408"/>
      <c r="BN816" s="408"/>
      <c r="BO816" s="408"/>
      <c r="BP816" s="408"/>
      <c r="BQ816" s="408"/>
      <c r="BR816" s="408"/>
      <c r="BS816" s="408"/>
      <c r="BT816" s="408"/>
      <c r="BU816" s="408"/>
      <c r="BV816" s="408">
        <v>4251.121873212981</v>
      </c>
      <c r="BW816" s="408"/>
      <c r="BX816" s="408"/>
      <c r="BY816" s="408"/>
      <c r="BZ816" s="408"/>
      <c r="CA816" s="408"/>
      <c r="CB816" s="408"/>
      <c r="CC816" s="408"/>
      <c r="CD816" s="408"/>
      <c r="CE816" s="408"/>
      <c r="CF816" s="408"/>
      <c r="CG816" s="408"/>
      <c r="CH816" s="408"/>
      <c r="CI816" s="408">
        <v>6662.9996999999994</v>
      </c>
      <c r="CJ816" s="408">
        <v>488.74787999999899</v>
      </c>
      <c r="CK816" s="408"/>
      <c r="CL816" s="408"/>
      <c r="CM816" s="408"/>
      <c r="CN816" s="408"/>
      <c r="CO816" s="408">
        <v>-28.210260000000162</v>
      </c>
      <c r="CP816" s="408">
        <v>516.15213000000006</v>
      </c>
      <c r="CQ816" s="408">
        <v>30</v>
      </c>
      <c r="CR816" s="408">
        <v>487.87260659632375</v>
      </c>
      <c r="CS816" s="408">
        <v>0</v>
      </c>
      <c r="CT816" s="408">
        <v>0</v>
      </c>
      <c r="CU816" s="408">
        <v>0</v>
      </c>
      <c r="CV816" s="408">
        <v>0</v>
      </c>
      <c r="CW816" s="408">
        <v>0</v>
      </c>
      <c r="CX816" s="408">
        <v>0</v>
      </c>
      <c r="CY816" s="408">
        <v>0</v>
      </c>
      <c r="CZ816" s="408">
        <v>0</v>
      </c>
      <c r="DA816" s="408">
        <v>0</v>
      </c>
      <c r="DB816" s="408">
        <v>0</v>
      </c>
      <c r="DC816" s="408">
        <v>516.09385343971007</v>
      </c>
      <c r="DD816" s="408">
        <v>0</v>
      </c>
      <c r="DE816" s="408">
        <v>0</v>
      </c>
      <c r="DF816" s="408">
        <v>0</v>
      </c>
      <c r="DG816" s="408">
        <v>22.658671079238644</v>
      </c>
      <c r="DH816" s="408">
        <v>0</v>
      </c>
      <c r="DI816" s="408">
        <v>-43.467595291126372</v>
      </c>
      <c r="DJ816" s="408"/>
      <c r="DK816" s="408">
        <v>0</v>
      </c>
      <c r="DL816" s="408">
        <v>0</v>
      </c>
      <c r="DM816" s="408">
        <v>0</v>
      </c>
      <c r="DN816" s="408">
        <v>0</v>
      </c>
      <c r="DO816" s="408">
        <v>-6.8706816174496339</v>
      </c>
      <c r="DP816" s="408">
        <v>-0.54164101404894183</v>
      </c>
      <c r="DQ816" s="408">
        <v>0</v>
      </c>
      <c r="DR816" s="408">
        <v>0</v>
      </c>
      <c r="DS816" s="408"/>
      <c r="DT816" s="408"/>
      <c r="DU816" s="408"/>
      <c r="DV816" s="408">
        <v>0</v>
      </c>
      <c r="DW816" s="408">
        <v>0</v>
      </c>
      <c r="DX816" s="408">
        <v>0</v>
      </c>
      <c r="DY816" s="408">
        <v>-28.210260000000062</v>
      </c>
      <c r="DZ816" s="408">
        <v>516.1521300000004</v>
      </c>
      <c r="EA816" s="408">
        <v>0</v>
      </c>
      <c r="EB816" s="408">
        <v>0</v>
      </c>
      <c r="EC816" s="408">
        <v>0</v>
      </c>
      <c r="ED816" s="408">
        <v>0</v>
      </c>
      <c r="EE816" s="408">
        <v>0</v>
      </c>
      <c r="EF816" s="408">
        <v>0</v>
      </c>
      <c r="EG816" s="408">
        <v>0</v>
      </c>
      <c r="EH816" s="408">
        <v>0</v>
      </c>
      <c r="EI816" s="408">
        <v>0</v>
      </c>
      <c r="EJ816" s="408">
        <v>0</v>
      </c>
      <c r="EK816" s="408">
        <v>0</v>
      </c>
      <c r="EL816" s="408">
        <v>0</v>
      </c>
      <c r="EM816" s="408">
        <v>0</v>
      </c>
      <c r="EN816" s="408">
        <v>0</v>
      </c>
      <c r="EO816" s="408">
        <v>0</v>
      </c>
      <c r="EP816" s="408">
        <v>326.91057326430274</v>
      </c>
      <c r="EQ816" s="408">
        <v>0</v>
      </c>
      <c r="ER816" s="408">
        <v>0</v>
      </c>
      <c r="ES816" s="408">
        <v>0</v>
      </c>
      <c r="ET816" s="408">
        <v>0</v>
      </c>
      <c r="EU816" s="408">
        <v>0</v>
      </c>
      <c r="EV816" s="408">
        <v>240</v>
      </c>
      <c r="EW816" s="408">
        <v>0</v>
      </c>
      <c r="EX816" s="408">
        <v>0</v>
      </c>
      <c r="EY816" s="408">
        <v>0</v>
      </c>
      <c r="EZ816" s="408"/>
      <c r="FA816" s="408">
        <v>0</v>
      </c>
      <c r="FB816" s="408"/>
      <c r="FC816" s="408"/>
      <c r="FD816" s="408"/>
      <c r="FE816" s="408"/>
      <c r="FF816" s="408">
        <v>0</v>
      </c>
      <c r="FG816" s="408">
        <v>0</v>
      </c>
      <c r="FH816" s="408">
        <v>0</v>
      </c>
      <c r="FI816" s="408">
        <v>0</v>
      </c>
    </row>
    <row r="817" spans="1:165">
      <c r="A817" s="408">
        <v>815</v>
      </c>
      <c r="B817" s="408" t="s">
        <v>2238</v>
      </c>
      <c r="C817" s="408" t="s">
        <v>2243</v>
      </c>
      <c r="D817" s="408" t="s">
        <v>597</v>
      </c>
      <c r="E817" s="408" t="s">
        <v>2246</v>
      </c>
      <c r="F817" s="408" t="s">
        <v>1322</v>
      </c>
      <c r="G817" s="408" t="s">
        <v>1322</v>
      </c>
      <c r="H817" s="408" t="s">
        <v>1322</v>
      </c>
      <c r="I817" s="408" t="s">
        <v>2244</v>
      </c>
      <c r="J817" s="408" t="s">
        <v>2236</v>
      </c>
      <c r="K817" s="826">
        <v>44713</v>
      </c>
      <c r="L817" s="408">
        <v>0</v>
      </c>
      <c r="M817" s="408">
        <v>0</v>
      </c>
      <c r="N817" s="408">
        <v>4.4279999999999999</v>
      </c>
      <c r="O817" s="408">
        <v>4.4279999999999999</v>
      </c>
      <c r="P817" s="408">
        <v>4.4279999999999999</v>
      </c>
      <c r="Q817" s="408">
        <v>4.4279999999999999</v>
      </c>
      <c r="R817" s="408"/>
      <c r="S817" s="408">
        <v>85.01</v>
      </c>
      <c r="T817" s="408">
        <v>173.25</v>
      </c>
      <c r="U817" s="408"/>
      <c r="V817" s="408">
        <v>1143.57528</v>
      </c>
      <c r="W817" s="408">
        <v>1143.57528</v>
      </c>
      <c r="X817" s="408">
        <v>1233.9507599999999</v>
      </c>
      <c r="Y817" s="408">
        <v>0</v>
      </c>
      <c r="Z817" s="408">
        <v>237.09420194992634</v>
      </c>
      <c r="AA817" s="408">
        <v>0</v>
      </c>
      <c r="AB817" s="408">
        <v>0</v>
      </c>
      <c r="AC817" s="408">
        <v>0</v>
      </c>
      <c r="AD817" s="408">
        <v>0</v>
      </c>
      <c r="AE817" s="408">
        <v>0</v>
      </c>
      <c r="AF817" s="408">
        <v>754.26760375176593</v>
      </c>
      <c r="AG817" s="408">
        <v>12.873230073236655</v>
      </c>
      <c r="AH817" s="408">
        <v>0</v>
      </c>
      <c r="AI817" s="408">
        <v>0</v>
      </c>
      <c r="AJ817" s="408">
        <v>0</v>
      </c>
      <c r="AK817" s="408">
        <v>0</v>
      </c>
      <c r="AL817" s="408">
        <v>42.105986067996916</v>
      </c>
      <c r="AM817" s="408"/>
      <c r="AN817" s="408">
        <v>3.5460036274399953</v>
      </c>
      <c r="AO817" s="408">
        <v>0</v>
      </c>
      <c r="AP817" s="408">
        <v>0</v>
      </c>
      <c r="AQ817" s="408">
        <v>0</v>
      </c>
      <c r="AR817" s="408">
        <v>0</v>
      </c>
      <c r="AS817" s="408">
        <v>0</v>
      </c>
      <c r="AT817" s="408">
        <v>0</v>
      </c>
      <c r="AU817" s="408">
        <v>0</v>
      </c>
      <c r="AV817" s="408">
        <v>0</v>
      </c>
      <c r="AW817" s="408">
        <v>0</v>
      </c>
      <c r="AX817" s="408">
        <v>0</v>
      </c>
      <c r="AY817" s="408">
        <v>0</v>
      </c>
      <c r="AZ817" s="408">
        <v>0</v>
      </c>
      <c r="BA817" s="408"/>
      <c r="BB817" s="408">
        <v>0</v>
      </c>
      <c r="BC817" s="408">
        <v>0</v>
      </c>
      <c r="BD817" s="408">
        <v>0</v>
      </c>
      <c r="BE817" s="408">
        <v>0</v>
      </c>
      <c r="BF817" s="408">
        <v>0</v>
      </c>
      <c r="BG817" s="408">
        <v>33.115491349546673</v>
      </c>
      <c r="BH817" s="408">
        <v>0</v>
      </c>
      <c r="BI817" s="408">
        <v>0</v>
      </c>
      <c r="BJ817" s="408">
        <v>0</v>
      </c>
      <c r="BK817" s="408">
        <v>0</v>
      </c>
      <c r="BL817" s="408">
        <v>0</v>
      </c>
      <c r="BM817" s="408"/>
      <c r="BN817" s="408"/>
      <c r="BO817" s="408"/>
      <c r="BP817" s="408"/>
      <c r="BQ817" s="408"/>
      <c r="BR817" s="408"/>
      <c r="BS817" s="408"/>
      <c r="BT817" s="408"/>
      <c r="BU817" s="408"/>
      <c r="BV817" s="408">
        <v>787.38309510131262</v>
      </c>
      <c r="BW817" s="408"/>
      <c r="BX817" s="408"/>
      <c r="BY817" s="408"/>
      <c r="BZ817" s="408"/>
      <c r="CA817" s="408"/>
      <c r="CB817" s="408"/>
      <c r="CC817" s="408"/>
      <c r="CD817" s="408"/>
      <c r="CE817" s="408"/>
      <c r="CF817" s="408"/>
      <c r="CG817" s="408"/>
      <c r="CH817" s="408"/>
      <c r="CI817" s="408">
        <v>1234.5081</v>
      </c>
      <c r="CJ817" s="408">
        <v>90.90282000000002</v>
      </c>
      <c r="CK817" s="408"/>
      <c r="CL817" s="408"/>
      <c r="CM817" s="408"/>
      <c r="CN817" s="408"/>
      <c r="CO817" s="408">
        <v>-5.2250400000000301</v>
      </c>
      <c r="CP817" s="408">
        <v>95.600520000000017</v>
      </c>
      <c r="CQ817" s="408">
        <v>30</v>
      </c>
      <c r="CR817" s="408">
        <v>90.362651190384668</v>
      </c>
      <c r="CS817" s="408">
        <v>0</v>
      </c>
      <c r="CT817" s="408">
        <v>0</v>
      </c>
      <c r="CU817" s="408">
        <v>0</v>
      </c>
      <c r="CV817" s="408">
        <v>0</v>
      </c>
      <c r="CW817" s="408">
        <v>0</v>
      </c>
      <c r="CX817" s="408">
        <v>0</v>
      </c>
      <c r="CY817" s="408">
        <v>0</v>
      </c>
      <c r="CZ817" s="408">
        <v>0</v>
      </c>
      <c r="DA817" s="408">
        <v>0</v>
      </c>
      <c r="DB817" s="408">
        <v>0</v>
      </c>
      <c r="DC817" s="408">
        <v>95.589726148451746</v>
      </c>
      <c r="DD817" s="408">
        <v>0</v>
      </c>
      <c r="DE817" s="408">
        <v>0</v>
      </c>
      <c r="DF817" s="408">
        <v>0</v>
      </c>
      <c r="DG817" s="408">
        <v>4.1967873651595227</v>
      </c>
      <c r="DH817" s="408">
        <v>0</v>
      </c>
      <c r="DI817" s="408">
        <v>-8.0509688354501634</v>
      </c>
      <c r="DJ817" s="408"/>
      <c r="DK817" s="408">
        <v>0</v>
      </c>
      <c r="DL817" s="408">
        <v>0</v>
      </c>
      <c r="DM817" s="408">
        <v>0</v>
      </c>
      <c r="DN817" s="408">
        <v>0</v>
      </c>
      <c r="DO817" s="408">
        <v>-1.2725719748218935</v>
      </c>
      <c r="DP817" s="408">
        <v>-0.10032151295472902</v>
      </c>
      <c r="DQ817" s="408">
        <v>0</v>
      </c>
      <c r="DR817" s="408">
        <v>0</v>
      </c>
      <c r="DS817" s="408"/>
      <c r="DT817" s="408"/>
      <c r="DU817" s="408"/>
      <c r="DV817" s="408">
        <v>0</v>
      </c>
      <c r="DW817" s="408">
        <v>0</v>
      </c>
      <c r="DX817" s="408">
        <v>0</v>
      </c>
      <c r="DY817" s="408">
        <v>-5.2250400000000354</v>
      </c>
      <c r="DZ817" s="408">
        <v>95.600520000000074</v>
      </c>
      <c r="EA817" s="408">
        <v>0</v>
      </c>
      <c r="EB817" s="408">
        <v>0</v>
      </c>
      <c r="EC817" s="408">
        <v>0</v>
      </c>
      <c r="ED817" s="408">
        <v>0</v>
      </c>
      <c r="EE817" s="408">
        <v>0</v>
      </c>
      <c r="EF817" s="408">
        <v>0</v>
      </c>
      <c r="EG817" s="408">
        <v>0</v>
      </c>
      <c r="EH817" s="408">
        <v>0</v>
      </c>
      <c r="EI817" s="408">
        <v>0</v>
      </c>
      <c r="EJ817" s="408">
        <v>0</v>
      </c>
      <c r="EK817" s="408">
        <v>0</v>
      </c>
      <c r="EL817" s="408">
        <v>0</v>
      </c>
      <c r="EM817" s="408">
        <v>0</v>
      </c>
      <c r="EN817" s="408">
        <v>0</v>
      </c>
      <c r="EO817" s="408">
        <v>0</v>
      </c>
      <c r="EP817" s="408">
        <v>60.549630585783767</v>
      </c>
      <c r="EQ817" s="408">
        <v>0</v>
      </c>
      <c r="ER817" s="408">
        <v>0</v>
      </c>
      <c r="ES817" s="408">
        <v>0</v>
      </c>
      <c r="ET817" s="408">
        <v>0</v>
      </c>
      <c r="EU817" s="408">
        <v>0</v>
      </c>
      <c r="EV817" s="408">
        <v>240</v>
      </c>
      <c r="EW817" s="408">
        <v>0</v>
      </c>
      <c r="EX817" s="408">
        <v>0</v>
      </c>
      <c r="EY817" s="408">
        <v>0</v>
      </c>
      <c r="EZ817" s="408"/>
      <c r="FA817" s="408">
        <v>0</v>
      </c>
      <c r="FB817" s="408"/>
      <c r="FC817" s="408"/>
      <c r="FD817" s="408"/>
      <c r="FE817" s="408"/>
      <c r="FF817" s="408">
        <v>0</v>
      </c>
      <c r="FG817" s="408">
        <v>0</v>
      </c>
      <c r="FH817" s="408">
        <v>0</v>
      </c>
      <c r="FI817" s="408">
        <v>0</v>
      </c>
    </row>
    <row r="818" spans="1:165">
      <c r="A818" s="408">
        <v>816</v>
      </c>
      <c r="B818" s="408" t="s">
        <v>1036</v>
      </c>
      <c r="C818" s="408" t="s">
        <v>2243</v>
      </c>
      <c r="D818" s="408" t="s">
        <v>597</v>
      </c>
      <c r="E818" s="408" t="s">
        <v>2246</v>
      </c>
      <c r="F818" s="408" t="s">
        <v>1322</v>
      </c>
      <c r="G818" s="408" t="s">
        <v>1322</v>
      </c>
      <c r="H818" s="408" t="s">
        <v>1322</v>
      </c>
      <c r="I818" s="408" t="s">
        <v>1322</v>
      </c>
      <c r="J818" s="408" t="s">
        <v>2236</v>
      </c>
      <c r="K818" s="826">
        <v>44713</v>
      </c>
      <c r="L818" s="408">
        <v>266</v>
      </c>
      <c r="M818" s="408">
        <v>266</v>
      </c>
      <c r="N818" s="408">
        <v>0</v>
      </c>
      <c r="O818" s="408">
        <v>0</v>
      </c>
      <c r="P818" s="408">
        <v>0</v>
      </c>
      <c r="Q818" s="408">
        <v>0</v>
      </c>
      <c r="R818" s="408">
        <v>27.19</v>
      </c>
      <c r="S818" s="408"/>
      <c r="T818" s="408"/>
      <c r="U818" s="408">
        <v>7232.54</v>
      </c>
      <c r="V818" s="408"/>
      <c r="W818" s="408">
        <v>7232.54</v>
      </c>
      <c r="X818" s="408">
        <v>5788.1600000000008</v>
      </c>
      <c r="Y818" s="408">
        <v>0</v>
      </c>
      <c r="Z818" s="408">
        <v>0</v>
      </c>
      <c r="AA818" s="408">
        <v>0</v>
      </c>
      <c r="AB818" s="408">
        <v>0</v>
      </c>
      <c r="AC818" s="408">
        <v>62.031363171732025</v>
      </c>
      <c r="AD818" s="408">
        <v>59.593267272532785</v>
      </c>
      <c r="AE818" s="408">
        <v>6365.9200446804271</v>
      </c>
      <c r="AF818" s="408"/>
      <c r="AG818" s="408"/>
      <c r="AH818" s="408"/>
      <c r="AI818" s="408">
        <v>0</v>
      </c>
      <c r="AJ818" s="408">
        <v>0</v>
      </c>
      <c r="AK818" s="408">
        <v>0</v>
      </c>
      <c r="AL818" s="408">
        <v>0</v>
      </c>
      <c r="AM818" s="408"/>
      <c r="AN818" s="408">
        <v>0</v>
      </c>
      <c r="AO818" s="408">
        <v>131.63936507006343</v>
      </c>
      <c r="AP818" s="408">
        <v>613.95163224105636</v>
      </c>
      <c r="AQ818" s="408">
        <v>0</v>
      </c>
      <c r="AR818" s="408">
        <v>0</v>
      </c>
      <c r="AS818" s="408"/>
      <c r="AT818" s="408"/>
      <c r="AU818" s="408">
        <v>0</v>
      </c>
      <c r="AV818" s="408">
        <v>0</v>
      </c>
      <c r="AW818" s="408">
        <v>0</v>
      </c>
      <c r="AX818" s="408"/>
      <c r="AY818" s="408"/>
      <c r="AZ818" s="408">
        <v>0</v>
      </c>
      <c r="BA818" s="408"/>
      <c r="BB818" s="408">
        <v>0</v>
      </c>
      <c r="BC818" s="408">
        <v>0</v>
      </c>
      <c r="BD818" s="408">
        <v>0</v>
      </c>
      <c r="BE818" s="408">
        <v>0</v>
      </c>
      <c r="BF818" s="408"/>
      <c r="BG818" s="408">
        <v>0</v>
      </c>
      <c r="BH818" s="408">
        <v>0</v>
      </c>
      <c r="BI818" s="408">
        <v>16.22</v>
      </c>
      <c r="BJ818" s="408">
        <v>178.6</v>
      </c>
      <c r="BK818" s="408">
        <v>4509.1899999999996</v>
      </c>
      <c r="BL818" s="408">
        <v>5</v>
      </c>
      <c r="BM818" s="408"/>
      <c r="BN818" s="408"/>
      <c r="BO818" s="408"/>
      <c r="BP818" s="408"/>
      <c r="BQ818" s="408"/>
      <c r="BR818" s="408"/>
      <c r="BS818" s="408"/>
      <c r="BT818" s="408"/>
      <c r="BU818" s="408"/>
      <c r="BV818" s="408">
        <v>0</v>
      </c>
      <c r="BW818" s="408"/>
      <c r="BX818" s="408"/>
      <c r="BY818" s="408"/>
      <c r="BZ818" s="408"/>
      <c r="CA818" s="408"/>
      <c r="CB818" s="408"/>
      <c r="CC818" s="408"/>
      <c r="CD818" s="408"/>
      <c r="CE818" s="408"/>
      <c r="CF818" s="408"/>
      <c r="CG818" s="408"/>
      <c r="CH818" s="408"/>
      <c r="CI818" s="408">
        <v>5788.1600000000008</v>
      </c>
      <c r="CJ818" s="408">
        <v>-1444.4099999999999</v>
      </c>
      <c r="CK818" s="408"/>
      <c r="CL818" s="408"/>
      <c r="CM818" s="408"/>
      <c r="CN818" s="408"/>
      <c r="CO818" s="408">
        <v>-1444.3799999999999</v>
      </c>
      <c r="CP818" s="408">
        <v>0</v>
      </c>
      <c r="CQ818" s="408">
        <v>30</v>
      </c>
      <c r="CR818" s="408">
        <v>135.6578690576689</v>
      </c>
      <c r="CS818" s="408">
        <v>13.117581357641683</v>
      </c>
      <c r="CT818" s="408">
        <v>61.178967866432913</v>
      </c>
      <c r="CU818" s="408">
        <v>0</v>
      </c>
      <c r="CV818" s="408">
        <v>0</v>
      </c>
      <c r="CW818" s="408"/>
      <c r="CX818" s="408"/>
      <c r="CY818" s="408"/>
      <c r="CZ818" s="408">
        <v>61.361319833594308</v>
      </c>
      <c r="DA818" s="408">
        <v>0</v>
      </c>
      <c r="DB818" s="408">
        <v>0</v>
      </c>
      <c r="DC818" s="408"/>
      <c r="DD818" s="408"/>
      <c r="DE818" s="408">
        <v>0</v>
      </c>
      <c r="DF818" s="408">
        <v>0</v>
      </c>
      <c r="DG818" s="408">
        <v>0</v>
      </c>
      <c r="DH818" s="408">
        <v>0</v>
      </c>
      <c r="DI818" s="408">
        <v>0</v>
      </c>
      <c r="DJ818" s="408"/>
      <c r="DK818" s="408">
        <v>0</v>
      </c>
      <c r="DL818" s="408">
        <v>0</v>
      </c>
      <c r="DM818" s="408"/>
      <c r="DN818" s="408">
        <v>0</v>
      </c>
      <c r="DO818" s="408">
        <v>0</v>
      </c>
      <c r="DP818" s="408">
        <v>0</v>
      </c>
      <c r="DQ818" s="408">
        <v>0</v>
      </c>
      <c r="DR818" s="408">
        <v>0</v>
      </c>
      <c r="DS818" s="408"/>
      <c r="DT818" s="408"/>
      <c r="DU818" s="408">
        <v>6365.9200446804271</v>
      </c>
      <c r="DV818" s="408"/>
      <c r="DW818" s="408">
        <v>0</v>
      </c>
      <c r="DX818" s="408">
        <v>0</v>
      </c>
      <c r="DY818" s="408">
        <v>-1444.3799999999992</v>
      </c>
      <c r="DZ818" s="408"/>
      <c r="EA818" s="408">
        <v>0</v>
      </c>
      <c r="EB818" s="408"/>
      <c r="EC818" s="408">
        <v>-1581.4025214383164</v>
      </c>
      <c r="ED818" s="408"/>
      <c r="EE818" s="408">
        <v>0</v>
      </c>
      <c r="EF818" s="408">
        <v>0</v>
      </c>
      <c r="EG818" s="408"/>
      <c r="EH818" s="408">
        <v>0</v>
      </c>
      <c r="EI818" s="408">
        <v>0</v>
      </c>
      <c r="EJ818" s="408">
        <v>0</v>
      </c>
      <c r="EK818" s="408">
        <v>0</v>
      </c>
      <c r="EL818" s="408">
        <v>0</v>
      </c>
      <c r="EM818" s="408"/>
      <c r="EN818" s="408"/>
      <c r="EO818" s="408">
        <v>0</v>
      </c>
      <c r="EP818" s="408">
        <v>0</v>
      </c>
      <c r="EQ818" s="408"/>
      <c r="ER818" s="408">
        <v>0</v>
      </c>
      <c r="ES818" s="408"/>
      <c r="ET818" s="408">
        <v>0</v>
      </c>
      <c r="EU818" s="408"/>
      <c r="EV818" s="408">
        <v>240</v>
      </c>
      <c r="EW818" s="408"/>
      <c r="EX818" s="408"/>
      <c r="EY818" s="408"/>
      <c r="EZ818" s="408"/>
      <c r="FA818" s="408">
        <v>0</v>
      </c>
      <c r="FB818" s="408"/>
      <c r="FC818" s="408"/>
      <c r="FD818" s="408"/>
      <c r="FE818" s="408"/>
      <c r="FF818" s="408">
        <v>0</v>
      </c>
      <c r="FG818" s="408">
        <v>0</v>
      </c>
      <c r="FH818" s="408">
        <v>0</v>
      </c>
      <c r="FI818" s="408">
        <v>0</v>
      </c>
    </row>
    <row r="819" spans="1:165">
      <c r="A819" s="408">
        <v>817</v>
      </c>
      <c r="B819" s="408" t="s">
        <v>2238</v>
      </c>
      <c r="C819" s="408" t="s">
        <v>2243</v>
      </c>
      <c r="D819" s="408" t="s">
        <v>597</v>
      </c>
      <c r="E819" s="408" t="s">
        <v>2246</v>
      </c>
      <c r="F819" s="408" t="s">
        <v>1322</v>
      </c>
      <c r="G819" s="408" t="s">
        <v>1322</v>
      </c>
      <c r="H819" s="408" t="s">
        <v>1322</v>
      </c>
      <c r="I819" s="408" t="s">
        <v>1322</v>
      </c>
      <c r="J819" s="408" t="s">
        <v>2236</v>
      </c>
      <c r="K819" s="826">
        <v>44713</v>
      </c>
      <c r="L819" s="408">
        <v>40</v>
      </c>
      <c r="M819" s="408">
        <v>40</v>
      </c>
      <c r="N819" s="408">
        <v>0</v>
      </c>
      <c r="O819" s="408">
        <v>0</v>
      </c>
      <c r="P819" s="408">
        <v>0</v>
      </c>
      <c r="Q819" s="408">
        <v>0</v>
      </c>
      <c r="R819" s="408">
        <v>27.19</v>
      </c>
      <c r="S819" s="408"/>
      <c r="T819" s="408"/>
      <c r="U819" s="408">
        <v>1087.6000000000001</v>
      </c>
      <c r="V819" s="408"/>
      <c r="W819" s="408">
        <v>1087.6000000000001</v>
      </c>
      <c r="X819" s="408">
        <v>870.40000000000009</v>
      </c>
      <c r="Y819" s="408">
        <v>0</v>
      </c>
      <c r="Z819" s="408">
        <v>0</v>
      </c>
      <c r="AA819" s="408">
        <v>0</v>
      </c>
      <c r="AB819" s="408">
        <v>0</v>
      </c>
      <c r="AC819" s="408">
        <v>9.3280245371025607</v>
      </c>
      <c r="AD819" s="408">
        <v>8.9613935748169595</v>
      </c>
      <c r="AE819" s="408">
        <v>957.28120972637998</v>
      </c>
      <c r="AF819" s="408"/>
      <c r="AG819" s="408"/>
      <c r="AH819" s="408"/>
      <c r="AI819" s="408">
        <v>0</v>
      </c>
      <c r="AJ819" s="408">
        <v>0</v>
      </c>
      <c r="AK819" s="408">
        <v>0</v>
      </c>
      <c r="AL819" s="408">
        <v>0</v>
      </c>
      <c r="AM819" s="408"/>
      <c r="AN819" s="408">
        <v>0</v>
      </c>
      <c r="AO819" s="408">
        <v>19.795393243618559</v>
      </c>
      <c r="AP819" s="408">
        <v>92.3235537204596</v>
      </c>
      <c r="AQ819" s="408">
        <v>0</v>
      </c>
      <c r="AR819" s="408">
        <v>0</v>
      </c>
      <c r="AS819" s="408"/>
      <c r="AT819" s="408"/>
      <c r="AU819" s="408">
        <v>0</v>
      </c>
      <c r="AV819" s="408">
        <v>0</v>
      </c>
      <c r="AW819" s="408">
        <v>0</v>
      </c>
      <c r="AX819" s="408"/>
      <c r="AY819" s="408"/>
      <c r="AZ819" s="408">
        <v>0</v>
      </c>
      <c r="BA819" s="408"/>
      <c r="BB819" s="408">
        <v>0</v>
      </c>
      <c r="BC819" s="408">
        <v>0</v>
      </c>
      <c r="BD819" s="408">
        <v>0</v>
      </c>
      <c r="BE819" s="408">
        <v>0</v>
      </c>
      <c r="BF819" s="408"/>
      <c r="BG819" s="408">
        <v>0</v>
      </c>
      <c r="BH819" s="408">
        <v>0</v>
      </c>
      <c r="BI819" s="408">
        <v>3.41</v>
      </c>
      <c r="BJ819" s="408">
        <v>37.56</v>
      </c>
      <c r="BK819" s="408">
        <v>1039.03</v>
      </c>
      <c r="BL819" s="408">
        <v>1</v>
      </c>
      <c r="BM819" s="408"/>
      <c r="BN819" s="408"/>
      <c r="BO819" s="408"/>
      <c r="BP819" s="408"/>
      <c r="BQ819" s="408"/>
      <c r="BR819" s="408"/>
      <c r="BS819" s="408"/>
      <c r="BT819" s="408"/>
      <c r="BU819" s="408"/>
      <c r="BV819" s="408">
        <v>0</v>
      </c>
      <c r="BW819" s="408"/>
      <c r="BX819" s="408"/>
      <c r="BY819" s="408"/>
      <c r="BZ819" s="408"/>
      <c r="CA819" s="408"/>
      <c r="CB819" s="408"/>
      <c r="CC819" s="408"/>
      <c r="CD819" s="408"/>
      <c r="CE819" s="408"/>
      <c r="CF819" s="408"/>
      <c r="CG819" s="408"/>
      <c r="CH819" s="408"/>
      <c r="CI819" s="408">
        <v>870.40000000000009</v>
      </c>
      <c r="CJ819" s="408">
        <v>-217.23000000000002</v>
      </c>
      <c r="CK819" s="408"/>
      <c r="CL819" s="408"/>
      <c r="CM819" s="408"/>
      <c r="CN819" s="408"/>
      <c r="CO819" s="408">
        <v>-217.2</v>
      </c>
      <c r="CP819" s="408">
        <v>0</v>
      </c>
      <c r="CQ819" s="408">
        <v>30</v>
      </c>
      <c r="CR819" s="408">
        <v>20.399679557544232</v>
      </c>
      <c r="CS819" s="408">
        <v>1.9725686252092807</v>
      </c>
      <c r="CT819" s="408">
        <v>9.1998447919447983</v>
      </c>
      <c r="CU819" s="408">
        <v>0</v>
      </c>
      <c r="CV819" s="408">
        <v>0</v>
      </c>
      <c r="CW819" s="408"/>
      <c r="CX819" s="408"/>
      <c r="CY819" s="408"/>
      <c r="CZ819" s="408">
        <v>9.2272661403901211</v>
      </c>
      <c r="DA819" s="408">
        <v>0</v>
      </c>
      <c r="DB819" s="408">
        <v>0</v>
      </c>
      <c r="DC819" s="408"/>
      <c r="DD819" s="408"/>
      <c r="DE819" s="408">
        <v>0</v>
      </c>
      <c r="DF819" s="408">
        <v>0</v>
      </c>
      <c r="DG819" s="408">
        <v>0</v>
      </c>
      <c r="DH819" s="408">
        <v>0</v>
      </c>
      <c r="DI819" s="408">
        <v>0</v>
      </c>
      <c r="DJ819" s="408"/>
      <c r="DK819" s="408">
        <v>0</v>
      </c>
      <c r="DL819" s="408">
        <v>0</v>
      </c>
      <c r="DM819" s="408"/>
      <c r="DN819" s="408">
        <v>0</v>
      </c>
      <c r="DO819" s="408">
        <v>0</v>
      </c>
      <c r="DP819" s="408">
        <v>0</v>
      </c>
      <c r="DQ819" s="408">
        <v>0</v>
      </c>
      <c r="DR819" s="408">
        <v>0</v>
      </c>
      <c r="DS819" s="408"/>
      <c r="DT819" s="408"/>
      <c r="DU819" s="408">
        <v>957.28120972637998</v>
      </c>
      <c r="DV819" s="408"/>
      <c r="DW819" s="408">
        <v>0</v>
      </c>
      <c r="DX819" s="408">
        <v>0</v>
      </c>
      <c r="DY819" s="408">
        <v>-217.20000000000005</v>
      </c>
      <c r="DZ819" s="408"/>
      <c r="EA819" s="408">
        <v>0</v>
      </c>
      <c r="EB819" s="408"/>
      <c r="EC819" s="408">
        <v>-237.80489044185208</v>
      </c>
      <c r="ED819" s="408"/>
      <c r="EE819" s="408">
        <v>0</v>
      </c>
      <c r="EF819" s="408">
        <v>0</v>
      </c>
      <c r="EG819" s="408"/>
      <c r="EH819" s="408">
        <v>0</v>
      </c>
      <c r="EI819" s="408">
        <v>0</v>
      </c>
      <c r="EJ819" s="408">
        <v>0</v>
      </c>
      <c r="EK819" s="408">
        <v>0</v>
      </c>
      <c r="EL819" s="408">
        <v>0</v>
      </c>
      <c r="EM819" s="408"/>
      <c r="EN819" s="408"/>
      <c r="EO819" s="408">
        <v>0</v>
      </c>
      <c r="EP819" s="408">
        <v>0</v>
      </c>
      <c r="EQ819" s="408"/>
      <c r="ER819" s="408">
        <v>0</v>
      </c>
      <c r="ES819" s="408"/>
      <c r="ET819" s="408">
        <v>0</v>
      </c>
      <c r="EU819" s="408"/>
      <c r="EV819" s="408">
        <v>240</v>
      </c>
      <c r="EW819" s="408"/>
      <c r="EX819" s="408"/>
      <c r="EY819" s="408"/>
      <c r="EZ819" s="408"/>
      <c r="FA819" s="408">
        <v>0</v>
      </c>
      <c r="FB819" s="408"/>
      <c r="FC819" s="408"/>
      <c r="FD819" s="408"/>
      <c r="FE819" s="408"/>
      <c r="FF819" s="408">
        <v>0</v>
      </c>
      <c r="FG819" s="408">
        <v>0</v>
      </c>
      <c r="FH819" s="408">
        <v>0</v>
      </c>
      <c r="FI819" s="408">
        <v>0</v>
      </c>
    </row>
    <row r="820" spans="1:165">
      <c r="A820" s="408">
        <v>818</v>
      </c>
      <c r="B820" s="408" t="s">
        <v>1036</v>
      </c>
      <c r="C820" s="408" t="s">
        <v>2235</v>
      </c>
      <c r="D820" s="408" t="s">
        <v>2248</v>
      </c>
      <c r="E820" s="408" t="s">
        <v>2249</v>
      </c>
      <c r="F820" s="408" t="s">
        <v>2250</v>
      </c>
      <c r="G820" s="408" t="s">
        <v>1322</v>
      </c>
      <c r="H820" s="408" t="s">
        <v>1322</v>
      </c>
      <c r="I820" s="408" t="s">
        <v>1322</v>
      </c>
      <c r="J820" s="408" t="s">
        <v>2236</v>
      </c>
      <c r="K820" s="826">
        <v>44713</v>
      </c>
      <c r="L820" s="408">
        <v>0</v>
      </c>
      <c r="M820" s="408">
        <v>0</v>
      </c>
      <c r="N820" s="408">
        <v>1559.317</v>
      </c>
      <c r="O820" s="408">
        <v>1559.317</v>
      </c>
      <c r="P820" s="408">
        <v>1559.317</v>
      </c>
      <c r="Q820" s="408">
        <v>1559.317</v>
      </c>
      <c r="R820" s="408"/>
      <c r="S820" s="408">
        <v>199.07</v>
      </c>
      <c r="T820" s="408">
        <v>95.29</v>
      </c>
      <c r="U820" s="408"/>
      <c r="V820" s="408">
        <v>459000.55212000001</v>
      </c>
      <c r="W820" s="408">
        <v>459000.55212000001</v>
      </c>
      <c r="X820" s="408">
        <v>433287.41479000001</v>
      </c>
      <c r="Y820" s="408">
        <v>0</v>
      </c>
      <c r="Z820" s="408">
        <v>52782.647736990926</v>
      </c>
      <c r="AA820" s="408">
        <v>0</v>
      </c>
      <c r="AB820" s="408">
        <v>0</v>
      </c>
      <c r="AC820" s="408">
        <v>2195.1215688566244</v>
      </c>
      <c r="AD820" s="408">
        <v>2831.0691923628929</v>
      </c>
      <c r="AE820" s="408">
        <v>195874.17198929863</v>
      </c>
      <c r="AF820" s="408">
        <v>146088.1353644231</v>
      </c>
      <c r="AG820" s="408">
        <v>2493.3142669286485</v>
      </c>
      <c r="AH820" s="408">
        <v>0</v>
      </c>
      <c r="AI820" s="408">
        <v>0</v>
      </c>
      <c r="AJ820" s="408">
        <v>0</v>
      </c>
      <c r="AK820" s="408">
        <v>0</v>
      </c>
      <c r="AL820" s="408">
        <v>8155.1759107215321</v>
      </c>
      <c r="AM820" s="408"/>
      <c r="AN820" s="408">
        <v>1035.8873295484618</v>
      </c>
      <c r="AO820" s="408">
        <v>4659.8123249282608</v>
      </c>
      <c r="AP820" s="408">
        <v>21728.017423176094</v>
      </c>
      <c r="AQ820" s="408">
        <v>0</v>
      </c>
      <c r="AR820" s="408">
        <v>0</v>
      </c>
      <c r="AS820" s="408">
        <v>0</v>
      </c>
      <c r="AT820" s="408">
        <v>0</v>
      </c>
      <c r="AU820" s="408">
        <v>0</v>
      </c>
      <c r="AV820" s="408">
        <v>0</v>
      </c>
      <c r="AW820" s="408">
        <v>0</v>
      </c>
      <c r="AX820" s="408">
        <v>0</v>
      </c>
      <c r="AY820" s="408">
        <v>0</v>
      </c>
      <c r="AZ820" s="408">
        <v>0</v>
      </c>
      <c r="BA820" s="408"/>
      <c r="BB820" s="408">
        <v>0</v>
      </c>
      <c r="BC820" s="408">
        <v>0</v>
      </c>
      <c r="BD820" s="408">
        <v>0</v>
      </c>
      <c r="BE820" s="408">
        <v>0</v>
      </c>
      <c r="BF820" s="408">
        <v>0</v>
      </c>
      <c r="BG820" s="408">
        <v>7666.9831530817974</v>
      </c>
      <c r="BH820" s="408">
        <v>0</v>
      </c>
      <c r="BI820" s="408">
        <v>438.2</v>
      </c>
      <c r="BJ820" s="408">
        <v>4824.05</v>
      </c>
      <c r="BK820" s="408">
        <v>109637.04</v>
      </c>
      <c r="BL820" s="408">
        <v>69</v>
      </c>
      <c r="BM820" s="408"/>
      <c r="BN820" s="408"/>
      <c r="BO820" s="408"/>
      <c r="BP820" s="408"/>
      <c r="BQ820" s="408"/>
      <c r="BR820" s="408"/>
      <c r="BS820" s="408"/>
      <c r="BT820" s="408"/>
      <c r="BU820" s="408"/>
      <c r="BV820" s="408">
        <v>153755.11851750489</v>
      </c>
      <c r="BW820" s="408"/>
      <c r="BX820" s="408"/>
      <c r="BY820" s="408"/>
      <c r="BZ820" s="408"/>
      <c r="CA820" s="408"/>
      <c r="CB820" s="408"/>
      <c r="CC820" s="408"/>
      <c r="CD820" s="408"/>
      <c r="CE820" s="408"/>
      <c r="CF820" s="408"/>
      <c r="CG820" s="408"/>
      <c r="CH820" s="408"/>
      <c r="CI820" s="408">
        <v>433288.24839999998</v>
      </c>
      <c r="CJ820" s="408">
        <v>-25712.333720000053</v>
      </c>
      <c r="CK820" s="408"/>
      <c r="CL820" s="408"/>
      <c r="CM820" s="408"/>
      <c r="CN820" s="408"/>
      <c r="CO820" s="408">
        <v>-44222.230119999978</v>
      </c>
      <c r="CP820" s="408">
        <v>18509.092789999984</v>
      </c>
      <c r="CQ820" s="408">
        <v>30</v>
      </c>
      <c r="CR820" s="408">
        <v>22962.111293600639</v>
      </c>
      <c r="CS820" s="408">
        <v>464.34033809761877</v>
      </c>
      <c r="CT820" s="408">
        <v>2165.1504938288999</v>
      </c>
      <c r="CU820" s="408">
        <v>0</v>
      </c>
      <c r="CV820" s="408">
        <v>0</v>
      </c>
      <c r="CW820" s="408">
        <v>0</v>
      </c>
      <c r="CX820" s="408">
        <v>0</v>
      </c>
      <c r="CY820" s="408">
        <v>0</v>
      </c>
      <c r="CZ820" s="408">
        <v>2915.0632300317448</v>
      </c>
      <c r="DA820" s="408">
        <v>0</v>
      </c>
      <c r="DB820" s="408">
        <v>0</v>
      </c>
      <c r="DC820" s="408">
        <v>18514.019140637683</v>
      </c>
      <c r="DD820" s="408">
        <v>0</v>
      </c>
      <c r="DE820" s="408">
        <v>0</v>
      </c>
      <c r="DF820" s="408">
        <v>0</v>
      </c>
      <c r="DG820" s="408">
        <v>971.65093176807568</v>
      </c>
      <c r="DH820" s="408">
        <v>0</v>
      </c>
      <c r="DI820" s="408">
        <v>-1792.3316913198141</v>
      </c>
      <c r="DJ820" s="408"/>
      <c r="DK820" s="408">
        <v>0</v>
      </c>
      <c r="DL820" s="408">
        <v>0</v>
      </c>
      <c r="DM820" s="408">
        <v>0</v>
      </c>
      <c r="DN820" s="408">
        <v>0</v>
      </c>
      <c r="DO820" s="408">
        <v>-246.47441570343835</v>
      </c>
      <c r="DP820" s="408">
        <v>-29.306733740132927</v>
      </c>
      <c r="DQ820" s="408">
        <v>0</v>
      </c>
      <c r="DR820" s="408">
        <v>0</v>
      </c>
      <c r="DS820" s="408"/>
      <c r="DT820" s="408"/>
      <c r="DU820" s="408"/>
      <c r="DV820" s="408">
        <v>195874.17198929863</v>
      </c>
      <c r="DW820" s="408">
        <v>0</v>
      </c>
      <c r="DX820" s="408">
        <v>0</v>
      </c>
      <c r="DY820" s="408">
        <v>-44222.230119999964</v>
      </c>
      <c r="DZ820" s="408">
        <v>18509.092789999995</v>
      </c>
      <c r="EA820" s="408">
        <v>0</v>
      </c>
      <c r="EB820" s="408">
        <v>0</v>
      </c>
      <c r="EC820" s="408">
        <v>-48658.466850736382</v>
      </c>
      <c r="ED820" s="408">
        <v>0</v>
      </c>
      <c r="EE820" s="408">
        <v>0</v>
      </c>
      <c r="EF820" s="408">
        <v>0</v>
      </c>
      <c r="EG820" s="408">
        <v>0</v>
      </c>
      <c r="EH820" s="408">
        <v>0</v>
      </c>
      <c r="EI820" s="408">
        <v>0</v>
      </c>
      <c r="EJ820" s="408">
        <v>0</v>
      </c>
      <c r="EK820" s="408">
        <v>0</v>
      </c>
      <c r="EL820" s="408">
        <v>0</v>
      </c>
      <c r="EM820" s="408">
        <v>0</v>
      </c>
      <c r="EN820" s="408">
        <v>0</v>
      </c>
      <c r="EO820" s="408">
        <v>0</v>
      </c>
      <c r="EP820" s="408">
        <v>13479.746849690291</v>
      </c>
      <c r="EQ820" s="408">
        <v>0</v>
      </c>
      <c r="ER820" s="408">
        <v>0</v>
      </c>
      <c r="ES820" s="408">
        <v>0</v>
      </c>
      <c r="ET820" s="408">
        <v>0</v>
      </c>
      <c r="EU820" s="408">
        <v>0</v>
      </c>
      <c r="EV820" s="408">
        <v>240</v>
      </c>
      <c r="EW820" s="408">
        <v>0</v>
      </c>
      <c r="EX820" s="408">
        <v>0</v>
      </c>
      <c r="EY820" s="408">
        <v>0</v>
      </c>
      <c r="EZ820" s="408"/>
      <c r="FA820" s="408">
        <v>0</v>
      </c>
      <c r="FB820" s="408"/>
      <c r="FC820" s="408"/>
      <c r="FD820" s="408"/>
      <c r="FE820" s="408"/>
      <c r="FF820" s="408">
        <v>0</v>
      </c>
      <c r="FG820" s="408">
        <v>0</v>
      </c>
      <c r="FH820" s="408">
        <v>0</v>
      </c>
      <c r="FI820" s="408">
        <v>0</v>
      </c>
    </row>
    <row r="821" spans="1:165">
      <c r="A821" s="408">
        <v>819</v>
      </c>
      <c r="B821" s="408" t="s">
        <v>1036</v>
      </c>
      <c r="C821" s="408" t="s">
        <v>2235</v>
      </c>
      <c r="D821" s="408" t="s">
        <v>1958</v>
      </c>
      <c r="E821" s="408" t="s">
        <v>1001</v>
      </c>
      <c r="F821" s="408" t="s">
        <v>2251</v>
      </c>
      <c r="G821" s="408" t="s">
        <v>1322</v>
      </c>
      <c r="H821" s="408" t="s">
        <v>1322</v>
      </c>
      <c r="I821" s="408" t="s">
        <v>1322</v>
      </c>
      <c r="J821" s="408" t="s">
        <v>2236</v>
      </c>
      <c r="K821" s="826">
        <v>44713</v>
      </c>
      <c r="L821" s="408">
        <v>0</v>
      </c>
      <c r="M821" s="408">
        <v>0</v>
      </c>
      <c r="N821" s="408">
        <v>653.49699999999996</v>
      </c>
      <c r="O821" s="408">
        <v>614.28718000000003</v>
      </c>
      <c r="P821" s="408">
        <v>653.49699999999996</v>
      </c>
      <c r="Q821" s="408">
        <v>614.28718000000003</v>
      </c>
      <c r="R821" s="408"/>
      <c r="S821" s="408">
        <v>368.24</v>
      </c>
      <c r="T821" s="408">
        <v>173.25</v>
      </c>
      <c r="U821" s="408"/>
      <c r="V821" s="408">
        <v>353862.09052999999</v>
      </c>
      <c r="W821" s="408">
        <v>353862.09052999999</v>
      </c>
      <c r="X821" s="408">
        <v>332558.08833</v>
      </c>
      <c r="Y821" s="408">
        <v>0</v>
      </c>
      <c r="Z821" s="408">
        <v>40219.592585238956</v>
      </c>
      <c r="AA821" s="408">
        <v>0</v>
      </c>
      <c r="AB821" s="408">
        <v>0</v>
      </c>
      <c r="AC821" s="408">
        <v>1672.649989337521</v>
      </c>
      <c r="AD821" s="408">
        <v>1607.0415679944831</v>
      </c>
      <c r="AE821" s="408">
        <v>153922.79202487733</v>
      </c>
      <c r="AF821" s="408">
        <v>111316.98650609028</v>
      </c>
      <c r="AG821" s="408">
        <v>1899.8683905081152</v>
      </c>
      <c r="AH821" s="408">
        <v>0</v>
      </c>
      <c r="AI821" s="408">
        <v>0</v>
      </c>
      <c r="AJ821" s="408">
        <v>0</v>
      </c>
      <c r="AK821" s="408">
        <v>0</v>
      </c>
      <c r="AL821" s="408">
        <v>6214.1227591413226</v>
      </c>
      <c r="AM821" s="408"/>
      <c r="AN821" s="408">
        <v>789.33073926589429</v>
      </c>
      <c r="AO821" s="408">
        <v>3550.7076902651388</v>
      </c>
      <c r="AP821" s="408">
        <v>16556.42613458127</v>
      </c>
      <c r="AQ821" s="408">
        <v>0</v>
      </c>
      <c r="AR821" s="408">
        <v>0</v>
      </c>
      <c r="AS821" s="408">
        <v>0</v>
      </c>
      <c r="AT821" s="408">
        <v>0</v>
      </c>
      <c r="AU821" s="408">
        <v>0</v>
      </c>
      <c r="AV821" s="408">
        <v>0</v>
      </c>
      <c r="AW821" s="408">
        <v>0</v>
      </c>
      <c r="AX821" s="408">
        <v>0</v>
      </c>
      <c r="AY821" s="408">
        <v>0</v>
      </c>
      <c r="AZ821" s="408">
        <v>0</v>
      </c>
      <c r="BA821" s="408"/>
      <c r="BB821" s="408">
        <v>0</v>
      </c>
      <c r="BC821" s="408">
        <v>0</v>
      </c>
      <c r="BD821" s="408">
        <v>0</v>
      </c>
      <c r="BE821" s="408">
        <v>0</v>
      </c>
      <c r="BF821" s="408">
        <v>0</v>
      </c>
      <c r="BG821" s="408">
        <v>5842.1271382855375</v>
      </c>
      <c r="BH821" s="408">
        <v>0</v>
      </c>
      <c r="BI821" s="408">
        <v>315.31</v>
      </c>
      <c r="BJ821" s="408">
        <v>3480.59</v>
      </c>
      <c r="BK821" s="408">
        <v>112197.66</v>
      </c>
      <c r="BL821" s="408">
        <v>203</v>
      </c>
      <c r="BM821" s="408"/>
      <c r="BN821" s="408"/>
      <c r="BO821" s="408"/>
      <c r="BP821" s="408"/>
      <c r="BQ821" s="408">
        <v>19953.485299799962</v>
      </c>
      <c r="BR821" s="408"/>
      <c r="BS821" s="408"/>
      <c r="BT821" s="408"/>
      <c r="BU821" s="408"/>
      <c r="BV821" s="408">
        <v>117159.11364437582</v>
      </c>
      <c r="BW821" s="408"/>
      <c r="BX821" s="408"/>
      <c r="BY821" s="408"/>
      <c r="BZ821" s="408"/>
      <c r="CA821" s="408"/>
      <c r="CB821" s="408"/>
      <c r="CC821" s="408"/>
      <c r="CD821" s="408"/>
      <c r="CE821" s="408"/>
      <c r="CF821" s="408"/>
      <c r="CG821" s="408"/>
      <c r="CH821" s="408"/>
      <c r="CI821" s="408">
        <v>312606.03810000001</v>
      </c>
      <c r="CJ821" s="408">
        <v>-20024.356998200063</v>
      </c>
      <c r="CK821" s="408"/>
      <c r="CL821" s="408"/>
      <c r="CM821" s="408"/>
      <c r="CN821" s="408"/>
      <c r="CO821" s="408">
        <v>-35413.002429999993</v>
      </c>
      <c r="CP821" s="408">
        <v>14109.000230000001</v>
      </c>
      <c r="CQ821" s="408">
        <v>30</v>
      </c>
      <c r="CR821" s="408">
        <v>16930.27282478282</v>
      </c>
      <c r="CS821" s="408">
        <v>353.82043190095374</v>
      </c>
      <c r="CT821" s="408">
        <v>1649.8124759001039</v>
      </c>
      <c r="CU821" s="408">
        <v>0</v>
      </c>
      <c r="CV821" s="408">
        <v>0</v>
      </c>
      <c r="CW821" s="408">
        <v>0</v>
      </c>
      <c r="CX821" s="408">
        <v>0</v>
      </c>
      <c r="CY821" s="408">
        <v>0</v>
      </c>
      <c r="CZ821" s="408">
        <v>1654.7203426290521</v>
      </c>
      <c r="DA821" s="408">
        <v>0</v>
      </c>
      <c r="DB821" s="408">
        <v>0</v>
      </c>
      <c r="DC821" s="408">
        <v>14107.407242284273</v>
      </c>
      <c r="DD821" s="408">
        <v>0</v>
      </c>
      <c r="DE821" s="408">
        <v>0</v>
      </c>
      <c r="DF821" s="408">
        <v>0</v>
      </c>
      <c r="DG821" s="408">
        <v>740.38355948926164</v>
      </c>
      <c r="DH821" s="408">
        <v>0</v>
      </c>
      <c r="DI821" s="408">
        <v>-1365.7300929976191</v>
      </c>
      <c r="DJ821" s="408"/>
      <c r="DK821" s="408">
        <v>0</v>
      </c>
      <c r="DL821" s="408">
        <v>0</v>
      </c>
      <c r="DM821" s="408">
        <v>0</v>
      </c>
      <c r="DN821" s="408">
        <v>0</v>
      </c>
      <c r="DO821" s="408">
        <v>-187.80983916670721</v>
      </c>
      <c r="DP821" s="408">
        <v>-22.331295256455974</v>
      </c>
      <c r="DQ821" s="408">
        <v>0</v>
      </c>
      <c r="DR821" s="408">
        <v>0</v>
      </c>
      <c r="DS821" s="408"/>
      <c r="DT821" s="408"/>
      <c r="DU821" s="408"/>
      <c r="DV821" s="408">
        <v>153922.79202487733</v>
      </c>
      <c r="DW821" s="408">
        <v>0</v>
      </c>
      <c r="DX821" s="408">
        <v>0</v>
      </c>
      <c r="DY821" s="408">
        <v>-35413.002429999993</v>
      </c>
      <c r="DZ821" s="408">
        <v>14109.000230000005</v>
      </c>
      <c r="EA821" s="408">
        <v>0</v>
      </c>
      <c r="EB821" s="408">
        <v>0</v>
      </c>
      <c r="EC821" s="408">
        <v>-38237.032464517761</v>
      </c>
      <c r="ED821" s="408">
        <v>0</v>
      </c>
      <c r="EE821" s="408">
        <v>0</v>
      </c>
      <c r="EF821" s="408">
        <v>0</v>
      </c>
      <c r="EG821" s="408">
        <v>0</v>
      </c>
      <c r="EH821" s="408">
        <v>0</v>
      </c>
      <c r="EI821" s="408">
        <v>0</v>
      </c>
      <c r="EJ821" s="408">
        <v>0</v>
      </c>
      <c r="EK821" s="408">
        <v>0</v>
      </c>
      <c r="EL821" s="408">
        <v>0</v>
      </c>
      <c r="EM821" s="408">
        <v>0</v>
      </c>
      <c r="EN821" s="408">
        <v>0</v>
      </c>
      <c r="EO821" s="408">
        <v>0</v>
      </c>
      <c r="EP821" s="408">
        <v>10271.366626929426</v>
      </c>
      <c r="EQ821" s="408">
        <v>0</v>
      </c>
      <c r="ER821" s="408">
        <v>0</v>
      </c>
      <c r="ES821" s="408">
        <v>0</v>
      </c>
      <c r="ET821" s="408">
        <v>0</v>
      </c>
      <c r="EU821" s="408">
        <v>0</v>
      </c>
      <c r="EV821" s="408">
        <v>240</v>
      </c>
      <c r="EW821" s="408">
        <v>0</v>
      </c>
      <c r="EX821" s="408">
        <v>0</v>
      </c>
      <c r="EY821" s="408">
        <v>0</v>
      </c>
      <c r="EZ821" s="408"/>
      <c r="FA821" s="408">
        <v>0</v>
      </c>
      <c r="FB821" s="408"/>
      <c r="FC821" s="408"/>
      <c r="FD821" s="408"/>
      <c r="FE821" s="408"/>
      <c r="FF821" s="408">
        <v>0</v>
      </c>
      <c r="FG821" s="408">
        <v>0</v>
      </c>
      <c r="FH821" s="408">
        <v>0</v>
      </c>
      <c r="FI821" s="408">
        <v>0</v>
      </c>
    </row>
    <row r="822" spans="1:165">
      <c r="A822" s="408">
        <v>820</v>
      </c>
      <c r="B822" s="408" t="s">
        <v>1036</v>
      </c>
      <c r="C822" s="408" t="s">
        <v>2247</v>
      </c>
      <c r="D822" s="408" t="s">
        <v>597</v>
      </c>
      <c r="E822" s="408" t="s">
        <v>1001</v>
      </c>
      <c r="F822" s="408" t="s">
        <v>2251</v>
      </c>
      <c r="G822" s="408" t="s">
        <v>1322</v>
      </c>
      <c r="H822" s="408" t="s">
        <v>1322</v>
      </c>
      <c r="I822" s="408" t="s">
        <v>973</v>
      </c>
      <c r="J822" s="408" t="s">
        <v>2236</v>
      </c>
      <c r="K822" s="826">
        <v>44713</v>
      </c>
      <c r="L822" s="408">
        <v>65</v>
      </c>
      <c r="M822" s="408">
        <v>61.1</v>
      </c>
      <c r="N822" s="408">
        <v>3.21</v>
      </c>
      <c r="O822" s="408">
        <v>3.0173999999999999</v>
      </c>
      <c r="P822" s="408">
        <v>3.21</v>
      </c>
      <c r="Q822" s="408">
        <v>3.0173999999999999</v>
      </c>
      <c r="R822" s="408">
        <v>52.95</v>
      </c>
      <c r="S822" s="408">
        <v>85.01</v>
      </c>
      <c r="T822" s="408">
        <v>173.25</v>
      </c>
      <c r="U822" s="408">
        <v>3441.75</v>
      </c>
      <c r="V822" s="408">
        <v>829.01460000000009</v>
      </c>
      <c r="W822" s="408">
        <v>4270.7645999999995</v>
      </c>
      <c r="X822" s="408">
        <v>3770.7806999999998</v>
      </c>
      <c r="Y822" s="408">
        <v>0</v>
      </c>
      <c r="Z822" s="408">
        <v>171.87723312088156</v>
      </c>
      <c r="AA822" s="408">
        <v>0</v>
      </c>
      <c r="AB822" s="408">
        <v>0</v>
      </c>
      <c r="AC822" s="408">
        <v>51.198306474712865</v>
      </c>
      <c r="AD822" s="408">
        <v>49.188863943031343</v>
      </c>
      <c r="AE822" s="408">
        <v>2725.6914092779475</v>
      </c>
      <c r="AF822" s="408">
        <v>546.79291057885473</v>
      </c>
      <c r="AG822" s="408">
        <v>9.332219633037413</v>
      </c>
      <c r="AH822" s="408">
        <v>0</v>
      </c>
      <c r="AI822" s="408">
        <v>0</v>
      </c>
      <c r="AJ822" s="408">
        <v>0</v>
      </c>
      <c r="AK822" s="408">
        <v>0</v>
      </c>
      <c r="AL822" s="408">
        <v>30.523987190214566</v>
      </c>
      <c r="AM822" s="408"/>
      <c r="AN822" s="408">
        <v>2.5706123857457959</v>
      </c>
      <c r="AO822" s="408">
        <v>108.68330737188015</v>
      </c>
      <c r="AP822" s="408">
        <v>506.76761947441048</v>
      </c>
      <c r="AQ822" s="408">
        <v>0</v>
      </c>
      <c r="AR822" s="408">
        <v>0</v>
      </c>
      <c r="AS822" s="408">
        <v>0</v>
      </c>
      <c r="AT822" s="408">
        <v>0</v>
      </c>
      <c r="AU822" s="408">
        <v>0</v>
      </c>
      <c r="AV822" s="408">
        <v>0</v>
      </c>
      <c r="AW822" s="408">
        <v>0</v>
      </c>
      <c r="AX822" s="408">
        <v>0</v>
      </c>
      <c r="AY822" s="408">
        <v>0</v>
      </c>
      <c r="AZ822" s="408">
        <v>0</v>
      </c>
      <c r="BA822" s="408"/>
      <c r="BB822" s="408">
        <v>0</v>
      </c>
      <c r="BC822" s="408">
        <v>0</v>
      </c>
      <c r="BD822" s="408">
        <v>0</v>
      </c>
      <c r="BE822" s="408">
        <v>0</v>
      </c>
      <c r="BF822" s="408">
        <v>0</v>
      </c>
      <c r="BG822" s="408">
        <v>24.006487631446433</v>
      </c>
      <c r="BH822" s="408">
        <v>0</v>
      </c>
      <c r="BI822" s="408">
        <v>0</v>
      </c>
      <c r="BJ822" s="408">
        <v>0</v>
      </c>
      <c r="BK822" s="408">
        <v>0</v>
      </c>
      <c r="BL822" s="408">
        <v>0</v>
      </c>
      <c r="BM822" s="408"/>
      <c r="BN822" s="408"/>
      <c r="BO822" s="408"/>
      <c r="BP822" s="408"/>
      <c r="BQ822" s="408">
        <v>226.24684199999996</v>
      </c>
      <c r="BR822" s="408"/>
      <c r="BS822" s="408"/>
      <c r="BT822" s="408"/>
      <c r="BU822" s="408"/>
      <c r="BV822" s="408">
        <v>570.79939821030121</v>
      </c>
      <c r="BW822" s="408"/>
      <c r="BX822" s="408"/>
      <c r="BY822" s="408"/>
      <c r="BZ822" s="408"/>
      <c r="CA822" s="408"/>
      <c r="CB822" s="408"/>
      <c r="CC822" s="408"/>
      <c r="CD822" s="408"/>
      <c r="CE822" s="408"/>
      <c r="CF822" s="408"/>
      <c r="CG822" s="408"/>
      <c r="CH822" s="408"/>
      <c r="CI822" s="408">
        <v>3545.2584000000002</v>
      </c>
      <c r="CJ822" s="408">
        <v>-469.29032400000096</v>
      </c>
      <c r="CK822" s="408"/>
      <c r="CL822" s="408"/>
      <c r="CM822" s="408"/>
      <c r="CN822" s="408"/>
      <c r="CO822" s="408">
        <v>-569.28780000000029</v>
      </c>
      <c r="CP822" s="408">
        <v>69.303900000000013</v>
      </c>
      <c r="CQ822" s="408">
        <v>30</v>
      </c>
      <c r="CR822" s="408">
        <v>177.48340111984544</v>
      </c>
      <c r="CS822" s="408">
        <v>10.830059275274195</v>
      </c>
      <c r="CT822" s="408">
        <v>50.498310093914142</v>
      </c>
      <c r="CU822" s="408">
        <v>0</v>
      </c>
      <c r="CV822" s="408">
        <v>0</v>
      </c>
      <c r="CW822" s="408">
        <v>0</v>
      </c>
      <c r="CX822" s="408">
        <v>0</v>
      </c>
      <c r="CY822" s="408">
        <v>0</v>
      </c>
      <c r="CZ822" s="408">
        <v>50.648231768467902</v>
      </c>
      <c r="DA822" s="408">
        <v>0</v>
      </c>
      <c r="DB822" s="408">
        <v>0</v>
      </c>
      <c r="DC822" s="408">
        <v>69.29607518891828</v>
      </c>
      <c r="DD822" s="408">
        <v>0</v>
      </c>
      <c r="DE822" s="408">
        <v>0</v>
      </c>
      <c r="DF822" s="408">
        <v>0</v>
      </c>
      <c r="DG822" s="408">
        <v>3.0423865045533169</v>
      </c>
      <c r="DH822" s="408">
        <v>0</v>
      </c>
      <c r="DI822" s="408">
        <v>-5.8364069471081734</v>
      </c>
      <c r="DJ822" s="408"/>
      <c r="DK822" s="408">
        <v>0</v>
      </c>
      <c r="DL822" s="408">
        <v>0</v>
      </c>
      <c r="DM822" s="408">
        <v>0</v>
      </c>
      <c r="DN822" s="408">
        <v>0</v>
      </c>
      <c r="DO822" s="408">
        <v>-0.92252846413240164</v>
      </c>
      <c r="DP822" s="408">
        <v>-7.2726300041707326E-2</v>
      </c>
      <c r="DQ822" s="408">
        <v>0</v>
      </c>
      <c r="DR822" s="408">
        <v>0</v>
      </c>
      <c r="DS822" s="408"/>
      <c r="DT822" s="408"/>
      <c r="DU822" s="408">
        <v>2725.6914092779475</v>
      </c>
      <c r="DV822" s="408">
        <v>0</v>
      </c>
      <c r="DW822" s="408">
        <v>0</v>
      </c>
      <c r="DX822" s="408">
        <v>0</v>
      </c>
      <c r="DY822" s="408">
        <v>-569.28780000000006</v>
      </c>
      <c r="DZ822" s="408">
        <v>69.303899999999999</v>
      </c>
      <c r="EA822" s="408">
        <v>0</v>
      </c>
      <c r="EB822" s="408">
        <v>0</v>
      </c>
      <c r="EC822" s="408">
        <v>-677.10798078540483</v>
      </c>
      <c r="ED822" s="408">
        <v>0</v>
      </c>
      <c r="EE822" s="408">
        <v>0</v>
      </c>
      <c r="EF822" s="408">
        <v>0</v>
      </c>
      <c r="EG822" s="408">
        <v>0</v>
      </c>
      <c r="EH822" s="408">
        <v>0</v>
      </c>
      <c r="EI822" s="408">
        <v>0</v>
      </c>
      <c r="EJ822" s="408">
        <v>0</v>
      </c>
      <c r="EK822" s="408">
        <v>0</v>
      </c>
      <c r="EL822" s="408">
        <v>0</v>
      </c>
      <c r="EM822" s="408">
        <v>0</v>
      </c>
      <c r="EN822" s="408">
        <v>0</v>
      </c>
      <c r="EO822" s="408">
        <v>0</v>
      </c>
      <c r="EP822" s="408">
        <v>43.894379896198259</v>
      </c>
      <c r="EQ822" s="408">
        <v>0</v>
      </c>
      <c r="ER822" s="408">
        <v>0</v>
      </c>
      <c r="ES822" s="408">
        <v>0</v>
      </c>
      <c r="ET822" s="408">
        <v>0</v>
      </c>
      <c r="EU822" s="408">
        <v>0</v>
      </c>
      <c r="EV822" s="408">
        <v>240</v>
      </c>
      <c r="EW822" s="408">
        <v>0</v>
      </c>
      <c r="EX822" s="408">
        <v>0</v>
      </c>
      <c r="EY822" s="408">
        <v>0</v>
      </c>
      <c r="EZ822" s="408"/>
      <c r="FA822" s="408">
        <v>0</v>
      </c>
      <c r="FB822" s="408"/>
      <c r="FC822" s="408"/>
      <c r="FD822" s="408"/>
      <c r="FE822" s="408"/>
      <c r="FF822" s="408">
        <v>0</v>
      </c>
      <c r="FG822" s="408">
        <v>0</v>
      </c>
      <c r="FH822" s="408">
        <v>0</v>
      </c>
      <c r="FI822" s="408">
        <v>0</v>
      </c>
    </row>
    <row r="823" spans="1:165">
      <c r="A823" s="408">
        <v>821</v>
      </c>
      <c r="B823" s="408" t="s">
        <v>1036</v>
      </c>
      <c r="C823" s="408" t="s">
        <v>2247</v>
      </c>
      <c r="D823" s="408" t="s">
        <v>597</v>
      </c>
      <c r="E823" s="408" t="s">
        <v>1001</v>
      </c>
      <c r="F823" s="408" t="s">
        <v>2251</v>
      </c>
      <c r="G823" s="408" t="s">
        <v>1322</v>
      </c>
      <c r="H823" s="408" t="s">
        <v>1322</v>
      </c>
      <c r="I823" s="408" t="s">
        <v>2244</v>
      </c>
      <c r="J823" s="408" t="s">
        <v>2236</v>
      </c>
      <c r="K823" s="826">
        <v>44713</v>
      </c>
      <c r="L823" s="408">
        <v>65</v>
      </c>
      <c r="M823" s="408">
        <v>61.1</v>
      </c>
      <c r="N823" s="408">
        <v>21.279</v>
      </c>
      <c r="O823" s="408">
        <v>20.00226</v>
      </c>
      <c r="P823" s="408">
        <v>21.279</v>
      </c>
      <c r="Q823" s="408">
        <v>20.00226</v>
      </c>
      <c r="R823" s="408">
        <v>27.19</v>
      </c>
      <c r="S823" s="408">
        <v>85.01</v>
      </c>
      <c r="T823" s="408">
        <v>173.25</v>
      </c>
      <c r="U823" s="408">
        <v>1767.3500000000001</v>
      </c>
      <c r="V823" s="408">
        <v>5495.5145400000001</v>
      </c>
      <c r="W823" s="408">
        <v>7262.8645400000005</v>
      </c>
      <c r="X823" s="408">
        <v>7344.21893</v>
      </c>
      <c r="Y823" s="408">
        <v>0</v>
      </c>
      <c r="Z823" s="408">
        <v>1139.3693593704793</v>
      </c>
      <c r="AA823" s="408">
        <v>0</v>
      </c>
      <c r="AB823" s="408">
        <v>0</v>
      </c>
      <c r="AC823" s="408">
        <v>15.158039872791662</v>
      </c>
      <c r="AD823" s="408">
        <v>14.56226455907756</v>
      </c>
      <c r="AE823" s="408">
        <v>1555.5819658053674</v>
      </c>
      <c r="AF823" s="408">
        <v>3624.6748735848755</v>
      </c>
      <c r="AG823" s="408">
        <v>61.863022296387264</v>
      </c>
      <c r="AH823" s="408">
        <v>0</v>
      </c>
      <c r="AI823" s="408">
        <v>0</v>
      </c>
      <c r="AJ823" s="408">
        <v>0</v>
      </c>
      <c r="AK823" s="408">
        <v>0</v>
      </c>
      <c r="AL823" s="408">
        <v>202.34265527120741</v>
      </c>
      <c r="AM823" s="408"/>
      <c r="AN823" s="408">
        <v>17.040517431864423</v>
      </c>
      <c r="AO823" s="408">
        <v>32.167514020880162</v>
      </c>
      <c r="AP823" s="408">
        <v>150.02577479574686</v>
      </c>
      <c r="AQ823" s="408">
        <v>0</v>
      </c>
      <c r="AR823" s="408">
        <v>0</v>
      </c>
      <c r="AS823" s="408">
        <v>0</v>
      </c>
      <c r="AT823" s="408">
        <v>0</v>
      </c>
      <c r="AU823" s="408">
        <v>0</v>
      </c>
      <c r="AV823" s="408">
        <v>0</v>
      </c>
      <c r="AW823" s="408">
        <v>0</v>
      </c>
      <c r="AX823" s="408">
        <v>0</v>
      </c>
      <c r="AY823" s="408">
        <v>0</v>
      </c>
      <c r="AZ823" s="408">
        <v>0</v>
      </c>
      <c r="BA823" s="408"/>
      <c r="BB823" s="408">
        <v>0</v>
      </c>
      <c r="BC823" s="408">
        <v>0</v>
      </c>
      <c r="BD823" s="408">
        <v>0</v>
      </c>
      <c r="BE823" s="408">
        <v>0</v>
      </c>
      <c r="BF823" s="408">
        <v>0</v>
      </c>
      <c r="BG823" s="408">
        <v>159.13833342976594</v>
      </c>
      <c r="BH823" s="408">
        <v>0</v>
      </c>
      <c r="BI823" s="408">
        <v>0</v>
      </c>
      <c r="BJ823" s="408">
        <v>0</v>
      </c>
      <c r="BK823" s="408">
        <v>0</v>
      </c>
      <c r="BL823" s="408">
        <v>0</v>
      </c>
      <c r="BM823" s="408"/>
      <c r="BN823" s="408"/>
      <c r="BO823" s="408"/>
      <c r="BP823" s="408"/>
      <c r="BQ823" s="408">
        <v>440.65313579999997</v>
      </c>
      <c r="BR823" s="408"/>
      <c r="BS823" s="408"/>
      <c r="BT823" s="408"/>
      <c r="BU823" s="408"/>
      <c r="BV823" s="408">
        <v>3783.8132070146416</v>
      </c>
      <c r="BW823" s="408"/>
      <c r="BX823" s="408"/>
      <c r="BY823" s="408"/>
      <c r="BZ823" s="408"/>
      <c r="CA823" s="408"/>
      <c r="CB823" s="408"/>
      <c r="CC823" s="408"/>
      <c r="CD823" s="408"/>
      <c r="CE823" s="408"/>
      <c r="CF823" s="408"/>
      <c r="CG823" s="408"/>
      <c r="CH823" s="408"/>
      <c r="CI823" s="408">
        <v>6902.9359999999997</v>
      </c>
      <c r="CJ823" s="408">
        <v>75.813332399999126</v>
      </c>
      <c r="CK823" s="408"/>
      <c r="CL823" s="408"/>
      <c r="CM823" s="408"/>
      <c r="CN823" s="408"/>
      <c r="CO823" s="408">
        <v>-378.05922000000015</v>
      </c>
      <c r="CP823" s="408">
        <v>459.41361000000006</v>
      </c>
      <c r="CQ823" s="408">
        <v>30</v>
      </c>
      <c r="CR823" s="408">
        <v>467.39221972369069</v>
      </c>
      <c r="CS823" s="408">
        <v>3.2054240159650789</v>
      </c>
      <c r="CT823" s="408">
        <v>14.94974778691028</v>
      </c>
      <c r="CU823" s="408">
        <v>0</v>
      </c>
      <c r="CV823" s="408">
        <v>0</v>
      </c>
      <c r="CW823" s="408">
        <v>0</v>
      </c>
      <c r="CX823" s="408">
        <v>0</v>
      </c>
      <c r="CY823" s="408">
        <v>0</v>
      </c>
      <c r="CZ823" s="408">
        <v>14.994307478133946</v>
      </c>
      <c r="DA823" s="408">
        <v>0</v>
      </c>
      <c r="DB823" s="408">
        <v>0</v>
      </c>
      <c r="DC823" s="408">
        <v>459.36173954672631</v>
      </c>
      <c r="DD823" s="408">
        <v>0</v>
      </c>
      <c r="DE823" s="408">
        <v>0</v>
      </c>
      <c r="DF823" s="408">
        <v>0</v>
      </c>
      <c r="DG823" s="408">
        <v>20.167894838127722</v>
      </c>
      <c r="DH823" s="408">
        <v>0</v>
      </c>
      <c r="DI823" s="408">
        <v>-38.68937801480206</v>
      </c>
      <c r="DJ823" s="408"/>
      <c r="DK823" s="408">
        <v>0</v>
      </c>
      <c r="DL823" s="408">
        <v>0</v>
      </c>
      <c r="DM823" s="408">
        <v>0</v>
      </c>
      <c r="DN823" s="408">
        <v>0</v>
      </c>
      <c r="DO823" s="408">
        <v>-6.1154153234496675</v>
      </c>
      <c r="DP823" s="408">
        <v>-0.48210060392133869</v>
      </c>
      <c r="DQ823" s="408">
        <v>0</v>
      </c>
      <c r="DR823" s="408">
        <v>0</v>
      </c>
      <c r="DS823" s="408"/>
      <c r="DT823" s="408"/>
      <c r="DU823" s="408">
        <v>1555.5819658053674</v>
      </c>
      <c r="DV823" s="408">
        <v>0</v>
      </c>
      <c r="DW823" s="408">
        <v>0</v>
      </c>
      <c r="DX823" s="408">
        <v>0</v>
      </c>
      <c r="DY823" s="408">
        <v>-378.0592200000001</v>
      </c>
      <c r="DZ823" s="408">
        <v>459.41361000000006</v>
      </c>
      <c r="EA823" s="408">
        <v>0</v>
      </c>
      <c r="EB823" s="408">
        <v>0</v>
      </c>
      <c r="EC823" s="408">
        <v>-386.43294696800945</v>
      </c>
      <c r="ED823" s="408">
        <v>0</v>
      </c>
      <c r="EE823" s="408">
        <v>0</v>
      </c>
      <c r="EF823" s="408">
        <v>0</v>
      </c>
      <c r="EG823" s="408">
        <v>0</v>
      </c>
      <c r="EH823" s="408">
        <v>0</v>
      </c>
      <c r="EI823" s="408">
        <v>0</v>
      </c>
      <c r="EJ823" s="408">
        <v>0</v>
      </c>
      <c r="EK823" s="408">
        <v>0</v>
      </c>
      <c r="EL823" s="408">
        <v>0</v>
      </c>
      <c r="EM823" s="408">
        <v>0</v>
      </c>
      <c r="EN823" s="408">
        <v>0</v>
      </c>
      <c r="EO823" s="408">
        <v>0</v>
      </c>
      <c r="EP823" s="408">
        <v>290.97461364834976</v>
      </c>
      <c r="EQ823" s="408">
        <v>0</v>
      </c>
      <c r="ER823" s="408">
        <v>0</v>
      </c>
      <c r="ES823" s="408">
        <v>0</v>
      </c>
      <c r="ET823" s="408">
        <v>0</v>
      </c>
      <c r="EU823" s="408">
        <v>0</v>
      </c>
      <c r="EV823" s="408">
        <v>240</v>
      </c>
      <c r="EW823" s="408">
        <v>0</v>
      </c>
      <c r="EX823" s="408">
        <v>0</v>
      </c>
      <c r="EY823" s="408">
        <v>0</v>
      </c>
      <c r="EZ823" s="408"/>
      <c r="FA823" s="408">
        <v>0</v>
      </c>
      <c r="FB823" s="408"/>
      <c r="FC823" s="408"/>
      <c r="FD823" s="408"/>
      <c r="FE823" s="408"/>
      <c r="FF823" s="408">
        <v>0</v>
      </c>
      <c r="FG823" s="408">
        <v>0</v>
      </c>
      <c r="FH823" s="408">
        <v>0</v>
      </c>
      <c r="FI823" s="408">
        <v>0</v>
      </c>
    </row>
    <row r="824" spans="1:165">
      <c r="A824" s="408">
        <v>822</v>
      </c>
      <c r="B824" s="408" t="s">
        <v>1036</v>
      </c>
      <c r="C824" s="408" t="s">
        <v>2247</v>
      </c>
      <c r="D824" s="408" t="s">
        <v>597</v>
      </c>
      <c r="E824" s="408" t="s">
        <v>1001</v>
      </c>
      <c r="F824" s="408" t="s">
        <v>2251</v>
      </c>
      <c r="G824" s="408" t="s">
        <v>1322</v>
      </c>
      <c r="H824" s="408" t="s">
        <v>1322</v>
      </c>
      <c r="I824" s="408" t="s">
        <v>1322</v>
      </c>
      <c r="J824" s="408" t="s">
        <v>2236</v>
      </c>
      <c r="K824" s="826">
        <v>44713</v>
      </c>
      <c r="L824" s="408">
        <v>0</v>
      </c>
      <c r="M824" s="408">
        <v>0</v>
      </c>
      <c r="N824" s="408">
        <v>0</v>
      </c>
      <c r="O824" s="408">
        <v>0</v>
      </c>
      <c r="P824" s="408">
        <v>0</v>
      </c>
      <c r="Q824" s="408">
        <v>0</v>
      </c>
      <c r="R824" s="408"/>
      <c r="S824" s="408"/>
      <c r="T824" s="408"/>
      <c r="U824" s="408"/>
      <c r="V824" s="408"/>
      <c r="W824" s="408"/>
      <c r="X824" s="408"/>
      <c r="Y824" s="408"/>
      <c r="Z824" s="408"/>
      <c r="AA824" s="408">
        <v>0</v>
      </c>
      <c r="AB824" s="408"/>
      <c r="AC824" s="408"/>
      <c r="AD824" s="408"/>
      <c r="AE824" s="408"/>
      <c r="AF824" s="408"/>
      <c r="AG824" s="408"/>
      <c r="AH824" s="408"/>
      <c r="AI824" s="408"/>
      <c r="AJ824" s="408"/>
      <c r="AK824" s="408"/>
      <c r="AL824" s="408"/>
      <c r="AM824" s="408"/>
      <c r="AN824" s="408"/>
      <c r="AO824" s="408"/>
      <c r="AP824" s="408"/>
      <c r="AQ824" s="408"/>
      <c r="AR824" s="408"/>
      <c r="AS824" s="408"/>
      <c r="AT824" s="408"/>
      <c r="AU824" s="408"/>
      <c r="AV824" s="408"/>
      <c r="AW824" s="408"/>
      <c r="AX824" s="408"/>
      <c r="AY824" s="408"/>
      <c r="AZ824" s="408">
        <v>0</v>
      </c>
      <c r="BA824" s="408"/>
      <c r="BB824" s="408"/>
      <c r="BC824" s="408"/>
      <c r="BD824" s="408"/>
      <c r="BE824" s="408"/>
      <c r="BF824" s="408"/>
      <c r="BG824" s="408"/>
      <c r="BH824" s="408"/>
      <c r="BI824" s="408">
        <v>10.57</v>
      </c>
      <c r="BJ824" s="408">
        <v>116.32</v>
      </c>
      <c r="BK824" s="408">
        <v>3683.17</v>
      </c>
      <c r="BL824" s="408">
        <v>1</v>
      </c>
      <c r="BM824" s="408"/>
      <c r="BN824" s="408"/>
      <c r="BO824" s="408"/>
      <c r="BP824" s="408"/>
      <c r="BQ824" s="408"/>
      <c r="BR824" s="408"/>
      <c r="BS824" s="408"/>
      <c r="BT824" s="408"/>
      <c r="BU824" s="408"/>
      <c r="BV824" s="408"/>
      <c r="BW824" s="408"/>
      <c r="BX824" s="408"/>
      <c r="BY824" s="408"/>
      <c r="BZ824" s="408"/>
      <c r="CA824" s="408"/>
      <c r="CB824" s="408"/>
      <c r="CC824" s="408"/>
      <c r="CD824" s="408"/>
      <c r="CE824" s="408"/>
      <c r="CF824" s="408"/>
      <c r="CG824" s="408"/>
      <c r="CH824" s="408"/>
      <c r="CI824" s="408"/>
      <c r="CJ824" s="408">
        <v>-0.03</v>
      </c>
      <c r="CK824" s="408"/>
      <c r="CL824" s="408"/>
      <c r="CM824" s="408"/>
      <c r="CN824" s="408"/>
      <c r="CO824" s="408">
        <v>0</v>
      </c>
      <c r="CP824" s="408">
        <v>0</v>
      </c>
      <c r="CQ824" s="408">
        <v>30</v>
      </c>
      <c r="CR824" s="408"/>
      <c r="CS824" s="408"/>
      <c r="CT824" s="408"/>
      <c r="CU824" s="408"/>
      <c r="CV824" s="408"/>
      <c r="CW824" s="408"/>
      <c r="CX824" s="408"/>
      <c r="CY824" s="408"/>
      <c r="CZ824" s="408"/>
      <c r="DA824" s="408"/>
      <c r="DB824" s="408"/>
      <c r="DC824" s="408"/>
      <c r="DD824" s="408"/>
      <c r="DE824" s="408"/>
      <c r="DF824" s="408"/>
      <c r="DG824" s="408"/>
      <c r="DH824" s="408"/>
      <c r="DI824" s="408"/>
      <c r="DJ824" s="408"/>
      <c r="DK824" s="408">
        <v>0</v>
      </c>
      <c r="DL824" s="408"/>
      <c r="DM824" s="408"/>
      <c r="DN824" s="408"/>
      <c r="DO824" s="408"/>
      <c r="DP824" s="408"/>
      <c r="DQ824" s="408"/>
      <c r="DR824" s="408"/>
      <c r="DS824" s="408"/>
      <c r="DT824" s="408"/>
      <c r="DU824" s="408"/>
      <c r="DV824" s="408"/>
      <c r="DW824" s="408"/>
      <c r="DX824" s="408"/>
      <c r="DY824" s="408"/>
      <c r="DZ824" s="408"/>
      <c r="EA824" s="408"/>
      <c r="EB824" s="408"/>
      <c r="EC824" s="408"/>
      <c r="ED824" s="408"/>
      <c r="EE824" s="408"/>
      <c r="EF824" s="408"/>
      <c r="EG824" s="408"/>
      <c r="EH824" s="408"/>
      <c r="EI824" s="408"/>
      <c r="EJ824" s="408"/>
      <c r="EK824" s="408"/>
      <c r="EL824" s="408"/>
      <c r="EM824" s="408"/>
      <c r="EN824" s="408"/>
      <c r="EO824" s="408"/>
      <c r="EP824" s="408"/>
      <c r="EQ824" s="408"/>
      <c r="ER824" s="408"/>
      <c r="ES824" s="408"/>
      <c r="ET824" s="408"/>
      <c r="EU824" s="408"/>
      <c r="EV824" s="408">
        <v>240</v>
      </c>
      <c r="EW824" s="408"/>
      <c r="EX824" s="408"/>
      <c r="EY824" s="408"/>
      <c r="EZ824" s="408"/>
      <c r="FA824" s="408">
        <v>0</v>
      </c>
      <c r="FB824" s="408"/>
      <c r="FC824" s="408"/>
      <c r="FD824" s="408"/>
      <c r="FE824" s="408"/>
      <c r="FF824" s="408">
        <v>0</v>
      </c>
      <c r="FG824" s="408">
        <v>0</v>
      </c>
      <c r="FH824" s="408">
        <v>0</v>
      </c>
      <c r="FI824" s="408">
        <v>0</v>
      </c>
    </row>
    <row r="825" spans="1:165">
      <c r="A825" s="408">
        <v>823</v>
      </c>
      <c r="B825" s="408" t="s">
        <v>1036</v>
      </c>
      <c r="C825" s="408" t="s">
        <v>2235</v>
      </c>
      <c r="D825" s="408" t="s">
        <v>1958</v>
      </c>
      <c r="E825" s="408" t="s">
        <v>2252</v>
      </c>
      <c r="F825" s="408" t="s">
        <v>1322</v>
      </c>
      <c r="G825" s="408" t="s">
        <v>1322</v>
      </c>
      <c r="H825" s="408" t="s">
        <v>1322</v>
      </c>
      <c r="I825" s="408" t="s">
        <v>1322</v>
      </c>
      <c r="J825" s="408" t="s">
        <v>2236</v>
      </c>
      <c r="K825" s="826">
        <v>44713</v>
      </c>
      <c r="L825" s="408">
        <v>0</v>
      </c>
      <c r="M825" s="408">
        <v>0</v>
      </c>
      <c r="N825" s="408">
        <v>7.931</v>
      </c>
      <c r="O825" s="408">
        <v>7.931</v>
      </c>
      <c r="P825" s="408">
        <v>7.931</v>
      </c>
      <c r="Q825" s="408">
        <v>7.931</v>
      </c>
      <c r="R825" s="408"/>
      <c r="S825" s="408">
        <v>368.24</v>
      </c>
      <c r="T825" s="408">
        <v>173.25</v>
      </c>
      <c r="U825" s="408"/>
      <c r="V825" s="408">
        <v>4294.5571900000004</v>
      </c>
      <c r="W825" s="408">
        <v>4294.5571900000004</v>
      </c>
      <c r="X825" s="408">
        <v>4036.00659</v>
      </c>
      <c r="Y825" s="408">
        <v>0</v>
      </c>
      <c r="Z825" s="408">
        <v>488.11484795420665</v>
      </c>
      <c r="AA825" s="408">
        <v>0</v>
      </c>
      <c r="AB825" s="408">
        <v>0</v>
      </c>
      <c r="AC825" s="408">
        <v>20.299690840869783</v>
      </c>
      <c r="AD825" s="408">
        <v>19.503450935144684</v>
      </c>
      <c r="AE825" s="408">
        <v>1868.0447860499776</v>
      </c>
      <c r="AF825" s="408">
        <v>1350.9702722121174</v>
      </c>
      <c r="AG825" s="408">
        <v>23.057269130722656</v>
      </c>
      <c r="AH825" s="408">
        <v>0</v>
      </c>
      <c r="AI825" s="408">
        <v>0</v>
      </c>
      <c r="AJ825" s="408">
        <v>0</v>
      </c>
      <c r="AK825" s="408">
        <v>0</v>
      </c>
      <c r="AL825" s="408">
        <v>75.41611912946783</v>
      </c>
      <c r="AM825" s="408"/>
      <c r="AN825" s="408">
        <v>9.5795116016107311</v>
      </c>
      <c r="AO825" s="408">
        <v>43.09226008917075</v>
      </c>
      <c r="AP825" s="408">
        <v>200.93285152550675</v>
      </c>
      <c r="AQ825" s="408">
        <v>0</v>
      </c>
      <c r="AR825" s="408">
        <v>0</v>
      </c>
      <c r="AS825" s="408">
        <v>0</v>
      </c>
      <c r="AT825" s="408">
        <v>0</v>
      </c>
      <c r="AU825" s="408">
        <v>0</v>
      </c>
      <c r="AV825" s="408">
        <v>0</v>
      </c>
      <c r="AW825" s="408">
        <v>0</v>
      </c>
      <c r="AX825" s="408">
        <v>0</v>
      </c>
      <c r="AY825" s="408">
        <v>0</v>
      </c>
      <c r="AZ825" s="408">
        <v>0</v>
      </c>
      <c r="BA825" s="408"/>
      <c r="BB825" s="408">
        <v>0</v>
      </c>
      <c r="BC825" s="408">
        <v>0</v>
      </c>
      <c r="BD825" s="408">
        <v>0</v>
      </c>
      <c r="BE825" s="408">
        <v>0</v>
      </c>
      <c r="BF825" s="408">
        <v>0</v>
      </c>
      <c r="BG825" s="408">
        <v>70.901488964360368</v>
      </c>
      <c r="BH825" s="408">
        <v>0</v>
      </c>
      <c r="BI825" s="408">
        <v>4.0599999999999996</v>
      </c>
      <c r="BJ825" s="408">
        <v>44.93</v>
      </c>
      <c r="BK825" s="408">
        <v>1361.64</v>
      </c>
      <c r="BL825" s="408">
        <v>5</v>
      </c>
      <c r="BM825" s="408"/>
      <c r="BN825" s="408"/>
      <c r="BO825" s="408"/>
      <c r="BP825" s="408"/>
      <c r="BQ825" s="408"/>
      <c r="BR825" s="408"/>
      <c r="BS825" s="408"/>
      <c r="BT825" s="408"/>
      <c r="BU825" s="408"/>
      <c r="BV825" s="408">
        <v>1421.8717611764778</v>
      </c>
      <c r="BW825" s="408"/>
      <c r="BX825" s="408"/>
      <c r="BY825" s="408"/>
      <c r="BZ825" s="408"/>
      <c r="CA825" s="408"/>
      <c r="CB825" s="408"/>
      <c r="CC825" s="408"/>
      <c r="CD825" s="408"/>
      <c r="CE825" s="408"/>
      <c r="CF825" s="408"/>
      <c r="CG825" s="408"/>
      <c r="CH825" s="408"/>
      <c r="CI825" s="408">
        <v>4035.4976999999999</v>
      </c>
      <c r="CJ825" s="408">
        <v>-259.08949000000121</v>
      </c>
      <c r="CK825" s="408"/>
      <c r="CL825" s="408"/>
      <c r="CM825" s="408"/>
      <c r="CN825" s="408"/>
      <c r="CO825" s="408">
        <v>-429.78089</v>
      </c>
      <c r="CP825" s="408">
        <v>171.23029000000002</v>
      </c>
      <c r="CQ825" s="408">
        <v>30</v>
      </c>
      <c r="CR825" s="408">
        <v>205.46994672256051</v>
      </c>
      <c r="CS825" s="408">
        <v>4.2940516106523319</v>
      </c>
      <c r="CT825" s="408">
        <v>20.022529172075309</v>
      </c>
      <c r="CU825" s="408">
        <v>0</v>
      </c>
      <c r="CV825" s="408">
        <v>0</v>
      </c>
      <c r="CW825" s="408">
        <v>0</v>
      </c>
      <c r="CX825" s="408">
        <v>0</v>
      </c>
      <c r="CY825" s="408">
        <v>0</v>
      </c>
      <c r="CZ825" s="408">
        <v>20.082092247387536</v>
      </c>
      <c r="DA825" s="408">
        <v>0</v>
      </c>
      <c r="DB825" s="408">
        <v>0</v>
      </c>
      <c r="DC825" s="408">
        <v>171.21095711006569</v>
      </c>
      <c r="DD825" s="408">
        <v>0</v>
      </c>
      <c r="DE825" s="408">
        <v>0</v>
      </c>
      <c r="DF825" s="408">
        <v>0</v>
      </c>
      <c r="DG825" s="408">
        <v>8.9854766132198449</v>
      </c>
      <c r="DH825" s="408">
        <v>0</v>
      </c>
      <c r="DI825" s="408">
        <v>-16.574835642036817</v>
      </c>
      <c r="DJ825" s="408"/>
      <c r="DK825" s="408">
        <v>0</v>
      </c>
      <c r="DL825" s="408">
        <v>0</v>
      </c>
      <c r="DM825" s="408">
        <v>0</v>
      </c>
      <c r="DN825" s="408">
        <v>0</v>
      </c>
      <c r="DO825" s="408">
        <v>-2.2793063081103071</v>
      </c>
      <c r="DP825" s="408">
        <v>-0.27101808069348721</v>
      </c>
      <c r="DQ825" s="408">
        <v>0</v>
      </c>
      <c r="DR825" s="408">
        <v>0</v>
      </c>
      <c r="DS825" s="408"/>
      <c r="DT825" s="408"/>
      <c r="DU825" s="408"/>
      <c r="DV825" s="408">
        <v>1868.0447860499776</v>
      </c>
      <c r="DW825" s="408">
        <v>0</v>
      </c>
      <c r="DX825" s="408">
        <v>0</v>
      </c>
      <c r="DY825" s="408">
        <v>-429.78089</v>
      </c>
      <c r="DZ825" s="408">
        <v>171.23028999999997</v>
      </c>
      <c r="EA825" s="408">
        <v>0</v>
      </c>
      <c r="EB825" s="408">
        <v>0</v>
      </c>
      <c r="EC825" s="408">
        <v>-464.05401168802678</v>
      </c>
      <c r="ED825" s="408">
        <v>0</v>
      </c>
      <c r="EE825" s="408">
        <v>0</v>
      </c>
      <c r="EF825" s="408">
        <v>0</v>
      </c>
      <c r="EG825" s="408">
        <v>0</v>
      </c>
      <c r="EH825" s="408">
        <v>0</v>
      </c>
      <c r="EI825" s="408">
        <v>0</v>
      </c>
      <c r="EJ825" s="408">
        <v>0</v>
      </c>
      <c r="EK825" s="408">
        <v>0</v>
      </c>
      <c r="EL825" s="408">
        <v>0</v>
      </c>
      <c r="EM825" s="408">
        <v>0</v>
      </c>
      <c r="EN825" s="408">
        <v>0</v>
      </c>
      <c r="EO825" s="408">
        <v>0</v>
      </c>
      <c r="EP825" s="408">
        <v>124.65582660391293</v>
      </c>
      <c r="EQ825" s="408">
        <v>0</v>
      </c>
      <c r="ER825" s="408">
        <v>0</v>
      </c>
      <c r="ES825" s="408">
        <v>0</v>
      </c>
      <c r="ET825" s="408">
        <v>0</v>
      </c>
      <c r="EU825" s="408">
        <v>0</v>
      </c>
      <c r="EV825" s="408">
        <v>240</v>
      </c>
      <c r="EW825" s="408">
        <v>0</v>
      </c>
      <c r="EX825" s="408">
        <v>0</v>
      </c>
      <c r="EY825" s="408">
        <v>0</v>
      </c>
      <c r="EZ825" s="408"/>
      <c r="FA825" s="408">
        <v>0</v>
      </c>
      <c r="FB825" s="408"/>
      <c r="FC825" s="408"/>
      <c r="FD825" s="408"/>
      <c r="FE825" s="408"/>
      <c r="FF825" s="408">
        <v>0</v>
      </c>
      <c r="FG825" s="408">
        <v>0</v>
      </c>
      <c r="FH825" s="408">
        <v>0</v>
      </c>
      <c r="FI825" s="408">
        <v>0</v>
      </c>
    </row>
    <row r="826" spans="1:165">
      <c r="A826" s="408">
        <v>824</v>
      </c>
      <c r="B826" s="408" t="s">
        <v>2238</v>
      </c>
      <c r="C826" s="408" t="s">
        <v>2235</v>
      </c>
      <c r="D826" s="408" t="s">
        <v>1958</v>
      </c>
      <c r="E826" s="408" t="s">
        <v>2252</v>
      </c>
      <c r="F826" s="408" t="s">
        <v>1322</v>
      </c>
      <c r="G826" s="408" t="s">
        <v>1322</v>
      </c>
      <c r="H826" s="408" t="s">
        <v>1322</v>
      </c>
      <c r="I826" s="408" t="s">
        <v>1322</v>
      </c>
      <c r="J826" s="408" t="s">
        <v>2236</v>
      </c>
      <c r="K826" s="826">
        <v>44713</v>
      </c>
      <c r="L826" s="408">
        <v>0</v>
      </c>
      <c r="M826" s="408">
        <v>0</v>
      </c>
      <c r="N826" s="408">
        <v>2.7410000000000001</v>
      </c>
      <c r="O826" s="408">
        <v>2.7410000000000001</v>
      </c>
      <c r="P826" s="408">
        <v>2.7410000000000001</v>
      </c>
      <c r="Q826" s="408">
        <v>2.7410000000000001</v>
      </c>
      <c r="R826" s="408"/>
      <c r="S826" s="408">
        <v>368.24</v>
      </c>
      <c r="T826" s="408">
        <v>173.25</v>
      </c>
      <c r="U826" s="408"/>
      <c r="V826" s="408">
        <v>1484.2240900000002</v>
      </c>
      <c r="W826" s="408">
        <v>1484.2240900000002</v>
      </c>
      <c r="X826" s="408">
        <v>1394.8674900000001</v>
      </c>
      <c r="Y826" s="408">
        <v>0</v>
      </c>
      <c r="Z826" s="408">
        <v>168.69534714947426</v>
      </c>
      <c r="AA826" s="408">
        <v>0</v>
      </c>
      <c r="AB826" s="408">
        <v>0</v>
      </c>
      <c r="AC826" s="408">
        <v>7.0156919171383274</v>
      </c>
      <c r="AD826" s="408">
        <v>6.7405067473498397</v>
      </c>
      <c r="AE826" s="408">
        <v>645.60720698058105</v>
      </c>
      <c r="AF826" s="408">
        <v>466.90322987434297</v>
      </c>
      <c r="AG826" s="408">
        <v>7.9687271072135673</v>
      </c>
      <c r="AH826" s="408">
        <v>0</v>
      </c>
      <c r="AI826" s="408">
        <v>0</v>
      </c>
      <c r="AJ826" s="408">
        <v>0</v>
      </c>
      <c r="AK826" s="408">
        <v>0</v>
      </c>
      <c r="AL826" s="408">
        <v>26.06425199014895</v>
      </c>
      <c r="AM826" s="408"/>
      <c r="AN826" s="408">
        <v>3.3107352540682156</v>
      </c>
      <c r="AO826" s="408">
        <v>14.892937196370827</v>
      </c>
      <c r="AP826" s="408">
        <v>69.443569036869746</v>
      </c>
      <c r="AQ826" s="408">
        <v>0</v>
      </c>
      <c r="AR826" s="408">
        <v>0</v>
      </c>
      <c r="AS826" s="408">
        <v>0</v>
      </c>
      <c r="AT826" s="408">
        <v>0</v>
      </c>
      <c r="AU826" s="408">
        <v>0</v>
      </c>
      <c r="AV826" s="408">
        <v>0</v>
      </c>
      <c r="AW826" s="408">
        <v>0</v>
      </c>
      <c r="AX826" s="408">
        <v>0</v>
      </c>
      <c r="AY826" s="408">
        <v>0</v>
      </c>
      <c r="AZ826" s="408">
        <v>0</v>
      </c>
      <c r="BA826" s="408"/>
      <c r="BB826" s="408">
        <v>0</v>
      </c>
      <c r="BC826" s="408">
        <v>0</v>
      </c>
      <c r="BD826" s="408">
        <v>0</v>
      </c>
      <c r="BE826" s="408">
        <v>0</v>
      </c>
      <c r="BF826" s="408">
        <v>0</v>
      </c>
      <c r="BG826" s="408">
        <v>24.503969392423624</v>
      </c>
      <c r="BH826" s="408">
        <v>0</v>
      </c>
      <c r="BI826" s="408">
        <v>1.41</v>
      </c>
      <c r="BJ826" s="408">
        <v>15.53</v>
      </c>
      <c r="BK826" s="408">
        <v>528.38</v>
      </c>
      <c r="BL826" s="408">
        <v>1</v>
      </c>
      <c r="BM826" s="408"/>
      <c r="BN826" s="408"/>
      <c r="BO826" s="408"/>
      <c r="BP826" s="408"/>
      <c r="BQ826" s="408"/>
      <c r="BR826" s="408"/>
      <c r="BS826" s="408"/>
      <c r="BT826" s="408"/>
      <c r="BU826" s="408"/>
      <c r="BV826" s="408">
        <v>491.40719926676661</v>
      </c>
      <c r="BW826" s="408"/>
      <c r="BX826" s="408"/>
      <c r="BY826" s="408"/>
      <c r="BZ826" s="408"/>
      <c r="CA826" s="408"/>
      <c r="CB826" s="408"/>
      <c r="CC826" s="408"/>
      <c r="CD826" s="408"/>
      <c r="CE826" s="408"/>
      <c r="CF826" s="408"/>
      <c r="CG826" s="408"/>
      <c r="CH826" s="408"/>
      <c r="CI826" s="408">
        <v>1394.3586</v>
      </c>
      <c r="CJ826" s="408">
        <v>-89.895490000000109</v>
      </c>
      <c r="CK826" s="408"/>
      <c r="CL826" s="408"/>
      <c r="CM826" s="408"/>
      <c r="CN826" s="408"/>
      <c r="CO826" s="408">
        <v>-148.53478999999999</v>
      </c>
      <c r="CP826" s="408">
        <v>59.178190000000015</v>
      </c>
      <c r="CQ826" s="408">
        <v>30</v>
      </c>
      <c r="CR826" s="408">
        <v>71.01161568106636</v>
      </c>
      <c r="CS826" s="408">
        <v>1.484049358819572</v>
      </c>
      <c r="CT826" s="408">
        <v>6.919903222879654</v>
      </c>
      <c r="CU826" s="408">
        <v>0</v>
      </c>
      <c r="CV826" s="408">
        <v>0</v>
      </c>
      <c r="CW826" s="408">
        <v>0</v>
      </c>
      <c r="CX826" s="408">
        <v>0</v>
      </c>
      <c r="CY826" s="408">
        <v>0</v>
      </c>
      <c r="CZ826" s="408">
        <v>6.9404885701789487</v>
      </c>
      <c r="DA826" s="408">
        <v>0</v>
      </c>
      <c r="DB826" s="408">
        <v>0</v>
      </c>
      <c r="DC826" s="408">
        <v>59.171508440132357</v>
      </c>
      <c r="DD826" s="408">
        <v>0</v>
      </c>
      <c r="DE826" s="408">
        <v>0</v>
      </c>
      <c r="DF826" s="408">
        <v>0</v>
      </c>
      <c r="DG826" s="408">
        <v>3.105433286702258</v>
      </c>
      <c r="DH826" s="408">
        <v>0</v>
      </c>
      <c r="DI826" s="408">
        <v>-5.7283601683044765</v>
      </c>
      <c r="DJ826" s="408"/>
      <c r="DK826" s="408">
        <v>0</v>
      </c>
      <c r="DL826" s="408">
        <v>0</v>
      </c>
      <c r="DM826" s="408">
        <v>0</v>
      </c>
      <c r="DN826" s="408">
        <v>0</v>
      </c>
      <c r="DO826" s="408">
        <v>-0.78774159507380404</v>
      </c>
      <c r="DP826" s="408">
        <v>-9.3665434268169534E-2</v>
      </c>
      <c r="DQ826" s="408">
        <v>0</v>
      </c>
      <c r="DR826" s="408">
        <v>0</v>
      </c>
      <c r="DS826" s="408"/>
      <c r="DT826" s="408"/>
      <c r="DU826" s="408"/>
      <c r="DV826" s="408">
        <v>645.60720698058105</v>
      </c>
      <c r="DW826" s="408">
        <v>0</v>
      </c>
      <c r="DX826" s="408">
        <v>0</v>
      </c>
      <c r="DY826" s="408">
        <v>-148.53479000000004</v>
      </c>
      <c r="DZ826" s="408">
        <v>59.178190000000029</v>
      </c>
      <c r="EA826" s="408">
        <v>0</v>
      </c>
      <c r="EB826" s="408">
        <v>0</v>
      </c>
      <c r="EC826" s="408">
        <v>-160.37978136891701</v>
      </c>
      <c r="ED826" s="408">
        <v>0</v>
      </c>
      <c r="EE826" s="408">
        <v>0</v>
      </c>
      <c r="EF826" s="408">
        <v>0</v>
      </c>
      <c r="EG826" s="408">
        <v>0</v>
      </c>
      <c r="EH826" s="408">
        <v>0</v>
      </c>
      <c r="EI826" s="408">
        <v>0</v>
      </c>
      <c r="EJ826" s="408">
        <v>0</v>
      </c>
      <c r="EK826" s="408">
        <v>0</v>
      </c>
      <c r="EL826" s="408">
        <v>0</v>
      </c>
      <c r="EM826" s="408">
        <v>0</v>
      </c>
      <c r="EN826" s="408">
        <v>0</v>
      </c>
      <c r="EO826" s="408">
        <v>0</v>
      </c>
      <c r="EP826" s="408">
        <v>43.081782968266971</v>
      </c>
      <c r="EQ826" s="408">
        <v>0</v>
      </c>
      <c r="ER826" s="408">
        <v>0</v>
      </c>
      <c r="ES826" s="408">
        <v>0</v>
      </c>
      <c r="ET826" s="408">
        <v>0</v>
      </c>
      <c r="EU826" s="408">
        <v>0</v>
      </c>
      <c r="EV826" s="408">
        <v>240</v>
      </c>
      <c r="EW826" s="408">
        <v>0</v>
      </c>
      <c r="EX826" s="408">
        <v>0</v>
      </c>
      <c r="EY826" s="408">
        <v>0</v>
      </c>
      <c r="EZ826" s="408"/>
      <c r="FA826" s="408">
        <v>0</v>
      </c>
      <c r="FB826" s="408"/>
      <c r="FC826" s="408"/>
      <c r="FD826" s="408"/>
      <c r="FE826" s="408"/>
      <c r="FF826" s="408">
        <v>0</v>
      </c>
      <c r="FG826" s="408">
        <v>0</v>
      </c>
      <c r="FH826" s="408">
        <v>0</v>
      </c>
      <c r="FI826" s="408">
        <v>0</v>
      </c>
    </row>
    <row r="827" spans="1:165">
      <c r="A827" s="408">
        <v>825</v>
      </c>
      <c r="B827" s="408" t="s">
        <v>1036</v>
      </c>
      <c r="C827" s="408" t="s">
        <v>2235</v>
      </c>
      <c r="D827" s="408" t="s">
        <v>2245</v>
      </c>
      <c r="E827" s="408" t="s">
        <v>974</v>
      </c>
      <c r="F827" s="408" t="s">
        <v>2253</v>
      </c>
      <c r="G827" s="408" t="s">
        <v>2254</v>
      </c>
      <c r="H827" s="408" t="s">
        <v>1322</v>
      </c>
      <c r="I827" s="408" t="s">
        <v>1322</v>
      </c>
      <c r="J827" s="408" t="s">
        <v>2236</v>
      </c>
      <c r="K827" s="826">
        <v>44713</v>
      </c>
      <c r="L827" s="408">
        <v>0</v>
      </c>
      <c r="M827" s="408">
        <v>0</v>
      </c>
      <c r="N827" s="408">
        <v>0</v>
      </c>
      <c r="O827" s="408">
        <v>0</v>
      </c>
      <c r="P827" s="408">
        <v>0</v>
      </c>
      <c r="Q827" s="408">
        <v>0</v>
      </c>
      <c r="R827" s="408"/>
      <c r="S827" s="408"/>
      <c r="T827" s="408"/>
      <c r="U827" s="408"/>
      <c r="V827" s="408"/>
      <c r="W827" s="408"/>
      <c r="X827" s="408"/>
      <c r="Y827" s="408"/>
      <c r="Z827" s="408"/>
      <c r="AA827" s="408">
        <v>0</v>
      </c>
      <c r="AB827" s="408"/>
      <c r="AC827" s="408"/>
      <c r="AD827" s="408"/>
      <c r="AE827" s="408"/>
      <c r="AF827" s="408"/>
      <c r="AG827" s="408"/>
      <c r="AH827" s="408"/>
      <c r="AI827" s="408"/>
      <c r="AJ827" s="408"/>
      <c r="AK827" s="408"/>
      <c r="AL827" s="408"/>
      <c r="AM827" s="408"/>
      <c r="AN827" s="408"/>
      <c r="AO827" s="408"/>
      <c r="AP827" s="408"/>
      <c r="AQ827" s="408"/>
      <c r="AR827" s="408"/>
      <c r="AS827" s="408"/>
      <c r="AT827" s="408"/>
      <c r="AU827" s="408"/>
      <c r="AV827" s="408"/>
      <c r="AW827" s="408"/>
      <c r="AX827" s="408"/>
      <c r="AY827" s="408"/>
      <c r="AZ827" s="408">
        <v>0</v>
      </c>
      <c r="BA827" s="408"/>
      <c r="BB827" s="408"/>
      <c r="BC827" s="408"/>
      <c r="BD827" s="408"/>
      <c r="BE827" s="408"/>
      <c r="BF827" s="408"/>
      <c r="BG827" s="408"/>
      <c r="BH827" s="408"/>
      <c r="BI827" s="408">
        <v>0.25</v>
      </c>
      <c r="BJ827" s="408">
        <v>3.02</v>
      </c>
      <c r="BK827" s="408">
        <v>28.08</v>
      </c>
      <c r="BL827" s="408">
        <v>4</v>
      </c>
      <c r="BM827" s="408"/>
      <c r="BN827" s="408"/>
      <c r="BO827" s="408"/>
      <c r="BP827" s="408"/>
      <c r="BQ827" s="408"/>
      <c r="BR827" s="408"/>
      <c r="BS827" s="408"/>
      <c r="BT827" s="408"/>
      <c r="BU827" s="408"/>
      <c r="BV827" s="408"/>
      <c r="BW827" s="408"/>
      <c r="BX827" s="408"/>
      <c r="BY827" s="408"/>
      <c r="BZ827" s="408"/>
      <c r="CA827" s="408"/>
      <c r="CB827" s="408"/>
      <c r="CC827" s="408"/>
      <c r="CD827" s="408"/>
      <c r="CE827" s="408"/>
      <c r="CF827" s="408"/>
      <c r="CG827" s="408"/>
      <c r="CH827" s="408"/>
      <c r="CI827" s="408"/>
      <c r="CJ827" s="408">
        <v>-0.03</v>
      </c>
      <c r="CK827" s="408"/>
      <c r="CL827" s="408"/>
      <c r="CM827" s="408"/>
      <c r="CN827" s="408"/>
      <c r="CO827" s="408">
        <v>0</v>
      </c>
      <c r="CP827" s="408">
        <v>0</v>
      </c>
      <c r="CQ827" s="408">
        <v>30</v>
      </c>
      <c r="CR827" s="408"/>
      <c r="CS827" s="408"/>
      <c r="CT827" s="408"/>
      <c r="CU827" s="408"/>
      <c r="CV827" s="408"/>
      <c r="CW827" s="408"/>
      <c r="CX827" s="408"/>
      <c r="CY827" s="408"/>
      <c r="CZ827" s="408"/>
      <c r="DA827" s="408"/>
      <c r="DB827" s="408"/>
      <c r="DC827" s="408"/>
      <c r="DD827" s="408"/>
      <c r="DE827" s="408"/>
      <c r="DF827" s="408"/>
      <c r="DG827" s="408"/>
      <c r="DH827" s="408"/>
      <c r="DI827" s="408"/>
      <c r="DJ827" s="408"/>
      <c r="DK827" s="408">
        <v>0</v>
      </c>
      <c r="DL827" s="408"/>
      <c r="DM827" s="408"/>
      <c r="DN827" s="408"/>
      <c r="DO827" s="408"/>
      <c r="DP827" s="408"/>
      <c r="DQ827" s="408"/>
      <c r="DR827" s="408"/>
      <c r="DS827" s="408"/>
      <c r="DT827" s="408"/>
      <c r="DU827" s="408"/>
      <c r="DV827" s="408"/>
      <c r="DW827" s="408"/>
      <c r="DX827" s="408"/>
      <c r="DY827" s="408"/>
      <c r="DZ827" s="408"/>
      <c r="EA827" s="408"/>
      <c r="EB827" s="408"/>
      <c r="EC827" s="408"/>
      <c r="ED827" s="408"/>
      <c r="EE827" s="408"/>
      <c r="EF827" s="408"/>
      <c r="EG827" s="408"/>
      <c r="EH827" s="408"/>
      <c r="EI827" s="408"/>
      <c r="EJ827" s="408"/>
      <c r="EK827" s="408"/>
      <c r="EL827" s="408"/>
      <c r="EM827" s="408"/>
      <c r="EN827" s="408"/>
      <c r="EO827" s="408"/>
      <c r="EP827" s="408"/>
      <c r="EQ827" s="408"/>
      <c r="ER827" s="408"/>
      <c r="ES827" s="408"/>
      <c r="ET827" s="408"/>
      <c r="EU827" s="408"/>
      <c r="EV827" s="408">
        <v>240</v>
      </c>
      <c r="EW827" s="408"/>
      <c r="EX827" s="408"/>
      <c r="EY827" s="408"/>
      <c r="EZ827" s="408"/>
      <c r="FA827" s="408">
        <v>0</v>
      </c>
      <c r="FB827" s="408"/>
      <c r="FC827" s="408"/>
      <c r="FD827" s="408"/>
      <c r="FE827" s="408"/>
      <c r="FF827" s="408">
        <v>0</v>
      </c>
      <c r="FG827" s="408">
        <v>0</v>
      </c>
      <c r="FH827" s="408">
        <v>0</v>
      </c>
      <c r="FI827" s="408">
        <v>0</v>
      </c>
    </row>
    <row r="828" spans="1:165">
      <c r="A828" s="408">
        <v>826</v>
      </c>
      <c r="B828" s="408" t="s">
        <v>1036</v>
      </c>
      <c r="C828" s="408" t="s">
        <v>2235</v>
      </c>
      <c r="D828" s="408" t="s">
        <v>2245</v>
      </c>
      <c r="E828" s="408" t="s">
        <v>974</v>
      </c>
      <c r="F828" s="408" t="s">
        <v>2253</v>
      </c>
      <c r="G828" s="408" t="s">
        <v>2254</v>
      </c>
      <c r="H828" s="408" t="s">
        <v>1322</v>
      </c>
      <c r="I828" s="408" t="s">
        <v>1322</v>
      </c>
      <c r="J828" s="408" t="s">
        <v>2236</v>
      </c>
      <c r="K828" s="826">
        <v>44713</v>
      </c>
      <c r="L828" s="408">
        <v>0</v>
      </c>
      <c r="M828" s="408">
        <v>0</v>
      </c>
      <c r="N828" s="408">
        <v>0.48399999999999999</v>
      </c>
      <c r="O828" s="408">
        <v>0.48399999999999999</v>
      </c>
      <c r="P828" s="408">
        <v>0.48399999999999999</v>
      </c>
      <c r="Q828" s="408">
        <v>0.48399999999999999</v>
      </c>
      <c r="R828" s="408"/>
      <c r="S828" s="408">
        <v>368.24</v>
      </c>
      <c r="T828" s="408">
        <v>173.25</v>
      </c>
      <c r="U828" s="408"/>
      <c r="V828" s="408">
        <v>262.08116000000001</v>
      </c>
      <c r="W828" s="408">
        <v>262.08116000000001</v>
      </c>
      <c r="X828" s="408">
        <v>246.30276000000001</v>
      </c>
      <c r="Y828" s="408">
        <v>0</v>
      </c>
      <c r="Z828" s="408">
        <v>29.787868668495271</v>
      </c>
      <c r="AA828" s="408">
        <v>0</v>
      </c>
      <c r="AB828" s="408">
        <v>0</v>
      </c>
      <c r="AC828" s="408">
        <v>1.2388160846023168</v>
      </c>
      <c r="AD828" s="408">
        <v>1.1902244676093843</v>
      </c>
      <c r="AE828" s="408">
        <v>113.99995920415951</v>
      </c>
      <c r="AF828" s="408">
        <v>82.444787763291487</v>
      </c>
      <c r="AG828" s="408">
        <v>1.407101028781965</v>
      </c>
      <c r="AH828" s="408">
        <v>0</v>
      </c>
      <c r="AI828" s="408">
        <v>0</v>
      </c>
      <c r="AJ828" s="408">
        <v>0</v>
      </c>
      <c r="AK828" s="408">
        <v>0</v>
      </c>
      <c r="AL828" s="408">
        <v>4.6023706542254983</v>
      </c>
      <c r="AM828" s="408"/>
      <c r="AN828" s="408">
        <v>0.5846026497515564</v>
      </c>
      <c r="AO828" s="408">
        <v>2.6297634451088943</v>
      </c>
      <c r="AP828" s="408">
        <v>12.262198983526069</v>
      </c>
      <c r="AQ828" s="408">
        <v>0</v>
      </c>
      <c r="AR828" s="408">
        <v>0</v>
      </c>
      <c r="AS828" s="408">
        <v>0</v>
      </c>
      <c r="AT828" s="408">
        <v>0</v>
      </c>
      <c r="AU828" s="408">
        <v>0</v>
      </c>
      <c r="AV828" s="408">
        <v>0</v>
      </c>
      <c r="AW828" s="408">
        <v>0</v>
      </c>
      <c r="AX828" s="408">
        <v>0</v>
      </c>
      <c r="AY828" s="408">
        <v>0</v>
      </c>
      <c r="AZ828" s="408">
        <v>0</v>
      </c>
      <c r="BA828" s="408"/>
      <c r="BB828" s="408">
        <v>0</v>
      </c>
      <c r="BC828" s="408">
        <v>0</v>
      </c>
      <c r="BD828" s="408">
        <v>0</v>
      </c>
      <c r="BE828" s="408">
        <v>0</v>
      </c>
      <c r="BF828" s="408">
        <v>0</v>
      </c>
      <c r="BG828" s="408">
        <v>4.326859243317414</v>
      </c>
      <c r="BH828" s="408">
        <v>0</v>
      </c>
      <c r="BI828" s="408">
        <v>0</v>
      </c>
      <c r="BJ828" s="408">
        <v>0</v>
      </c>
      <c r="BK828" s="408">
        <v>0</v>
      </c>
      <c r="BL828" s="408">
        <v>0</v>
      </c>
      <c r="BM828" s="408"/>
      <c r="BN828" s="408"/>
      <c r="BO828" s="408"/>
      <c r="BP828" s="408"/>
      <c r="BQ828" s="408"/>
      <c r="BR828" s="408">
        <v>29.553040000000003</v>
      </c>
      <c r="BS828" s="408"/>
      <c r="BT828" s="408"/>
      <c r="BU828" s="408"/>
      <c r="BV828" s="408">
        <v>86.771647006608902</v>
      </c>
      <c r="BW828" s="408"/>
      <c r="BX828" s="408"/>
      <c r="BY828" s="408"/>
      <c r="BZ828" s="408"/>
      <c r="CA828" s="408"/>
      <c r="CB828" s="408"/>
      <c r="CC828" s="408"/>
      <c r="CD828" s="408"/>
      <c r="CE828" s="408"/>
      <c r="CF828" s="408"/>
      <c r="CG828" s="408"/>
      <c r="CH828" s="408"/>
      <c r="CI828" s="408">
        <v>214.95839999999998</v>
      </c>
      <c r="CJ828" s="408">
        <v>-15.702439999999996</v>
      </c>
      <c r="CK828" s="408"/>
      <c r="CL828" s="408"/>
      <c r="CM828" s="408"/>
      <c r="CN828" s="408"/>
      <c r="CO828" s="408">
        <v>-26.227959999999999</v>
      </c>
      <c r="CP828" s="408">
        <v>10.449560000000002</v>
      </c>
      <c r="CQ828" s="408">
        <v>30</v>
      </c>
      <c r="CR828" s="408">
        <v>12.539081353387843</v>
      </c>
      <c r="CS828" s="408">
        <v>0.26205030633661952</v>
      </c>
      <c r="CT828" s="408">
        <v>1.2219019189616009</v>
      </c>
      <c r="CU828" s="408">
        <v>0</v>
      </c>
      <c r="CV828" s="408">
        <v>0</v>
      </c>
      <c r="CW828" s="408">
        <v>0</v>
      </c>
      <c r="CX828" s="408">
        <v>0</v>
      </c>
      <c r="CY828" s="408">
        <v>0</v>
      </c>
      <c r="CZ828" s="408">
        <v>1.22553683617899</v>
      </c>
      <c r="DA828" s="408">
        <v>0</v>
      </c>
      <c r="DB828" s="408">
        <v>0</v>
      </c>
      <c r="DC828" s="408">
        <v>10.448380184248109</v>
      </c>
      <c r="DD828" s="408">
        <v>0</v>
      </c>
      <c r="DE828" s="408">
        <v>0</v>
      </c>
      <c r="DF828" s="408">
        <v>0</v>
      </c>
      <c r="DG828" s="408">
        <v>0.548350861278327</v>
      </c>
      <c r="DH828" s="408">
        <v>0</v>
      </c>
      <c r="DI828" s="408">
        <v>-1.0115017590147275</v>
      </c>
      <c r="DJ828" s="408"/>
      <c r="DK828" s="408">
        <v>0</v>
      </c>
      <c r="DL828" s="408">
        <v>0</v>
      </c>
      <c r="DM828" s="408">
        <v>0</v>
      </c>
      <c r="DN828" s="408">
        <v>0</v>
      </c>
      <c r="DO828" s="408">
        <v>-0.13909774973211242</v>
      </c>
      <c r="DP828" s="408">
        <v>-1.6539244868950753E-2</v>
      </c>
      <c r="DQ828" s="408">
        <v>0</v>
      </c>
      <c r="DR828" s="408">
        <v>0</v>
      </c>
      <c r="DS828" s="408"/>
      <c r="DT828" s="408"/>
      <c r="DU828" s="408"/>
      <c r="DV828" s="408">
        <v>113.99995920415951</v>
      </c>
      <c r="DW828" s="408">
        <v>0</v>
      </c>
      <c r="DX828" s="408">
        <v>0</v>
      </c>
      <c r="DY828" s="408">
        <v>-26.227959999999996</v>
      </c>
      <c r="DZ828" s="408">
        <v>10.449560000000005</v>
      </c>
      <c r="EA828" s="408">
        <v>0</v>
      </c>
      <c r="EB828" s="408">
        <v>0</v>
      </c>
      <c r="EC828" s="408">
        <v>-28.319523598159734</v>
      </c>
      <c r="ED828" s="408">
        <v>0</v>
      </c>
      <c r="EE828" s="408">
        <v>0</v>
      </c>
      <c r="EF828" s="408">
        <v>0</v>
      </c>
      <c r="EG828" s="408">
        <v>0</v>
      </c>
      <c r="EH828" s="408">
        <v>0</v>
      </c>
      <c r="EI828" s="408">
        <v>0</v>
      </c>
      <c r="EJ828" s="408">
        <v>0</v>
      </c>
      <c r="EK828" s="408">
        <v>0</v>
      </c>
      <c r="EL828" s="408">
        <v>0</v>
      </c>
      <c r="EM828" s="408">
        <v>0</v>
      </c>
      <c r="EN828" s="408">
        <v>0</v>
      </c>
      <c r="EO828" s="408">
        <v>0</v>
      </c>
      <c r="EP828" s="408">
        <v>7.607290389143091</v>
      </c>
      <c r="EQ828" s="408">
        <v>0</v>
      </c>
      <c r="ER828" s="408">
        <v>0</v>
      </c>
      <c r="ES828" s="408">
        <v>0</v>
      </c>
      <c r="ET828" s="408">
        <v>0</v>
      </c>
      <c r="EU828" s="408">
        <v>0</v>
      </c>
      <c r="EV828" s="408">
        <v>240</v>
      </c>
      <c r="EW828" s="408">
        <v>0</v>
      </c>
      <c r="EX828" s="408">
        <v>0</v>
      </c>
      <c r="EY828" s="408">
        <v>0</v>
      </c>
      <c r="EZ828" s="408"/>
      <c r="FA828" s="408">
        <v>0</v>
      </c>
      <c r="FB828" s="408"/>
      <c r="FC828" s="408"/>
      <c r="FD828" s="408"/>
      <c r="FE828" s="408"/>
      <c r="FF828" s="408">
        <v>0</v>
      </c>
      <c r="FG828" s="408">
        <v>0</v>
      </c>
      <c r="FH828" s="408">
        <v>0</v>
      </c>
      <c r="FI828" s="408">
        <v>0</v>
      </c>
    </row>
    <row r="829" spans="1:165">
      <c r="A829" s="408">
        <v>827</v>
      </c>
      <c r="B829" s="408" t="s">
        <v>1036</v>
      </c>
      <c r="C829" s="408" t="s">
        <v>2235</v>
      </c>
      <c r="D829" s="408" t="s">
        <v>2245</v>
      </c>
      <c r="E829" s="408" t="s">
        <v>974</v>
      </c>
      <c r="F829" s="408" t="s">
        <v>2253</v>
      </c>
      <c r="G829" s="408" t="s">
        <v>2255</v>
      </c>
      <c r="H829" s="408" t="s">
        <v>1322</v>
      </c>
      <c r="I829" s="408" t="s">
        <v>1322</v>
      </c>
      <c r="J829" s="408" t="s">
        <v>2236</v>
      </c>
      <c r="K829" s="826">
        <v>44713</v>
      </c>
      <c r="L829" s="408">
        <v>0</v>
      </c>
      <c r="M829" s="408">
        <v>0</v>
      </c>
      <c r="N829" s="408">
        <v>0.30099999999999999</v>
      </c>
      <c r="O829" s="408">
        <v>0.12039999999999999</v>
      </c>
      <c r="P829" s="408">
        <v>0.30099999999999999</v>
      </c>
      <c r="Q829" s="408">
        <v>0.12039999999999999</v>
      </c>
      <c r="R829" s="408"/>
      <c r="S829" s="408">
        <v>368.24</v>
      </c>
      <c r="T829" s="408">
        <v>173.25</v>
      </c>
      <c r="U829" s="408"/>
      <c r="V829" s="408">
        <v>162.98848999999998</v>
      </c>
      <c r="W829" s="408">
        <v>162.98848999999998</v>
      </c>
      <c r="X829" s="408">
        <v>153.17588999999998</v>
      </c>
      <c r="Y829" s="408">
        <v>0</v>
      </c>
      <c r="Z829" s="408">
        <v>18.525100143010491</v>
      </c>
      <c r="AA829" s="408">
        <v>0</v>
      </c>
      <c r="AB829" s="408">
        <v>0</v>
      </c>
      <c r="AC829" s="408">
        <v>0.77042074682912676</v>
      </c>
      <c r="AD829" s="408">
        <v>0.74020158006286085</v>
      </c>
      <c r="AE829" s="408">
        <v>70.896668843909126</v>
      </c>
      <c r="AF829" s="408">
        <v>51.272481646179209</v>
      </c>
      <c r="AG829" s="408">
        <v>0.87507729269291634</v>
      </c>
      <c r="AH829" s="408">
        <v>0</v>
      </c>
      <c r="AI829" s="408">
        <v>0</v>
      </c>
      <c r="AJ829" s="408">
        <v>0</v>
      </c>
      <c r="AK829" s="408">
        <v>0</v>
      </c>
      <c r="AL829" s="408">
        <v>2.8622181134749485</v>
      </c>
      <c r="AM829" s="408"/>
      <c r="AN829" s="408">
        <v>0.36356487102317869</v>
      </c>
      <c r="AO829" s="408">
        <v>1.6354520598714406</v>
      </c>
      <c r="AP829" s="408">
        <v>7.6258716819036092</v>
      </c>
      <c r="AQ829" s="408">
        <v>0</v>
      </c>
      <c r="AR829" s="408">
        <v>0</v>
      </c>
      <c r="AS829" s="408">
        <v>0</v>
      </c>
      <c r="AT829" s="408">
        <v>0</v>
      </c>
      <c r="AU829" s="408">
        <v>0</v>
      </c>
      <c r="AV829" s="408">
        <v>0</v>
      </c>
      <c r="AW829" s="408">
        <v>0</v>
      </c>
      <c r="AX829" s="408">
        <v>0</v>
      </c>
      <c r="AY829" s="408">
        <v>0</v>
      </c>
      <c r="AZ829" s="408">
        <v>0</v>
      </c>
      <c r="BA829" s="408"/>
      <c r="BB829" s="408">
        <v>0</v>
      </c>
      <c r="BC829" s="408">
        <v>0</v>
      </c>
      <c r="BD829" s="408">
        <v>0</v>
      </c>
      <c r="BE829" s="408">
        <v>0</v>
      </c>
      <c r="BF829" s="408">
        <v>0</v>
      </c>
      <c r="BG829" s="408">
        <v>2.6908773393358301</v>
      </c>
      <c r="BH829" s="408">
        <v>0</v>
      </c>
      <c r="BI829" s="408">
        <v>0</v>
      </c>
      <c r="BJ829" s="408">
        <v>0</v>
      </c>
      <c r="BK829" s="408">
        <v>0</v>
      </c>
      <c r="BL829" s="408">
        <v>0</v>
      </c>
      <c r="BM829" s="408"/>
      <c r="BN829" s="408"/>
      <c r="BO829" s="408"/>
      <c r="BP829" s="408"/>
      <c r="BQ829" s="408"/>
      <c r="BR829" s="408"/>
      <c r="BS829" s="408">
        <v>99.25715799999999</v>
      </c>
      <c r="BT829" s="408"/>
      <c r="BU829" s="408"/>
      <c r="BV829" s="408">
        <v>53.963358985515036</v>
      </c>
      <c r="BW829" s="408"/>
      <c r="BX829" s="408"/>
      <c r="BY829" s="408"/>
      <c r="BZ829" s="408"/>
      <c r="CA829" s="408"/>
      <c r="CB829" s="408"/>
      <c r="CC829" s="408"/>
      <c r="CD829" s="408"/>
      <c r="CE829" s="408"/>
      <c r="CF829" s="408"/>
      <c r="CG829" s="408"/>
      <c r="CH829" s="408"/>
      <c r="CI829" s="408">
        <v>53.739599999999996</v>
      </c>
      <c r="CJ829" s="408">
        <v>-3.6622039999999956</v>
      </c>
      <c r="CK829" s="408"/>
      <c r="CL829" s="408"/>
      <c r="CM829" s="408"/>
      <c r="CN829" s="408"/>
      <c r="CO829" s="408">
        <v>-16.31119</v>
      </c>
      <c r="CP829" s="408">
        <v>6.498590000000001</v>
      </c>
      <c r="CQ829" s="408">
        <v>30</v>
      </c>
      <c r="CR829" s="408">
        <v>7.7980650565490777</v>
      </c>
      <c r="CS829" s="408">
        <v>0.1629693020812446</v>
      </c>
      <c r="CT829" s="408">
        <v>0.7599018132385158</v>
      </c>
      <c r="CU829" s="408">
        <v>0</v>
      </c>
      <c r="CV829" s="408">
        <v>0</v>
      </c>
      <c r="CW829" s="408">
        <v>0</v>
      </c>
      <c r="CX829" s="408">
        <v>0</v>
      </c>
      <c r="CY829" s="408">
        <v>0</v>
      </c>
      <c r="CZ829" s="408">
        <v>0.76216237126007436</v>
      </c>
      <c r="DA829" s="408">
        <v>0</v>
      </c>
      <c r="DB829" s="408">
        <v>0</v>
      </c>
      <c r="DC829" s="408">
        <v>6.4978562716088462</v>
      </c>
      <c r="DD829" s="408">
        <v>0</v>
      </c>
      <c r="DE829" s="408">
        <v>0</v>
      </c>
      <c r="DF829" s="408">
        <v>0</v>
      </c>
      <c r="DG829" s="408">
        <v>0.34101985381152122</v>
      </c>
      <c r="DH829" s="408">
        <v>0</v>
      </c>
      <c r="DI829" s="408">
        <v>-0.62905377988312594</v>
      </c>
      <c r="DJ829" s="408"/>
      <c r="DK829" s="408">
        <v>0</v>
      </c>
      <c r="DL829" s="408">
        <v>0</v>
      </c>
      <c r="DM829" s="408">
        <v>0</v>
      </c>
      <c r="DN829" s="408">
        <v>0</v>
      </c>
      <c r="DO829" s="408">
        <v>-8.6505005515219224E-2</v>
      </c>
      <c r="DP829" s="408">
        <v>-1.0285770052797905E-2</v>
      </c>
      <c r="DQ829" s="408">
        <v>0</v>
      </c>
      <c r="DR829" s="408">
        <v>0</v>
      </c>
      <c r="DS829" s="408"/>
      <c r="DT829" s="408"/>
      <c r="DU829" s="408"/>
      <c r="DV829" s="408">
        <v>70.896668843909126</v>
      </c>
      <c r="DW829" s="408">
        <v>0</v>
      </c>
      <c r="DX829" s="408">
        <v>0</v>
      </c>
      <c r="DY829" s="408">
        <v>-16.311189999999996</v>
      </c>
      <c r="DZ829" s="408">
        <v>6.4985900000000001</v>
      </c>
      <c r="EA829" s="408">
        <v>0</v>
      </c>
      <c r="EB829" s="408">
        <v>0</v>
      </c>
      <c r="EC829" s="408">
        <v>-17.611935130260505</v>
      </c>
      <c r="ED829" s="408">
        <v>0</v>
      </c>
      <c r="EE829" s="408">
        <v>0</v>
      </c>
      <c r="EF829" s="408">
        <v>0</v>
      </c>
      <c r="EG829" s="408">
        <v>0</v>
      </c>
      <c r="EH829" s="408">
        <v>0</v>
      </c>
      <c r="EI829" s="408">
        <v>0</v>
      </c>
      <c r="EJ829" s="408">
        <v>0</v>
      </c>
      <c r="EK829" s="408">
        <v>0</v>
      </c>
      <c r="EL829" s="408">
        <v>0</v>
      </c>
      <c r="EM829" s="408">
        <v>0</v>
      </c>
      <c r="EN829" s="408">
        <v>0</v>
      </c>
      <c r="EO829" s="408">
        <v>0</v>
      </c>
      <c r="EP829" s="408">
        <v>4.7309801800249387</v>
      </c>
      <c r="EQ829" s="408">
        <v>0</v>
      </c>
      <c r="ER829" s="408">
        <v>0</v>
      </c>
      <c r="ES829" s="408">
        <v>0</v>
      </c>
      <c r="ET829" s="408">
        <v>0</v>
      </c>
      <c r="EU829" s="408">
        <v>0</v>
      </c>
      <c r="EV829" s="408">
        <v>240</v>
      </c>
      <c r="EW829" s="408">
        <v>0</v>
      </c>
      <c r="EX829" s="408">
        <v>0</v>
      </c>
      <c r="EY829" s="408">
        <v>0</v>
      </c>
      <c r="EZ829" s="408"/>
      <c r="FA829" s="408">
        <v>0</v>
      </c>
      <c r="FB829" s="408"/>
      <c r="FC829" s="408"/>
      <c r="FD829" s="408"/>
      <c r="FE829" s="408"/>
      <c r="FF829" s="408">
        <v>0</v>
      </c>
      <c r="FG829" s="408">
        <v>0</v>
      </c>
      <c r="FH829" s="408">
        <v>0</v>
      </c>
      <c r="FI829" s="408">
        <v>0</v>
      </c>
    </row>
    <row r="830" spans="1:165">
      <c r="A830" s="408">
        <v>828</v>
      </c>
      <c r="B830" s="408" t="s">
        <v>1036</v>
      </c>
      <c r="C830" s="408" t="s">
        <v>2247</v>
      </c>
      <c r="D830" s="408" t="s">
        <v>597</v>
      </c>
      <c r="E830" s="408" t="s">
        <v>970</v>
      </c>
      <c r="F830" s="408" t="s">
        <v>1322</v>
      </c>
      <c r="G830" s="408" t="s">
        <v>2318</v>
      </c>
      <c r="H830" s="408" t="s">
        <v>1322</v>
      </c>
      <c r="I830" s="408" t="s">
        <v>973</v>
      </c>
      <c r="J830" s="408" t="s">
        <v>2319</v>
      </c>
      <c r="K830" s="826">
        <v>44378</v>
      </c>
      <c r="L830" s="408">
        <v>2800</v>
      </c>
      <c r="M830" s="408">
        <v>1400</v>
      </c>
      <c r="N830" s="408">
        <v>0</v>
      </c>
      <c r="O830" s="408">
        <v>0</v>
      </c>
      <c r="P830" s="408">
        <v>0</v>
      </c>
      <c r="Q830" s="408">
        <v>0</v>
      </c>
      <c r="R830" s="408">
        <v>52.95</v>
      </c>
      <c r="S830" s="408"/>
      <c r="T830" s="408"/>
      <c r="U830" s="408">
        <v>148260</v>
      </c>
      <c r="V830" s="408"/>
      <c r="W830" s="408">
        <v>148260</v>
      </c>
      <c r="X830" s="408">
        <v>123900</v>
      </c>
      <c r="Y830" s="408">
        <v>0</v>
      </c>
      <c r="Z830" s="408">
        <v>0</v>
      </c>
      <c r="AA830" s="408">
        <v>0</v>
      </c>
      <c r="AB830" s="408">
        <v>0</v>
      </c>
      <c r="AC830" s="408">
        <v>2205.4655096799388</v>
      </c>
      <c r="AD830" s="408">
        <v>2118.9049083151963</v>
      </c>
      <c r="AE830" s="408">
        <v>117414.3991688962</v>
      </c>
      <c r="AF830" s="408"/>
      <c r="AG830" s="408"/>
      <c r="AH830" s="408"/>
      <c r="AI830" s="408">
        <v>0</v>
      </c>
      <c r="AJ830" s="408">
        <v>0</v>
      </c>
      <c r="AK830" s="408">
        <v>0</v>
      </c>
      <c r="AL830" s="408">
        <v>0</v>
      </c>
      <c r="AM830" s="408"/>
      <c r="AN830" s="408">
        <v>0</v>
      </c>
      <c r="AO830" s="408">
        <v>4681.7424714040681</v>
      </c>
      <c r="AP830" s="408">
        <v>21829.989761974604</v>
      </c>
      <c r="AQ830" s="408">
        <v>0</v>
      </c>
      <c r="AR830" s="408">
        <v>0</v>
      </c>
      <c r="AS830" s="408"/>
      <c r="AT830" s="408"/>
      <c r="AU830" s="408">
        <v>0</v>
      </c>
      <c r="AV830" s="408">
        <v>0</v>
      </c>
      <c r="AW830" s="408">
        <v>0</v>
      </c>
      <c r="AX830" s="408"/>
      <c r="AY830" s="408"/>
      <c r="AZ830" s="408">
        <v>0</v>
      </c>
      <c r="BA830" s="408"/>
      <c r="BB830" s="408">
        <v>0</v>
      </c>
      <c r="BC830" s="408">
        <v>0</v>
      </c>
      <c r="BD830" s="408">
        <v>0</v>
      </c>
      <c r="BE830" s="408">
        <v>0</v>
      </c>
      <c r="BF830" s="408"/>
      <c r="BG830" s="408">
        <v>0</v>
      </c>
      <c r="BH830" s="408">
        <v>0</v>
      </c>
      <c r="BI830" s="408">
        <v>0</v>
      </c>
      <c r="BJ830" s="408">
        <v>0</v>
      </c>
      <c r="BK830" s="408">
        <v>0</v>
      </c>
      <c r="BL830" s="408">
        <v>0</v>
      </c>
      <c r="BM830" s="408"/>
      <c r="BN830" s="408">
        <v>61950</v>
      </c>
      <c r="BO830" s="408"/>
      <c r="BP830" s="408"/>
      <c r="BQ830" s="408"/>
      <c r="BR830" s="408"/>
      <c r="BS830" s="408"/>
      <c r="BT830" s="408"/>
      <c r="BU830" s="408"/>
      <c r="BV830" s="408">
        <v>0</v>
      </c>
      <c r="BW830" s="408"/>
      <c r="BX830" s="408"/>
      <c r="BY830" s="408"/>
      <c r="BZ830" s="408"/>
      <c r="CA830" s="408"/>
      <c r="CB830" s="408"/>
      <c r="CC830" s="408"/>
      <c r="CD830" s="408"/>
      <c r="CE830" s="408"/>
      <c r="CF830" s="408"/>
      <c r="CG830" s="408"/>
      <c r="CH830" s="408"/>
      <c r="CI830" s="408">
        <v>61950</v>
      </c>
      <c r="CJ830" s="408">
        <v>-12180.029999999984</v>
      </c>
      <c r="CK830" s="408"/>
      <c r="CL830" s="408"/>
      <c r="CM830" s="408"/>
      <c r="CN830" s="408"/>
      <c r="CO830" s="408">
        <v>-24360.000000000007</v>
      </c>
      <c r="CP830" s="408">
        <v>0</v>
      </c>
      <c r="CQ830" s="408">
        <v>31</v>
      </c>
      <c r="CR830" s="408">
        <v>4823.6074336221172</v>
      </c>
      <c r="CS830" s="408">
        <v>466.52563031950376</v>
      </c>
      <c r="CT830" s="408">
        <v>2175.3118194301496</v>
      </c>
      <c r="CU830" s="408">
        <v>0</v>
      </c>
      <c r="CV830" s="408">
        <v>0</v>
      </c>
      <c r="CW830" s="408"/>
      <c r="CX830" s="408"/>
      <c r="CY830" s="408"/>
      <c r="CZ830" s="408">
        <v>2181.7699838724634</v>
      </c>
      <c r="DA830" s="408">
        <v>0</v>
      </c>
      <c r="DB830" s="408">
        <v>0</v>
      </c>
      <c r="DC830" s="408"/>
      <c r="DD830" s="408"/>
      <c r="DE830" s="408">
        <v>0</v>
      </c>
      <c r="DF830" s="408">
        <v>0</v>
      </c>
      <c r="DG830" s="408">
        <v>0</v>
      </c>
      <c r="DH830" s="408">
        <v>0</v>
      </c>
      <c r="DI830" s="408">
        <v>0</v>
      </c>
      <c r="DJ830" s="408"/>
      <c r="DK830" s="408">
        <v>0</v>
      </c>
      <c r="DL830" s="408">
        <v>0</v>
      </c>
      <c r="DM830" s="408"/>
      <c r="DN830" s="408">
        <v>0</v>
      </c>
      <c r="DO830" s="408">
        <v>0</v>
      </c>
      <c r="DP830" s="408">
        <v>0</v>
      </c>
      <c r="DQ830" s="408">
        <v>0</v>
      </c>
      <c r="DR830" s="408">
        <v>0</v>
      </c>
      <c r="DS830" s="408"/>
      <c r="DT830" s="408"/>
      <c r="DU830" s="408">
        <v>117414.3991688962</v>
      </c>
      <c r="DV830" s="408"/>
      <c r="DW830" s="408">
        <v>0</v>
      </c>
      <c r="DX830" s="408">
        <v>0</v>
      </c>
      <c r="DY830" s="408">
        <v>-24360</v>
      </c>
      <c r="DZ830" s="408"/>
      <c r="EA830" s="408">
        <v>0</v>
      </c>
      <c r="EB830" s="408"/>
      <c r="EC830" s="408">
        <v>-29167.728403063593</v>
      </c>
      <c r="ED830" s="408"/>
      <c r="EE830" s="408">
        <v>0</v>
      </c>
      <c r="EF830" s="408">
        <v>0</v>
      </c>
      <c r="EG830" s="408"/>
      <c r="EH830" s="408">
        <v>0</v>
      </c>
      <c r="EI830" s="408">
        <v>0</v>
      </c>
      <c r="EJ830" s="408">
        <v>0</v>
      </c>
      <c r="EK830" s="408">
        <v>0</v>
      </c>
      <c r="EL830" s="408">
        <v>0</v>
      </c>
      <c r="EM830" s="408"/>
      <c r="EN830" s="408"/>
      <c r="EO830" s="408">
        <v>0</v>
      </c>
      <c r="EP830" s="408">
        <v>0</v>
      </c>
      <c r="EQ830" s="408"/>
      <c r="ER830" s="408">
        <v>0</v>
      </c>
      <c r="ES830" s="408"/>
      <c r="ET830" s="408">
        <v>0</v>
      </c>
      <c r="EU830" s="408"/>
      <c r="EV830" s="408">
        <v>240</v>
      </c>
      <c r="EW830" s="408"/>
      <c r="EX830" s="408"/>
      <c r="EY830" s="408"/>
      <c r="EZ830" s="408"/>
      <c r="FA830" s="408">
        <v>0</v>
      </c>
      <c r="FB830" s="408"/>
      <c r="FC830" s="408"/>
      <c r="FD830" s="408"/>
      <c r="FE830" s="408"/>
      <c r="FF830" s="408">
        <v>0</v>
      </c>
      <c r="FG830" s="408">
        <v>0</v>
      </c>
      <c r="FH830" s="408">
        <v>0</v>
      </c>
      <c r="FI830" s="408">
        <v>0</v>
      </c>
    </row>
    <row r="831" spans="1:165">
      <c r="A831" s="408">
        <v>829</v>
      </c>
      <c r="B831" s="408" t="s">
        <v>1036</v>
      </c>
      <c r="C831" s="408" t="s">
        <v>2247</v>
      </c>
      <c r="D831" s="408" t="s">
        <v>597</v>
      </c>
      <c r="E831" s="408" t="s">
        <v>970</v>
      </c>
      <c r="F831" s="408" t="s">
        <v>1322</v>
      </c>
      <c r="G831" s="408" t="s">
        <v>2318</v>
      </c>
      <c r="H831" s="408" t="s">
        <v>1322</v>
      </c>
      <c r="I831" s="408" t="s">
        <v>2244</v>
      </c>
      <c r="J831" s="408" t="s">
        <v>2319</v>
      </c>
      <c r="K831" s="826">
        <v>44378</v>
      </c>
      <c r="L831" s="408">
        <v>3200</v>
      </c>
      <c r="M831" s="408">
        <v>1600</v>
      </c>
      <c r="N831" s="408">
        <v>0</v>
      </c>
      <c r="O831" s="408">
        <v>0</v>
      </c>
      <c r="P831" s="408">
        <v>0</v>
      </c>
      <c r="Q831" s="408">
        <v>0</v>
      </c>
      <c r="R831" s="408">
        <v>27.19</v>
      </c>
      <c r="S831" s="408"/>
      <c r="T831" s="408"/>
      <c r="U831" s="408">
        <v>87008</v>
      </c>
      <c r="V831" s="408"/>
      <c r="W831" s="408">
        <v>87008</v>
      </c>
      <c r="X831" s="408">
        <v>69632</v>
      </c>
      <c r="Y831" s="408">
        <v>0</v>
      </c>
      <c r="Z831" s="408">
        <v>0</v>
      </c>
      <c r="AA831" s="408">
        <v>0</v>
      </c>
      <c r="AB831" s="408">
        <v>0</v>
      </c>
      <c r="AC831" s="408">
        <v>746.2419629682048</v>
      </c>
      <c r="AD831" s="408">
        <v>716.91148598535688</v>
      </c>
      <c r="AE831" s="408">
        <v>76582.496778110391</v>
      </c>
      <c r="AF831" s="408"/>
      <c r="AG831" s="408"/>
      <c r="AH831" s="408"/>
      <c r="AI831" s="408">
        <v>0</v>
      </c>
      <c r="AJ831" s="408">
        <v>0</v>
      </c>
      <c r="AK831" s="408">
        <v>0</v>
      </c>
      <c r="AL831" s="408">
        <v>0</v>
      </c>
      <c r="AM831" s="408"/>
      <c r="AN831" s="408">
        <v>0</v>
      </c>
      <c r="AO831" s="408">
        <v>1583.6314594894848</v>
      </c>
      <c r="AP831" s="408">
        <v>7385.8842976367687</v>
      </c>
      <c r="AQ831" s="408">
        <v>0</v>
      </c>
      <c r="AR831" s="408">
        <v>0</v>
      </c>
      <c r="AS831" s="408"/>
      <c r="AT831" s="408"/>
      <c r="AU831" s="408">
        <v>0</v>
      </c>
      <c r="AV831" s="408">
        <v>0</v>
      </c>
      <c r="AW831" s="408">
        <v>0</v>
      </c>
      <c r="AX831" s="408"/>
      <c r="AY831" s="408"/>
      <c r="AZ831" s="408">
        <v>0</v>
      </c>
      <c r="BA831" s="408"/>
      <c r="BB831" s="408">
        <v>0</v>
      </c>
      <c r="BC831" s="408">
        <v>0</v>
      </c>
      <c r="BD831" s="408">
        <v>0</v>
      </c>
      <c r="BE831" s="408">
        <v>0</v>
      </c>
      <c r="BF831" s="408"/>
      <c r="BG831" s="408">
        <v>0</v>
      </c>
      <c r="BH831" s="408">
        <v>0</v>
      </c>
      <c r="BI831" s="408">
        <v>0</v>
      </c>
      <c r="BJ831" s="408">
        <v>0</v>
      </c>
      <c r="BK831" s="408">
        <v>0</v>
      </c>
      <c r="BL831" s="408">
        <v>0</v>
      </c>
      <c r="BM831" s="408"/>
      <c r="BN831" s="408">
        <v>34816</v>
      </c>
      <c r="BO831" s="408"/>
      <c r="BP831" s="408"/>
      <c r="BQ831" s="408"/>
      <c r="BR831" s="408"/>
      <c r="BS831" s="408"/>
      <c r="BT831" s="408"/>
      <c r="BU831" s="408"/>
      <c r="BV831" s="408">
        <v>0</v>
      </c>
      <c r="BW831" s="408"/>
      <c r="BX831" s="408"/>
      <c r="BY831" s="408"/>
      <c r="BZ831" s="408"/>
      <c r="CA831" s="408"/>
      <c r="CB831" s="408"/>
      <c r="CC831" s="408"/>
      <c r="CD831" s="408"/>
      <c r="CE831" s="408"/>
      <c r="CF831" s="408"/>
      <c r="CG831" s="408"/>
      <c r="CH831" s="408"/>
      <c r="CI831" s="408">
        <v>34816</v>
      </c>
      <c r="CJ831" s="408">
        <v>-8688.0300000000061</v>
      </c>
      <c r="CK831" s="408"/>
      <c r="CL831" s="408"/>
      <c r="CM831" s="408"/>
      <c r="CN831" s="408"/>
      <c r="CO831" s="408">
        <v>-17376</v>
      </c>
      <c r="CP831" s="408">
        <v>0</v>
      </c>
      <c r="CQ831" s="408">
        <v>31</v>
      </c>
      <c r="CR831" s="408">
        <v>1631.9743646035349</v>
      </c>
      <c r="CS831" s="408">
        <v>157.8054900167424</v>
      </c>
      <c r="CT831" s="408">
        <v>735.9875833555825</v>
      </c>
      <c r="CU831" s="408">
        <v>0</v>
      </c>
      <c r="CV831" s="408">
        <v>0</v>
      </c>
      <c r="CW831" s="408"/>
      <c r="CX831" s="408"/>
      <c r="CY831" s="408"/>
      <c r="CZ831" s="408">
        <v>738.18129123120957</v>
      </c>
      <c r="DA831" s="408">
        <v>0</v>
      </c>
      <c r="DB831" s="408">
        <v>0</v>
      </c>
      <c r="DC831" s="408"/>
      <c r="DD831" s="408"/>
      <c r="DE831" s="408">
        <v>0</v>
      </c>
      <c r="DF831" s="408">
        <v>0</v>
      </c>
      <c r="DG831" s="408">
        <v>0</v>
      </c>
      <c r="DH831" s="408">
        <v>0</v>
      </c>
      <c r="DI831" s="408">
        <v>0</v>
      </c>
      <c r="DJ831" s="408"/>
      <c r="DK831" s="408">
        <v>0</v>
      </c>
      <c r="DL831" s="408">
        <v>0</v>
      </c>
      <c r="DM831" s="408"/>
      <c r="DN831" s="408">
        <v>0</v>
      </c>
      <c r="DO831" s="408">
        <v>0</v>
      </c>
      <c r="DP831" s="408">
        <v>0</v>
      </c>
      <c r="DQ831" s="408">
        <v>0</v>
      </c>
      <c r="DR831" s="408">
        <v>0</v>
      </c>
      <c r="DS831" s="408"/>
      <c r="DT831" s="408"/>
      <c r="DU831" s="408">
        <v>76582.496778110391</v>
      </c>
      <c r="DV831" s="408"/>
      <c r="DW831" s="408">
        <v>0</v>
      </c>
      <c r="DX831" s="408">
        <v>0</v>
      </c>
      <c r="DY831" s="408">
        <v>-17376</v>
      </c>
      <c r="DZ831" s="408"/>
      <c r="EA831" s="408">
        <v>0</v>
      </c>
      <c r="EB831" s="408"/>
      <c r="EC831" s="408">
        <v>-19024.391235348157</v>
      </c>
      <c r="ED831" s="408"/>
      <c r="EE831" s="408">
        <v>0</v>
      </c>
      <c r="EF831" s="408">
        <v>0</v>
      </c>
      <c r="EG831" s="408"/>
      <c r="EH831" s="408">
        <v>0</v>
      </c>
      <c r="EI831" s="408">
        <v>0</v>
      </c>
      <c r="EJ831" s="408">
        <v>0</v>
      </c>
      <c r="EK831" s="408">
        <v>0</v>
      </c>
      <c r="EL831" s="408">
        <v>0</v>
      </c>
      <c r="EM831" s="408"/>
      <c r="EN831" s="408"/>
      <c r="EO831" s="408">
        <v>0</v>
      </c>
      <c r="EP831" s="408">
        <v>0</v>
      </c>
      <c r="EQ831" s="408"/>
      <c r="ER831" s="408">
        <v>0</v>
      </c>
      <c r="ES831" s="408"/>
      <c r="ET831" s="408">
        <v>0</v>
      </c>
      <c r="EU831" s="408"/>
      <c r="EV831" s="408">
        <v>240</v>
      </c>
      <c r="EW831" s="408"/>
      <c r="EX831" s="408"/>
      <c r="EY831" s="408"/>
      <c r="EZ831" s="408"/>
      <c r="FA831" s="408">
        <v>0</v>
      </c>
      <c r="FB831" s="408"/>
      <c r="FC831" s="408"/>
      <c r="FD831" s="408"/>
      <c r="FE831" s="408"/>
      <c r="FF831" s="408">
        <v>0</v>
      </c>
      <c r="FG831" s="408">
        <v>0</v>
      </c>
      <c r="FH831" s="408">
        <v>0</v>
      </c>
      <c r="FI831" s="408">
        <v>0</v>
      </c>
    </row>
    <row r="832" spans="1:165">
      <c r="A832" s="408">
        <v>830</v>
      </c>
      <c r="B832" s="408" t="s">
        <v>1036</v>
      </c>
      <c r="C832" s="408" t="s">
        <v>2247</v>
      </c>
      <c r="D832" s="408" t="s">
        <v>597</v>
      </c>
      <c r="E832" s="408" t="s">
        <v>970</v>
      </c>
      <c r="F832" s="408" t="s">
        <v>1322</v>
      </c>
      <c r="G832" s="408" t="s">
        <v>2318</v>
      </c>
      <c r="H832" s="408" t="s">
        <v>1322</v>
      </c>
      <c r="I832" s="408" t="s">
        <v>1322</v>
      </c>
      <c r="J832" s="408" t="s">
        <v>2319</v>
      </c>
      <c r="K832" s="826">
        <v>44378</v>
      </c>
      <c r="L832" s="408">
        <v>0</v>
      </c>
      <c r="M832" s="408">
        <v>0</v>
      </c>
      <c r="N832" s="408">
        <v>1272.365</v>
      </c>
      <c r="O832" s="408">
        <v>1272.365</v>
      </c>
      <c r="P832" s="408">
        <v>0</v>
      </c>
      <c r="Q832" s="408">
        <v>0</v>
      </c>
      <c r="R832" s="408"/>
      <c r="S832" s="408">
        <v>85.01</v>
      </c>
      <c r="T832" s="408"/>
      <c r="U832" s="408"/>
      <c r="V832" s="408">
        <v>108163.74865000001</v>
      </c>
      <c r="W832" s="408">
        <v>108163.74865000001</v>
      </c>
      <c r="X832" s="408">
        <v>106662.35795000001</v>
      </c>
      <c r="Y832" s="408">
        <v>0</v>
      </c>
      <c r="Z832" s="408">
        <v>68127.905208676166</v>
      </c>
      <c r="AA832" s="408">
        <v>0</v>
      </c>
      <c r="AB832" s="408">
        <v>0</v>
      </c>
      <c r="AC832" s="408">
        <v>0</v>
      </c>
      <c r="AD832" s="408">
        <v>0</v>
      </c>
      <c r="AE832" s="408">
        <v>0</v>
      </c>
      <c r="AF832" s="408"/>
      <c r="AG832" s="408"/>
      <c r="AH832" s="408"/>
      <c r="AI832" s="408">
        <v>0</v>
      </c>
      <c r="AJ832" s="408">
        <v>0</v>
      </c>
      <c r="AK832" s="408">
        <v>0</v>
      </c>
      <c r="AL832" s="408">
        <v>12098.957308809146</v>
      </c>
      <c r="AM832" s="408"/>
      <c r="AN832" s="408">
        <v>1018.9274854172741</v>
      </c>
      <c r="AO832" s="408">
        <v>0</v>
      </c>
      <c r="AP832" s="408">
        <v>0</v>
      </c>
      <c r="AQ832" s="408">
        <v>0</v>
      </c>
      <c r="AR832" s="408">
        <v>0</v>
      </c>
      <c r="AS832" s="408"/>
      <c r="AT832" s="408"/>
      <c r="AU832" s="408">
        <v>0</v>
      </c>
      <c r="AV832" s="408">
        <v>0</v>
      </c>
      <c r="AW832" s="408">
        <v>0</v>
      </c>
      <c r="AX832" s="408"/>
      <c r="AY832" s="408"/>
      <c r="AZ832" s="408">
        <v>0</v>
      </c>
      <c r="BA832" s="408"/>
      <c r="BB832" s="408">
        <v>0</v>
      </c>
      <c r="BC832" s="408">
        <v>0</v>
      </c>
      <c r="BD832" s="408">
        <v>0</v>
      </c>
      <c r="BE832" s="408">
        <v>0</v>
      </c>
      <c r="BF832" s="408"/>
      <c r="BG832" s="408">
        <v>9515.5808832353086</v>
      </c>
      <c r="BH832" s="408">
        <v>0</v>
      </c>
      <c r="BI832" s="408">
        <v>1323.29</v>
      </c>
      <c r="BJ832" s="408">
        <v>0</v>
      </c>
      <c r="BK832" s="408">
        <v>40166.46</v>
      </c>
      <c r="BL832" s="408">
        <v>1</v>
      </c>
      <c r="BM832" s="408"/>
      <c r="BN832" s="408"/>
      <c r="BO832" s="408"/>
      <c r="BP832" s="408"/>
      <c r="BQ832" s="408"/>
      <c r="BR832" s="408"/>
      <c r="BS832" s="408"/>
      <c r="BT832" s="408"/>
      <c r="BU832" s="408"/>
      <c r="BV832" s="408">
        <v>9515.5808832353086</v>
      </c>
      <c r="BW832" s="408"/>
      <c r="BX832" s="408"/>
      <c r="BY832" s="408"/>
      <c r="BZ832" s="408"/>
      <c r="CA832" s="408"/>
      <c r="CB832" s="408"/>
      <c r="CC832" s="408"/>
      <c r="CD832" s="408"/>
      <c r="CE832" s="408"/>
      <c r="CF832" s="408"/>
      <c r="CG832" s="408"/>
      <c r="CH832" s="408"/>
      <c r="CI832" s="408">
        <v>106662.77709999999</v>
      </c>
      <c r="CJ832" s="408">
        <v>-1501.0015500000009</v>
      </c>
      <c r="CK832" s="408"/>
      <c r="CL832" s="408"/>
      <c r="CM832" s="408"/>
      <c r="CN832" s="408"/>
      <c r="CO832" s="408">
        <v>-1501.3907000000088</v>
      </c>
      <c r="CP832" s="408">
        <v>0</v>
      </c>
      <c r="CQ832" s="408">
        <v>31</v>
      </c>
      <c r="CR832" s="408">
        <v>-1501.9754356416524</v>
      </c>
      <c r="CS832" s="408">
        <v>0</v>
      </c>
      <c r="CT832" s="408">
        <v>0</v>
      </c>
      <c r="CU832" s="408">
        <v>0</v>
      </c>
      <c r="CV832" s="408">
        <v>0</v>
      </c>
      <c r="CW832" s="408"/>
      <c r="CX832" s="408"/>
      <c r="CY832" s="408"/>
      <c r="CZ832" s="408">
        <v>0</v>
      </c>
      <c r="DA832" s="408">
        <v>0</v>
      </c>
      <c r="DB832" s="408">
        <v>0</v>
      </c>
      <c r="DC832" s="408"/>
      <c r="DD832" s="408"/>
      <c r="DE832" s="408">
        <v>0</v>
      </c>
      <c r="DF832" s="408">
        <v>0</v>
      </c>
      <c r="DG832" s="408">
        <v>1205.9271354722678</v>
      </c>
      <c r="DH832" s="408">
        <v>0</v>
      </c>
      <c r="DI832" s="408">
        <v>-2313.4080764041573</v>
      </c>
      <c r="DJ832" s="408"/>
      <c r="DK832" s="408">
        <v>0</v>
      </c>
      <c r="DL832" s="408">
        <v>0</v>
      </c>
      <c r="DM832" s="408"/>
      <c r="DN832" s="408">
        <v>0</v>
      </c>
      <c r="DO832" s="408">
        <v>-365.66757921053613</v>
      </c>
      <c r="DP832" s="408">
        <v>-28.826915499241977</v>
      </c>
      <c r="DQ832" s="408">
        <v>0</v>
      </c>
      <c r="DR832" s="408">
        <v>0</v>
      </c>
      <c r="DS832" s="408"/>
      <c r="DT832" s="408"/>
      <c r="DU832" s="408"/>
      <c r="DV832" s="408">
        <v>0</v>
      </c>
      <c r="DW832" s="408">
        <v>0</v>
      </c>
      <c r="DX832" s="408">
        <v>0</v>
      </c>
      <c r="DY832" s="408">
        <v>-1501.3907000000036</v>
      </c>
      <c r="DZ832" s="408"/>
      <c r="EA832" s="408">
        <v>0</v>
      </c>
      <c r="EB832" s="408"/>
      <c r="EC832" s="408">
        <v>0</v>
      </c>
      <c r="ED832" s="408"/>
      <c r="EE832" s="408">
        <v>0</v>
      </c>
      <c r="EF832" s="408">
        <v>0</v>
      </c>
      <c r="EG832" s="408"/>
      <c r="EH832" s="408">
        <v>0</v>
      </c>
      <c r="EI832" s="408">
        <v>0</v>
      </c>
      <c r="EJ832" s="408">
        <v>0</v>
      </c>
      <c r="EK832" s="408">
        <v>0</v>
      </c>
      <c r="EL832" s="408">
        <v>0</v>
      </c>
      <c r="EM832" s="408"/>
      <c r="EN832" s="408"/>
      <c r="EO832" s="408">
        <v>0</v>
      </c>
      <c r="EP832" s="408">
        <v>17398.65192418265</v>
      </c>
      <c r="EQ832" s="408"/>
      <c r="ER832" s="408">
        <v>0</v>
      </c>
      <c r="ES832" s="408"/>
      <c r="ET832" s="408">
        <v>0</v>
      </c>
      <c r="EU832" s="408"/>
      <c r="EV832" s="408">
        <v>240</v>
      </c>
      <c r="EW832" s="408"/>
      <c r="EX832" s="408"/>
      <c r="EY832" s="408"/>
      <c r="EZ832" s="408"/>
      <c r="FA832" s="408">
        <v>0</v>
      </c>
      <c r="FB832" s="408"/>
      <c r="FC832" s="408"/>
      <c r="FD832" s="408"/>
      <c r="FE832" s="408"/>
      <c r="FF832" s="408">
        <v>0</v>
      </c>
      <c r="FG832" s="408">
        <v>0</v>
      </c>
      <c r="FH832" s="408">
        <v>0</v>
      </c>
      <c r="FI832" s="408">
        <v>0</v>
      </c>
    </row>
    <row r="833" spans="1:165">
      <c r="A833" s="408">
        <v>831</v>
      </c>
      <c r="B833" s="408" t="s">
        <v>1036</v>
      </c>
      <c r="C833" s="408" t="s">
        <v>2243</v>
      </c>
      <c r="D833" s="408" t="s">
        <v>597</v>
      </c>
      <c r="E833" s="408" t="s">
        <v>970</v>
      </c>
      <c r="F833" s="408" t="s">
        <v>1322</v>
      </c>
      <c r="G833" s="408" t="s">
        <v>2318</v>
      </c>
      <c r="H833" s="408" t="s">
        <v>1322</v>
      </c>
      <c r="I833" s="408" t="s">
        <v>973</v>
      </c>
      <c r="J833" s="408" t="s">
        <v>2319</v>
      </c>
      <c r="K833" s="826">
        <v>44378</v>
      </c>
      <c r="L833" s="408">
        <v>0</v>
      </c>
      <c r="M833" s="408">
        <v>0</v>
      </c>
      <c r="N833" s="408">
        <v>21.241</v>
      </c>
      <c r="O833" s="408">
        <v>10.17974309011</v>
      </c>
      <c r="P833" s="408">
        <v>0</v>
      </c>
      <c r="Q833" s="408">
        <v>0</v>
      </c>
      <c r="R833" s="408"/>
      <c r="S833" s="408">
        <v>1358.36</v>
      </c>
      <c r="T833" s="408"/>
      <c r="U833" s="408"/>
      <c r="V833" s="408">
        <v>28852.924759999998</v>
      </c>
      <c r="W833" s="408">
        <v>28852.924759999998</v>
      </c>
      <c r="X833" s="408">
        <v>24386.367279999999</v>
      </c>
      <c r="Y833" s="408">
        <v>0</v>
      </c>
      <c r="Z833" s="408">
        <v>1137.3346756139083</v>
      </c>
      <c r="AA833" s="408">
        <v>0</v>
      </c>
      <c r="AB833" s="408">
        <v>0</v>
      </c>
      <c r="AC833" s="408">
        <v>402.34889833514779</v>
      </c>
      <c r="AD833" s="408">
        <v>386.56826186004878</v>
      </c>
      <c r="AE833" s="408">
        <v>21421.712412556444</v>
      </c>
      <c r="AF833" s="408"/>
      <c r="AG833" s="408"/>
      <c r="AH833" s="408"/>
      <c r="AI833" s="408">
        <v>0</v>
      </c>
      <c r="AJ833" s="408">
        <v>0</v>
      </c>
      <c r="AK833" s="408">
        <v>0</v>
      </c>
      <c r="AL833" s="408">
        <v>201.98131212066903</v>
      </c>
      <c r="AM833" s="408"/>
      <c r="AN833" s="408">
        <v>17.010086506425687</v>
      </c>
      <c r="AO833" s="408">
        <v>854.11807420979699</v>
      </c>
      <c r="AP833" s="408">
        <v>3982.6046851331344</v>
      </c>
      <c r="AQ833" s="408">
        <v>0</v>
      </c>
      <c r="AR833" s="408">
        <v>0</v>
      </c>
      <c r="AS833" s="408"/>
      <c r="AT833" s="408"/>
      <c r="AU833" s="408">
        <v>0</v>
      </c>
      <c r="AV833" s="408">
        <v>0</v>
      </c>
      <c r="AW833" s="408">
        <v>0</v>
      </c>
      <c r="AX833" s="408"/>
      <c r="AY833" s="408"/>
      <c r="AZ833" s="408">
        <v>0</v>
      </c>
      <c r="BA833" s="408"/>
      <c r="BB833" s="408">
        <v>0</v>
      </c>
      <c r="BC833" s="408">
        <v>0</v>
      </c>
      <c r="BD833" s="408">
        <v>0</v>
      </c>
      <c r="BE833" s="408">
        <v>0</v>
      </c>
      <c r="BF833" s="408"/>
      <c r="BG833" s="408">
        <v>158.85414447961173</v>
      </c>
      <c r="BH833" s="408">
        <v>0</v>
      </c>
      <c r="BI833" s="408">
        <v>0</v>
      </c>
      <c r="BJ833" s="408">
        <v>0</v>
      </c>
      <c r="BK833" s="408">
        <v>0</v>
      </c>
      <c r="BL833" s="408">
        <v>0</v>
      </c>
      <c r="BM833" s="408"/>
      <c r="BN833" s="408">
        <v>12699.207833106509</v>
      </c>
      <c r="BO833" s="408"/>
      <c r="BP833" s="408"/>
      <c r="BQ833" s="408"/>
      <c r="BR833" s="408"/>
      <c r="BS833" s="408"/>
      <c r="BT833" s="408"/>
      <c r="BU833" s="408"/>
      <c r="BV833" s="408">
        <v>158.85414447961173</v>
      </c>
      <c r="BW833" s="408"/>
      <c r="BX833" s="408"/>
      <c r="BY833" s="408"/>
      <c r="BZ833" s="408"/>
      <c r="CA833" s="408"/>
      <c r="CB833" s="408"/>
      <c r="CC833" s="408"/>
      <c r="CD833" s="408"/>
      <c r="CE833" s="408"/>
      <c r="CF833" s="408"/>
      <c r="CG833" s="408"/>
      <c r="CH833" s="408"/>
      <c r="CI833" s="408">
        <v>11687.454399999999</v>
      </c>
      <c r="CJ833" s="408">
        <v>-2140.3314238818202</v>
      </c>
      <c r="CK833" s="408"/>
      <c r="CL833" s="408"/>
      <c r="CM833" s="408"/>
      <c r="CN833" s="408"/>
      <c r="CO833" s="408">
        <v>-4466.5574799999995</v>
      </c>
      <c r="CP833" s="408">
        <v>0</v>
      </c>
      <c r="CQ833" s="408">
        <v>31</v>
      </c>
      <c r="CR833" s="408">
        <v>854.93216844064591</v>
      </c>
      <c r="CS833" s="408">
        <v>85.11104046662615</v>
      </c>
      <c r="CT833" s="408">
        <v>396.85804428451002</v>
      </c>
      <c r="CU833" s="408">
        <v>0</v>
      </c>
      <c r="CV833" s="408">
        <v>0</v>
      </c>
      <c r="CW833" s="408"/>
      <c r="CX833" s="408"/>
      <c r="CY833" s="408"/>
      <c r="CZ833" s="408">
        <v>398.03722533005009</v>
      </c>
      <c r="DA833" s="408">
        <v>0</v>
      </c>
      <c r="DB833" s="408">
        <v>0</v>
      </c>
      <c r="DC833" s="408"/>
      <c r="DD833" s="408"/>
      <c r="DE833" s="408">
        <v>0</v>
      </c>
      <c r="DF833" s="408">
        <v>0</v>
      </c>
      <c r="DG833" s="408">
        <v>20.131879047731161</v>
      </c>
      <c r="DH833" s="408">
        <v>0</v>
      </c>
      <c r="DI833" s="408">
        <v>-38.620286592998582</v>
      </c>
      <c r="DJ833" s="408"/>
      <c r="DK833" s="408">
        <v>0</v>
      </c>
      <c r="DL833" s="408">
        <v>0</v>
      </c>
      <c r="DM833" s="408"/>
      <c r="DN833" s="408">
        <v>0</v>
      </c>
      <c r="DO833" s="408">
        <v>-6.1044944257434111</v>
      </c>
      <c r="DP833" s="408">
        <v>-0.4812396695283212</v>
      </c>
      <c r="DQ833" s="408">
        <v>0</v>
      </c>
      <c r="DR833" s="408">
        <v>0</v>
      </c>
      <c r="DS833" s="408"/>
      <c r="DT833" s="408"/>
      <c r="DU833" s="408"/>
      <c r="DV833" s="408">
        <v>21421.712412556444</v>
      </c>
      <c r="DW833" s="408">
        <v>0</v>
      </c>
      <c r="DX833" s="408">
        <v>0</v>
      </c>
      <c r="DY833" s="408">
        <v>-4466.5574799999995</v>
      </c>
      <c r="DZ833" s="408"/>
      <c r="EA833" s="408">
        <v>0</v>
      </c>
      <c r="EB833" s="408"/>
      <c r="EC833" s="408">
        <v>-5321.5167304923652</v>
      </c>
      <c r="ED833" s="408"/>
      <c r="EE833" s="408">
        <v>0</v>
      </c>
      <c r="EF833" s="408">
        <v>0</v>
      </c>
      <c r="EG833" s="408"/>
      <c r="EH833" s="408">
        <v>0</v>
      </c>
      <c r="EI833" s="408">
        <v>0</v>
      </c>
      <c r="EJ833" s="408">
        <v>0</v>
      </c>
      <c r="EK833" s="408">
        <v>0</v>
      </c>
      <c r="EL833" s="408">
        <v>0</v>
      </c>
      <c r="EM833" s="408"/>
      <c r="EN833" s="408"/>
      <c r="EO833" s="408">
        <v>0</v>
      </c>
      <c r="EP833" s="408">
        <v>290.45499170565336</v>
      </c>
      <c r="EQ833" s="408"/>
      <c r="ER833" s="408">
        <v>0</v>
      </c>
      <c r="ES833" s="408"/>
      <c r="ET833" s="408">
        <v>0</v>
      </c>
      <c r="EU833" s="408"/>
      <c r="EV833" s="408">
        <v>240</v>
      </c>
      <c r="EW833" s="408"/>
      <c r="EX833" s="408"/>
      <c r="EY833" s="408"/>
      <c r="EZ833" s="408"/>
      <c r="FA833" s="408">
        <v>0</v>
      </c>
      <c r="FB833" s="408"/>
      <c r="FC833" s="408"/>
      <c r="FD833" s="408"/>
      <c r="FE833" s="408"/>
      <c r="FF833" s="408">
        <v>0</v>
      </c>
      <c r="FG833" s="408">
        <v>0</v>
      </c>
      <c r="FH833" s="408">
        <v>0</v>
      </c>
      <c r="FI833" s="408">
        <v>0</v>
      </c>
    </row>
    <row r="834" spans="1:165">
      <c r="A834" s="408">
        <v>832</v>
      </c>
      <c r="B834" s="408" t="s">
        <v>1036</v>
      </c>
      <c r="C834" s="408" t="s">
        <v>2243</v>
      </c>
      <c r="D834" s="408" t="s">
        <v>597</v>
      </c>
      <c r="E834" s="408" t="s">
        <v>970</v>
      </c>
      <c r="F834" s="408" t="s">
        <v>1322</v>
      </c>
      <c r="G834" s="408" t="s">
        <v>2318</v>
      </c>
      <c r="H834" s="408" t="s">
        <v>1322</v>
      </c>
      <c r="I834" s="408" t="s">
        <v>2244</v>
      </c>
      <c r="J834" s="408" t="s">
        <v>2319</v>
      </c>
      <c r="K834" s="826">
        <v>44378</v>
      </c>
      <c r="L834" s="408">
        <v>0</v>
      </c>
      <c r="M834" s="408">
        <v>0</v>
      </c>
      <c r="N834" s="408">
        <v>230.38300000000001</v>
      </c>
      <c r="O834" s="408">
        <v>230.38300000000001</v>
      </c>
      <c r="P834" s="408">
        <v>0</v>
      </c>
      <c r="Q834" s="408">
        <v>0</v>
      </c>
      <c r="R834" s="408"/>
      <c r="S834" s="408">
        <v>85.01</v>
      </c>
      <c r="T834" s="408"/>
      <c r="U834" s="408"/>
      <c r="V834" s="408">
        <v>19584.858830000001</v>
      </c>
      <c r="W834" s="408">
        <v>19584.858830000001</v>
      </c>
      <c r="X834" s="408">
        <v>19313.006890000001</v>
      </c>
      <c r="Y834" s="408">
        <v>0</v>
      </c>
      <c r="Z834" s="408">
        <v>12335.698628687869</v>
      </c>
      <c r="AA834" s="408">
        <v>0</v>
      </c>
      <c r="AB834" s="408">
        <v>0</v>
      </c>
      <c r="AC834" s="408">
        <v>0</v>
      </c>
      <c r="AD834" s="408">
        <v>0</v>
      </c>
      <c r="AE834" s="408">
        <v>0</v>
      </c>
      <c r="AF834" s="408"/>
      <c r="AG834" s="408"/>
      <c r="AH834" s="408"/>
      <c r="AI834" s="408">
        <v>0</v>
      </c>
      <c r="AJ834" s="408">
        <v>0</v>
      </c>
      <c r="AK834" s="408">
        <v>0</v>
      </c>
      <c r="AL834" s="408">
        <v>2190.7189223810601</v>
      </c>
      <c r="AM834" s="408"/>
      <c r="AN834" s="408">
        <v>184.49389198295131</v>
      </c>
      <c r="AO834" s="408">
        <v>0</v>
      </c>
      <c r="AP834" s="408">
        <v>0</v>
      </c>
      <c r="AQ834" s="408">
        <v>0</v>
      </c>
      <c r="AR834" s="408">
        <v>0</v>
      </c>
      <c r="AS834" s="408"/>
      <c r="AT834" s="408"/>
      <c r="AU834" s="408">
        <v>0</v>
      </c>
      <c r="AV834" s="408">
        <v>0</v>
      </c>
      <c r="AW834" s="408">
        <v>0</v>
      </c>
      <c r="AX834" s="408"/>
      <c r="AY834" s="408"/>
      <c r="AZ834" s="408">
        <v>0</v>
      </c>
      <c r="BA834" s="408"/>
      <c r="BB834" s="408">
        <v>0</v>
      </c>
      <c r="BC834" s="408">
        <v>0</v>
      </c>
      <c r="BD834" s="408">
        <v>0</v>
      </c>
      <c r="BE834" s="408">
        <v>0</v>
      </c>
      <c r="BF834" s="408"/>
      <c r="BG834" s="408">
        <v>1722.9553395624687</v>
      </c>
      <c r="BH834" s="408">
        <v>0</v>
      </c>
      <c r="BI834" s="408">
        <v>0</v>
      </c>
      <c r="BJ834" s="408">
        <v>0</v>
      </c>
      <c r="BK834" s="408">
        <v>0</v>
      </c>
      <c r="BL834" s="408">
        <v>0</v>
      </c>
      <c r="BM834" s="408"/>
      <c r="BN834" s="408"/>
      <c r="BO834" s="408"/>
      <c r="BP834" s="408"/>
      <c r="BQ834" s="408"/>
      <c r="BR834" s="408"/>
      <c r="BS834" s="408"/>
      <c r="BT834" s="408"/>
      <c r="BU834" s="408"/>
      <c r="BV834" s="408">
        <v>1722.9553395624687</v>
      </c>
      <c r="BW834" s="408"/>
      <c r="BX834" s="408"/>
      <c r="BY834" s="408"/>
      <c r="BZ834" s="408"/>
      <c r="CA834" s="408"/>
      <c r="CB834" s="408"/>
      <c r="CC834" s="408"/>
      <c r="CD834" s="408"/>
      <c r="CE834" s="408"/>
      <c r="CF834" s="408"/>
      <c r="CG834" s="408"/>
      <c r="CH834" s="408"/>
      <c r="CI834" s="408">
        <v>19312.755399999998</v>
      </c>
      <c r="CJ834" s="408">
        <v>-272.13342999999804</v>
      </c>
      <c r="CK834" s="408"/>
      <c r="CL834" s="408"/>
      <c r="CM834" s="408"/>
      <c r="CN834" s="408"/>
      <c r="CO834" s="408">
        <v>-271.8519400000016</v>
      </c>
      <c r="CP834" s="408">
        <v>0</v>
      </c>
      <c r="CQ834" s="408">
        <v>31</v>
      </c>
      <c r="CR834" s="408">
        <v>-271.95781618437468</v>
      </c>
      <c r="CS834" s="408">
        <v>0</v>
      </c>
      <c r="CT834" s="408">
        <v>0</v>
      </c>
      <c r="CU834" s="408">
        <v>0</v>
      </c>
      <c r="CV834" s="408">
        <v>0</v>
      </c>
      <c r="CW834" s="408"/>
      <c r="CX834" s="408"/>
      <c r="CY834" s="408"/>
      <c r="CZ834" s="408">
        <v>0</v>
      </c>
      <c r="DA834" s="408">
        <v>0</v>
      </c>
      <c r="DB834" s="408">
        <v>0</v>
      </c>
      <c r="DC834" s="408"/>
      <c r="DD834" s="408"/>
      <c r="DE834" s="408">
        <v>0</v>
      </c>
      <c r="DF834" s="408">
        <v>0</v>
      </c>
      <c r="DG834" s="408">
        <v>218.3533115509365</v>
      </c>
      <c r="DH834" s="408">
        <v>0</v>
      </c>
      <c r="DI834" s="408">
        <v>-418.88129024785849</v>
      </c>
      <c r="DJ834" s="408"/>
      <c r="DK834" s="408">
        <v>0</v>
      </c>
      <c r="DL834" s="408">
        <v>0</v>
      </c>
      <c r="DM834" s="408"/>
      <c r="DN834" s="408">
        <v>0</v>
      </c>
      <c r="DO834" s="408">
        <v>-66.2102414804408</v>
      </c>
      <c r="DP834" s="408">
        <v>-5.2195960070120293</v>
      </c>
      <c r="DQ834" s="408">
        <v>0</v>
      </c>
      <c r="DR834" s="408">
        <v>0</v>
      </c>
      <c r="DS834" s="408"/>
      <c r="DT834" s="408"/>
      <c r="DU834" s="408"/>
      <c r="DV834" s="408">
        <v>0</v>
      </c>
      <c r="DW834" s="408">
        <v>0</v>
      </c>
      <c r="DX834" s="408">
        <v>0</v>
      </c>
      <c r="DY834" s="408">
        <v>-271.85194000000047</v>
      </c>
      <c r="DZ834" s="408"/>
      <c r="EA834" s="408">
        <v>0</v>
      </c>
      <c r="EB834" s="408"/>
      <c r="EC834" s="408">
        <v>0</v>
      </c>
      <c r="ED834" s="408"/>
      <c r="EE834" s="408">
        <v>0</v>
      </c>
      <c r="EF834" s="408">
        <v>0</v>
      </c>
      <c r="EG834" s="408"/>
      <c r="EH834" s="408">
        <v>0</v>
      </c>
      <c r="EI834" s="408">
        <v>0</v>
      </c>
      <c r="EJ834" s="408">
        <v>0</v>
      </c>
      <c r="EK834" s="408">
        <v>0</v>
      </c>
      <c r="EL834" s="408">
        <v>0</v>
      </c>
      <c r="EM834" s="408"/>
      <c r="EN834" s="408"/>
      <c r="EO834" s="408">
        <v>0</v>
      </c>
      <c r="EP834" s="408">
        <v>3150.3174216902944</v>
      </c>
      <c r="EQ834" s="408"/>
      <c r="ER834" s="408">
        <v>0</v>
      </c>
      <c r="ES834" s="408"/>
      <c r="ET834" s="408">
        <v>0</v>
      </c>
      <c r="EU834" s="408"/>
      <c r="EV834" s="408">
        <v>240</v>
      </c>
      <c r="EW834" s="408"/>
      <c r="EX834" s="408"/>
      <c r="EY834" s="408"/>
      <c r="EZ834" s="408"/>
      <c r="FA834" s="408">
        <v>0</v>
      </c>
      <c r="FB834" s="408"/>
      <c r="FC834" s="408"/>
      <c r="FD834" s="408"/>
      <c r="FE834" s="408"/>
      <c r="FF834" s="408">
        <v>0</v>
      </c>
      <c r="FG834" s="408">
        <v>0</v>
      </c>
      <c r="FH834" s="408">
        <v>0</v>
      </c>
      <c r="FI834" s="408">
        <v>0</v>
      </c>
    </row>
    <row r="835" spans="1:165">
      <c r="A835" s="408">
        <v>833</v>
      </c>
      <c r="B835" s="408" t="s">
        <v>1036</v>
      </c>
      <c r="C835" s="408" t="s">
        <v>2243</v>
      </c>
      <c r="D835" s="408" t="s">
        <v>597</v>
      </c>
      <c r="E835" s="408" t="s">
        <v>970</v>
      </c>
      <c r="F835" s="408" t="s">
        <v>1322</v>
      </c>
      <c r="G835" s="408" t="s">
        <v>2318</v>
      </c>
      <c r="H835" s="408" t="s">
        <v>1322</v>
      </c>
      <c r="I835" s="408" t="s">
        <v>1322</v>
      </c>
      <c r="J835" s="408" t="s">
        <v>2319</v>
      </c>
      <c r="K835" s="826">
        <v>44378</v>
      </c>
      <c r="L835" s="408">
        <v>1470</v>
      </c>
      <c r="M835" s="408">
        <v>772.49928839999995</v>
      </c>
      <c r="N835" s="408">
        <v>0</v>
      </c>
      <c r="O835" s="408">
        <v>0</v>
      </c>
      <c r="P835" s="408">
        <v>0</v>
      </c>
      <c r="Q835" s="408">
        <v>0</v>
      </c>
      <c r="R835" s="408">
        <v>27.19</v>
      </c>
      <c r="S835" s="408"/>
      <c r="T835" s="408"/>
      <c r="U835" s="408">
        <v>39969.300000000003</v>
      </c>
      <c r="V835" s="408"/>
      <c r="W835" s="408">
        <v>39969.300000000003</v>
      </c>
      <c r="X835" s="408">
        <v>31987.200000000001</v>
      </c>
      <c r="Y835" s="408">
        <v>0</v>
      </c>
      <c r="Z835" s="408">
        <v>0</v>
      </c>
      <c r="AA835" s="408">
        <v>0</v>
      </c>
      <c r="AB835" s="408">
        <v>0</v>
      </c>
      <c r="AC835" s="408">
        <v>342.80490173851911</v>
      </c>
      <c r="AD835" s="408">
        <v>329.33121387452331</v>
      </c>
      <c r="AE835" s="408">
        <v>35180.084457444464</v>
      </c>
      <c r="AF835" s="408"/>
      <c r="AG835" s="408"/>
      <c r="AH835" s="408"/>
      <c r="AI835" s="408">
        <v>0</v>
      </c>
      <c r="AJ835" s="408">
        <v>0</v>
      </c>
      <c r="AK835" s="408">
        <v>0</v>
      </c>
      <c r="AL835" s="408">
        <v>0</v>
      </c>
      <c r="AM835" s="408"/>
      <c r="AN835" s="408">
        <v>0</v>
      </c>
      <c r="AO835" s="408">
        <v>727.48070170298206</v>
      </c>
      <c r="AP835" s="408">
        <v>3392.8905992268906</v>
      </c>
      <c r="AQ835" s="408">
        <v>0</v>
      </c>
      <c r="AR835" s="408">
        <v>0</v>
      </c>
      <c r="AS835" s="408"/>
      <c r="AT835" s="408"/>
      <c r="AU835" s="408">
        <v>0</v>
      </c>
      <c r="AV835" s="408">
        <v>0</v>
      </c>
      <c r="AW835" s="408">
        <v>0</v>
      </c>
      <c r="AX835" s="408"/>
      <c r="AY835" s="408"/>
      <c r="AZ835" s="408">
        <v>0</v>
      </c>
      <c r="BA835" s="408"/>
      <c r="BB835" s="408">
        <v>0</v>
      </c>
      <c r="BC835" s="408">
        <v>0</v>
      </c>
      <c r="BD835" s="408">
        <v>0</v>
      </c>
      <c r="BE835" s="408">
        <v>0</v>
      </c>
      <c r="BF835" s="408"/>
      <c r="BG835" s="408">
        <v>0</v>
      </c>
      <c r="BH835" s="408">
        <v>0</v>
      </c>
      <c r="BI835" s="408">
        <v>309.74</v>
      </c>
      <c r="BJ835" s="408">
        <v>0</v>
      </c>
      <c r="BK835" s="408">
        <v>11578.21</v>
      </c>
      <c r="BL835" s="408">
        <v>3</v>
      </c>
      <c r="BM835" s="408"/>
      <c r="BN835" s="408">
        <v>15177.615484416003</v>
      </c>
      <c r="BO835" s="408"/>
      <c r="BP835" s="408"/>
      <c r="BQ835" s="408"/>
      <c r="BR835" s="408"/>
      <c r="BS835" s="408"/>
      <c r="BT835" s="408"/>
      <c r="BU835" s="408"/>
      <c r="BV835" s="408">
        <v>0</v>
      </c>
      <c r="BW835" s="408"/>
      <c r="BX835" s="408"/>
      <c r="BY835" s="408"/>
      <c r="BZ835" s="408"/>
      <c r="CA835" s="408"/>
      <c r="CB835" s="408"/>
      <c r="CC835" s="408"/>
      <c r="CD835" s="408"/>
      <c r="CE835" s="408"/>
      <c r="CF835" s="408"/>
      <c r="CG835" s="408"/>
      <c r="CH835" s="408"/>
      <c r="CI835" s="408">
        <v>16809.600000000002</v>
      </c>
      <c r="CJ835" s="408">
        <v>-4194.6856515959917</v>
      </c>
      <c r="CK835" s="408"/>
      <c r="CL835" s="408"/>
      <c r="CM835" s="408"/>
      <c r="CN835" s="408"/>
      <c r="CO835" s="408">
        <v>-7982.0999999999995</v>
      </c>
      <c r="CP835" s="408">
        <v>0</v>
      </c>
      <c r="CQ835" s="408">
        <v>31</v>
      </c>
      <c r="CR835" s="408">
        <v>749.68822373974854</v>
      </c>
      <c r="CS835" s="408">
        <v>72.491896976441012</v>
      </c>
      <c r="CT835" s="408">
        <v>338.09429610397092</v>
      </c>
      <c r="CU835" s="408">
        <v>0</v>
      </c>
      <c r="CV835" s="408">
        <v>0</v>
      </c>
      <c r="CW835" s="408"/>
      <c r="CX835" s="408"/>
      <c r="CY835" s="408"/>
      <c r="CZ835" s="408">
        <v>339.10203065933695</v>
      </c>
      <c r="DA835" s="408">
        <v>0</v>
      </c>
      <c r="DB835" s="408">
        <v>0</v>
      </c>
      <c r="DC835" s="408"/>
      <c r="DD835" s="408"/>
      <c r="DE835" s="408">
        <v>0</v>
      </c>
      <c r="DF835" s="408">
        <v>0</v>
      </c>
      <c r="DG835" s="408">
        <v>0</v>
      </c>
      <c r="DH835" s="408">
        <v>0</v>
      </c>
      <c r="DI835" s="408">
        <v>0</v>
      </c>
      <c r="DJ835" s="408"/>
      <c r="DK835" s="408">
        <v>0</v>
      </c>
      <c r="DL835" s="408">
        <v>0</v>
      </c>
      <c r="DM835" s="408"/>
      <c r="DN835" s="408">
        <v>0</v>
      </c>
      <c r="DO835" s="408">
        <v>0</v>
      </c>
      <c r="DP835" s="408">
        <v>0</v>
      </c>
      <c r="DQ835" s="408">
        <v>0</v>
      </c>
      <c r="DR835" s="408">
        <v>0</v>
      </c>
      <c r="DS835" s="408"/>
      <c r="DT835" s="408"/>
      <c r="DU835" s="408">
        <v>35180.084457444464</v>
      </c>
      <c r="DV835" s="408"/>
      <c r="DW835" s="408">
        <v>0</v>
      </c>
      <c r="DX835" s="408">
        <v>0</v>
      </c>
      <c r="DY835" s="408">
        <v>-7982.1000000000022</v>
      </c>
      <c r="DZ835" s="408"/>
      <c r="EA835" s="408">
        <v>0</v>
      </c>
      <c r="EB835" s="408"/>
      <c r="EC835" s="408">
        <v>-8739.3297237380611</v>
      </c>
      <c r="ED835" s="408"/>
      <c r="EE835" s="408">
        <v>0</v>
      </c>
      <c r="EF835" s="408">
        <v>0</v>
      </c>
      <c r="EG835" s="408"/>
      <c r="EH835" s="408">
        <v>0</v>
      </c>
      <c r="EI835" s="408">
        <v>0</v>
      </c>
      <c r="EJ835" s="408">
        <v>0</v>
      </c>
      <c r="EK835" s="408">
        <v>0</v>
      </c>
      <c r="EL835" s="408">
        <v>0</v>
      </c>
      <c r="EM835" s="408"/>
      <c r="EN835" s="408"/>
      <c r="EO835" s="408">
        <v>0</v>
      </c>
      <c r="EP835" s="408">
        <v>0</v>
      </c>
      <c r="EQ835" s="408"/>
      <c r="ER835" s="408">
        <v>0</v>
      </c>
      <c r="ES835" s="408"/>
      <c r="ET835" s="408">
        <v>0</v>
      </c>
      <c r="EU835" s="408"/>
      <c r="EV835" s="408">
        <v>240</v>
      </c>
      <c r="EW835" s="408"/>
      <c r="EX835" s="408"/>
      <c r="EY835" s="408"/>
      <c r="EZ835" s="408"/>
      <c r="FA835" s="408">
        <v>0</v>
      </c>
      <c r="FB835" s="408"/>
      <c r="FC835" s="408"/>
      <c r="FD835" s="408"/>
      <c r="FE835" s="408"/>
      <c r="FF835" s="408">
        <v>0</v>
      </c>
      <c r="FG835" s="408">
        <v>0</v>
      </c>
      <c r="FH835" s="408">
        <v>0</v>
      </c>
      <c r="FI835" s="408">
        <v>0</v>
      </c>
    </row>
    <row r="836" spans="1:165">
      <c r="A836" s="408">
        <v>834</v>
      </c>
      <c r="B836" s="408" t="s">
        <v>1036</v>
      </c>
      <c r="C836" s="408" t="s">
        <v>993</v>
      </c>
      <c r="D836" s="408" t="s">
        <v>599</v>
      </c>
      <c r="E836" s="408" t="s">
        <v>1322</v>
      </c>
      <c r="F836" s="408" t="s">
        <v>1322</v>
      </c>
      <c r="G836" s="408" t="s">
        <v>1322</v>
      </c>
      <c r="H836" s="408" t="s">
        <v>2320</v>
      </c>
      <c r="I836" s="408" t="s">
        <v>1322</v>
      </c>
      <c r="J836" s="408" t="s">
        <v>2256</v>
      </c>
      <c r="K836" s="826">
        <v>44378</v>
      </c>
      <c r="L836" s="408">
        <v>7020</v>
      </c>
      <c r="M836" s="408">
        <v>3510</v>
      </c>
      <c r="N836" s="408">
        <v>0</v>
      </c>
      <c r="O836" s="408">
        <v>0</v>
      </c>
      <c r="P836" s="408">
        <v>0</v>
      </c>
      <c r="Q836" s="408">
        <v>0</v>
      </c>
      <c r="R836" s="408">
        <v>6.87</v>
      </c>
      <c r="S836" s="408"/>
      <c r="T836" s="408"/>
      <c r="U836" s="408">
        <v>48227.4</v>
      </c>
      <c r="V836" s="408"/>
      <c r="W836" s="408">
        <v>48227.4</v>
      </c>
      <c r="X836" s="408">
        <v>40084.199999999997</v>
      </c>
      <c r="Y836" s="408">
        <v>0</v>
      </c>
      <c r="Z836" s="408">
        <v>0</v>
      </c>
      <c r="AA836" s="408">
        <v>0</v>
      </c>
      <c r="AB836" s="408">
        <v>0</v>
      </c>
      <c r="AC836" s="408">
        <v>0</v>
      </c>
      <c r="AD836" s="408">
        <v>2031.0321998913851</v>
      </c>
      <c r="AE836" s="408">
        <v>42729.467006265557</v>
      </c>
      <c r="AF836" s="408"/>
      <c r="AG836" s="408"/>
      <c r="AH836" s="408"/>
      <c r="AI836" s="408">
        <v>0</v>
      </c>
      <c r="AJ836" s="408">
        <v>0</v>
      </c>
      <c r="AK836" s="408">
        <v>0</v>
      </c>
      <c r="AL836" s="408">
        <v>0</v>
      </c>
      <c r="AM836" s="408"/>
      <c r="AN836" s="408">
        <v>0</v>
      </c>
      <c r="AO836" s="408">
        <v>0</v>
      </c>
      <c r="AP836" s="408">
        <v>0</v>
      </c>
      <c r="AQ836" s="408">
        <v>0</v>
      </c>
      <c r="AR836" s="408">
        <v>0</v>
      </c>
      <c r="AS836" s="408"/>
      <c r="AT836" s="408"/>
      <c r="AU836" s="408">
        <v>0</v>
      </c>
      <c r="AV836" s="408">
        <v>0</v>
      </c>
      <c r="AW836" s="408">
        <v>0</v>
      </c>
      <c r="AX836" s="408"/>
      <c r="AY836" s="408"/>
      <c r="AZ836" s="408">
        <v>0</v>
      </c>
      <c r="BA836" s="408"/>
      <c r="BB836" s="408">
        <v>0</v>
      </c>
      <c r="BC836" s="408">
        <v>0</v>
      </c>
      <c r="BD836" s="408">
        <v>0</v>
      </c>
      <c r="BE836" s="408">
        <v>0</v>
      </c>
      <c r="BF836" s="408"/>
      <c r="BG836" s="408">
        <v>3436.1874076712338</v>
      </c>
      <c r="BH836" s="408">
        <v>0</v>
      </c>
      <c r="BI836" s="408">
        <v>97.09</v>
      </c>
      <c r="BJ836" s="408">
        <v>0</v>
      </c>
      <c r="BK836" s="408">
        <v>0</v>
      </c>
      <c r="BL836" s="408">
        <v>0</v>
      </c>
      <c r="BM836" s="408"/>
      <c r="BN836" s="408"/>
      <c r="BO836" s="408">
        <v>20042.099999999999</v>
      </c>
      <c r="BP836" s="408"/>
      <c r="BQ836" s="408"/>
      <c r="BR836" s="408"/>
      <c r="BS836" s="408"/>
      <c r="BT836" s="408"/>
      <c r="BU836" s="408"/>
      <c r="BV836" s="408">
        <v>3436.1874076712338</v>
      </c>
      <c r="BW836" s="408"/>
      <c r="BX836" s="408"/>
      <c r="BY836" s="408"/>
      <c r="BZ836" s="408"/>
      <c r="CA836" s="408"/>
      <c r="CB836" s="408"/>
      <c r="CC836" s="408"/>
      <c r="CD836" s="408"/>
      <c r="CE836" s="408"/>
      <c r="CF836" s="408"/>
      <c r="CG836" s="408"/>
      <c r="CH836" s="408"/>
      <c r="CI836" s="408">
        <v>20042.099999999999</v>
      </c>
      <c r="CJ836" s="408">
        <v>-4071.6299999999974</v>
      </c>
      <c r="CK836" s="408"/>
      <c r="CL836" s="408"/>
      <c r="CM836" s="408"/>
      <c r="CN836" s="408"/>
      <c r="CO836" s="408">
        <v>-8143.2000000000007</v>
      </c>
      <c r="CP836" s="408">
        <v>0</v>
      </c>
      <c r="CQ836" s="408">
        <v>31</v>
      </c>
      <c r="CR836" s="408">
        <v>2526.7645846364476</v>
      </c>
      <c r="CS836" s="408">
        <v>0</v>
      </c>
      <c r="CT836" s="408">
        <v>0</v>
      </c>
      <c r="CU836" s="408">
        <v>0</v>
      </c>
      <c r="CV836" s="408">
        <v>0</v>
      </c>
      <c r="CW836" s="408"/>
      <c r="CX836" s="408"/>
      <c r="CY836" s="408"/>
      <c r="CZ836" s="408">
        <v>2091.2902096795342</v>
      </c>
      <c r="DA836" s="408">
        <v>0</v>
      </c>
      <c r="DB836" s="408">
        <v>0</v>
      </c>
      <c r="DC836" s="408"/>
      <c r="DD836" s="408"/>
      <c r="DE836" s="408">
        <v>0</v>
      </c>
      <c r="DF836" s="408">
        <v>0</v>
      </c>
      <c r="DG836" s="408">
        <v>435.47437495691338</v>
      </c>
      <c r="DH836" s="408">
        <v>0</v>
      </c>
      <c r="DI836" s="408">
        <v>0</v>
      </c>
      <c r="DJ836" s="408"/>
      <c r="DK836" s="408">
        <v>0</v>
      </c>
      <c r="DL836" s="408">
        <v>0</v>
      </c>
      <c r="DM836" s="408"/>
      <c r="DN836" s="408">
        <v>0</v>
      </c>
      <c r="DO836" s="408">
        <v>0</v>
      </c>
      <c r="DP836" s="408">
        <v>0</v>
      </c>
      <c r="DQ836" s="408">
        <v>0</v>
      </c>
      <c r="DR836" s="408">
        <v>0</v>
      </c>
      <c r="DS836" s="408"/>
      <c r="DT836" s="408"/>
      <c r="DU836" s="408">
        <v>42729.467006265557</v>
      </c>
      <c r="DV836" s="408"/>
      <c r="DW836" s="408">
        <v>0</v>
      </c>
      <c r="DX836" s="408">
        <v>0</v>
      </c>
      <c r="DY836" s="408">
        <v>-8143.2000000000044</v>
      </c>
      <c r="DZ836" s="408"/>
      <c r="EA836" s="408">
        <v>0</v>
      </c>
      <c r="EB836" s="408"/>
      <c r="EC836" s="408">
        <v>-10614.724405765934</v>
      </c>
      <c r="ED836" s="408"/>
      <c r="EE836" s="408">
        <v>0</v>
      </c>
      <c r="EF836" s="408">
        <v>0</v>
      </c>
      <c r="EG836" s="408"/>
      <c r="EH836" s="408">
        <v>0</v>
      </c>
      <c r="EI836" s="408">
        <v>0</v>
      </c>
      <c r="EJ836" s="408">
        <v>0</v>
      </c>
      <c r="EK836" s="408">
        <v>0</v>
      </c>
      <c r="EL836" s="408">
        <v>0</v>
      </c>
      <c r="EM836" s="408"/>
      <c r="EN836" s="408"/>
      <c r="EO836" s="408">
        <v>0</v>
      </c>
      <c r="EP836" s="408">
        <v>0</v>
      </c>
      <c r="EQ836" s="408"/>
      <c r="ER836" s="408">
        <v>0</v>
      </c>
      <c r="ES836" s="408"/>
      <c r="ET836" s="408">
        <v>0</v>
      </c>
      <c r="EU836" s="408"/>
      <c r="EV836" s="408">
        <v>240</v>
      </c>
      <c r="EW836" s="408"/>
      <c r="EX836" s="408"/>
      <c r="EY836" s="408"/>
      <c r="EZ836" s="408"/>
      <c r="FA836" s="408">
        <v>0</v>
      </c>
      <c r="FB836" s="408"/>
      <c r="FC836" s="408"/>
      <c r="FD836" s="408"/>
      <c r="FE836" s="408"/>
      <c r="FF836" s="408">
        <v>0</v>
      </c>
      <c r="FG836" s="408">
        <v>0</v>
      </c>
      <c r="FH836" s="408">
        <v>0</v>
      </c>
      <c r="FI836" s="408">
        <v>0</v>
      </c>
    </row>
    <row r="837" spans="1:165">
      <c r="A837" s="408">
        <v>835</v>
      </c>
      <c r="B837" s="408" t="s">
        <v>1036</v>
      </c>
      <c r="C837" s="408" t="s">
        <v>2247</v>
      </c>
      <c r="D837" s="408" t="s">
        <v>597</v>
      </c>
      <c r="E837" s="408" t="s">
        <v>970</v>
      </c>
      <c r="F837" s="408" t="s">
        <v>1322</v>
      </c>
      <c r="G837" s="408" t="s">
        <v>2318</v>
      </c>
      <c r="H837" s="408" t="s">
        <v>1322</v>
      </c>
      <c r="I837" s="408" t="s">
        <v>973</v>
      </c>
      <c r="J837" s="408" t="s">
        <v>2319</v>
      </c>
      <c r="K837" s="826">
        <v>44409</v>
      </c>
      <c r="L837" s="408">
        <v>2800</v>
      </c>
      <c r="M837" s="408">
        <v>1400</v>
      </c>
      <c r="N837" s="408">
        <v>0</v>
      </c>
      <c r="O837" s="408">
        <v>0</v>
      </c>
      <c r="P837" s="408">
        <v>0</v>
      </c>
      <c r="Q837" s="408">
        <v>0</v>
      </c>
      <c r="R837" s="408">
        <v>52.95</v>
      </c>
      <c r="S837" s="408"/>
      <c r="T837" s="408"/>
      <c r="U837" s="408">
        <v>148260</v>
      </c>
      <c r="V837" s="408"/>
      <c r="W837" s="408">
        <v>148260</v>
      </c>
      <c r="X837" s="408">
        <v>123900</v>
      </c>
      <c r="Y837" s="408">
        <v>0</v>
      </c>
      <c r="Z837" s="408">
        <v>0</v>
      </c>
      <c r="AA837" s="408">
        <v>0</v>
      </c>
      <c r="AB837" s="408">
        <v>0</v>
      </c>
      <c r="AC837" s="408">
        <v>2205.4655096799388</v>
      </c>
      <c r="AD837" s="408">
        <v>2118.9049083151963</v>
      </c>
      <c r="AE837" s="408">
        <v>117414.3991688962</v>
      </c>
      <c r="AF837" s="408"/>
      <c r="AG837" s="408"/>
      <c r="AH837" s="408"/>
      <c r="AI837" s="408">
        <v>0</v>
      </c>
      <c r="AJ837" s="408">
        <v>0</v>
      </c>
      <c r="AK837" s="408">
        <v>0</v>
      </c>
      <c r="AL837" s="408">
        <v>0</v>
      </c>
      <c r="AM837" s="408"/>
      <c r="AN837" s="408">
        <v>0</v>
      </c>
      <c r="AO837" s="408">
        <v>4681.7424714040681</v>
      </c>
      <c r="AP837" s="408">
        <v>21829.989761974604</v>
      </c>
      <c r="AQ837" s="408">
        <v>0</v>
      </c>
      <c r="AR837" s="408">
        <v>0</v>
      </c>
      <c r="AS837" s="408"/>
      <c r="AT837" s="408"/>
      <c r="AU837" s="408">
        <v>0</v>
      </c>
      <c r="AV837" s="408">
        <v>0</v>
      </c>
      <c r="AW837" s="408">
        <v>0</v>
      </c>
      <c r="AX837" s="408"/>
      <c r="AY837" s="408"/>
      <c r="AZ837" s="408">
        <v>0</v>
      </c>
      <c r="BA837" s="408"/>
      <c r="BB837" s="408">
        <v>0</v>
      </c>
      <c r="BC837" s="408">
        <v>0</v>
      </c>
      <c r="BD837" s="408">
        <v>0</v>
      </c>
      <c r="BE837" s="408">
        <v>0</v>
      </c>
      <c r="BF837" s="408"/>
      <c r="BG837" s="408">
        <v>0</v>
      </c>
      <c r="BH837" s="408">
        <v>0</v>
      </c>
      <c r="BI837" s="408">
        <v>0</v>
      </c>
      <c r="BJ837" s="408">
        <v>0</v>
      </c>
      <c r="BK837" s="408">
        <v>0</v>
      </c>
      <c r="BL837" s="408">
        <v>0</v>
      </c>
      <c r="BM837" s="408"/>
      <c r="BN837" s="408">
        <v>61950</v>
      </c>
      <c r="BO837" s="408"/>
      <c r="BP837" s="408"/>
      <c r="BQ837" s="408"/>
      <c r="BR837" s="408"/>
      <c r="BS837" s="408"/>
      <c r="BT837" s="408"/>
      <c r="BU837" s="408"/>
      <c r="BV837" s="408">
        <v>0</v>
      </c>
      <c r="BW837" s="408"/>
      <c r="BX837" s="408"/>
      <c r="BY837" s="408"/>
      <c r="BZ837" s="408"/>
      <c r="CA837" s="408"/>
      <c r="CB837" s="408"/>
      <c r="CC837" s="408"/>
      <c r="CD837" s="408"/>
      <c r="CE837" s="408"/>
      <c r="CF837" s="408"/>
      <c r="CG837" s="408"/>
      <c r="CH837" s="408"/>
      <c r="CI837" s="408">
        <v>61950</v>
      </c>
      <c r="CJ837" s="408">
        <v>-12180.029999999984</v>
      </c>
      <c r="CK837" s="408"/>
      <c r="CL837" s="408"/>
      <c r="CM837" s="408"/>
      <c r="CN837" s="408"/>
      <c r="CO837" s="408">
        <v>-24360.000000000007</v>
      </c>
      <c r="CP837" s="408">
        <v>0</v>
      </c>
      <c r="CQ837" s="408">
        <v>31</v>
      </c>
      <c r="CR837" s="408">
        <v>4823.6074336221172</v>
      </c>
      <c r="CS837" s="408">
        <v>466.52563031950376</v>
      </c>
      <c r="CT837" s="408">
        <v>2175.3118194301496</v>
      </c>
      <c r="CU837" s="408">
        <v>0</v>
      </c>
      <c r="CV837" s="408">
        <v>0</v>
      </c>
      <c r="CW837" s="408"/>
      <c r="CX837" s="408"/>
      <c r="CY837" s="408"/>
      <c r="CZ837" s="408">
        <v>2181.7699838724634</v>
      </c>
      <c r="DA837" s="408">
        <v>0</v>
      </c>
      <c r="DB837" s="408">
        <v>0</v>
      </c>
      <c r="DC837" s="408"/>
      <c r="DD837" s="408"/>
      <c r="DE837" s="408">
        <v>0</v>
      </c>
      <c r="DF837" s="408">
        <v>0</v>
      </c>
      <c r="DG837" s="408">
        <v>0</v>
      </c>
      <c r="DH837" s="408">
        <v>0</v>
      </c>
      <c r="DI837" s="408">
        <v>0</v>
      </c>
      <c r="DJ837" s="408"/>
      <c r="DK837" s="408">
        <v>0</v>
      </c>
      <c r="DL837" s="408">
        <v>0</v>
      </c>
      <c r="DM837" s="408"/>
      <c r="DN837" s="408">
        <v>0</v>
      </c>
      <c r="DO837" s="408">
        <v>0</v>
      </c>
      <c r="DP837" s="408">
        <v>0</v>
      </c>
      <c r="DQ837" s="408">
        <v>0</v>
      </c>
      <c r="DR837" s="408">
        <v>0</v>
      </c>
      <c r="DS837" s="408"/>
      <c r="DT837" s="408"/>
      <c r="DU837" s="408">
        <v>117414.3991688962</v>
      </c>
      <c r="DV837" s="408"/>
      <c r="DW837" s="408">
        <v>0</v>
      </c>
      <c r="DX837" s="408">
        <v>0</v>
      </c>
      <c r="DY837" s="408">
        <v>-24360</v>
      </c>
      <c r="DZ837" s="408"/>
      <c r="EA837" s="408">
        <v>0</v>
      </c>
      <c r="EB837" s="408"/>
      <c r="EC837" s="408">
        <v>-29167.728403063593</v>
      </c>
      <c r="ED837" s="408"/>
      <c r="EE837" s="408">
        <v>0</v>
      </c>
      <c r="EF837" s="408">
        <v>0</v>
      </c>
      <c r="EG837" s="408"/>
      <c r="EH837" s="408">
        <v>0</v>
      </c>
      <c r="EI837" s="408">
        <v>0</v>
      </c>
      <c r="EJ837" s="408">
        <v>0</v>
      </c>
      <c r="EK837" s="408">
        <v>0</v>
      </c>
      <c r="EL837" s="408">
        <v>0</v>
      </c>
      <c r="EM837" s="408"/>
      <c r="EN837" s="408"/>
      <c r="EO837" s="408">
        <v>0</v>
      </c>
      <c r="EP837" s="408">
        <v>0</v>
      </c>
      <c r="EQ837" s="408"/>
      <c r="ER837" s="408">
        <v>0</v>
      </c>
      <c r="ES837" s="408"/>
      <c r="ET837" s="408">
        <v>0</v>
      </c>
      <c r="EU837" s="408"/>
      <c r="EV837" s="408">
        <v>240</v>
      </c>
      <c r="EW837" s="408"/>
      <c r="EX837" s="408"/>
      <c r="EY837" s="408"/>
      <c r="EZ837" s="408"/>
      <c r="FA837" s="408">
        <v>0</v>
      </c>
      <c r="FB837" s="408"/>
      <c r="FC837" s="408"/>
      <c r="FD837" s="408"/>
      <c r="FE837" s="408"/>
      <c r="FF837" s="408">
        <v>0</v>
      </c>
      <c r="FG837" s="408">
        <v>0</v>
      </c>
      <c r="FH837" s="408">
        <v>0</v>
      </c>
      <c r="FI837" s="408">
        <v>0</v>
      </c>
    </row>
    <row r="838" spans="1:165">
      <c r="A838" s="408">
        <v>836</v>
      </c>
      <c r="B838" s="408" t="s">
        <v>1036</v>
      </c>
      <c r="C838" s="408" t="s">
        <v>2247</v>
      </c>
      <c r="D838" s="408" t="s">
        <v>597</v>
      </c>
      <c r="E838" s="408" t="s">
        <v>970</v>
      </c>
      <c r="F838" s="408" t="s">
        <v>1322</v>
      </c>
      <c r="G838" s="408" t="s">
        <v>2318</v>
      </c>
      <c r="H838" s="408" t="s">
        <v>1322</v>
      </c>
      <c r="I838" s="408" t="s">
        <v>2244</v>
      </c>
      <c r="J838" s="408" t="s">
        <v>2319</v>
      </c>
      <c r="K838" s="826">
        <v>44409</v>
      </c>
      <c r="L838" s="408">
        <v>3200</v>
      </c>
      <c r="M838" s="408">
        <v>1600</v>
      </c>
      <c r="N838" s="408">
        <v>0</v>
      </c>
      <c r="O838" s="408">
        <v>0</v>
      </c>
      <c r="P838" s="408">
        <v>0</v>
      </c>
      <c r="Q838" s="408">
        <v>0</v>
      </c>
      <c r="R838" s="408">
        <v>27.19</v>
      </c>
      <c r="S838" s="408"/>
      <c r="T838" s="408"/>
      <c r="U838" s="408">
        <v>87008</v>
      </c>
      <c r="V838" s="408"/>
      <c r="W838" s="408">
        <v>87008</v>
      </c>
      <c r="X838" s="408">
        <v>69632</v>
      </c>
      <c r="Y838" s="408">
        <v>0</v>
      </c>
      <c r="Z838" s="408">
        <v>0</v>
      </c>
      <c r="AA838" s="408">
        <v>0</v>
      </c>
      <c r="AB838" s="408">
        <v>0</v>
      </c>
      <c r="AC838" s="408">
        <v>746.2419629682048</v>
      </c>
      <c r="AD838" s="408">
        <v>716.91148598535688</v>
      </c>
      <c r="AE838" s="408">
        <v>76582.496778110391</v>
      </c>
      <c r="AF838" s="408"/>
      <c r="AG838" s="408"/>
      <c r="AH838" s="408"/>
      <c r="AI838" s="408">
        <v>0</v>
      </c>
      <c r="AJ838" s="408">
        <v>0</v>
      </c>
      <c r="AK838" s="408">
        <v>0</v>
      </c>
      <c r="AL838" s="408">
        <v>0</v>
      </c>
      <c r="AM838" s="408"/>
      <c r="AN838" s="408">
        <v>0</v>
      </c>
      <c r="AO838" s="408">
        <v>1583.6314594894848</v>
      </c>
      <c r="AP838" s="408">
        <v>7385.8842976367687</v>
      </c>
      <c r="AQ838" s="408">
        <v>0</v>
      </c>
      <c r="AR838" s="408">
        <v>0</v>
      </c>
      <c r="AS838" s="408"/>
      <c r="AT838" s="408"/>
      <c r="AU838" s="408">
        <v>0</v>
      </c>
      <c r="AV838" s="408">
        <v>0</v>
      </c>
      <c r="AW838" s="408">
        <v>0</v>
      </c>
      <c r="AX838" s="408"/>
      <c r="AY838" s="408"/>
      <c r="AZ838" s="408">
        <v>0</v>
      </c>
      <c r="BA838" s="408"/>
      <c r="BB838" s="408">
        <v>0</v>
      </c>
      <c r="BC838" s="408">
        <v>0</v>
      </c>
      <c r="BD838" s="408">
        <v>0</v>
      </c>
      <c r="BE838" s="408">
        <v>0</v>
      </c>
      <c r="BF838" s="408"/>
      <c r="BG838" s="408">
        <v>0</v>
      </c>
      <c r="BH838" s="408">
        <v>0</v>
      </c>
      <c r="BI838" s="408">
        <v>0</v>
      </c>
      <c r="BJ838" s="408">
        <v>0</v>
      </c>
      <c r="BK838" s="408">
        <v>0</v>
      </c>
      <c r="BL838" s="408">
        <v>0</v>
      </c>
      <c r="BM838" s="408"/>
      <c r="BN838" s="408">
        <v>34816</v>
      </c>
      <c r="BO838" s="408"/>
      <c r="BP838" s="408"/>
      <c r="BQ838" s="408"/>
      <c r="BR838" s="408"/>
      <c r="BS838" s="408"/>
      <c r="BT838" s="408"/>
      <c r="BU838" s="408"/>
      <c r="BV838" s="408">
        <v>0</v>
      </c>
      <c r="BW838" s="408"/>
      <c r="BX838" s="408"/>
      <c r="BY838" s="408"/>
      <c r="BZ838" s="408"/>
      <c r="CA838" s="408"/>
      <c r="CB838" s="408"/>
      <c r="CC838" s="408"/>
      <c r="CD838" s="408"/>
      <c r="CE838" s="408"/>
      <c r="CF838" s="408"/>
      <c r="CG838" s="408"/>
      <c r="CH838" s="408"/>
      <c r="CI838" s="408">
        <v>34816</v>
      </c>
      <c r="CJ838" s="408">
        <v>-8688.0300000000061</v>
      </c>
      <c r="CK838" s="408"/>
      <c r="CL838" s="408"/>
      <c r="CM838" s="408"/>
      <c r="CN838" s="408"/>
      <c r="CO838" s="408">
        <v>-17376</v>
      </c>
      <c r="CP838" s="408">
        <v>0</v>
      </c>
      <c r="CQ838" s="408">
        <v>31</v>
      </c>
      <c r="CR838" s="408">
        <v>1631.9743646035349</v>
      </c>
      <c r="CS838" s="408">
        <v>157.8054900167424</v>
      </c>
      <c r="CT838" s="408">
        <v>735.9875833555825</v>
      </c>
      <c r="CU838" s="408">
        <v>0</v>
      </c>
      <c r="CV838" s="408">
        <v>0</v>
      </c>
      <c r="CW838" s="408"/>
      <c r="CX838" s="408"/>
      <c r="CY838" s="408"/>
      <c r="CZ838" s="408">
        <v>738.18129123120957</v>
      </c>
      <c r="DA838" s="408">
        <v>0</v>
      </c>
      <c r="DB838" s="408">
        <v>0</v>
      </c>
      <c r="DC838" s="408"/>
      <c r="DD838" s="408"/>
      <c r="DE838" s="408">
        <v>0</v>
      </c>
      <c r="DF838" s="408">
        <v>0</v>
      </c>
      <c r="DG838" s="408">
        <v>0</v>
      </c>
      <c r="DH838" s="408">
        <v>0</v>
      </c>
      <c r="DI838" s="408">
        <v>0</v>
      </c>
      <c r="DJ838" s="408"/>
      <c r="DK838" s="408">
        <v>0</v>
      </c>
      <c r="DL838" s="408">
        <v>0</v>
      </c>
      <c r="DM838" s="408"/>
      <c r="DN838" s="408">
        <v>0</v>
      </c>
      <c r="DO838" s="408">
        <v>0</v>
      </c>
      <c r="DP838" s="408">
        <v>0</v>
      </c>
      <c r="DQ838" s="408">
        <v>0</v>
      </c>
      <c r="DR838" s="408">
        <v>0</v>
      </c>
      <c r="DS838" s="408"/>
      <c r="DT838" s="408"/>
      <c r="DU838" s="408">
        <v>76582.496778110391</v>
      </c>
      <c r="DV838" s="408"/>
      <c r="DW838" s="408">
        <v>0</v>
      </c>
      <c r="DX838" s="408">
        <v>0</v>
      </c>
      <c r="DY838" s="408">
        <v>-17376</v>
      </c>
      <c r="DZ838" s="408"/>
      <c r="EA838" s="408">
        <v>0</v>
      </c>
      <c r="EB838" s="408"/>
      <c r="EC838" s="408">
        <v>-19024.391235348157</v>
      </c>
      <c r="ED838" s="408"/>
      <c r="EE838" s="408">
        <v>0</v>
      </c>
      <c r="EF838" s="408">
        <v>0</v>
      </c>
      <c r="EG838" s="408"/>
      <c r="EH838" s="408">
        <v>0</v>
      </c>
      <c r="EI838" s="408">
        <v>0</v>
      </c>
      <c r="EJ838" s="408">
        <v>0</v>
      </c>
      <c r="EK838" s="408">
        <v>0</v>
      </c>
      <c r="EL838" s="408">
        <v>0</v>
      </c>
      <c r="EM838" s="408"/>
      <c r="EN838" s="408"/>
      <c r="EO838" s="408">
        <v>0</v>
      </c>
      <c r="EP838" s="408">
        <v>0</v>
      </c>
      <c r="EQ838" s="408"/>
      <c r="ER838" s="408">
        <v>0</v>
      </c>
      <c r="ES838" s="408"/>
      <c r="ET838" s="408">
        <v>0</v>
      </c>
      <c r="EU838" s="408"/>
      <c r="EV838" s="408">
        <v>240</v>
      </c>
      <c r="EW838" s="408"/>
      <c r="EX838" s="408"/>
      <c r="EY838" s="408"/>
      <c r="EZ838" s="408"/>
      <c r="FA838" s="408">
        <v>0</v>
      </c>
      <c r="FB838" s="408"/>
      <c r="FC838" s="408"/>
      <c r="FD838" s="408"/>
      <c r="FE838" s="408"/>
      <c r="FF838" s="408">
        <v>0</v>
      </c>
      <c r="FG838" s="408">
        <v>0</v>
      </c>
      <c r="FH838" s="408">
        <v>0</v>
      </c>
      <c r="FI838" s="408">
        <v>0</v>
      </c>
    </row>
    <row r="839" spans="1:165">
      <c r="A839" s="408">
        <v>837</v>
      </c>
      <c r="B839" s="408" t="s">
        <v>1036</v>
      </c>
      <c r="C839" s="408" t="s">
        <v>2247</v>
      </c>
      <c r="D839" s="408" t="s">
        <v>597</v>
      </c>
      <c r="E839" s="408" t="s">
        <v>970</v>
      </c>
      <c r="F839" s="408" t="s">
        <v>1322</v>
      </c>
      <c r="G839" s="408" t="s">
        <v>2318</v>
      </c>
      <c r="H839" s="408" t="s">
        <v>1322</v>
      </c>
      <c r="I839" s="408" t="s">
        <v>1322</v>
      </c>
      <c r="J839" s="408" t="s">
        <v>2319</v>
      </c>
      <c r="K839" s="826">
        <v>44409</v>
      </c>
      <c r="L839" s="408">
        <v>0</v>
      </c>
      <c r="M839" s="408">
        <v>0</v>
      </c>
      <c r="N839" s="408">
        <v>1299.9939999999999</v>
      </c>
      <c r="O839" s="408">
        <v>1299.9939999999999</v>
      </c>
      <c r="P839" s="408">
        <v>0</v>
      </c>
      <c r="Q839" s="408">
        <v>0</v>
      </c>
      <c r="R839" s="408"/>
      <c r="S839" s="408">
        <v>85.01</v>
      </c>
      <c r="T839" s="408"/>
      <c r="U839" s="408"/>
      <c r="V839" s="408">
        <v>110512.48994</v>
      </c>
      <c r="W839" s="408">
        <v>110512.48994</v>
      </c>
      <c r="X839" s="408">
        <v>108978.49702</v>
      </c>
      <c r="Y839" s="408">
        <v>0</v>
      </c>
      <c r="Z839" s="408">
        <v>69607.280932631562</v>
      </c>
      <c r="AA839" s="408">
        <v>0</v>
      </c>
      <c r="AB839" s="408">
        <v>0</v>
      </c>
      <c r="AC839" s="408">
        <v>0</v>
      </c>
      <c r="AD839" s="408">
        <v>0</v>
      </c>
      <c r="AE839" s="408">
        <v>0</v>
      </c>
      <c r="AF839" s="408"/>
      <c r="AG839" s="408"/>
      <c r="AH839" s="408"/>
      <c r="AI839" s="408">
        <v>0</v>
      </c>
      <c r="AJ839" s="408">
        <v>0</v>
      </c>
      <c r="AK839" s="408">
        <v>0</v>
      </c>
      <c r="AL839" s="408">
        <v>12361.682306341369</v>
      </c>
      <c r="AM839" s="408"/>
      <c r="AN839" s="408">
        <v>1041.0531706527165</v>
      </c>
      <c r="AO839" s="408">
        <v>0</v>
      </c>
      <c r="AP839" s="408">
        <v>0</v>
      </c>
      <c r="AQ839" s="408">
        <v>0</v>
      </c>
      <c r="AR839" s="408">
        <v>0</v>
      </c>
      <c r="AS839" s="408"/>
      <c r="AT839" s="408"/>
      <c r="AU839" s="408">
        <v>0</v>
      </c>
      <c r="AV839" s="408">
        <v>0</v>
      </c>
      <c r="AW839" s="408">
        <v>0</v>
      </c>
      <c r="AX839" s="408"/>
      <c r="AY839" s="408"/>
      <c r="AZ839" s="408">
        <v>0</v>
      </c>
      <c r="BA839" s="408"/>
      <c r="BB839" s="408">
        <v>0</v>
      </c>
      <c r="BC839" s="408">
        <v>0</v>
      </c>
      <c r="BD839" s="408">
        <v>0</v>
      </c>
      <c r="BE839" s="408">
        <v>0</v>
      </c>
      <c r="BF839" s="408"/>
      <c r="BG839" s="408">
        <v>9722.2086859671563</v>
      </c>
      <c r="BH839" s="408">
        <v>0</v>
      </c>
      <c r="BI839" s="408">
        <v>1387.77</v>
      </c>
      <c r="BJ839" s="408">
        <v>0</v>
      </c>
      <c r="BK839" s="408">
        <v>42152.36</v>
      </c>
      <c r="BL839" s="408">
        <v>1</v>
      </c>
      <c r="BM839" s="408"/>
      <c r="BN839" s="408"/>
      <c r="BO839" s="408"/>
      <c r="BP839" s="408"/>
      <c r="BQ839" s="408"/>
      <c r="BR839" s="408"/>
      <c r="BS839" s="408"/>
      <c r="BT839" s="408"/>
      <c r="BU839" s="408"/>
      <c r="BV839" s="408">
        <v>9722.2086859671563</v>
      </c>
      <c r="BW839" s="408"/>
      <c r="BX839" s="408"/>
      <c r="BY839" s="408"/>
      <c r="BZ839" s="408"/>
      <c r="CA839" s="408"/>
      <c r="CB839" s="408"/>
      <c r="CC839" s="408"/>
      <c r="CD839" s="408"/>
      <c r="CE839" s="408"/>
      <c r="CF839" s="408"/>
      <c r="CG839" s="408"/>
      <c r="CH839" s="408"/>
      <c r="CI839" s="408">
        <v>108978.1617</v>
      </c>
      <c r="CJ839" s="408">
        <v>-1534.3582399999868</v>
      </c>
      <c r="CK839" s="408"/>
      <c r="CL839" s="408"/>
      <c r="CM839" s="408"/>
      <c r="CN839" s="408"/>
      <c r="CO839" s="408">
        <v>-1533.9929200000088</v>
      </c>
      <c r="CP839" s="408">
        <v>0</v>
      </c>
      <c r="CQ839" s="408">
        <v>31</v>
      </c>
      <c r="CR839" s="408">
        <v>-1534.590352989544</v>
      </c>
      <c r="CS839" s="408">
        <v>0</v>
      </c>
      <c r="CT839" s="408">
        <v>0</v>
      </c>
      <c r="CU839" s="408">
        <v>0</v>
      </c>
      <c r="CV839" s="408">
        <v>0</v>
      </c>
      <c r="CW839" s="408"/>
      <c r="CX839" s="408"/>
      <c r="CY839" s="408"/>
      <c r="CZ839" s="408">
        <v>0</v>
      </c>
      <c r="DA839" s="408">
        <v>0</v>
      </c>
      <c r="DB839" s="408">
        <v>0</v>
      </c>
      <c r="DC839" s="408"/>
      <c r="DD839" s="408"/>
      <c r="DE839" s="408">
        <v>0</v>
      </c>
      <c r="DF839" s="408">
        <v>0</v>
      </c>
      <c r="DG839" s="408">
        <v>1232.1134584424562</v>
      </c>
      <c r="DH839" s="408">
        <v>0</v>
      </c>
      <c r="DI839" s="408">
        <v>-2363.6429946414282</v>
      </c>
      <c r="DJ839" s="408"/>
      <c r="DK839" s="408">
        <v>0</v>
      </c>
      <c r="DL839" s="408">
        <v>0</v>
      </c>
      <c r="DM839" s="408"/>
      <c r="DN839" s="408">
        <v>0</v>
      </c>
      <c r="DO839" s="408">
        <v>-373.60793401910814</v>
      </c>
      <c r="DP839" s="408">
        <v>-29.452882771470172</v>
      </c>
      <c r="DQ839" s="408">
        <v>0</v>
      </c>
      <c r="DR839" s="408">
        <v>0</v>
      </c>
      <c r="DS839" s="408"/>
      <c r="DT839" s="408"/>
      <c r="DU839" s="408"/>
      <c r="DV839" s="408">
        <v>0</v>
      </c>
      <c r="DW839" s="408">
        <v>0</v>
      </c>
      <c r="DX839" s="408">
        <v>0</v>
      </c>
      <c r="DY839" s="408">
        <v>-1533.9929200000042</v>
      </c>
      <c r="DZ839" s="408"/>
      <c r="EA839" s="408">
        <v>0</v>
      </c>
      <c r="EB839" s="408"/>
      <c r="EC839" s="408">
        <v>0</v>
      </c>
      <c r="ED839" s="408"/>
      <c r="EE839" s="408">
        <v>0</v>
      </c>
      <c r="EF839" s="408">
        <v>0</v>
      </c>
      <c r="EG839" s="408"/>
      <c r="EH839" s="408">
        <v>0</v>
      </c>
      <c r="EI839" s="408">
        <v>0</v>
      </c>
      <c r="EJ839" s="408">
        <v>0</v>
      </c>
      <c r="EK839" s="408">
        <v>0</v>
      </c>
      <c r="EL839" s="408">
        <v>0</v>
      </c>
      <c r="EM839" s="408"/>
      <c r="EN839" s="408"/>
      <c r="EO839" s="408">
        <v>0</v>
      </c>
      <c r="EP839" s="408">
        <v>17776.4580993079</v>
      </c>
      <c r="EQ839" s="408"/>
      <c r="ER839" s="408">
        <v>0</v>
      </c>
      <c r="ES839" s="408"/>
      <c r="ET839" s="408">
        <v>0</v>
      </c>
      <c r="EU839" s="408"/>
      <c r="EV839" s="408">
        <v>240</v>
      </c>
      <c r="EW839" s="408"/>
      <c r="EX839" s="408"/>
      <c r="EY839" s="408"/>
      <c r="EZ839" s="408"/>
      <c r="FA839" s="408">
        <v>0</v>
      </c>
      <c r="FB839" s="408"/>
      <c r="FC839" s="408"/>
      <c r="FD839" s="408"/>
      <c r="FE839" s="408"/>
      <c r="FF839" s="408">
        <v>0</v>
      </c>
      <c r="FG839" s="408">
        <v>0</v>
      </c>
      <c r="FH839" s="408">
        <v>0</v>
      </c>
      <c r="FI839" s="408">
        <v>0</v>
      </c>
    </row>
    <row r="840" spans="1:165">
      <c r="A840" s="408">
        <v>838</v>
      </c>
      <c r="B840" s="408" t="s">
        <v>1036</v>
      </c>
      <c r="C840" s="408" t="s">
        <v>2243</v>
      </c>
      <c r="D840" s="408" t="s">
        <v>597</v>
      </c>
      <c r="E840" s="408" t="s">
        <v>970</v>
      </c>
      <c r="F840" s="408" t="s">
        <v>1322</v>
      </c>
      <c r="G840" s="408" t="s">
        <v>2318</v>
      </c>
      <c r="H840" s="408" t="s">
        <v>1322</v>
      </c>
      <c r="I840" s="408" t="s">
        <v>973</v>
      </c>
      <c r="J840" s="408" t="s">
        <v>2319</v>
      </c>
      <c r="K840" s="826">
        <v>44409</v>
      </c>
      <c r="L840" s="408">
        <v>0</v>
      </c>
      <c r="M840" s="408">
        <v>0</v>
      </c>
      <c r="N840" s="408">
        <v>24.241</v>
      </c>
      <c r="O840" s="408">
        <v>11.61749222011</v>
      </c>
      <c r="P840" s="408">
        <v>0</v>
      </c>
      <c r="Q840" s="408">
        <v>0</v>
      </c>
      <c r="R840" s="408"/>
      <c r="S840" s="408">
        <v>1358.36</v>
      </c>
      <c r="T840" s="408"/>
      <c r="U840" s="408"/>
      <c r="V840" s="408">
        <v>32928.004759999996</v>
      </c>
      <c r="W840" s="408">
        <v>32928.004759999996</v>
      </c>
      <c r="X840" s="408">
        <v>27830.607279999997</v>
      </c>
      <c r="Y840" s="408">
        <v>0</v>
      </c>
      <c r="Z840" s="408">
        <v>1297.9676037642648</v>
      </c>
      <c r="AA840" s="408">
        <v>0</v>
      </c>
      <c r="AB840" s="408">
        <v>0</v>
      </c>
      <c r="AC840" s="408">
        <v>459.17516334175968</v>
      </c>
      <c r="AD840" s="408">
        <v>441.1657283437429</v>
      </c>
      <c r="AE840" s="408">
        <v>24447.235562957525</v>
      </c>
      <c r="AF840" s="408"/>
      <c r="AG840" s="408"/>
      <c r="AH840" s="408"/>
      <c r="AI840" s="408">
        <v>0</v>
      </c>
      <c r="AJ840" s="408">
        <v>0</v>
      </c>
      <c r="AK840" s="408">
        <v>0</v>
      </c>
      <c r="AL840" s="408">
        <v>230.50840295264527</v>
      </c>
      <c r="AM840" s="408"/>
      <c r="AN840" s="408">
        <v>19.412527988431101</v>
      </c>
      <c r="AO840" s="408">
        <v>974.75054078996698</v>
      </c>
      <c r="AP840" s="408">
        <v>4545.0929886687209</v>
      </c>
      <c r="AQ840" s="408">
        <v>0</v>
      </c>
      <c r="AR840" s="408">
        <v>0</v>
      </c>
      <c r="AS840" s="408"/>
      <c r="AT840" s="408"/>
      <c r="AU840" s="408">
        <v>0</v>
      </c>
      <c r="AV840" s="408">
        <v>0</v>
      </c>
      <c r="AW840" s="408">
        <v>0</v>
      </c>
      <c r="AX840" s="408"/>
      <c r="AY840" s="408"/>
      <c r="AZ840" s="408">
        <v>0</v>
      </c>
      <c r="BA840" s="408"/>
      <c r="BB840" s="408">
        <v>0</v>
      </c>
      <c r="BC840" s="408">
        <v>0</v>
      </c>
      <c r="BD840" s="408">
        <v>0</v>
      </c>
      <c r="BE840" s="408">
        <v>0</v>
      </c>
      <c r="BF840" s="408"/>
      <c r="BG840" s="408">
        <v>181.29011422862712</v>
      </c>
      <c r="BH840" s="408">
        <v>0</v>
      </c>
      <c r="BI840" s="408">
        <v>0</v>
      </c>
      <c r="BJ840" s="408">
        <v>0</v>
      </c>
      <c r="BK840" s="408">
        <v>0</v>
      </c>
      <c r="BL840" s="408">
        <v>0</v>
      </c>
      <c r="BM840" s="408"/>
      <c r="BN840" s="408">
        <v>14492.79681193611</v>
      </c>
      <c r="BO840" s="408"/>
      <c r="BP840" s="408"/>
      <c r="BQ840" s="408"/>
      <c r="BR840" s="408"/>
      <c r="BS840" s="408"/>
      <c r="BT840" s="408"/>
      <c r="BU840" s="408"/>
      <c r="BV840" s="408">
        <v>181.29011422862712</v>
      </c>
      <c r="BW840" s="408"/>
      <c r="BX840" s="408"/>
      <c r="BY840" s="408"/>
      <c r="BZ840" s="408"/>
      <c r="CA840" s="408"/>
      <c r="CB840" s="408"/>
      <c r="CC840" s="408"/>
      <c r="CD840" s="408"/>
      <c r="CE840" s="408"/>
      <c r="CF840" s="408"/>
      <c r="CG840" s="408"/>
      <c r="CH840" s="408"/>
      <c r="CI840" s="408">
        <v>13340.689599999998</v>
      </c>
      <c r="CJ840" s="408">
        <v>-2440.0771321086213</v>
      </c>
      <c r="CK840" s="408"/>
      <c r="CL840" s="408"/>
      <c r="CM840" s="408"/>
      <c r="CN840" s="408"/>
      <c r="CO840" s="408">
        <v>-5097.3974799999996</v>
      </c>
      <c r="CP840" s="408">
        <v>0</v>
      </c>
      <c r="CQ840" s="408">
        <v>31</v>
      </c>
      <c r="CR840" s="408">
        <v>975.6796146683173</v>
      </c>
      <c r="CS840" s="408">
        <v>97.131807916363982</v>
      </c>
      <c r="CT840" s="408">
        <v>452.9088014453564</v>
      </c>
      <c r="CU840" s="408">
        <v>0</v>
      </c>
      <c r="CV840" s="408">
        <v>0</v>
      </c>
      <c r="CW840" s="408"/>
      <c r="CX840" s="408"/>
      <c r="CY840" s="408"/>
      <c r="CZ840" s="408">
        <v>454.25452564501404</v>
      </c>
      <c r="DA840" s="408">
        <v>0</v>
      </c>
      <c r="DB840" s="408">
        <v>0</v>
      </c>
      <c r="DC840" s="408"/>
      <c r="DD840" s="408"/>
      <c r="DE840" s="408">
        <v>0</v>
      </c>
      <c r="DF840" s="408">
        <v>0</v>
      </c>
      <c r="DG840" s="408">
        <v>22.975230921145425</v>
      </c>
      <c r="DH840" s="408">
        <v>0</v>
      </c>
      <c r="DI840" s="408">
        <v>-44.074872524875218</v>
      </c>
      <c r="DJ840" s="408"/>
      <c r="DK840" s="408">
        <v>0</v>
      </c>
      <c r="DL840" s="408">
        <v>0</v>
      </c>
      <c r="DM840" s="408"/>
      <c r="DN840" s="408">
        <v>0</v>
      </c>
      <c r="DO840" s="408">
        <v>-6.9666705604466017</v>
      </c>
      <c r="DP840" s="408">
        <v>-0.54920817424019219</v>
      </c>
      <c r="DQ840" s="408">
        <v>0</v>
      </c>
      <c r="DR840" s="408">
        <v>0</v>
      </c>
      <c r="DS840" s="408"/>
      <c r="DT840" s="408"/>
      <c r="DU840" s="408"/>
      <c r="DV840" s="408">
        <v>24447.235562957525</v>
      </c>
      <c r="DW840" s="408">
        <v>0</v>
      </c>
      <c r="DX840" s="408">
        <v>0</v>
      </c>
      <c r="DY840" s="408">
        <v>-5097.3974799999996</v>
      </c>
      <c r="DZ840" s="408"/>
      <c r="EA840" s="408">
        <v>0</v>
      </c>
      <c r="EB840" s="408"/>
      <c r="EC840" s="408">
        <v>-6073.1080016885026</v>
      </c>
      <c r="ED840" s="408"/>
      <c r="EE840" s="408">
        <v>0</v>
      </c>
      <c r="EF840" s="408">
        <v>0</v>
      </c>
      <c r="EG840" s="408"/>
      <c r="EH840" s="408">
        <v>0</v>
      </c>
      <c r="EI840" s="408">
        <v>0</v>
      </c>
      <c r="EJ840" s="408">
        <v>0</v>
      </c>
      <c r="EK840" s="408">
        <v>0</v>
      </c>
      <c r="EL840" s="408">
        <v>0</v>
      </c>
      <c r="EM840" s="408"/>
      <c r="EN840" s="408"/>
      <c r="EO840" s="408">
        <v>0</v>
      </c>
      <c r="EP840" s="408">
        <v>331.47777665537137</v>
      </c>
      <c r="EQ840" s="408"/>
      <c r="ER840" s="408">
        <v>0</v>
      </c>
      <c r="ES840" s="408"/>
      <c r="ET840" s="408">
        <v>0</v>
      </c>
      <c r="EU840" s="408"/>
      <c r="EV840" s="408">
        <v>240</v>
      </c>
      <c r="EW840" s="408"/>
      <c r="EX840" s="408"/>
      <c r="EY840" s="408"/>
      <c r="EZ840" s="408"/>
      <c r="FA840" s="408">
        <v>0</v>
      </c>
      <c r="FB840" s="408"/>
      <c r="FC840" s="408"/>
      <c r="FD840" s="408"/>
      <c r="FE840" s="408"/>
      <c r="FF840" s="408">
        <v>0</v>
      </c>
      <c r="FG840" s="408">
        <v>0</v>
      </c>
      <c r="FH840" s="408">
        <v>0</v>
      </c>
      <c r="FI840" s="408">
        <v>0</v>
      </c>
    </row>
    <row r="841" spans="1:165">
      <c r="A841" s="408">
        <v>839</v>
      </c>
      <c r="B841" s="408" t="s">
        <v>1036</v>
      </c>
      <c r="C841" s="408" t="s">
        <v>2243</v>
      </c>
      <c r="D841" s="408" t="s">
        <v>597</v>
      </c>
      <c r="E841" s="408" t="s">
        <v>970</v>
      </c>
      <c r="F841" s="408" t="s">
        <v>1322</v>
      </c>
      <c r="G841" s="408" t="s">
        <v>2318</v>
      </c>
      <c r="H841" s="408" t="s">
        <v>1322</v>
      </c>
      <c r="I841" s="408" t="s">
        <v>2244</v>
      </c>
      <c r="J841" s="408" t="s">
        <v>2319</v>
      </c>
      <c r="K841" s="826">
        <v>44409</v>
      </c>
      <c r="L841" s="408">
        <v>0</v>
      </c>
      <c r="M841" s="408">
        <v>0</v>
      </c>
      <c r="N841" s="408">
        <v>245.51300000000001</v>
      </c>
      <c r="O841" s="408">
        <v>245.51300000000001</v>
      </c>
      <c r="P841" s="408">
        <v>0</v>
      </c>
      <c r="Q841" s="408">
        <v>0</v>
      </c>
      <c r="R841" s="408"/>
      <c r="S841" s="408">
        <v>85.01</v>
      </c>
      <c r="T841" s="408"/>
      <c r="U841" s="408"/>
      <c r="V841" s="408">
        <v>20871.060130000002</v>
      </c>
      <c r="W841" s="408">
        <v>20871.060130000002</v>
      </c>
      <c r="X841" s="408">
        <v>20581.354790000001</v>
      </c>
      <c r="Y841" s="408">
        <v>0</v>
      </c>
      <c r="Z841" s="408">
        <v>13145.824029659501</v>
      </c>
      <c r="AA841" s="408">
        <v>0</v>
      </c>
      <c r="AB841" s="408">
        <v>0</v>
      </c>
      <c r="AC841" s="408">
        <v>0</v>
      </c>
      <c r="AD841" s="408">
        <v>0</v>
      </c>
      <c r="AE841" s="408">
        <v>0</v>
      </c>
      <c r="AF841" s="408"/>
      <c r="AG841" s="408"/>
      <c r="AH841" s="408"/>
      <c r="AI841" s="408">
        <v>0</v>
      </c>
      <c r="AJ841" s="408">
        <v>0</v>
      </c>
      <c r="AK841" s="408">
        <v>0</v>
      </c>
      <c r="AL841" s="408">
        <v>2334.5905504769935</v>
      </c>
      <c r="AM841" s="408"/>
      <c r="AN841" s="408">
        <v>196.61020519053199</v>
      </c>
      <c r="AO841" s="408">
        <v>0</v>
      </c>
      <c r="AP841" s="408">
        <v>0</v>
      </c>
      <c r="AQ841" s="408">
        <v>0</v>
      </c>
      <c r="AR841" s="408">
        <v>0</v>
      </c>
      <c r="AS841" s="408"/>
      <c r="AT841" s="408"/>
      <c r="AU841" s="408">
        <v>0</v>
      </c>
      <c r="AV841" s="408">
        <v>0</v>
      </c>
      <c r="AW841" s="408">
        <v>0</v>
      </c>
      <c r="AX841" s="408"/>
      <c r="AY841" s="408"/>
      <c r="AZ841" s="408">
        <v>0</v>
      </c>
      <c r="BA841" s="408"/>
      <c r="BB841" s="408">
        <v>0</v>
      </c>
      <c r="BC841" s="408">
        <v>0</v>
      </c>
      <c r="BD841" s="408">
        <v>0</v>
      </c>
      <c r="BE841" s="408">
        <v>0</v>
      </c>
      <c r="BF841" s="408"/>
      <c r="BG841" s="408">
        <v>1836.107413663336</v>
      </c>
      <c r="BH841" s="408">
        <v>0</v>
      </c>
      <c r="BI841" s="408">
        <v>0</v>
      </c>
      <c r="BJ841" s="408">
        <v>0</v>
      </c>
      <c r="BK841" s="408">
        <v>0</v>
      </c>
      <c r="BL841" s="408">
        <v>0</v>
      </c>
      <c r="BM841" s="408"/>
      <c r="BN841" s="408"/>
      <c r="BO841" s="408"/>
      <c r="BP841" s="408"/>
      <c r="BQ841" s="408"/>
      <c r="BR841" s="408"/>
      <c r="BS841" s="408"/>
      <c r="BT841" s="408"/>
      <c r="BU841" s="408"/>
      <c r="BV841" s="408">
        <v>1836.107413663336</v>
      </c>
      <c r="BW841" s="408"/>
      <c r="BX841" s="408"/>
      <c r="BY841" s="408"/>
      <c r="BZ841" s="408"/>
      <c r="CA841" s="408"/>
      <c r="CB841" s="408"/>
      <c r="CC841" s="408"/>
      <c r="CD841" s="408"/>
      <c r="CE841" s="408"/>
      <c r="CF841" s="408"/>
      <c r="CG841" s="408"/>
      <c r="CH841" s="408"/>
      <c r="CI841" s="408">
        <v>20581.103299999999</v>
      </c>
      <c r="CJ841" s="408">
        <v>-289.98682999999801</v>
      </c>
      <c r="CK841" s="408"/>
      <c r="CL841" s="408"/>
      <c r="CM841" s="408"/>
      <c r="CN841" s="408"/>
      <c r="CO841" s="408">
        <v>-289.70534000000168</v>
      </c>
      <c r="CP841" s="408">
        <v>0</v>
      </c>
      <c r="CQ841" s="408">
        <v>31</v>
      </c>
      <c r="CR841" s="408">
        <v>-289.81816941733632</v>
      </c>
      <c r="CS841" s="408">
        <v>0</v>
      </c>
      <c r="CT841" s="408">
        <v>0</v>
      </c>
      <c r="CU841" s="408">
        <v>0</v>
      </c>
      <c r="CV841" s="408">
        <v>0</v>
      </c>
      <c r="CW841" s="408"/>
      <c r="CX841" s="408"/>
      <c r="CY841" s="408"/>
      <c r="CZ841" s="408">
        <v>0</v>
      </c>
      <c r="DA841" s="408">
        <v>0</v>
      </c>
      <c r="DB841" s="408">
        <v>0</v>
      </c>
      <c r="DC841" s="408"/>
      <c r="DD841" s="408"/>
      <c r="DE841" s="408">
        <v>0</v>
      </c>
      <c r="DF841" s="408">
        <v>0</v>
      </c>
      <c r="DG841" s="408">
        <v>232.69328283252253</v>
      </c>
      <c r="DH841" s="408">
        <v>0</v>
      </c>
      <c r="DI841" s="408">
        <v>-446.39058529762406</v>
      </c>
      <c r="DJ841" s="408"/>
      <c r="DK841" s="408">
        <v>0</v>
      </c>
      <c r="DL841" s="408">
        <v>0</v>
      </c>
      <c r="DM841" s="408"/>
      <c r="DN841" s="408">
        <v>0</v>
      </c>
      <c r="DO841" s="408">
        <v>-70.558483119793891</v>
      </c>
      <c r="DP841" s="408">
        <v>-5.5623838324422934</v>
      </c>
      <c r="DQ841" s="408">
        <v>0</v>
      </c>
      <c r="DR841" s="408">
        <v>0</v>
      </c>
      <c r="DS841" s="408"/>
      <c r="DT841" s="408"/>
      <c r="DU841" s="408"/>
      <c r="DV841" s="408">
        <v>0</v>
      </c>
      <c r="DW841" s="408">
        <v>0</v>
      </c>
      <c r="DX841" s="408">
        <v>0</v>
      </c>
      <c r="DY841" s="408">
        <v>-289.70534000000043</v>
      </c>
      <c r="DZ841" s="408"/>
      <c r="EA841" s="408">
        <v>0</v>
      </c>
      <c r="EB841" s="408"/>
      <c r="EC841" s="408">
        <v>0</v>
      </c>
      <c r="ED841" s="408"/>
      <c r="EE841" s="408">
        <v>0</v>
      </c>
      <c r="EF841" s="408">
        <v>0</v>
      </c>
      <c r="EG841" s="408"/>
      <c r="EH841" s="408">
        <v>0</v>
      </c>
      <c r="EI841" s="408">
        <v>0</v>
      </c>
      <c r="EJ841" s="408">
        <v>0</v>
      </c>
      <c r="EK841" s="408">
        <v>0</v>
      </c>
      <c r="EL841" s="408">
        <v>0</v>
      </c>
      <c r="EM841" s="408"/>
      <c r="EN841" s="408"/>
      <c r="EO841" s="408">
        <v>0</v>
      </c>
      <c r="EP841" s="408">
        <v>3357.209000453372</v>
      </c>
      <c r="EQ841" s="408"/>
      <c r="ER841" s="408">
        <v>0</v>
      </c>
      <c r="ES841" s="408"/>
      <c r="ET841" s="408">
        <v>0</v>
      </c>
      <c r="EU841" s="408"/>
      <c r="EV841" s="408">
        <v>240</v>
      </c>
      <c r="EW841" s="408"/>
      <c r="EX841" s="408"/>
      <c r="EY841" s="408"/>
      <c r="EZ841" s="408"/>
      <c r="FA841" s="408">
        <v>0</v>
      </c>
      <c r="FB841" s="408"/>
      <c r="FC841" s="408"/>
      <c r="FD841" s="408"/>
      <c r="FE841" s="408"/>
      <c r="FF841" s="408">
        <v>0</v>
      </c>
      <c r="FG841" s="408">
        <v>0</v>
      </c>
      <c r="FH841" s="408">
        <v>0</v>
      </c>
      <c r="FI841" s="408">
        <v>0</v>
      </c>
    </row>
    <row r="842" spans="1:165">
      <c r="A842" s="408">
        <v>840</v>
      </c>
      <c r="B842" s="408" t="s">
        <v>1036</v>
      </c>
      <c r="C842" s="408" t="s">
        <v>2243</v>
      </c>
      <c r="D842" s="408" t="s">
        <v>597</v>
      </c>
      <c r="E842" s="408" t="s">
        <v>970</v>
      </c>
      <c r="F842" s="408" t="s">
        <v>1322</v>
      </c>
      <c r="G842" s="408" t="s">
        <v>2318</v>
      </c>
      <c r="H842" s="408" t="s">
        <v>1322</v>
      </c>
      <c r="I842" s="408" t="s">
        <v>1322</v>
      </c>
      <c r="J842" s="408" t="s">
        <v>2319</v>
      </c>
      <c r="K842" s="826">
        <v>44409</v>
      </c>
      <c r="L842" s="408">
        <v>1470</v>
      </c>
      <c r="M842" s="408">
        <v>772.49928839999995</v>
      </c>
      <c r="N842" s="408">
        <v>0</v>
      </c>
      <c r="O842" s="408">
        <v>0</v>
      </c>
      <c r="P842" s="408">
        <v>0</v>
      </c>
      <c r="Q842" s="408">
        <v>0</v>
      </c>
      <c r="R842" s="408">
        <v>27.19</v>
      </c>
      <c r="S842" s="408"/>
      <c r="T842" s="408"/>
      <c r="U842" s="408">
        <v>39969.300000000003</v>
      </c>
      <c r="V842" s="408"/>
      <c r="W842" s="408">
        <v>39969.300000000003</v>
      </c>
      <c r="X842" s="408">
        <v>31987.200000000001</v>
      </c>
      <c r="Y842" s="408">
        <v>0</v>
      </c>
      <c r="Z842" s="408">
        <v>0</v>
      </c>
      <c r="AA842" s="408">
        <v>0</v>
      </c>
      <c r="AB842" s="408">
        <v>0</v>
      </c>
      <c r="AC842" s="408">
        <v>342.80490173851911</v>
      </c>
      <c r="AD842" s="408">
        <v>329.33121387452331</v>
      </c>
      <c r="AE842" s="408">
        <v>35180.084457444464</v>
      </c>
      <c r="AF842" s="408"/>
      <c r="AG842" s="408"/>
      <c r="AH842" s="408"/>
      <c r="AI842" s="408">
        <v>0</v>
      </c>
      <c r="AJ842" s="408">
        <v>0</v>
      </c>
      <c r="AK842" s="408">
        <v>0</v>
      </c>
      <c r="AL842" s="408">
        <v>0</v>
      </c>
      <c r="AM842" s="408"/>
      <c r="AN842" s="408">
        <v>0</v>
      </c>
      <c r="AO842" s="408">
        <v>727.48070170298206</v>
      </c>
      <c r="AP842" s="408">
        <v>3392.8905992268906</v>
      </c>
      <c r="AQ842" s="408">
        <v>0</v>
      </c>
      <c r="AR842" s="408">
        <v>0</v>
      </c>
      <c r="AS842" s="408"/>
      <c r="AT842" s="408"/>
      <c r="AU842" s="408">
        <v>0</v>
      </c>
      <c r="AV842" s="408">
        <v>0</v>
      </c>
      <c r="AW842" s="408">
        <v>0</v>
      </c>
      <c r="AX842" s="408"/>
      <c r="AY842" s="408"/>
      <c r="AZ842" s="408">
        <v>0</v>
      </c>
      <c r="BA842" s="408"/>
      <c r="BB842" s="408">
        <v>0</v>
      </c>
      <c r="BC842" s="408">
        <v>0</v>
      </c>
      <c r="BD842" s="408">
        <v>0</v>
      </c>
      <c r="BE842" s="408">
        <v>0</v>
      </c>
      <c r="BF842" s="408"/>
      <c r="BG842" s="408">
        <v>0</v>
      </c>
      <c r="BH842" s="408">
        <v>0</v>
      </c>
      <c r="BI842" s="408">
        <v>340.58</v>
      </c>
      <c r="BJ842" s="408">
        <v>0</v>
      </c>
      <c r="BK842" s="408">
        <v>12994.09</v>
      </c>
      <c r="BL842" s="408">
        <v>3</v>
      </c>
      <c r="BM842" s="408"/>
      <c r="BN842" s="408">
        <v>15177.615484416003</v>
      </c>
      <c r="BO842" s="408"/>
      <c r="BP842" s="408"/>
      <c r="BQ842" s="408"/>
      <c r="BR842" s="408"/>
      <c r="BS842" s="408"/>
      <c r="BT842" s="408"/>
      <c r="BU842" s="408"/>
      <c r="BV842" s="408">
        <v>0</v>
      </c>
      <c r="BW842" s="408"/>
      <c r="BX842" s="408"/>
      <c r="BY842" s="408"/>
      <c r="BZ842" s="408"/>
      <c r="CA842" s="408"/>
      <c r="CB842" s="408"/>
      <c r="CC842" s="408"/>
      <c r="CD842" s="408"/>
      <c r="CE842" s="408"/>
      <c r="CF842" s="408"/>
      <c r="CG842" s="408"/>
      <c r="CH842" s="408"/>
      <c r="CI842" s="408">
        <v>16809.600000000002</v>
      </c>
      <c r="CJ842" s="408">
        <v>-4194.6856515959917</v>
      </c>
      <c r="CK842" s="408"/>
      <c r="CL842" s="408"/>
      <c r="CM842" s="408"/>
      <c r="CN842" s="408"/>
      <c r="CO842" s="408">
        <v>-7982.0999999999995</v>
      </c>
      <c r="CP842" s="408">
        <v>0</v>
      </c>
      <c r="CQ842" s="408">
        <v>31</v>
      </c>
      <c r="CR842" s="408">
        <v>749.68822373974854</v>
      </c>
      <c r="CS842" s="408">
        <v>72.491896976441012</v>
      </c>
      <c r="CT842" s="408">
        <v>338.09429610397092</v>
      </c>
      <c r="CU842" s="408">
        <v>0</v>
      </c>
      <c r="CV842" s="408">
        <v>0</v>
      </c>
      <c r="CW842" s="408"/>
      <c r="CX842" s="408"/>
      <c r="CY842" s="408"/>
      <c r="CZ842" s="408">
        <v>339.10203065933695</v>
      </c>
      <c r="DA842" s="408">
        <v>0</v>
      </c>
      <c r="DB842" s="408">
        <v>0</v>
      </c>
      <c r="DC842" s="408"/>
      <c r="DD842" s="408"/>
      <c r="DE842" s="408">
        <v>0</v>
      </c>
      <c r="DF842" s="408">
        <v>0</v>
      </c>
      <c r="DG842" s="408">
        <v>0</v>
      </c>
      <c r="DH842" s="408">
        <v>0</v>
      </c>
      <c r="DI842" s="408">
        <v>0</v>
      </c>
      <c r="DJ842" s="408"/>
      <c r="DK842" s="408">
        <v>0</v>
      </c>
      <c r="DL842" s="408">
        <v>0</v>
      </c>
      <c r="DM842" s="408"/>
      <c r="DN842" s="408">
        <v>0</v>
      </c>
      <c r="DO842" s="408">
        <v>0</v>
      </c>
      <c r="DP842" s="408">
        <v>0</v>
      </c>
      <c r="DQ842" s="408">
        <v>0</v>
      </c>
      <c r="DR842" s="408">
        <v>0</v>
      </c>
      <c r="DS842" s="408"/>
      <c r="DT842" s="408"/>
      <c r="DU842" s="408">
        <v>35180.084457444464</v>
      </c>
      <c r="DV842" s="408"/>
      <c r="DW842" s="408">
        <v>0</v>
      </c>
      <c r="DX842" s="408">
        <v>0</v>
      </c>
      <c r="DY842" s="408">
        <v>-7982.1000000000022</v>
      </c>
      <c r="DZ842" s="408"/>
      <c r="EA842" s="408">
        <v>0</v>
      </c>
      <c r="EB842" s="408"/>
      <c r="EC842" s="408">
        <v>-8739.3297237380611</v>
      </c>
      <c r="ED842" s="408"/>
      <c r="EE842" s="408">
        <v>0</v>
      </c>
      <c r="EF842" s="408">
        <v>0</v>
      </c>
      <c r="EG842" s="408"/>
      <c r="EH842" s="408">
        <v>0</v>
      </c>
      <c r="EI842" s="408">
        <v>0</v>
      </c>
      <c r="EJ842" s="408">
        <v>0</v>
      </c>
      <c r="EK842" s="408">
        <v>0</v>
      </c>
      <c r="EL842" s="408">
        <v>0</v>
      </c>
      <c r="EM842" s="408"/>
      <c r="EN842" s="408"/>
      <c r="EO842" s="408">
        <v>0</v>
      </c>
      <c r="EP842" s="408">
        <v>0</v>
      </c>
      <c r="EQ842" s="408"/>
      <c r="ER842" s="408">
        <v>0</v>
      </c>
      <c r="ES842" s="408"/>
      <c r="ET842" s="408">
        <v>0</v>
      </c>
      <c r="EU842" s="408"/>
      <c r="EV842" s="408">
        <v>240</v>
      </c>
      <c r="EW842" s="408"/>
      <c r="EX842" s="408"/>
      <c r="EY842" s="408"/>
      <c r="EZ842" s="408"/>
      <c r="FA842" s="408">
        <v>0</v>
      </c>
      <c r="FB842" s="408"/>
      <c r="FC842" s="408"/>
      <c r="FD842" s="408"/>
      <c r="FE842" s="408"/>
      <c r="FF842" s="408">
        <v>0</v>
      </c>
      <c r="FG842" s="408">
        <v>0</v>
      </c>
      <c r="FH842" s="408">
        <v>0</v>
      </c>
      <c r="FI842" s="408">
        <v>0</v>
      </c>
    </row>
    <row r="843" spans="1:165">
      <c r="A843" s="408">
        <v>841</v>
      </c>
      <c r="B843" s="408" t="s">
        <v>1036</v>
      </c>
      <c r="C843" s="408" t="s">
        <v>993</v>
      </c>
      <c r="D843" s="408" t="s">
        <v>599</v>
      </c>
      <c r="E843" s="408" t="s">
        <v>1322</v>
      </c>
      <c r="F843" s="408" t="s">
        <v>1322</v>
      </c>
      <c r="G843" s="408" t="s">
        <v>1322</v>
      </c>
      <c r="H843" s="408" t="s">
        <v>2320</v>
      </c>
      <c r="I843" s="408" t="s">
        <v>1322</v>
      </c>
      <c r="J843" s="408" t="s">
        <v>2256</v>
      </c>
      <c r="K843" s="826">
        <v>44409</v>
      </c>
      <c r="L843" s="408">
        <v>7020</v>
      </c>
      <c r="M843" s="408">
        <v>3510</v>
      </c>
      <c r="N843" s="408">
        <v>0</v>
      </c>
      <c r="O843" s="408">
        <v>0</v>
      </c>
      <c r="P843" s="408">
        <v>0</v>
      </c>
      <c r="Q843" s="408">
        <v>0</v>
      </c>
      <c r="R843" s="408">
        <v>6.87</v>
      </c>
      <c r="S843" s="408"/>
      <c r="T843" s="408"/>
      <c r="U843" s="408">
        <v>48227.4</v>
      </c>
      <c r="V843" s="408"/>
      <c r="W843" s="408">
        <v>48227.4</v>
      </c>
      <c r="X843" s="408">
        <v>40084.199999999997</v>
      </c>
      <c r="Y843" s="408">
        <v>0</v>
      </c>
      <c r="Z843" s="408">
        <v>0</v>
      </c>
      <c r="AA843" s="408">
        <v>0</v>
      </c>
      <c r="AB843" s="408">
        <v>0</v>
      </c>
      <c r="AC843" s="408">
        <v>0</v>
      </c>
      <c r="AD843" s="408">
        <v>2031.0321998913851</v>
      </c>
      <c r="AE843" s="408">
        <v>42729.467006265557</v>
      </c>
      <c r="AF843" s="408"/>
      <c r="AG843" s="408"/>
      <c r="AH843" s="408"/>
      <c r="AI843" s="408">
        <v>0</v>
      </c>
      <c r="AJ843" s="408">
        <v>0</v>
      </c>
      <c r="AK843" s="408">
        <v>0</v>
      </c>
      <c r="AL843" s="408">
        <v>0</v>
      </c>
      <c r="AM843" s="408"/>
      <c r="AN843" s="408">
        <v>0</v>
      </c>
      <c r="AO843" s="408">
        <v>0</v>
      </c>
      <c r="AP843" s="408">
        <v>0</v>
      </c>
      <c r="AQ843" s="408">
        <v>0</v>
      </c>
      <c r="AR843" s="408">
        <v>0</v>
      </c>
      <c r="AS843" s="408"/>
      <c r="AT843" s="408"/>
      <c r="AU843" s="408">
        <v>0</v>
      </c>
      <c r="AV843" s="408">
        <v>0</v>
      </c>
      <c r="AW843" s="408">
        <v>0</v>
      </c>
      <c r="AX843" s="408"/>
      <c r="AY843" s="408"/>
      <c r="AZ843" s="408">
        <v>0</v>
      </c>
      <c r="BA843" s="408"/>
      <c r="BB843" s="408">
        <v>0</v>
      </c>
      <c r="BC843" s="408">
        <v>0</v>
      </c>
      <c r="BD843" s="408">
        <v>0</v>
      </c>
      <c r="BE843" s="408">
        <v>0</v>
      </c>
      <c r="BF843" s="408"/>
      <c r="BG843" s="408">
        <v>3436.1874076712338</v>
      </c>
      <c r="BH843" s="408">
        <v>0</v>
      </c>
      <c r="BI843" s="408">
        <v>135.18</v>
      </c>
      <c r="BJ843" s="408">
        <v>0</v>
      </c>
      <c r="BK843" s="408">
        <v>0</v>
      </c>
      <c r="BL843" s="408">
        <v>0</v>
      </c>
      <c r="BM843" s="408"/>
      <c r="BN843" s="408"/>
      <c r="BO843" s="408">
        <v>20042.099999999999</v>
      </c>
      <c r="BP843" s="408"/>
      <c r="BQ843" s="408"/>
      <c r="BR843" s="408"/>
      <c r="BS843" s="408"/>
      <c r="BT843" s="408"/>
      <c r="BU843" s="408"/>
      <c r="BV843" s="408">
        <v>3436.1874076712338</v>
      </c>
      <c r="BW843" s="408"/>
      <c r="BX843" s="408"/>
      <c r="BY843" s="408"/>
      <c r="BZ843" s="408"/>
      <c r="CA843" s="408"/>
      <c r="CB843" s="408"/>
      <c r="CC843" s="408"/>
      <c r="CD843" s="408"/>
      <c r="CE843" s="408"/>
      <c r="CF843" s="408"/>
      <c r="CG843" s="408"/>
      <c r="CH843" s="408"/>
      <c r="CI843" s="408">
        <v>20042.099999999999</v>
      </c>
      <c r="CJ843" s="408">
        <v>-4071.6299999999974</v>
      </c>
      <c r="CK843" s="408"/>
      <c r="CL843" s="408"/>
      <c r="CM843" s="408"/>
      <c r="CN843" s="408"/>
      <c r="CO843" s="408">
        <v>-8143.2000000000007</v>
      </c>
      <c r="CP843" s="408">
        <v>0</v>
      </c>
      <c r="CQ843" s="408">
        <v>31</v>
      </c>
      <c r="CR843" s="408">
        <v>2526.7645846364476</v>
      </c>
      <c r="CS843" s="408">
        <v>0</v>
      </c>
      <c r="CT843" s="408">
        <v>0</v>
      </c>
      <c r="CU843" s="408">
        <v>0</v>
      </c>
      <c r="CV843" s="408">
        <v>0</v>
      </c>
      <c r="CW843" s="408"/>
      <c r="CX843" s="408"/>
      <c r="CY843" s="408"/>
      <c r="CZ843" s="408">
        <v>2091.2902096795342</v>
      </c>
      <c r="DA843" s="408">
        <v>0</v>
      </c>
      <c r="DB843" s="408">
        <v>0</v>
      </c>
      <c r="DC843" s="408"/>
      <c r="DD843" s="408"/>
      <c r="DE843" s="408">
        <v>0</v>
      </c>
      <c r="DF843" s="408">
        <v>0</v>
      </c>
      <c r="DG843" s="408">
        <v>435.47437495691338</v>
      </c>
      <c r="DH843" s="408">
        <v>0</v>
      </c>
      <c r="DI843" s="408">
        <v>0</v>
      </c>
      <c r="DJ843" s="408"/>
      <c r="DK843" s="408">
        <v>0</v>
      </c>
      <c r="DL843" s="408">
        <v>0</v>
      </c>
      <c r="DM843" s="408"/>
      <c r="DN843" s="408">
        <v>0</v>
      </c>
      <c r="DO843" s="408">
        <v>0</v>
      </c>
      <c r="DP843" s="408">
        <v>0</v>
      </c>
      <c r="DQ843" s="408">
        <v>0</v>
      </c>
      <c r="DR843" s="408">
        <v>0</v>
      </c>
      <c r="DS843" s="408"/>
      <c r="DT843" s="408"/>
      <c r="DU843" s="408">
        <v>42729.467006265557</v>
      </c>
      <c r="DV843" s="408"/>
      <c r="DW843" s="408">
        <v>0</v>
      </c>
      <c r="DX843" s="408">
        <v>0</v>
      </c>
      <c r="DY843" s="408">
        <v>-8143.2000000000044</v>
      </c>
      <c r="DZ843" s="408"/>
      <c r="EA843" s="408">
        <v>0</v>
      </c>
      <c r="EB843" s="408"/>
      <c r="EC843" s="408">
        <v>-10614.724405765934</v>
      </c>
      <c r="ED843" s="408"/>
      <c r="EE843" s="408">
        <v>0</v>
      </c>
      <c r="EF843" s="408">
        <v>0</v>
      </c>
      <c r="EG843" s="408"/>
      <c r="EH843" s="408">
        <v>0</v>
      </c>
      <c r="EI843" s="408">
        <v>0</v>
      </c>
      <c r="EJ843" s="408">
        <v>0</v>
      </c>
      <c r="EK843" s="408">
        <v>0</v>
      </c>
      <c r="EL843" s="408">
        <v>0</v>
      </c>
      <c r="EM843" s="408"/>
      <c r="EN843" s="408"/>
      <c r="EO843" s="408">
        <v>0</v>
      </c>
      <c r="EP843" s="408">
        <v>0</v>
      </c>
      <c r="EQ843" s="408"/>
      <c r="ER843" s="408">
        <v>0</v>
      </c>
      <c r="ES843" s="408"/>
      <c r="ET843" s="408">
        <v>0</v>
      </c>
      <c r="EU843" s="408"/>
      <c r="EV843" s="408">
        <v>240</v>
      </c>
      <c r="EW843" s="408"/>
      <c r="EX843" s="408"/>
      <c r="EY843" s="408"/>
      <c r="EZ843" s="408"/>
      <c r="FA843" s="408">
        <v>0</v>
      </c>
      <c r="FB843" s="408"/>
      <c r="FC843" s="408"/>
      <c r="FD843" s="408"/>
      <c r="FE843" s="408"/>
      <c r="FF843" s="408">
        <v>0</v>
      </c>
      <c r="FG843" s="408">
        <v>0</v>
      </c>
      <c r="FH843" s="408">
        <v>0</v>
      </c>
      <c r="FI843" s="408">
        <v>0</v>
      </c>
    </row>
    <row r="844" spans="1:165">
      <c r="A844" s="408">
        <v>842</v>
      </c>
      <c r="B844" s="408" t="s">
        <v>1036</v>
      </c>
      <c r="C844" s="408" t="s">
        <v>2247</v>
      </c>
      <c r="D844" s="408" t="s">
        <v>597</v>
      </c>
      <c r="E844" s="408" t="s">
        <v>970</v>
      </c>
      <c r="F844" s="408" t="s">
        <v>1322</v>
      </c>
      <c r="G844" s="408" t="s">
        <v>2318</v>
      </c>
      <c r="H844" s="408" t="s">
        <v>1322</v>
      </c>
      <c r="I844" s="408" t="s">
        <v>973</v>
      </c>
      <c r="J844" s="408" t="s">
        <v>2319</v>
      </c>
      <c r="K844" s="826">
        <v>44440</v>
      </c>
      <c r="L844" s="408">
        <v>7800</v>
      </c>
      <c r="M844" s="408">
        <v>3900</v>
      </c>
      <c r="N844" s="408">
        <v>0</v>
      </c>
      <c r="O844" s="408">
        <v>0</v>
      </c>
      <c r="P844" s="408">
        <v>0</v>
      </c>
      <c r="Q844" s="408">
        <v>0</v>
      </c>
      <c r="R844" s="408">
        <v>52.95</v>
      </c>
      <c r="S844" s="408"/>
      <c r="T844" s="408"/>
      <c r="U844" s="408">
        <v>413010</v>
      </c>
      <c r="V844" s="408"/>
      <c r="W844" s="408">
        <v>413010</v>
      </c>
      <c r="X844" s="408">
        <v>345150</v>
      </c>
      <c r="Y844" s="408">
        <v>0</v>
      </c>
      <c r="Z844" s="408">
        <v>0</v>
      </c>
      <c r="AA844" s="408">
        <v>0</v>
      </c>
      <c r="AB844" s="408">
        <v>0</v>
      </c>
      <c r="AC844" s="408">
        <v>6143.7967769655443</v>
      </c>
      <c r="AD844" s="408">
        <v>5902.6636731637609</v>
      </c>
      <c r="AE844" s="408">
        <v>327082.9691133537</v>
      </c>
      <c r="AF844" s="408"/>
      <c r="AG844" s="408"/>
      <c r="AH844" s="408"/>
      <c r="AI844" s="408">
        <v>0</v>
      </c>
      <c r="AJ844" s="408">
        <v>0</v>
      </c>
      <c r="AK844" s="408">
        <v>0</v>
      </c>
      <c r="AL844" s="408">
        <v>0</v>
      </c>
      <c r="AM844" s="408"/>
      <c r="AN844" s="408">
        <v>0</v>
      </c>
      <c r="AO844" s="408">
        <v>13041.996884625618</v>
      </c>
      <c r="AP844" s="408">
        <v>60812.114336929255</v>
      </c>
      <c r="AQ844" s="408">
        <v>0</v>
      </c>
      <c r="AR844" s="408">
        <v>0</v>
      </c>
      <c r="AS844" s="408"/>
      <c r="AT844" s="408"/>
      <c r="AU844" s="408">
        <v>0</v>
      </c>
      <c r="AV844" s="408">
        <v>0</v>
      </c>
      <c r="AW844" s="408">
        <v>0</v>
      </c>
      <c r="AX844" s="408"/>
      <c r="AY844" s="408"/>
      <c r="AZ844" s="408">
        <v>0</v>
      </c>
      <c r="BA844" s="408"/>
      <c r="BB844" s="408">
        <v>0</v>
      </c>
      <c r="BC844" s="408">
        <v>0</v>
      </c>
      <c r="BD844" s="408">
        <v>0</v>
      </c>
      <c r="BE844" s="408">
        <v>0</v>
      </c>
      <c r="BF844" s="408"/>
      <c r="BG844" s="408">
        <v>0</v>
      </c>
      <c r="BH844" s="408">
        <v>0</v>
      </c>
      <c r="BI844" s="408">
        <v>0</v>
      </c>
      <c r="BJ844" s="408">
        <v>0</v>
      </c>
      <c r="BK844" s="408">
        <v>0</v>
      </c>
      <c r="BL844" s="408">
        <v>0</v>
      </c>
      <c r="BM844" s="408"/>
      <c r="BN844" s="408">
        <v>172575</v>
      </c>
      <c r="BO844" s="408"/>
      <c r="BP844" s="408"/>
      <c r="BQ844" s="408"/>
      <c r="BR844" s="408"/>
      <c r="BS844" s="408"/>
      <c r="BT844" s="408"/>
      <c r="BU844" s="408"/>
      <c r="BV844" s="408">
        <v>0</v>
      </c>
      <c r="BW844" s="408"/>
      <c r="BX844" s="408"/>
      <c r="BY844" s="408"/>
      <c r="BZ844" s="408"/>
      <c r="CA844" s="408"/>
      <c r="CB844" s="408"/>
      <c r="CC844" s="408"/>
      <c r="CD844" s="408"/>
      <c r="CE844" s="408"/>
      <c r="CF844" s="408"/>
      <c r="CG844" s="408"/>
      <c r="CH844" s="408"/>
      <c r="CI844" s="408">
        <v>172575</v>
      </c>
      <c r="CJ844" s="408">
        <v>-33930.030000000028</v>
      </c>
      <c r="CK844" s="408"/>
      <c r="CL844" s="408"/>
      <c r="CM844" s="408"/>
      <c r="CN844" s="408"/>
      <c r="CO844" s="408">
        <v>-67860.000000000029</v>
      </c>
      <c r="CP844" s="408">
        <v>0</v>
      </c>
      <c r="CQ844" s="408">
        <v>30</v>
      </c>
      <c r="CR844" s="408">
        <v>13437.192136518745</v>
      </c>
      <c r="CS844" s="408">
        <v>1299.6071130329037</v>
      </c>
      <c r="CT844" s="408">
        <v>6059.7972112697025</v>
      </c>
      <c r="CU844" s="408">
        <v>0</v>
      </c>
      <c r="CV844" s="408">
        <v>0</v>
      </c>
      <c r="CW844" s="408"/>
      <c r="CX844" s="408"/>
      <c r="CY844" s="408"/>
      <c r="CZ844" s="408">
        <v>6077.7878122161492</v>
      </c>
      <c r="DA844" s="408">
        <v>0</v>
      </c>
      <c r="DB844" s="408">
        <v>0</v>
      </c>
      <c r="DC844" s="408"/>
      <c r="DD844" s="408"/>
      <c r="DE844" s="408">
        <v>0</v>
      </c>
      <c r="DF844" s="408">
        <v>0</v>
      </c>
      <c r="DG844" s="408">
        <v>0</v>
      </c>
      <c r="DH844" s="408">
        <v>0</v>
      </c>
      <c r="DI844" s="408">
        <v>0</v>
      </c>
      <c r="DJ844" s="408"/>
      <c r="DK844" s="408">
        <v>0</v>
      </c>
      <c r="DL844" s="408">
        <v>0</v>
      </c>
      <c r="DM844" s="408"/>
      <c r="DN844" s="408">
        <v>0</v>
      </c>
      <c r="DO844" s="408">
        <v>0</v>
      </c>
      <c r="DP844" s="408">
        <v>0</v>
      </c>
      <c r="DQ844" s="408">
        <v>0</v>
      </c>
      <c r="DR844" s="408">
        <v>0</v>
      </c>
      <c r="DS844" s="408"/>
      <c r="DT844" s="408"/>
      <c r="DU844" s="408">
        <v>327082.9691133537</v>
      </c>
      <c r="DV844" s="408"/>
      <c r="DW844" s="408">
        <v>0</v>
      </c>
      <c r="DX844" s="408">
        <v>0</v>
      </c>
      <c r="DY844" s="408">
        <v>-67860</v>
      </c>
      <c r="DZ844" s="408"/>
      <c r="EA844" s="408">
        <v>0</v>
      </c>
      <c r="EB844" s="408"/>
      <c r="EC844" s="408">
        <v>-81252.957694248587</v>
      </c>
      <c r="ED844" s="408"/>
      <c r="EE844" s="408">
        <v>0</v>
      </c>
      <c r="EF844" s="408">
        <v>0</v>
      </c>
      <c r="EG844" s="408"/>
      <c r="EH844" s="408">
        <v>0</v>
      </c>
      <c r="EI844" s="408">
        <v>0</v>
      </c>
      <c r="EJ844" s="408">
        <v>0</v>
      </c>
      <c r="EK844" s="408">
        <v>0</v>
      </c>
      <c r="EL844" s="408">
        <v>0</v>
      </c>
      <c r="EM844" s="408"/>
      <c r="EN844" s="408"/>
      <c r="EO844" s="408">
        <v>0</v>
      </c>
      <c r="EP844" s="408">
        <v>0</v>
      </c>
      <c r="EQ844" s="408"/>
      <c r="ER844" s="408">
        <v>0</v>
      </c>
      <c r="ES844" s="408"/>
      <c r="ET844" s="408">
        <v>0</v>
      </c>
      <c r="EU844" s="408"/>
      <c r="EV844" s="408">
        <v>240</v>
      </c>
      <c r="EW844" s="408"/>
      <c r="EX844" s="408"/>
      <c r="EY844" s="408"/>
      <c r="EZ844" s="408"/>
      <c r="FA844" s="408">
        <v>0</v>
      </c>
      <c r="FB844" s="408"/>
      <c r="FC844" s="408"/>
      <c r="FD844" s="408"/>
      <c r="FE844" s="408"/>
      <c r="FF844" s="408">
        <v>0</v>
      </c>
      <c r="FG844" s="408">
        <v>0</v>
      </c>
      <c r="FH844" s="408">
        <v>0</v>
      </c>
      <c r="FI844" s="408">
        <v>0</v>
      </c>
    </row>
    <row r="845" spans="1:165">
      <c r="A845" s="408">
        <v>843</v>
      </c>
      <c r="B845" s="408" t="s">
        <v>1036</v>
      </c>
      <c r="C845" s="408" t="s">
        <v>2247</v>
      </c>
      <c r="D845" s="408" t="s">
        <v>597</v>
      </c>
      <c r="E845" s="408" t="s">
        <v>970</v>
      </c>
      <c r="F845" s="408" t="s">
        <v>1322</v>
      </c>
      <c r="G845" s="408" t="s">
        <v>2318</v>
      </c>
      <c r="H845" s="408" t="s">
        <v>1322</v>
      </c>
      <c r="I845" s="408" t="s">
        <v>2244</v>
      </c>
      <c r="J845" s="408" t="s">
        <v>2319</v>
      </c>
      <c r="K845" s="826">
        <v>44440</v>
      </c>
      <c r="L845" s="408">
        <v>8500</v>
      </c>
      <c r="M845" s="408">
        <v>4250</v>
      </c>
      <c r="N845" s="408">
        <v>0</v>
      </c>
      <c r="O845" s="408">
        <v>0</v>
      </c>
      <c r="P845" s="408">
        <v>0</v>
      </c>
      <c r="Q845" s="408">
        <v>0</v>
      </c>
      <c r="R845" s="408">
        <v>27.19</v>
      </c>
      <c r="S845" s="408"/>
      <c r="T845" s="408"/>
      <c r="U845" s="408">
        <v>231115</v>
      </c>
      <c r="V845" s="408"/>
      <c r="W845" s="408">
        <v>231115</v>
      </c>
      <c r="X845" s="408">
        <v>184960</v>
      </c>
      <c r="Y845" s="408">
        <v>0</v>
      </c>
      <c r="Z845" s="408">
        <v>0</v>
      </c>
      <c r="AA845" s="408">
        <v>0</v>
      </c>
      <c r="AB845" s="408">
        <v>0</v>
      </c>
      <c r="AC845" s="408">
        <v>1982.205214134294</v>
      </c>
      <c r="AD845" s="408">
        <v>1904.296134648604</v>
      </c>
      <c r="AE845" s="408">
        <v>203422.25706685573</v>
      </c>
      <c r="AF845" s="408"/>
      <c r="AG845" s="408"/>
      <c r="AH845" s="408"/>
      <c r="AI845" s="408">
        <v>0</v>
      </c>
      <c r="AJ845" s="408">
        <v>0</v>
      </c>
      <c r="AK845" s="408">
        <v>0</v>
      </c>
      <c r="AL845" s="408">
        <v>0</v>
      </c>
      <c r="AM845" s="408"/>
      <c r="AN845" s="408">
        <v>0</v>
      </c>
      <c r="AO845" s="408">
        <v>4206.5210642689435</v>
      </c>
      <c r="AP845" s="408">
        <v>19618.755165597664</v>
      </c>
      <c r="AQ845" s="408">
        <v>0</v>
      </c>
      <c r="AR845" s="408">
        <v>0</v>
      </c>
      <c r="AS845" s="408"/>
      <c r="AT845" s="408"/>
      <c r="AU845" s="408">
        <v>0</v>
      </c>
      <c r="AV845" s="408">
        <v>0</v>
      </c>
      <c r="AW845" s="408">
        <v>0</v>
      </c>
      <c r="AX845" s="408"/>
      <c r="AY845" s="408"/>
      <c r="AZ845" s="408">
        <v>0</v>
      </c>
      <c r="BA845" s="408"/>
      <c r="BB845" s="408">
        <v>0</v>
      </c>
      <c r="BC845" s="408">
        <v>0</v>
      </c>
      <c r="BD845" s="408">
        <v>0</v>
      </c>
      <c r="BE845" s="408">
        <v>0</v>
      </c>
      <c r="BF845" s="408"/>
      <c r="BG845" s="408">
        <v>0</v>
      </c>
      <c r="BH845" s="408">
        <v>0</v>
      </c>
      <c r="BI845" s="408">
        <v>0</v>
      </c>
      <c r="BJ845" s="408">
        <v>0</v>
      </c>
      <c r="BK845" s="408">
        <v>0</v>
      </c>
      <c r="BL845" s="408">
        <v>0</v>
      </c>
      <c r="BM845" s="408"/>
      <c r="BN845" s="408">
        <v>92480</v>
      </c>
      <c r="BO845" s="408"/>
      <c r="BP845" s="408"/>
      <c r="BQ845" s="408"/>
      <c r="BR845" s="408"/>
      <c r="BS845" s="408"/>
      <c r="BT845" s="408"/>
      <c r="BU845" s="408"/>
      <c r="BV845" s="408">
        <v>0</v>
      </c>
      <c r="BW845" s="408"/>
      <c r="BX845" s="408"/>
      <c r="BY845" s="408"/>
      <c r="BZ845" s="408"/>
      <c r="CA845" s="408"/>
      <c r="CB845" s="408"/>
      <c r="CC845" s="408"/>
      <c r="CD845" s="408"/>
      <c r="CE845" s="408"/>
      <c r="CF845" s="408"/>
      <c r="CG845" s="408"/>
      <c r="CH845" s="408"/>
      <c r="CI845" s="408">
        <v>92480</v>
      </c>
      <c r="CJ845" s="408">
        <v>-23077.529999999984</v>
      </c>
      <c r="CK845" s="408"/>
      <c r="CL845" s="408"/>
      <c r="CM845" s="408"/>
      <c r="CN845" s="408"/>
      <c r="CO845" s="408">
        <v>-46155</v>
      </c>
      <c r="CP845" s="408">
        <v>0</v>
      </c>
      <c r="CQ845" s="408">
        <v>30</v>
      </c>
      <c r="CR845" s="408">
        <v>4334.9319059781446</v>
      </c>
      <c r="CS845" s="408">
        <v>419.17083285697208</v>
      </c>
      <c r="CT845" s="408">
        <v>1954.9670182882692</v>
      </c>
      <c r="CU845" s="408">
        <v>0</v>
      </c>
      <c r="CV845" s="408">
        <v>0</v>
      </c>
      <c r="CW845" s="408"/>
      <c r="CX845" s="408"/>
      <c r="CY845" s="408"/>
      <c r="CZ845" s="408">
        <v>1960.7940548329007</v>
      </c>
      <c r="DA845" s="408">
        <v>0</v>
      </c>
      <c r="DB845" s="408">
        <v>0</v>
      </c>
      <c r="DC845" s="408"/>
      <c r="DD845" s="408"/>
      <c r="DE845" s="408">
        <v>0</v>
      </c>
      <c r="DF845" s="408">
        <v>0</v>
      </c>
      <c r="DG845" s="408">
        <v>0</v>
      </c>
      <c r="DH845" s="408">
        <v>0</v>
      </c>
      <c r="DI845" s="408">
        <v>0</v>
      </c>
      <c r="DJ845" s="408"/>
      <c r="DK845" s="408">
        <v>0</v>
      </c>
      <c r="DL845" s="408">
        <v>0</v>
      </c>
      <c r="DM845" s="408"/>
      <c r="DN845" s="408">
        <v>0</v>
      </c>
      <c r="DO845" s="408">
        <v>0</v>
      </c>
      <c r="DP845" s="408">
        <v>0</v>
      </c>
      <c r="DQ845" s="408">
        <v>0</v>
      </c>
      <c r="DR845" s="408">
        <v>0</v>
      </c>
      <c r="DS845" s="408"/>
      <c r="DT845" s="408"/>
      <c r="DU845" s="408">
        <v>203422.25706685573</v>
      </c>
      <c r="DV845" s="408"/>
      <c r="DW845" s="408">
        <v>0</v>
      </c>
      <c r="DX845" s="408">
        <v>0</v>
      </c>
      <c r="DY845" s="408">
        <v>-46155</v>
      </c>
      <c r="DZ845" s="408"/>
      <c r="EA845" s="408">
        <v>0</v>
      </c>
      <c r="EB845" s="408"/>
      <c r="EC845" s="408">
        <v>-50533.539218893537</v>
      </c>
      <c r="ED845" s="408"/>
      <c r="EE845" s="408">
        <v>0</v>
      </c>
      <c r="EF845" s="408">
        <v>0</v>
      </c>
      <c r="EG845" s="408"/>
      <c r="EH845" s="408">
        <v>0</v>
      </c>
      <c r="EI845" s="408">
        <v>0</v>
      </c>
      <c r="EJ845" s="408">
        <v>0</v>
      </c>
      <c r="EK845" s="408">
        <v>0</v>
      </c>
      <c r="EL845" s="408">
        <v>0</v>
      </c>
      <c r="EM845" s="408"/>
      <c r="EN845" s="408"/>
      <c r="EO845" s="408">
        <v>0</v>
      </c>
      <c r="EP845" s="408">
        <v>0</v>
      </c>
      <c r="EQ845" s="408"/>
      <c r="ER845" s="408">
        <v>0</v>
      </c>
      <c r="ES845" s="408"/>
      <c r="ET845" s="408">
        <v>0</v>
      </c>
      <c r="EU845" s="408"/>
      <c r="EV845" s="408">
        <v>240</v>
      </c>
      <c r="EW845" s="408"/>
      <c r="EX845" s="408"/>
      <c r="EY845" s="408"/>
      <c r="EZ845" s="408"/>
      <c r="FA845" s="408">
        <v>0</v>
      </c>
      <c r="FB845" s="408"/>
      <c r="FC845" s="408"/>
      <c r="FD845" s="408"/>
      <c r="FE845" s="408"/>
      <c r="FF845" s="408">
        <v>0</v>
      </c>
      <c r="FG845" s="408">
        <v>0</v>
      </c>
      <c r="FH845" s="408">
        <v>0</v>
      </c>
      <c r="FI845" s="408">
        <v>0</v>
      </c>
    </row>
    <row r="846" spans="1:165">
      <c r="A846" s="408">
        <v>844</v>
      </c>
      <c r="B846" s="408" t="s">
        <v>1036</v>
      </c>
      <c r="C846" s="408" t="s">
        <v>2247</v>
      </c>
      <c r="D846" s="408" t="s">
        <v>597</v>
      </c>
      <c r="E846" s="408" t="s">
        <v>970</v>
      </c>
      <c r="F846" s="408" t="s">
        <v>1322</v>
      </c>
      <c r="G846" s="408" t="s">
        <v>2318</v>
      </c>
      <c r="H846" s="408" t="s">
        <v>1322</v>
      </c>
      <c r="I846" s="408" t="s">
        <v>1322</v>
      </c>
      <c r="J846" s="408" t="s">
        <v>2319</v>
      </c>
      <c r="K846" s="826">
        <v>44440</v>
      </c>
      <c r="L846" s="408">
        <v>0</v>
      </c>
      <c r="M846" s="408">
        <v>0</v>
      </c>
      <c r="N846" s="408">
        <v>3658.8209999999999</v>
      </c>
      <c r="O846" s="408">
        <v>3658.8209999999999</v>
      </c>
      <c r="P846" s="408">
        <v>0</v>
      </c>
      <c r="Q846" s="408">
        <v>0</v>
      </c>
      <c r="R846" s="408"/>
      <c r="S846" s="408">
        <v>85.01</v>
      </c>
      <c r="T846" s="408"/>
      <c r="U846" s="408"/>
      <c r="V846" s="408">
        <v>311036.37320999999</v>
      </c>
      <c r="W846" s="408">
        <v>311036.37320999999</v>
      </c>
      <c r="X846" s="408">
        <v>306718.96442999999</v>
      </c>
      <c r="Y846" s="408">
        <v>0</v>
      </c>
      <c r="Z846" s="408">
        <v>195909.04360267197</v>
      </c>
      <c r="AA846" s="408">
        <v>0</v>
      </c>
      <c r="AB846" s="408">
        <v>0</v>
      </c>
      <c r="AC846" s="408">
        <v>0</v>
      </c>
      <c r="AD846" s="408">
        <v>0</v>
      </c>
      <c r="AE846" s="408">
        <v>0</v>
      </c>
      <c r="AF846" s="408"/>
      <c r="AG846" s="408"/>
      <c r="AH846" s="408"/>
      <c r="AI846" s="408">
        <v>0</v>
      </c>
      <c r="AJ846" s="408">
        <v>0</v>
      </c>
      <c r="AK846" s="408">
        <v>0</v>
      </c>
      <c r="AL846" s="408">
        <v>34791.839668314031</v>
      </c>
      <c r="AM846" s="408"/>
      <c r="AN846" s="408">
        <v>2930.0344485441806</v>
      </c>
      <c r="AO846" s="408">
        <v>0</v>
      </c>
      <c r="AP846" s="408">
        <v>0</v>
      </c>
      <c r="AQ846" s="408">
        <v>0</v>
      </c>
      <c r="AR846" s="408">
        <v>0</v>
      </c>
      <c r="AS846" s="408"/>
      <c r="AT846" s="408"/>
      <c r="AU846" s="408">
        <v>0</v>
      </c>
      <c r="AV846" s="408">
        <v>0</v>
      </c>
      <c r="AW846" s="408">
        <v>0</v>
      </c>
      <c r="AX846" s="408"/>
      <c r="AY846" s="408"/>
      <c r="AZ846" s="408">
        <v>0</v>
      </c>
      <c r="BA846" s="408"/>
      <c r="BB846" s="408">
        <v>0</v>
      </c>
      <c r="BC846" s="408">
        <v>0</v>
      </c>
      <c r="BD846" s="408">
        <v>0</v>
      </c>
      <c r="BE846" s="408">
        <v>0</v>
      </c>
      <c r="BF846" s="408"/>
      <c r="BG846" s="408">
        <v>27363.065757687375</v>
      </c>
      <c r="BH846" s="408">
        <v>0</v>
      </c>
      <c r="BI846" s="408">
        <v>5644.58</v>
      </c>
      <c r="BJ846" s="408">
        <v>0</v>
      </c>
      <c r="BK846" s="408">
        <v>167314.6</v>
      </c>
      <c r="BL846" s="408">
        <v>2</v>
      </c>
      <c r="BM846" s="408"/>
      <c r="BN846" s="408"/>
      <c r="BO846" s="408"/>
      <c r="BP846" s="408"/>
      <c r="BQ846" s="408"/>
      <c r="BR846" s="408"/>
      <c r="BS846" s="408"/>
      <c r="BT846" s="408"/>
      <c r="BU846" s="408"/>
      <c r="BV846" s="408">
        <v>27363.065757687375</v>
      </c>
      <c r="BW846" s="408"/>
      <c r="BX846" s="408"/>
      <c r="BY846" s="408"/>
      <c r="BZ846" s="408"/>
      <c r="CA846" s="408"/>
      <c r="CB846" s="408"/>
      <c r="CC846" s="408"/>
      <c r="CD846" s="408"/>
      <c r="CE846" s="408"/>
      <c r="CF846" s="408"/>
      <c r="CG846" s="408"/>
      <c r="CH846" s="408"/>
      <c r="CI846" s="408">
        <v>306718.88060000003</v>
      </c>
      <c r="CJ846" s="408">
        <v>-4317.5226099999854</v>
      </c>
      <c r="CK846" s="408"/>
      <c r="CL846" s="408"/>
      <c r="CM846" s="408"/>
      <c r="CN846" s="408"/>
      <c r="CO846" s="408">
        <v>-4317.4087800000252</v>
      </c>
      <c r="CP846" s="408">
        <v>0</v>
      </c>
      <c r="CQ846" s="408">
        <v>30</v>
      </c>
      <c r="CR846" s="408">
        <v>-4319.0902495823684</v>
      </c>
      <c r="CS846" s="408">
        <v>0</v>
      </c>
      <c r="CT846" s="408">
        <v>0</v>
      </c>
      <c r="CU846" s="408">
        <v>0</v>
      </c>
      <c r="CV846" s="408">
        <v>0</v>
      </c>
      <c r="CW846" s="408"/>
      <c r="CX846" s="408"/>
      <c r="CY846" s="408"/>
      <c r="CZ846" s="408">
        <v>0</v>
      </c>
      <c r="DA846" s="408">
        <v>0</v>
      </c>
      <c r="DB846" s="408">
        <v>0</v>
      </c>
      <c r="DC846" s="408"/>
      <c r="DD846" s="408"/>
      <c r="DE846" s="408">
        <v>0</v>
      </c>
      <c r="DF846" s="408">
        <v>0</v>
      </c>
      <c r="DG846" s="408">
        <v>3467.7718482792079</v>
      </c>
      <c r="DH846" s="408">
        <v>0</v>
      </c>
      <c r="DI846" s="408">
        <v>-6652.4511846184905</v>
      </c>
      <c r="DJ846" s="408"/>
      <c r="DK846" s="408">
        <v>0</v>
      </c>
      <c r="DL846" s="408">
        <v>0</v>
      </c>
      <c r="DM846" s="408"/>
      <c r="DN846" s="408">
        <v>0</v>
      </c>
      <c r="DO846" s="408">
        <v>-1051.5160491169372</v>
      </c>
      <c r="DP846" s="408">
        <v>-82.894864126137236</v>
      </c>
      <c r="DQ846" s="408">
        <v>0</v>
      </c>
      <c r="DR846" s="408">
        <v>0</v>
      </c>
      <c r="DS846" s="408"/>
      <c r="DT846" s="408"/>
      <c r="DU846" s="408"/>
      <c r="DV846" s="408">
        <v>0</v>
      </c>
      <c r="DW846" s="408">
        <v>0</v>
      </c>
      <c r="DX846" s="408">
        <v>0</v>
      </c>
      <c r="DY846" s="408">
        <v>-4317.4087799999979</v>
      </c>
      <c r="DZ846" s="408"/>
      <c r="EA846" s="408">
        <v>0</v>
      </c>
      <c r="EB846" s="408"/>
      <c r="EC846" s="408">
        <v>0</v>
      </c>
      <c r="ED846" s="408"/>
      <c r="EE846" s="408">
        <v>0</v>
      </c>
      <c r="EF846" s="408">
        <v>0</v>
      </c>
      <c r="EG846" s="408"/>
      <c r="EH846" s="408">
        <v>0</v>
      </c>
      <c r="EI846" s="408">
        <v>0</v>
      </c>
      <c r="EJ846" s="408">
        <v>0</v>
      </c>
      <c r="EK846" s="408">
        <v>0</v>
      </c>
      <c r="EL846" s="408">
        <v>0</v>
      </c>
      <c r="EM846" s="408"/>
      <c r="EN846" s="408"/>
      <c r="EO846" s="408">
        <v>0</v>
      </c>
      <c r="EP846" s="408">
        <v>50031.675684170725</v>
      </c>
      <c r="EQ846" s="408"/>
      <c r="ER846" s="408">
        <v>0</v>
      </c>
      <c r="ES846" s="408"/>
      <c r="ET846" s="408">
        <v>0</v>
      </c>
      <c r="EU846" s="408"/>
      <c r="EV846" s="408">
        <v>240</v>
      </c>
      <c r="EW846" s="408"/>
      <c r="EX846" s="408"/>
      <c r="EY846" s="408"/>
      <c r="EZ846" s="408"/>
      <c r="FA846" s="408">
        <v>0</v>
      </c>
      <c r="FB846" s="408"/>
      <c r="FC846" s="408"/>
      <c r="FD846" s="408"/>
      <c r="FE846" s="408"/>
      <c r="FF846" s="408">
        <v>0</v>
      </c>
      <c r="FG846" s="408">
        <v>0</v>
      </c>
      <c r="FH846" s="408">
        <v>0</v>
      </c>
      <c r="FI846" s="408">
        <v>0</v>
      </c>
    </row>
    <row r="847" spans="1:165">
      <c r="A847" s="408">
        <v>845</v>
      </c>
      <c r="B847" s="408" t="s">
        <v>1036</v>
      </c>
      <c r="C847" s="408" t="s">
        <v>2243</v>
      </c>
      <c r="D847" s="408" t="s">
        <v>597</v>
      </c>
      <c r="E847" s="408" t="s">
        <v>970</v>
      </c>
      <c r="F847" s="408" t="s">
        <v>1322</v>
      </c>
      <c r="G847" s="408" t="s">
        <v>2318</v>
      </c>
      <c r="H847" s="408" t="s">
        <v>1322</v>
      </c>
      <c r="I847" s="408" t="s">
        <v>973</v>
      </c>
      <c r="J847" s="408" t="s">
        <v>2319</v>
      </c>
      <c r="K847" s="826">
        <v>44440</v>
      </c>
      <c r="L847" s="408">
        <v>0</v>
      </c>
      <c r="M847" s="408">
        <v>0</v>
      </c>
      <c r="N847" s="408">
        <v>23.768000000000001</v>
      </c>
      <c r="O847" s="408">
        <v>11.390807107280001</v>
      </c>
      <c r="P847" s="408">
        <v>0</v>
      </c>
      <c r="Q847" s="408">
        <v>0</v>
      </c>
      <c r="R847" s="408"/>
      <c r="S847" s="408">
        <v>1358.36</v>
      </c>
      <c r="T847" s="408"/>
      <c r="U847" s="408"/>
      <c r="V847" s="408">
        <v>32285.500479999999</v>
      </c>
      <c r="W847" s="408">
        <v>32285.500479999999</v>
      </c>
      <c r="X847" s="408">
        <v>27287.565439999998</v>
      </c>
      <c r="Y847" s="408">
        <v>0</v>
      </c>
      <c r="Z847" s="408">
        <v>1272.6411454258919</v>
      </c>
      <c r="AA847" s="408">
        <v>0</v>
      </c>
      <c r="AB847" s="408">
        <v>0</v>
      </c>
      <c r="AC847" s="408">
        <v>450.21555555905053</v>
      </c>
      <c r="AD847" s="408">
        <v>432.55752779481378</v>
      </c>
      <c r="AE847" s="408">
        <v>23970.211412910958</v>
      </c>
      <c r="AF847" s="408"/>
      <c r="AG847" s="408"/>
      <c r="AH847" s="408"/>
      <c r="AI847" s="408">
        <v>0</v>
      </c>
      <c r="AJ847" s="408">
        <v>0</v>
      </c>
      <c r="AK847" s="408">
        <v>0</v>
      </c>
      <c r="AL847" s="408">
        <v>226.01063163147035</v>
      </c>
      <c r="AM847" s="408"/>
      <c r="AN847" s="408">
        <v>19.033743048101584</v>
      </c>
      <c r="AO847" s="408">
        <v>955.73082189249362</v>
      </c>
      <c r="AP847" s="408">
        <v>4456.4073328112772</v>
      </c>
      <c r="AQ847" s="408">
        <v>0</v>
      </c>
      <c r="AR847" s="408">
        <v>0</v>
      </c>
      <c r="AS847" s="408"/>
      <c r="AT847" s="408"/>
      <c r="AU847" s="408">
        <v>0</v>
      </c>
      <c r="AV847" s="408">
        <v>0</v>
      </c>
      <c r="AW847" s="408">
        <v>0</v>
      </c>
      <c r="AX847" s="408"/>
      <c r="AY847" s="408"/>
      <c r="AZ847" s="408">
        <v>0</v>
      </c>
      <c r="BA847" s="408"/>
      <c r="BB847" s="408">
        <v>0</v>
      </c>
      <c r="BC847" s="408">
        <v>0</v>
      </c>
      <c r="BD847" s="408">
        <v>0</v>
      </c>
      <c r="BE847" s="408">
        <v>0</v>
      </c>
      <c r="BF847" s="408"/>
      <c r="BG847" s="408">
        <v>177.75270966486568</v>
      </c>
      <c r="BH847" s="408">
        <v>0</v>
      </c>
      <c r="BI847" s="408">
        <v>0</v>
      </c>
      <c r="BJ847" s="408">
        <v>0</v>
      </c>
      <c r="BK847" s="408">
        <v>0</v>
      </c>
      <c r="BL847" s="408">
        <v>0</v>
      </c>
      <c r="BM847" s="408"/>
      <c r="BN847" s="408">
        <v>14210.007616273977</v>
      </c>
      <c r="BO847" s="408"/>
      <c r="BP847" s="408"/>
      <c r="BQ847" s="408"/>
      <c r="BR847" s="408"/>
      <c r="BS847" s="408"/>
      <c r="BT847" s="408"/>
      <c r="BU847" s="408"/>
      <c r="BV847" s="408">
        <v>177.75270966486568</v>
      </c>
      <c r="BW847" s="408"/>
      <c r="BX847" s="408"/>
      <c r="BY847" s="408"/>
      <c r="BZ847" s="408"/>
      <c r="CA847" s="408"/>
      <c r="CB847" s="408"/>
      <c r="CC847" s="408"/>
      <c r="CD847" s="408"/>
      <c r="CE847" s="408"/>
      <c r="CF847" s="408"/>
      <c r="CG847" s="408"/>
      <c r="CH847" s="408"/>
      <c r="CI847" s="408">
        <v>13076.6312</v>
      </c>
      <c r="CJ847" s="408">
        <v>-2396.2155422448614</v>
      </c>
      <c r="CK847" s="408"/>
      <c r="CL847" s="408"/>
      <c r="CM847" s="408"/>
      <c r="CN847" s="408"/>
      <c r="CO847" s="408">
        <v>-4997.9350399999994</v>
      </c>
      <c r="CP847" s="408">
        <v>0</v>
      </c>
      <c r="CQ847" s="408">
        <v>30</v>
      </c>
      <c r="CR847" s="408">
        <v>956.64176731308726</v>
      </c>
      <c r="CS847" s="408">
        <v>95.236533581788535</v>
      </c>
      <c r="CT847" s="408">
        <v>444.07146539966288</v>
      </c>
      <c r="CU847" s="408">
        <v>0</v>
      </c>
      <c r="CV847" s="408">
        <v>0</v>
      </c>
      <c r="CW847" s="408"/>
      <c r="CX847" s="408"/>
      <c r="CY847" s="408"/>
      <c r="CZ847" s="408">
        <v>445.39093129535473</v>
      </c>
      <c r="DA847" s="408">
        <v>0</v>
      </c>
      <c r="DB847" s="408">
        <v>0</v>
      </c>
      <c r="DC847" s="408"/>
      <c r="DD847" s="408"/>
      <c r="DE847" s="408">
        <v>0</v>
      </c>
      <c r="DF847" s="408">
        <v>0</v>
      </c>
      <c r="DG847" s="408">
        <v>22.526929109103804</v>
      </c>
      <c r="DH847" s="408">
        <v>0</v>
      </c>
      <c r="DI847" s="408">
        <v>-43.214866142949177</v>
      </c>
      <c r="DJ847" s="408"/>
      <c r="DK847" s="408">
        <v>0</v>
      </c>
      <c r="DL847" s="408">
        <v>0</v>
      </c>
      <c r="DM847" s="408"/>
      <c r="DN847" s="408">
        <v>0</v>
      </c>
      <c r="DO847" s="408">
        <v>-6.8307341232083729</v>
      </c>
      <c r="DP847" s="408">
        <v>-0.53849180666395569</v>
      </c>
      <c r="DQ847" s="408">
        <v>0</v>
      </c>
      <c r="DR847" s="408">
        <v>0</v>
      </c>
      <c r="DS847" s="408"/>
      <c r="DT847" s="408"/>
      <c r="DU847" s="408"/>
      <c r="DV847" s="408">
        <v>23970.211412910958</v>
      </c>
      <c r="DW847" s="408">
        <v>0</v>
      </c>
      <c r="DX847" s="408">
        <v>0</v>
      </c>
      <c r="DY847" s="408">
        <v>-4997.9350400000003</v>
      </c>
      <c r="DZ847" s="408"/>
      <c r="EA847" s="408">
        <v>0</v>
      </c>
      <c r="EB847" s="408"/>
      <c r="EC847" s="408">
        <v>-5954.6071112632453</v>
      </c>
      <c r="ED847" s="408"/>
      <c r="EE847" s="408">
        <v>0</v>
      </c>
      <c r="EF847" s="408">
        <v>0</v>
      </c>
      <c r="EG847" s="408"/>
      <c r="EH847" s="408">
        <v>0</v>
      </c>
      <c r="EI847" s="408">
        <v>0</v>
      </c>
      <c r="EJ847" s="408">
        <v>0</v>
      </c>
      <c r="EK847" s="408">
        <v>0</v>
      </c>
      <c r="EL847" s="408">
        <v>0</v>
      </c>
      <c r="EM847" s="408"/>
      <c r="EN847" s="408"/>
      <c r="EO847" s="408">
        <v>0</v>
      </c>
      <c r="EP847" s="408">
        <v>325.00985089496584</v>
      </c>
      <c r="EQ847" s="408"/>
      <c r="ER847" s="408">
        <v>0</v>
      </c>
      <c r="ES847" s="408"/>
      <c r="ET847" s="408">
        <v>0</v>
      </c>
      <c r="EU847" s="408"/>
      <c r="EV847" s="408">
        <v>240</v>
      </c>
      <c r="EW847" s="408"/>
      <c r="EX847" s="408"/>
      <c r="EY847" s="408"/>
      <c r="EZ847" s="408"/>
      <c r="FA847" s="408">
        <v>0</v>
      </c>
      <c r="FB847" s="408"/>
      <c r="FC847" s="408"/>
      <c r="FD847" s="408"/>
      <c r="FE847" s="408"/>
      <c r="FF847" s="408">
        <v>0</v>
      </c>
      <c r="FG847" s="408">
        <v>0</v>
      </c>
      <c r="FH847" s="408">
        <v>0</v>
      </c>
      <c r="FI847" s="408">
        <v>0</v>
      </c>
    </row>
    <row r="848" spans="1:165">
      <c r="A848" s="408">
        <v>846</v>
      </c>
      <c r="B848" s="408" t="s">
        <v>1036</v>
      </c>
      <c r="C848" s="408" t="s">
        <v>2243</v>
      </c>
      <c r="D848" s="408" t="s">
        <v>597</v>
      </c>
      <c r="E848" s="408" t="s">
        <v>970</v>
      </c>
      <c r="F848" s="408" t="s">
        <v>1322</v>
      </c>
      <c r="G848" s="408" t="s">
        <v>2318</v>
      </c>
      <c r="H848" s="408" t="s">
        <v>1322</v>
      </c>
      <c r="I848" s="408" t="s">
        <v>2244</v>
      </c>
      <c r="J848" s="408" t="s">
        <v>2319</v>
      </c>
      <c r="K848" s="826">
        <v>44440</v>
      </c>
      <c r="L848" s="408">
        <v>0</v>
      </c>
      <c r="M848" s="408">
        <v>0</v>
      </c>
      <c r="N848" s="408">
        <v>288.67700000000002</v>
      </c>
      <c r="O848" s="408">
        <v>288.67700000000002</v>
      </c>
      <c r="P848" s="408">
        <v>0</v>
      </c>
      <c r="Q848" s="408">
        <v>0</v>
      </c>
      <c r="R848" s="408"/>
      <c r="S848" s="408">
        <v>85.01</v>
      </c>
      <c r="T848" s="408"/>
      <c r="U848" s="408"/>
      <c r="V848" s="408">
        <v>24540.431770000003</v>
      </c>
      <c r="W848" s="408">
        <v>24540.431770000003</v>
      </c>
      <c r="X848" s="408">
        <v>24199.79291</v>
      </c>
      <c r="Y848" s="408">
        <v>0</v>
      </c>
      <c r="Z848" s="408">
        <v>15457.010599886833</v>
      </c>
      <c r="AA848" s="408">
        <v>0</v>
      </c>
      <c r="AB848" s="408">
        <v>0</v>
      </c>
      <c r="AC848" s="408">
        <v>0</v>
      </c>
      <c r="AD848" s="408">
        <v>0</v>
      </c>
      <c r="AE848" s="408">
        <v>0</v>
      </c>
      <c r="AF848" s="408"/>
      <c r="AG848" s="408"/>
      <c r="AH848" s="408"/>
      <c r="AI848" s="408">
        <v>0</v>
      </c>
      <c r="AJ848" s="408">
        <v>0</v>
      </c>
      <c r="AK848" s="408">
        <v>0</v>
      </c>
      <c r="AL848" s="408">
        <v>2745.0383333674677</v>
      </c>
      <c r="AM848" s="408"/>
      <c r="AN848" s="408">
        <v>231.17653323362592</v>
      </c>
      <c r="AO848" s="408">
        <v>0</v>
      </c>
      <c r="AP848" s="408">
        <v>0</v>
      </c>
      <c r="AQ848" s="408">
        <v>0</v>
      </c>
      <c r="AR848" s="408">
        <v>0</v>
      </c>
      <c r="AS848" s="408"/>
      <c r="AT848" s="408"/>
      <c r="AU848" s="408">
        <v>0</v>
      </c>
      <c r="AV848" s="408">
        <v>0</v>
      </c>
      <c r="AW848" s="408">
        <v>0</v>
      </c>
      <c r="AX848" s="408"/>
      <c r="AY848" s="408"/>
      <c r="AZ848" s="408">
        <v>0</v>
      </c>
      <c r="BA848" s="408"/>
      <c r="BB848" s="408">
        <v>0</v>
      </c>
      <c r="BC848" s="408">
        <v>0</v>
      </c>
      <c r="BD848" s="408">
        <v>0</v>
      </c>
      <c r="BE848" s="408">
        <v>0</v>
      </c>
      <c r="BF848" s="408"/>
      <c r="BG848" s="408">
        <v>2158.9161464121689</v>
      </c>
      <c r="BH848" s="408">
        <v>0</v>
      </c>
      <c r="BI848" s="408">
        <v>0</v>
      </c>
      <c r="BJ848" s="408">
        <v>0</v>
      </c>
      <c r="BK848" s="408">
        <v>0</v>
      </c>
      <c r="BL848" s="408">
        <v>0</v>
      </c>
      <c r="BM848" s="408"/>
      <c r="BN848" s="408"/>
      <c r="BO848" s="408"/>
      <c r="BP848" s="408"/>
      <c r="BQ848" s="408"/>
      <c r="BR848" s="408"/>
      <c r="BS848" s="408"/>
      <c r="BT848" s="408"/>
      <c r="BU848" s="408"/>
      <c r="BV848" s="408">
        <v>2158.9161464121689</v>
      </c>
      <c r="BW848" s="408"/>
      <c r="BX848" s="408"/>
      <c r="BY848" s="408"/>
      <c r="BZ848" s="408"/>
      <c r="CA848" s="408"/>
      <c r="CB848" s="408"/>
      <c r="CC848" s="408"/>
      <c r="CD848" s="408"/>
      <c r="CE848" s="408"/>
      <c r="CF848" s="408"/>
      <c r="CG848" s="408"/>
      <c r="CH848" s="408"/>
      <c r="CI848" s="408">
        <v>24200.044399999999</v>
      </c>
      <c r="CJ848" s="408">
        <v>-340.41736999999921</v>
      </c>
      <c r="CK848" s="408"/>
      <c r="CL848" s="408"/>
      <c r="CM848" s="408"/>
      <c r="CN848" s="408"/>
      <c r="CO848" s="408">
        <v>-340.63886000000201</v>
      </c>
      <c r="CP848" s="408">
        <v>0</v>
      </c>
      <c r="CQ848" s="408">
        <v>30</v>
      </c>
      <c r="CR848" s="408">
        <v>-340.77152612240388</v>
      </c>
      <c r="CS848" s="408">
        <v>0</v>
      </c>
      <c r="CT848" s="408">
        <v>0</v>
      </c>
      <c r="CU848" s="408">
        <v>0</v>
      </c>
      <c r="CV848" s="408">
        <v>0</v>
      </c>
      <c r="CW848" s="408"/>
      <c r="CX848" s="408"/>
      <c r="CY848" s="408"/>
      <c r="CZ848" s="408">
        <v>0</v>
      </c>
      <c r="DA848" s="408">
        <v>0</v>
      </c>
      <c r="DB848" s="408">
        <v>0</v>
      </c>
      <c r="DC848" s="408"/>
      <c r="DD848" s="408"/>
      <c r="DE848" s="408">
        <v>0</v>
      </c>
      <c r="DF848" s="408">
        <v>0</v>
      </c>
      <c r="DG848" s="408">
        <v>273.60342958720821</v>
      </c>
      <c r="DH848" s="408">
        <v>0</v>
      </c>
      <c r="DI848" s="408">
        <v>-524.87116768546912</v>
      </c>
      <c r="DJ848" s="408"/>
      <c r="DK848" s="408">
        <v>0</v>
      </c>
      <c r="DL848" s="408">
        <v>0</v>
      </c>
      <c r="DM848" s="408"/>
      <c r="DN848" s="408">
        <v>0</v>
      </c>
      <c r="DO848" s="408">
        <v>-82.963473345903367</v>
      </c>
      <c r="DP848" s="408">
        <v>-6.5403146782367401</v>
      </c>
      <c r="DQ848" s="408">
        <v>0</v>
      </c>
      <c r="DR848" s="408">
        <v>0</v>
      </c>
      <c r="DS848" s="408"/>
      <c r="DT848" s="408"/>
      <c r="DU848" s="408"/>
      <c r="DV848" s="408">
        <v>0</v>
      </c>
      <c r="DW848" s="408">
        <v>0</v>
      </c>
      <c r="DX848" s="408">
        <v>0</v>
      </c>
      <c r="DY848" s="408">
        <v>-340.63886000000275</v>
      </c>
      <c r="DZ848" s="408"/>
      <c r="EA848" s="408">
        <v>0</v>
      </c>
      <c r="EB848" s="408"/>
      <c r="EC848" s="408">
        <v>0</v>
      </c>
      <c r="ED848" s="408"/>
      <c r="EE848" s="408">
        <v>0</v>
      </c>
      <c r="EF848" s="408">
        <v>0</v>
      </c>
      <c r="EG848" s="408"/>
      <c r="EH848" s="408">
        <v>0</v>
      </c>
      <c r="EI848" s="408">
        <v>0</v>
      </c>
      <c r="EJ848" s="408">
        <v>0</v>
      </c>
      <c r="EK848" s="408">
        <v>0</v>
      </c>
      <c r="EL848" s="408">
        <v>0</v>
      </c>
      <c r="EM848" s="408"/>
      <c r="EN848" s="408"/>
      <c r="EO848" s="408">
        <v>0</v>
      </c>
      <c r="EP848" s="408">
        <v>3947.4448303099148</v>
      </c>
      <c r="EQ848" s="408"/>
      <c r="ER848" s="408">
        <v>0</v>
      </c>
      <c r="ES848" s="408"/>
      <c r="ET848" s="408">
        <v>0</v>
      </c>
      <c r="EU848" s="408"/>
      <c r="EV848" s="408">
        <v>240</v>
      </c>
      <c r="EW848" s="408"/>
      <c r="EX848" s="408"/>
      <c r="EY848" s="408"/>
      <c r="EZ848" s="408"/>
      <c r="FA848" s="408">
        <v>0</v>
      </c>
      <c r="FB848" s="408"/>
      <c r="FC848" s="408"/>
      <c r="FD848" s="408"/>
      <c r="FE848" s="408"/>
      <c r="FF848" s="408">
        <v>0</v>
      </c>
      <c r="FG848" s="408">
        <v>0</v>
      </c>
      <c r="FH848" s="408">
        <v>0</v>
      </c>
      <c r="FI848" s="408">
        <v>0</v>
      </c>
    </row>
    <row r="849" spans="1:165">
      <c r="A849" s="408">
        <v>847</v>
      </c>
      <c r="B849" s="408" t="s">
        <v>1036</v>
      </c>
      <c r="C849" s="408" t="s">
        <v>2243</v>
      </c>
      <c r="D849" s="408" t="s">
        <v>597</v>
      </c>
      <c r="E849" s="408" t="s">
        <v>970</v>
      </c>
      <c r="F849" s="408" t="s">
        <v>1322</v>
      </c>
      <c r="G849" s="408" t="s">
        <v>2318</v>
      </c>
      <c r="H849" s="408" t="s">
        <v>1322</v>
      </c>
      <c r="I849" s="408" t="s">
        <v>1322</v>
      </c>
      <c r="J849" s="408" t="s">
        <v>2319</v>
      </c>
      <c r="K849" s="826">
        <v>44440</v>
      </c>
      <c r="L849" s="408">
        <v>1470</v>
      </c>
      <c r="M849" s="408">
        <v>772.49928839999995</v>
      </c>
      <c r="N849" s="408">
        <v>0</v>
      </c>
      <c r="O849" s="408">
        <v>0</v>
      </c>
      <c r="P849" s="408">
        <v>0</v>
      </c>
      <c r="Q849" s="408">
        <v>0</v>
      </c>
      <c r="R849" s="408">
        <v>27.19</v>
      </c>
      <c r="S849" s="408"/>
      <c r="T849" s="408"/>
      <c r="U849" s="408">
        <v>39969.300000000003</v>
      </c>
      <c r="V849" s="408"/>
      <c r="W849" s="408">
        <v>39969.300000000003</v>
      </c>
      <c r="X849" s="408">
        <v>31987.200000000001</v>
      </c>
      <c r="Y849" s="408">
        <v>0</v>
      </c>
      <c r="Z849" s="408">
        <v>0</v>
      </c>
      <c r="AA849" s="408">
        <v>0</v>
      </c>
      <c r="AB849" s="408">
        <v>0</v>
      </c>
      <c r="AC849" s="408">
        <v>342.80490173851911</v>
      </c>
      <c r="AD849" s="408">
        <v>329.33121387452331</v>
      </c>
      <c r="AE849" s="408">
        <v>35180.084457444464</v>
      </c>
      <c r="AF849" s="408"/>
      <c r="AG849" s="408"/>
      <c r="AH849" s="408"/>
      <c r="AI849" s="408">
        <v>0</v>
      </c>
      <c r="AJ849" s="408">
        <v>0</v>
      </c>
      <c r="AK849" s="408">
        <v>0</v>
      </c>
      <c r="AL849" s="408">
        <v>0</v>
      </c>
      <c r="AM849" s="408"/>
      <c r="AN849" s="408">
        <v>0</v>
      </c>
      <c r="AO849" s="408">
        <v>727.48070170298206</v>
      </c>
      <c r="AP849" s="408">
        <v>3392.8905992268906</v>
      </c>
      <c r="AQ849" s="408">
        <v>0</v>
      </c>
      <c r="AR849" s="408">
        <v>0</v>
      </c>
      <c r="AS849" s="408"/>
      <c r="AT849" s="408"/>
      <c r="AU849" s="408">
        <v>0</v>
      </c>
      <c r="AV849" s="408">
        <v>0</v>
      </c>
      <c r="AW849" s="408">
        <v>0</v>
      </c>
      <c r="AX849" s="408"/>
      <c r="AY849" s="408"/>
      <c r="AZ849" s="408">
        <v>0</v>
      </c>
      <c r="BA849" s="408"/>
      <c r="BB849" s="408">
        <v>0</v>
      </c>
      <c r="BC849" s="408">
        <v>0</v>
      </c>
      <c r="BD849" s="408">
        <v>0</v>
      </c>
      <c r="BE849" s="408">
        <v>0</v>
      </c>
      <c r="BF849" s="408"/>
      <c r="BG849" s="408">
        <v>0</v>
      </c>
      <c r="BH849" s="408">
        <v>0</v>
      </c>
      <c r="BI849" s="408">
        <v>563.58000000000004</v>
      </c>
      <c r="BJ849" s="408">
        <v>0</v>
      </c>
      <c r="BK849" s="408">
        <v>20761.29</v>
      </c>
      <c r="BL849" s="408">
        <v>3</v>
      </c>
      <c r="BM849" s="408"/>
      <c r="BN849" s="408">
        <v>15177.615484416003</v>
      </c>
      <c r="BO849" s="408"/>
      <c r="BP849" s="408"/>
      <c r="BQ849" s="408"/>
      <c r="BR849" s="408"/>
      <c r="BS849" s="408"/>
      <c r="BT849" s="408"/>
      <c r="BU849" s="408"/>
      <c r="BV849" s="408">
        <v>0</v>
      </c>
      <c r="BW849" s="408"/>
      <c r="BX849" s="408"/>
      <c r="BY849" s="408"/>
      <c r="BZ849" s="408"/>
      <c r="CA849" s="408"/>
      <c r="CB849" s="408"/>
      <c r="CC849" s="408"/>
      <c r="CD849" s="408"/>
      <c r="CE849" s="408"/>
      <c r="CF849" s="408"/>
      <c r="CG849" s="408"/>
      <c r="CH849" s="408"/>
      <c r="CI849" s="408">
        <v>16809.600000000002</v>
      </c>
      <c r="CJ849" s="408">
        <v>-4194.6856515959917</v>
      </c>
      <c r="CK849" s="408"/>
      <c r="CL849" s="408"/>
      <c r="CM849" s="408"/>
      <c r="CN849" s="408"/>
      <c r="CO849" s="408">
        <v>-7982.0999999999995</v>
      </c>
      <c r="CP849" s="408">
        <v>0</v>
      </c>
      <c r="CQ849" s="408">
        <v>30</v>
      </c>
      <c r="CR849" s="408">
        <v>749.68822373974854</v>
      </c>
      <c r="CS849" s="408">
        <v>72.491896976441012</v>
      </c>
      <c r="CT849" s="408">
        <v>338.09429610397092</v>
      </c>
      <c r="CU849" s="408">
        <v>0</v>
      </c>
      <c r="CV849" s="408">
        <v>0</v>
      </c>
      <c r="CW849" s="408"/>
      <c r="CX849" s="408"/>
      <c r="CY849" s="408"/>
      <c r="CZ849" s="408">
        <v>339.10203065933695</v>
      </c>
      <c r="DA849" s="408">
        <v>0</v>
      </c>
      <c r="DB849" s="408">
        <v>0</v>
      </c>
      <c r="DC849" s="408"/>
      <c r="DD849" s="408"/>
      <c r="DE849" s="408">
        <v>0</v>
      </c>
      <c r="DF849" s="408">
        <v>0</v>
      </c>
      <c r="DG849" s="408">
        <v>0</v>
      </c>
      <c r="DH849" s="408">
        <v>0</v>
      </c>
      <c r="DI849" s="408">
        <v>0</v>
      </c>
      <c r="DJ849" s="408"/>
      <c r="DK849" s="408">
        <v>0</v>
      </c>
      <c r="DL849" s="408">
        <v>0</v>
      </c>
      <c r="DM849" s="408"/>
      <c r="DN849" s="408">
        <v>0</v>
      </c>
      <c r="DO849" s="408">
        <v>0</v>
      </c>
      <c r="DP849" s="408">
        <v>0</v>
      </c>
      <c r="DQ849" s="408">
        <v>0</v>
      </c>
      <c r="DR849" s="408">
        <v>0</v>
      </c>
      <c r="DS849" s="408"/>
      <c r="DT849" s="408"/>
      <c r="DU849" s="408">
        <v>35180.084457444464</v>
      </c>
      <c r="DV849" s="408"/>
      <c r="DW849" s="408">
        <v>0</v>
      </c>
      <c r="DX849" s="408">
        <v>0</v>
      </c>
      <c r="DY849" s="408">
        <v>-7982.1000000000022</v>
      </c>
      <c r="DZ849" s="408"/>
      <c r="EA849" s="408">
        <v>0</v>
      </c>
      <c r="EB849" s="408"/>
      <c r="EC849" s="408">
        <v>-8739.3297237380611</v>
      </c>
      <c r="ED849" s="408"/>
      <c r="EE849" s="408">
        <v>0</v>
      </c>
      <c r="EF849" s="408">
        <v>0</v>
      </c>
      <c r="EG849" s="408"/>
      <c r="EH849" s="408">
        <v>0</v>
      </c>
      <c r="EI849" s="408">
        <v>0</v>
      </c>
      <c r="EJ849" s="408">
        <v>0</v>
      </c>
      <c r="EK849" s="408">
        <v>0</v>
      </c>
      <c r="EL849" s="408">
        <v>0</v>
      </c>
      <c r="EM849" s="408"/>
      <c r="EN849" s="408"/>
      <c r="EO849" s="408">
        <v>0</v>
      </c>
      <c r="EP849" s="408">
        <v>0</v>
      </c>
      <c r="EQ849" s="408"/>
      <c r="ER849" s="408">
        <v>0</v>
      </c>
      <c r="ES849" s="408"/>
      <c r="ET849" s="408">
        <v>0</v>
      </c>
      <c r="EU849" s="408"/>
      <c r="EV849" s="408">
        <v>240</v>
      </c>
      <c r="EW849" s="408"/>
      <c r="EX849" s="408"/>
      <c r="EY849" s="408"/>
      <c r="EZ849" s="408"/>
      <c r="FA849" s="408">
        <v>0</v>
      </c>
      <c r="FB849" s="408"/>
      <c r="FC849" s="408"/>
      <c r="FD849" s="408"/>
      <c r="FE849" s="408"/>
      <c r="FF849" s="408">
        <v>0</v>
      </c>
      <c r="FG849" s="408">
        <v>0</v>
      </c>
      <c r="FH849" s="408">
        <v>0</v>
      </c>
      <c r="FI849" s="408">
        <v>0</v>
      </c>
    </row>
    <row r="850" spans="1:165">
      <c r="A850" s="408">
        <v>848</v>
      </c>
      <c r="B850" s="408" t="s">
        <v>1036</v>
      </c>
      <c r="C850" s="408" t="s">
        <v>993</v>
      </c>
      <c r="D850" s="408" t="s">
        <v>599</v>
      </c>
      <c r="E850" s="408" t="s">
        <v>1322</v>
      </c>
      <c r="F850" s="408" t="s">
        <v>1322</v>
      </c>
      <c r="G850" s="408" t="s">
        <v>1322</v>
      </c>
      <c r="H850" s="408" t="s">
        <v>2320</v>
      </c>
      <c r="I850" s="408" t="s">
        <v>1322</v>
      </c>
      <c r="J850" s="408" t="s">
        <v>2256</v>
      </c>
      <c r="K850" s="826">
        <v>44440</v>
      </c>
      <c r="L850" s="408">
        <v>7020</v>
      </c>
      <c r="M850" s="408">
        <v>3510</v>
      </c>
      <c r="N850" s="408">
        <v>0</v>
      </c>
      <c r="O850" s="408">
        <v>0</v>
      </c>
      <c r="P850" s="408">
        <v>0</v>
      </c>
      <c r="Q850" s="408">
        <v>0</v>
      </c>
      <c r="R850" s="408">
        <v>6.87</v>
      </c>
      <c r="S850" s="408"/>
      <c r="T850" s="408"/>
      <c r="U850" s="408">
        <v>48227.4</v>
      </c>
      <c r="V850" s="408"/>
      <c r="W850" s="408">
        <v>48227.4</v>
      </c>
      <c r="X850" s="408">
        <v>40084.199999999997</v>
      </c>
      <c r="Y850" s="408">
        <v>0</v>
      </c>
      <c r="Z850" s="408">
        <v>0</v>
      </c>
      <c r="AA850" s="408">
        <v>0</v>
      </c>
      <c r="AB850" s="408">
        <v>0</v>
      </c>
      <c r="AC850" s="408">
        <v>0</v>
      </c>
      <c r="AD850" s="408">
        <v>2031.0321998913851</v>
      </c>
      <c r="AE850" s="408">
        <v>42729.467006265557</v>
      </c>
      <c r="AF850" s="408"/>
      <c r="AG850" s="408"/>
      <c r="AH850" s="408"/>
      <c r="AI850" s="408">
        <v>0</v>
      </c>
      <c r="AJ850" s="408">
        <v>0</v>
      </c>
      <c r="AK850" s="408">
        <v>0</v>
      </c>
      <c r="AL850" s="408">
        <v>0</v>
      </c>
      <c r="AM850" s="408"/>
      <c r="AN850" s="408">
        <v>0</v>
      </c>
      <c r="AO850" s="408">
        <v>0</v>
      </c>
      <c r="AP850" s="408">
        <v>0</v>
      </c>
      <c r="AQ850" s="408">
        <v>0</v>
      </c>
      <c r="AR850" s="408">
        <v>0</v>
      </c>
      <c r="AS850" s="408"/>
      <c r="AT850" s="408"/>
      <c r="AU850" s="408">
        <v>0</v>
      </c>
      <c r="AV850" s="408">
        <v>0</v>
      </c>
      <c r="AW850" s="408">
        <v>0</v>
      </c>
      <c r="AX850" s="408"/>
      <c r="AY850" s="408"/>
      <c r="AZ850" s="408">
        <v>0</v>
      </c>
      <c r="BA850" s="408"/>
      <c r="BB850" s="408">
        <v>0</v>
      </c>
      <c r="BC850" s="408">
        <v>0</v>
      </c>
      <c r="BD850" s="408">
        <v>0</v>
      </c>
      <c r="BE850" s="408">
        <v>0</v>
      </c>
      <c r="BF850" s="408"/>
      <c r="BG850" s="408">
        <v>3436.1874076712338</v>
      </c>
      <c r="BH850" s="408">
        <v>0</v>
      </c>
      <c r="BI850" s="408">
        <v>270.37</v>
      </c>
      <c r="BJ850" s="408">
        <v>0</v>
      </c>
      <c r="BK850" s="408">
        <v>0</v>
      </c>
      <c r="BL850" s="408">
        <v>0</v>
      </c>
      <c r="BM850" s="408"/>
      <c r="BN850" s="408"/>
      <c r="BO850" s="408">
        <v>20042.099999999999</v>
      </c>
      <c r="BP850" s="408"/>
      <c r="BQ850" s="408"/>
      <c r="BR850" s="408"/>
      <c r="BS850" s="408"/>
      <c r="BT850" s="408"/>
      <c r="BU850" s="408"/>
      <c r="BV850" s="408">
        <v>3436.1874076712338</v>
      </c>
      <c r="BW850" s="408"/>
      <c r="BX850" s="408"/>
      <c r="BY850" s="408"/>
      <c r="BZ850" s="408"/>
      <c r="CA850" s="408"/>
      <c r="CB850" s="408"/>
      <c r="CC850" s="408"/>
      <c r="CD850" s="408"/>
      <c r="CE850" s="408"/>
      <c r="CF850" s="408"/>
      <c r="CG850" s="408"/>
      <c r="CH850" s="408"/>
      <c r="CI850" s="408">
        <v>20042.099999999999</v>
      </c>
      <c r="CJ850" s="408">
        <v>-4071.6299999999974</v>
      </c>
      <c r="CK850" s="408"/>
      <c r="CL850" s="408"/>
      <c r="CM850" s="408"/>
      <c r="CN850" s="408"/>
      <c r="CO850" s="408">
        <v>-8143.2000000000007</v>
      </c>
      <c r="CP850" s="408">
        <v>0</v>
      </c>
      <c r="CQ850" s="408">
        <v>30</v>
      </c>
      <c r="CR850" s="408">
        <v>2526.7645846364476</v>
      </c>
      <c r="CS850" s="408">
        <v>0</v>
      </c>
      <c r="CT850" s="408">
        <v>0</v>
      </c>
      <c r="CU850" s="408">
        <v>0</v>
      </c>
      <c r="CV850" s="408">
        <v>0</v>
      </c>
      <c r="CW850" s="408"/>
      <c r="CX850" s="408"/>
      <c r="CY850" s="408"/>
      <c r="CZ850" s="408">
        <v>2091.2902096795342</v>
      </c>
      <c r="DA850" s="408">
        <v>0</v>
      </c>
      <c r="DB850" s="408">
        <v>0</v>
      </c>
      <c r="DC850" s="408"/>
      <c r="DD850" s="408"/>
      <c r="DE850" s="408">
        <v>0</v>
      </c>
      <c r="DF850" s="408">
        <v>0</v>
      </c>
      <c r="DG850" s="408">
        <v>435.47437495691338</v>
      </c>
      <c r="DH850" s="408">
        <v>0</v>
      </c>
      <c r="DI850" s="408">
        <v>0</v>
      </c>
      <c r="DJ850" s="408"/>
      <c r="DK850" s="408">
        <v>0</v>
      </c>
      <c r="DL850" s="408">
        <v>0</v>
      </c>
      <c r="DM850" s="408"/>
      <c r="DN850" s="408">
        <v>0</v>
      </c>
      <c r="DO850" s="408">
        <v>0</v>
      </c>
      <c r="DP850" s="408">
        <v>0</v>
      </c>
      <c r="DQ850" s="408">
        <v>0</v>
      </c>
      <c r="DR850" s="408">
        <v>0</v>
      </c>
      <c r="DS850" s="408"/>
      <c r="DT850" s="408"/>
      <c r="DU850" s="408">
        <v>42729.467006265557</v>
      </c>
      <c r="DV850" s="408"/>
      <c r="DW850" s="408">
        <v>0</v>
      </c>
      <c r="DX850" s="408">
        <v>0</v>
      </c>
      <c r="DY850" s="408">
        <v>-8143.2000000000044</v>
      </c>
      <c r="DZ850" s="408"/>
      <c r="EA850" s="408">
        <v>0</v>
      </c>
      <c r="EB850" s="408"/>
      <c r="EC850" s="408">
        <v>-10614.724405765934</v>
      </c>
      <c r="ED850" s="408"/>
      <c r="EE850" s="408">
        <v>0</v>
      </c>
      <c r="EF850" s="408">
        <v>0</v>
      </c>
      <c r="EG850" s="408"/>
      <c r="EH850" s="408">
        <v>0</v>
      </c>
      <c r="EI850" s="408">
        <v>0</v>
      </c>
      <c r="EJ850" s="408">
        <v>0</v>
      </c>
      <c r="EK850" s="408">
        <v>0</v>
      </c>
      <c r="EL850" s="408">
        <v>0</v>
      </c>
      <c r="EM850" s="408"/>
      <c r="EN850" s="408"/>
      <c r="EO850" s="408">
        <v>0</v>
      </c>
      <c r="EP850" s="408">
        <v>0</v>
      </c>
      <c r="EQ850" s="408"/>
      <c r="ER850" s="408">
        <v>0</v>
      </c>
      <c r="ES850" s="408"/>
      <c r="ET850" s="408">
        <v>0</v>
      </c>
      <c r="EU850" s="408"/>
      <c r="EV850" s="408">
        <v>240</v>
      </c>
      <c r="EW850" s="408"/>
      <c r="EX850" s="408"/>
      <c r="EY850" s="408"/>
      <c r="EZ850" s="408"/>
      <c r="FA850" s="408">
        <v>0</v>
      </c>
      <c r="FB850" s="408"/>
      <c r="FC850" s="408"/>
      <c r="FD850" s="408"/>
      <c r="FE850" s="408"/>
      <c r="FF850" s="408">
        <v>0</v>
      </c>
      <c r="FG850" s="408">
        <v>0</v>
      </c>
      <c r="FH850" s="408">
        <v>0</v>
      </c>
      <c r="FI850" s="408">
        <v>0</v>
      </c>
    </row>
    <row r="851" spans="1:165">
      <c r="A851" s="408">
        <v>849</v>
      </c>
      <c r="B851" s="408" t="s">
        <v>1036</v>
      </c>
      <c r="C851" s="408" t="s">
        <v>2247</v>
      </c>
      <c r="D851" s="408" t="s">
        <v>597</v>
      </c>
      <c r="E851" s="408" t="s">
        <v>970</v>
      </c>
      <c r="F851" s="408" t="s">
        <v>1322</v>
      </c>
      <c r="G851" s="408" t="s">
        <v>2318</v>
      </c>
      <c r="H851" s="408" t="s">
        <v>1322</v>
      </c>
      <c r="I851" s="408" t="s">
        <v>973</v>
      </c>
      <c r="J851" s="408" t="s">
        <v>2319</v>
      </c>
      <c r="K851" s="826">
        <v>44470</v>
      </c>
      <c r="L851" s="408">
        <v>7800</v>
      </c>
      <c r="M851" s="408">
        <v>3900</v>
      </c>
      <c r="N851" s="408">
        <v>0</v>
      </c>
      <c r="O851" s="408">
        <v>0</v>
      </c>
      <c r="P851" s="408">
        <v>0</v>
      </c>
      <c r="Q851" s="408">
        <v>0</v>
      </c>
      <c r="R851" s="408">
        <v>52.95</v>
      </c>
      <c r="S851" s="408"/>
      <c r="T851" s="408"/>
      <c r="U851" s="408">
        <v>413010</v>
      </c>
      <c r="V851" s="408"/>
      <c r="W851" s="408">
        <v>413010</v>
      </c>
      <c r="X851" s="408">
        <v>345150</v>
      </c>
      <c r="Y851" s="408">
        <v>0</v>
      </c>
      <c r="Z851" s="408">
        <v>0</v>
      </c>
      <c r="AA851" s="408">
        <v>0</v>
      </c>
      <c r="AB851" s="408">
        <v>0</v>
      </c>
      <c r="AC851" s="408">
        <v>6143.7967769655443</v>
      </c>
      <c r="AD851" s="408">
        <v>5902.6636731637609</v>
      </c>
      <c r="AE851" s="408">
        <v>327082.9691133537</v>
      </c>
      <c r="AF851" s="408"/>
      <c r="AG851" s="408"/>
      <c r="AH851" s="408"/>
      <c r="AI851" s="408">
        <v>0</v>
      </c>
      <c r="AJ851" s="408">
        <v>0</v>
      </c>
      <c r="AK851" s="408">
        <v>0</v>
      </c>
      <c r="AL851" s="408">
        <v>0</v>
      </c>
      <c r="AM851" s="408"/>
      <c r="AN851" s="408">
        <v>0</v>
      </c>
      <c r="AO851" s="408">
        <v>13041.996884625618</v>
      </c>
      <c r="AP851" s="408">
        <v>60812.114336929255</v>
      </c>
      <c r="AQ851" s="408">
        <v>0</v>
      </c>
      <c r="AR851" s="408">
        <v>0</v>
      </c>
      <c r="AS851" s="408"/>
      <c r="AT851" s="408"/>
      <c r="AU851" s="408">
        <v>0</v>
      </c>
      <c r="AV851" s="408">
        <v>0</v>
      </c>
      <c r="AW851" s="408">
        <v>0</v>
      </c>
      <c r="AX851" s="408"/>
      <c r="AY851" s="408"/>
      <c r="AZ851" s="408">
        <v>0</v>
      </c>
      <c r="BA851" s="408"/>
      <c r="BB851" s="408">
        <v>0</v>
      </c>
      <c r="BC851" s="408">
        <v>0</v>
      </c>
      <c r="BD851" s="408">
        <v>0</v>
      </c>
      <c r="BE851" s="408">
        <v>0</v>
      </c>
      <c r="BF851" s="408"/>
      <c r="BG851" s="408">
        <v>0</v>
      </c>
      <c r="BH851" s="408">
        <v>0</v>
      </c>
      <c r="BI851" s="408">
        <v>0</v>
      </c>
      <c r="BJ851" s="408">
        <v>0</v>
      </c>
      <c r="BK851" s="408">
        <v>0</v>
      </c>
      <c r="BL851" s="408">
        <v>0</v>
      </c>
      <c r="BM851" s="408"/>
      <c r="BN851" s="408">
        <v>172575</v>
      </c>
      <c r="BO851" s="408"/>
      <c r="BP851" s="408"/>
      <c r="BQ851" s="408"/>
      <c r="BR851" s="408"/>
      <c r="BS851" s="408"/>
      <c r="BT851" s="408"/>
      <c r="BU851" s="408"/>
      <c r="BV851" s="408">
        <v>0</v>
      </c>
      <c r="BW851" s="408"/>
      <c r="BX851" s="408"/>
      <c r="BY851" s="408"/>
      <c r="BZ851" s="408"/>
      <c r="CA851" s="408"/>
      <c r="CB851" s="408"/>
      <c r="CC851" s="408"/>
      <c r="CD851" s="408"/>
      <c r="CE851" s="408"/>
      <c r="CF851" s="408"/>
      <c r="CG851" s="408"/>
      <c r="CH851" s="408"/>
      <c r="CI851" s="408">
        <v>172575</v>
      </c>
      <c r="CJ851" s="408">
        <v>-33930.030000000028</v>
      </c>
      <c r="CK851" s="408"/>
      <c r="CL851" s="408"/>
      <c r="CM851" s="408"/>
      <c r="CN851" s="408"/>
      <c r="CO851" s="408">
        <v>-67860.000000000029</v>
      </c>
      <c r="CP851" s="408">
        <v>0</v>
      </c>
      <c r="CQ851" s="408">
        <v>31</v>
      </c>
      <c r="CR851" s="408">
        <v>13437.192136518745</v>
      </c>
      <c r="CS851" s="408">
        <v>1299.6071130329037</v>
      </c>
      <c r="CT851" s="408">
        <v>6059.7972112697025</v>
      </c>
      <c r="CU851" s="408">
        <v>0</v>
      </c>
      <c r="CV851" s="408">
        <v>0</v>
      </c>
      <c r="CW851" s="408"/>
      <c r="CX851" s="408"/>
      <c r="CY851" s="408"/>
      <c r="CZ851" s="408">
        <v>6077.7878122161492</v>
      </c>
      <c r="DA851" s="408">
        <v>0</v>
      </c>
      <c r="DB851" s="408">
        <v>0</v>
      </c>
      <c r="DC851" s="408"/>
      <c r="DD851" s="408"/>
      <c r="DE851" s="408">
        <v>0</v>
      </c>
      <c r="DF851" s="408">
        <v>0</v>
      </c>
      <c r="DG851" s="408">
        <v>0</v>
      </c>
      <c r="DH851" s="408">
        <v>0</v>
      </c>
      <c r="DI851" s="408">
        <v>0</v>
      </c>
      <c r="DJ851" s="408"/>
      <c r="DK851" s="408">
        <v>0</v>
      </c>
      <c r="DL851" s="408">
        <v>0</v>
      </c>
      <c r="DM851" s="408"/>
      <c r="DN851" s="408">
        <v>0</v>
      </c>
      <c r="DO851" s="408">
        <v>0</v>
      </c>
      <c r="DP851" s="408">
        <v>0</v>
      </c>
      <c r="DQ851" s="408">
        <v>0</v>
      </c>
      <c r="DR851" s="408">
        <v>0</v>
      </c>
      <c r="DS851" s="408"/>
      <c r="DT851" s="408"/>
      <c r="DU851" s="408">
        <v>327082.9691133537</v>
      </c>
      <c r="DV851" s="408"/>
      <c r="DW851" s="408">
        <v>0</v>
      </c>
      <c r="DX851" s="408">
        <v>0</v>
      </c>
      <c r="DY851" s="408">
        <v>-67860</v>
      </c>
      <c r="DZ851" s="408"/>
      <c r="EA851" s="408">
        <v>0</v>
      </c>
      <c r="EB851" s="408"/>
      <c r="EC851" s="408">
        <v>-81252.957694248587</v>
      </c>
      <c r="ED851" s="408"/>
      <c r="EE851" s="408">
        <v>0</v>
      </c>
      <c r="EF851" s="408">
        <v>0</v>
      </c>
      <c r="EG851" s="408"/>
      <c r="EH851" s="408">
        <v>0</v>
      </c>
      <c r="EI851" s="408">
        <v>0</v>
      </c>
      <c r="EJ851" s="408">
        <v>0</v>
      </c>
      <c r="EK851" s="408">
        <v>0</v>
      </c>
      <c r="EL851" s="408">
        <v>0</v>
      </c>
      <c r="EM851" s="408"/>
      <c r="EN851" s="408"/>
      <c r="EO851" s="408">
        <v>0</v>
      </c>
      <c r="EP851" s="408">
        <v>0</v>
      </c>
      <c r="EQ851" s="408"/>
      <c r="ER851" s="408">
        <v>0</v>
      </c>
      <c r="ES851" s="408"/>
      <c r="ET851" s="408">
        <v>0</v>
      </c>
      <c r="EU851" s="408"/>
      <c r="EV851" s="408">
        <v>240</v>
      </c>
      <c r="EW851" s="408"/>
      <c r="EX851" s="408"/>
      <c r="EY851" s="408"/>
      <c r="EZ851" s="408"/>
      <c r="FA851" s="408">
        <v>0</v>
      </c>
      <c r="FB851" s="408"/>
      <c r="FC851" s="408"/>
      <c r="FD851" s="408"/>
      <c r="FE851" s="408"/>
      <c r="FF851" s="408">
        <v>0</v>
      </c>
      <c r="FG851" s="408">
        <v>0</v>
      </c>
      <c r="FH851" s="408">
        <v>0</v>
      </c>
      <c r="FI851" s="408">
        <v>0</v>
      </c>
    </row>
    <row r="852" spans="1:165">
      <c r="A852" s="408">
        <v>850</v>
      </c>
      <c r="B852" s="408" t="s">
        <v>1036</v>
      </c>
      <c r="C852" s="408" t="s">
        <v>2247</v>
      </c>
      <c r="D852" s="408" t="s">
        <v>597</v>
      </c>
      <c r="E852" s="408" t="s">
        <v>970</v>
      </c>
      <c r="F852" s="408" t="s">
        <v>1322</v>
      </c>
      <c r="G852" s="408" t="s">
        <v>2318</v>
      </c>
      <c r="H852" s="408" t="s">
        <v>1322</v>
      </c>
      <c r="I852" s="408" t="s">
        <v>2244</v>
      </c>
      <c r="J852" s="408" t="s">
        <v>2319</v>
      </c>
      <c r="K852" s="826">
        <v>44470</v>
      </c>
      <c r="L852" s="408">
        <v>8500</v>
      </c>
      <c r="M852" s="408">
        <v>4250</v>
      </c>
      <c r="N852" s="408">
        <v>0</v>
      </c>
      <c r="O852" s="408">
        <v>0</v>
      </c>
      <c r="P852" s="408">
        <v>0</v>
      </c>
      <c r="Q852" s="408">
        <v>0</v>
      </c>
      <c r="R852" s="408">
        <v>27.19</v>
      </c>
      <c r="S852" s="408"/>
      <c r="T852" s="408"/>
      <c r="U852" s="408">
        <v>231115</v>
      </c>
      <c r="V852" s="408"/>
      <c r="W852" s="408">
        <v>231115</v>
      </c>
      <c r="X852" s="408">
        <v>184960</v>
      </c>
      <c r="Y852" s="408">
        <v>0</v>
      </c>
      <c r="Z852" s="408">
        <v>0</v>
      </c>
      <c r="AA852" s="408">
        <v>0</v>
      </c>
      <c r="AB852" s="408">
        <v>0</v>
      </c>
      <c r="AC852" s="408">
        <v>1982.205214134294</v>
      </c>
      <c r="AD852" s="408">
        <v>1904.296134648604</v>
      </c>
      <c r="AE852" s="408">
        <v>203422.25706685573</v>
      </c>
      <c r="AF852" s="408"/>
      <c r="AG852" s="408"/>
      <c r="AH852" s="408"/>
      <c r="AI852" s="408">
        <v>0</v>
      </c>
      <c r="AJ852" s="408">
        <v>0</v>
      </c>
      <c r="AK852" s="408">
        <v>0</v>
      </c>
      <c r="AL852" s="408">
        <v>0</v>
      </c>
      <c r="AM852" s="408"/>
      <c r="AN852" s="408">
        <v>0</v>
      </c>
      <c r="AO852" s="408">
        <v>4206.5210642689435</v>
      </c>
      <c r="AP852" s="408">
        <v>19618.755165597664</v>
      </c>
      <c r="AQ852" s="408">
        <v>0</v>
      </c>
      <c r="AR852" s="408">
        <v>0</v>
      </c>
      <c r="AS852" s="408"/>
      <c r="AT852" s="408"/>
      <c r="AU852" s="408">
        <v>0</v>
      </c>
      <c r="AV852" s="408">
        <v>0</v>
      </c>
      <c r="AW852" s="408">
        <v>0</v>
      </c>
      <c r="AX852" s="408"/>
      <c r="AY852" s="408"/>
      <c r="AZ852" s="408">
        <v>0</v>
      </c>
      <c r="BA852" s="408"/>
      <c r="BB852" s="408">
        <v>0</v>
      </c>
      <c r="BC852" s="408">
        <v>0</v>
      </c>
      <c r="BD852" s="408">
        <v>0</v>
      </c>
      <c r="BE852" s="408">
        <v>0</v>
      </c>
      <c r="BF852" s="408"/>
      <c r="BG852" s="408">
        <v>0</v>
      </c>
      <c r="BH852" s="408">
        <v>0</v>
      </c>
      <c r="BI852" s="408">
        <v>0</v>
      </c>
      <c r="BJ852" s="408">
        <v>0</v>
      </c>
      <c r="BK852" s="408">
        <v>0</v>
      </c>
      <c r="BL852" s="408">
        <v>0</v>
      </c>
      <c r="BM852" s="408"/>
      <c r="BN852" s="408">
        <v>92480</v>
      </c>
      <c r="BO852" s="408"/>
      <c r="BP852" s="408"/>
      <c r="BQ852" s="408"/>
      <c r="BR852" s="408"/>
      <c r="BS852" s="408"/>
      <c r="BT852" s="408"/>
      <c r="BU852" s="408"/>
      <c r="BV852" s="408">
        <v>0</v>
      </c>
      <c r="BW852" s="408"/>
      <c r="BX852" s="408"/>
      <c r="BY852" s="408"/>
      <c r="BZ852" s="408"/>
      <c r="CA852" s="408"/>
      <c r="CB852" s="408"/>
      <c r="CC852" s="408"/>
      <c r="CD852" s="408"/>
      <c r="CE852" s="408"/>
      <c r="CF852" s="408"/>
      <c r="CG852" s="408"/>
      <c r="CH852" s="408"/>
      <c r="CI852" s="408">
        <v>92480</v>
      </c>
      <c r="CJ852" s="408">
        <v>-23077.529999999984</v>
      </c>
      <c r="CK852" s="408"/>
      <c r="CL852" s="408"/>
      <c r="CM852" s="408"/>
      <c r="CN852" s="408"/>
      <c r="CO852" s="408">
        <v>-46155</v>
      </c>
      <c r="CP852" s="408">
        <v>0</v>
      </c>
      <c r="CQ852" s="408">
        <v>31</v>
      </c>
      <c r="CR852" s="408">
        <v>4334.9319059781446</v>
      </c>
      <c r="CS852" s="408">
        <v>419.17083285697208</v>
      </c>
      <c r="CT852" s="408">
        <v>1954.9670182882692</v>
      </c>
      <c r="CU852" s="408">
        <v>0</v>
      </c>
      <c r="CV852" s="408">
        <v>0</v>
      </c>
      <c r="CW852" s="408"/>
      <c r="CX852" s="408"/>
      <c r="CY852" s="408"/>
      <c r="CZ852" s="408">
        <v>1960.7940548329007</v>
      </c>
      <c r="DA852" s="408">
        <v>0</v>
      </c>
      <c r="DB852" s="408">
        <v>0</v>
      </c>
      <c r="DC852" s="408"/>
      <c r="DD852" s="408"/>
      <c r="DE852" s="408">
        <v>0</v>
      </c>
      <c r="DF852" s="408">
        <v>0</v>
      </c>
      <c r="DG852" s="408">
        <v>0</v>
      </c>
      <c r="DH852" s="408">
        <v>0</v>
      </c>
      <c r="DI852" s="408">
        <v>0</v>
      </c>
      <c r="DJ852" s="408"/>
      <c r="DK852" s="408">
        <v>0</v>
      </c>
      <c r="DL852" s="408">
        <v>0</v>
      </c>
      <c r="DM852" s="408"/>
      <c r="DN852" s="408">
        <v>0</v>
      </c>
      <c r="DO852" s="408">
        <v>0</v>
      </c>
      <c r="DP852" s="408">
        <v>0</v>
      </c>
      <c r="DQ852" s="408">
        <v>0</v>
      </c>
      <c r="DR852" s="408">
        <v>0</v>
      </c>
      <c r="DS852" s="408"/>
      <c r="DT852" s="408"/>
      <c r="DU852" s="408">
        <v>203422.25706685573</v>
      </c>
      <c r="DV852" s="408"/>
      <c r="DW852" s="408">
        <v>0</v>
      </c>
      <c r="DX852" s="408">
        <v>0</v>
      </c>
      <c r="DY852" s="408">
        <v>-46155</v>
      </c>
      <c r="DZ852" s="408"/>
      <c r="EA852" s="408">
        <v>0</v>
      </c>
      <c r="EB852" s="408"/>
      <c r="EC852" s="408">
        <v>-50533.539218893537</v>
      </c>
      <c r="ED852" s="408"/>
      <c r="EE852" s="408">
        <v>0</v>
      </c>
      <c r="EF852" s="408">
        <v>0</v>
      </c>
      <c r="EG852" s="408"/>
      <c r="EH852" s="408">
        <v>0</v>
      </c>
      <c r="EI852" s="408">
        <v>0</v>
      </c>
      <c r="EJ852" s="408">
        <v>0</v>
      </c>
      <c r="EK852" s="408">
        <v>0</v>
      </c>
      <c r="EL852" s="408">
        <v>0</v>
      </c>
      <c r="EM852" s="408"/>
      <c r="EN852" s="408"/>
      <c r="EO852" s="408">
        <v>0</v>
      </c>
      <c r="EP852" s="408">
        <v>0</v>
      </c>
      <c r="EQ852" s="408"/>
      <c r="ER852" s="408">
        <v>0</v>
      </c>
      <c r="ES852" s="408"/>
      <c r="ET852" s="408">
        <v>0</v>
      </c>
      <c r="EU852" s="408"/>
      <c r="EV852" s="408">
        <v>240</v>
      </c>
      <c r="EW852" s="408"/>
      <c r="EX852" s="408"/>
      <c r="EY852" s="408"/>
      <c r="EZ852" s="408"/>
      <c r="FA852" s="408">
        <v>0</v>
      </c>
      <c r="FB852" s="408"/>
      <c r="FC852" s="408"/>
      <c r="FD852" s="408"/>
      <c r="FE852" s="408"/>
      <c r="FF852" s="408">
        <v>0</v>
      </c>
      <c r="FG852" s="408">
        <v>0</v>
      </c>
      <c r="FH852" s="408">
        <v>0</v>
      </c>
      <c r="FI852" s="408">
        <v>0</v>
      </c>
    </row>
    <row r="853" spans="1:165">
      <c r="A853" s="408">
        <v>851</v>
      </c>
      <c r="B853" s="408" t="s">
        <v>1036</v>
      </c>
      <c r="C853" s="408" t="s">
        <v>2247</v>
      </c>
      <c r="D853" s="408" t="s">
        <v>597</v>
      </c>
      <c r="E853" s="408" t="s">
        <v>970</v>
      </c>
      <c r="F853" s="408" t="s">
        <v>1322</v>
      </c>
      <c r="G853" s="408" t="s">
        <v>2318</v>
      </c>
      <c r="H853" s="408" t="s">
        <v>1322</v>
      </c>
      <c r="I853" s="408" t="s">
        <v>1322</v>
      </c>
      <c r="J853" s="408" t="s">
        <v>2319</v>
      </c>
      <c r="K853" s="826">
        <v>44470</v>
      </c>
      <c r="L853" s="408">
        <v>0</v>
      </c>
      <c r="M853" s="408">
        <v>0</v>
      </c>
      <c r="N853" s="408">
        <v>3672.5540000000001</v>
      </c>
      <c r="O853" s="408">
        <v>3672.5540000000001</v>
      </c>
      <c r="P853" s="408">
        <v>0</v>
      </c>
      <c r="Q853" s="408">
        <v>0</v>
      </c>
      <c r="R853" s="408"/>
      <c r="S853" s="408">
        <v>85.01</v>
      </c>
      <c r="T853" s="408"/>
      <c r="U853" s="408"/>
      <c r="V853" s="408">
        <v>312203.81554000004</v>
      </c>
      <c r="W853" s="408">
        <v>312203.81554000004</v>
      </c>
      <c r="X853" s="408">
        <v>307870.20182000002</v>
      </c>
      <c r="Y853" s="408">
        <v>0</v>
      </c>
      <c r="Z853" s="408">
        <v>196644.36760343492</v>
      </c>
      <c r="AA853" s="408">
        <v>0</v>
      </c>
      <c r="AB853" s="408">
        <v>0</v>
      </c>
      <c r="AC853" s="408">
        <v>0</v>
      </c>
      <c r="AD853" s="408">
        <v>0</v>
      </c>
      <c r="AE853" s="408">
        <v>0</v>
      </c>
      <c r="AF853" s="408"/>
      <c r="AG853" s="408"/>
      <c r="AH853" s="408"/>
      <c r="AI853" s="408">
        <v>0</v>
      </c>
      <c r="AJ853" s="408">
        <v>0</v>
      </c>
      <c r="AK853" s="408">
        <v>0</v>
      </c>
      <c r="AL853" s="408">
        <v>34922.427181112544</v>
      </c>
      <c r="AM853" s="408"/>
      <c r="AN853" s="408">
        <v>2941.032024834974</v>
      </c>
      <c r="AO853" s="408">
        <v>0</v>
      </c>
      <c r="AP853" s="408">
        <v>0</v>
      </c>
      <c r="AQ853" s="408">
        <v>0</v>
      </c>
      <c r="AR853" s="408">
        <v>0</v>
      </c>
      <c r="AS853" s="408"/>
      <c r="AT853" s="408"/>
      <c r="AU853" s="408">
        <v>0</v>
      </c>
      <c r="AV853" s="408">
        <v>0</v>
      </c>
      <c r="AW853" s="408">
        <v>0</v>
      </c>
      <c r="AX853" s="408"/>
      <c r="AY853" s="408"/>
      <c r="AZ853" s="408">
        <v>0</v>
      </c>
      <c r="BA853" s="408"/>
      <c r="BB853" s="408">
        <v>0</v>
      </c>
      <c r="BC853" s="408">
        <v>0</v>
      </c>
      <c r="BD853" s="408">
        <v>0</v>
      </c>
      <c r="BE853" s="408">
        <v>0</v>
      </c>
      <c r="BF853" s="408"/>
      <c r="BG853" s="408">
        <v>27465.770148541786</v>
      </c>
      <c r="BH853" s="408">
        <v>0</v>
      </c>
      <c r="BI853" s="408">
        <v>5117.59</v>
      </c>
      <c r="BJ853" s="408">
        <v>0</v>
      </c>
      <c r="BK853" s="408">
        <v>169197.79</v>
      </c>
      <c r="BL853" s="408">
        <v>2</v>
      </c>
      <c r="BM853" s="408"/>
      <c r="BN853" s="408"/>
      <c r="BO853" s="408"/>
      <c r="BP853" s="408"/>
      <c r="BQ853" s="408"/>
      <c r="BR853" s="408"/>
      <c r="BS853" s="408"/>
      <c r="BT853" s="408"/>
      <c r="BU853" s="408"/>
      <c r="BV853" s="408">
        <v>27465.770148541786</v>
      </c>
      <c r="BW853" s="408"/>
      <c r="BX853" s="408"/>
      <c r="BY853" s="408"/>
      <c r="BZ853" s="408"/>
      <c r="CA853" s="408"/>
      <c r="CB853" s="408"/>
      <c r="CC853" s="408"/>
      <c r="CD853" s="408"/>
      <c r="CE853" s="408"/>
      <c r="CF853" s="408"/>
      <c r="CG853" s="408"/>
      <c r="CH853" s="408"/>
      <c r="CI853" s="408">
        <v>307869.8665</v>
      </c>
      <c r="CJ853" s="408">
        <v>-4333.9790400000638</v>
      </c>
      <c r="CK853" s="408"/>
      <c r="CL853" s="408"/>
      <c r="CM853" s="408"/>
      <c r="CN853" s="408"/>
      <c r="CO853" s="408">
        <v>-4333.6137200000248</v>
      </c>
      <c r="CP853" s="408">
        <v>0</v>
      </c>
      <c r="CQ853" s="408">
        <v>31</v>
      </c>
      <c r="CR853" s="408">
        <v>-4335.3015008016373</v>
      </c>
      <c r="CS853" s="408">
        <v>0</v>
      </c>
      <c r="CT853" s="408">
        <v>0</v>
      </c>
      <c r="CU853" s="408">
        <v>0</v>
      </c>
      <c r="CV853" s="408">
        <v>0</v>
      </c>
      <c r="CW853" s="408"/>
      <c r="CX853" s="408"/>
      <c r="CY853" s="408"/>
      <c r="CZ853" s="408">
        <v>0</v>
      </c>
      <c r="DA853" s="408">
        <v>0</v>
      </c>
      <c r="DB853" s="408">
        <v>0</v>
      </c>
      <c r="DC853" s="408"/>
      <c r="DD853" s="408"/>
      <c r="DE853" s="408">
        <v>0</v>
      </c>
      <c r="DF853" s="408">
        <v>0</v>
      </c>
      <c r="DG853" s="408">
        <v>3480.7877653717405</v>
      </c>
      <c r="DH853" s="408">
        <v>0</v>
      </c>
      <c r="DI853" s="408">
        <v>-6677.4204608192958</v>
      </c>
      <c r="DJ853" s="408"/>
      <c r="DK853" s="408">
        <v>0</v>
      </c>
      <c r="DL853" s="408">
        <v>0</v>
      </c>
      <c r="DM853" s="408"/>
      <c r="DN853" s="408">
        <v>0</v>
      </c>
      <c r="DO853" s="408">
        <v>-1055.4628040695679</v>
      </c>
      <c r="DP853" s="408">
        <v>-83.206001284539525</v>
      </c>
      <c r="DQ853" s="408">
        <v>0</v>
      </c>
      <c r="DR853" s="408">
        <v>0</v>
      </c>
      <c r="DS853" s="408"/>
      <c r="DT853" s="408"/>
      <c r="DU853" s="408"/>
      <c r="DV853" s="408">
        <v>0</v>
      </c>
      <c r="DW853" s="408">
        <v>0</v>
      </c>
      <c r="DX853" s="408">
        <v>0</v>
      </c>
      <c r="DY853" s="408">
        <v>-4333.613720000023</v>
      </c>
      <c r="DZ853" s="408"/>
      <c r="EA853" s="408">
        <v>0</v>
      </c>
      <c r="EB853" s="408"/>
      <c r="EC853" s="408">
        <v>0</v>
      </c>
      <c r="ED853" s="408"/>
      <c r="EE853" s="408">
        <v>0</v>
      </c>
      <c r="EF853" s="408">
        <v>0</v>
      </c>
      <c r="EG853" s="408"/>
      <c r="EH853" s="408">
        <v>0</v>
      </c>
      <c r="EI853" s="408">
        <v>0</v>
      </c>
      <c r="EJ853" s="408">
        <v>0</v>
      </c>
      <c r="EK853" s="408">
        <v>0</v>
      </c>
      <c r="EL853" s="408">
        <v>0</v>
      </c>
      <c r="EM853" s="408"/>
      <c r="EN853" s="408"/>
      <c r="EO853" s="408">
        <v>0</v>
      </c>
      <c r="EP853" s="408">
        <v>50219.464319408886</v>
      </c>
      <c r="EQ853" s="408"/>
      <c r="ER853" s="408">
        <v>0</v>
      </c>
      <c r="ES853" s="408"/>
      <c r="ET853" s="408">
        <v>0</v>
      </c>
      <c r="EU853" s="408"/>
      <c r="EV853" s="408">
        <v>240</v>
      </c>
      <c r="EW853" s="408"/>
      <c r="EX853" s="408"/>
      <c r="EY853" s="408"/>
      <c r="EZ853" s="408"/>
      <c r="FA853" s="408">
        <v>0</v>
      </c>
      <c r="FB853" s="408"/>
      <c r="FC853" s="408"/>
      <c r="FD853" s="408"/>
      <c r="FE853" s="408"/>
      <c r="FF853" s="408">
        <v>0</v>
      </c>
      <c r="FG853" s="408">
        <v>0</v>
      </c>
      <c r="FH853" s="408">
        <v>0</v>
      </c>
      <c r="FI853" s="408">
        <v>0</v>
      </c>
    </row>
    <row r="854" spans="1:165">
      <c r="A854" s="408">
        <v>852</v>
      </c>
      <c r="B854" s="408" t="s">
        <v>1036</v>
      </c>
      <c r="C854" s="408" t="s">
        <v>2243</v>
      </c>
      <c r="D854" s="408" t="s">
        <v>597</v>
      </c>
      <c r="E854" s="408" t="s">
        <v>970</v>
      </c>
      <c r="F854" s="408" t="s">
        <v>1322</v>
      </c>
      <c r="G854" s="408" t="s">
        <v>2318</v>
      </c>
      <c r="H854" s="408" t="s">
        <v>1322</v>
      </c>
      <c r="I854" s="408" t="s">
        <v>973</v>
      </c>
      <c r="J854" s="408" t="s">
        <v>2319</v>
      </c>
      <c r="K854" s="826">
        <v>44470</v>
      </c>
      <c r="L854" s="408">
        <v>0</v>
      </c>
      <c r="M854" s="408">
        <v>0</v>
      </c>
      <c r="N854" s="408">
        <v>23.265000000000001</v>
      </c>
      <c r="O854" s="408">
        <v>11.14974450315</v>
      </c>
      <c r="P854" s="408">
        <v>0</v>
      </c>
      <c r="Q854" s="408">
        <v>0</v>
      </c>
      <c r="R854" s="408"/>
      <c r="S854" s="408">
        <v>1358.36</v>
      </c>
      <c r="T854" s="408"/>
      <c r="U854" s="408"/>
      <c r="V854" s="408">
        <v>31602.2454</v>
      </c>
      <c r="W854" s="408">
        <v>31602.2454</v>
      </c>
      <c r="X854" s="408">
        <v>26710.081200000001</v>
      </c>
      <c r="Y854" s="408">
        <v>0</v>
      </c>
      <c r="Z854" s="408">
        <v>1245.7083578060156</v>
      </c>
      <c r="AA854" s="408">
        <v>0</v>
      </c>
      <c r="AB854" s="408">
        <v>0</v>
      </c>
      <c r="AC854" s="408">
        <v>440.68768512627526</v>
      </c>
      <c r="AD854" s="408">
        <v>423.40335258104773</v>
      </c>
      <c r="AE854" s="408">
        <v>23462.932031360375</v>
      </c>
      <c r="AF854" s="408"/>
      <c r="AG854" s="408"/>
      <c r="AH854" s="408"/>
      <c r="AI854" s="408">
        <v>0</v>
      </c>
      <c r="AJ854" s="408">
        <v>0</v>
      </c>
      <c r="AK854" s="408">
        <v>0</v>
      </c>
      <c r="AL854" s="408">
        <v>221.22758940197568</v>
      </c>
      <c r="AM854" s="408"/>
      <c r="AN854" s="408">
        <v>18.630933692952009</v>
      </c>
      <c r="AO854" s="408">
        <v>935.50477832921842</v>
      </c>
      <c r="AP854" s="408">
        <v>4362.0967939184766</v>
      </c>
      <c r="AQ854" s="408">
        <v>0</v>
      </c>
      <c r="AR854" s="408">
        <v>0</v>
      </c>
      <c r="AS854" s="408"/>
      <c r="AT854" s="408"/>
      <c r="AU854" s="408">
        <v>0</v>
      </c>
      <c r="AV854" s="408">
        <v>0</v>
      </c>
      <c r="AW854" s="408">
        <v>0</v>
      </c>
      <c r="AX854" s="408"/>
      <c r="AY854" s="408"/>
      <c r="AZ854" s="408">
        <v>0</v>
      </c>
      <c r="BA854" s="408"/>
      <c r="BB854" s="408">
        <v>0</v>
      </c>
      <c r="BC854" s="408">
        <v>0</v>
      </c>
      <c r="BD854" s="408">
        <v>0</v>
      </c>
      <c r="BE854" s="408">
        <v>0</v>
      </c>
      <c r="BF854" s="408"/>
      <c r="BG854" s="408">
        <v>173.99094540361412</v>
      </c>
      <c r="BH854" s="408">
        <v>0</v>
      </c>
      <c r="BI854" s="408">
        <v>0</v>
      </c>
      <c r="BJ854" s="408">
        <v>0</v>
      </c>
      <c r="BK854" s="408">
        <v>0</v>
      </c>
      <c r="BL854" s="408">
        <v>0</v>
      </c>
      <c r="BM854" s="408"/>
      <c r="BN854" s="408">
        <v>13909.282530823548</v>
      </c>
      <c r="BO854" s="408"/>
      <c r="BP854" s="408"/>
      <c r="BQ854" s="408"/>
      <c r="BR854" s="408"/>
      <c r="BS854" s="408"/>
      <c r="BT854" s="408"/>
      <c r="BU854" s="408"/>
      <c r="BV854" s="408">
        <v>173.99094540361412</v>
      </c>
      <c r="BW854" s="408"/>
      <c r="BX854" s="408"/>
      <c r="BY854" s="408"/>
      <c r="BZ854" s="408"/>
      <c r="CA854" s="408"/>
      <c r="CB854" s="408"/>
      <c r="CC854" s="408"/>
      <c r="CD854" s="408"/>
      <c r="CE854" s="408"/>
      <c r="CF854" s="408"/>
      <c r="CG854" s="408"/>
      <c r="CH854" s="408"/>
      <c r="CI854" s="408">
        <v>12801.091999999999</v>
      </c>
      <c r="CJ854" s="408">
        <v>-2344.3049432988355</v>
      </c>
      <c r="CK854" s="408"/>
      <c r="CL854" s="408"/>
      <c r="CM854" s="408"/>
      <c r="CN854" s="408"/>
      <c r="CO854" s="408">
        <v>-4892.1641999999993</v>
      </c>
      <c r="CP854" s="408">
        <v>0</v>
      </c>
      <c r="CQ854" s="408">
        <v>31</v>
      </c>
      <c r="CR854" s="408">
        <v>936.39644549558307</v>
      </c>
      <c r="CS854" s="408">
        <v>93.221051572715851</v>
      </c>
      <c r="CT854" s="408">
        <v>434.67362178236181</v>
      </c>
      <c r="CU854" s="408">
        <v>0</v>
      </c>
      <c r="CV854" s="408">
        <v>0</v>
      </c>
      <c r="CW854" s="408"/>
      <c r="CX854" s="408"/>
      <c r="CY854" s="408"/>
      <c r="CZ854" s="408">
        <v>435.96516394254576</v>
      </c>
      <c r="DA854" s="408">
        <v>0</v>
      </c>
      <c r="DB854" s="408">
        <v>0</v>
      </c>
      <c r="DC854" s="408"/>
      <c r="DD854" s="408"/>
      <c r="DE854" s="408">
        <v>0</v>
      </c>
      <c r="DF854" s="408">
        <v>0</v>
      </c>
      <c r="DG854" s="408">
        <v>22.05019377832798</v>
      </c>
      <c r="DH854" s="408">
        <v>0</v>
      </c>
      <c r="DI854" s="408">
        <v>-42.30031390170484</v>
      </c>
      <c r="DJ854" s="408"/>
      <c r="DK854" s="408">
        <v>0</v>
      </c>
      <c r="DL854" s="408">
        <v>0</v>
      </c>
      <c r="DM854" s="408"/>
      <c r="DN854" s="408">
        <v>0</v>
      </c>
      <c r="DO854" s="408">
        <v>-6.6861759246231713</v>
      </c>
      <c r="DP854" s="408">
        <v>-0.52709575404059805</v>
      </c>
      <c r="DQ854" s="408">
        <v>0</v>
      </c>
      <c r="DR854" s="408">
        <v>0</v>
      </c>
      <c r="DS854" s="408"/>
      <c r="DT854" s="408"/>
      <c r="DU854" s="408"/>
      <c r="DV854" s="408">
        <v>23462.932031360375</v>
      </c>
      <c r="DW854" s="408">
        <v>0</v>
      </c>
      <c r="DX854" s="408">
        <v>0</v>
      </c>
      <c r="DY854" s="408">
        <v>-4892.1641999999993</v>
      </c>
      <c r="DZ854" s="408"/>
      <c r="EA854" s="408">
        <v>0</v>
      </c>
      <c r="EB854" s="408"/>
      <c r="EC854" s="408">
        <v>-5828.5903081260258</v>
      </c>
      <c r="ED854" s="408"/>
      <c r="EE854" s="408">
        <v>0</v>
      </c>
      <c r="EF854" s="408">
        <v>0</v>
      </c>
      <c r="EG854" s="408"/>
      <c r="EH854" s="408">
        <v>0</v>
      </c>
      <c r="EI854" s="408">
        <v>0</v>
      </c>
      <c r="EJ854" s="408">
        <v>0</v>
      </c>
      <c r="EK854" s="408">
        <v>0</v>
      </c>
      <c r="EL854" s="408">
        <v>0</v>
      </c>
      <c r="EM854" s="408"/>
      <c r="EN854" s="408"/>
      <c r="EO854" s="408">
        <v>0</v>
      </c>
      <c r="EP854" s="408">
        <v>318.13169728506313</v>
      </c>
      <c r="EQ854" s="408"/>
      <c r="ER854" s="408">
        <v>0</v>
      </c>
      <c r="ES854" s="408"/>
      <c r="ET854" s="408">
        <v>0</v>
      </c>
      <c r="EU854" s="408"/>
      <c r="EV854" s="408">
        <v>240</v>
      </c>
      <c r="EW854" s="408"/>
      <c r="EX854" s="408"/>
      <c r="EY854" s="408"/>
      <c r="EZ854" s="408"/>
      <c r="FA854" s="408">
        <v>0</v>
      </c>
      <c r="FB854" s="408"/>
      <c r="FC854" s="408"/>
      <c r="FD854" s="408"/>
      <c r="FE854" s="408"/>
      <c r="FF854" s="408">
        <v>0</v>
      </c>
      <c r="FG854" s="408">
        <v>0</v>
      </c>
      <c r="FH854" s="408">
        <v>0</v>
      </c>
      <c r="FI854" s="408">
        <v>0</v>
      </c>
    </row>
    <row r="855" spans="1:165">
      <c r="A855" s="408">
        <v>853</v>
      </c>
      <c r="B855" s="408" t="s">
        <v>1036</v>
      </c>
      <c r="C855" s="408" t="s">
        <v>2243</v>
      </c>
      <c r="D855" s="408" t="s">
        <v>597</v>
      </c>
      <c r="E855" s="408" t="s">
        <v>970</v>
      </c>
      <c r="F855" s="408" t="s">
        <v>1322</v>
      </c>
      <c r="G855" s="408" t="s">
        <v>2318</v>
      </c>
      <c r="H855" s="408" t="s">
        <v>1322</v>
      </c>
      <c r="I855" s="408" t="s">
        <v>2244</v>
      </c>
      <c r="J855" s="408" t="s">
        <v>2319</v>
      </c>
      <c r="K855" s="826">
        <v>44470</v>
      </c>
      <c r="L855" s="408">
        <v>0</v>
      </c>
      <c r="M855" s="408">
        <v>0</v>
      </c>
      <c r="N855" s="408">
        <v>297.49200000000002</v>
      </c>
      <c r="O855" s="408">
        <v>297.49200000000002</v>
      </c>
      <c r="P855" s="408">
        <v>0</v>
      </c>
      <c r="Q855" s="408">
        <v>0</v>
      </c>
      <c r="R855" s="408"/>
      <c r="S855" s="408">
        <v>85.01</v>
      </c>
      <c r="T855" s="408"/>
      <c r="U855" s="408"/>
      <c r="V855" s="408">
        <v>25289.794920000004</v>
      </c>
      <c r="W855" s="408">
        <v>25289.794920000004</v>
      </c>
      <c r="X855" s="408">
        <v>24938.754360000003</v>
      </c>
      <c r="Y855" s="408">
        <v>0</v>
      </c>
      <c r="Z855" s="408">
        <v>15929.003687101964</v>
      </c>
      <c r="AA855" s="408">
        <v>0</v>
      </c>
      <c r="AB855" s="408">
        <v>0</v>
      </c>
      <c r="AC855" s="408">
        <v>0</v>
      </c>
      <c r="AD855" s="408">
        <v>0</v>
      </c>
      <c r="AE855" s="408">
        <v>0</v>
      </c>
      <c r="AF855" s="408"/>
      <c r="AG855" s="408"/>
      <c r="AH855" s="408"/>
      <c r="AI855" s="408">
        <v>0</v>
      </c>
      <c r="AJ855" s="408">
        <v>0</v>
      </c>
      <c r="AK855" s="408">
        <v>0</v>
      </c>
      <c r="AL855" s="408">
        <v>2828.860435262091</v>
      </c>
      <c r="AM855" s="408"/>
      <c r="AN855" s="408">
        <v>238.23570712158516</v>
      </c>
      <c r="AO855" s="408">
        <v>0</v>
      </c>
      <c r="AP855" s="408">
        <v>0</v>
      </c>
      <c r="AQ855" s="408">
        <v>0</v>
      </c>
      <c r="AR855" s="408">
        <v>0</v>
      </c>
      <c r="AS855" s="408"/>
      <c r="AT855" s="408"/>
      <c r="AU855" s="408">
        <v>0</v>
      </c>
      <c r="AV855" s="408">
        <v>0</v>
      </c>
      <c r="AW855" s="408">
        <v>0</v>
      </c>
      <c r="AX855" s="408"/>
      <c r="AY855" s="408"/>
      <c r="AZ855" s="408">
        <v>0</v>
      </c>
      <c r="BA855" s="408"/>
      <c r="BB855" s="408">
        <v>0</v>
      </c>
      <c r="BC855" s="408">
        <v>0</v>
      </c>
      <c r="BD855" s="408">
        <v>0</v>
      </c>
      <c r="BE855" s="408">
        <v>0</v>
      </c>
      <c r="BF855" s="408"/>
      <c r="BG855" s="408">
        <v>2224.8405041913593</v>
      </c>
      <c r="BH855" s="408">
        <v>0</v>
      </c>
      <c r="BI855" s="408">
        <v>0</v>
      </c>
      <c r="BJ855" s="408">
        <v>0</v>
      </c>
      <c r="BK855" s="408">
        <v>0</v>
      </c>
      <c r="BL855" s="408">
        <v>0</v>
      </c>
      <c r="BM855" s="408"/>
      <c r="BN855" s="408"/>
      <c r="BO855" s="408"/>
      <c r="BP855" s="408"/>
      <c r="BQ855" s="408"/>
      <c r="BR855" s="408"/>
      <c r="BS855" s="408"/>
      <c r="BT855" s="408"/>
      <c r="BU855" s="408"/>
      <c r="BV855" s="408">
        <v>2224.8405041913593</v>
      </c>
      <c r="BW855" s="408"/>
      <c r="BX855" s="408"/>
      <c r="BY855" s="408"/>
      <c r="BZ855" s="408"/>
      <c r="CA855" s="408"/>
      <c r="CB855" s="408"/>
      <c r="CC855" s="408"/>
      <c r="CD855" s="408"/>
      <c r="CE855" s="408"/>
      <c r="CF855" s="408"/>
      <c r="CG855" s="408"/>
      <c r="CH855" s="408"/>
      <c r="CI855" s="408">
        <v>24938.5867</v>
      </c>
      <c r="CJ855" s="408">
        <v>-351.23821999999927</v>
      </c>
      <c r="CK855" s="408"/>
      <c r="CL855" s="408"/>
      <c r="CM855" s="408"/>
      <c r="CN855" s="408"/>
      <c r="CO855" s="408">
        <v>-351.04056000000207</v>
      </c>
      <c r="CP855" s="408">
        <v>0</v>
      </c>
      <c r="CQ855" s="408">
        <v>31</v>
      </c>
      <c r="CR855" s="408">
        <v>-351.17727719632603</v>
      </c>
      <c r="CS855" s="408">
        <v>0</v>
      </c>
      <c r="CT855" s="408">
        <v>0</v>
      </c>
      <c r="CU855" s="408">
        <v>0</v>
      </c>
      <c r="CV855" s="408">
        <v>0</v>
      </c>
      <c r="CW855" s="408"/>
      <c r="CX855" s="408"/>
      <c r="CY855" s="408"/>
      <c r="CZ855" s="408">
        <v>0</v>
      </c>
      <c r="DA855" s="408">
        <v>0</v>
      </c>
      <c r="DB855" s="408">
        <v>0</v>
      </c>
      <c r="DC855" s="408"/>
      <c r="DD855" s="408"/>
      <c r="DE855" s="408">
        <v>0</v>
      </c>
      <c r="DF855" s="408">
        <v>0</v>
      </c>
      <c r="DG855" s="408">
        <v>281.95814517525696</v>
      </c>
      <c r="DH855" s="408">
        <v>0</v>
      </c>
      <c r="DI855" s="408">
        <v>-540.89855934863226</v>
      </c>
      <c r="DJ855" s="408"/>
      <c r="DK855" s="408">
        <v>0</v>
      </c>
      <c r="DL855" s="408">
        <v>0</v>
      </c>
      <c r="DM855" s="408"/>
      <c r="DN855" s="408">
        <v>0</v>
      </c>
      <c r="DO855" s="408">
        <v>-85.49683422170574</v>
      </c>
      <c r="DP855" s="408">
        <v>-6.7400288012484566</v>
      </c>
      <c r="DQ855" s="408">
        <v>0</v>
      </c>
      <c r="DR855" s="408">
        <v>0</v>
      </c>
      <c r="DS855" s="408"/>
      <c r="DT855" s="408"/>
      <c r="DU855" s="408"/>
      <c r="DV855" s="408">
        <v>0</v>
      </c>
      <c r="DW855" s="408">
        <v>0</v>
      </c>
      <c r="DX855" s="408">
        <v>0</v>
      </c>
      <c r="DY855" s="408">
        <v>-351.04056000000128</v>
      </c>
      <c r="DZ855" s="408"/>
      <c r="EA855" s="408">
        <v>0</v>
      </c>
      <c r="EB855" s="408"/>
      <c r="EC855" s="408">
        <v>0</v>
      </c>
      <c r="ED855" s="408"/>
      <c r="EE855" s="408">
        <v>0</v>
      </c>
      <c r="EF855" s="408">
        <v>0</v>
      </c>
      <c r="EG855" s="408"/>
      <c r="EH855" s="408">
        <v>0</v>
      </c>
      <c r="EI855" s="408">
        <v>0</v>
      </c>
      <c r="EJ855" s="408">
        <v>0</v>
      </c>
      <c r="EK855" s="408">
        <v>0</v>
      </c>
      <c r="EL855" s="408">
        <v>0</v>
      </c>
      <c r="EM855" s="408"/>
      <c r="EN855" s="408"/>
      <c r="EO855" s="408">
        <v>0</v>
      </c>
      <c r="EP855" s="408">
        <v>4067.9834467538362</v>
      </c>
      <c r="EQ855" s="408"/>
      <c r="ER855" s="408">
        <v>0</v>
      </c>
      <c r="ES855" s="408"/>
      <c r="ET855" s="408">
        <v>0</v>
      </c>
      <c r="EU855" s="408"/>
      <c r="EV855" s="408">
        <v>240</v>
      </c>
      <c r="EW855" s="408"/>
      <c r="EX855" s="408"/>
      <c r="EY855" s="408"/>
      <c r="EZ855" s="408"/>
      <c r="FA855" s="408">
        <v>0</v>
      </c>
      <c r="FB855" s="408"/>
      <c r="FC855" s="408"/>
      <c r="FD855" s="408"/>
      <c r="FE855" s="408"/>
      <c r="FF855" s="408">
        <v>0</v>
      </c>
      <c r="FG855" s="408">
        <v>0</v>
      </c>
      <c r="FH855" s="408">
        <v>0</v>
      </c>
      <c r="FI855" s="408">
        <v>0</v>
      </c>
    </row>
    <row r="856" spans="1:165">
      <c r="A856" s="408">
        <v>854</v>
      </c>
      <c r="B856" s="408" t="s">
        <v>1036</v>
      </c>
      <c r="C856" s="408" t="s">
        <v>2243</v>
      </c>
      <c r="D856" s="408" t="s">
        <v>597</v>
      </c>
      <c r="E856" s="408" t="s">
        <v>970</v>
      </c>
      <c r="F856" s="408" t="s">
        <v>1322</v>
      </c>
      <c r="G856" s="408" t="s">
        <v>2318</v>
      </c>
      <c r="H856" s="408" t="s">
        <v>1322</v>
      </c>
      <c r="I856" s="408" t="s">
        <v>1322</v>
      </c>
      <c r="J856" s="408" t="s">
        <v>2319</v>
      </c>
      <c r="K856" s="826">
        <v>44470</v>
      </c>
      <c r="L856" s="408">
        <v>1470</v>
      </c>
      <c r="M856" s="408">
        <v>772.49928839999995</v>
      </c>
      <c r="N856" s="408">
        <v>0</v>
      </c>
      <c r="O856" s="408">
        <v>0</v>
      </c>
      <c r="P856" s="408">
        <v>0</v>
      </c>
      <c r="Q856" s="408">
        <v>0</v>
      </c>
      <c r="R856" s="408">
        <v>27.19</v>
      </c>
      <c r="S856" s="408"/>
      <c r="T856" s="408"/>
      <c r="U856" s="408">
        <v>39969.300000000003</v>
      </c>
      <c r="V856" s="408"/>
      <c r="W856" s="408">
        <v>39969.300000000003</v>
      </c>
      <c r="X856" s="408">
        <v>31987.200000000001</v>
      </c>
      <c r="Y856" s="408">
        <v>0</v>
      </c>
      <c r="Z856" s="408">
        <v>0</v>
      </c>
      <c r="AA856" s="408">
        <v>0</v>
      </c>
      <c r="AB856" s="408">
        <v>0</v>
      </c>
      <c r="AC856" s="408">
        <v>342.80490173851911</v>
      </c>
      <c r="AD856" s="408">
        <v>329.33121387452331</v>
      </c>
      <c r="AE856" s="408">
        <v>35180.084457444464</v>
      </c>
      <c r="AF856" s="408"/>
      <c r="AG856" s="408"/>
      <c r="AH856" s="408"/>
      <c r="AI856" s="408">
        <v>0</v>
      </c>
      <c r="AJ856" s="408">
        <v>0</v>
      </c>
      <c r="AK856" s="408">
        <v>0</v>
      </c>
      <c r="AL856" s="408">
        <v>0</v>
      </c>
      <c r="AM856" s="408"/>
      <c r="AN856" s="408">
        <v>0</v>
      </c>
      <c r="AO856" s="408">
        <v>727.48070170298206</v>
      </c>
      <c r="AP856" s="408">
        <v>3392.8905992268906</v>
      </c>
      <c r="AQ856" s="408">
        <v>0</v>
      </c>
      <c r="AR856" s="408">
        <v>0</v>
      </c>
      <c r="AS856" s="408"/>
      <c r="AT856" s="408"/>
      <c r="AU856" s="408">
        <v>0</v>
      </c>
      <c r="AV856" s="408">
        <v>0</v>
      </c>
      <c r="AW856" s="408">
        <v>0</v>
      </c>
      <c r="AX856" s="408"/>
      <c r="AY856" s="408"/>
      <c r="AZ856" s="408">
        <v>0</v>
      </c>
      <c r="BA856" s="408"/>
      <c r="BB856" s="408">
        <v>0</v>
      </c>
      <c r="BC856" s="408">
        <v>0</v>
      </c>
      <c r="BD856" s="408">
        <v>0</v>
      </c>
      <c r="BE856" s="408">
        <v>0</v>
      </c>
      <c r="BF856" s="408"/>
      <c r="BG856" s="408">
        <v>0</v>
      </c>
      <c r="BH856" s="408">
        <v>0</v>
      </c>
      <c r="BI856" s="408">
        <v>511.12</v>
      </c>
      <c r="BJ856" s="408">
        <v>0</v>
      </c>
      <c r="BK856" s="408">
        <v>21364.03</v>
      </c>
      <c r="BL856" s="408">
        <v>3</v>
      </c>
      <c r="BM856" s="408"/>
      <c r="BN856" s="408">
        <v>15177.615484416003</v>
      </c>
      <c r="BO856" s="408"/>
      <c r="BP856" s="408"/>
      <c r="BQ856" s="408"/>
      <c r="BR856" s="408"/>
      <c r="BS856" s="408"/>
      <c r="BT856" s="408"/>
      <c r="BU856" s="408"/>
      <c r="BV856" s="408">
        <v>0</v>
      </c>
      <c r="BW856" s="408"/>
      <c r="BX856" s="408"/>
      <c r="BY856" s="408"/>
      <c r="BZ856" s="408"/>
      <c r="CA856" s="408"/>
      <c r="CB856" s="408"/>
      <c r="CC856" s="408"/>
      <c r="CD856" s="408"/>
      <c r="CE856" s="408"/>
      <c r="CF856" s="408"/>
      <c r="CG856" s="408"/>
      <c r="CH856" s="408"/>
      <c r="CI856" s="408">
        <v>16809.600000000002</v>
      </c>
      <c r="CJ856" s="408">
        <v>-4194.6856515959917</v>
      </c>
      <c r="CK856" s="408"/>
      <c r="CL856" s="408"/>
      <c r="CM856" s="408"/>
      <c r="CN856" s="408"/>
      <c r="CO856" s="408">
        <v>-7982.0999999999995</v>
      </c>
      <c r="CP856" s="408">
        <v>0</v>
      </c>
      <c r="CQ856" s="408">
        <v>31</v>
      </c>
      <c r="CR856" s="408">
        <v>749.68822373974854</v>
      </c>
      <c r="CS856" s="408">
        <v>72.491896976441012</v>
      </c>
      <c r="CT856" s="408">
        <v>338.09429610397092</v>
      </c>
      <c r="CU856" s="408">
        <v>0</v>
      </c>
      <c r="CV856" s="408">
        <v>0</v>
      </c>
      <c r="CW856" s="408"/>
      <c r="CX856" s="408"/>
      <c r="CY856" s="408"/>
      <c r="CZ856" s="408">
        <v>339.10203065933695</v>
      </c>
      <c r="DA856" s="408">
        <v>0</v>
      </c>
      <c r="DB856" s="408">
        <v>0</v>
      </c>
      <c r="DC856" s="408"/>
      <c r="DD856" s="408"/>
      <c r="DE856" s="408">
        <v>0</v>
      </c>
      <c r="DF856" s="408">
        <v>0</v>
      </c>
      <c r="DG856" s="408">
        <v>0</v>
      </c>
      <c r="DH856" s="408">
        <v>0</v>
      </c>
      <c r="DI856" s="408">
        <v>0</v>
      </c>
      <c r="DJ856" s="408"/>
      <c r="DK856" s="408">
        <v>0</v>
      </c>
      <c r="DL856" s="408">
        <v>0</v>
      </c>
      <c r="DM856" s="408"/>
      <c r="DN856" s="408">
        <v>0</v>
      </c>
      <c r="DO856" s="408">
        <v>0</v>
      </c>
      <c r="DP856" s="408">
        <v>0</v>
      </c>
      <c r="DQ856" s="408">
        <v>0</v>
      </c>
      <c r="DR856" s="408">
        <v>0</v>
      </c>
      <c r="DS856" s="408"/>
      <c r="DT856" s="408"/>
      <c r="DU856" s="408">
        <v>35180.084457444464</v>
      </c>
      <c r="DV856" s="408"/>
      <c r="DW856" s="408">
        <v>0</v>
      </c>
      <c r="DX856" s="408">
        <v>0</v>
      </c>
      <c r="DY856" s="408">
        <v>-7982.1000000000022</v>
      </c>
      <c r="DZ856" s="408"/>
      <c r="EA856" s="408">
        <v>0</v>
      </c>
      <c r="EB856" s="408"/>
      <c r="EC856" s="408">
        <v>-8739.3297237380611</v>
      </c>
      <c r="ED856" s="408"/>
      <c r="EE856" s="408">
        <v>0</v>
      </c>
      <c r="EF856" s="408">
        <v>0</v>
      </c>
      <c r="EG856" s="408"/>
      <c r="EH856" s="408">
        <v>0</v>
      </c>
      <c r="EI856" s="408">
        <v>0</v>
      </c>
      <c r="EJ856" s="408">
        <v>0</v>
      </c>
      <c r="EK856" s="408">
        <v>0</v>
      </c>
      <c r="EL856" s="408">
        <v>0</v>
      </c>
      <c r="EM856" s="408"/>
      <c r="EN856" s="408"/>
      <c r="EO856" s="408">
        <v>0</v>
      </c>
      <c r="EP856" s="408">
        <v>0</v>
      </c>
      <c r="EQ856" s="408"/>
      <c r="ER856" s="408">
        <v>0</v>
      </c>
      <c r="ES856" s="408"/>
      <c r="ET856" s="408">
        <v>0</v>
      </c>
      <c r="EU856" s="408"/>
      <c r="EV856" s="408">
        <v>240</v>
      </c>
      <c r="EW856" s="408"/>
      <c r="EX856" s="408"/>
      <c r="EY856" s="408"/>
      <c r="EZ856" s="408"/>
      <c r="FA856" s="408">
        <v>0</v>
      </c>
      <c r="FB856" s="408"/>
      <c r="FC856" s="408"/>
      <c r="FD856" s="408"/>
      <c r="FE856" s="408"/>
      <c r="FF856" s="408">
        <v>0</v>
      </c>
      <c r="FG856" s="408">
        <v>0</v>
      </c>
      <c r="FH856" s="408">
        <v>0</v>
      </c>
      <c r="FI856" s="408">
        <v>0</v>
      </c>
    </row>
    <row r="857" spans="1:165">
      <c r="A857" s="408">
        <v>855</v>
      </c>
      <c r="B857" s="408" t="s">
        <v>1036</v>
      </c>
      <c r="C857" s="408" t="s">
        <v>993</v>
      </c>
      <c r="D857" s="408" t="s">
        <v>599</v>
      </c>
      <c r="E857" s="408" t="s">
        <v>1322</v>
      </c>
      <c r="F857" s="408" t="s">
        <v>1322</v>
      </c>
      <c r="G857" s="408" t="s">
        <v>1322</v>
      </c>
      <c r="H857" s="408" t="s">
        <v>2320</v>
      </c>
      <c r="I857" s="408" t="s">
        <v>1322</v>
      </c>
      <c r="J857" s="408" t="s">
        <v>2256</v>
      </c>
      <c r="K857" s="826">
        <v>44470</v>
      </c>
      <c r="L857" s="408">
        <v>7020</v>
      </c>
      <c r="M857" s="408">
        <v>3510</v>
      </c>
      <c r="N857" s="408">
        <v>0</v>
      </c>
      <c r="O857" s="408">
        <v>0</v>
      </c>
      <c r="P857" s="408">
        <v>0</v>
      </c>
      <c r="Q857" s="408">
        <v>0</v>
      </c>
      <c r="R857" s="408">
        <v>6.87</v>
      </c>
      <c r="S857" s="408"/>
      <c r="T857" s="408"/>
      <c r="U857" s="408">
        <v>48227.4</v>
      </c>
      <c r="V857" s="408"/>
      <c r="W857" s="408">
        <v>48227.4</v>
      </c>
      <c r="X857" s="408">
        <v>40084.199999999997</v>
      </c>
      <c r="Y857" s="408">
        <v>0</v>
      </c>
      <c r="Z857" s="408">
        <v>0</v>
      </c>
      <c r="AA857" s="408">
        <v>0</v>
      </c>
      <c r="AB857" s="408">
        <v>0</v>
      </c>
      <c r="AC857" s="408">
        <v>0</v>
      </c>
      <c r="AD857" s="408">
        <v>2031.0321998913851</v>
      </c>
      <c r="AE857" s="408">
        <v>42729.467006265557</v>
      </c>
      <c r="AF857" s="408"/>
      <c r="AG857" s="408"/>
      <c r="AH857" s="408"/>
      <c r="AI857" s="408">
        <v>0</v>
      </c>
      <c r="AJ857" s="408">
        <v>0</v>
      </c>
      <c r="AK857" s="408">
        <v>0</v>
      </c>
      <c r="AL857" s="408">
        <v>0</v>
      </c>
      <c r="AM857" s="408"/>
      <c r="AN857" s="408">
        <v>0</v>
      </c>
      <c r="AO857" s="408">
        <v>0</v>
      </c>
      <c r="AP857" s="408">
        <v>0</v>
      </c>
      <c r="AQ857" s="408">
        <v>0</v>
      </c>
      <c r="AR857" s="408">
        <v>0</v>
      </c>
      <c r="AS857" s="408"/>
      <c r="AT857" s="408"/>
      <c r="AU857" s="408">
        <v>0</v>
      </c>
      <c r="AV857" s="408">
        <v>0</v>
      </c>
      <c r="AW857" s="408">
        <v>0</v>
      </c>
      <c r="AX857" s="408"/>
      <c r="AY857" s="408"/>
      <c r="AZ857" s="408">
        <v>0</v>
      </c>
      <c r="BA857" s="408"/>
      <c r="BB857" s="408">
        <v>0</v>
      </c>
      <c r="BC857" s="408">
        <v>0</v>
      </c>
      <c r="BD857" s="408">
        <v>0</v>
      </c>
      <c r="BE857" s="408">
        <v>0</v>
      </c>
      <c r="BF857" s="408"/>
      <c r="BG857" s="408">
        <v>3436.1874076712338</v>
      </c>
      <c r="BH857" s="408">
        <v>0</v>
      </c>
      <c r="BI857" s="408">
        <v>244.79</v>
      </c>
      <c r="BJ857" s="408">
        <v>0</v>
      </c>
      <c r="BK857" s="408">
        <v>0</v>
      </c>
      <c r="BL857" s="408">
        <v>0</v>
      </c>
      <c r="BM857" s="408"/>
      <c r="BN857" s="408"/>
      <c r="BO857" s="408">
        <v>20042.099999999999</v>
      </c>
      <c r="BP857" s="408"/>
      <c r="BQ857" s="408"/>
      <c r="BR857" s="408"/>
      <c r="BS857" s="408"/>
      <c r="BT857" s="408"/>
      <c r="BU857" s="408"/>
      <c r="BV857" s="408">
        <v>3436.1874076712338</v>
      </c>
      <c r="BW857" s="408"/>
      <c r="BX857" s="408"/>
      <c r="BY857" s="408"/>
      <c r="BZ857" s="408"/>
      <c r="CA857" s="408"/>
      <c r="CB857" s="408"/>
      <c r="CC857" s="408"/>
      <c r="CD857" s="408"/>
      <c r="CE857" s="408"/>
      <c r="CF857" s="408"/>
      <c r="CG857" s="408"/>
      <c r="CH857" s="408"/>
      <c r="CI857" s="408">
        <v>20042.099999999999</v>
      </c>
      <c r="CJ857" s="408">
        <v>-4071.6299999999974</v>
      </c>
      <c r="CK857" s="408"/>
      <c r="CL857" s="408"/>
      <c r="CM857" s="408"/>
      <c r="CN857" s="408"/>
      <c r="CO857" s="408">
        <v>-8143.2000000000007</v>
      </c>
      <c r="CP857" s="408">
        <v>0</v>
      </c>
      <c r="CQ857" s="408">
        <v>31</v>
      </c>
      <c r="CR857" s="408">
        <v>2526.7645846364476</v>
      </c>
      <c r="CS857" s="408">
        <v>0</v>
      </c>
      <c r="CT857" s="408">
        <v>0</v>
      </c>
      <c r="CU857" s="408">
        <v>0</v>
      </c>
      <c r="CV857" s="408">
        <v>0</v>
      </c>
      <c r="CW857" s="408"/>
      <c r="CX857" s="408"/>
      <c r="CY857" s="408"/>
      <c r="CZ857" s="408">
        <v>2091.2902096795342</v>
      </c>
      <c r="DA857" s="408">
        <v>0</v>
      </c>
      <c r="DB857" s="408">
        <v>0</v>
      </c>
      <c r="DC857" s="408"/>
      <c r="DD857" s="408"/>
      <c r="DE857" s="408">
        <v>0</v>
      </c>
      <c r="DF857" s="408">
        <v>0</v>
      </c>
      <c r="DG857" s="408">
        <v>435.47437495691338</v>
      </c>
      <c r="DH857" s="408">
        <v>0</v>
      </c>
      <c r="DI857" s="408">
        <v>0</v>
      </c>
      <c r="DJ857" s="408"/>
      <c r="DK857" s="408">
        <v>0</v>
      </c>
      <c r="DL857" s="408">
        <v>0</v>
      </c>
      <c r="DM857" s="408"/>
      <c r="DN857" s="408">
        <v>0</v>
      </c>
      <c r="DO857" s="408">
        <v>0</v>
      </c>
      <c r="DP857" s="408">
        <v>0</v>
      </c>
      <c r="DQ857" s="408">
        <v>0</v>
      </c>
      <c r="DR857" s="408">
        <v>0</v>
      </c>
      <c r="DS857" s="408"/>
      <c r="DT857" s="408"/>
      <c r="DU857" s="408">
        <v>42729.467006265557</v>
      </c>
      <c r="DV857" s="408"/>
      <c r="DW857" s="408">
        <v>0</v>
      </c>
      <c r="DX857" s="408">
        <v>0</v>
      </c>
      <c r="DY857" s="408">
        <v>-8143.2000000000044</v>
      </c>
      <c r="DZ857" s="408"/>
      <c r="EA857" s="408">
        <v>0</v>
      </c>
      <c r="EB857" s="408"/>
      <c r="EC857" s="408">
        <v>-10614.724405765934</v>
      </c>
      <c r="ED857" s="408"/>
      <c r="EE857" s="408">
        <v>0</v>
      </c>
      <c r="EF857" s="408">
        <v>0</v>
      </c>
      <c r="EG857" s="408"/>
      <c r="EH857" s="408">
        <v>0</v>
      </c>
      <c r="EI857" s="408">
        <v>0</v>
      </c>
      <c r="EJ857" s="408">
        <v>0</v>
      </c>
      <c r="EK857" s="408">
        <v>0</v>
      </c>
      <c r="EL857" s="408">
        <v>0</v>
      </c>
      <c r="EM857" s="408"/>
      <c r="EN857" s="408"/>
      <c r="EO857" s="408">
        <v>0</v>
      </c>
      <c r="EP857" s="408">
        <v>0</v>
      </c>
      <c r="EQ857" s="408"/>
      <c r="ER857" s="408">
        <v>0</v>
      </c>
      <c r="ES857" s="408"/>
      <c r="ET857" s="408">
        <v>0</v>
      </c>
      <c r="EU857" s="408"/>
      <c r="EV857" s="408">
        <v>240</v>
      </c>
      <c r="EW857" s="408"/>
      <c r="EX857" s="408"/>
      <c r="EY857" s="408"/>
      <c r="EZ857" s="408"/>
      <c r="FA857" s="408">
        <v>0</v>
      </c>
      <c r="FB857" s="408"/>
      <c r="FC857" s="408"/>
      <c r="FD857" s="408"/>
      <c r="FE857" s="408"/>
      <c r="FF857" s="408">
        <v>0</v>
      </c>
      <c r="FG857" s="408">
        <v>0</v>
      </c>
      <c r="FH857" s="408">
        <v>0</v>
      </c>
      <c r="FI857" s="408">
        <v>0</v>
      </c>
    </row>
    <row r="858" spans="1:165">
      <c r="A858" s="408">
        <v>856</v>
      </c>
      <c r="B858" s="408" t="s">
        <v>1036</v>
      </c>
      <c r="C858" s="408" t="s">
        <v>2247</v>
      </c>
      <c r="D858" s="408" t="s">
        <v>597</v>
      </c>
      <c r="E858" s="408" t="s">
        <v>970</v>
      </c>
      <c r="F858" s="408" t="s">
        <v>1322</v>
      </c>
      <c r="G858" s="408" t="s">
        <v>2318</v>
      </c>
      <c r="H858" s="408" t="s">
        <v>1322</v>
      </c>
      <c r="I858" s="408" t="s">
        <v>973</v>
      </c>
      <c r="J858" s="408" t="s">
        <v>2319</v>
      </c>
      <c r="K858" s="826">
        <v>44501</v>
      </c>
      <c r="L858" s="408">
        <v>7800</v>
      </c>
      <c r="M858" s="408">
        <v>3900</v>
      </c>
      <c r="N858" s="408">
        <v>0</v>
      </c>
      <c r="O858" s="408">
        <v>0</v>
      </c>
      <c r="P858" s="408">
        <v>0</v>
      </c>
      <c r="Q858" s="408">
        <v>0</v>
      </c>
      <c r="R858" s="408">
        <v>52.95</v>
      </c>
      <c r="S858" s="408"/>
      <c r="T858" s="408"/>
      <c r="U858" s="408">
        <v>413010</v>
      </c>
      <c r="V858" s="408"/>
      <c r="W858" s="408">
        <v>413010</v>
      </c>
      <c r="X858" s="408">
        <v>345150</v>
      </c>
      <c r="Y858" s="408">
        <v>0</v>
      </c>
      <c r="Z858" s="408">
        <v>0</v>
      </c>
      <c r="AA858" s="408">
        <v>0</v>
      </c>
      <c r="AB858" s="408">
        <v>0</v>
      </c>
      <c r="AC858" s="408">
        <v>6143.7967769655443</v>
      </c>
      <c r="AD858" s="408">
        <v>5902.6636731637609</v>
      </c>
      <c r="AE858" s="408">
        <v>327082.9691133537</v>
      </c>
      <c r="AF858" s="408"/>
      <c r="AG858" s="408"/>
      <c r="AH858" s="408"/>
      <c r="AI858" s="408">
        <v>0</v>
      </c>
      <c r="AJ858" s="408">
        <v>0</v>
      </c>
      <c r="AK858" s="408">
        <v>0</v>
      </c>
      <c r="AL858" s="408">
        <v>0</v>
      </c>
      <c r="AM858" s="408"/>
      <c r="AN858" s="408">
        <v>0</v>
      </c>
      <c r="AO858" s="408">
        <v>13041.996884625618</v>
      </c>
      <c r="AP858" s="408">
        <v>60812.114336929255</v>
      </c>
      <c r="AQ858" s="408">
        <v>0</v>
      </c>
      <c r="AR858" s="408">
        <v>0</v>
      </c>
      <c r="AS858" s="408"/>
      <c r="AT858" s="408"/>
      <c r="AU858" s="408">
        <v>0</v>
      </c>
      <c r="AV858" s="408">
        <v>0</v>
      </c>
      <c r="AW858" s="408">
        <v>0</v>
      </c>
      <c r="AX858" s="408"/>
      <c r="AY858" s="408"/>
      <c r="AZ858" s="408">
        <v>0</v>
      </c>
      <c r="BA858" s="408"/>
      <c r="BB858" s="408">
        <v>0</v>
      </c>
      <c r="BC858" s="408">
        <v>0</v>
      </c>
      <c r="BD858" s="408">
        <v>0</v>
      </c>
      <c r="BE858" s="408">
        <v>0</v>
      </c>
      <c r="BF858" s="408"/>
      <c r="BG858" s="408">
        <v>0</v>
      </c>
      <c r="BH858" s="408">
        <v>0</v>
      </c>
      <c r="BI858" s="408">
        <v>0</v>
      </c>
      <c r="BJ858" s="408">
        <v>0</v>
      </c>
      <c r="BK858" s="408">
        <v>0</v>
      </c>
      <c r="BL858" s="408">
        <v>0</v>
      </c>
      <c r="BM858" s="408"/>
      <c r="BN858" s="408">
        <v>172575</v>
      </c>
      <c r="BO858" s="408"/>
      <c r="BP858" s="408"/>
      <c r="BQ858" s="408"/>
      <c r="BR858" s="408"/>
      <c r="BS858" s="408"/>
      <c r="BT858" s="408"/>
      <c r="BU858" s="408"/>
      <c r="BV858" s="408">
        <v>0</v>
      </c>
      <c r="BW858" s="408"/>
      <c r="BX858" s="408"/>
      <c r="BY858" s="408"/>
      <c r="BZ858" s="408"/>
      <c r="CA858" s="408"/>
      <c r="CB858" s="408"/>
      <c r="CC858" s="408"/>
      <c r="CD858" s="408"/>
      <c r="CE858" s="408"/>
      <c r="CF858" s="408"/>
      <c r="CG858" s="408"/>
      <c r="CH858" s="408"/>
      <c r="CI858" s="408">
        <v>172575</v>
      </c>
      <c r="CJ858" s="408">
        <v>-33930.030000000028</v>
      </c>
      <c r="CK858" s="408"/>
      <c r="CL858" s="408"/>
      <c r="CM858" s="408"/>
      <c r="CN858" s="408"/>
      <c r="CO858" s="408">
        <v>-67860.000000000029</v>
      </c>
      <c r="CP858" s="408">
        <v>0</v>
      </c>
      <c r="CQ858" s="408">
        <v>30</v>
      </c>
      <c r="CR858" s="408">
        <v>13437.192136518745</v>
      </c>
      <c r="CS858" s="408">
        <v>1299.6071130329037</v>
      </c>
      <c r="CT858" s="408">
        <v>6059.7972112697025</v>
      </c>
      <c r="CU858" s="408">
        <v>0</v>
      </c>
      <c r="CV858" s="408">
        <v>0</v>
      </c>
      <c r="CW858" s="408"/>
      <c r="CX858" s="408"/>
      <c r="CY858" s="408"/>
      <c r="CZ858" s="408">
        <v>6077.7878122161492</v>
      </c>
      <c r="DA858" s="408">
        <v>0</v>
      </c>
      <c r="DB858" s="408">
        <v>0</v>
      </c>
      <c r="DC858" s="408"/>
      <c r="DD858" s="408"/>
      <c r="DE858" s="408">
        <v>0</v>
      </c>
      <c r="DF858" s="408">
        <v>0</v>
      </c>
      <c r="DG858" s="408">
        <v>0</v>
      </c>
      <c r="DH858" s="408">
        <v>0</v>
      </c>
      <c r="DI858" s="408">
        <v>0</v>
      </c>
      <c r="DJ858" s="408"/>
      <c r="DK858" s="408">
        <v>0</v>
      </c>
      <c r="DL858" s="408">
        <v>0</v>
      </c>
      <c r="DM858" s="408"/>
      <c r="DN858" s="408">
        <v>0</v>
      </c>
      <c r="DO858" s="408">
        <v>0</v>
      </c>
      <c r="DP858" s="408">
        <v>0</v>
      </c>
      <c r="DQ858" s="408">
        <v>0</v>
      </c>
      <c r="DR858" s="408">
        <v>0</v>
      </c>
      <c r="DS858" s="408"/>
      <c r="DT858" s="408"/>
      <c r="DU858" s="408">
        <v>327082.9691133537</v>
      </c>
      <c r="DV858" s="408"/>
      <c r="DW858" s="408">
        <v>0</v>
      </c>
      <c r="DX858" s="408">
        <v>0</v>
      </c>
      <c r="DY858" s="408">
        <v>-67860</v>
      </c>
      <c r="DZ858" s="408"/>
      <c r="EA858" s="408">
        <v>0</v>
      </c>
      <c r="EB858" s="408"/>
      <c r="EC858" s="408">
        <v>-81252.957694248587</v>
      </c>
      <c r="ED858" s="408"/>
      <c r="EE858" s="408">
        <v>0</v>
      </c>
      <c r="EF858" s="408">
        <v>0</v>
      </c>
      <c r="EG858" s="408"/>
      <c r="EH858" s="408">
        <v>0</v>
      </c>
      <c r="EI858" s="408">
        <v>0</v>
      </c>
      <c r="EJ858" s="408">
        <v>0</v>
      </c>
      <c r="EK858" s="408">
        <v>0</v>
      </c>
      <c r="EL858" s="408">
        <v>0</v>
      </c>
      <c r="EM858" s="408"/>
      <c r="EN858" s="408"/>
      <c r="EO858" s="408">
        <v>0</v>
      </c>
      <c r="EP858" s="408">
        <v>0</v>
      </c>
      <c r="EQ858" s="408"/>
      <c r="ER858" s="408">
        <v>0</v>
      </c>
      <c r="ES858" s="408"/>
      <c r="ET858" s="408">
        <v>0</v>
      </c>
      <c r="EU858" s="408"/>
      <c r="EV858" s="408">
        <v>240</v>
      </c>
      <c r="EW858" s="408"/>
      <c r="EX858" s="408"/>
      <c r="EY858" s="408"/>
      <c r="EZ858" s="408"/>
      <c r="FA858" s="408">
        <v>0</v>
      </c>
      <c r="FB858" s="408"/>
      <c r="FC858" s="408"/>
      <c r="FD858" s="408"/>
      <c r="FE858" s="408"/>
      <c r="FF858" s="408">
        <v>0</v>
      </c>
      <c r="FG858" s="408">
        <v>0</v>
      </c>
      <c r="FH858" s="408">
        <v>0</v>
      </c>
      <c r="FI858" s="408">
        <v>0</v>
      </c>
    </row>
    <row r="859" spans="1:165">
      <c r="A859" s="408">
        <v>857</v>
      </c>
      <c r="B859" s="408" t="s">
        <v>1036</v>
      </c>
      <c r="C859" s="408" t="s">
        <v>2247</v>
      </c>
      <c r="D859" s="408" t="s">
        <v>597</v>
      </c>
      <c r="E859" s="408" t="s">
        <v>970</v>
      </c>
      <c r="F859" s="408" t="s">
        <v>1322</v>
      </c>
      <c r="G859" s="408" t="s">
        <v>2318</v>
      </c>
      <c r="H859" s="408" t="s">
        <v>1322</v>
      </c>
      <c r="I859" s="408" t="s">
        <v>2244</v>
      </c>
      <c r="J859" s="408" t="s">
        <v>2319</v>
      </c>
      <c r="K859" s="826">
        <v>44501</v>
      </c>
      <c r="L859" s="408">
        <v>8500</v>
      </c>
      <c r="M859" s="408">
        <v>4250</v>
      </c>
      <c r="N859" s="408">
        <v>0</v>
      </c>
      <c r="O859" s="408">
        <v>0</v>
      </c>
      <c r="P859" s="408">
        <v>0</v>
      </c>
      <c r="Q859" s="408">
        <v>0</v>
      </c>
      <c r="R859" s="408">
        <v>27.19</v>
      </c>
      <c r="S859" s="408"/>
      <c r="T859" s="408"/>
      <c r="U859" s="408">
        <v>231115</v>
      </c>
      <c r="V859" s="408"/>
      <c r="W859" s="408">
        <v>231115</v>
      </c>
      <c r="X859" s="408">
        <v>184960</v>
      </c>
      <c r="Y859" s="408">
        <v>0</v>
      </c>
      <c r="Z859" s="408">
        <v>0</v>
      </c>
      <c r="AA859" s="408">
        <v>0</v>
      </c>
      <c r="AB859" s="408">
        <v>0</v>
      </c>
      <c r="AC859" s="408">
        <v>1982.205214134294</v>
      </c>
      <c r="AD859" s="408">
        <v>1904.296134648604</v>
      </c>
      <c r="AE859" s="408">
        <v>203422.25706685573</v>
      </c>
      <c r="AF859" s="408"/>
      <c r="AG859" s="408"/>
      <c r="AH859" s="408"/>
      <c r="AI859" s="408">
        <v>0</v>
      </c>
      <c r="AJ859" s="408">
        <v>0</v>
      </c>
      <c r="AK859" s="408">
        <v>0</v>
      </c>
      <c r="AL859" s="408">
        <v>0</v>
      </c>
      <c r="AM859" s="408"/>
      <c r="AN859" s="408">
        <v>0</v>
      </c>
      <c r="AO859" s="408">
        <v>4206.5210642689435</v>
      </c>
      <c r="AP859" s="408">
        <v>19618.755165597664</v>
      </c>
      <c r="AQ859" s="408">
        <v>0</v>
      </c>
      <c r="AR859" s="408">
        <v>0</v>
      </c>
      <c r="AS859" s="408"/>
      <c r="AT859" s="408"/>
      <c r="AU859" s="408">
        <v>0</v>
      </c>
      <c r="AV859" s="408">
        <v>0</v>
      </c>
      <c r="AW859" s="408">
        <v>0</v>
      </c>
      <c r="AX859" s="408"/>
      <c r="AY859" s="408"/>
      <c r="AZ859" s="408">
        <v>0</v>
      </c>
      <c r="BA859" s="408"/>
      <c r="BB859" s="408">
        <v>0</v>
      </c>
      <c r="BC859" s="408">
        <v>0</v>
      </c>
      <c r="BD859" s="408">
        <v>0</v>
      </c>
      <c r="BE859" s="408">
        <v>0</v>
      </c>
      <c r="BF859" s="408"/>
      <c r="BG859" s="408">
        <v>0</v>
      </c>
      <c r="BH859" s="408">
        <v>0</v>
      </c>
      <c r="BI859" s="408">
        <v>0</v>
      </c>
      <c r="BJ859" s="408">
        <v>0</v>
      </c>
      <c r="BK859" s="408">
        <v>0</v>
      </c>
      <c r="BL859" s="408">
        <v>0</v>
      </c>
      <c r="BM859" s="408"/>
      <c r="BN859" s="408">
        <v>92480</v>
      </c>
      <c r="BO859" s="408"/>
      <c r="BP859" s="408"/>
      <c r="BQ859" s="408"/>
      <c r="BR859" s="408"/>
      <c r="BS859" s="408"/>
      <c r="BT859" s="408"/>
      <c r="BU859" s="408"/>
      <c r="BV859" s="408">
        <v>0</v>
      </c>
      <c r="BW859" s="408"/>
      <c r="BX859" s="408"/>
      <c r="BY859" s="408"/>
      <c r="BZ859" s="408"/>
      <c r="CA859" s="408"/>
      <c r="CB859" s="408"/>
      <c r="CC859" s="408"/>
      <c r="CD859" s="408"/>
      <c r="CE859" s="408"/>
      <c r="CF859" s="408"/>
      <c r="CG859" s="408"/>
      <c r="CH859" s="408"/>
      <c r="CI859" s="408">
        <v>92480</v>
      </c>
      <c r="CJ859" s="408">
        <v>-23077.529999999984</v>
      </c>
      <c r="CK859" s="408"/>
      <c r="CL859" s="408"/>
      <c r="CM859" s="408"/>
      <c r="CN859" s="408"/>
      <c r="CO859" s="408">
        <v>-46155</v>
      </c>
      <c r="CP859" s="408">
        <v>0</v>
      </c>
      <c r="CQ859" s="408">
        <v>30</v>
      </c>
      <c r="CR859" s="408">
        <v>4334.9319059781446</v>
      </c>
      <c r="CS859" s="408">
        <v>419.17083285697208</v>
      </c>
      <c r="CT859" s="408">
        <v>1954.9670182882692</v>
      </c>
      <c r="CU859" s="408">
        <v>0</v>
      </c>
      <c r="CV859" s="408">
        <v>0</v>
      </c>
      <c r="CW859" s="408"/>
      <c r="CX859" s="408"/>
      <c r="CY859" s="408"/>
      <c r="CZ859" s="408">
        <v>1960.7940548329007</v>
      </c>
      <c r="DA859" s="408">
        <v>0</v>
      </c>
      <c r="DB859" s="408">
        <v>0</v>
      </c>
      <c r="DC859" s="408"/>
      <c r="DD859" s="408"/>
      <c r="DE859" s="408">
        <v>0</v>
      </c>
      <c r="DF859" s="408">
        <v>0</v>
      </c>
      <c r="DG859" s="408">
        <v>0</v>
      </c>
      <c r="DH859" s="408">
        <v>0</v>
      </c>
      <c r="DI859" s="408">
        <v>0</v>
      </c>
      <c r="DJ859" s="408"/>
      <c r="DK859" s="408">
        <v>0</v>
      </c>
      <c r="DL859" s="408">
        <v>0</v>
      </c>
      <c r="DM859" s="408"/>
      <c r="DN859" s="408">
        <v>0</v>
      </c>
      <c r="DO859" s="408">
        <v>0</v>
      </c>
      <c r="DP859" s="408">
        <v>0</v>
      </c>
      <c r="DQ859" s="408">
        <v>0</v>
      </c>
      <c r="DR859" s="408">
        <v>0</v>
      </c>
      <c r="DS859" s="408"/>
      <c r="DT859" s="408"/>
      <c r="DU859" s="408">
        <v>203422.25706685573</v>
      </c>
      <c r="DV859" s="408"/>
      <c r="DW859" s="408">
        <v>0</v>
      </c>
      <c r="DX859" s="408">
        <v>0</v>
      </c>
      <c r="DY859" s="408">
        <v>-46155</v>
      </c>
      <c r="DZ859" s="408"/>
      <c r="EA859" s="408">
        <v>0</v>
      </c>
      <c r="EB859" s="408"/>
      <c r="EC859" s="408">
        <v>-50533.539218893537</v>
      </c>
      <c r="ED859" s="408"/>
      <c r="EE859" s="408">
        <v>0</v>
      </c>
      <c r="EF859" s="408">
        <v>0</v>
      </c>
      <c r="EG859" s="408"/>
      <c r="EH859" s="408">
        <v>0</v>
      </c>
      <c r="EI859" s="408">
        <v>0</v>
      </c>
      <c r="EJ859" s="408">
        <v>0</v>
      </c>
      <c r="EK859" s="408">
        <v>0</v>
      </c>
      <c r="EL859" s="408">
        <v>0</v>
      </c>
      <c r="EM859" s="408"/>
      <c r="EN859" s="408"/>
      <c r="EO859" s="408">
        <v>0</v>
      </c>
      <c r="EP859" s="408">
        <v>0</v>
      </c>
      <c r="EQ859" s="408"/>
      <c r="ER859" s="408">
        <v>0</v>
      </c>
      <c r="ES859" s="408"/>
      <c r="ET859" s="408">
        <v>0</v>
      </c>
      <c r="EU859" s="408"/>
      <c r="EV859" s="408">
        <v>240</v>
      </c>
      <c r="EW859" s="408"/>
      <c r="EX859" s="408"/>
      <c r="EY859" s="408"/>
      <c r="EZ859" s="408"/>
      <c r="FA859" s="408">
        <v>0</v>
      </c>
      <c r="FB859" s="408"/>
      <c r="FC859" s="408"/>
      <c r="FD859" s="408"/>
      <c r="FE859" s="408"/>
      <c r="FF859" s="408">
        <v>0</v>
      </c>
      <c r="FG859" s="408">
        <v>0</v>
      </c>
      <c r="FH859" s="408">
        <v>0</v>
      </c>
      <c r="FI859" s="408">
        <v>0</v>
      </c>
    </row>
    <row r="860" spans="1:165">
      <c r="A860" s="408">
        <v>858</v>
      </c>
      <c r="B860" s="408" t="s">
        <v>1036</v>
      </c>
      <c r="C860" s="408" t="s">
        <v>2247</v>
      </c>
      <c r="D860" s="408" t="s">
        <v>597</v>
      </c>
      <c r="E860" s="408" t="s">
        <v>970</v>
      </c>
      <c r="F860" s="408" t="s">
        <v>1322</v>
      </c>
      <c r="G860" s="408" t="s">
        <v>2318</v>
      </c>
      <c r="H860" s="408" t="s">
        <v>1322</v>
      </c>
      <c r="I860" s="408" t="s">
        <v>1322</v>
      </c>
      <c r="J860" s="408" t="s">
        <v>2319</v>
      </c>
      <c r="K860" s="826">
        <v>44501</v>
      </c>
      <c r="L860" s="408">
        <v>0</v>
      </c>
      <c r="M860" s="408">
        <v>0</v>
      </c>
      <c r="N860" s="408">
        <v>3591.7150000000001</v>
      </c>
      <c r="O860" s="408">
        <v>3591.7150000000001</v>
      </c>
      <c r="P860" s="408">
        <v>0</v>
      </c>
      <c r="Q860" s="408">
        <v>0</v>
      </c>
      <c r="R860" s="408"/>
      <c r="S860" s="408">
        <v>85.01</v>
      </c>
      <c r="T860" s="408"/>
      <c r="U860" s="408"/>
      <c r="V860" s="408">
        <v>305331.69215000002</v>
      </c>
      <c r="W860" s="408">
        <v>305331.69215000002</v>
      </c>
      <c r="X860" s="408">
        <v>301093.46844999999</v>
      </c>
      <c r="Y860" s="408">
        <v>0</v>
      </c>
      <c r="Z860" s="408">
        <v>192315.89917718605</v>
      </c>
      <c r="AA860" s="408">
        <v>0</v>
      </c>
      <c r="AB860" s="408">
        <v>0</v>
      </c>
      <c r="AC860" s="408">
        <v>0</v>
      </c>
      <c r="AD860" s="408">
        <v>0</v>
      </c>
      <c r="AE860" s="408">
        <v>0</v>
      </c>
      <c r="AF860" s="408"/>
      <c r="AG860" s="408"/>
      <c r="AH860" s="408"/>
      <c r="AI860" s="408">
        <v>0</v>
      </c>
      <c r="AJ860" s="408">
        <v>0</v>
      </c>
      <c r="AK860" s="408">
        <v>0</v>
      </c>
      <c r="AL860" s="408">
        <v>34153.726682523833</v>
      </c>
      <c r="AM860" s="408"/>
      <c r="AN860" s="408">
        <v>2876.2950358470289</v>
      </c>
      <c r="AO860" s="408">
        <v>0</v>
      </c>
      <c r="AP860" s="408">
        <v>0</v>
      </c>
      <c r="AQ860" s="408">
        <v>0</v>
      </c>
      <c r="AR860" s="408">
        <v>0</v>
      </c>
      <c r="AS860" s="408"/>
      <c r="AT860" s="408"/>
      <c r="AU860" s="408">
        <v>0</v>
      </c>
      <c r="AV860" s="408">
        <v>0</v>
      </c>
      <c r="AW860" s="408">
        <v>0</v>
      </c>
      <c r="AX860" s="408"/>
      <c r="AY860" s="408"/>
      <c r="AZ860" s="408">
        <v>0</v>
      </c>
      <c r="BA860" s="408"/>
      <c r="BB860" s="408">
        <v>0</v>
      </c>
      <c r="BC860" s="408">
        <v>0</v>
      </c>
      <c r="BD860" s="408">
        <v>0</v>
      </c>
      <c r="BE860" s="408">
        <v>0</v>
      </c>
      <c r="BF860" s="408"/>
      <c r="BG860" s="408">
        <v>26861.203029028235</v>
      </c>
      <c r="BH860" s="408">
        <v>0</v>
      </c>
      <c r="BI860" s="408">
        <v>5606.83</v>
      </c>
      <c r="BJ860" s="408">
        <v>0</v>
      </c>
      <c r="BK860" s="408">
        <v>169248.31</v>
      </c>
      <c r="BL860" s="408">
        <v>2</v>
      </c>
      <c r="BM860" s="408"/>
      <c r="BN860" s="408"/>
      <c r="BO860" s="408"/>
      <c r="BP860" s="408"/>
      <c r="BQ860" s="408"/>
      <c r="BR860" s="408"/>
      <c r="BS860" s="408"/>
      <c r="BT860" s="408"/>
      <c r="BU860" s="408"/>
      <c r="BV860" s="408">
        <v>26861.203029028235</v>
      </c>
      <c r="BW860" s="408"/>
      <c r="BX860" s="408"/>
      <c r="BY860" s="408"/>
      <c r="BZ860" s="408"/>
      <c r="CA860" s="408"/>
      <c r="CB860" s="408"/>
      <c r="CC860" s="408"/>
      <c r="CD860" s="408"/>
      <c r="CE860" s="408"/>
      <c r="CF860" s="408"/>
      <c r="CG860" s="408"/>
      <c r="CH860" s="408"/>
      <c r="CI860" s="408">
        <v>301093.88759999996</v>
      </c>
      <c r="CJ860" s="408">
        <v>-4237.8345500000869</v>
      </c>
      <c r="CK860" s="408"/>
      <c r="CL860" s="408"/>
      <c r="CM860" s="408"/>
      <c r="CN860" s="408"/>
      <c r="CO860" s="408">
        <v>-4238.223700000025</v>
      </c>
      <c r="CP860" s="408">
        <v>0</v>
      </c>
      <c r="CQ860" s="408">
        <v>30</v>
      </c>
      <c r="CR860" s="408">
        <v>-4239.8743299490889</v>
      </c>
      <c r="CS860" s="408">
        <v>0</v>
      </c>
      <c r="CT860" s="408">
        <v>0</v>
      </c>
      <c r="CU860" s="408">
        <v>0</v>
      </c>
      <c r="CV860" s="408">
        <v>0</v>
      </c>
      <c r="CW860" s="408"/>
      <c r="CX860" s="408"/>
      <c r="CY860" s="408"/>
      <c r="CZ860" s="408">
        <v>0</v>
      </c>
      <c r="DA860" s="408">
        <v>0</v>
      </c>
      <c r="DB860" s="408">
        <v>0</v>
      </c>
      <c r="DC860" s="408"/>
      <c r="DD860" s="408"/>
      <c r="DE860" s="408">
        <v>0</v>
      </c>
      <c r="DF860" s="408">
        <v>0</v>
      </c>
      <c r="DG860" s="408">
        <v>3404.1698580067641</v>
      </c>
      <c r="DH860" s="408">
        <v>0</v>
      </c>
      <c r="DI860" s="408">
        <v>-6530.4393701036461</v>
      </c>
      <c r="DJ860" s="408"/>
      <c r="DK860" s="408">
        <v>0</v>
      </c>
      <c r="DL860" s="408">
        <v>0</v>
      </c>
      <c r="DM860" s="408"/>
      <c r="DN860" s="408">
        <v>0</v>
      </c>
      <c r="DO860" s="408">
        <v>-1032.2303185518031</v>
      </c>
      <c r="DP860" s="408">
        <v>-81.374499300405205</v>
      </c>
      <c r="DQ860" s="408">
        <v>0</v>
      </c>
      <c r="DR860" s="408">
        <v>0</v>
      </c>
      <c r="DS860" s="408"/>
      <c r="DT860" s="408"/>
      <c r="DU860" s="408"/>
      <c r="DV860" s="408">
        <v>0</v>
      </c>
      <c r="DW860" s="408">
        <v>0</v>
      </c>
      <c r="DX860" s="408">
        <v>0</v>
      </c>
      <c r="DY860" s="408">
        <v>-4238.2237000000314</v>
      </c>
      <c r="DZ860" s="408"/>
      <c r="EA860" s="408">
        <v>0</v>
      </c>
      <c r="EB860" s="408"/>
      <c r="EC860" s="408">
        <v>0</v>
      </c>
      <c r="ED860" s="408"/>
      <c r="EE860" s="408">
        <v>0</v>
      </c>
      <c r="EF860" s="408">
        <v>0</v>
      </c>
      <c r="EG860" s="408"/>
      <c r="EH860" s="408">
        <v>0</v>
      </c>
      <c r="EI860" s="408">
        <v>0</v>
      </c>
      <c r="EJ860" s="408">
        <v>0</v>
      </c>
      <c r="EK860" s="408">
        <v>0</v>
      </c>
      <c r="EL860" s="408">
        <v>0</v>
      </c>
      <c r="EM860" s="408"/>
      <c r="EN860" s="408"/>
      <c r="EO860" s="408">
        <v>0</v>
      </c>
      <c r="EP860" s="408">
        <v>49114.050681892135</v>
      </c>
      <c r="EQ860" s="408"/>
      <c r="ER860" s="408">
        <v>0</v>
      </c>
      <c r="ES860" s="408"/>
      <c r="ET860" s="408">
        <v>0</v>
      </c>
      <c r="EU860" s="408"/>
      <c r="EV860" s="408">
        <v>240</v>
      </c>
      <c r="EW860" s="408"/>
      <c r="EX860" s="408"/>
      <c r="EY860" s="408"/>
      <c r="EZ860" s="408"/>
      <c r="FA860" s="408">
        <v>0</v>
      </c>
      <c r="FB860" s="408"/>
      <c r="FC860" s="408"/>
      <c r="FD860" s="408"/>
      <c r="FE860" s="408"/>
      <c r="FF860" s="408">
        <v>0</v>
      </c>
      <c r="FG860" s="408">
        <v>0</v>
      </c>
      <c r="FH860" s="408">
        <v>0</v>
      </c>
      <c r="FI860" s="408">
        <v>0</v>
      </c>
    </row>
    <row r="861" spans="1:165">
      <c r="A861" s="408">
        <v>859</v>
      </c>
      <c r="B861" s="408" t="s">
        <v>1036</v>
      </c>
      <c r="C861" s="408" t="s">
        <v>2243</v>
      </c>
      <c r="D861" s="408" t="s">
        <v>597</v>
      </c>
      <c r="E861" s="408" t="s">
        <v>970</v>
      </c>
      <c r="F861" s="408" t="s">
        <v>1322</v>
      </c>
      <c r="G861" s="408" t="s">
        <v>2318</v>
      </c>
      <c r="H861" s="408" t="s">
        <v>1322</v>
      </c>
      <c r="I861" s="408" t="s">
        <v>973</v>
      </c>
      <c r="J861" s="408" t="s">
        <v>2319</v>
      </c>
      <c r="K861" s="826">
        <v>44501</v>
      </c>
      <c r="L861" s="408">
        <v>0</v>
      </c>
      <c r="M861" s="408">
        <v>0</v>
      </c>
      <c r="N861" s="408">
        <v>39.247</v>
      </c>
      <c r="O861" s="408">
        <v>18.445720293259999</v>
      </c>
      <c r="P861" s="408">
        <v>0</v>
      </c>
      <c r="Q861" s="408">
        <v>0</v>
      </c>
      <c r="R861" s="408"/>
      <c r="S861" s="408">
        <v>1358.36</v>
      </c>
      <c r="T861" s="408"/>
      <c r="U861" s="408"/>
      <c r="V861" s="408">
        <v>53311.554919999995</v>
      </c>
      <c r="W861" s="408">
        <v>53311.554919999995</v>
      </c>
      <c r="X861" s="408">
        <v>45058.695759999995</v>
      </c>
      <c r="Y861" s="408">
        <v>0</v>
      </c>
      <c r="Z861" s="408">
        <v>2101.4535103723488</v>
      </c>
      <c r="AA861" s="408">
        <v>0</v>
      </c>
      <c r="AB861" s="408">
        <v>0</v>
      </c>
      <c r="AC861" s="408">
        <v>743.42014090483235</v>
      </c>
      <c r="AD861" s="408">
        <v>714.26225569518078</v>
      </c>
      <c r="AE861" s="408">
        <v>39580.902361263725</v>
      </c>
      <c r="AF861" s="408"/>
      <c r="AG861" s="408"/>
      <c r="AH861" s="408"/>
      <c r="AI861" s="408">
        <v>0</v>
      </c>
      <c r="AJ861" s="408">
        <v>0</v>
      </c>
      <c r="AK861" s="408">
        <v>0</v>
      </c>
      <c r="AL861" s="408">
        <v>373.20091129419035</v>
      </c>
      <c r="AM861" s="408"/>
      <c r="AN861" s="408">
        <v>31.429540281422199</v>
      </c>
      <c r="AO861" s="408">
        <v>1578.1541386239774</v>
      </c>
      <c r="AP861" s="408">
        <v>7358.6594829537271</v>
      </c>
      <c r="AQ861" s="408">
        <v>0</v>
      </c>
      <c r="AR861" s="408">
        <v>0</v>
      </c>
      <c r="AS861" s="408"/>
      <c r="AT861" s="408"/>
      <c r="AU861" s="408">
        <v>0</v>
      </c>
      <c r="AV861" s="408">
        <v>0</v>
      </c>
      <c r="AW861" s="408">
        <v>0</v>
      </c>
      <c r="AX861" s="408"/>
      <c r="AY861" s="408"/>
      <c r="AZ861" s="408">
        <v>0</v>
      </c>
      <c r="BA861" s="408"/>
      <c r="BB861" s="408">
        <v>0</v>
      </c>
      <c r="BC861" s="408">
        <v>0</v>
      </c>
      <c r="BD861" s="408">
        <v>0</v>
      </c>
      <c r="BE861" s="408">
        <v>0</v>
      </c>
      <c r="BF861" s="408"/>
      <c r="BG861" s="408">
        <v>293.51483491320192</v>
      </c>
      <c r="BH861" s="408">
        <v>0</v>
      </c>
      <c r="BI861" s="408">
        <v>0</v>
      </c>
      <c r="BJ861" s="408">
        <v>0</v>
      </c>
      <c r="BK861" s="408">
        <v>0</v>
      </c>
      <c r="BL861" s="408">
        <v>0</v>
      </c>
      <c r="BM861" s="408"/>
      <c r="BN861" s="408">
        <v>23881.533205714059</v>
      </c>
      <c r="BO861" s="408"/>
      <c r="BP861" s="408"/>
      <c r="BQ861" s="408"/>
      <c r="BR861" s="408"/>
      <c r="BS861" s="408"/>
      <c r="BT861" s="408"/>
      <c r="BU861" s="408"/>
      <c r="BV861" s="408">
        <v>293.51483491320192</v>
      </c>
      <c r="BW861" s="408"/>
      <c r="BX861" s="408"/>
      <c r="BY861" s="408"/>
      <c r="BZ861" s="408"/>
      <c r="CA861" s="408"/>
      <c r="CB861" s="408"/>
      <c r="CC861" s="408"/>
      <c r="CD861" s="408"/>
      <c r="CE861" s="408"/>
      <c r="CF861" s="408"/>
      <c r="CG861" s="408"/>
      <c r="CH861" s="408"/>
      <c r="CI861" s="408">
        <v>21182.075999999997</v>
      </c>
      <c r="CJ861" s="408">
        <v>-3873.8826175526483</v>
      </c>
      <c r="CK861" s="408"/>
      <c r="CL861" s="408"/>
      <c r="CM861" s="408"/>
      <c r="CN861" s="408"/>
      <c r="CO861" s="408">
        <v>-8252.8591599999982</v>
      </c>
      <c r="CP861" s="408">
        <v>0</v>
      </c>
      <c r="CQ861" s="408">
        <v>30</v>
      </c>
      <c r="CR861" s="408">
        <v>1579.6583406991249</v>
      </c>
      <c r="CS861" s="408">
        <v>157.259686699952</v>
      </c>
      <c r="CT861" s="408">
        <v>733.27468876390867</v>
      </c>
      <c r="CU861" s="408">
        <v>0</v>
      </c>
      <c r="CV861" s="408">
        <v>0</v>
      </c>
      <c r="CW861" s="408"/>
      <c r="CX861" s="408"/>
      <c r="CY861" s="408"/>
      <c r="CZ861" s="408">
        <v>735.45346182046387</v>
      </c>
      <c r="DA861" s="408">
        <v>0</v>
      </c>
      <c r="DB861" s="408">
        <v>0</v>
      </c>
      <c r="DC861" s="408"/>
      <c r="DD861" s="408"/>
      <c r="DE861" s="408">
        <v>0</v>
      </c>
      <c r="DF861" s="408">
        <v>0</v>
      </c>
      <c r="DG861" s="408">
        <v>37.197676991963874</v>
      </c>
      <c r="DH861" s="408">
        <v>0</v>
      </c>
      <c r="DI861" s="408">
        <v>-71.358711356123422</v>
      </c>
      <c r="DJ861" s="408"/>
      <c r="DK861" s="408">
        <v>0</v>
      </c>
      <c r="DL861" s="408">
        <v>0</v>
      </c>
      <c r="DM861" s="408"/>
      <c r="DN861" s="408">
        <v>0</v>
      </c>
      <c r="DO861" s="408">
        <v>-11.279275586231847</v>
      </c>
      <c r="DP861" s="408">
        <v>-0.88918663480900051</v>
      </c>
      <c r="DQ861" s="408">
        <v>0</v>
      </c>
      <c r="DR861" s="408">
        <v>0</v>
      </c>
      <c r="DS861" s="408"/>
      <c r="DT861" s="408"/>
      <c r="DU861" s="408"/>
      <c r="DV861" s="408">
        <v>39580.902361263725</v>
      </c>
      <c r="DW861" s="408">
        <v>0</v>
      </c>
      <c r="DX861" s="408">
        <v>0</v>
      </c>
      <c r="DY861" s="408">
        <v>-8252.85916</v>
      </c>
      <c r="DZ861" s="408"/>
      <c r="EA861" s="408">
        <v>0</v>
      </c>
      <c r="EB861" s="408"/>
      <c r="EC861" s="408">
        <v>-9832.5675402115667</v>
      </c>
      <c r="ED861" s="408"/>
      <c r="EE861" s="408">
        <v>0</v>
      </c>
      <c r="EF861" s="408">
        <v>0</v>
      </c>
      <c r="EG861" s="408"/>
      <c r="EH861" s="408">
        <v>0</v>
      </c>
      <c r="EI861" s="408">
        <v>0</v>
      </c>
      <c r="EJ861" s="408">
        <v>0</v>
      </c>
      <c r="EK861" s="408">
        <v>0</v>
      </c>
      <c r="EL861" s="408">
        <v>0</v>
      </c>
      <c r="EM861" s="408"/>
      <c r="EN861" s="408"/>
      <c r="EO861" s="408">
        <v>0</v>
      </c>
      <c r="EP861" s="408">
        <v>536.67374697386083</v>
      </c>
      <c r="EQ861" s="408"/>
      <c r="ER861" s="408">
        <v>0</v>
      </c>
      <c r="ES861" s="408"/>
      <c r="ET861" s="408">
        <v>0</v>
      </c>
      <c r="EU861" s="408"/>
      <c r="EV861" s="408">
        <v>240</v>
      </c>
      <c r="EW861" s="408"/>
      <c r="EX861" s="408"/>
      <c r="EY861" s="408"/>
      <c r="EZ861" s="408"/>
      <c r="FA861" s="408">
        <v>0</v>
      </c>
      <c r="FB861" s="408"/>
      <c r="FC861" s="408"/>
      <c r="FD861" s="408"/>
      <c r="FE861" s="408"/>
      <c r="FF861" s="408">
        <v>0</v>
      </c>
      <c r="FG861" s="408">
        <v>0</v>
      </c>
      <c r="FH861" s="408">
        <v>0</v>
      </c>
      <c r="FI861" s="408">
        <v>0</v>
      </c>
    </row>
    <row r="862" spans="1:165">
      <c r="A862" s="408">
        <v>860</v>
      </c>
      <c r="B862" s="408" t="s">
        <v>1036</v>
      </c>
      <c r="C862" s="408" t="s">
        <v>2243</v>
      </c>
      <c r="D862" s="408" t="s">
        <v>597</v>
      </c>
      <c r="E862" s="408" t="s">
        <v>970</v>
      </c>
      <c r="F862" s="408" t="s">
        <v>1322</v>
      </c>
      <c r="G862" s="408" t="s">
        <v>2318</v>
      </c>
      <c r="H862" s="408" t="s">
        <v>1322</v>
      </c>
      <c r="I862" s="408" t="s">
        <v>2244</v>
      </c>
      <c r="J862" s="408" t="s">
        <v>2319</v>
      </c>
      <c r="K862" s="826">
        <v>44501</v>
      </c>
      <c r="L862" s="408">
        <v>0</v>
      </c>
      <c r="M862" s="408">
        <v>0</v>
      </c>
      <c r="N862" s="408">
        <v>475.56</v>
      </c>
      <c r="O862" s="408">
        <v>475.56</v>
      </c>
      <c r="P862" s="408">
        <v>0</v>
      </c>
      <c r="Q862" s="408">
        <v>0</v>
      </c>
      <c r="R862" s="408"/>
      <c r="S862" s="408">
        <v>85.01</v>
      </c>
      <c r="T862" s="408"/>
      <c r="U862" s="408"/>
      <c r="V862" s="408">
        <v>40427.355600000003</v>
      </c>
      <c r="W862" s="408">
        <v>40427.355600000003</v>
      </c>
      <c r="X862" s="408">
        <v>39866.194799999997</v>
      </c>
      <c r="Y862" s="408">
        <v>0</v>
      </c>
      <c r="Z862" s="408">
        <v>25463.531770394529</v>
      </c>
      <c r="AA862" s="408">
        <v>0</v>
      </c>
      <c r="AB862" s="408">
        <v>0</v>
      </c>
      <c r="AC862" s="408">
        <v>0</v>
      </c>
      <c r="AD862" s="408">
        <v>0</v>
      </c>
      <c r="AE862" s="408">
        <v>0</v>
      </c>
      <c r="AF862" s="408"/>
      <c r="AG862" s="408"/>
      <c r="AH862" s="408"/>
      <c r="AI862" s="408">
        <v>0</v>
      </c>
      <c r="AJ862" s="408">
        <v>0</v>
      </c>
      <c r="AK862" s="408">
        <v>0</v>
      </c>
      <c r="AL862" s="408">
        <v>4522.1144386848719</v>
      </c>
      <c r="AM862" s="408"/>
      <c r="AN862" s="408">
        <v>380.83502372749871</v>
      </c>
      <c r="AO862" s="408">
        <v>0</v>
      </c>
      <c r="AP862" s="408">
        <v>0</v>
      </c>
      <c r="AQ862" s="408">
        <v>0</v>
      </c>
      <c r="AR862" s="408">
        <v>0</v>
      </c>
      <c r="AS862" s="408"/>
      <c r="AT862" s="408"/>
      <c r="AU862" s="408">
        <v>0</v>
      </c>
      <c r="AV862" s="408">
        <v>0</v>
      </c>
      <c r="AW862" s="408">
        <v>0</v>
      </c>
      <c r="AX862" s="408"/>
      <c r="AY862" s="408"/>
      <c r="AZ862" s="408">
        <v>0</v>
      </c>
      <c r="BA862" s="408"/>
      <c r="BB862" s="408">
        <v>0</v>
      </c>
      <c r="BC862" s="408">
        <v>0</v>
      </c>
      <c r="BD862" s="408">
        <v>0</v>
      </c>
      <c r="BE862" s="408">
        <v>0</v>
      </c>
      <c r="BF862" s="408"/>
      <c r="BG862" s="408">
        <v>3556.5499246139148</v>
      </c>
      <c r="BH862" s="408">
        <v>0</v>
      </c>
      <c r="BI862" s="408">
        <v>0</v>
      </c>
      <c r="BJ862" s="408">
        <v>0</v>
      </c>
      <c r="BK862" s="408">
        <v>0</v>
      </c>
      <c r="BL862" s="408">
        <v>0</v>
      </c>
      <c r="BM862" s="408"/>
      <c r="BN862" s="408"/>
      <c r="BO862" s="408"/>
      <c r="BP862" s="408"/>
      <c r="BQ862" s="408"/>
      <c r="BR862" s="408"/>
      <c r="BS862" s="408"/>
      <c r="BT862" s="408"/>
      <c r="BU862" s="408"/>
      <c r="BV862" s="408">
        <v>3556.5499246139148</v>
      </c>
      <c r="BW862" s="408"/>
      <c r="BX862" s="408"/>
      <c r="BY862" s="408"/>
      <c r="BZ862" s="408"/>
      <c r="CA862" s="408"/>
      <c r="CB862" s="408"/>
      <c r="CC862" s="408"/>
      <c r="CD862" s="408"/>
      <c r="CE862" s="408"/>
      <c r="CF862" s="408"/>
      <c r="CG862" s="408"/>
      <c r="CH862" s="408"/>
      <c r="CI862" s="408">
        <v>39866.194799999997</v>
      </c>
      <c r="CJ862" s="408">
        <v>-561.19080000001122</v>
      </c>
      <c r="CK862" s="408"/>
      <c r="CL862" s="408"/>
      <c r="CM862" s="408"/>
      <c r="CN862" s="408"/>
      <c r="CO862" s="408">
        <v>-561.16080000000329</v>
      </c>
      <c r="CP862" s="408">
        <v>0</v>
      </c>
      <c r="CQ862" s="408">
        <v>30</v>
      </c>
      <c r="CR862" s="408">
        <v>-561.37935118755559</v>
      </c>
      <c r="CS862" s="408">
        <v>0</v>
      </c>
      <c r="CT862" s="408">
        <v>0</v>
      </c>
      <c r="CU862" s="408">
        <v>0</v>
      </c>
      <c r="CV862" s="408">
        <v>0</v>
      </c>
      <c r="CW862" s="408"/>
      <c r="CX862" s="408"/>
      <c r="CY862" s="408"/>
      <c r="CZ862" s="408">
        <v>0</v>
      </c>
      <c r="DA862" s="408">
        <v>0</v>
      </c>
      <c r="DB862" s="408">
        <v>0</v>
      </c>
      <c r="DC862" s="408"/>
      <c r="DD862" s="408"/>
      <c r="DE862" s="408">
        <v>0</v>
      </c>
      <c r="DF862" s="408">
        <v>0</v>
      </c>
      <c r="DG862" s="408">
        <v>450.72813897363676</v>
      </c>
      <c r="DH862" s="408">
        <v>0</v>
      </c>
      <c r="DI862" s="408">
        <v>-864.66096192111218</v>
      </c>
      <c r="DJ862" s="408"/>
      <c r="DK862" s="408">
        <v>0</v>
      </c>
      <c r="DL862" s="408">
        <v>0</v>
      </c>
      <c r="DM862" s="408"/>
      <c r="DN862" s="408">
        <v>0</v>
      </c>
      <c r="DO862" s="408">
        <v>-136.67216087314773</v>
      </c>
      <c r="DP862" s="408">
        <v>-10.774367366926583</v>
      </c>
      <c r="DQ862" s="408">
        <v>0</v>
      </c>
      <c r="DR862" s="408">
        <v>0</v>
      </c>
      <c r="DS862" s="408"/>
      <c r="DT862" s="408"/>
      <c r="DU862" s="408"/>
      <c r="DV862" s="408">
        <v>0</v>
      </c>
      <c r="DW862" s="408">
        <v>0</v>
      </c>
      <c r="DX862" s="408">
        <v>0</v>
      </c>
      <c r="DY862" s="408">
        <v>-561.16080000000511</v>
      </c>
      <c r="DZ862" s="408"/>
      <c r="EA862" s="408">
        <v>0</v>
      </c>
      <c r="EB862" s="408"/>
      <c r="EC862" s="408">
        <v>0</v>
      </c>
      <c r="ED862" s="408"/>
      <c r="EE862" s="408">
        <v>0</v>
      </c>
      <c r="EF862" s="408">
        <v>0</v>
      </c>
      <c r="EG862" s="408"/>
      <c r="EH862" s="408">
        <v>0</v>
      </c>
      <c r="EI862" s="408">
        <v>0</v>
      </c>
      <c r="EJ862" s="408">
        <v>0</v>
      </c>
      <c r="EK862" s="408">
        <v>0</v>
      </c>
      <c r="EL862" s="408">
        <v>0</v>
      </c>
      <c r="EM862" s="408"/>
      <c r="EN862" s="408"/>
      <c r="EO862" s="408">
        <v>0</v>
      </c>
      <c r="EP862" s="408">
        <v>6502.9318702292976</v>
      </c>
      <c r="EQ862" s="408"/>
      <c r="ER862" s="408">
        <v>0</v>
      </c>
      <c r="ES862" s="408"/>
      <c r="ET862" s="408">
        <v>0</v>
      </c>
      <c r="EU862" s="408"/>
      <c r="EV862" s="408">
        <v>240</v>
      </c>
      <c r="EW862" s="408"/>
      <c r="EX862" s="408"/>
      <c r="EY862" s="408"/>
      <c r="EZ862" s="408"/>
      <c r="FA862" s="408">
        <v>0</v>
      </c>
      <c r="FB862" s="408"/>
      <c r="FC862" s="408"/>
      <c r="FD862" s="408"/>
      <c r="FE862" s="408"/>
      <c r="FF862" s="408">
        <v>0</v>
      </c>
      <c r="FG862" s="408">
        <v>0</v>
      </c>
      <c r="FH862" s="408">
        <v>0</v>
      </c>
      <c r="FI862" s="408">
        <v>0</v>
      </c>
    </row>
    <row r="863" spans="1:165">
      <c r="A863" s="408">
        <v>861</v>
      </c>
      <c r="B863" s="408" t="s">
        <v>1036</v>
      </c>
      <c r="C863" s="408" t="s">
        <v>2243</v>
      </c>
      <c r="D863" s="408" t="s">
        <v>597</v>
      </c>
      <c r="E863" s="408" t="s">
        <v>970</v>
      </c>
      <c r="F863" s="408" t="s">
        <v>1322</v>
      </c>
      <c r="G863" s="408" t="s">
        <v>2318</v>
      </c>
      <c r="H863" s="408" t="s">
        <v>1322</v>
      </c>
      <c r="I863" s="408" t="s">
        <v>1322</v>
      </c>
      <c r="J863" s="408" t="s">
        <v>2319</v>
      </c>
      <c r="K863" s="826">
        <v>44501</v>
      </c>
      <c r="L863" s="408">
        <v>2421</v>
      </c>
      <c r="M863" s="408">
        <v>1331.24342877</v>
      </c>
      <c r="N863" s="408">
        <v>0</v>
      </c>
      <c r="O863" s="408">
        <v>0</v>
      </c>
      <c r="P863" s="408">
        <v>0</v>
      </c>
      <c r="Q863" s="408">
        <v>0</v>
      </c>
      <c r="R863" s="408">
        <v>27.19</v>
      </c>
      <c r="S863" s="408"/>
      <c r="T863" s="408"/>
      <c r="U863" s="408">
        <v>65826.990000000005</v>
      </c>
      <c r="V863" s="408"/>
      <c r="W863" s="408">
        <v>65826.990000000005</v>
      </c>
      <c r="X863" s="408">
        <v>52680.960000000006</v>
      </c>
      <c r="Y863" s="408">
        <v>0</v>
      </c>
      <c r="Z863" s="408">
        <v>0</v>
      </c>
      <c r="AA863" s="408">
        <v>0</v>
      </c>
      <c r="AB863" s="408">
        <v>0</v>
      </c>
      <c r="AC863" s="408">
        <v>564.5786851081325</v>
      </c>
      <c r="AD863" s="408">
        <v>542.38834611579648</v>
      </c>
      <c r="AE863" s="408">
        <v>57939.44521868915</v>
      </c>
      <c r="AF863" s="408"/>
      <c r="AG863" s="408"/>
      <c r="AH863" s="408"/>
      <c r="AI863" s="408">
        <v>0</v>
      </c>
      <c r="AJ863" s="408">
        <v>0</v>
      </c>
      <c r="AK863" s="408">
        <v>0</v>
      </c>
      <c r="AL863" s="408">
        <v>0</v>
      </c>
      <c r="AM863" s="408"/>
      <c r="AN863" s="408">
        <v>0</v>
      </c>
      <c r="AO863" s="408">
        <v>1198.1161760700134</v>
      </c>
      <c r="AP863" s="408">
        <v>5587.8830889308174</v>
      </c>
      <c r="AQ863" s="408">
        <v>0</v>
      </c>
      <c r="AR863" s="408">
        <v>0</v>
      </c>
      <c r="AS863" s="408"/>
      <c r="AT863" s="408"/>
      <c r="AU863" s="408">
        <v>0</v>
      </c>
      <c r="AV863" s="408">
        <v>0</v>
      </c>
      <c r="AW863" s="408">
        <v>0</v>
      </c>
      <c r="AX863" s="408"/>
      <c r="AY863" s="408"/>
      <c r="AZ863" s="408">
        <v>0</v>
      </c>
      <c r="BA863" s="408"/>
      <c r="BB863" s="408">
        <v>0</v>
      </c>
      <c r="BC863" s="408">
        <v>0</v>
      </c>
      <c r="BD863" s="408">
        <v>0</v>
      </c>
      <c r="BE863" s="408">
        <v>0</v>
      </c>
      <c r="BF863" s="408"/>
      <c r="BG863" s="408">
        <v>0</v>
      </c>
      <c r="BH863" s="408">
        <v>0</v>
      </c>
      <c r="BI863" s="408">
        <v>929.16</v>
      </c>
      <c r="BJ863" s="408">
        <v>0</v>
      </c>
      <c r="BK863" s="408">
        <v>28016.95</v>
      </c>
      <c r="BL863" s="408">
        <v>4</v>
      </c>
      <c r="BM863" s="408"/>
      <c r="BN863" s="408">
        <v>23713.102989964802</v>
      </c>
      <c r="BO863" s="408"/>
      <c r="BP863" s="408"/>
      <c r="BQ863" s="408"/>
      <c r="BR863" s="408"/>
      <c r="BS863" s="408"/>
      <c r="BT863" s="408"/>
      <c r="BU863" s="408"/>
      <c r="BV863" s="408">
        <v>0</v>
      </c>
      <c r="BW863" s="408"/>
      <c r="BX863" s="408"/>
      <c r="BY863" s="408"/>
      <c r="BZ863" s="408"/>
      <c r="CA863" s="408"/>
      <c r="CB863" s="408"/>
      <c r="CC863" s="408"/>
      <c r="CD863" s="408"/>
      <c r="CE863" s="408"/>
      <c r="CF863" s="408"/>
      <c r="CG863" s="408"/>
      <c r="CH863" s="408"/>
      <c r="CI863" s="408">
        <v>28967.782400000004</v>
      </c>
      <c r="CJ863" s="408">
        <v>-7228.7564282563035</v>
      </c>
      <c r="CK863" s="408"/>
      <c r="CL863" s="408"/>
      <c r="CM863" s="408"/>
      <c r="CN863" s="408"/>
      <c r="CO863" s="408">
        <v>-13146.029999999999</v>
      </c>
      <c r="CP863" s="408">
        <v>0</v>
      </c>
      <c r="CQ863" s="408">
        <v>30</v>
      </c>
      <c r="CR863" s="408">
        <v>1234.6906052203612</v>
      </c>
      <c r="CS863" s="408">
        <v>119.38971604079165</v>
      </c>
      <c r="CT863" s="408">
        <v>556.82060603245827</v>
      </c>
      <c r="CU863" s="408">
        <v>0</v>
      </c>
      <c r="CV863" s="408">
        <v>0</v>
      </c>
      <c r="CW863" s="408"/>
      <c r="CX863" s="408"/>
      <c r="CY863" s="408"/>
      <c r="CZ863" s="408">
        <v>558.48028314711212</v>
      </c>
      <c r="DA863" s="408">
        <v>0</v>
      </c>
      <c r="DB863" s="408">
        <v>0</v>
      </c>
      <c r="DC863" s="408"/>
      <c r="DD863" s="408"/>
      <c r="DE863" s="408">
        <v>0</v>
      </c>
      <c r="DF863" s="408">
        <v>0</v>
      </c>
      <c r="DG863" s="408">
        <v>0</v>
      </c>
      <c r="DH863" s="408">
        <v>0</v>
      </c>
      <c r="DI863" s="408">
        <v>0</v>
      </c>
      <c r="DJ863" s="408"/>
      <c r="DK863" s="408">
        <v>0</v>
      </c>
      <c r="DL863" s="408">
        <v>0</v>
      </c>
      <c r="DM863" s="408"/>
      <c r="DN863" s="408">
        <v>0</v>
      </c>
      <c r="DO863" s="408">
        <v>0</v>
      </c>
      <c r="DP863" s="408">
        <v>0</v>
      </c>
      <c r="DQ863" s="408">
        <v>0</v>
      </c>
      <c r="DR863" s="408">
        <v>0</v>
      </c>
      <c r="DS863" s="408"/>
      <c r="DT863" s="408"/>
      <c r="DU863" s="408">
        <v>57939.44521868915</v>
      </c>
      <c r="DV863" s="408"/>
      <c r="DW863" s="408">
        <v>0</v>
      </c>
      <c r="DX863" s="408">
        <v>0</v>
      </c>
      <c r="DY863" s="408">
        <v>-13146.029999999999</v>
      </c>
      <c r="DZ863" s="408"/>
      <c r="EA863" s="408">
        <v>0</v>
      </c>
      <c r="EB863" s="408"/>
      <c r="EC863" s="408">
        <v>-14393.140993993096</v>
      </c>
      <c r="ED863" s="408"/>
      <c r="EE863" s="408">
        <v>0</v>
      </c>
      <c r="EF863" s="408">
        <v>0</v>
      </c>
      <c r="EG863" s="408"/>
      <c r="EH863" s="408">
        <v>0</v>
      </c>
      <c r="EI863" s="408">
        <v>0</v>
      </c>
      <c r="EJ863" s="408">
        <v>0</v>
      </c>
      <c r="EK863" s="408">
        <v>0</v>
      </c>
      <c r="EL863" s="408">
        <v>0</v>
      </c>
      <c r="EM863" s="408"/>
      <c r="EN863" s="408"/>
      <c r="EO863" s="408">
        <v>0</v>
      </c>
      <c r="EP863" s="408">
        <v>0</v>
      </c>
      <c r="EQ863" s="408"/>
      <c r="ER863" s="408">
        <v>0</v>
      </c>
      <c r="ES863" s="408"/>
      <c r="ET863" s="408">
        <v>0</v>
      </c>
      <c r="EU863" s="408"/>
      <c r="EV863" s="408">
        <v>240</v>
      </c>
      <c r="EW863" s="408"/>
      <c r="EX863" s="408"/>
      <c r="EY863" s="408"/>
      <c r="EZ863" s="408"/>
      <c r="FA863" s="408">
        <v>0</v>
      </c>
      <c r="FB863" s="408"/>
      <c r="FC863" s="408"/>
      <c r="FD863" s="408"/>
      <c r="FE863" s="408"/>
      <c r="FF863" s="408">
        <v>0</v>
      </c>
      <c r="FG863" s="408">
        <v>0</v>
      </c>
      <c r="FH863" s="408">
        <v>0</v>
      </c>
      <c r="FI863" s="408">
        <v>0</v>
      </c>
    </row>
    <row r="864" spans="1:165">
      <c r="A864" s="408">
        <v>862</v>
      </c>
      <c r="B864" s="408" t="s">
        <v>1036</v>
      </c>
      <c r="C864" s="408" t="s">
        <v>993</v>
      </c>
      <c r="D864" s="408" t="s">
        <v>599</v>
      </c>
      <c r="E864" s="408" t="s">
        <v>1322</v>
      </c>
      <c r="F864" s="408" t="s">
        <v>1322</v>
      </c>
      <c r="G864" s="408" t="s">
        <v>1322</v>
      </c>
      <c r="H864" s="408" t="s">
        <v>2320</v>
      </c>
      <c r="I864" s="408" t="s">
        <v>1322</v>
      </c>
      <c r="J864" s="408" t="s">
        <v>2256</v>
      </c>
      <c r="K864" s="826">
        <v>44501</v>
      </c>
      <c r="L864" s="408">
        <v>7020</v>
      </c>
      <c r="M864" s="408">
        <v>3510</v>
      </c>
      <c r="N864" s="408">
        <v>0</v>
      </c>
      <c r="O864" s="408">
        <v>0</v>
      </c>
      <c r="P864" s="408">
        <v>0</v>
      </c>
      <c r="Q864" s="408">
        <v>0</v>
      </c>
      <c r="R864" s="408">
        <v>6.87</v>
      </c>
      <c r="S864" s="408"/>
      <c r="T864" s="408"/>
      <c r="U864" s="408">
        <v>48227.4</v>
      </c>
      <c r="V864" s="408"/>
      <c r="W864" s="408">
        <v>48227.4</v>
      </c>
      <c r="X864" s="408">
        <v>40084.199999999997</v>
      </c>
      <c r="Y864" s="408">
        <v>0</v>
      </c>
      <c r="Z864" s="408">
        <v>0</v>
      </c>
      <c r="AA864" s="408">
        <v>0</v>
      </c>
      <c r="AB864" s="408">
        <v>0</v>
      </c>
      <c r="AC864" s="408">
        <v>0</v>
      </c>
      <c r="AD864" s="408">
        <v>2031.0321998913851</v>
      </c>
      <c r="AE864" s="408">
        <v>42729.467006265557</v>
      </c>
      <c r="AF864" s="408"/>
      <c r="AG864" s="408"/>
      <c r="AH864" s="408"/>
      <c r="AI864" s="408">
        <v>0</v>
      </c>
      <c r="AJ864" s="408">
        <v>0</v>
      </c>
      <c r="AK864" s="408">
        <v>0</v>
      </c>
      <c r="AL864" s="408">
        <v>0</v>
      </c>
      <c r="AM864" s="408"/>
      <c r="AN864" s="408">
        <v>0</v>
      </c>
      <c r="AO864" s="408">
        <v>0</v>
      </c>
      <c r="AP864" s="408">
        <v>0</v>
      </c>
      <c r="AQ864" s="408">
        <v>0</v>
      </c>
      <c r="AR864" s="408">
        <v>0</v>
      </c>
      <c r="AS864" s="408"/>
      <c r="AT864" s="408"/>
      <c r="AU864" s="408">
        <v>0</v>
      </c>
      <c r="AV864" s="408">
        <v>0</v>
      </c>
      <c r="AW864" s="408">
        <v>0</v>
      </c>
      <c r="AX864" s="408"/>
      <c r="AY864" s="408"/>
      <c r="AZ864" s="408">
        <v>0</v>
      </c>
      <c r="BA864" s="408"/>
      <c r="BB864" s="408">
        <v>0</v>
      </c>
      <c r="BC864" s="408">
        <v>0</v>
      </c>
      <c r="BD864" s="408">
        <v>0</v>
      </c>
      <c r="BE864" s="408">
        <v>0</v>
      </c>
      <c r="BF864" s="408"/>
      <c r="BG864" s="408">
        <v>3436.1874076712338</v>
      </c>
      <c r="BH864" s="408">
        <v>0</v>
      </c>
      <c r="BI864" s="408">
        <v>270.37</v>
      </c>
      <c r="BJ864" s="408">
        <v>0</v>
      </c>
      <c r="BK864" s="408">
        <v>0</v>
      </c>
      <c r="BL864" s="408">
        <v>0</v>
      </c>
      <c r="BM864" s="408"/>
      <c r="BN864" s="408"/>
      <c r="BO864" s="408">
        <v>20042.099999999999</v>
      </c>
      <c r="BP864" s="408"/>
      <c r="BQ864" s="408"/>
      <c r="BR864" s="408"/>
      <c r="BS864" s="408"/>
      <c r="BT864" s="408"/>
      <c r="BU864" s="408"/>
      <c r="BV864" s="408">
        <v>3436.1874076712338</v>
      </c>
      <c r="BW864" s="408"/>
      <c r="BX864" s="408"/>
      <c r="BY864" s="408"/>
      <c r="BZ864" s="408"/>
      <c r="CA864" s="408"/>
      <c r="CB864" s="408"/>
      <c r="CC864" s="408"/>
      <c r="CD864" s="408"/>
      <c r="CE864" s="408"/>
      <c r="CF864" s="408"/>
      <c r="CG864" s="408"/>
      <c r="CH864" s="408"/>
      <c r="CI864" s="408">
        <v>20042.099999999999</v>
      </c>
      <c r="CJ864" s="408">
        <v>-4071.6299999999974</v>
      </c>
      <c r="CK864" s="408"/>
      <c r="CL864" s="408"/>
      <c r="CM864" s="408"/>
      <c r="CN864" s="408"/>
      <c r="CO864" s="408">
        <v>-8143.2000000000007</v>
      </c>
      <c r="CP864" s="408">
        <v>0</v>
      </c>
      <c r="CQ864" s="408">
        <v>30</v>
      </c>
      <c r="CR864" s="408">
        <v>2526.7645846364476</v>
      </c>
      <c r="CS864" s="408">
        <v>0</v>
      </c>
      <c r="CT864" s="408">
        <v>0</v>
      </c>
      <c r="CU864" s="408">
        <v>0</v>
      </c>
      <c r="CV864" s="408">
        <v>0</v>
      </c>
      <c r="CW864" s="408"/>
      <c r="CX864" s="408"/>
      <c r="CY864" s="408"/>
      <c r="CZ864" s="408">
        <v>2091.2902096795342</v>
      </c>
      <c r="DA864" s="408">
        <v>0</v>
      </c>
      <c r="DB864" s="408">
        <v>0</v>
      </c>
      <c r="DC864" s="408"/>
      <c r="DD864" s="408"/>
      <c r="DE864" s="408">
        <v>0</v>
      </c>
      <c r="DF864" s="408">
        <v>0</v>
      </c>
      <c r="DG864" s="408">
        <v>435.47437495691338</v>
      </c>
      <c r="DH864" s="408">
        <v>0</v>
      </c>
      <c r="DI864" s="408">
        <v>0</v>
      </c>
      <c r="DJ864" s="408"/>
      <c r="DK864" s="408">
        <v>0</v>
      </c>
      <c r="DL864" s="408">
        <v>0</v>
      </c>
      <c r="DM864" s="408"/>
      <c r="DN864" s="408">
        <v>0</v>
      </c>
      <c r="DO864" s="408">
        <v>0</v>
      </c>
      <c r="DP864" s="408">
        <v>0</v>
      </c>
      <c r="DQ864" s="408">
        <v>0</v>
      </c>
      <c r="DR864" s="408">
        <v>0</v>
      </c>
      <c r="DS864" s="408"/>
      <c r="DT864" s="408"/>
      <c r="DU864" s="408">
        <v>42729.467006265557</v>
      </c>
      <c r="DV864" s="408"/>
      <c r="DW864" s="408">
        <v>0</v>
      </c>
      <c r="DX864" s="408">
        <v>0</v>
      </c>
      <c r="DY864" s="408">
        <v>-8143.2000000000044</v>
      </c>
      <c r="DZ864" s="408"/>
      <c r="EA864" s="408">
        <v>0</v>
      </c>
      <c r="EB864" s="408"/>
      <c r="EC864" s="408">
        <v>-10614.724405765934</v>
      </c>
      <c r="ED864" s="408"/>
      <c r="EE864" s="408">
        <v>0</v>
      </c>
      <c r="EF864" s="408">
        <v>0</v>
      </c>
      <c r="EG864" s="408"/>
      <c r="EH864" s="408">
        <v>0</v>
      </c>
      <c r="EI864" s="408">
        <v>0</v>
      </c>
      <c r="EJ864" s="408">
        <v>0</v>
      </c>
      <c r="EK864" s="408">
        <v>0</v>
      </c>
      <c r="EL864" s="408">
        <v>0</v>
      </c>
      <c r="EM864" s="408"/>
      <c r="EN864" s="408"/>
      <c r="EO864" s="408">
        <v>0</v>
      </c>
      <c r="EP864" s="408">
        <v>0</v>
      </c>
      <c r="EQ864" s="408"/>
      <c r="ER864" s="408">
        <v>0</v>
      </c>
      <c r="ES864" s="408"/>
      <c r="ET864" s="408">
        <v>0</v>
      </c>
      <c r="EU864" s="408"/>
      <c r="EV864" s="408">
        <v>240</v>
      </c>
      <c r="EW864" s="408"/>
      <c r="EX864" s="408"/>
      <c r="EY864" s="408"/>
      <c r="EZ864" s="408"/>
      <c r="FA864" s="408">
        <v>0</v>
      </c>
      <c r="FB864" s="408"/>
      <c r="FC864" s="408"/>
      <c r="FD864" s="408"/>
      <c r="FE864" s="408"/>
      <c r="FF864" s="408">
        <v>0</v>
      </c>
      <c r="FG864" s="408">
        <v>0</v>
      </c>
      <c r="FH864" s="408">
        <v>0</v>
      </c>
      <c r="FI864" s="408">
        <v>0</v>
      </c>
    </row>
    <row r="865" spans="1:165">
      <c r="A865" s="408">
        <v>863</v>
      </c>
      <c r="B865" s="408" t="s">
        <v>1036</v>
      </c>
      <c r="C865" s="408" t="s">
        <v>2247</v>
      </c>
      <c r="D865" s="408" t="s">
        <v>597</v>
      </c>
      <c r="E865" s="408" t="s">
        <v>970</v>
      </c>
      <c r="F865" s="408" t="s">
        <v>1322</v>
      </c>
      <c r="G865" s="408" t="s">
        <v>2318</v>
      </c>
      <c r="H865" s="408" t="s">
        <v>1322</v>
      </c>
      <c r="I865" s="408" t="s">
        <v>973</v>
      </c>
      <c r="J865" s="408" t="s">
        <v>2319</v>
      </c>
      <c r="K865" s="826">
        <v>44531</v>
      </c>
      <c r="L865" s="408">
        <v>7800</v>
      </c>
      <c r="M865" s="408">
        <v>3900</v>
      </c>
      <c r="N865" s="408">
        <v>0</v>
      </c>
      <c r="O865" s="408">
        <v>0</v>
      </c>
      <c r="P865" s="408">
        <v>0</v>
      </c>
      <c r="Q865" s="408">
        <v>0</v>
      </c>
      <c r="R865" s="408">
        <v>52.95</v>
      </c>
      <c r="S865" s="408"/>
      <c r="T865" s="408"/>
      <c r="U865" s="408">
        <v>413010</v>
      </c>
      <c r="V865" s="408"/>
      <c r="W865" s="408">
        <v>413010</v>
      </c>
      <c r="X865" s="408">
        <v>345150</v>
      </c>
      <c r="Y865" s="408">
        <v>0</v>
      </c>
      <c r="Z865" s="408">
        <v>0</v>
      </c>
      <c r="AA865" s="408">
        <v>0</v>
      </c>
      <c r="AB865" s="408">
        <v>0</v>
      </c>
      <c r="AC865" s="408">
        <v>6143.7967769655443</v>
      </c>
      <c r="AD865" s="408">
        <v>5902.6636731637609</v>
      </c>
      <c r="AE865" s="408">
        <v>327082.9691133537</v>
      </c>
      <c r="AF865" s="408"/>
      <c r="AG865" s="408"/>
      <c r="AH865" s="408"/>
      <c r="AI865" s="408">
        <v>0</v>
      </c>
      <c r="AJ865" s="408">
        <v>0</v>
      </c>
      <c r="AK865" s="408">
        <v>0</v>
      </c>
      <c r="AL865" s="408">
        <v>0</v>
      </c>
      <c r="AM865" s="408"/>
      <c r="AN865" s="408">
        <v>0</v>
      </c>
      <c r="AO865" s="408">
        <v>13041.996884625618</v>
      </c>
      <c r="AP865" s="408">
        <v>60812.114336929255</v>
      </c>
      <c r="AQ865" s="408">
        <v>0</v>
      </c>
      <c r="AR865" s="408">
        <v>0</v>
      </c>
      <c r="AS865" s="408"/>
      <c r="AT865" s="408"/>
      <c r="AU865" s="408">
        <v>0</v>
      </c>
      <c r="AV865" s="408">
        <v>0</v>
      </c>
      <c r="AW865" s="408">
        <v>0</v>
      </c>
      <c r="AX865" s="408"/>
      <c r="AY865" s="408"/>
      <c r="AZ865" s="408">
        <v>0</v>
      </c>
      <c r="BA865" s="408"/>
      <c r="BB865" s="408">
        <v>0</v>
      </c>
      <c r="BC865" s="408">
        <v>0</v>
      </c>
      <c r="BD865" s="408">
        <v>0</v>
      </c>
      <c r="BE865" s="408">
        <v>0</v>
      </c>
      <c r="BF865" s="408"/>
      <c r="BG865" s="408">
        <v>0</v>
      </c>
      <c r="BH865" s="408">
        <v>0</v>
      </c>
      <c r="BI865" s="408">
        <v>0</v>
      </c>
      <c r="BJ865" s="408">
        <v>0</v>
      </c>
      <c r="BK865" s="408">
        <v>0</v>
      </c>
      <c r="BL865" s="408">
        <v>0</v>
      </c>
      <c r="BM865" s="408"/>
      <c r="BN865" s="408">
        <v>172575</v>
      </c>
      <c r="BO865" s="408"/>
      <c r="BP865" s="408"/>
      <c r="BQ865" s="408"/>
      <c r="BR865" s="408"/>
      <c r="BS865" s="408"/>
      <c r="BT865" s="408"/>
      <c r="BU865" s="408"/>
      <c r="BV865" s="408">
        <v>0</v>
      </c>
      <c r="BW865" s="408"/>
      <c r="BX865" s="408"/>
      <c r="BY865" s="408"/>
      <c r="BZ865" s="408"/>
      <c r="CA865" s="408"/>
      <c r="CB865" s="408"/>
      <c r="CC865" s="408"/>
      <c r="CD865" s="408"/>
      <c r="CE865" s="408"/>
      <c r="CF865" s="408"/>
      <c r="CG865" s="408"/>
      <c r="CH865" s="408"/>
      <c r="CI865" s="408">
        <v>172575</v>
      </c>
      <c r="CJ865" s="408">
        <v>-33930.030000000028</v>
      </c>
      <c r="CK865" s="408"/>
      <c r="CL865" s="408"/>
      <c r="CM865" s="408"/>
      <c r="CN865" s="408"/>
      <c r="CO865" s="408">
        <v>-67860.000000000029</v>
      </c>
      <c r="CP865" s="408">
        <v>0</v>
      </c>
      <c r="CQ865" s="408"/>
      <c r="CR865" s="408">
        <v>13437.192136518745</v>
      </c>
      <c r="CS865" s="408">
        <v>1299.6071130329037</v>
      </c>
      <c r="CT865" s="408">
        <v>6059.7972112697025</v>
      </c>
      <c r="CU865" s="408">
        <v>0</v>
      </c>
      <c r="CV865" s="408">
        <v>0</v>
      </c>
      <c r="CW865" s="408"/>
      <c r="CX865" s="408"/>
      <c r="CY865" s="408"/>
      <c r="CZ865" s="408">
        <v>6077.7878122161492</v>
      </c>
      <c r="DA865" s="408">
        <v>0</v>
      </c>
      <c r="DB865" s="408">
        <v>0</v>
      </c>
      <c r="DC865" s="408"/>
      <c r="DD865" s="408"/>
      <c r="DE865" s="408">
        <v>0</v>
      </c>
      <c r="DF865" s="408">
        <v>0</v>
      </c>
      <c r="DG865" s="408">
        <v>0</v>
      </c>
      <c r="DH865" s="408">
        <v>0</v>
      </c>
      <c r="DI865" s="408">
        <v>0</v>
      </c>
      <c r="DJ865" s="408"/>
      <c r="DK865" s="408">
        <v>0</v>
      </c>
      <c r="DL865" s="408">
        <v>0</v>
      </c>
      <c r="DM865" s="408"/>
      <c r="DN865" s="408">
        <v>0</v>
      </c>
      <c r="DO865" s="408">
        <v>0</v>
      </c>
      <c r="DP865" s="408">
        <v>0</v>
      </c>
      <c r="DQ865" s="408">
        <v>0</v>
      </c>
      <c r="DR865" s="408">
        <v>0</v>
      </c>
      <c r="DS865" s="408"/>
      <c r="DT865" s="408"/>
      <c r="DU865" s="408">
        <v>327082.9691133537</v>
      </c>
      <c r="DV865" s="408"/>
      <c r="DW865" s="408">
        <v>0</v>
      </c>
      <c r="DX865" s="408">
        <v>0</v>
      </c>
      <c r="DY865" s="408">
        <v>-67860</v>
      </c>
      <c r="DZ865" s="408"/>
      <c r="EA865" s="408">
        <v>0</v>
      </c>
      <c r="EB865" s="408"/>
      <c r="EC865" s="408">
        <v>-81252.957694248587</v>
      </c>
      <c r="ED865" s="408"/>
      <c r="EE865" s="408">
        <v>0</v>
      </c>
      <c r="EF865" s="408">
        <v>0</v>
      </c>
      <c r="EG865" s="408"/>
      <c r="EH865" s="408">
        <v>0</v>
      </c>
      <c r="EI865" s="408">
        <v>0</v>
      </c>
      <c r="EJ865" s="408">
        <v>0</v>
      </c>
      <c r="EK865" s="408">
        <v>0</v>
      </c>
      <c r="EL865" s="408">
        <v>0</v>
      </c>
      <c r="EM865" s="408"/>
      <c r="EN865" s="408"/>
      <c r="EO865" s="408">
        <v>0</v>
      </c>
      <c r="EP865" s="408">
        <v>0</v>
      </c>
      <c r="EQ865" s="408"/>
      <c r="ER865" s="408">
        <v>0</v>
      </c>
      <c r="ES865" s="408"/>
      <c r="ET865" s="408">
        <v>0</v>
      </c>
      <c r="EU865" s="408"/>
      <c r="EV865" s="408">
        <v>240</v>
      </c>
      <c r="EW865" s="408"/>
      <c r="EX865" s="408"/>
      <c r="EY865" s="408"/>
      <c r="EZ865" s="408"/>
      <c r="FA865" s="408">
        <v>0</v>
      </c>
      <c r="FB865" s="408"/>
      <c r="FC865" s="408"/>
      <c r="FD865" s="408"/>
      <c r="FE865" s="408"/>
      <c r="FF865" s="408">
        <v>0</v>
      </c>
      <c r="FG865" s="408">
        <v>0</v>
      </c>
      <c r="FH865" s="408">
        <v>0</v>
      </c>
      <c r="FI865" s="408">
        <v>0</v>
      </c>
    </row>
    <row r="866" spans="1:165">
      <c r="A866" s="408">
        <v>864</v>
      </c>
      <c r="B866" s="408" t="s">
        <v>1036</v>
      </c>
      <c r="C866" s="408" t="s">
        <v>2247</v>
      </c>
      <c r="D866" s="408" t="s">
        <v>597</v>
      </c>
      <c r="E866" s="408" t="s">
        <v>970</v>
      </c>
      <c r="F866" s="408" t="s">
        <v>1322</v>
      </c>
      <c r="G866" s="408" t="s">
        <v>2318</v>
      </c>
      <c r="H866" s="408" t="s">
        <v>1322</v>
      </c>
      <c r="I866" s="408" t="s">
        <v>2244</v>
      </c>
      <c r="J866" s="408" t="s">
        <v>2319</v>
      </c>
      <c r="K866" s="826">
        <v>44531</v>
      </c>
      <c r="L866" s="408">
        <v>8500</v>
      </c>
      <c r="M866" s="408">
        <v>4250</v>
      </c>
      <c r="N866" s="408">
        <v>0</v>
      </c>
      <c r="O866" s="408">
        <v>0</v>
      </c>
      <c r="P866" s="408">
        <v>0</v>
      </c>
      <c r="Q866" s="408">
        <v>0</v>
      </c>
      <c r="R866" s="408">
        <v>27.19</v>
      </c>
      <c r="S866" s="408"/>
      <c r="T866" s="408"/>
      <c r="U866" s="408">
        <v>231115</v>
      </c>
      <c r="V866" s="408"/>
      <c r="W866" s="408">
        <v>231115</v>
      </c>
      <c r="X866" s="408">
        <v>184960</v>
      </c>
      <c r="Y866" s="408">
        <v>0</v>
      </c>
      <c r="Z866" s="408">
        <v>0</v>
      </c>
      <c r="AA866" s="408">
        <v>0</v>
      </c>
      <c r="AB866" s="408">
        <v>0</v>
      </c>
      <c r="AC866" s="408">
        <v>1982.205214134294</v>
      </c>
      <c r="AD866" s="408">
        <v>1904.296134648604</v>
      </c>
      <c r="AE866" s="408">
        <v>203422.25706685573</v>
      </c>
      <c r="AF866" s="408"/>
      <c r="AG866" s="408"/>
      <c r="AH866" s="408"/>
      <c r="AI866" s="408">
        <v>0</v>
      </c>
      <c r="AJ866" s="408">
        <v>0</v>
      </c>
      <c r="AK866" s="408">
        <v>0</v>
      </c>
      <c r="AL866" s="408">
        <v>0</v>
      </c>
      <c r="AM866" s="408"/>
      <c r="AN866" s="408">
        <v>0</v>
      </c>
      <c r="AO866" s="408">
        <v>4206.5210642689435</v>
      </c>
      <c r="AP866" s="408">
        <v>19618.755165597664</v>
      </c>
      <c r="AQ866" s="408">
        <v>0</v>
      </c>
      <c r="AR866" s="408">
        <v>0</v>
      </c>
      <c r="AS866" s="408"/>
      <c r="AT866" s="408"/>
      <c r="AU866" s="408">
        <v>0</v>
      </c>
      <c r="AV866" s="408">
        <v>0</v>
      </c>
      <c r="AW866" s="408">
        <v>0</v>
      </c>
      <c r="AX866" s="408"/>
      <c r="AY866" s="408"/>
      <c r="AZ866" s="408">
        <v>0</v>
      </c>
      <c r="BA866" s="408"/>
      <c r="BB866" s="408">
        <v>0</v>
      </c>
      <c r="BC866" s="408">
        <v>0</v>
      </c>
      <c r="BD866" s="408">
        <v>0</v>
      </c>
      <c r="BE866" s="408">
        <v>0</v>
      </c>
      <c r="BF866" s="408"/>
      <c r="BG866" s="408">
        <v>0</v>
      </c>
      <c r="BH866" s="408">
        <v>0</v>
      </c>
      <c r="BI866" s="408">
        <v>0</v>
      </c>
      <c r="BJ866" s="408">
        <v>0</v>
      </c>
      <c r="BK866" s="408">
        <v>0</v>
      </c>
      <c r="BL866" s="408">
        <v>0</v>
      </c>
      <c r="BM866" s="408"/>
      <c r="BN866" s="408">
        <v>92480</v>
      </c>
      <c r="BO866" s="408"/>
      <c r="BP866" s="408"/>
      <c r="BQ866" s="408"/>
      <c r="BR866" s="408"/>
      <c r="BS866" s="408"/>
      <c r="BT866" s="408"/>
      <c r="BU866" s="408"/>
      <c r="BV866" s="408">
        <v>0</v>
      </c>
      <c r="BW866" s="408"/>
      <c r="BX866" s="408"/>
      <c r="BY866" s="408"/>
      <c r="BZ866" s="408"/>
      <c r="CA866" s="408"/>
      <c r="CB866" s="408"/>
      <c r="CC866" s="408"/>
      <c r="CD866" s="408"/>
      <c r="CE866" s="408"/>
      <c r="CF866" s="408"/>
      <c r="CG866" s="408"/>
      <c r="CH866" s="408"/>
      <c r="CI866" s="408">
        <v>92480</v>
      </c>
      <c r="CJ866" s="408">
        <v>-23077.529999999984</v>
      </c>
      <c r="CK866" s="408"/>
      <c r="CL866" s="408"/>
      <c r="CM866" s="408"/>
      <c r="CN866" s="408"/>
      <c r="CO866" s="408">
        <v>-46155</v>
      </c>
      <c r="CP866" s="408">
        <v>0</v>
      </c>
      <c r="CQ866" s="408"/>
      <c r="CR866" s="408">
        <v>4334.9319059781446</v>
      </c>
      <c r="CS866" s="408">
        <v>419.17083285697208</v>
      </c>
      <c r="CT866" s="408">
        <v>1954.9670182882692</v>
      </c>
      <c r="CU866" s="408">
        <v>0</v>
      </c>
      <c r="CV866" s="408">
        <v>0</v>
      </c>
      <c r="CW866" s="408"/>
      <c r="CX866" s="408"/>
      <c r="CY866" s="408"/>
      <c r="CZ866" s="408">
        <v>1960.7940548329007</v>
      </c>
      <c r="DA866" s="408">
        <v>0</v>
      </c>
      <c r="DB866" s="408">
        <v>0</v>
      </c>
      <c r="DC866" s="408"/>
      <c r="DD866" s="408"/>
      <c r="DE866" s="408">
        <v>0</v>
      </c>
      <c r="DF866" s="408">
        <v>0</v>
      </c>
      <c r="DG866" s="408">
        <v>0</v>
      </c>
      <c r="DH866" s="408">
        <v>0</v>
      </c>
      <c r="DI866" s="408">
        <v>0</v>
      </c>
      <c r="DJ866" s="408"/>
      <c r="DK866" s="408">
        <v>0</v>
      </c>
      <c r="DL866" s="408">
        <v>0</v>
      </c>
      <c r="DM866" s="408"/>
      <c r="DN866" s="408">
        <v>0</v>
      </c>
      <c r="DO866" s="408">
        <v>0</v>
      </c>
      <c r="DP866" s="408">
        <v>0</v>
      </c>
      <c r="DQ866" s="408">
        <v>0</v>
      </c>
      <c r="DR866" s="408">
        <v>0</v>
      </c>
      <c r="DS866" s="408"/>
      <c r="DT866" s="408"/>
      <c r="DU866" s="408">
        <v>203422.25706685573</v>
      </c>
      <c r="DV866" s="408"/>
      <c r="DW866" s="408">
        <v>0</v>
      </c>
      <c r="DX866" s="408">
        <v>0</v>
      </c>
      <c r="DY866" s="408">
        <v>-46155</v>
      </c>
      <c r="DZ866" s="408"/>
      <c r="EA866" s="408">
        <v>0</v>
      </c>
      <c r="EB866" s="408"/>
      <c r="EC866" s="408">
        <v>-50533.539218893537</v>
      </c>
      <c r="ED866" s="408"/>
      <c r="EE866" s="408">
        <v>0</v>
      </c>
      <c r="EF866" s="408">
        <v>0</v>
      </c>
      <c r="EG866" s="408"/>
      <c r="EH866" s="408">
        <v>0</v>
      </c>
      <c r="EI866" s="408">
        <v>0</v>
      </c>
      <c r="EJ866" s="408">
        <v>0</v>
      </c>
      <c r="EK866" s="408">
        <v>0</v>
      </c>
      <c r="EL866" s="408">
        <v>0</v>
      </c>
      <c r="EM866" s="408"/>
      <c r="EN866" s="408"/>
      <c r="EO866" s="408">
        <v>0</v>
      </c>
      <c r="EP866" s="408">
        <v>0</v>
      </c>
      <c r="EQ866" s="408"/>
      <c r="ER866" s="408">
        <v>0</v>
      </c>
      <c r="ES866" s="408"/>
      <c r="ET866" s="408">
        <v>0</v>
      </c>
      <c r="EU866" s="408"/>
      <c r="EV866" s="408">
        <v>240</v>
      </c>
      <c r="EW866" s="408"/>
      <c r="EX866" s="408"/>
      <c r="EY866" s="408"/>
      <c r="EZ866" s="408"/>
      <c r="FA866" s="408">
        <v>0</v>
      </c>
      <c r="FB866" s="408"/>
      <c r="FC866" s="408"/>
      <c r="FD866" s="408"/>
      <c r="FE866" s="408"/>
      <c r="FF866" s="408">
        <v>0</v>
      </c>
      <c r="FG866" s="408">
        <v>0</v>
      </c>
      <c r="FH866" s="408">
        <v>0</v>
      </c>
      <c r="FI866" s="408">
        <v>0</v>
      </c>
    </row>
    <row r="867" spans="1:165">
      <c r="A867" s="408">
        <v>865</v>
      </c>
      <c r="B867" s="408" t="s">
        <v>1036</v>
      </c>
      <c r="C867" s="408" t="s">
        <v>2247</v>
      </c>
      <c r="D867" s="408" t="s">
        <v>597</v>
      </c>
      <c r="E867" s="408" t="s">
        <v>970</v>
      </c>
      <c r="F867" s="408" t="s">
        <v>1322</v>
      </c>
      <c r="G867" s="408" t="s">
        <v>2318</v>
      </c>
      <c r="H867" s="408" t="s">
        <v>1322</v>
      </c>
      <c r="I867" s="408" t="s">
        <v>1322</v>
      </c>
      <c r="J867" s="408" t="s">
        <v>2319</v>
      </c>
      <c r="K867" s="826">
        <v>44531</v>
      </c>
      <c r="L867" s="408">
        <v>0</v>
      </c>
      <c r="M867" s="408">
        <v>0</v>
      </c>
      <c r="N867" s="408">
        <v>3510.5970000000002</v>
      </c>
      <c r="O867" s="408">
        <v>3510.5970000000002</v>
      </c>
      <c r="P867" s="408">
        <v>0</v>
      </c>
      <c r="Q867" s="408">
        <v>0</v>
      </c>
      <c r="R867" s="408"/>
      <c r="S867" s="408">
        <v>85.01</v>
      </c>
      <c r="T867" s="408"/>
      <c r="U867" s="408"/>
      <c r="V867" s="408">
        <v>298435.85097000003</v>
      </c>
      <c r="W867" s="408">
        <v>298435.85097000003</v>
      </c>
      <c r="X867" s="408">
        <v>294293.34651</v>
      </c>
      <c r="Y867" s="408">
        <v>0</v>
      </c>
      <c r="Z867" s="408">
        <v>187972.49188861917</v>
      </c>
      <c r="AA867" s="408">
        <v>0</v>
      </c>
      <c r="AB867" s="408">
        <v>0</v>
      </c>
      <c r="AC867" s="408">
        <v>0</v>
      </c>
      <c r="AD867" s="408">
        <v>0</v>
      </c>
      <c r="AE867" s="408">
        <v>0</v>
      </c>
      <c r="AF867" s="408"/>
      <c r="AG867" s="408"/>
      <c r="AH867" s="408"/>
      <c r="AI867" s="408">
        <v>0</v>
      </c>
      <c r="AJ867" s="408">
        <v>0</v>
      </c>
      <c r="AK867" s="408">
        <v>0</v>
      </c>
      <c r="AL867" s="408">
        <v>33382.373164487755</v>
      </c>
      <c r="AM867" s="408"/>
      <c r="AN867" s="408">
        <v>2811.3346198012568</v>
      </c>
      <c r="AO867" s="408">
        <v>0</v>
      </c>
      <c r="AP867" s="408">
        <v>0</v>
      </c>
      <c r="AQ867" s="408">
        <v>0</v>
      </c>
      <c r="AR867" s="408">
        <v>0</v>
      </c>
      <c r="AS867" s="408"/>
      <c r="AT867" s="408"/>
      <c r="AU867" s="408">
        <v>0</v>
      </c>
      <c r="AV867" s="408">
        <v>0</v>
      </c>
      <c r="AW867" s="408">
        <v>0</v>
      </c>
      <c r="AX867" s="408"/>
      <c r="AY867" s="408"/>
      <c r="AZ867" s="408">
        <v>0</v>
      </c>
      <c r="BA867" s="408"/>
      <c r="BB867" s="408">
        <v>0</v>
      </c>
      <c r="BC867" s="408">
        <v>0</v>
      </c>
      <c r="BD867" s="408">
        <v>0</v>
      </c>
      <c r="BE867" s="408">
        <v>0</v>
      </c>
      <c r="BF867" s="408"/>
      <c r="BG867" s="408">
        <v>26254.549364328024</v>
      </c>
      <c r="BH867" s="408">
        <v>0</v>
      </c>
      <c r="BI867" s="408">
        <v>5566.14</v>
      </c>
      <c r="BJ867" s="408">
        <v>0</v>
      </c>
      <c r="BK867" s="408">
        <v>167353.12</v>
      </c>
      <c r="BL867" s="408">
        <v>2</v>
      </c>
      <c r="BM867" s="408"/>
      <c r="BN867" s="408"/>
      <c r="BO867" s="408"/>
      <c r="BP867" s="408"/>
      <c r="BQ867" s="408"/>
      <c r="BR867" s="408"/>
      <c r="BS867" s="408"/>
      <c r="BT867" s="408"/>
      <c r="BU867" s="408"/>
      <c r="BV867" s="408">
        <v>26254.549364328024</v>
      </c>
      <c r="BW867" s="408"/>
      <c r="BX867" s="408"/>
      <c r="BY867" s="408"/>
      <c r="BZ867" s="408"/>
      <c r="CA867" s="408"/>
      <c r="CB867" s="408"/>
      <c r="CC867" s="408"/>
      <c r="CD867" s="408"/>
      <c r="CE867" s="408"/>
      <c r="CF867" s="408"/>
      <c r="CG867" s="408"/>
      <c r="CH867" s="408"/>
      <c r="CI867" s="408">
        <v>294293.598</v>
      </c>
      <c r="CJ867" s="408">
        <v>-4142.2829700000584</v>
      </c>
      <c r="CK867" s="408"/>
      <c r="CL867" s="408"/>
      <c r="CM867" s="408"/>
      <c r="CN867" s="408"/>
      <c r="CO867" s="408">
        <v>-4142.5044600000238</v>
      </c>
      <c r="CP867" s="408">
        <v>0</v>
      </c>
      <c r="CQ867" s="408"/>
      <c r="CR867" s="408">
        <v>-4144.1178108776221</v>
      </c>
      <c r="CS867" s="408">
        <v>0</v>
      </c>
      <c r="CT867" s="408">
        <v>0</v>
      </c>
      <c r="CU867" s="408">
        <v>0</v>
      </c>
      <c r="CV867" s="408">
        <v>0</v>
      </c>
      <c r="CW867" s="408"/>
      <c r="CX867" s="408"/>
      <c r="CY867" s="408"/>
      <c r="CZ867" s="408">
        <v>0</v>
      </c>
      <c r="DA867" s="408">
        <v>0</v>
      </c>
      <c r="DB867" s="408">
        <v>0</v>
      </c>
      <c r="DC867" s="408"/>
      <c r="DD867" s="408"/>
      <c r="DE867" s="408">
        <v>0</v>
      </c>
      <c r="DF867" s="408">
        <v>0</v>
      </c>
      <c r="DG867" s="408">
        <v>3327.2875189175575</v>
      </c>
      <c r="DH867" s="408">
        <v>0</v>
      </c>
      <c r="DI867" s="408">
        <v>-6382.9510028963268</v>
      </c>
      <c r="DJ867" s="408"/>
      <c r="DK867" s="408">
        <v>0</v>
      </c>
      <c r="DL867" s="408">
        <v>0</v>
      </c>
      <c r="DM867" s="408"/>
      <c r="DN867" s="408">
        <v>0</v>
      </c>
      <c r="DO867" s="408">
        <v>-1008.9176506535259</v>
      </c>
      <c r="DP867" s="408">
        <v>-79.536676245332274</v>
      </c>
      <c r="DQ867" s="408">
        <v>0</v>
      </c>
      <c r="DR867" s="408">
        <v>0</v>
      </c>
      <c r="DS867" s="408"/>
      <c r="DT867" s="408"/>
      <c r="DU867" s="408"/>
      <c r="DV867" s="408">
        <v>0</v>
      </c>
      <c r="DW867" s="408">
        <v>0</v>
      </c>
      <c r="DX867" s="408">
        <v>0</v>
      </c>
      <c r="DY867" s="408">
        <v>-4142.5044600000256</v>
      </c>
      <c r="DZ867" s="408"/>
      <c r="EA867" s="408">
        <v>0</v>
      </c>
      <c r="EB867" s="408"/>
      <c r="EC867" s="408">
        <v>0</v>
      </c>
      <c r="ED867" s="408"/>
      <c r="EE867" s="408">
        <v>0</v>
      </c>
      <c r="EF867" s="408">
        <v>0</v>
      </c>
      <c r="EG867" s="408"/>
      <c r="EH867" s="408">
        <v>0</v>
      </c>
      <c r="EI867" s="408">
        <v>0</v>
      </c>
      <c r="EJ867" s="408">
        <v>0</v>
      </c>
      <c r="EK867" s="408">
        <v>0</v>
      </c>
      <c r="EL867" s="408">
        <v>0</v>
      </c>
      <c r="EM867" s="408"/>
      <c r="EN867" s="408"/>
      <c r="EO867" s="408">
        <v>0</v>
      </c>
      <c r="EP867" s="408">
        <v>48004.821925375058</v>
      </c>
      <c r="EQ867" s="408"/>
      <c r="ER867" s="408">
        <v>0</v>
      </c>
      <c r="ES867" s="408"/>
      <c r="ET867" s="408">
        <v>0</v>
      </c>
      <c r="EU867" s="408"/>
      <c r="EV867" s="408">
        <v>240</v>
      </c>
      <c r="EW867" s="408"/>
      <c r="EX867" s="408"/>
      <c r="EY867" s="408"/>
      <c r="EZ867" s="408"/>
      <c r="FA867" s="408">
        <v>0</v>
      </c>
      <c r="FB867" s="408"/>
      <c r="FC867" s="408"/>
      <c r="FD867" s="408"/>
      <c r="FE867" s="408"/>
      <c r="FF867" s="408">
        <v>0</v>
      </c>
      <c r="FG867" s="408">
        <v>0</v>
      </c>
      <c r="FH867" s="408">
        <v>0</v>
      </c>
      <c r="FI867" s="408">
        <v>0</v>
      </c>
    </row>
    <row r="868" spans="1:165">
      <c r="A868" s="408">
        <v>866</v>
      </c>
      <c r="B868" s="408" t="s">
        <v>1036</v>
      </c>
      <c r="C868" s="408" t="s">
        <v>2243</v>
      </c>
      <c r="D868" s="408" t="s">
        <v>597</v>
      </c>
      <c r="E868" s="408" t="s">
        <v>970</v>
      </c>
      <c r="F868" s="408" t="s">
        <v>1322</v>
      </c>
      <c r="G868" s="408" t="s">
        <v>2318</v>
      </c>
      <c r="H868" s="408" t="s">
        <v>1322</v>
      </c>
      <c r="I868" s="408" t="s">
        <v>973</v>
      </c>
      <c r="J868" s="408" t="s">
        <v>2319</v>
      </c>
      <c r="K868" s="826">
        <v>44531</v>
      </c>
      <c r="L868" s="408">
        <v>0</v>
      </c>
      <c r="M868" s="408">
        <v>0</v>
      </c>
      <c r="N868" s="408">
        <v>34.651000000000003</v>
      </c>
      <c r="O868" s="408">
        <v>16.322921826399998</v>
      </c>
      <c r="P868" s="408">
        <v>0</v>
      </c>
      <c r="Q868" s="408">
        <v>0</v>
      </c>
      <c r="R868" s="408"/>
      <c r="S868" s="408">
        <v>1358.36</v>
      </c>
      <c r="T868" s="408"/>
      <c r="U868" s="408"/>
      <c r="V868" s="408">
        <v>47068.532360000005</v>
      </c>
      <c r="W868" s="408">
        <v>47068.532360000005</v>
      </c>
      <c r="X868" s="408">
        <v>39782.120080000001</v>
      </c>
      <c r="Y868" s="408">
        <v>0</v>
      </c>
      <c r="Z868" s="408">
        <v>1855.3638644460025</v>
      </c>
      <c r="AA868" s="408">
        <v>0</v>
      </c>
      <c r="AB868" s="408">
        <v>0</v>
      </c>
      <c r="AC868" s="408">
        <v>656.36230291470304</v>
      </c>
      <c r="AD868" s="408">
        <v>630.61893704216152</v>
      </c>
      <c r="AE868" s="408">
        <v>34945.800894849279</v>
      </c>
      <c r="AF868" s="408"/>
      <c r="AG868" s="408"/>
      <c r="AH868" s="408"/>
      <c r="AI868" s="408">
        <v>0</v>
      </c>
      <c r="AJ868" s="408">
        <v>0</v>
      </c>
      <c r="AK868" s="408">
        <v>0</v>
      </c>
      <c r="AL868" s="408">
        <v>329.49740813960278</v>
      </c>
      <c r="AM868" s="408"/>
      <c r="AN868" s="408">
        <v>27.748999930989903</v>
      </c>
      <c r="AO868" s="408">
        <v>1393.3451998231571</v>
      </c>
      <c r="AP868" s="408">
        <v>6496.9274019372087</v>
      </c>
      <c r="AQ868" s="408">
        <v>0</v>
      </c>
      <c r="AR868" s="408">
        <v>0</v>
      </c>
      <c r="AS868" s="408"/>
      <c r="AT868" s="408"/>
      <c r="AU868" s="408">
        <v>0</v>
      </c>
      <c r="AV868" s="408">
        <v>0</v>
      </c>
      <c r="AW868" s="408">
        <v>0</v>
      </c>
      <c r="AX868" s="408"/>
      <c r="AY868" s="408"/>
      <c r="AZ868" s="408">
        <v>0</v>
      </c>
      <c r="BA868" s="408"/>
      <c r="BB868" s="408">
        <v>0</v>
      </c>
      <c r="BC868" s="408">
        <v>0</v>
      </c>
      <c r="BD868" s="408">
        <v>0</v>
      </c>
      <c r="BE868" s="408">
        <v>0</v>
      </c>
      <c r="BF868" s="408"/>
      <c r="BG868" s="408">
        <v>259.14292925771042</v>
      </c>
      <c r="BH868" s="408">
        <v>0</v>
      </c>
      <c r="BI868" s="408">
        <v>0</v>
      </c>
      <c r="BJ868" s="408">
        <v>0</v>
      </c>
      <c r="BK868" s="408">
        <v>0</v>
      </c>
      <c r="BL868" s="408">
        <v>0</v>
      </c>
      <c r="BM868" s="408"/>
      <c r="BN868" s="408">
        <v>21042.099989546692</v>
      </c>
      <c r="BO868" s="408"/>
      <c r="BP868" s="408"/>
      <c r="BQ868" s="408"/>
      <c r="BR868" s="408"/>
      <c r="BS868" s="408"/>
      <c r="BT868" s="408"/>
      <c r="BU868" s="408"/>
      <c r="BV868" s="408">
        <v>259.14292925771042</v>
      </c>
      <c r="BW868" s="408"/>
      <c r="BX868" s="408"/>
      <c r="BY868" s="408"/>
      <c r="BZ868" s="408"/>
      <c r="CA868" s="408"/>
      <c r="CB868" s="408"/>
      <c r="CC868" s="408"/>
      <c r="CD868" s="408"/>
      <c r="CE868" s="408"/>
      <c r="CF868" s="408"/>
      <c r="CG868" s="408"/>
      <c r="CH868" s="408"/>
      <c r="CI868" s="408">
        <v>18736.6656</v>
      </c>
      <c r="CJ868" s="408">
        <v>-3435.7684921086948</v>
      </c>
      <c r="CK868" s="408"/>
      <c r="CL868" s="408"/>
      <c r="CM868" s="408"/>
      <c r="CN868" s="408"/>
      <c r="CO868" s="408">
        <v>-7286.4122799999996</v>
      </c>
      <c r="CP868" s="408">
        <v>0</v>
      </c>
      <c r="CQ868" s="408"/>
      <c r="CR868" s="408">
        <v>1394.6732530783338</v>
      </c>
      <c r="CS868" s="408">
        <v>138.84387096695377</v>
      </c>
      <c r="CT868" s="408">
        <v>647.40492879349222</v>
      </c>
      <c r="CU868" s="408">
        <v>0</v>
      </c>
      <c r="CV868" s="408">
        <v>0</v>
      </c>
      <c r="CW868" s="408"/>
      <c r="CX868" s="408"/>
      <c r="CY868" s="408"/>
      <c r="CZ868" s="408">
        <v>649.32855773793915</v>
      </c>
      <c r="DA868" s="408">
        <v>0</v>
      </c>
      <c r="DB868" s="408">
        <v>0</v>
      </c>
      <c r="DC868" s="408"/>
      <c r="DD868" s="408"/>
      <c r="DE868" s="408">
        <v>0</v>
      </c>
      <c r="DF868" s="408">
        <v>0</v>
      </c>
      <c r="DG868" s="408">
        <v>32.841661921893149</v>
      </c>
      <c r="DH868" s="408">
        <v>0</v>
      </c>
      <c r="DI868" s="408">
        <v>-63.002285708487989</v>
      </c>
      <c r="DJ868" s="408"/>
      <c r="DK868" s="408">
        <v>0</v>
      </c>
      <c r="DL868" s="408">
        <v>0</v>
      </c>
      <c r="DM868" s="408"/>
      <c r="DN868" s="408">
        <v>0</v>
      </c>
      <c r="DO868" s="408">
        <v>-9.9584217478665664</v>
      </c>
      <c r="DP868" s="408">
        <v>-0.78505888559040571</v>
      </c>
      <c r="DQ868" s="408">
        <v>0</v>
      </c>
      <c r="DR868" s="408">
        <v>0</v>
      </c>
      <c r="DS868" s="408"/>
      <c r="DT868" s="408"/>
      <c r="DU868" s="408"/>
      <c r="DV868" s="408">
        <v>34945.800894849279</v>
      </c>
      <c r="DW868" s="408">
        <v>0</v>
      </c>
      <c r="DX868" s="408">
        <v>0</v>
      </c>
      <c r="DY868" s="408">
        <v>-7286.4122800000041</v>
      </c>
      <c r="DZ868" s="408"/>
      <c r="EA868" s="408">
        <v>0</v>
      </c>
      <c r="EB868" s="408"/>
      <c r="EC868" s="408">
        <v>-8681.1297127390935</v>
      </c>
      <c r="ED868" s="408"/>
      <c r="EE868" s="408">
        <v>0</v>
      </c>
      <c r="EF868" s="408">
        <v>0</v>
      </c>
      <c r="EG868" s="408"/>
      <c r="EH868" s="408">
        <v>0</v>
      </c>
      <c r="EI868" s="408">
        <v>0</v>
      </c>
      <c r="EJ868" s="408">
        <v>0</v>
      </c>
      <c r="EK868" s="408">
        <v>0</v>
      </c>
      <c r="EL868" s="408">
        <v>0</v>
      </c>
      <c r="EM868" s="408"/>
      <c r="EN868" s="408"/>
      <c r="EO868" s="408">
        <v>0</v>
      </c>
      <c r="EP868" s="408">
        <v>473.82684043089284</v>
      </c>
      <c r="EQ868" s="408"/>
      <c r="ER868" s="408">
        <v>0</v>
      </c>
      <c r="ES868" s="408"/>
      <c r="ET868" s="408">
        <v>0</v>
      </c>
      <c r="EU868" s="408"/>
      <c r="EV868" s="408">
        <v>240</v>
      </c>
      <c r="EW868" s="408"/>
      <c r="EX868" s="408"/>
      <c r="EY868" s="408"/>
      <c r="EZ868" s="408"/>
      <c r="FA868" s="408">
        <v>0</v>
      </c>
      <c r="FB868" s="408"/>
      <c r="FC868" s="408"/>
      <c r="FD868" s="408"/>
      <c r="FE868" s="408"/>
      <c r="FF868" s="408">
        <v>0</v>
      </c>
      <c r="FG868" s="408">
        <v>0</v>
      </c>
      <c r="FH868" s="408">
        <v>0</v>
      </c>
      <c r="FI868" s="408">
        <v>0</v>
      </c>
    </row>
    <row r="869" spans="1:165">
      <c r="A869" s="408">
        <v>867</v>
      </c>
      <c r="B869" s="408" t="s">
        <v>1036</v>
      </c>
      <c r="C869" s="408" t="s">
        <v>2243</v>
      </c>
      <c r="D869" s="408" t="s">
        <v>597</v>
      </c>
      <c r="E869" s="408" t="s">
        <v>970</v>
      </c>
      <c r="F869" s="408" t="s">
        <v>1322</v>
      </c>
      <c r="G869" s="408" t="s">
        <v>2318</v>
      </c>
      <c r="H869" s="408" t="s">
        <v>1322</v>
      </c>
      <c r="I869" s="408" t="s">
        <v>2244</v>
      </c>
      <c r="J869" s="408" t="s">
        <v>2319</v>
      </c>
      <c r="K869" s="826">
        <v>44531</v>
      </c>
      <c r="L869" s="408">
        <v>0</v>
      </c>
      <c r="M869" s="408">
        <v>0</v>
      </c>
      <c r="N869" s="408">
        <v>344.28899999999999</v>
      </c>
      <c r="O869" s="408">
        <v>344.28899999999999</v>
      </c>
      <c r="P869" s="408">
        <v>0</v>
      </c>
      <c r="Q869" s="408">
        <v>0</v>
      </c>
      <c r="R869" s="408"/>
      <c r="S869" s="408">
        <v>85.01</v>
      </c>
      <c r="T869" s="408"/>
      <c r="U869" s="408"/>
      <c r="V869" s="408">
        <v>29268.007890000001</v>
      </c>
      <c r="W869" s="408">
        <v>29268.007890000001</v>
      </c>
      <c r="X869" s="408">
        <v>28861.746869999999</v>
      </c>
      <c r="Y869" s="408">
        <v>0</v>
      </c>
      <c r="Z869" s="408">
        <v>18434.716733319376</v>
      </c>
      <c r="AA869" s="408">
        <v>0</v>
      </c>
      <c r="AB869" s="408">
        <v>0</v>
      </c>
      <c r="AC869" s="408">
        <v>0</v>
      </c>
      <c r="AD869" s="408">
        <v>0</v>
      </c>
      <c r="AE869" s="408">
        <v>0</v>
      </c>
      <c r="AF869" s="408"/>
      <c r="AG869" s="408"/>
      <c r="AH869" s="408"/>
      <c r="AI869" s="408">
        <v>0</v>
      </c>
      <c r="AJ869" s="408">
        <v>0</v>
      </c>
      <c r="AK869" s="408">
        <v>0</v>
      </c>
      <c r="AL869" s="408">
        <v>3273.8545251500877</v>
      </c>
      <c r="AM869" s="408"/>
      <c r="AN869" s="408">
        <v>275.71139179938763</v>
      </c>
      <c r="AO869" s="408">
        <v>0</v>
      </c>
      <c r="AP869" s="408">
        <v>0</v>
      </c>
      <c r="AQ869" s="408">
        <v>0</v>
      </c>
      <c r="AR869" s="408">
        <v>0</v>
      </c>
      <c r="AS869" s="408"/>
      <c r="AT869" s="408"/>
      <c r="AU869" s="408">
        <v>0</v>
      </c>
      <c r="AV869" s="408">
        <v>0</v>
      </c>
      <c r="AW869" s="408">
        <v>0</v>
      </c>
      <c r="AX869" s="408"/>
      <c r="AY869" s="408"/>
      <c r="AZ869" s="408">
        <v>0</v>
      </c>
      <c r="BA869" s="408"/>
      <c r="BB869" s="408">
        <v>0</v>
      </c>
      <c r="BC869" s="408">
        <v>0</v>
      </c>
      <c r="BD869" s="408">
        <v>0</v>
      </c>
      <c r="BE869" s="408">
        <v>0</v>
      </c>
      <c r="BF869" s="408"/>
      <c r="BG869" s="408">
        <v>2574.8191963062495</v>
      </c>
      <c r="BH869" s="408">
        <v>0</v>
      </c>
      <c r="BI869" s="408">
        <v>0</v>
      </c>
      <c r="BJ869" s="408">
        <v>0</v>
      </c>
      <c r="BK869" s="408">
        <v>0</v>
      </c>
      <c r="BL869" s="408">
        <v>0</v>
      </c>
      <c r="BM869" s="408"/>
      <c r="BN869" s="408"/>
      <c r="BO869" s="408"/>
      <c r="BP869" s="408"/>
      <c r="BQ869" s="408"/>
      <c r="BR869" s="408"/>
      <c r="BS869" s="408"/>
      <c r="BT869" s="408"/>
      <c r="BU869" s="408"/>
      <c r="BV869" s="408">
        <v>2574.8191963062495</v>
      </c>
      <c r="BW869" s="408"/>
      <c r="BX869" s="408"/>
      <c r="BY869" s="408"/>
      <c r="BZ869" s="408"/>
      <c r="CA869" s="408"/>
      <c r="CB869" s="408"/>
      <c r="CC869" s="408"/>
      <c r="CD869" s="408"/>
      <c r="CE869" s="408"/>
      <c r="CF869" s="408"/>
      <c r="CG869" s="408"/>
      <c r="CH869" s="408"/>
      <c r="CI869" s="408">
        <v>28861.830700000002</v>
      </c>
      <c r="CJ869" s="408">
        <v>-406.20718999999372</v>
      </c>
      <c r="CK869" s="408"/>
      <c r="CL869" s="408"/>
      <c r="CM869" s="408"/>
      <c r="CN869" s="408"/>
      <c r="CO869" s="408">
        <v>-406.26102000000236</v>
      </c>
      <c r="CP869" s="408">
        <v>0</v>
      </c>
      <c r="CQ869" s="408"/>
      <c r="CR869" s="408">
        <v>-406.41924350452246</v>
      </c>
      <c r="CS869" s="408">
        <v>0</v>
      </c>
      <c r="CT869" s="408">
        <v>0</v>
      </c>
      <c r="CU869" s="408">
        <v>0</v>
      </c>
      <c r="CV869" s="408">
        <v>0</v>
      </c>
      <c r="CW869" s="408"/>
      <c r="CX869" s="408"/>
      <c r="CY869" s="408"/>
      <c r="CZ869" s="408">
        <v>0</v>
      </c>
      <c r="DA869" s="408">
        <v>0</v>
      </c>
      <c r="DB869" s="408">
        <v>0</v>
      </c>
      <c r="DC869" s="408"/>
      <c r="DD869" s="408"/>
      <c r="DE869" s="408">
        <v>0</v>
      </c>
      <c r="DF869" s="408">
        <v>0</v>
      </c>
      <c r="DG869" s="408">
        <v>326.31159104864673</v>
      </c>
      <c r="DH869" s="408">
        <v>0</v>
      </c>
      <c r="DI869" s="408">
        <v>-625.98464529998091</v>
      </c>
      <c r="DJ869" s="408"/>
      <c r="DK869" s="408">
        <v>0</v>
      </c>
      <c r="DL869" s="408">
        <v>0</v>
      </c>
      <c r="DM869" s="408"/>
      <c r="DN869" s="408">
        <v>0</v>
      </c>
      <c r="DO869" s="408">
        <v>-98.94591974694049</v>
      </c>
      <c r="DP869" s="408">
        <v>-7.8002695062489806</v>
      </c>
      <c r="DQ869" s="408">
        <v>0</v>
      </c>
      <c r="DR869" s="408">
        <v>0</v>
      </c>
      <c r="DS869" s="408"/>
      <c r="DT869" s="408"/>
      <c r="DU869" s="408"/>
      <c r="DV869" s="408">
        <v>0</v>
      </c>
      <c r="DW869" s="408">
        <v>0</v>
      </c>
      <c r="DX869" s="408">
        <v>0</v>
      </c>
      <c r="DY869" s="408">
        <v>-406.26102000000174</v>
      </c>
      <c r="DZ869" s="408"/>
      <c r="EA869" s="408">
        <v>0</v>
      </c>
      <c r="EB869" s="408"/>
      <c r="EC869" s="408">
        <v>0</v>
      </c>
      <c r="ED869" s="408"/>
      <c r="EE869" s="408">
        <v>0</v>
      </c>
      <c r="EF869" s="408">
        <v>0</v>
      </c>
      <c r="EG869" s="408"/>
      <c r="EH869" s="408">
        <v>0</v>
      </c>
      <c r="EI869" s="408">
        <v>0</v>
      </c>
      <c r="EJ869" s="408">
        <v>0</v>
      </c>
      <c r="EK869" s="408">
        <v>0</v>
      </c>
      <c r="EL869" s="408">
        <v>0</v>
      </c>
      <c r="EM869" s="408"/>
      <c r="EN869" s="408"/>
      <c r="EO869" s="408">
        <v>0</v>
      </c>
      <c r="EP869" s="408">
        <v>4707.8978691844868</v>
      </c>
      <c r="EQ869" s="408"/>
      <c r="ER869" s="408">
        <v>0</v>
      </c>
      <c r="ES869" s="408"/>
      <c r="ET869" s="408">
        <v>0</v>
      </c>
      <c r="EU869" s="408"/>
      <c r="EV869" s="408">
        <v>240</v>
      </c>
      <c r="EW869" s="408"/>
      <c r="EX869" s="408"/>
      <c r="EY869" s="408"/>
      <c r="EZ869" s="408"/>
      <c r="FA869" s="408">
        <v>0</v>
      </c>
      <c r="FB869" s="408"/>
      <c r="FC869" s="408"/>
      <c r="FD869" s="408"/>
      <c r="FE869" s="408"/>
      <c r="FF869" s="408">
        <v>0</v>
      </c>
      <c r="FG869" s="408">
        <v>0</v>
      </c>
      <c r="FH869" s="408">
        <v>0</v>
      </c>
      <c r="FI869" s="408">
        <v>0</v>
      </c>
    </row>
    <row r="870" spans="1:165">
      <c r="A870" s="408">
        <v>868</v>
      </c>
      <c r="B870" s="408" t="s">
        <v>1036</v>
      </c>
      <c r="C870" s="408" t="s">
        <v>2243</v>
      </c>
      <c r="D870" s="408" t="s">
        <v>597</v>
      </c>
      <c r="E870" s="408" t="s">
        <v>970</v>
      </c>
      <c r="F870" s="408" t="s">
        <v>1322</v>
      </c>
      <c r="G870" s="408" t="s">
        <v>2318</v>
      </c>
      <c r="H870" s="408" t="s">
        <v>1322</v>
      </c>
      <c r="I870" s="408" t="s">
        <v>1322</v>
      </c>
      <c r="J870" s="408" t="s">
        <v>2319</v>
      </c>
      <c r="K870" s="826">
        <v>44531</v>
      </c>
      <c r="L870" s="408">
        <v>2424</v>
      </c>
      <c r="M870" s="408">
        <v>1251.49864368</v>
      </c>
      <c r="N870" s="408">
        <v>0</v>
      </c>
      <c r="O870" s="408">
        <v>0</v>
      </c>
      <c r="P870" s="408">
        <v>0</v>
      </c>
      <c r="Q870" s="408">
        <v>0</v>
      </c>
      <c r="R870" s="408">
        <v>27.19</v>
      </c>
      <c r="S870" s="408"/>
      <c r="T870" s="408"/>
      <c r="U870" s="408">
        <v>65908.56</v>
      </c>
      <c r="V870" s="408"/>
      <c r="W870" s="408">
        <v>65908.56</v>
      </c>
      <c r="X870" s="408">
        <v>52746.240000000005</v>
      </c>
      <c r="Y870" s="408">
        <v>0</v>
      </c>
      <c r="Z870" s="408">
        <v>0</v>
      </c>
      <c r="AA870" s="408">
        <v>0</v>
      </c>
      <c r="AB870" s="408">
        <v>0</v>
      </c>
      <c r="AC870" s="408">
        <v>565.27828694841514</v>
      </c>
      <c r="AD870" s="408">
        <v>543.06045063390775</v>
      </c>
      <c r="AE870" s="408">
        <v>58011.241309418627</v>
      </c>
      <c r="AF870" s="408"/>
      <c r="AG870" s="408"/>
      <c r="AH870" s="408"/>
      <c r="AI870" s="408">
        <v>0</v>
      </c>
      <c r="AJ870" s="408">
        <v>0</v>
      </c>
      <c r="AK870" s="408">
        <v>0</v>
      </c>
      <c r="AL870" s="408">
        <v>0</v>
      </c>
      <c r="AM870" s="408"/>
      <c r="AN870" s="408">
        <v>0</v>
      </c>
      <c r="AO870" s="408">
        <v>1199.6008305632847</v>
      </c>
      <c r="AP870" s="408">
        <v>5594.8073554598523</v>
      </c>
      <c r="AQ870" s="408">
        <v>0</v>
      </c>
      <c r="AR870" s="408">
        <v>0</v>
      </c>
      <c r="AS870" s="408"/>
      <c r="AT870" s="408"/>
      <c r="AU870" s="408">
        <v>0</v>
      </c>
      <c r="AV870" s="408">
        <v>0</v>
      </c>
      <c r="AW870" s="408">
        <v>0</v>
      </c>
      <c r="AX870" s="408"/>
      <c r="AY870" s="408"/>
      <c r="AZ870" s="408">
        <v>0</v>
      </c>
      <c r="BA870" s="408"/>
      <c r="BB870" s="408">
        <v>0</v>
      </c>
      <c r="BC870" s="408">
        <v>0</v>
      </c>
      <c r="BD870" s="408">
        <v>0</v>
      </c>
      <c r="BE870" s="408">
        <v>0</v>
      </c>
      <c r="BF870" s="408"/>
      <c r="BG870" s="408">
        <v>0</v>
      </c>
      <c r="BH870" s="408">
        <v>0</v>
      </c>
      <c r="BI870" s="408">
        <v>818.86</v>
      </c>
      <c r="BJ870" s="408">
        <v>0</v>
      </c>
      <c r="BK870" s="408">
        <v>30972.95</v>
      </c>
      <c r="BL870" s="408">
        <v>4</v>
      </c>
      <c r="BM870" s="408"/>
      <c r="BN870" s="408">
        <v>25513.629513523203</v>
      </c>
      <c r="BO870" s="408"/>
      <c r="BP870" s="408"/>
      <c r="BQ870" s="408"/>
      <c r="BR870" s="408"/>
      <c r="BS870" s="408"/>
      <c r="BT870" s="408"/>
      <c r="BU870" s="408"/>
      <c r="BV870" s="408">
        <v>0</v>
      </c>
      <c r="BW870" s="408"/>
      <c r="BX870" s="408"/>
      <c r="BY870" s="408"/>
      <c r="BZ870" s="408"/>
      <c r="CA870" s="408"/>
      <c r="CB870" s="408"/>
      <c r="CC870" s="408"/>
      <c r="CD870" s="408"/>
      <c r="CE870" s="408"/>
      <c r="CF870" s="408"/>
      <c r="CG870" s="408"/>
      <c r="CH870" s="408"/>
      <c r="CI870" s="408">
        <v>27232.640000000003</v>
      </c>
      <c r="CJ870" s="408">
        <v>-6795.6381216592017</v>
      </c>
      <c r="CK870" s="408"/>
      <c r="CL870" s="408"/>
      <c r="CM870" s="408"/>
      <c r="CN870" s="408"/>
      <c r="CO870" s="408">
        <v>-13162.32</v>
      </c>
      <c r="CP870" s="408">
        <v>0</v>
      </c>
      <c r="CQ870" s="408"/>
      <c r="CR870" s="408">
        <v>1236.2205811871772</v>
      </c>
      <c r="CS870" s="408">
        <v>119.53765868768232</v>
      </c>
      <c r="CT870" s="408">
        <v>557.51059439185428</v>
      </c>
      <c r="CU870" s="408">
        <v>0</v>
      </c>
      <c r="CV870" s="408">
        <v>0</v>
      </c>
      <c r="CW870" s="408"/>
      <c r="CX870" s="408"/>
      <c r="CY870" s="408"/>
      <c r="CZ870" s="408">
        <v>559.17232810764131</v>
      </c>
      <c r="DA870" s="408">
        <v>0</v>
      </c>
      <c r="DB870" s="408">
        <v>0</v>
      </c>
      <c r="DC870" s="408"/>
      <c r="DD870" s="408"/>
      <c r="DE870" s="408">
        <v>0</v>
      </c>
      <c r="DF870" s="408">
        <v>0</v>
      </c>
      <c r="DG870" s="408">
        <v>0</v>
      </c>
      <c r="DH870" s="408">
        <v>0</v>
      </c>
      <c r="DI870" s="408">
        <v>0</v>
      </c>
      <c r="DJ870" s="408"/>
      <c r="DK870" s="408">
        <v>0</v>
      </c>
      <c r="DL870" s="408">
        <v>0</v>
      </c>
      <c r="DM870" s="408"/>
      <c r="DN870" s="408">
        <v>0</v>
      </c>
      <c r="DO870" s="408">
        <v>0</v>
      </c>
      <c r="DP870" s="408">
        <v>0</v>
      </c>
      <c r="DQ870" s="408">
        <v>0</v>
      </c>
      <c r="DR870" s="408">
        <v>0</v>
      </c>
      <c r="DS870" s="408"/>
      <c r="DT870" s="408"/>
      <c r="DU870" s="408">
        <v>58011.241309418627</v>
      </c>
      <c r="DV870" s="408"/>
      <c r="DW870" s="408">
        <v>0</v>
      </c>
      <c r="DX870" s="408">
        <v>0</v>
      </c>
      <c r="DY870" s="408">
        <v>-13162.319999999992</v>
      </c>
      <c r="DZ870" s="408"/>
      <c r="EA870" s="408">
        <v>0</v>
      </c>
      <c r="EB870" s="408"/>
      <c r="EC870" s="408">
        <v>-14410.976360776236</v>
      </c>
      <c r="ED870" s="408"/>
      <c r="EE870" s="408">
        <v>0</v>
      </c>
      <c r="EF870" s="408">
        <v>0</v>
      </c>
      <c r="EG870" s="408"/>
      <c r="EH870" s="408">
        <v>0</v>
      </c>
      <c r="EI870" s="408">
        <v>0</v>
      </c>
      <c r="EJ870" s="408">
        <v>0</v>
      </c>
      <c r="EK870" s="408">
        <v>0</v>
      </c>
      <c r="EL870" s="408">
        <v>0</v>
      </c>
      <c r="EM870" s="408"/>
      <c r="EN870" s="408"/>
      <c r="EO870" s="408">
        <v>0</v>
      </c>
      <c r="EP870" s="408">
        <v>0</v>
      </c>
      <c r="EQ870" s="408"/>
      <c r="ER870" s="408">
        <v>0</v>
      </c>
      <c r="ES870" s="408"/>
      <c r="ET870" s="408">
        <v>0</v>
      </c>
      <c r="EU870" s="408"/>
      <c r="EV870" s="408">
        <v>240</v>
      </c>
      <c r="EW870" s="408"/>
      <c r="EX870" s="408"/>
      <c r="EY870" s="408"/>
      <c r="EZ870" s="408"/>
      <c r="FA870" s="408">
        <v>0</v>
      </c>
      <c r="FB870" s="408"/>
      <c r="FC870" s="408"/>
      <c r="FD870" s="408"/>
      <c r="FE870" s="408"/>
      <c r="FF870" s="408">
        <v>0</v>
      </c>
      <c r="FG870" s="408">
        <v>0</v>
      </c>
      <c r="FH870" s="408">
        <v>0</v>
      </c>
      <c r="FI870" s="408">
        <v>0</v>
      </c>
    </row>
    <row r="871" spans="1:165">
      <c r="A871" s="408">
        <v>869</v>
      </c>
      <c r="B871" s="408" t="s">
        <v>1036</v>
      </c>
      <c r="C871" s="408" t="s">
        <v>993</v>
      </c>
      <c r="D871" s="408" t="s">
        <v>599</v>
      </c>
      <c r="E871" s="408" t="s">
        <v>1322</v>
      </c>
      <c r="F871" s="408" t="s">
        <v>1322</v>
      </c>
      <c r="G871" s="408" t="s">
        <v>1322</v>
      </c>
      <c r="H871" s="408" t="s">
        <v>2320</v>
      </c>
      <c r="I871" s="408" t="s">
        <v>1322</v>
      </c>
      <c r="J871" s="408" t="s">
        <v>2256</v>
      </c>
      <c r="K871" s="826">
        <v>44531</v>
      </c>
      <c r="L871" s="408">
        <v>7020</v>
      </c>
      <c r="M871" s="408">
        <v>3510</v>
      </c>
      <c r="N871" s="408">
        <v>0</v>
      </c>
      <c r="O871" s="408">
        <v>0</v>
      </c>
      <c r="P871" s="408">
        <v>0</v>
      </c>
      <c r="Q871" s="408">
        <v>0</v>
      </c>
      <c r="R871" s="408">
        <v>6.87</v>
      </c>
      <c r="S871" s="408"/>
      <c r="T871" s="408"/>
      <c r="U871" s="408">
        <v>48227.4</v>
      </c>
      <c r="V871" s="408"/>
      <c r="W871" s="408">
        <v>48227.4</v>
      </c>
      <c r="X871" s="408">
        <v>40084.199999999997</v>
      </c>
      <c r="Y871" s="408">
        <v>0</v>
      </c>
      <c r="Z871" s="408">
        <v>0</v>
      </c>
      <c r="AA871" s="408">
        <v>0</v>
      </c>
      <c r="AB871" s="408">
        <v>0</v>
      </c>
      <c r="AC871" s="408">
        <v>0</v>
      </c>
      <c r="AD871" s="408">
        <v>2031.0321998913851</v>
      </c>
      <c r="AE871" s="408">
        <v>42729.467006265557</v>
      </c>
      <c r="AF871" s="408"/>
      <c r="AG871" s="408"/>
      <c r="AH871" s="408"/>
      <c r="AI871" s="408">
        <v>0</v>
      </c>
      <c r="AJ871" s="408">
        <v>0</v>
      </c>
      <c r="AK871" s="408">
        <v>0</v>
      </c>
      <c r="AL871" s="408">
        <v>0</v>
      </c>
      <c r="AM871" s="408"/>
      <c r="AN871" s="408">
        <v>0</v>
      </c>
      <c r="AO871" s="408">
        <v>0</v>
      </c>
      <c r="AP871" s="408">
        <v>0</v>
      </c>
      <c r="AQ871" s="408">
        <v>0</v>
      </c>
      <c r="AR871" s="408">
        <v>0</v>
      </c>
      <c r="AS871" s="408"/>
      <c r="AT871" s="408"/>
      <c r="AU871" s="408">
        <v>0</v>
      </c>
      <c r="AV871" s="408">
        <v>0</v>
      </c>
      <c r="AW871" s="408">
        <v>0</v>
      </c>
      <c r="AX871" s="408"/>
      <c r="AY871" s="408"/>
      <c r="AZ871" s="408">
        <v>0</v>
      </c>
      <c r="BA871" s="408"/>
      <c r="BB871" s="408">
        <v>0</v>
      </c>
      <c r="BC871" s="408">
        <v>0</v>
      </c>
      <c r="BD871" s="408">
        <v>0</v>
      </c>
      <c r="BE871" s="408">
        <v>0</v>
      </c>
      <c r="BF871" s="408"/>
      <c r="BG871" s="408">
        <v>3436.1874076712338</v>
      </c>
      <c r="BH871" s="408">
        <v>0</v>
      </c>
      <c r="BI871" s="408">
        <v>270.37</v>
      </c>
      <c r="BJ871" s="408">
        <v>0</v>
      </c>
      <c r="BK871" s="408">
        <v>0</v>
      </c>
      <c r="BL871" s="408">
        <v>0</v>
      </c>
      <c r="BM871" s="408"/>
      <c r="BN871" s="408"/>
      <c r="BO871" s="408">
        <v>20042.099999999999</v>
      </c>
      <c r="BP871" s="408"/>
      <c r="BQ871" s="408"/>
      <c r="BR871" s="408"/>
      <c r="BS871" s="408"/>
      <c r="BT871" s="408"/>
      <c r="BU871" s="408"/>
      <c r="BV871" s="408">
        <v>3436.1874076712338</v>
      </c>
      <c r="BW871" s="408"/>
      <c r="BX871" s="408"/>
      <c r="BY871" s="408"/>
      <c r="BZ871" s="408"/>
      <c r="CA871" s="408"/>
      <c r="CB871" s="408"/>
      <c r="CC871" s="408"/>
      <c r="CD871" s="408"/>
      <c r="CE871" s="408"/>
      <c r="CF871" s="408"/>
      <c r="CG871" s="408"/>
      <c r="CH871" s="408"/>
      <c r="CI871" s="408">
        <v>20042.099999999999</v>
      </c>
      <c r="CJ871" s="408">
        <v>-4071.6299999999974</v>
      </c>
      <c r="CK871" s="408"/>
      <c r="CL871" s="408"/>
      <c r="CM871" s="408"/>
      <c r="CN871" s="408"/>
      <c r="CO871" s="408">
        <v>-8143.2000000000007</v>
      </c>
      <c r="CP871" s="408">
        <v>0</v>
      </c>
      <c r="CQ871" s="408"/>
      <c r="CR871" s="408">
        <v>2526.7645846364476</v>
      </c>
      <c r="CS871" s="408">
        <v>0</v>
      </c>
      <c r="CT871" s="408">
        <v>0</v>
      </c>
      <c r="CU871" s="408">
        <v>0</v>
      </c>
      <c r="CV871" s="408">
        <v>0</v>
      </c>
      <c r="CW871" s="408"/>
      <c r="CX871" s="408"/>
      <c r="CY871" s="408"/>
      <c r="CZ871" s="408">
        <v>2091.2902096795342</v>
      </c>
      <c r="DA871" s="408">
        <v>0</v>
      </c>
      <c r="DB871" s="408">
        <v>0</v>
      </c>
      <c r="DC871" s="408"/>
      <c r="DD871" s="408"/>
      <c r="DE871" s="408">
        <v>0</v>
      </c>
      <c r="DF871" s="408">
        <v>0</v>
      </c>
      <c r="DG871" s="408">
        <v>435.47437495691338</v>
      </c>
      <c r="DH871" s="408">
        <v>0</v>
      </c>
      <c r="DI871" s="408">
        <v>0</v>
      </c>
      <c r="DJ871" s="408"/>
      <c r="DK871" s="408">
        <v>0</v>
      </c>
      <c r="DL871" s="408">
        <v>0</v>
      </c>
      <c r="DM871" s="408"/>
      <c r="DN871" s="408">
        <v>0</v>
      </c>
      <c r="DO871" s="408">
        <v>0</v>
      </c>
      <c r="DP871" s="408">
        <v>0</v>
      </c>
      <c r="DQ871" s="408">
        <v>0</v>
      </c>
      <c r="DR871" s="408">
        <v>0</v>
      </c>
      <c r="DS871" s="408"/>
      <c r="DT871" s="408"/>
      <c r="DU871" s="408">
        <v>42729.467006265557</v>
      </c>
      <c r="DV871" s="408"/>
      <c r="DW871" s="408">
        <v>0</v>
      </c>
      <c r="DX871" s="408">
        <v>0</v>
      </c>
      <c r="DY871" s="408">
        <v>-8143.2000000000044</v>
      </c>
      <c r="DZ871" s="408"/>
      <c r="EA871" s="408">
        <v>0</v>
      </c>
      <c r="EB871" s="408"/>
      <c r="EC871" s="408">
        <v>-10614.724405765934</v>
      </c>
      <c r="ED871" s="408"/>
      <c r="EE871" s="408">
        <v>0</v>
      </c>
      <c r="EF871" s="408">
        <v>0</v>
      </c>
      <c r="EG871" s="408"/>
      <c r="EH871" s="408">
        <v>0</v>
      </c>
      <c r="EI871" s="408">
        <v>0</v>
      </c>
      <c r="EJ871" s="408">
        <v>0</v>
      </c>
      <c r="EK871" s="408">
        <v>0</v>
      </c>
      <c r="EL871" s="408">
        <v>0</v>
      </c>
      <c r="EM871" s="408"/>
      <c r="EN871" s="408"/>
      <c r="EO871" s="408">
        <v>0</v>
      </c>
      <c r="EP871" s="408">
        <v>0</v>
      </c>
      <c r="EQ871" s="408"/>
      <c r="ER871" s="408">
        <v>0</v>
      </c>
      <c r="ES871" s="408"/>
      <c r="ET871" s="408">
        <v>0</v>
      </c>
      <c r="EU871" s="408"/>
      <c r="EV871" s="408">
        <v>240</v>
      </c>
      <c r="EW871" s="408"/>
      <c r="EX871" s="408"/>
      <c r="EY871" s="408"/>
      <c r="EZ871" s="408"/>
      <c r="FA871" s="408">
        <v>0</v>
      </c>
      <c r="FB871" s="408"/>
      <c r="FC871" s="408"/>
      <c r="FD871" s="408"/>
      <c r="FE871" s="408"/>
      <c r="FF871" s="408">
        <v>0</v>
      </c>
      <c r="FG871" s="408">
        <v>0</v>
      </c>
      <c r="FH871" s="408">
        <v>0</v>
      </c>
      <c r="FI871" s="408">
        <v>0</v>
      </c>
    </row>
    <row r="872" spans="1:165">
      <c r="A872" s="408">
        <v>870</v>
      </c>
      <c r="B872" s="408" t="s">
        <v>1036</v>
      </c>
      <c r="C872" s="408" t="s">
        <v>2247</v>
      </c>
      <c r="D872" s="408" t="s">
        <v>597</v>
      </c>
      <c r="E872" s="408" t="s">
        <v>970</v>
      </c>
      <c r="F872" s="408" t="s">
        <v>1322</v>
      </c>
      <c r="G872" s="408" t="s">
        <v>2318</v>
      </c>
      <c r="H872" s="408" t="s">
        <v>1322</v>
      </c>
      <c r="I872" s="408" t="s">
        <v>973</v>
      </c>
      <c r="J872" s="408" t="s">
        <v>2319</v>
      </c>
      <c r="K872" s="826">
        <v>44562</v>
      </c>
      <c r="L872" s="408">
        <v>7800</v>
      </c>
      <c r="M872" s="408">
        <v>3900</v>
      </c>
      <c r="N872" s="408">
        <v>0</v>
      </c>
      <c r="O872" s="408">
        <v>0</v>
      </c>
      <c r="P872" s="408">
        <v>0</v>
      </c>
      <c r="Q872" s="408">
        <v>0</v>
      </c>
      <c r="R872" s="408">
        <v>52.95</v>
      </c>
      <c r="S872" s="408"/>
      <c r="T872" s="408"/>
      <c r="U872" s="408">
        <v>413010</v>
      </c>
      <c r="V872" s="408"/>
      <c r="W872" s="408">
        <v>413010</v>
      </c>
      <c r="X872" s="408">
        <v>345150</v>
      </c>
      <c r="Y872" s="408">
        <v>0</v>
      </c>
      <c r="Z872" s="408">
        <v>0</v>
      </c>
      <c r="AA872" s="408">
        <v>0</v>
      </c>
      <c r="AB872" s="408">
        <v>0</v>
      </c>
      <c r="AC872" s="408">
        <v>6143.7967769655443</v>
      </c>
      <c r="AD872" s="408">
        <v>5902.6636731637609</v>
      </c>
      <c r="AE872" s="408">
        <v>327082.9691133537</v>
      </c>
      <c r="AF872" s="408"/>
      <c r="AG872" s="408"/>
      <c r="AH872" s="408"/>
      <c r="AI872" s="408">
        <v>0</v>
      </c>
      <c r="AJ872" s="408">
        <v>0</v>
      </c>
      <c r="AK872" s="408">
        <v>0</v>
      </c>
      <c r="AL872" s="408">
        <v>0</v>
      </c>
      <c r="AM872" s="408"/>
      <c r="AN872" s="408">
        <v>0</v>
      </c>
      <c r="AO872" s="408">
        <v>13041.996884625618</v>
      </c>
      <c r="AP872" s="408">
        <v>60812.114336929255</v>
      </c>
      <c r="AQ872" s="408">
        <v>0</v>
      </c>
      <c r="AR872" s="408">
        <v>0</v>
      </c>
      <c r="AS872" s="408"/>
      <c r="AT872" s="408"/>
      <c r="AU872" s="408">
        <v>0</v>
      </c>
      <c r="AV872" s="408">
        <v>0</v>
      </c>
      <c r="AW872" s="408">
        <v>0</v>
      </c>
      <c r="AX872" s="408"/>
      <c r="AY872" s="408"/>
      <c r="AZ872" s="408">
        <v>0</v>
      </c>
      <c r="BA872" s="408"/>
      <c r="BB872" s="408">
        <v>0</v>
      </c>
      <c r="BC872" s="408">
        <v>0</v>
      </c>
      <c r="BD872" s="408">
        <v>0</v>
      </c>
      <c r="BE872" s="408">
        <v>0</v>
      </c>
      <c r="BF872" s="408"/>
      <c r="BG872" s="408">
        <v>0</v>
      </c>
      <c r="BH872" s="408">
        <v>0</v>
      </c>
      <c r="BI872" s="408">
        <v>0</v>
      </c>
      <c r="BJ872" s="408">
        <v>0</v>
      </c>
      <c r="BK872" s="408">
        <v>0</v>
      </c>
      <c r="BL872" s="408">
        <v>0</v>
      </c>
      <c r="BM872" s="408"/>
      <c r="BN872" s="408">
        <v>172575</v>
      </c>
      <c r="BO872" s="408"/>
      <c r="BP872" s="408"/>
      <c r="BQ872" s="408"/>
      <c r="BR872" s="408"/>
      <c r="BS872" s="408"/>
      <c r="BT872" s="408"/>
      <c r="BU872" s="408"/>
      <c r="BV872" s="408">
        <v>0</v>
      </c>
      <c r="BW872" s="408"/>
      <c r="BX872" s="408"/>
      <c r="BY872" s="408"/>
      <c r="BZ872" s="408"/>
      <c r="CA872" s="408"/>
      <c r="CB872" s="408"/>
      <c r="CC872" s="408"/>
      <c r="CD872" s="408"/>
      <c r="CE872" s="408"/>
      <c r="CF872" s="408"/>
      <c r="CG872" s="408"/>
      <c r="CH872" s="408"/>
      <c r="CI872" s="408">
        <v>172575</v>
      </c>
      <c r="CJ872" s="408">
        <v>-33930.030000000028</v>
      </c>
      <c r="CK872" s="408"/>
      <c r="CL872" s="408"/>
      <c r="CM872" s="408"/>
      <c r="CN872" s="408"/>
      <c r="CO872" s="408">
        <v>-67860.000000000029</v>
      </c>
      <c r="CP872" s="408">
        <v>0</v>
      </c>
      <c r="CQ872" s="408">
        <v>31</v>
      </c>
      <c r="CR872" s="408">
        <v>13437.192136518745</v>
      </c>
      <c r="CS872" s="408">
        <v>1299.6071130329037</v>
      </c>
      <c r="CT872" s="408">
        <v>6059.7972112697025</v>
      </c>
      <c r="CU872" s="408">
        <v>0</v>
      </c>
      <c r="CV872" s="408">
        <v>0</v>
      </c>
      <c r="CW872" s="408"/>
      <c r="CX872" s="408"/>
      <c r="CY872" s="408"/>
      <c r="CZ872" s="408">
        <v>6077.7878122161492</v>
      </c>
      <c r="DA872" s="408">
        <v>0</v>
      </c>
      <c r="DB872" s="408">
        <v>0</v>
      </c>
      <c r="DC872" s="408"/>
      <c r="DD872" s="408"/>
      <c r="DE872" s="408">
        <v>0</v>
      </c>
      <c r="DF872" s="408">
        <v>0</v>
      </c>
      <c r="DG872" s="408">
        <v>0</v>
      </c>
      <c r="DH872" s="408">
        <v>0</v>
      </c>
      <c r="DI872" s="408">
        <v>0</v>
      </c>
      <c r="DJ872" s="408"/>
      <c r="DK872" s="408">
        <v>0</v>
      </c>
      <c r="DL872" s="408">
        <v>0</v>
      </c>
      <c r="DM872" s="408"/>
      <c r="DN872" s="408">
        <v>0</v>
      </c>
      <c r="DO872" s="408">
        <v>0</v>
      </c>
      <c r="DP872" s="408">
        <v>0</v>
      </c>
      <c r="DQ872" s="408">
        <v>0</v>
      </c>
      <c r="DR872" s="408">
        <v>0</v>
      </c>
      <c r="DS872" s="408"/>
      <c r="DT872" s="408"/>
      <c r="DU872" s="408">
        <v>327082.9691133537</v>
      </c>
      <c r="DV872" s="408"/>
      <c r="DW872" s="408">
        <v>0</v>
      </c>
      <c r="DX872" s="408">
        <v>0</v>
      </c>
      <c r="DY872" s="408">
        <v>-67860</v>
      </c>
      <c r="DZ872" s="408"/>
      <c r="EA872" s="408">
        <v>0</v>
      </c>
      <c r="EB872" s="408"/>
      <c r="EC872" s="408">
        <v>-81252.957694248587</v>
      </c>
      <c r="ED872" s="408"/>
      <c r="EE872" s="408">
        <v>0</v>
      </c>
      <c r="EF872" s="408">
        <v>0</v>
      </c>
      <c r="EG872" s="408"/>
      <c r="EH872" s="408">
        <v>0</v>
      </c>
      <c r="EI872" s="408">
        <v>0</v>
      </c>
      <c r="EJ872" s="408">
        <v>0</v>
      </c>
      <c r="EK872" s="408">
        <v>0</v>
      </c>
      <c r="EL872" s="408">
        <v>0</v>
      </c>
      <c r="EM872" s="408"/>
      <c r="EN872" s="408"/>
      <c r="EO872" s="408">
        <v>0</v>
      </c>
      <c r="EP872" s="408">
        <v>0</v>
      </c>
      <c r="EQ872" s="408"/>
      <c r="ER872" s="408">
        <v>0</v>
      </c>
      <c r="ES872" s="408"/>
      <c r="ET872" s="408">
        <v>0</v>
      </c>
      <c r="EU872" s="408"/>
      <c r="EV872" s="408">
        <v>240</v>
      </c>
      <c r="EW872" s="408"/>
      <c r="EX872" s="408"/>
      <c r="EY872" s="408"/>
      <c r="EZ872" s="408"/>
      <c r="FA872" s="408">
        <v>0</v>
      </c>
      <c r="FB872" s="408"/>
      <c r="FC872" s="408"/>
      <c r="FD872" s="408"/>
      <c r="FE872" s="408"/>
      <c r="FF872" s="408">
        <v>0</v>
      </c>
      <c r="FG872" s="408">
        <v>0</v>
      </c>
      <c r="FH872" s="408">
        <v>0</v>
      </c>
      <c r="FI872" s="408">
        <v>0</v>
      </c>
    </row>
    <row r="873" spans="1:165">
      <c r="A873" s="408">
        <v>871</v>
      </c>
      <c r="B873" s="408" t="s">
        <v>1036</v>
      </c>
      <c r="C873" s="408" t="s">
        <v>2247</v>
      </c>
      <c r="D873" s="408" t="s">
        <v>597</v>
      </c>
      <c r="E873" s="408" t="s">
        <v>970</v>
      </c>
      <c r="F873" s="408" t="s">
        <v>1322</v>
      </c>
      <c r="G873" s="408" t="s">
        <v>2318</v>
      </c>
      <c r="H873" s="408" t="s">
        <v>1322</v>
      </c>
      <c r="I873" s="408" t="s">
        <v>2244</v>
      </c>
      <c r="J873" s="408" t="s">
        <v>2319</v>
      </c>
      <c r="K873" s="826">
        <v>44562</v>
      </c>
      <c r="L873" s="408">
        <v>8500</v>
      </c>
      <c r="M873" s="408">
        <v>4250</v>
      </c>
      <c r="N873" s="408">
        <v>0</v>
      </c>
      <c r="O873" s="408">
        <v>0</v>
      </c>
      <c r="P873" s="408">
        <v>0</v>
      </c>
      <c r="Q873" s="408">
        <v>0</v>
      </c>
      <c r="R873" s="408">
        <v>27.19</v>
      </c>
      <c r="S873" s="408"/>
      <c r="T873" s="408"/>
      <c r="U873" s="408">
        <v>231115</v>
      </c>
      <c r="V873" s="408"/>
      <c r="W873" s="408">
        <v>231115</v>
      </c>
      <c r="X873" s="408">
        <v>184960</v>
      </c>
      <c r="Y873" s="408">
        <v>0</v>
      </c>
      <c r="Z873" s="408">
        <v>0</v>
      </c>
      <c r="AA873" s="408">
        <v>0</v>
      </c>
      <c r="AB873" s="408">
        <v>0</v>
      </c>
      <c r="AC873" s="408">
        <v>1982.205214134294</v>
      </c>
      <c r="AD873" s="408">
        <v>1904.296134648604</v>
      </c>
      <c r="AE873" s="408">
        <v>203422.25706685573</v>
      </c>
      <c r="AF873" s="408"/>
      <c r="AG873" s="408"/>
      <c r="AH873" s="408"/>
      <c r="AI873" s="408">
        <v>0</v>
      </c>
      <c r="AJ873" s="408">
        <v>0</v>
      </c>
      <c r="AK873" s="408">
        <v>0</v>
      </c>
      <c r="AL873" s="408">
        <v>0</v>
      </c>
      <c r="AM873" s="408"/>
      <c r="AN873" s="408">
        <v>0</v>
      </c>
      <c r="AO873" s="408">
        <v>4206.5210642689435</v>
      </c>
      <c r="AP873" s="408">
        <v>19618.755165597664</v>
      </c>
      <c r="AQ873" s="408">
        <v>0</v>
      </c>
      <c r="AR873" s="408">
        <v>0</v>
      </c>
      <c r="AS873" s="408"/>
      <c r="AT873" s="408"/>
      <c r="AU873" s="408">
        <v>0</v>
      </c>
      <c r="AV873" s="408">
        <v>0</v>
      </c>
      <c r="AW873" s="408">
        <v>0</v>
      </c>
      <c r="AX873" s="408"/>
      <c r="AY873" s="408"/>
      <c r="AZ873" s="408">
        <v>0</v>
      </c>
      <c r="BA873" s="408"/>
      <c r="BB873" s="408">
        <v>0</v>
      </c>
      <c r="BC873" s="408">
        <v>0</v>
      </c>
      <c r="BD873" s="408">
        <v>0</v>
      </c>
      <c r="BE873" s="408">
        <v>0</v>
      </c>
      <c r="BF873" s="408"/>
      <c r="BG873" s="408">
        <v>0</v>
      </c>
      <c r="BH873" s="408">
        <v>0</v>
      </c>
      <c r="BI873" s="408">
        <v>0</v>
      </c>
      <c r="BJ873" s="408">
        <v>0</v>
      </c>
      <c r="BK873" s="408">
        <v>0</v>
      </c>
      <c r="BL873" s="408">
        <v>0</v>
      </c>
      <c r="BM873" s="408"/>
      <c r="BN873" s="408">
        <v>92480</v>
      </c>
      <c r="BO873" s="408"/>
      <c r="BP873" s="408"/>
      <c r="BQ873" s="408"/>
      <c r="BR873" s="408"/>
      <c r="BS873" s="408"/>
      <c r="BT873" s="408"/>
      <c r="BU873" s="408"/>
      <c r="BV873" s="408">
        <v>0</v>
      </c>
      <c r="BW873" s="408"/>
      <c r="BX873" s="408"/>
      <c r="BY873" s="408"/>
      <c r="BZ873" s="408"/>
      <c r="CA873" s="408"/>
      <c r="CB873" s="408"/>
      <c r="CC873" s="408"/>
      <c r="CD873" s="408"/>
      <c r="CE873" s="408"/>
      <c r="CF873" s="408"/>
      <c r="CG873" s="408"/>
      <c r="CH873" s="408"/>
      <c r="CI873" s="408">
        <v>92480</v>
      </c>
      <c r="CJ873" s="408">
        <v>-23077.529999999984</v>
      </c>
      <c r="CK873" s="408"/>
      <c r="CL873" s="408"/>
      <c r="CM873" s="408"/>
      <c r="CN873" s="408"/>
      <c r="CO873" s="408">
        <v>-46155</v>
      </c>
      <c r="CP873" s="408">
        <v>0</v>
      </c>
      <c r="CQ873" s="408">
        <v>31</v>
      </c>
      <c r="CR873" s="408">
        <v>4334.9319059781446</v>
      </c>
      <c r="CS873" s="408">
        <v>419.17083285697208</v>
      </c>
      <c r="CT873" s="408">
        <v>1954.9670182882692</v>
      </c>
      <c r="CU873" s="408">
        <v>0</v>
      </c>
      <c r="CV873" s="408">
        <v>0</v>
      </c>
      <c r="CW873" s="408"/>
      <c r="CX873" s="408"/>
      <c r="CY873" s="408"/>
      <c r="CZ873" s="408">
        <v>1960.7940548329007</v>
      </c>
      <c r="DA873" s="408">
        <v>0</v>
      </c>
      <c r="DB873" s="408">
        <v>0</v>
      </c>
      <c r="DC873" s="408"/>
      <c r="DD873" s="408"/>
      <c r="DE873" s="408">
        <v>0</v>
      </c>
      <c r="DF873" s="408">
        <v>0</v>
      </c>
      <c r="DG873" s="408">
        <v>0</v>
      </c>
      <c r="DH873" s="408">
        <v>0</v>
      </c>
      <c r="DI873" s="408">
        <v>0</v>
      </c>
      <c r="DJ873" s="408"/>
      <c r="DK873" s="408">
        <v>0</v>
      </c>
      <c r="DL873" s="408">
        <v>0</v>
      </c>
      <c r="DM873" s="408"/>
      <c r="DN873" s="408">
        <v>0</v>
      </c>
      <c r="DO873" s="408">
        <v>0</v>
      </c>
      <c r="DP873" s="408">
        <v>0</v>
      </c>
      <c r="DQ873" s="408">
        <v>0</v>
      </c>
      <c r="DR873" s="408">
        <v>0</v>
      </c>
      <c r="DS873" s="408"/>
      <c r="DT873" s="408"/>
      <c r="DU873" s="408">
        <v>203422.25706685573</v>
      </c>
      <c r="DV873" s="408"/>
      <c r="DW873" s="408">
        <v>0</v>
      </c>
      <c r="DX873" s="408">
        <v>0</v>
      </c>
      <c r="DY873" s="408">
        <v>-46155</v>
      </c>
      <c r="DZ873" s="408"/>
      <c r="EA873" s="408">
        <v>0</v>
      </c>
      <c r="EB873" s="408"/>
      <c r="EC873" s="408">
        <v>-50533.539218893537</v>
      </c>
      <c r="ED873" s="408"/>
      <c r="EE873" s="408">
        <v>0</v>
      </c>
      <c r="EF873" s="408">
        <v>0</v>
      </c>
      <c r="EG873" s="408"/>
      <c r="EH873" s="408">
        <v>0</v>
      </c>
      <c r="EI873" s="408">
        <v>0</v>
      </c>
      <c r="EJ873" s="408">
        <v>0</v>
      </c>
      <c r="EK873" s="408">
        <v>0</v>
      </c>
      <c r="EL873" s="408">
        <v>0</v>
      </c>
      <c r="EM873" s="408"/>
      <c r="EN873" s="408"/>
      <c r="EO873" s="408">
        <v>0</v>
      </c>
      <c r="EP873" s="408">
        <v>0</v>
      </c>
      <c r="EQ873" s="408"/>
      <c r="ER873" s="408">
        <v>0</v>
      </c>
      <c r="ES873" s="408"/>
      <c r="ET873" s="408">
        <v>0</v>
      </c>
      <c r="EU873" s="408"/>
      <c r="EV873" s="408">
        <v>240</v>
      </c>
      <c r="EW873" s="408"/>
      <c r="EX873" s="408"/>
      <c r="EY873" s="408"/>
      <c r="EZ873" s="408"/>
      <c r="FA873" s="408">
        <v>0</v>
      </c>
      <c r="FB873" s="408"/>
      <c r="FC873" s="408"/>
      <c r="FD873" s="408"/>
      <c r="FE873" s="408"/>
      <c r="FF873" s="408">
        <v>0</v>
      </c>
      <c r="FG873" s="408">
        <v>0</v>
      </c>
      <c r="FH873" s="408">
        <v>0</v>
      </c>
      <c r="FI873" s="408">
        <v>0</v>
      </c>
    </row>
    <row r="874" spans="1:165">
      <c r="A874" s="408">
        <v>872</v>
      </c>
      <c r="B874" s="408" t="s">
        <v>1036</v>
      </c>
      <c r="C874" s="408" t="s">
        <v>2247</v>
      </c>
      <c r="D874" s="408" t="s">
        <v>597</v>
      </c>
      <c r="E874" s="408" t="s">
        <v>970</v>
      </c>
      <c r="F874" s="408" t="s">
        <v>1322</v>
      </c>
      <c r="G874" s="408" t="s">
        <v>2318</v>
      </c>
      <c r="H874" s="408" t="s">
        <v>1322</v>
      </c>
      <c r="I874" s="408" t="s">
        <v>1322</v>
      </c>
      <c r="J874" s="408" t="s">
        <v>2319</v>
      </c>
      <c r="K874" s="826">
        <v>44562</v>
      </c>
      <c r="L874" s="408">
        <v>0</v>
      </c>
      <c r="M874" s="408">
        <v>0</v>
      </c>
      <c r="N874" s="408">
        <v>3520.4</v>
      </c>
      <c r="O874" s="408">
        <v>3520.4</v>
      </c>
      <c r="P874" s="408">
        <v>0</v>
      </c>
      <c r="Q874" s="408">
        <v>0</v>
      </c>
      <c r="R874" s="408"/>
      <c r="S874" s="408">
        <v>85.01</v>
      </c>
      <c r="T874" s="408"/>
      <c r="U874" s="408"/>
      <c r="V874" s="408">
        <v>299269.20400000003</v>
      </c>
      <c r="W874" s="408">
        <v>299269.20400000003</v>
      </c>
      <c r="X874" s="408">
        <v>295115.13199999998</v>
      </c>
      <c r="Y874" s="408">
        <v>0</v>
      </c>
      <c r="Z874" s="408">
        <v>188497.38675350512</v>
      </c>
      <c r="AA874" s="408">
        <v>0</v>
      </c>
      <c r="AB874" s="408">
        <v>0</v>
      </c>
      <c r="AC874" s="408">
        <v>0</v>
      </c>
      <c r="AD874" s="408">
        <v>0</v>
      </c>
      <c r="AE874" s="408">
        <v>0</v>
      </c>
      <c r="AF874" s="408"/>
      <c r="AG874" s="408"/>
      <c r="AH874" s="408"/>
      <c r="AI874" s="408">
        <v>0</v>
      </c>
      <c r="AJ874" s="408">
        <v>0</v>
      </c>
      <c r="AK874" s="408">
        <v>0</v>
      </c>
      <c r="AL874" s="408">
        <v>33475.590188296374</v>
      </c>
      <c r="AM874" s="408"/>
      <c r="AN874" s="408">
        <v>2819.1849977506231</v>
      </c>
      <c r="AO874" s="408">
        <v>0</v>
      </c>
      <c r="AP874" s="408">
        <v>0</v>
      </c>
      <c r="AQ874" s="408">
        <v>0</v>
      </c>
      <c r="AR874" s="408">
        <v>0</v>
      </c>
      <c r="AS874" s="408"/>
      <c r="AT874" s="408"/>
      <c r="AU874" s="408">
        <v>0</v>
      </c>
      <c r="AV874" s="408">
        <v>0</v>
      </c>
      <c r="AW874" s="408">
        <v>0</v>
      </c>
      <c r="AX874" s="408"/>
      <c r="AY874" s="408"/>
      <c r="AZ874" s="408">
        <v>0</v>
      </c>
      <c r="BA874" s="408"/>
      <c r="BB874" s="408">
        <v>0</v>
      </c>
      <c r="BC874" s="408">
        <v>0</v>
      </c>
      <c r="BD874" s="408">
        <v>0</v>
      </c>
      <c r="BE874" s="408">
        <v>0</v>
      </c>
      <c r="BF874" s="408"/>
      <c r="BG874" s="408">
        <v>26327.862634811223</v>
      </c>
      <c r="BH874" s="408">
        <v>0</v>
      </c>
      <c r="BI874" s="408">
        <v>5569.62</v>
      </c>
      <c r="BJ874" s="408">
        <v>0</v>
      </c>
      <c r="BK874" s="408">
        <v>157884.98000000001</v>
      </c>
      <c r="BL874" s="408">
        <v>2</v>
      </c>
      <c r="BM874" s="408"/>
      <c r="BN874" s="408"/>
      <c r="BO874" s="408"/>
      <c r="BP874" s="408"/>
      <c r="BQ874" s="408"/>
      <c r="BR874" s="408"/>
      <c r="BS874" s="408"/>
      <c r="BT874" s="408"/>
      <c r="BU874" s="408"/>
      <c r="BV874" s="408">
        <v>26327.862634811223</v>
      </c>
      <c r="BW874" s="408"/>
      <c r="BX874" s="408"/>
      <c r="BY874" s="408"/>
      <c r="BZ874" s="408"/>
      <c r="CA874" s="408"/>
      <c r="CB874" s="408"/>
      <c r="CC874" s="408"/>
      <c r="CD874" s="408"/>
      <c r="CE874" s="408"/>
      <c r="CF874" s="408"/>
      <c r="CG874" s="408"/>
      <c r="CH874" s="408"/>
      <c r="CI874" s="408">
        <v>295115.13199999998</v>
      </c>
      <c r="CJ874" s="408">
        <v>-4154.1020000000717</v>
      </c>
      <c r="CK874" s="408"/>
      <c r="CL874" s="408"/>
      <c r="CM874" s="408"/>
      <c r="CN874" s="408"/>
      <c r="CO874" s="408">
        <v>-4154.0720000000238</v>
      </c>
      <c r="CP874" s="408">
        <v>0</v>
      </c>
      <c r="CQ874" s="408">
        <v>31</v>
      </c>
      <c r="CR874" s="408">
        <v>-4155.6898560026893</v>
      </c>
      <c r="CS874" s="408">
        <v>0</v>
      </c>
      <c r="CT874" s="408">
        <v>0</v>
      </c>
      <c r="CU874" s="408">
        <v>0</v>
      </c>
      <c r="CV874" s="408">
        <v>0</v>
      </c>
      <c r="CW874" s="408"/>
      <c r="CX874" s="408"/>
      <c r="CY874" s="408"/>
      <c r="CZ874" s="408">
        <v>0</v>
      </c>
      <c r="DA874" s="408">
        <v>0</v>
      </c>
      <c r="DB874" s="408">
        <v>0</v>
      </c>
      <c r="DC874" s="408"/>
      <c r="DD874" s="408"/>
      <c r="DE874" s="408">
        <v>0</v>
      </c>
      <c r="DF874" s="408">
        <v>0</v>
      </c>
      <c r="DG874" s="408">
        <v>3336.5786450559171</v>
      </c>
      <c r="DH874" s="408">
        <v>0</v>
      </c>
      <c r="DI874" s="408">
        <v>-6400.7747715263686</v>
      </c>
      <c r="DJ874" s="408"/>
      <c r="DK874" s="408">
        <v>0</v>
      </c>
      <c r="DL874" s="408">
        <v>0</v>
      </c>
      <c r="DM874" s="408"/>
      <c r="DN874" s="408">
        <v>0</v>
      </c>
      <c r="DO874" s="408">
        <v>-1011.7349548696911</v>
      </c>
      <c r="DP874" s="408">
        <v>-79.758774662562701</v>
      </c>
      <c r="DQ874" s="408">
        <v>0</v>
      </c>
      <c r="DR874" s="408">
        <v>0</v>
      </c>
      <c r="DS874" s="408"/>
      <c r="DT874" s="408"/>
      <c r="DU874" s="408"/>
      <c r="DV874" s="408">
        <v>0</v>
      </c>
      <c r="DW874" s="408">
        <v>0</v>
      </c>
      <c r="DX874" s="408">
        <v>0</v>
      </c>
      <c r="DY874" s="408">
        <v>-4154.0720000000438</v>
      </c>
      <c r="DZ874" s="408"/>
      <c r="EA874" s="408">
        <v>0</v>
      </c>
      <c r="EB874" s="408"/>
      <c r="EC874" s="408">
        <v>0</v>
      </c>
      <c r="ED874" s="408"/>
      <c r="EE874" s="408">
        <v>0</v>
      </c>
      <c r="EF874" s="408">
        <v>0</v>
      </c>
      <c r="EG874" s="408"/>
      <c r="EH874" s="408">
        <v>0</v>
      </c>
      <c r="EI874" s="408">
        <v>0</v>
      </c>
      <c r="EJ874" s="408">
        <v>0</v>
      </c>
      <c r="EK874" s="408">
        <v>0</v>
      </c>
      <c r="EL874" s="408">
        <v>0</v>
      </c>
      <c r="EM874" s="408"/>
      <c r="EN874" s="408"/>
      <c r="EO874" s="408">
        <v>0</v>
      </c>
      <c r="EP874" s="408">
        <v>48138.870712329088</v>
      </c>
      <c r="EQ874" s="408"/>
      <c r="ER874" s="408">
        <v>0</v>
      </c>
      <c r="ES874" s="408"/>
      <c r="ET874" s="408">
        <v>0</v>
      </c>
      <c r="EU874" s="408"/>
      <c r="EV874" s="408">
        <v>240</v>
      </c>
      <c r="EW874" s="408"/>
      <c r="EX874" s="408"/>
      <c r="EY874" s="408"/>
      <c r="EZ874" s="408"/>
      <c r="FA874" s="408">
        <v>0</v>
      </c>
      <c r="FB874" s="408"/>
      <c r="FC874" s="408"/>
      <c r="FD874" s="408"/>
      <c r="FE874" s="408"/>
      <c r="FF874" s="408">
        <v>0</v>
      </c>
      <c r="FG874" s="408">
        <v>0</v>
      </c>
      <c r="FH874" s="408">
        <v>0</v>
      </c>
      <c r="FI874" s="408">
        <v>0</v>
      </c>
    </row>
    <row r="875" spans="1:165">
      <c r="A875" s="408">
        <v>873</v>
      </c>
      <c r="B875" s="408" t="s">
        <v>1036</v>
      </c>
      <c r="C875" s="408" t="s">
        <v>2243</v>
      </c>
      <c r="D875" s="408" t="s">
        <v>597</v>
      </c>
      <c r="E875" s="408" t="s">
        <v>970</v>
      </c>
      <c r="F875" s="408" t="s">
        <v>1322</v>
      </c>
      <c r="G875" s="408" t="s">
        <v>2318</v>
      </c>
      <c r="H875" s="408" t="s">
        <v>1322</v>
      </c>
      <c r="I875" s="408" t="s">
        <v>973</v>
      </c>
      <c r="J875" s="408" t="s">
        <v>2319</v>
      </c>
      <c r="K875" s="826">
        <v>44562</v>
      </c>
      <c r="L875" s="408">
        <v>0</v>
      </c>
      <c r="M875" s="408">
        <v>0</v>
      </c>
      <c r="N875" s="408">
        <v>42.618000000000002</v>
      </c>
      <c r="O875" s="408">
        <v>20.061930835919998</v>
      </c>
      <c r="P875" s="408">
        <v>0</v>
      </c>
      <c r="Q875" s="408">
        <v>0</v>
      </c>
      <c r="R875" s="408"/>
      <c r="S875" s="408">
        <v>1358.36</v>
      </c>
      <c r="T875" s="408"/>
      <c r="U875" s="408"/>
      <c r="V875" s="408">
        <v>57890.586479999998</v>
      </c>
      <c r="W875" s="408">
        <v>57890.586479999998</v>
      </c>
      <c r="X875" s="408">
        <v>48928.873439999996</v>
      </c>
      <c r="Y875" s="408">
        <v>0</v>
      </c>
      <c r="Z875" s="408">
        <v>2281.9513773039662</v>
      </c>
      <c r="AA875" s="408">
        <v>0</v>
      </c>
      <c r="AB875" s="408">
        <v>0</v>
      </c>
      <c r="AC875" s="408">
        <v>807.27392068392862</v>
      </c>
      <c r="AD875" s="408">
        <v>775.61160886735843</v>
      </c>
      <c r="AE875" s="408">
        <v>42980.581874597745</v>
      </c>
      <c r="AF875" s="408"/>
      <c r="AG875" s="408"/>
      <c r="AH875" s="408"/>
      <c r="AI875" s="408">
        <v>0</v>
      </c>
      <c r="AJ875" s="408">
        <v>0</v>
      </c>
      <c r="AK875" s="408">
        <v>0</v>
      </c>
      <c r="AL875" s="408">
        <v>405.25585235905436</v>
      </c>
      <c r="AM875" s="408"/>
      <c r="AN875" s="408">
        <v>34.129083693368955</v>
      </c>
      <c r="AO875" s="408">
        <v>1713.7048202378951</v>
      </c>
      <c r="AP875" s="408">
        <v>7990.7088400265484</v>
      </c>
      <c r="AQ875" s="408">
        <v>0</v>
      </c>
      <c r="AR875" s="408">
        <v>0</v>
      </c>
      <c r="AS875" s="408"/>
      <c r="AT875" s="408"/>
      <c r="AU875" s="408">
        <v>0</v>
      </c>
      <c r="AV875" s="408">
        <v>0</v>
      </c>
      <c r="AW875" s="408">
        <v>0</v>
      </c>
      <c r="AX875" s="408"/>
      <c r="AY875" s="408"/>
      <c r="AZ875" s="408">
        <v>0</v>
      </c>
      <c r="BA875" s="408"/>
      <c r="BB875" s="408">
        <v>0</v>
      </c>
      <c r="BC875" s="408">
        <v>0</v>
      </c>
      <c r="BD875" s="408">
        <v>0</v>
      </c>
      <c r="BE875" s="408">
        <v>0</v>
      </c>
      <c r="BF875" s="408"/>
      <c r="BG875" s="408">
        <v>318.72538625451222</v>
      </c>
      <c r="BH875" s="408">
        <v>0</v>
      </c>
      <c r="BI875" s="408">
        <v>0</v>
      </c>
      <c r="BJ875" s="408">
        <v>0</v>
      </c>
      <c r="BK875" s="408">
        <v>0</v>
      </c>
      <c r="BL875" s="408">
        <v>0</v>
      </c>
      <c r="BM875" s="408"/>
      <c r="BN875" s="408">
        <v>25896.171885896969</v>
      </c>
      <c r="BO875" s="408"/>
      <c r="BP875" s="408"/>
      <c r="BQ875" s="408"/>
      <c r="BR875" s="408"/>
      <c r="BS875" s="408"/>
      <c r="BT875" s="408"/>
      <c r="BU875" s="408"/>
      <c r="BV875" s="408">
        <v>318.72538625451222</v>
      </c>
      <c r="BW875" s="408"/>
      <c r="BX875" s="408"/>
      <c r="BY875" s="408"/>
      <c r="BZ875" s="408"/>
      <c r="CA875" s="408"/>
      <c r="CB875" s="408"/>
      <c r="CC875" s="408"/>
      <c r="CD875" s="408"/>
      <c r="CE875" s="408"/>
      <c r="CF875" s="408"/>
      <c r="CG875" s="408"/>
      <c r="CH875" s="408"/>
      <c r="CI875" s="408">
        <v>23030.484799999998</v>
      </c>
      <c r="CJ875" s="408">
        <v>-4220.8695702802834</v>
      </c>
      <c r="CK875" s="408"/>
      <c r="CL875" s="408"/>
      <c r="CM875" s="408"/>
      <c r="CN875" s="408"/>
      <c r="CO875" s="408">
        <v>-8961.7130399999987</v>
      </c>
      <c r="CP875" s="408">
        <v>0</v>
      </c>
      <c r="CQ875" s="408">
        <v>31</v>
      </c>
      <c r="CR875" s="408">
        <v>1715.3382211102835</v>
      </c>
      <c r="CS875" s="408">
        <v>170.76702239097381</v>
      </c>
      <c r="CT875" s="408">
        <v>796.25705622698024</v>
      </c>
      <c r="CU875" s="408">
        <v>0</v>
      </c>
      <c r="CV875" s="408">
        <v>0</v>
      </c>
      <c r="CW875" s="408"/>
      <c r="CX875" s="408"/>
      <c r="CY875" s="408"/>
      <c r="CZ875" s="408">
        <v>798.62296827437854</v>
      </c>
      <c r="DA875" s="408">
        <v>0</v>
      </c>
      <c r="DB875" s="408">
        <v>0</v>
      </c>
      <c r="DC875" s="408"/>
      <c r="DD875" s="408"/>
      <c r="DE875" s="408">
        <v>0</v>
      </c>
      <c r="DF875" s="408">
        <v>0</v>
      </c>
      <c r="DG875" s="408">
        <v>40.392656713723738</v>
      </c>
      <c r="DH875" s="408">
        <v>0</v>
      </c>
      <c r="DI875" s="408">
        <v>-77.487847748242075</v>
      </c>
      <c r="DJ875" s="408"/>
      <c r="DK875" s="408">
        <v>0</v>
      </c>
      <c r="DL875" s="408">
        <v>0</v>
      </c>
      <c r="DM875" s="408"/>
      <c r="DN875" s="408">
        <v>0</v>
      </c>
      <c r="DO875" s="408">
        <v>-12.248074169593394</v>
      </c>
      <c r="DP875" s="408">
        <v>-0.96556057793691252</v>
      </c>
      <c r="DQ875" s="408">
        <v>0</v>
      </c>
      <c r="DR875" s="408">
        <v>0</v>
      </c>
      <c r="DS875" s="408"/>
      <c r="DT875" s="408"/>
      <c r="DU875" s="408"/>
      <c r="DV875" s="408">
        <v>42980.581874597745</v>
      </c>
      <c r="DW875" s="408">
        <v>0</v>
      </c>
      <c r="DX875" s="408">
        <v>0</v>
      </c>
      <c r="DY875" s="408">
        <v>-8961.7130400000024</v>
      </c>
      <c r="DZ875" s="408"/>
      <c r="EA875" s="408">
        <v>0</v>
      </c>
      <c r="EB875" s="408"/>
      <c r="EC875" s="408">
        <v>-10677.105598612292</v>
      </c>
      <c r="ED875" s="408"/>
      <c r="EE875" s="408">
        <v>0</v>
      </c>
      <c r="EF875" s="408">
        <v>0</v>
      </c>
      <c r="EG875" s="408"/>
      <c r="EH875" s="408">
        <v>0</v>
      </c>
      <c r="EI875" s="408">
        <v>0</v>
      </c>
      <c r="EJ875" s="408">
        <v>0</v>
      </c>
      <c r="EK875" s="408">
        <v>0</v>
      </c>
      <c r="EL875" s="408">
        <v>0</v>
      </c>
      <c r="EM875" s="408"/>
      <c r="EN875" s="408"/>
      <c r="EO875" s="408">
        <v>0</v>
      </c>
      <c r="EP875" s="408">
        <v>582.76968299569398</v>
      </c>
      <c r="EQ875" s="408"/>
      <c r="ER875" s="408">
        <v>0</v>
      </c>
      <c r="ES875" s="408"/>
      <c r="ET875" s="408">
        <v>0</v>
      </c>
      <c r="EU875" s="408"/>
      <c r="EV875" s="408">
        <v>240</v>
      </c>
      <c r="EW875" s="408"/>
      <c r="EX875" s="408"/>
      <c r="EY875" s="408"/>
      <c r="EZ875" s="408"/>
      <c r="FA875" s="408">
        <v>0</v>
      </c>
      <c r="FB875" s="408"/>
      <c r="FC875" s="408"/>
      <c r="FD875" s="408"/>
      <c r="FE875" s="408"/>
      <c r="FF875" s="408">
        <v>0</v>
      </c>
      <c r="FG875" s="408">
        <v>0</v>
      </c>
      <c r="FH875" s="408">
        <v>0</v>
      </c>
      <c r="FI875" s="408">
        <v>0</v>
      </c>
    </row>
    <row r="876" spans="1:165">
      <c r="A876" s="408">
        <v>874</v>
      </c>
      <c r="B876" s="408" t="s">
        <v>1036</v>
      </c>
      <c r="C876" s="408" t="s">
        <v>2243</v>
      </c>
      <c r="D876" s="408" t="s">
        <v>597</v>
      </c>
      <c r="E876" s="408" t="s">
        <v>970</v>
      </c>
      <c r="F876" s="408" t="s">
        <v>1322</v>
      </c>
      <c r="G876" s="408" t="s">
        <v>2318</v>
      </c>
      <c r="H876" s="408" t="s">
        <v>1322</v>
      </c>
      <c r="I876" s="408" t="s">
        <v>2244</v>
      </c>
      <c r="J876" s="408" t="s">
        <v>2319</v>
      </c>
      <c r="K876" s="826">
        <v>44562</v>
      </c>
      <c r="L876" s="408">
        <v>0</v>
      </c>
      <c r="M876" s="408">
        <v>0</v>
      </c>
      <c r="N876" s="408">
        <v>504.87700000000001</v>
      </c>
      <c r="O876" s="408">
        <v>504.87700000000001</v>
      </c>
      <c r="P876" s="408">
        <v>0</v>
      </c>
      <c r="Q876" s="408">
        <v>0</v>
      </c>
      <c r="R876" s="408"/>
      <c r="S876" s="408">
        <v>85.01</v>
      </c>
      <c r="T876" s="408"/>
      <c r="U876" s="408"/>
      <c r="V876" s="408">
        <v>42919.593770000007</v>
      </c>
      <c r="W876" s="408">
        <v>42919.593770000007</v>
      </c>
      <c r="X876" s="408">
        <v>42323.838909999999</v>
      </c>
      <c r="Y876" s="408">
        <v>0</v>
      </c>
      <c r="Z876" s="408">
        <v>27033.290288589196</v>
      </c>
      <c r="AA876" s="408">
        <v>0</v>
      </c>
      <c r="AB876" s="408">
        <v>0</v>
      </c>
      <c r="AC876" s="408">
        <v>0</v>
      </c>
      <c r="AD876" s="408">
        <v>0</v>
      </c>
      <c r="AE876" s="408">
        <v>0</v>
      </c>
      <c r="AF876" s="408"/>
      <c r="AG876" s="408"/>
      <c r="AH876" s="408"/>
      <c r="AI876" s="408">
        <v>0</v>
      </c>
      <c r="AJ876" s="408">
        <v>0</v>
      </c>
      <c r="AK876" s="408">
        <v>0</v>
      </c>
      <c r="AL876" s="408">
        <v>4800.8906793252208</v>
      </c>
      <c r="AM876" s="408"/>
      <c r="AN876" s="408">
        <v>404.31248270348294</v>
      </c>
      <c r="AO876" s="408">
        <v>0</v>
      </c>
      <c r="AP876" s="408">
        <v>0</v>
      </c>
      <c r="AQ876" s="408">
        <v>0</v>
      </c>
      <c r="AR876" s="408">
        <v>0</v>
      </c>
      <c r="AS876" s="408"/>
      <c r="AT876" s="408"/>
      <c r="AU876" s="408">
        <v>0</v>
      </c>
      <c r="AV876" s="408">
        <v>0</v>
      </c>
      <c r="AW876" s="408">
        <v>0</v>
      </c>
      <c r="AX876" s="408"/>
      <c r="AY876" s="408"/>
      <c r="AZ876" s="408">
        <v>0</v>
      </c>
      <c r="BA876" s="408"/>
      <c r="BB876" s="408">
        <v>0</v>
      </c>
      <c r="BC876" s="408">
        <v>0</v>
      </c>
      <c r="BD876" s="408">
        <v>0</v>
      </c>
      <c r="BE876" s="408">
        <v>0</v>
      </c>
      <c r="BF876" s="408"/>
      <c r="BG876" s="408">
        <v>3775.8016996578758</v>
      </c>
      <c r="BH876" s="408">
        <v>0</v>
      </c>
      <c r="BI876" s="408">
        <v>0</v>
      </c>
      <c r="BJ876" s="408">
        <v>0</v>
      </c>
      <c r="BK876" s="408">
        <v>0</v>
      </c>
      <c r="BL876" s="408">
        <v>0</v>
      </c>
      <c r="BM876" s="408"/>
      <c r="BN876" s="408"/>
      <c r="BO876" s="408"/>
      <c r="BP876" s="408"/>
      <c r="BQ876" s="408"/>
      <c r="BR876" s="408"/>
      <c r="BS876" s="408"/>
      <c r="BT876" s="408"/>
      <c r="BU876" s="408"/>
      <c r="BV876" s="408">
        <v>3775.8016996578758</v>
      </c>
      <c r="BW876" s="408"/>
      <c r="BX876" s="408"/>
      <c r="BY876" s="408"/>
      <c r="BZ876" s="408"/>
      <c r="CA876" s="408"/>
      <c r="CB876" s="408"/>
      <c r="CC876" s="408"/>
      <c r="CD876" s="408"/>
      <c r="CE876" s="408"/>
      <c r="CF876" s="408"/>
      <c r="CG876" s="408"/>
      <c r="CH876" s="408"/>
      <c r="CI876" s="408">
        <v>42324.090400000001</v>
      </c>
      <c r="CJ876" s="408">
        <v>-595.53337000001193</v>
      </c>
      <c r="CK876" s="408"/>
      <c r="CL876" s="408"/>
      <c r="CM876" s="408"/>
      <c r="CN876" s="408"/>
      <c r="CO876" s="408">
        <v>-595.75486000000342</v>
      </c>
      <c r="CP876" s="408">
        <v>0</v>
      </c>
      <c r="CQ876" s="408">
        <v>31</v>
      </c>
      <c r="CR876" s="408">
        <v>-595.98688428277092</v>
      </c>
      <c r="CS876" s="408">
        <v>0</v>
      </c>
      <c r="CT876" s="408">
        <v>0</v>
      </c>
      <c r="CU876" s="408">
        <v>0</v>
      </c>
      <c r="CV876" s="408">
        <v>0</v>
      </c>
      <c r="CW876" s="408"/>
      <c r="CX876" s="408"/>
      <c r="CY876" s="408"/>
      <c r="CZ876" s="408">
        <v>0</v>
      </c>
      <c r="DA876" s="408">
        <v>0</v>
      </c>
      <c r="DB876" s="408">
        <v>0</v>
      </c>
      <c r="DC876" s="408"/>
      <c r="DD876" s="408"/>
      <c r="DE876" s="408">
        <v>0</v>
      </c>
      <c r="DF876" s="408">
        <v>0</v>
      </c>
      <c r="DG876" s="408">
        <v>478.5143212645994</v>
      </c>
      <c r="DH876" s="408">
        <v>0</v>
      </c>
      <c r="DI876" s="408">
        <v>-917.96499384272101</v>
      </c>
      <c r="DJ876" s="408"/>
      <c r="DK876" s="408">
        <v>0</v>
      </c>
      <c r="DL876" s="408">
        <v>0</v>
      </c>
      <c r="DM876" s="408"/>
      <c r="DN876" s="408">
        <v>0</v>
      </c>
      <c r="DO876" s="408">
        <v>-145.09763345351166</v>
      </c>
      <c r="DP876" s="408">
        <v>-11.438578251139234</v>
      </c>
      <c r="DQ876" s="408">
        <v>0</v>
      </c>
      <c r="DR876" s="408">
        <v>0</v>
      </c>
      <c r="DS876" s="408"/>
      <c r="DT876" s="408"/>
      <c r="DU876" s="408"/>
      <c r="DV876" s="408">
        <v>0</v>
      </c>
      <c r="DW876" s="408">
        <v>0</v>
      </c>
      <c r="DX876" s="408">
        <v>0</v>
      </c>
      <c r="DY876" s="408">
        <v>-595.75486000000819</v>
      </c>
      <c r="DZ876" s="408"/>
      <c r="EA876" s="408">
        <v>0</v>
      </c>
      <c r="EB876" s="408"/>
      <c r="EC876" s="408">
        <v>0</v>
      </c>
      <c r="ED876" s="408"/>
      <c r="EE876" s="408">
        <v>0</v>
      </c>
      <c r="EF876" s="408">
        <v>0</v>
      </c>
      <c r="EG876" s="408"/>
      <c r="EH876" s="408">
        <v>0</v>
      </c>
      <c r="EI876" s="408">
        <v>0</v>
      </c>
      <c r="EJ876" s="408">
        <v>0</v>
      </c>
      <c r="EK876" s="408">
        <v>0</v>
      </c>
      <c r="EL876" s="408">
        <v>0</v>
      </c>
      <c r="EM876" s="408"/>
      <c r="EN876" s="408"/>
      <c r="EO876" s="408">
        <v>0</v>
      </c>
      <c r="EP876" s="408">
        <v>6903.8201990195921</v>
      </c>
      <c r="EQ876" s="408"/>
      <c r="ER876" s="408">
        <v>0</v>
      </c>
      <c r="ES876" s="408"/>
      <c r="ET876" s="408">
        <v>0</v>
      </c>
      <c r="EU876" s="408"/>
      <c r="EV876" s="408">
        <v>240</v>
      </c>
      <c r="EW876" s="408"/>
      <c r="EX876" s="408"/>
      <c r="EY876" s="408"/>
      <c r="EZ876" s="408"/>
      <c r="FA876" s="408">
        <v>0</v>
      </c>
      <c r="FB876" s="408"/>
      <c r="FC876" s="408"/>
      <c r="FD876" s="408"/>
      <c r="FE876" s="408"/>
      <c r="FF876" s="408">
        <v>0</v>
      </c>
      <c r="FG876" s="408">
        <v>0</v>
      </c>
      <c r="FH876" s="408">
        <v>0</v>
      </c>
      <c r="FI876" s="408">
        <v>0</v>
      </c>
    </row>
    <row r="877" spans="1:165">
      <c r="A877" s="408">
        <v>875</v>
      </c>
      <c r="B877" s="408" t="s">
        <v>1036</v>
      </c>
      <c r="C877" s="408" t="s">
        <v>2243</v>
      </c>
      <c r="D877" s="408" t="s">
        <v>597</v>
      </c>
      <c r="E877" s="408" t="s">
        <v>970</v>
      </c>
      <c r="F877" s="408" t="s">
        <v>1322</v>
      </c>
      <c r="G877" s="408" t="s">
        <v>2318</v>
      </c>
      <c r="H877" s="408" t="s">
        <v>1322</v>
      </c>
      <c r="I877" s="408" t="s">
        <v>1322</v>
      </c>
      <c r="J877" s="408" t="s">
        <v>2319</v>
      </c>
      <c r="K877" s="826">
        <v>44562</v>
      </c>
      <c r="L877" s="408">
        <v>2431</v>
      </c>
      <c r="M877" s="408">
        <v>1258.4995523099999</v>
      </c>
      <c r="N877" s="408">
        <v>0</v>
      </c>
      <c r="O877" s="408">
        <v>0</v>
      </c>
      <c r="P877" s="408">
        <v>0</v>
      </c>
      <c r="Q877" s="408">
        <v>0</v>
      </c>
      <c r="R877" s="408">
        <v>27.19</v>
      </c>
      <c r="S877" s="408"/>
      <c r="T877" s="408"/>
      <c r="U877" s="408">
        <v>66098.89</v>
      </c>
      <c r="V877" s="408"/>
      <c r="W877" s="408">
        <v>66098.89</v>
      </c>
      <c r="X877" s="408">
        <v>52898.560000000005</v>
      </c>
      <c r="Y877" s="408">
        <v>0</v>
      </c>
      <c r="Z877" s="408">
        <v>0</v>
      </c>
      <c r="AA877" s="408">
        <v>0</v>
      </c>
      <c r="AB877" s="408">
        <v>0</v>
      </c>
      <c r="AC877" s="408">
        <v>566.91069124240812</v>
      </c>
      <c r="AD877" s="408">
        <v>544.62869450950075</v>
      </c>
      <c r="AE877" s="408">
        <v>58178.765521120738</v>
      </c>
      <c r="AF877" s="408"/>
      <c r="AG877" s="408"/>
      <c r="AH877" s="408"/>
      <c r="AI877" s="408">
        <v>0</v>
      </c>
      <c r="AJ877" s="408">
        <v>0</v>
      </c>
      <c r="AK877" s="408">
        <v>0</v>
      </c>
      <c r="AL877" s="408">
        <v>0</v>
      </c>
      <c r="AM877" s="408"/>
      <c r="AN877" s="408">
        <v>0</v>
      </c>
      <c r="AO877" s="408">
        <v>1203.065024380918</v>
      </c>
      <c r="AP877" s="408">
        <v>5610.9639773609324</v>
      </c>
      <c r="AQ877" s="408">
        <v>0</v>
      </c>
      <c r="AR877" s="408">
        <v>0</v>
      </c>
      <c r="AS877" s="408"/>
      <c r="AT877" s="408"/>
      <c r="AU877" s="408">
        <v>0</v>
      </c>
      <c r="AV877" s="408">
        <v>0</v>
      </c>
      <c r="AW877" s="408">
        <v>0</v>
      </c>
      <c r="AX877" s="408"/>
      <c r="AY877" s="408"/>
      <c r="AZ877" s="408">
        <v>0</v>
      </c>
      <c r="BA877" s="408"/>
      <c r="BB877" s="408">
        <v>0</v>
      </c>
      <c r="BC877" s="408">
        <v>0</v>
      </c>
      <c r="BD877" s="408">
        <v>0</v>
      </c>
      <c r="BE877" s="408">
        <v>0</v>
      </c>
      <c r="BF877" s="408"/>
      <c r="BG877" s="408">
        <v>0</v>
      </c>
      <c r="BH877" s="408">
        <v>0</v>
      </c>
      <c r="BI877" s="408">
        <v>974.77</v>
      </c>
      <c r="BJ877" s="408">
        <v>0</v>
      </c>
      <c r="BK877" s="408">
        <v>32923.160000000003</v>
      </c>
      <c r="BL877" s="408">
        <v>4</v>
      </c>
      <c r="BM877" s="408"/>
      <c r="BN877" s="408">
        <v>25513.609741734403</v>
      </c>
      <c r="BO877" s="408"/>
      <c r="BP877" s="408"/>
      <c r="BQ877" s="408"/>
      <c r="BR877" s="408"/>
      <c r="BS877" s="408"/>
      <c r="BT877" s="408"/>
      <c r="BU877" s="408"/>
      <c r="BV877" s="408">
        <v>0</v>
      </c>
      <c r="BW877" s="408"/>
      <c r="BX877" s="408"/>
      <c r="BY877" s="408"/>
      <c r="BZ877" s="408"/>
      <c r="CA877" s="408"/>
      <c r="CB877" s="408"/>
      <c r="CC877" s="408"/>
      <c r="CD877" s="408"/>
      <c r="CE877" s="408"/>
      <c r="CF877" s="408"/>
      <c r="CG877" s="408"/>
      <c r="CH877" s="408"/>
      <c r="CI877" s="408">
        <v>27384.960000000003</v>
      </c>
      <c r="CJ877" s="408">
        <v>-6833.6728273088993</v>
      </c>
      <c r="CK877" s="408"/>
      <c r="CL877" s="408"/>
      <c r="CM877" s="408"/>
      <c r="CN877" s="408"/>
      <c r="CO877" s="408">
        <v>-13200.33</v>
      </c>
      <c r="CP877" s="408">
        <v>0</v>
      </c>
      <c r="CQ877" s="408">
        <v>31</v>
      </c>
      <c r="CR877" s="408">
        <v>1239.7905251097482</v>
      </c>
      <c r="CS877" s="408">
        <v>119.88285819709381</v>
      </c>
      <c r="CT877" s="408">
        <v>559.12056723044498</v>
      </c>
      <c r="CU877" s="408">
        <v>0</v>
      </c>
      <c r="CV877" s="408">
        <v>0</v>
      </c>
      <c r="CW877" s="408"/>
      <c r="CX877" s="408"/>
      <c r="CY877" s="408"/>
      <c r="CZ877" s="408">
        <v>560.7870996822096</v>
      </c>
      <c r="DA877" s="408">
        <v>0</v>
      </c>
      <c r="DB877" s="408">
        <v>0</v>
      </c>
      <c r="DC877" s="408"/>
      <c r="DD877" s="408"/>
      <c r="DE877" s="408">
        <v>0</v>
      </c>
      <c r="DF877" s="408">
        <v>0</v>
      </c>
      <c r="DG877" s="408">
        <v>0</v>
      </c>
      <c r="DH877" s="408">
        <v>0</v>
      </c>
      <c r="DI877" s="408">
        <v>0</v>
      </c>
      <c r="DJ877" s="408"/>
      <c r="DK877" s="408">
        <v>0</v>
      </c>
      <c r="DL877" s="408">
        <v>0</v>
      </c>
      <c r="DM877" s="408"/>
      <c r="DN877" s="408">
        <v>0</v>
      </c>
      <c r="DO877" s="408">
        <v>0</v>
      </c>
      <c r="DP877" s="408">
        <v>0</v>
      </c>
      <c r="DQ877" s="408">
        <v>0</v>
      </c>
      <c r="DR877" s="408">
        <v>0</v>
      </c>
      <c r="DS877" s="408"/>
      <c r="DT877" s="408"/>
      <c r="DU877" s="408">
        <v>58178.765521120738</v>
      </c>
      <c r="DV877" s="408"/>
      <c r="DW877" s="408">
        <v>0</v>
      </c>
      <c r="DX877" s="408">
        <v>0</v>
      </c>
      <c r="DY877" s="408">
        <v>-13200.329999999994</v>
      </c>
      <c r="DZ877" s="408"/>
      <c r="EA877" s="408">
        <v>0</v>
      </c>
      <c r="EB877" s="408"/>
      <c r="EC877" s="408">
        <v>-14452.592216603553</v>
      </c>
      <c r="ED877" s="408"/>
      <c r="EE877" s="408">
        <v>0</v>
      </c>
      <c r="EF877" s="408">
        <v>0</v>
      </c>
      <c r="EG877" s="408"/>
      <c r="EH877" s="408">
        <v>0</v>
      </c>
      <c r="EI877" s="408">
        <v>0</v>
      </c>
      <c r="EJ877" s="408">
        <v>0</v>
      </c>
      <c r="EK877" s="408">
        <v>0</v>
      </c>
      <c r="EL877" s="408">
        <v>0</v>
      </c>
      <c r="EM877" s="408"/>
      <c r="EN877" s="408"/>
      <c r="EO877" s="408">
        <v>0</v>
      </c>
      <c r="EP877" s="408">
        <v>0</v>
      </c>
      <c r="EQ877" s="408"/>
      <c r="ER877" s="408">
        <v>0</v>
      </c>
      <c r="ES877" s="408"/>
      <c r="ET877" s="408">
        <v>0</v>
      </c>
      <c r="EU877" s="408"/>
      <c r="EV877" s="408">
        <v>240</v>
      </c>
      <c r="EW877" s="408"/>
      <c r="EX877" s="408"/>
      <c r="EY877" s="408"/>
      <c r="EZ877" s="408"/>
      <c r="FA877" s="408">
        <v>0</v>
      </c>
      <c r="FB877" s="408"/>
      <c r="FC877" s="408"/>
      <c r="FD877" s="408"/>
      <c r="FE877" s="408"/>
      <c r="FF877" s="408">
        <v>0</v>
      </c>
      <c r="FG877" s="408">
        <v>0</v>
      </c>
      <c r="FH877" s="408">
        <v>0</v>
      </c>
      <c r="FI877" s="408">
        <v>0</v>
      </c>
    </row>
    <row r="878" spans="1:165">
      <c r="A878" s="408">
        <v>876</v>
      </c>
      <c r="B878" s="408" t="s">
        <v>1036</v>
      </c>
      <c r="C878" s="408" t="s">
        <v>993</v>
      </c>
      <c r="D878" s="408" t="s">
        <v>599</v>
      </c>
      <c r="E878" s="408" t="s">
        <v>1322</v>
      </c>
      <c r="F878" s="408" t="s">
        <v>1322</v>
      </c>
      <c r="G878" s="408" t="s">
        <v>1322</v>
      </c>
      <c r="H878" s="408" t="s">
        <v>2320</v>
      </c>
      <c r="I878" s="408" t="s">
        <v>1322</v>
      </c>
      <c r="J878" s="408" t="s">
        <v>2256</v>
      </c>
      <c r="K878" s="826">
        <v>44562</v>
      </c>
      <c r="L878" s="408">
        <v>7020</v>
      </c>
      <c r="M878" s="408">
        <v>3510</v>
      </c>
      <c r="N878" s="408">
        <v>0</v>
      </c>
      <c r="O878" s="408">
        <v>0</v>
      </c>
      <c r="P878" s="408">
        <v>0</v>
      </c>
      <c r="Q878" s="408">
        <v>0</v>
      </c>
      <c r="R878" s="408">
        <v>6.87</v>
      </c>
      <c r="S878" s="408"/>
      <c r="T878" s="408"/>
      <c r="U878" s="408">
        <v>48227.4</v>
      </c>
      <c r="V878" s="408"/>
      <c r="W878" s="408">
        <v>48227.4</v>
      </c>
      <c r="X878" s="408">
        <v>40084.199999999997</v>
      </c>
      <c r="Y878" s="408">
        <v>0</v>
      </c>
      <c r="Z878" s="408">
        <v>0</v>
      </c>
      <c r="AA878" s="408">
        <v>0</v>
      </c>
      <c r="AB878" s="408">
        <v>0</v>
      </c>
      <c r="AC878" s="408">
        <v>0</v>
      </c>
      <c r="AD878" s="408">
        <v>2031.0321998913851</v>
      </c>
      <c r="AE878" s="408">
        <v>42729.467006265557</v>
      </c>
      <c r="AF878" s="408"/>
      <c r="AG878" s="408"/>
      <c r="AH878" s="408"/>
      <c r="AI878" s="408">
        <v>0</v>
      </c>
      <c r="AJ878" s="408">
        <v>0</v>
      </c>
      <c r="AK878" s="408">
        <v>0</v>
      </c>
      <c r="AL878" s="408">
        <v>0</v>
      </c>
      <c r="AM878" s="408"/>
      <c r="AN878" s="408">
        <v>0</v>
      </c>
      <c r="AO878" s="408">
        <v>0</v>
      </c>
      <c r="AP878" s="408">
        <v>0</v>
      </c>
      <c r="AQ878" s="408">
        <v>0</v>
      </c>
      <c r="AR878" s="408">
        <v>0</v>
      </c>
      <c r="AS878" s="408"/>
      <c r="AT878" s="408"/>
      <c r="AU878" s="408">
        <v>0</v>
      </c>
      <c r="AV878" s="408">
        <v>0</v>
      </c>
      <c r="AW878" s="408">
        <v>0</v>
      </c>
      <c r="AX878" s="408"/>
      <c r="AY878" s="408"/>
      <c r="AZ878" s="408">
        <v>0</v>
      </c>
      <c r="BA878" s="408"/>
      <c r="BB878" s="408">
        <v>0</v>
      </c>
      <c r="BC878" s="408">
        <v>0</v>
      </c>
      <c r="BD878" s="408">
        <v>0</v>
      </c>
      <c r="BE878" s="408">
        <v>0</v>
      </c>
      <c r="BF878" s="408"/>
      <c r="BG878" s="408">
        <v>3436.1874076712338</v>
      </c>
      <c r="BH878" s="408">
        <v>0</v>
      </c>
      <c r="BI878" s="408">
        <v>270.37</v>
      </c>
      <c r="BJ878" s="408">
        <v>0</v>
      </c>
      <c r="BK878" s="408">
        <v>0</v>
      </c>
      <c r="BL878" s="408">
        <v>0</v>
      </c>
      <c r="BM878" s="408"/>
      <c r="BN878" s="408"/>
      <c r="BO878" s="408">
        <v>20042.099999999999</v>
      </c>
      <c r="BP878" s="408"/>
      <c r="BQ878" s="408"/>
      <c r="BR878" s="408"/>
      <c r="BS878" s="408"/>
      <c r="BT878" s="408"/>
      <c r="BU878" s="408"/>
      <c r="BV878" s="408">
        <v>3436.1874076712338</v>
      </c>
      <c r="BW878" s="408"/>
      <c r="BX878" s="408"/>
      <c r="BY878" s="408"/>
      <c r="BZ878" s="408"/>
      <c r="CA878" s="408"/>
      <c r="CB878" s="408"/>
      <c r="CC878" s="408"/>
      <c r="CD878" s="408"/>
      <c r="CE878" s="408"/>
      <c r="CF878" s="408"/>
      <c r="CG878" s="408"/>
      <c r="CH878" s="408"/>
      <c r="CI878" s="408">
        <v>20042.099999999999</v>
      </c>
      <c r="CJ878" s="408">
        <v>-4071.6299999999974</v>
      </c>
      <c r="CK878" s="408"/>
      <c r="CL878" s="408"/>
      <c r="CM878" s="408"/>
      <c r="CN878" s="408"/>
      <c r="CO878" s="408">
        <v>-8143.2000000000007</v>
      </c>
      <c r="CP878" s="408">
        <v>0</v>
      </c>
      <c r="CQ878" s="408">
        <v>31</v>
      </c>
      <c r="CR878" s="408">
        <v>2526.7645846364476</v>
      </c>
      <c r="CS878" s="408">
        <v>0</v>
      </c>
      <c r="CT878" s="408">
        <v>0</v>
      </c>
      <c r="CU878" s="408">
        <v>0</v>
      </c>
      <c r="CV878" s="408">
        <v>0</v>
      </c>
      <c r="CW878" s="408"/>
      <c r="CX878" s="408"/>
      <c r="CY878" s="408"/>
      <c r="CZ878" s="408">
        <v>2091.2902096795342</v>
      </c>
      <c r="DA878" s="408">
        <v>0</v>
      </c>
      <c r="DB878" s="408">
        <v>0</v>
      </c>
      <c r="DC878" s="408"/>
      <c r="DD878" s="408"/>
      <c r="DE878" s="408">
        <v>0</v>
      </c>
      <c r="DF878" s="408">
        <v>0</v>
      </c>
      <c r="DG878" s="408">
        <v>435.47437495691338</v>
      </c>
      <c r="DH878" s="408">
        <v>0</v>
      </c>
      <c r="DI878" s="408">
        <v>0</v>
      </c>
      <c r="DJ878" s="408"/>
      <c r="DK878" s="408">
        <v>0</v>
      </c>
      <c r="DL878" s="408">
        <v>0</v>
      </c>
      <c r="DM878" s="408"/>
      <c r="DN878" s="408">
        <v>0</v>
      </c>
      <c r="DO878" s="408">
        <v>0</v>
      </c>
      <c r="DP878" s="408">
        <v>0</v>
      </c>
      <c r="DQ878" s="408">
        <v>0</v>
      </c>
      <c r="DR878" s="408">
        <v>0</v>
      </c>
      <c r="DS878" s="408"/>
      <c r="DT878" s="408"/>
      <c r="DU878" s="408">
        <v>42729.467006265557</v>
      </c>
      <c r="DV878" s="408"/>
      <c r="DW878" s="408">
        <v>0</v>
      </c>
      <c r="DX878" s="408">
        <v>0</v>
      </c>
      <c r="DY878" s="408">
        <v>-8143.2000000000044</v>
      </c>
      <c r="DZ878" s="408"/>
      <c r="EA878" s="408">
        <v>0</v>
      </c>
      <c r="EB878" s="408"/>
      <c r="EC878" s="408">
        <v>-10614.724405765934</v>
      </c>
      <c r="ED878" s="408"/>
      <c r="EE878" s="408">
        <v>0</v>
      </c>
      <c r="EF878" s="408">
        <v>0</v>
      </c>
      <c r="EG878" s="408"/>
      <c r="EH878" s="408">
        <v>0</v>
      </c>
      <c r="EI878" s="408">
        <v>0</v>
      </c>
      <c r="EJ878" s="408">
        <v>0</v>
      </c>
      <c r="EK878" s="408">
        <v>0</v>
      </c>
      <c r="EL878" s="408">
        <v>0</v>
      </c>
      <c r="EM878" s="408"/>
      <c r="EN878" s="408"/>
      <c r="EO878" s="408">
        <v>0</v>
      </c>
      <c r="EP878" s="408">
        <v>0</v>
      </c>
      <c r="EQ878" s="408"/>
      <c r="ER878" s="408">
        <v>0</v>
      </c>
      <c r="ES878" s="408"/>
      <c r="ET878" s="408">
        <v>0</v>
      </c>
      <c r="EU878" s="408"/>
      <c r="EV878" s="408">
        <v>240</v>
      </c>
      <c r="EW878" s="408"/>
      <c r="EX878" s="408"/>
      <c r="EY878" s="408"/>
      <c r="EZ878" s="408"/>
      <c r="FA878" s="408">
        <v>0</v>
      </c>
      <c r="FB878" s="408"/>
      <c r="FC878" s="408"/>
      <c r="FD878" s="408"/>
      <c r="FE878" s="408"/>
      <c r="FF878" s="408">
        <v>0</v>
      </c>
      <c r="FG878" s="408">
        <v>0</v>
      </c>
      <c r="FH878" s="408">
        <v>0</v>
      </c>
      <c r="FI878" s="408">
        <v>0</v>
      </c>
    </row>
    <row r="879" spans="1:165">
      <c r="A879" s="408">
        <v>877</v>
      </c>
      <c r="B879" s="408" t="s">
        <v>1036</v>
      </c>
      <c r="C879" s="408" t="s">
        <v>2247</v>
      </c>
      <c r="D879" s="408" t="s">
        <v>597</v>
      </c>
      <c r="E879" s="408" t="s">
        <v>970</v>
      </c>
      <c r="F879" s="408" t="s">
        <v>1322</v>
      </c>
      <c r="G879" s="408" t="s">
        <v>2318</v>
      </c>
      <c r="H879" s="408" t="s">
        <v>1322</v>
      </c>
      <c r="I879" s="408" t="s">
        <v>973</v>
      </c>
      <c r="J879" s="408" t="s">
        <v>2319</v>
      </c>
      <c r="K879" s="826">
        <v>44593</v>
      </c>
      <c r="L879" s="408">
        <v>7800</v>
      </c>
      <c r="M879" s="408">
        <v>3900</v>
      </c>
      <c r="N879" s="408">
        <v>0</v>
      </c>
      <c r="O879" s="408">
        <v>0</v>
      </c>
      <c r="P879" s="408">
        <v>0</v>
      </c>
      <c r="Q879" s="408">
        <v>0</v>
      </c>
      <c r="R879" s="408">
        <v>52.95</v>
      </c>
      <c r="S879" s="408"/>
      <c r="T879" s="408"/>
      <c r="U879" s="408">
        <v>413010</v>
      </c>
      <c r="V879" s="408"/>
      <c r="W879" s="408">
        <v>413010</v>
      </c>
      <c r="X879" s="408">
        <v>345150</v>
      </c>
      <c r="Y879" s="408">
        <v>0</v>
      </c>
      <c r="Z879" s="408">
        <v>0</v>
      </c>
      <c r="AA879" s="408">
        <v>0</v>
      </c>
      <c r="AB879" s="408">
        <v>0</v>
      </c>
      <c r="AC879" s="408">
        <v>6143.7967769655443</v>
      </c>
      <c r="AD879" s="408">
        <v>5902.6636731637609</v>
      </c>
      <c r="AE879" s="408">
        <v>327082.9691133537</v>
      </c>
      <c r="AF879" s="408"/>
      <c r="AG879" s="408"/>
      <c r="AH879" s="408"/>
      <c r="AI879" s="408">
        <v>0</v>
      </c>
      <c r="AJ879" s="408">
        <v>0</v>
      </c>
      <c r="AK879" s="408">
        <v>0</v>
      </c>
      <c r="AL879" s="408">
        <v>0</v>
      </c>
      <c r="AM879" s="408"/>
      <c r="AN879" s="408">
        <v>0</v>
      </c>
      <c r="AO879" s="408">
        <v>13041.996884625618</v>
      </c>
      <c r="AP879" s="408">
        <v>60812.114336929255</v>
      </c>
      <c r="AQ879" s="408">
        <v>0</v>
      </c>
      <c r="AR879" s="408">
        <v>0</v>
      </c>
      <c r="AS879" s="408"/>
      <c r="AT879" s="408"/>
      <c r="AU879" s="408">
        <v>0</v>
      </c>
      <c r="AV879" s="408">
        <v>0</v>
      </c>
      <c r="AW879" s="408">
        <v>0</v>
      </c>
      <c r="AX879" s="408"/>
      <c r="AY879" s="408"/>
      <c r="AZ879" s="408">
        <v>0</v>
      </c>
      <c r="BA879" s="408"/>
      <c r="BB879" s="408">
        <v>0</v>
      </c>
      <c r="BC879" s="408">
        <v>0</v>
      </c>
      <c r="BD879" s="408">
        <v>0</v>
      </c>
      <c r="BE879" s="408">
        <v>0</v>
      </c>
      <c r="BF879" s="408"/>
      <c r="BG879" s="408">
        <v>0</v>
      </c>
      <c r="BH879" s="408">
        <v>0</v>
      </c>
      <c r="BI879" s="408">
        <v>0</v>
      </c>
      <c r="BJ879" s="408">
        <v>0</v>
      </c>
      <c r="BK879" s="408">
        <v>0</v>
      </c>
      <c r="BL879" s="408">
        <v>0</v>
      </c>
      <c r="BM879" s="408"/>
      <c r="BN879" s="408">
        <v>172575</v>
      </c>
      <c r="BO879" s="408"/>
      <c r="BP879" s="408"/>
      <c r="BQ879" s="408"/>
      <c r="BR879" s="408"/>
      <c r="BS879" s="408"/>
      <c r="BT879" s="408"/>
      <c r="BU879" s="408"/>
      <c r="BV879" s="408">
        <v>0</v>
      </c>
      <c r="BW879" s="408"/>
      <c r="BX879" s="408"/>
      <c r="BY879" s="408"/>
      <c r="BZ879" s="408"/>
      <c r="CA879" s="408"/>
      <c r="CB879" s="408"/>
      <c r="CC879" s="408"/>
      <c r="CD879" s="408"/>
      <c r="CE879" s="408"/>
      <c r="CF879" s="408"/>
      <c r="CG879" s="408"/>
      <c r="CH879" s="408"/>
      <c r="CI879" s="408">
        <v>172575</v>
      </c>
      <c r="CJ879" s="408">
        <v>-33930.030000000028</v>
      </c>
      <c r="CK879" s="408"/>
      <c r="CL879" s="408"/>
      <c r="CM879" s="408"/>
      <c r="CN879" s="408"/>
      <c r="CO879" s="408">
        <v>-67860.000000000029</v>
      </c>
      <c r="CP879" s="408">
        <v>0</v>
      </c>
      <c r="CQ879" s="408">
        <v>29</v>
      </c>
      <c r="CR879" s="408">
        <v>13437.192136518745</v>
      </c>
      <c r="CS879" s="408">
        <v>1299.6071130329037</v>
      </c>
      <c r="CT879" s="408">
        <v>6059.7972112697025</v>
      </c>
      <c r="CU879" s="408">
        <v>0</v>
      </c>
      <c r="CV879" s="408">
        <v>0</v>
      </c>
      <c r="CW879" s="408"/>
      <c r="CX879" s="408"/>
      <c r="CY879" s="408"/>
      <c r="CZ879" s="408">
        <v>6077.7878122161492</v>
      </c>
      <c r="DA879" s="408">
        <v>0</v>
      </c>
      <c r="DB879" s="408">
        <v>0</v>
      </c>
      <c r="DC879" s="408"/>
      <c r="DD879" s="408"/>
      <c r="DE879" s="408">
        <v>0</v>
      </c>
      <c r="DF879" s="408">
        <v>0</v>
      </c>
      <c r="DG879" s="408">
        <v>0</v>
      </c>
      <c r="DH879" s="408">
        <v>0</v>
      </c>
      <c r="DI879" s="408">
        <v>0</v>
      </c>
      <c r="DJ879" s="408"/>
      <c r="DK879" s="408">
        <v>0</v>
      </c>
      <c r="DL879" s="408">
        <v>0</v>
      </c>
      <c r="DM879" s="408"/>
      <c r="DN879" s="408">
        <v>0</v>
      </c>
      <c r="DO879" s="408">
        <v>0</v>
      </c>
      <c r="DP879" s="408">
        <v>0</v>
      </c>
      <c r="DQ879" s="408">
        <v>0</v>
      </c>
      <c r="DR879" s="408">
        <v>0</v>
      </c>
      <c r="DS879" s="408"/>
      <c r="DT879" s="408"/>
      <c r="DU879" s="408">
        <v>327082.9691133537</v>
      </c>
      <c r="DV879" s="408"/>
      <c r="DW879" s="408">
        <v>0</v>
      </c>
      <c r="DX879" s="408">
        <v>0</v>
      </c>
      <c r="DY879" s="408">
        <v>-67860</v>
      </c>
      <c r="DZ879" s="408"/>
      <c r="EA879" s="408">
        <v>0</v>
      </c>
      <c r="EB879" s="408"/>
      <c r="EC879" s="408">
        <v>-81252.957694248587</v>
      </c>
      <c r="ED879" s="408"/>
      <c r="EE879" s="408">
        <v>0</v>
      </c>
      <c r="EF879" s="408">
        <v>0</v>
      </c>
      <c r="EG879" s="408"/>
      <c r="EH879" s="408">
        <v>0</v>
      </c>
      <c r="EI879" s="408">
        <v>0</v>
      </c>
      <c r="EJ879" s="408">
        <v>0</v>
      </c>
      <c r="EK879" s="408">
        <v>0</v>
      </c>
      <c r="EL879" s="408">
        <v>0</v>
      </c>
      <c r="EM879" s="408"/>
      <c r="EN879" s="408"/>
      <c r="EO879" s="408">
        <v>0</v>
      </c>
      <c r="EP879" s="408">
        <v>0</v>
      </c>
      <c r="EQ879" s="408"/>
      <c r="ER879" s="408">
        <v>0</v>
      </c>
      <c r="ES879" s="408"/>
      <c r="ET879" s="408">
        <v>0</v>
      </c>
      <c r="EU879" s="408"/>
      <c r="EV879" s="408">
        <v>240</v>
      </c>
      <c r="EW879" s="408"/>
      <c r="EX879" s="408"/>
      <c r="EY879" s="408"/>
      <c r="EZ879" s="408"/>
      <c r="FA879" s="408">
        <v>0</v>
      </c>
      <c r="FB879" s="408"/>
      <c r="FC879" s="408"/>
      <c r="FD879" s="408"/>
      <c r="FE879" s="408"/>
      <c r="FF879" s="408">
        <v>0</v>
      </c>
      <c r="FG879" s="408">
        <v>0</v>
      </c>
      <c r="FH879" s="408">
        <v>0</v>
      </c>
      <c r="FI879" s="408">
        <v>0</v>
      </c>
    </row>
    <row r="880" spans="1:165">
      <c r="A880" s="408">
        <v>878</v>
      </c>
      <c r="B880" s="408" t="s">
        <v>1036</v>
      </c>
      <c r="C880" s="408" t="s">
        <v>2247</v>
      </c>
      <c r="D880" s="408" t="s">
        <v>597</v>
      </c>
      <c r="E880" s="408" t="s">
        <v>970</v>
      </c>
      <c r="F880" s="408" t="s">
        <v>1322</v>
      </c>
      <c r="G880" s="408" t="s">
        <v>2318</v>
      </c>
      <c r="H880" s="408" t="s">
        <v>1322</v>
      </c>
      <c r="I880" s="408" t="s">
        <v>2244</v>
      </c>
      <c r="J880" s="408" t="s">
        <v>2319</v>
      </c>
      <c r="K880" s="826">
        <v>44593</v>
      </c>
      <c r="L880" s="408">
        <v>8500</v>
      </c>
      <c r="M880" s="408">
        <v>4250</v>
      </c>
      <c r="N880" s="408">
        <v>0</v>
      </c>
      <c r="O880" s="408">
        <v>0</v>
      </c>
      <c r="P880" s="408">
        <v>0</v>
      </c>
      <c r="Q880" s="408">
        <v>0</v>
      </c>
      <c r="R880" s="408">
        <v>27.19</v>
      </c>
      <c r="S880" s="408"/>
      <c r="T880" s="408"/>
      <c r="U880" s="408">
        <v>231115</v>
      </c>
      <c r="V880" s="408"/>
      <c r="W880" s="408">
        <v>231115</v>
      </c>
      <c r="X880" s="408">
        <v>184960</v>
      </c>
      <c r="Y880" s="408">
        <v>0</v>
      </c>
      <c r="Z880" s="408">
        <v>0</v>
      </c>
      <c r="AA880" s="408">
        <v>0</v>
      </c>
      <c r="AB880" s="408">
        <v>0</v>
      </c>
      <c r="AC880" s="408">
        <v>1982.205214134294</v>
      </c>
      <c r="AD880" s="408">
        <v>1904.296134648604</v>
      </c>
      <c r="AE880" s="408">
        <v>203422.25706685573</v>
      </c>
      <c r="AF880" s="408"/>
      <c r="AG880" s="408"/>
      <c r="AH880" s="408"/>
      <c r="AI880" s="408">
        <v>0</v>
      </c>
      <c r="AJ880" s="408">
        <v>0</v>
      </c>
      <c r="AK880" s="408">
        <v>0</v>
      </c>
      <c r="AL880" s="408">
        <v>0</v>
      </c>
      <c r="AM880" s="408"/>
      <c r="AN880" s="408">
        <v>0</v>
      </c>
      <c r="AO880" s="408">
        <v>4206.5210642689435</v>
      </c>
      <c r="AP880" s="408">
        <v>19618.755165597664</v>
      </c>
      <c r="AQ880" s="408">
        <v>0</v>
      </c>
      <c r="AR880" s="408">
        <v>0</v>
      </c>
      <c r="AS880" s="408"/>
      <c r="AT880" s="408"/>
      <c r="AU880" s="408">
        <v>0</v>
      </c>
      <c r="AV880" s="408">
        <v>0</v>
      </c>
      <c r="AW880" s="408">
        <v>0</v>
      </c>
      <c r="AX880" s="408"/>
      <c r="AY880" s="408"/>
      <c r="AZ880" s="408">
        <v>0</v>
      </c>
      <c r="BA880" s="408"/>
      <c r="BB880" s="408">
        <v>0</v>
      </c>
      <c r="BC880" s="408">
        <v>0</v>
      </c>
      <c r="BD880" s="408">
        <v>0</v>
      </c>
      <c r="BE880" s="408">
        <v>0</v>
      </c>
      <c r="BF880" s="408"/>
      <c r="BG880" s="408">
        <v>0</v>
      </c>
      <c r="BH880" s="408">
        <v>0</v>
      </c>
      <c r="BI880" s="408">
        <v>0</v>
      </c>
      <c r="BJ880" s="408">
        <v>0</v>
      </c>
      <c r="BK880" s="408">
        <v>0</v>
      </c>
      <c r="BL880" s="408">
        <v>0</v>
      </c>
      <c r="BM880" s="408"/>
      <c r="BN880" s="408">
        <v>92480</v>
      </c>
      <c r="BO880" s="408"/>
      <c r="BP880" s="408"/>
      <c r="BQ880" s="408"/>
      <c r="BR880" s="408"/>
      <c r="BS880" s="408"/>
      <c r="BT880" s="408"/>
      <c r="BU880" s="408"/>
      <c r="BV880" s="408">
        <v>0</v>
      </c>
      <c r="BW880" s="408"/>
      <c r="BX880" s="408"/>
      <c r="BY880" s="408"/>
      <c r="BZ880" s="408"/>
      <c r="CA880" s="408"/>
      <c r="CB880" s="408"/>
      <c r="CC880" s="408"/>
      <c r="CD880" s="408"/>
      <c r="CE880" s="408"/>
      <c r="CF880" s="408"/>
      <c r="CG880" s="408"/>
      <c r="CH880" s="408"/>
      <c r="CI880" s="408">
        <v>92480</v>
      </c>
      <c r="CJ880" s="408">
        <v>-23077.529999999984</v>
      </c>
      <c r="CK880" s="408"/>
      <c r="CL880" s="408"/>
      <c r="CM880" s="408"/>
      <c r="CN880" s="408"/>
      <c r="CO880" s="408">
        <v>-46155</v>
      </c>
      <c r="CP880" s="408">
        <v>0</v>
      </c>
      <c r="CQ880" s="408">
        <v>29</v>
      </c>
      <c r="CR880" s="408">
        <v>4334.9319059781446</v>
      </c>
      <c r="CS880" s="408">
        <v>419.17083285697208</v>
      </c>
      <c r="CT880" s="408">
        <v>1954.9670182882692</v>
      </c>
      <c r="CU880" s="408">
        <v>0</v>
      </c>
      <c r="CV880" s="408">
        <v>0</v>
      </c>
      <c r="CW880" s="408"/>
      <c r="CX880" s="408"/>
      <c r="CY880" s="408"/>
      <c r="CZ880" s="408">
        <v>1960.7940548329007</v>
      </c>
      <c r="DA880" s="408">
        <v>0</v>
      </c>
      <c r="DB880" s="408">
        <v>0</v>
      </c>
      <c r="DC880" s="408"/>
      <c r="DD880" s="408"/>
      <c r="DE880" s="408">
        <v>0</v>
      </c>
      <c r="DF880" s="408">
        <v>0</v>
      </c>
      <c r="DG880" s="408">
        <v>0</v>
      </c>
      <c r="DH880" s="408">
        <v>0</v>
      </c>
      <c r="DI880" s="408">
        <v>0</v>
      </c>
      <c r="DJ880" s="408"/>
      <c r="DK880" s="408">
        <v>0</v>
      </c>
      <c r="DL880" s="408">
        <v>0</v>
      </c>
      <c r="DM880" s="408"/>
      <c r="DN880" s="408">
        <v>0</v>
      </c>
      <c r="DO880" s="408">
        <v>0</v>
      </c>
      <c r="DP880" s="408">
        <v>0</v>
      </c>
      <c r="DQ880" s="408">
        <v>0</v>
      </c>
      <c r="DR880" s="408">
        <v>0</v>
      </c>
      <c r="DS880" s="408"/>
      <c r="DT880" s="408"/>
      <c r="DU880" s="408">
        <v>203422.25706685573</v>
      </c>
      <c r="DV880" s="408"/>
      <c r="DW880" s="408">
        <v>0</v>
      </c>
      <c r="DX880" s="408">
        <v>0</v>
      </c>
      <c r="DY880" s="408">
        <v>-46155</v>
      </c>
      <c r="DZ880" s="408"/>
      <c r="EA880" s="408">
        <v>0</v>
      </c>
      <c r="EB880" s="408"/>
      <c r="EC880" s="408">
        <v>-50533.539218893537</v>
      </c>
      <c r="ED880" s="408"/>
      <c r="EE880" s="408">
        <v>0</v>
      </c>
      <c r="EF880" s="408">
        <v>0</v>
      </c>
      <c r="EG880" s="408"/>
      <c r="EH880" s="408">
        <v>0</v>
      </c>
      <c r="EI880" s="408">
        <v>0</v>
      </c>
      <c r="EJ880" s="408">
        <v>0</v>
      </c>
      <c r="EK880" s="408">
        <v>0</v>
      </c>
      <c r="EL880" s="408">
        <v>0</v>
      </c>
      <c r="EM880" s="408"/>
      <c r="EN880" s="408"/>
      <c r="EO880" s="408">
        <v>0</v>
      </c>
      <c r="EP880" s="408">
        <v>0</v>
      </c>
      <c r="EQ880" s="408"/>
      <c r="ER880" s="408">
        <v>0</v>
      </c>
      <c r="ES880" s="408"/>
      <c r="ET880" s="408">
        <v>0</v>
      </c>
      <c r="EU880" s="408"/>
      <c r="EV880" s="408">
        <v>240</v>
      </c>
      <c r="EW880" s="408"/>
      <c r="EX880" s="408"/>
      <c r="EY880" s="408"/>
      <c r="EZ880" s="408"/>
      <c r="FA880" s="408">
        <v>0</v>
      </c>
      <c r="FB880" s="408"/>
      <c r="FC880" s="408"/>
      <c r="FD880" s="408"/>
      <c r="FE880" s="408"/>
      <c r="FF880" s="408">
        <v>0</v>
      </c>
      <c r="FG880" s="408">
        <v>0</v>
      </c>
      <c r="FH880" s="408">
        <v>0</v>
      </c>
      <c r="FI880" s="408">
        <v>0</v>
      </c>
    </row>
    <row r="881" spans="1:165">
      <c r="A881" s="408">
        <v>879</v>
      </c>
      <c r="B881" s="408" t="s">
        <v>1036</v>
      </c>
      <c r="C881" s="408" t="s">
        <v>2247</v>
      </c>
      <c r="D881" s="408" t="s">
        <v>597</v>
      </c>
      <c r="E881" s="408" t="s">
        <v>970</v>
      </c>
      <c r="F881" s="408" t="s">
        <v>1322</v>
      </c>
      <c r="G881" s="408" t="s">
        <v>2318</v>
      </c>
      <c r="H881" s="408" t="s">
        <v>1322</v>
      </c>
      <c r="I881" s="408" t="s">
        <v>1322</v>
      </c>
      <c r="J881" s="408" t="s">
        <v>2319</v>
      </c>
      <c r="K881" s="826">
        <v>44593</v>
      </c>
      <c r="L881" s="408">
        <v>0</v>
      </c>
      <c r="M881" s="408">
        <v>0</v>
      </c>
      <c r="N881" s="408">
        <v>3099.5349999999999</v>
      </c>
      <c r="O881" s="408">
        <v>3099.5349999999999</v>
      </c>
      <c r="P881" s="408">
        <v>0</v>
      </c>
      <c r="Q881" s="408">
        <v>0</v>
      </c>
      <c r="R881" s="408"/>
      <c r="S881" s="408">
        <v>85.01</v>
      </c>
      <c r="T881" s="408"/>
      <c r="U881" s="408"/>
      <c r="V881" s="408">
        <v>263491.47035000002</v>
      </c>
      <c r="W881" s="408">
        <v>263491.47035000002</v>
      </c>
      <c r="X881" s="408">
        <v>259834.01904999997</v>
      </c>
      <c r="Y881" s="408">
        <v>0</v>
      </c>
      <c r="Z881" s="408">
        <v>165962.46098483852</v>
      </c>
      <c r="AA881" s="408">
        <v>0</v>
      </c>
      <c r="AB881" s="408">
        <v>0</v>
      </c>
      <c r="AC881" s="408">
        <v>0</v>
      </c>
      <c r="AD881" s="408">
        <v>0</v>
      </c>
      <c r="AE881" s="408">
        <v>0</v>
      </c>
      <c r="AF881" s="408"/>
      <c r="AG881" s="408"/>
      <c r="AH881" s="408"/>
      <c r="AI881" s="408">
        <v>0</v>
      </c>
      <c r="AJ881" s="408">
        <v>0</v>
      </c>
      <c r="AK881" s="408">
        <v>0</v>
      </c>
      <c r="AL881" s="408">
        <v>29473.572160629814</v>
      </c>
      <c r="AM881" s="408"/>
      <c r="AN881" s="408">
        <v>2482.15048630922</v>
      </c>
      <c r="AO881" s="408">
        <v>0</v>
      </c>
      <c r="AP881" s="408">
        <v>0</v>
      </c>
      <c r="AQ881" s="408">
        <v>0</v>
      </c>
      <c r="AR881" s="408">
        <v>0</v>
      </c>
      <c r="AS881" s="408"/>
      <c r="AT881" s="408"/>
      <c r="AU881" s="408">
        <v>0</v>
      </c>
      <c r="AV881" s="408">
        <v>0</v>
      </c>
      <c r="AW881" s="408">
        <v>0</v>
      </c>
      <c r="AX881" s="408"/>
      <c r="AY881" s="408"/>
      <c r="AZ881" s="408">
        <v>0</v>
      </c>
      <c r="BA881" s="408"/>
      <c r="BB881" s="408">
        <v>0</v>
      </c>
      <c r="BC881" s="408">
        <v>0</v>
      </c>
      <c r="BD881" s="408">
        <v>0</v>
      </c>
      <c r="BE881" s="408">
        <v>0</v>
      </c>
      <c r="BF881" s="408"/>
      <c r="BG881" s="408">
        <v>23180.357832004771</v>
      </c>
      <c r="BH881" s="408">
        <v>0</v>
      </c>
      <c r="BI881" s="408">
        <v>5329.62</v>
      </c>
      <c r="BJ881" s="408">
        <v>0</v>
      </c>
      <c r="BK881" s="408">
        <v>148031.20000000001</v>
      </c>
      <c r="BL881" s="408">
        <v>2</v>
      </c>
      <c r="BM881" s="408"/>
      <c r="BN881" s="408"/>
      <c r="BO881" s="408"/>
      <c r="BP881" s="408"/>
      <c r="BQ881" s="408"/>
      <c r="BR881" s="408"/>
      <c r="BS881" s="408"/>
      <c r="BT881" s="408"/>
      <c r="BU881" s="408"/>
      <c r="BV881" s="408">
        <v>23180.357832004771</v>
      </c>
      <c r="BW881" s="408"/>
      <c r="BX881" s="408"/>
      <c r="BY881" s="408"/>
      <c r="BZ881" s="408"/>
      <c r="CA881" s="408"/>
      <c r="CB881" s="408"/>
      <c r="CC881" s="408"/>
      <c r="CD881" s="408"/>
      <c r="CE881" s="408"/>
      <c r="CF881" s="408"/>
      <c r="CG881" s="408"/>
      <c r="CH881" s="408"/>
      <c r="CI881" s="408">
        <v>259834.4382</v>
      </c>
      <c r="CJ881" s="408">
        <v>-3657.0621500000416</v>
      </c>
      <c r="CK881" s="408"/>
      <c r="CL881" s="408"/>
      <c r="CM881" s="408"/>
      <c r="CN881" s="408"/>
      <c r="CO881" s="408">
        <v>-3657.4513000000211</v>
      </c>
      <c r="CP881" s="408">
        <v>0</v>
      </c>
      <c r="CQ881" s="408">
        <v>29</v>
      </c>
      <c r="CR881" s="408">
        <v>-3658.8757407753437</v>
      </c>
      <c r="CS881" s="408">
        <v>0</v>
      </c>
      <c r="CT881" s="408">
        <v>0</v>
      </c>
      <c r="CU881" s="408">
        <v>0</v>
      </c>
      <c r="CV881" s="408">
        <v>0</v>
      </c>
      <c r="CW881" s="408"/>
      <c r="CX881" s="408"/>
      <c r="CY881" s="408"/>
      <c r="CZ881" s="408">
        <v>0</v>
      </c>
      <c r="DA881" s="408">
        <v>0</v>
      </c>
      <c r="DB881" s="408">
        <v>0</v>
      </c>
      <c r="DC881" s="408"/>
      <c r="DD881" s="408"/>
      <c r="DE881" s="408">
        <v>0</v>
      </c>
      <c r="DF881" s="408">
        <v>0</v>
      </c>
      <c r="DG881" s="408">
        <v>2937.689549654413</v>
      </c>
      <c r="DH881" s="408">
        <v>0</v>
      </c>
      <c r="DI881" s="408">
        <v>-5635.5600021199498</v>
      </c>
      <c r="DJ881" s="408"/>
      <c r="DK881" s="408">
        <v>0</v>
      </c>
      <c r="DL881" s="408">
        <v>0</v>
      </c>
      <c r="DM881" s="408"/>
      <c r="DN881" s="408">
        <v>0</v>
      </c>
      <c r="DO881" s="408">
        <v>-890.781701892407</v>
      </c>
      <c r="DP881" s="408">
        <v>-70.223586417374918</v>
      </c>
      <c r="DQ881" s="408">
        <v>0</v>
      </c>
      <c r="DR881" s="408">
        <v>0</v>
      </c>
      <c r="DS881" s="408"/>
      <c r="DT881" s="408"/>
      <c r="DU881" s="408"/>
      <c r="DV881" s="408">
        <v>0</v>
      </c>
      <c r="DW881" s="408">
        <v>0</v>
      </c>
      <c r="DX881" s="408">
        <v>0</v>
      </c>
      <c r="DY881" s="408">
        <v>-3657.4513000000443</v>
      </c>
      <c r="DZ881" s="408"/>
      <c r="EA881" s="408">
        <v>0</v>
      </c>
      <c r="EB881" s="408"/>
      <c r="EC881" s="408">
        <v>0</v>
      </c>
      <c r="ED881" s="408"/>
      <c r="EE881" s="408">
        <v>0</v>
      </c>
      <c r="EF881" s="408">
        <v>0</v>
      </c>
      <c r="EG881" s="408"/>
      <c r="EH881" s="408">
        <v>0</v>
      </c>
      <c r="EI881" s="408">
        <v>0</v>
      </c>
      <c r="EJ881" s="408">
        <v>0</v>
      </c>
      <c r="EK881" s="408">
        <v>0</v>
      </c>
      <c r="EL881" s="408">
        <v>0</v>
      </c>
      <c r="EM881" s="408"/>
      <c r="EN881" s="408"/>
      <c r="EO881" s="408">
        <v>0</v>
      </c>
      <c r="EP881" s="408">
        <v>42383.852583041393</v>
      </c>
      <c r="EQ881" s="408"/>
      <c r="ER881" s="408">
        <v>0</v>
      </c>
      <c r="ES881" s="408"/>
      <c r="ET881" s="408">
        <v>0</v>
      </c>
      <c r="EU881" s="408"/>
      <c r="EV881" s="408">
        <v>240</v>
      </c>
      <c r="EW881" s="408"/>
      <c r="EX881" s="408"/>
      <c r="EY881" s="408"/>
      <c r="EZ881" s="408"/>
      <c r="FA881" s="408">
        <v>0</v>
      </c>
      <c r="FB881" s="408"/>
      <c r="FC881" s="408"/>
      <c r="FD881" s="408"/>
      <c r="FE881" s="408"/>
      <c r="FF881" s="408">
        <v>0</v>
      </c>
      <c r="FG881" s="408">
        <v>0</v>
      </c>
      <c r="FH881" s="408">
        <v>0</v>
      </c>
      <c r="FI881" s="408">
        <v>0</v>
      </c>
    </row>
    <row r="882" spans="1:165">
      <c r="A882" s="408">
        <v>880</v>
      </c>
      <c r="B882" s="408" t="s">
        <v>1036</v>
      </c>
      <c r="C882" s="408" t="s">
        <v>2243</v>
      </c>
      <c r="D882" s="408" t="s">
        <v>597</v>
      </c>
      <c r="E882" s="408" t="s">
        <v>970</v>
      </c>
      <c r="F882" s="408" t="s">
        <v>1322</v>
      </c>
      <c r="G882" s="408" t="s">
        <v>2318</v>
      </c>
      <c r="H882" s="408" t="s">
        <v>1322</v>
      </c>
      <c r="I882" s="408" t="s">
        <v>973</v>
      </c>
      <c r="J882" s="408" t="s">
        <v>2319</v>
      </c>
      <c r="K882" s="826">
        <v>44593</v>
      </c>
      <c r="L882" s="408">
        <v>0</v>
      </c>
      <c r="M882" s="408">
        <v>0</v>
      </c>
      <c r="N882" s="408">
        <v>47.283999999999999</v>
      </c>
      <c r="O882" s="408">
        <v>22.179641112239999</v>
      </c>
      <c r="P882" s="408">
        <v>0</v>
      </c>
      <c r="Q882" s="408">
        <v>0</v>
      </c>
      <c r="R882" s="408"/>
      <c r="S882" s="408">
        <v>1358.36</v>
      </c>
      <c r="T882" s="408"/>
      <c r="U882" s="408"/>
      <c r="V882" s="408">
        <v>64228.694239999997</v>
      </c>
      <c r="W882" s="408">
        <v>64228.694239999997</v>
      </c>
      <c r="X882" s="408">
        <v>54285.814719999995</v>
      </c>
      <c r="Y882" s="408">
        <v>0</v>
      </c>
      <c r="Z882" s="408">
        <v>2531.7891248871538</v>
      </c>
      <c r="AA882" s="408">
        <v>0</v>
      </c>
      <c r="AB882" s="408">
        <v>0</v>
      </c>
      <c r="AC882" s="408">
        <v>895.6577048575457</v>
      </c>
      <c r="AD882" s="408">
        <v>860.52886840499718</v>
      </c>
      <c r="AE882" s="408">
        <v>47686.27888118822</v>
      </c>
      <c r="AF882" s="408"/>
      <c r="AG882" s="408"/>
      <c r="AH882" s="408"/>
      <c r="AI882" s="408">
        <v>0</v>
      </c>
      <c r="AJ882" s="408">
        <v>0</v>
      </c>
      <c r="AK882" s="408">
        <v>0</v>
      </c>
      <c r="AL882" s="408">
        <v>449.62498763305467</v>
      </c>
      <c r="AM882" s="408"/>
      <c r="AN882" s="408">
        <v>37.865681011714706</v>
      </c>
      <c r="AO882" s="408">
        <v>1901.3285165922528</v>
      </c>
      <c r="AP882" s="408">
        <v>8865.5656481255646</v>
      </c>
      <c r="AQ882" s="408">
        <v>0</v>
      </c>
      <c r="AR882" s="408">
        <v>0</v>
      </c>
      <c r="AS882" s="408"/>
      <c r="AT882" s="408"/>
      <c r="AU882" s="408">
        <v>0</v>
      </c>
      <c r="AV882" s="408">
        <v>0</v>
      </c>
      <c r="AW882" s="408">
        <v>0</v>
      </c>
      <c r="AX882" s="408"/>
      <c r="AY882" s="408"/>
      <c r="AZ882" s="408">
        <v>0</v>
      </c>
      <c r="BA882" s="408"/>
      <c r="BB882" s="408">
        <v>0</v>
      </c>
      <c r="BC882" s="408">
        <v>0</v>
      </c>
      <c r="BD882" s="408">
        <v>0</v>
      </c>
      <c r="BE882" s="408">
        <v>0</v>
      </c>
      <c r="BF882" s="408"/>
      <c r="BG882" s="408">
        <v>353.62079787081404</v>
      </c>
      <c r="BH882" s="408">
        <v>0</v>
      </c>
      <c r="BI882" s="408">
        <v>0</v>
      </c>
      <c r="BJ882" s="408">
        <v>0</v>
      </c>
      <c r="BK882" s="408">
        <v>0</v>
      </c>
      <c r="BL882" s="408">
        <v>0</v>
      </c>
      <c r="BM882" s="408"/>
      <c r="BN882" s="408">
        <v>28821.812351859498</v>
      </c>
      <c r="BO882" s="408"/>
      <c r="BP882" s="408"/>
      <c r="BQ882" s="408"/>
      <c r="BR882" s="408"/>
      <c r="BS882" s="408"/>
      <c r="BT882" s="408"/>
      <c r="BU882" s="408"/>
      <c r="BV882" s="408">
        <v>353.62079787081404</v>
      </c>
      <c r="BW882" s="408"/>
      <c r="BX882" s="408"/>
      <c r="BY882" s="408"/>
      <c r="BZ882" s="408"/>
      <c r="CA882" s="408"/>
      <c r="CB882" s="408"/>
      <c r="CC882" s="408"/>
      <c r="CD882" s="408"/>
      <c r="CE882" s="408"/>
      <c r="CF882" s="408"/>
      <c r="CG882" s="408"/>
      <c r="CH882" s="408"/>
      <c r="CI882" s="408">
        <v>25464.414399999998</v>
      </c>
      <c r="CJ882" s="408">
        <v>-4663.5529012223196</v>
      </c>
      <c r="CK882" s="408"/>
      <c r="CL882" s="408"/>
      <c r="CM882" s="408"/>
      <c r="CN882" s="408"/>
      <c r="CO882" s="408">
        <v>-9942.8795199999986</v>
      </c>
      <c r="CP882" s="408">
        <v>0</v>
      </c>
      <c r="CQ882" s="408">
        <v>29</v>
      </c>
      <c r="CR882" s="408">
        <v>1903.1407491430546</v>
      </c>
      <c r="CS882" s="408">
        <v>189.46332269779919</v>
      </c>
      <c r="CT882" s="408">
        <v>883.43466719781463</v>
      </c>
      <c r="CU882" s="408">
        <v>0</v>
      </c>
      <c r="CV882" s="408">
        <v>0</v>
      </c>
      <c r="CW882" s="408"/>
      <c r="CX882" s="408"/>
      <c r="CY882" s="408"/>
      <c r="CZ882" s="408">
        <v>886.05960936425254</v>
      </c>
      <c r="DA882" s="408">
        <v>0</v>
      </c>
      <c r="DB882" s="408">
        <v>0</v>
      </c>
      <c r="DC882" s="408"/>
      <c r="DD882" s="408"/>
      <c r="DE882" s="408">
        <v>0</v>
      </c>
      <c r="DF882" s="408">
        <v>0</v>
      </c>
      <c r="DG882" s="408">
        <v>44.815016660840797</v>
      </c>
      <c r="DH882" s="408">
        <v>0</v>
      </c>
      <c r="DI882" s="408">
        <v>-85.971547067621032</v>
      </c>
      <c r="DJ882" s="408"/>
      <c r="DK882" s="408">
        <v>0</v>
      </c>
      <c r="DL882" s="408">
        <v>0</v>
      </c>
      <c r="DM882" s="408"/>
      <c r="DN882" s="408">
        <v>0</v>
      </c>
      <c r="DO882" s="408">
        <v>-13.589045451101697</v>
      </c>
      <c r="DP882" s="408">
        <v>-1.0712742589321138</v>
      </c>
      <c r="DQ882" s="408">
        <v>0</v>
      </c>
      <c r="DR882" s="408">
        <v>0</v>
      </c>
      <c r="DS882" s="408"/>
      <c r="DT882" s="408"/>
      <c r="DU882" s="408"/>
      <c r="DV882" s="408">
        <v>47686.27888118822</v>
      </c>
      <c r="DW882" s="408">
        <v>0</v>
      </c>
      <c r="DX882" s="408">
        <v>0</v>
      </c>
      <c r="DY882" s="408">
        <v>-9942.8795200000022</v>
      </c>
      <c r="DZ882" s="408"/>
      <c r="EA882" s="408">
        <v>0</v>
      </c>
      <c r="EB882" s="408"/>
      <c r="EC882" s="408">
        <v>-11846.080555746012</v>
      </c>
      <c r="ED882" s="408"/>
      <c r="EE882" s="408">
        <v>0</v>
      </c>
      <c r="EF882" s="408">
        <v>0</v>
      </c>
      <c r="EG882" s="408"/>
      <c r="EH882" s="408">
        <v>0</v>
      </c>
      <c r="EI882" s="408">
        <v>0</v>
      </c>
      <c r="EJ882" s="408">
        <v>0</v>
      </c>
      <c r="EK882" s="408">
        <v>0</v>
      </c>
      <c r="EL882" s="408">
        <v>0</v>
      </c>
      <c r="EM882" s="408"/>
      <c r="EN882" s="408"/>
      <c r="EO882" s="408">
        <v>0</v>
      </c>
      <c r="EP882" s="408">
        <v>646.57378785415528</v>
      </c>
      <c r="EQ882" s="408"/>
      <c r="ER882" s="408">
        <v>0</v>
      </c>
      <c r="ES882" s="408"/>
      <c r="ET882" s="408">
        <v>0</v>
      </c>
      <c r="EU882" s="408"/>
      <c r="EV882" s="408">
        <v>240</v>
      </c>
      <c r="EW882" s="408"/>
      <c r="EX882" s="408"/>
      <c r="EY882" s="408"/>
      <c r="EZ882" s="408"/>
      <c r="FA882" s="408">
        <v>0</v>
      </c>
      <c r="FB882" s="408"/>
      <c r="FC882" s="408"/>
      <c r="FD882" s="408"/>
      <c r="FE882" s="408"/>
      <c r="FF882" s="408">
        <v>0</v>
      </c>
      <c r="FG882" s="408">
        <v>0</v>
      </c>
      <c r="FH882" s="408">
        <v>0</v>
      </c>
      <c r="FI882" s="408">
        <v>0</v>
      </c>
    </row>
    <row r="883" spans="1:165">
      <c r="A883" s="408">
        <v>881</v>
      </c>
      <c r="B883" s="408" t="s">
        <v>1036</v>
      </c>
      <c r="C883" s="408" t="s">
        <v>2243</v>
      </c>
      <c r="D883" s="408" t="s">
        <v>597</v>
      </c>
      <c r="E883" s="408" t="s">
        <v>970</v>
      </c>
      <c r="F883" s="408" t="s">
        <v>1322</v>
      </c>
      <c r="G883" s="408" t="s">
        <v>2318</v>
      </c>
      <c r="H883" s="408" t="s">
        <v>1322</v>
      </c>
      <c r="I883" s="408" t="s">
        <v>2244</v>
      </c>
      <c r="J883" s="408" t="s">
        <v>2319</v>
      </c>
      <c r="K883" s="826">
        <v>44593</v>
      </c>
      <c r="L883" s="408">
        <v>0</v>
      </c>
      <c r="M883" s="408">
        <v>0</v>
      </c>
      <c r="N883" s="408">
        <v>602.68200000000002</v>
      </c>
      <c r="O883" s="408">
        <v>602.68200000000002</v>
      </c>
      <c r="P883" s="408">
        <v>0</v>
      </c>
      <c r="Q883" s="408">
        <v>0</v>
      </c>
      <c r="R883" s="408"/>
      <c r="S883" s="408">
        <v>85.01</v>
      </c>
      <c r="T883" s="408"/>
      <c r="U883" s="408"/>
      <c r="V883" s="408">
        <v>51233.996820000008</v>
      </c>
      <c r="W883" s="408">
        <v>51233.996820000008</v>
      </c>
      <c r="X883" s="408">
        <v>50522.832060000001</v>
      </c>
      <c r="Y883" s="408">
        <v>0</v>
      </c>
      <c r="Z883" s="408">
        <v>32270.19146783774</v>
      </c>
      <c r="AA883" s="408">
        <v>0</v>
      </c>
      <c r="AB883" s="408">
        <v>0</v>
      </c>
      <c r="AC883" s="408">
        <v>0</v>
      </c>
      <c r="AD883" s="408">
        <v>0</v>
      </c>
      <c r="AE883" s="408">
        <v>0</v>
      </c>
      <c r="AF883" s="408"/>
      <c r="AG883" s="408"/>
      <c r="AH883" s="408"/>
      <c r="AI883" s="408">
        <v>0</v>
      </c>
      <c r="AJ883" s="408">
        <v>0</v>
      </c>
      <c r="AK883" s="408">
        <v>0</v>
      </c>
      <c r="AL883" s="408">
        <v>5730.9213855990329</v>
      </c>
      <c r="AM883" s="408"/>
      <c r="AN883" s="408">
        <v>482.63607908599624</v>
      </c>
      <c r="AO883" s="408">
        <v>0</v>
      </c>
      <c r="AP883" s="408">
        <v>0</v>
      </c>
      <c r="AQ883" s="408">
        <v>0</v>
      </c>
      <c r="AR883" s="408">
        <v>0</v>
      </c>
      <c r="AS883" s="408"/>
      <c r="AT883" s="408"/>
      <c r="AU883" s="408">
        <v>0</v>
      </c>
      <c r="AV883" s="408">
        <v>0</v>
      </c>
      <c r="AW883" s="408">
        <v>0</v>
      </c>
      <c r="AX883" s="408"/>
      <c r="AY883" s="408"/>
      <c r="AZ883" s="408">
        <v>0</v>
      </c>
      <c r="BA883" s="408"/>
      <c r="BB883" s="408">
        <v>0</v>
      </c>
      <c r="BC883" s="408">
        <v>0</v>
      </c>
      <c r="BD883" s="408">
        <v>0</v>
      </c>
      <c r="BE883" s="408">
        <v>0</v>
      </c>
      <c r="BF883" s="408"/>
      <c r="BG883" s="408">
        <v>4507.2517067586914</v>
      </c>
      <c r="BH883" s="408">
        <v>0</v>
      </c>
      <c r="BI883" s="408">
        <v>0</v>
      </c>
      <c r="BJ883" s="408">
        <v>0</v>
      </c>
      <c r="BK883" s="408">
        <v>0</v>
      </c>
      <c r="BL883" s="408">
        <v>0</v>
      </c>
      <c r="BM883" s="408"/>
      <c r="BN883" s="408"/>
      <c r="BO883" s="408"/>
      <c r="BP883" s="408"/>
      <c r="BQ883" s="408"/>
      <c r="BR883" s="408"/>
      <c r="BS883" s="408"/>
      <c r="BT883" s="408"/>
      <c r="BU883" s="408"/>
      <c r="BV883" s="408">
        <v>4507.2517067586914</v>
      </c>
      <c r="BW883" s="408"/>
      <c r="BX883" s="408"/>
      <c r="BY883" s="408"/>
      <c r="BZ883" s="408"/>
      <c r="CA883" s="408"/>
      <c r="CB883" s="408"/>
      <c r="CC883" s="408"/>
      <c r="CD883" s="408"/>
      <c r="CE883" s="408"/>
      <c r="CF883" s="408"/>
      <c r="CG883" s="408"/>
      <c r="CH883" s="408"/>
      <c r="CI883" s="408">
        <v>50522.664399999994</v>
      </c>
      <c r="CJ883" s="408">
        <v>-711.36242000001948</v>
      </c>
      <c r="CK883" s="408"/>
      <c r="CL883" s="408"/>
      <c r="CM883" s="408"/>
      <c r="CN883" s="408"/>
      <c r="CO883" s="408">
        <v>-711.16476000000409</v>
      </c>
      <c r="CP883" s="408">
        <v>0</v>
      </c>
      <c r="CQ883" s="408">
        <v>29</v>
      </c>
      <c r="CR883" s="408">
        <v>-711.44173213141039</v>
      </c>
      <c r="CS883" s="408">
        <v>0</v>
      </c>
      <c r="CT883" s="408">
        <v>0</v>
      </c>
      <c r="CU883" s="408">
        <v>0</v>
      </c>
      <c r="CV883" s="408">
        <v>0</v>
      </c>
      <c r="CW883" s="408"/>
      <c r="CX883" s="408"/>
      <c r="CY883" s="408"/>
      <c r="CZ883" s="408">
        <v>0</v>
      </c>
      <c r="DA883" s="408">
        <v>0</v>
      </c>
      <c r="DB883" s="408">
        <v>0</v>
      </c>
      <c r="DC883" s="408"/>
      <c r="DD883" s="408"/>
      <c r="DE883" s="408">
        <v>0</v>
      </c>
      <c r="DF883" s="408">
        <v>0</v>
      </c>
      <c r="DG883" s="408">
        <v>571.21233125769504</v>
      </c>
      <c r="DH883" s="408">
        <v>0</v>
      </c>
      <c r="DI883" s="408">
        <v>-1095.7935861984588</v>
      </c>
      <c r="DJ883" s="408"/>
      <c r="DK883" s="408">
        <v>0</v>
      </c>
      <c r="DL883" s="408">
        <v>0</v>
      </c>
      <c r="DM883" s="408"/>
      <c r="DN883" s="408">
        <v>0</v>
      </c>
      <c r="DO883" s="408">
        <v>-173.20601240506039</v>
      </c>
      <c r="DP883" s="408">
        <v>-13.654464785587606</v>
      </c>
      <c r="DQ883" s="408">
        <v>0</v>
      </c>
      <c r="DR883" s="408">
        <v>0</v>
      </c>
      <c r="DS883" s="408"/>
      <c r="DT883" s="408"/>
      <c r="DU883" s="408"/>
      <c r="DV883" s="408">
        <v>0</v>
      </c>
      <c r="DW883" s="408">
        <v>0</v>
      </c>
      <c r="DX883" s="408">
        <v>0</v>
      </c>
      <c r="DY883" s="408">
        <v>-711.16476000000694</v>
      </c>
      <c r="DZ883" s="408"/>
      <c r="EA883" s="408">
        <v>0</v>
      </c>
      <c r="EB883" s="408"/>
      <c r="EC883" s="408">
        <v>0</v>
      </c>
      <c r="ED883" s="408"/>
      <c r="EE883" s="408">
        <v>0</v>
      </c>
      <c r="EF883" s="408">
        <v>0</v>
      </c>
      <c r="EG883" s="408"/>
      <c r="EH883" s="408">
        <v>0</v>
      </c>
      <c r="EI883" s="408">
        <v>0</v>
      </c>
      <c r="EJ883" s="408">
        <v>0</v>
      </c>
      <c r="EK883" s="408">
        <v>0</v>
      </c>
      <c r="EL883" s="408">
        <v>0</v>
      </c>
      <c r="EM883" s="408"/>
      <c r="EN883" s="408"/>
      <c r="EO883" s="408">
        <v>0</v>
      </c>
      <c r="EP883" s="408">
        <v>8241.2313596886488</v>
      </c>
      <c r="EQ883" s="408"/>
      <c r="ER883" s="408">
        <v>0</v>
      </c>
      <c r="ES883" s="408"/>
      <c r="ET883" s="408">
        <v>0</v>
      </c>
      <c r="EU883" s="408"/>
      <c r="EV883" s="408">
        <v>240</v>
      </c>
      <c r="EW883" s="408"/>
      <c r="EX883" s="408"/>
      <c r="EY883" s="408"/>
      <c r="EZ883" s="408"/>
      <c r="FA883" s="408">
        <v>0</v>
      </c>
      <c r="FB883" s="408"/>
      <c r="FC883" s="408"/>
      <c r="FD883" s="408"/>
      <c r="FE883" s="408"/>
      <c r="FF883" s="408">
        <v>0</v>
      </c>
      <c r="FG883" s="408">
        <v>0</v>
      </c>
      <c r="FH883" s="408">
        <v>0</v>
      </c>
      <c r="FI883" s="408">
        <v>0</v>
      </c>
    </row>
    <row r="884" spans="1:165">
      <c r="A884" s="408">
        <v>882</v>
      </c>
      <c r="B884" s="408" t="s">
        <v>1036</v>
      </c>
      <c r="C884" s="408" t="s">
        <v>2243</v>
      </c>
      <c r="D884" s="408" t="s">
        <v>597</v>
      </c>
      <c r="E884" s="408" t="s">
        <v>970</v>
      </c>
      <c r="F884" s="408" t="s">
        <v>1322</v>
      </c>
      <c r="G884" s="408" t="s">
        <v>2318</v>
      </c>
      <c r="H884" s="408" t="s">
        <v>1322</v>
      </c>
      <c r="I884" s="408" t="s">
        <v>1322</v>
      </c>
      <c r="J884" s="408" t="s">
        <v>2319</v>
      </c>
      <c r="K884" s="826">
        <v>44593</v>
      </c>
      <c r="L884" s="408">
        <v>2931</v>
      </c>
      <c r="M884" s="408">
        <v>1505.9995321500001</v>
      </c>
      <c r="N884" s="408">
        <v>0</v>
      </c>
      <c r="O884" s="408">
        <v>0</v>
      </c>
      <c r="P884" s="408">
        <v>0</v>
      </c>
      <c r="Q884" s="408">
        <v>0</v>
      </c>
      <c r="R884" s="408">
        <v>27.19</v>
      </c>
      <c r="S884" s="408"/>
      <c r="T884" s="408"/>
      <c r="U884" s="408">
        <v>79693.89</v>
      </c>
      <c r="V884" s="408"/>
      <c r="W884" s="408">
        <v>79693.89</v>
      </c>
      <c r="X884" s="408">
        <v>63778.560000000005</v>
      </c>
      <c r="Y884" s="408">
        <v>0</v>
      </c>
      <c r="Z884" s="408">
        <v>0</v>
      </c>
      <c r="AA884" s="408">
        <v>0</v>
      </c>
      <c r="AB884" s="408">
        <v>0</v>
      </c>
      <c r="AC884" s="408">
        <v>683.51099795619007</v>
      </c>
      <c r="AD884" s="408">
        <v>656.64611419471282</v>
      </c>
      <c r="AE884" s="408">
        <v>70144.780642700498</v>
      </c>
      <c r="AF884" s="408"/>
      <c r="AG884" s="408"/>
      <c r="AH884" s="408"/>
      <c r="AI884" s="408">
        <v>0</v>
      </c>
      <c r="AJ884" s="408">
        <v>0</v>
      </c>
      <c r="AK884" s="408">
        <v>0</v>
      </c>
      <c r="AL884" s="408">
        <v>0</v>
      </c>
      <c r="AM884" s="408"/>
      <c r="AN884" s="408">
        <v>0</v>
      </c>
      <c r="AO884" s="408">
        <v>1450.50743992615</v>
      </c>
      <c r="AP884" s="408">
        <v>6765.0083988666775</v>
      </c>
      <c r="AQ884" s="408">
        <v>0</v>
      </c>
      <c r="AR884" s="408">
        <v>0</v>
      </c>
      <c r="AS884" s="408"/>
      <c r="AT884" s="408"/>
      <c r="AU884" s="408">
        <v>0</v>
      </c>
      <c r="AV884" s="408">
        <v>0</v>
      </c>
      <c r="AW884" s="408">
        <v>0</v>
      </c>
      <c r="AX884" s="408"/>
      <c r="AY884" s="408"/>
      <c r="AZ884" s="408">
        <v>0</v>
      </c>
      <c r="BA884" s="408"/>
      <c r="BB884" s="408">
        <v>0</v>
      </c>
      <c r="BC884" s="408">
        <v>0</v>
      </c>
      <c r="BD884" s="408">
        <v>0</v>
      </c>
      <c r="BE884" s="408">
        <v>0</v>
      </c>
      <c r="BF884" s="408"/>
      <c r="BG884" s="408">
        <v>0</v>
      </c>
      <c r="BH884" s="408">
        <v>0</v>
      </c>
      <c r="BI884" s="408">
        <v>1137.46</v>
      </c>
      <c r="BJ884" s="408">
        <v>0</v>
      </c>
      <c r="BK884" s="408">
        <v>37351.480000000003</v>
      </c>
      <c r="BL884" s="408">
        <v>5</v>
      </c>
      <c r="BM884" s="408"/>
      <c r="BN884" s="408">
        <v>31008.010180416</v>
      </c>
      <c r="BO884" s="408"/>
      <c r="BP884" s="408"/>
      <c r="BQ884" s="408"/>
      <c r="BR884" s="408"/>
      <c r="BS884" s="408"/>
      <c r="BT884" s="408"/>
      <c r="BU884" s="408"/>
      <c r="BV884" s="408">
        <v>0</v>
      </c>
      <c r="BW884" s="408"/>
      <c r="BX884" s="408"/>
      <c r="BY884" s="408"/>
      <c r="BZ884" s="408"/>
      <c r="CA884" s="408"/>
      <c r="CB884" s="408"/>
      <c r="CC884" s="408"/>
      <c r="CD884" s="408"/>
      <c r="CE884" s="408"/>
      <c r="CF884" s="408"/>
      <c r="CG884" s="408"/>
      <c r="CH884" s="408"/>
      <c r="CI884" s="408">
        <v>32770.560000000005</v>
      </c>
      <c r="CJ884" s="408">
        <v>-8177.5972791585009</v>
      </c>
      <c r="CK884" s="408"/>
      <c r="CL884" s="408"/>
      <c r="CM884" s="408"/>
      <c r="CN884" s="408"/>
      <c r="CO884" s="408">
        <v>-15915.33</v>
      </c>
      <c r="CP884" s="408">
        <v>0</v>
      </c>
      <c r="CQ884" s="408">
        <v>29</v>
      </c>
      <c r="CR884" s="408">
        <v>1494.7865195790509</v>
      </c>
      <c r="CS884" s="408">
        <v>144.53996601220979</v>
      </c>
      <c r="CT884" s="408">
        <v>674.11862712975471</v>
      </c>
      <c r="CU884" s="408">
        <v>0</v>
      </c>
      <c r="CV884" s="408">
        <v>0</v>
      </c>
      <c r="CW884" s="408"/>
      <c r="CX884" s="408"/>
      <c r="CY884" s="408"/>
      <c r="CZ884" s="408">
        <v>676.1279264370861</v>
      </c>
      <c r="DA884" s="408">
        <v>0</v>
      </c>
      <c r="DB884" s="408">
        <v>0</v>
      </c>
      <c r="DC884" s="408"/>
      <c r="DD884" s="408"/>
      <c r="DE884" s="408">
        <v>0</v>
      </c>
      <c r="DF884" s="408">
        <v>0</v>
      </c>
      <c r="DG884" s="408">
        <v>0</v>
      </c>
      <c r="DH884" s="408">
        <v>0</v>
      </c>
      <c r="DI884" s="408">
        <v>0</v>
      </c>
      <c r="DJ884" s="408"/>
      <c r="DK884" s="408">
        <v>0</v>
      </c>
      <c r="DL884" s="408">
        <v>0</v>
      </c>
      <c r="DM884" s="408"/>
      <c r="DN884" s="408">
        <v>0</v>
      </c>
      <c r="DO884" s="408">
        <v>0</v>
      </c>
      <c r="DP884" s="408">
        <v>0</v>
      </c>
      <c r="DQ884" s="408">
        <v>0</v>
      </c>
      <c r="DR884" s="408">
        <v>0</v>
      </c>
      <c r="DS884" s="408"/>
      <c r="DT884" s="408"/>
      <c r="DU884" s="408">
        <v>70144.780642700498</v>
      </c>
      <c r="DV884" s="408"/>
      <c r="DW884" s="408">
        <v>0</v>
      </c>
      <c r="DX884" s="408">
        <v>0</v>
      </c>
      <c r="DY884" s="408">
        <v>-15915.329999999994</v>
      </c>
      <c r="DZ884" s="408"/>
      <c r="EA884" s="408">
        <v>0</v>
      </c>
      <c r="EB884" s="408"/>
      <c r="EC884" s="408">
        <v>-17425.15334712671</v>
      </c>
      <c r="ED884" s="408"/>
      <c r="EE884" s="408">
        <v>0</v>
      </c>
      <c r="EF884" s="408">
        <v>0</v>
      </c>
      <c r="EG884" s="408"/>
      <c r="EH884" s="408">
        <v>0</v>
      </c>
      <c r="EI884" s="408">
        <v>0</v>
      </c>
      <c r="EJ884" s="408">
        <v>0</v>
      </c>
      <c r="EK884" s="408">
        <v>0</v>
      </c>
      <c r="EL884" s="408">
        <v>0</v>
      </c>
      <c r="EM884" s="408"/>
      <c r="EN884" s="408"/>
      <c r="EO884" s="408">
        <v>0</v>
      </c>
      <c r="EP884" s="408">
        <v>0</v>
      </c>
      <c r="EQ884" s="408"/>
      <c r="ER884" s="408">
        <v>0</v>
      </c>
      <c r="ES884" s="408"/>
      <c r="ET884" s="408">
        <v>0</v>
      </c>
      <c r="EU884" s="408"/>
      <c r="EV884" s="408">
        <v>240</v>
      </c>
      <c r="EW884" s="408"/>
      <c r="EX884" s="408"/>
      <c r="EY884" s="408"/>
      <c r="EZ884" s="408"/>
      <c r="FA884" s="408">
        <v>0</v>
      </c>
      <c r="FB884" s="408"/>
      <c r="FC884" s="408"/>
      <c r="FD884" s="408"/>
      <c r="FE884" s="408"/>
      <c r="FF884" s="408">
        <v>0</v>
      </c>
      <c r="FG884" s="408">
        <v>0</v>
      </c>
      <c r="FH884" s="408">
        <v>0</v>
      </c>
      <c r="FI884" s="408">
        <v>0</v>
      </c>
    </row>
    <row r="885" spans="1:165">
      <c r="A885" s="408">
        <v>883</v>
      </c>
      <c r="B885" s="408" t="s">
        <v>1036</v>
      </c>
      <c r="C885" s="408" t="s">
        <v>993</v>
      </c>
      <c r="D885" s="408" t="s">
        <v>599</v>
      </c>
      <c r="E885" s="408" t="s">
        <v>1322</v>
      </c>
      <c r="F885" s="408" t="s">
        <v>1322</v>
      </c>
      <c r="G885" s="408" t="s">
        <v>1322</v>
      </c>
      <c r="H885" s="408" t="s">
        <v>2320</v>
      </c>
      <c r="I885" s="408" t="s">
        <v>1322</v>
      </c>
      <c r="J885" s="408" t="s">
        <v>2256</v>
      </c>
      <c r="K885" s="826">
        <v>44593</v>
      </c>
      <c r="L885" s="408">
        <v>7020</v>
      </c>
      <c r="M885" s="408">
        <v>3510</v>
      </c>
      <c r="N885" s="408">
        <v>0</v>
      </c>
      <c r="O885" s="408">
        <v>0</v>
      </c>
      <c r="P885" s="408">
        <v>0</v>
      </c>
      <c r="Q885" s="408">
        <v>0</v>
      </c>
      <c r="R885" s="408">
        <v>6.87</v>
      </c>
      <c r="S885" s="408"/>
      <c r="T885" s="408"/>
      <c r="U885" s="408">
        <v>48227.4</v>
      </c>
      <c r="V885" s="408"/>
      <c r="W885" s="408">
        <v>48227.4</v>
      </c>
      <c r="X885" s="408">
        <v>40084.199999999997</v>
      </c>
      <c r="Y885" s="408">
        <v>0</v>
      </c>
      <c r="Z885" s="408">
        <v>0</v>
      </c>
      <c r="AA885" s="408">
        <v>0</v>
      </c>
      <c r="AB885" s="408">
        <v>0</v>
      </c>
      <c r="AC885" s="408">
        <v>0</v>
      </c>
      <c r="AD885" s="408">
        <v>2031.0321998913851</v>
      </c>
      <c r="AE885" s="408">
        <v>42729.467006265557</v>
      </c>
      <c r="AF885" s="408"/>
      <c r="AG885" s="408"/>
      <c r="AH885" s="408"/>
      <c r="AI885" s="408">
        <v>0</v>
      </c>
      <c r="AJ885" s="408">
        <v>0</v>
      </c>
      <c r="AK885" s="408">
        <v>0</v>
      </c>
      <c r="AL885" s="408">
        <v>0</v>
      </c>
      <c r="AM885" s="408"/>
      <c r="AN885" s="408">
        <v>0</v>
      </c>
      <c r="AO885" s="408">
        <v>0</v>
      </c>
      <c r="AP885" s="408">
        <v>0</v>
      </c>
      <c r="AQ885" s="408">
        <v>0</v>
      </c>
      <c r="AR885" s="408">
        <v>0</v>
      </c>
      <c r="AS885" s="408"/>
      <c r="AT885" s="408"/>
      <c r="AU885" s="408">
        <v>0</v>
      </c>
      <c r="AV885" s="408">
        <v>0</v>
      </c>
      <c r="AW885" s="408">
        <v>0</v>
      </c>
      <c r="AX885" s="408"/>
      <c r="AY885" s="408"/>
      <c r="AZ885" s="408">
        <v>0</v>
      </c>
      <c r="BA885" s="408"/>
      <c r="BB885" s="408">
        <v>0</v>
      </c>
      <c r="BC885" s="408">
        <v>0</v>
      </c>
      <c r="BD885" s="408">
        <v>0</v>
      </c>
      <c r="BE885" s="408">
        <v>0</v>
      </c>
      <c r="BF885" s="408"/>
      <c r="BG885" s="408">
        <v>3436.1874076712338</v>
      </c>
      <c r="BH885" s="408">
        <v>0</v>
      </c>
      <c r="BI885" s="408">
        <v>270.37</v>
      </c>
      <c r="BJ885" s="408">
        <v>0</v>
      </c>
      <c r="BK885" s="408">
        <v>0</v>
      </c>
      <c r="BL885" s="408">
        <v>0</v>
      </c>
      <c r="BM885" s="408"/>
      <c r="BN885" s="408"/>
      <c r="BO885" s="408">
        <v>20042.099999999999</v>
      </c>
      <c r="BP885" s="408"/>
      <c r="BQ885" s="408"/>
      <c r="BR885" s="408"/>
      <c r="BS885" s="408"/>
      <c r="BT885" s="408"/>
      <c r="BU885" s="408"/>
      <c r="BV885" s="408">
        <v>3436.1874076712338</v>
      </c>
      <c r="BW885" s="408"/>
      <c r="BX885" s="408"/>
      <c r="BY885" s="408"/>
      <c r="BZ885" s="408"/>
      <c r="CA885" s="408"/>
      <c r="CB885" s="408"/>
      <c r="CC885" s="408"/>
      <c r="CD885" s="408"/>
      <c r="CE885" s="408"/>
      <c r="CF885" s="408"/>
      <c r="CG885" s="408"/>
      <c r="CH885" s="408"/>
      <c r="CI885" s="408">
        <v>20042.099999999999</v>
      </c>
      <c r="CJ885" s="408">
        <v>-4071.6299999999974</v>
      </c>
      <c r="CK885" s="408"/>
      <c r="CL885" s="408"/>
      <c r="CM885" s="408"/>
      <c r="CN885" s="408"/>
      <c r="CO885" s="408">
        <v>-8143.2000000000007</v>
      </c>
      <c r="CP885" s="408">
        <v>0</v>
      </c>
      <c r="CQ885" s="408">
        <v>29</v>
      </c>
      <c r="CR885" s="408">
        <v>2526.7645846364476</v>
      </c>
      <c r="CS885" s="408">
        <v>0</v>
      </c>
      <c r="CT885" s="408">
        <v>0</v>
      </c>
      <c r="CU885" s="408">
        <v>0</v>
      </c>
      <c r="CV885" s="408">
        <v>0</v>
      </c>
      <c r="CW885" s="408"/>
      <c r="CX885" s="408"/>
      <c r="CY885" s="408"/>
      <c r="CZ885" s="408">
        <v>2091.2902096795342</v>
      </c>
      <c r="DA885" s="408">
        <v>0</v>
      </c>
      <c r="DB885" s="408">
        <v>0</v>
      </c>
      <c r="DC885" s="408"/>
      <c r="DD885" s="408"/>
      <c r="DE885" s="408">
        <v>0</v>
      </c>
      <c r="DF885" s="408">
        <v>0</v>
      </c>
      <c r="DG885" s="408">
        <v>435.47437495691338</v>
      </c>
      <c r="DH885" s="408">
        <v>0</v>
      </c>
      <c r="DI885" s="408">
        <v>0</v>
      </c>
      <c r="DJ885" s="408"/>
      <c r="DK885" s="408">
        <v>0</v>
      </c>
      <c r="DL885" s="408">
        <v>0</v>
      </c>
      <c r="DM885" s="408"/>
      <c r="DN885" s="408">
        <v>0</v>
      </c>
      <c r="DO885" s="408">
        <v>0</v>
      </c>
      <c r="DP885" s="408">
        <v>0</v>
      </c>
      <c r="DQ885" s="408">
        <v>0</v>
      </c>
      <c r="DR885" s="408">
        <v>0</v>
      </c>
      <c r="DS885" s="408"/>
      <c r="DT885" s="408"/>
      <c r="DU885" s="408">
        <v>42729.467006265557</v>
      </c>
      <c r="DV885" s="408"/>
      <c r="DW885" s="408">
        <v>0</v>
      </c>
      <c r="DX885" s="408">
        <v>0</v>
      </c>
      <c r="DY885" s="408">
        <v>-8143.2000000000044</v>
      </c>
      <c r="DZ885" s="408"/>
      <c r="EA885" s="408">
        <v>0</v>
      </c>
      <c r="EB885" s="408"/>
      <c r="EC885" s="408">
        <v>-10614.724405765934</v>
      </c>
      <c r="ED885" s="408"/>
      <c r="EE885" s="408">
        <v>0</v>
      </c>
      <c r="EF885" s="408">
        <v>0</v>
      </c>
      <c r="EG885" s="408"/>
      <c r="EH885" s="408">
        <v>0</v>
      </c>
      <c r="EI885" s="408">
        <v>0</v>
      </c>
      <c r="EJ885" s="408">
        <v>0</v>
      </c>
      <c r="EK885" s="408">
        <v>0</v>
      </c>
      <c r="EL885" s="408">
        <v>0</v>
      </c>
      <c r="EM885" s="408"/>
      <c r="EN885" s="408"/>
      <c r="EO885" s="408">
        <v>0</v>
      </c>
      <c r="EP885" s="408">
        <v>0</v>
      </c>
      <c r="EQ885" s="408"/>
      <c r="ER885" s="408">
        <v>0</v>
      </c>
      <c r="ES885" s="408"/>
      <c r="ET885" s="408">
        <v>0</v>
      </c>
      <c r="EU885" s="408"/>
      <c r="EV885" s="408">
        <v>240</v>
      </c>
      <c r="EW885" s="408"/>
      <c r="EX885" s="408"/>
      <c r="EY885" s="408"/>
      <c r="EZ885" s="408"/>
      <c r="FA885" s="408">
        <v>0</v>
      </c>
      <c r="FB885" s="408"/>
      <c r="FC885" s="408"/>
      <c r="FD885" s="408"/>
      <c r="FE885" s="408"/>
      <c r="FF885" s="408">
        <v>0</v>
      </c>
      <c r="FG885" s="408">
        <v>0</v>
      </c>
      <c r="FH885" s="408">
        <v>0</v>
      </c>
      <c r="FI885" s="408">
        <v>0</v>
      </c>
    </row>
    <row r="886" spans="1:165">
      <c r="A886" s="408">
        <v>884</v>
      </c>
      <c r="B886" s="408" t="s">
        <v>1036</v>
      </c>
      <c r="C886" s="408" t="s">
        <v>2247</v>
      </c>
      <c r="D886" s="408" t="s">
        <v>597</v>
      </c>
      <c r="E886" s="408" t="s">
        <v>970</v>
      </c>
      <c r="F886" s="408" t="s">
        <v>1322</v>
      </c>
      <c r="G886" s="408" t="s">
        <v>2318</v>
      </c>
      <c r="H886" s="408" t="s">
        <v>1322</v>
      </c>
      <c r="I886" s="408" t="s">
        <v>973</v>
      </c>
      <c r="J886" s="408" t="s">
        <v>2319</v>
      </c>
      <c r="K886" s="826">
        <v>44621</v>
      </c>
      <c r="L886" s="408">
        <v>7800</v>
      </c>
      <c r="M886" s="408">
        <v>3900</v>
      </c>
      <c r="N886" s="408">
        <v>0</v>
      </c>
      <c r="O886" s="408">
        <v>0</v>
      </c>
      <c r="P886" s="408">
        <v>0</v>
      </c>
      <c r="Q886" s="408">
        <v>0</v>
      </c>
      <c r="R886" s="408">
        <v>52.95</v>
      </c>
      <c r="S886" s="408"/>
      <c r="T886" s="408"/>
      <c r="U886" s="408">
        <v>413010</v>
      </c>
      <c r="V886" s="408"/>
      <c r="W886" s="408">
        <v>413010</v>
      </c>
      <c r="X886" s="408">
        <v>345150</v>
      </c>
      <c r="Y886" s="408">
        <v>0</v>
      </c>
      <c r="Z886" s="408">
        <v>0</v>
      </c>
      <c r="AA886" s="408">
        <v>0</v>
      </c>
      <c r="AB886" s="408">
        <v>0</v>
      </c>
      <c r="AC886" s="408">
        <v>6143.7967769655443</v>
      </c>
      <c r="AD886" s="408">
        <v>5902.6636731637609</v>
      </c>
      <c r="AE886" s="408">
        <v>327082.9691133537</v>
      </c>
      <c r="AF886" s="408"/>
      <c r="AG886" s="408"/>
      <c r="AH886" s="408"/>
      <c r="AI886" s="408">
        <v>0</v>
      </c>
      <c r="AJ886" s="408">
        <v>0</v>
      </c>
      <c r="AK886" s="408">
        <v>0</v>
      </c>
      <c r="AL886" s="408">
        <v>0</v>
      </c>
      <c r="AM886" s="408"/>
      <c r="AN886" s="408">
        <v>0</v>
      </c>
      <c r="AO886" s="408">
        <v>13041.996884625618</v>
      </c>
      <c r="AP886" s="408">
        <v>60812.114336929255</v>
      </c>
      <c r="AQ886" s="408">
        <v>0</v>
      </c>
      <c r="AR886" s="408">
        <v>0</v>
      </c>
      <c r="AS886" s="408"/>
      <c r="AT886" s="408"/>
      <c r="AU886" s="408">
        <v>0</v>
      </c>
      <c r="AV886" s="408">
        <v>0</v>
      </c>
      <c r="AW886" s="408">
        <v>0</v>
      </c>
      <c r="AX886" s="408"/>
      <c r="AY886" s="408"/>
      <c r="AZ886" s="408">
        <v>0</v>
      </c>
      <c r="BA886" s="408"/>
      <c r="BB886" s="408">
        <v>0</v>
      </c>
      <c r="BC886" s="408">
        <v>0</v>
      </c>
      <c r="BD886" s="408">
        <v>0</v>
      </c>
      <c r="BE886" s="408">
        <v>0</v>
      </c>
      <c r="BF886" s="408"/>
      <c r="BG886" s="408">
        <v>0</v>
      </c>
      <c r="BH886" s="408">
        <v>0</v>
      </c>
      <c r="BI886" s="408">
        <v>0</v>
      </c>
      <c r="BJ886" s="408">
        <v>0</v>
      </c>
      <c r="BK886" s="408">
        <v>0</v>
      </c>
      <c r="BL886" s="408">
        <v>0</v>
      </c>
      <c r="BM886" s="408"/>
      <c r="BN886" s="408">
        <v>172575</v>
      </c>
      <c r="BO886" s="408"/>
      <c r="BP886" s="408"/>
      <c r="BQ886" s="408"/>
      <c r="BR886" s="408"/>
      <c r="BS886" s="408"/>
      <c r="BT886" s="408"/>
      <c r="BU886" s="408"/>
      <c r="BV886" s="408">
        <v>0</v>
      </c>
      <c r="BW886" s="408"/>
      <c r="BX886" s="408"/>
      <c r="BY886" s="408"/>
      <c r="BZ886" s="408"/>
      <c r="CA886" s="408"/>
      <c r="CB886" s="408"/>
      <c r="CC886" s="408"/>
      <c r="CD886" s="408"/>
      <c r="CE886" s="408"/>
      <c r="CF886" s="408"/>
      <c r="CG886" s="408"/>
      <c r="CH886" s="408"/>
      <c r="CI886" s="408">
        <v>172575</v>
      </c>
      <c r="CJ886" s="408">
        <v>-33930.030000000028</v>
      </c>
      <c r="CK886" s="408"/>
      <c r="CL886" s="408"/>
      <c r="CM886" s="408"/>
      <c r="CN886" s="408"/>
      <c r="CO886" s="408">
        <v>-67860.000000000029</v>
      </c>
      <c r="CP886" s="408">
        <v>0</v>
      </c>
      <c r="CQ886" s="408">
        <v>31</v>
      </c>
      <c r="CR886" s="408">
        <v>13437.192136518745</v>
      </c>
      <c r="CS886" s="408">
        <v>1299.6071130329037</v>
      </c>
      <c r="CT886" s="408">
        <v>6059.7972112697025</v>
      </c>
      <c r="CU886" s="408">
        <v>0</v>
      </c>
      <c r="CV886" s="408">
        <v>0</v>
      </c>
      <c r="CW886" s="408"/>
      <c r="CX886" s="408"/>
      <c r="CY886" s="408"/>
      <c r="CZ886" s="408">
        <v>6077.7878122161492</v>
      </c>
      <c r="DA886" s="408">
        <v>0</v>
      </c>
      <c r="DB886" s="408">
        <v>0</v>
      </c>
      <c r="DC886" s="408"/>
      <c r="DD886" s="408"/>
      <c r="DE886" s="408">
        <v>0</v>
      </c>
      <c r="DF886" s="408">
        <v>0</v>
      </c>
      <c r="DG886" s="408">
        <v>0</v>
      </c>
      <c r="DH886" s="408">
        <v>0</v>
      </c>
      <c r="DI886" s="408">
        <v>0</v>
      </c>
      <c r="DJ886" s="408"/>
      <c r="DK886" s="408">
        <v>0</v>
      </c>
      <c r="DL886" s="408">
        <v>0</v>
      </c>
      <c r="DM886" s="408"/>
      <c r="DN886" s="408">
        <v>0</v>
      </c>
      <c r="DO886" s="408">
        <v>0</v>
      </c>
      <c r="DP886" s="408">
        <v>0</v>
      </c>
      <c r="DQ886" s="408">
        <v>0</v>
      </c>
      <c r="DR886" s="408">
        <v>0</v>
      </c>
      <c r="DS886" s="408"/>
      <c r="DT886" s="408"/>
      <c r="DU886" s="408">
        <v>327082.9691133537</v>
      </c>
      <c r="DV886" s="408"/>
      <c r="DW886" s="408">
        <v>0</v>
      </c>
      <c r="DX886" s="408">
        <v>0</v>
      </c>
      <c r="DY886" s="408">
        <v>-67860</v>
      </c>
      <c r="DZ886" s="408"/>
      <c r="EA886" s="408">
        <v>0</v>
      </c>
      <c r="EB886" s="408"/>
      <c r="EC886" s="408">
        <v>-81252.957694248587</v>
      </c>
      <c r="ED886" s="408"/>
      <c r="EE886" s="408">
        <v>0</v>
      </c>
      <c r="EF886" s="408">
        <v>0</v>
      </c>
      <c r="EG886" s="408"/>
      <c r="EH886" s="408">
        <v>0</v>
      </c>
      <c r="EI886" s="408">
        <v>0</v>
      </c>
      <c r="EJ886" s="408">
        <v>0</v>
      </c>
      <c r="EK886" s="408">
        <v>0</v>
      </c>
      <c r="EL886" s="408">
        <v>0</v>
      </c>
      <c r="EM886" s="408"/>
      <c r="EN886" s="408"/>
      <c r="EO886" s="408">
        <v>0</v>
      </c>
      <c r="EP886" s="408">
        <v>0</v>
      </c>
      <c r="EQ886" s="408"/>
      <c r="ER886" s="408">
        <v>0</v>
      </c>
      <c r="ES886" s="408"/>
      <c r="ET886" s="408">
        <v>0</v>
      </c>
      <c r="EU886" s="408"/>
      <c r="EV886" s="408">
        <v>240</v>
      </c>
      <c r="EW886" s="408"/>
      <c r="EX886" s="408"/>
      <c r="EY886" s="408"/>
      <c r="EZ886" s="408"/>
      <c r="FA886" s="408">
        <v>0</v>
      </c>
      <c r="FB886" s="408"/>
      <c r="FC886" s="408"/>
      <c r="FD886" s="408"/>
      <c r="FE886" s="408"/>
      <c r="FF886" s="408">
        <v>0</v>
      </c>
      <c r="FG886" s="408">
        <v>0</v>
      </c>
      <c r="FH886" s="408">
        <v>0</v>
      </c>
      <c r="FI886" s="408">
        <v>0</v>
      </c>
    </row>
    <row r="887" spans="1:165">
      <c r="A887" s="408">
        <v>885</v>
      </c>
      <c r="B887" s="408" t="s">
        <v>1036</v>
      </c>
      <c r="C887" s="408" t="s">
        <v>2247</v>
      </c>
      <c r="D887" s="408" t="s">
        <v>597</v>
      </c>
      <c r="E887" s="408" t="s">
        <v>970</v>
      </c>
      <c r="F887" s="408" t="s">
        <v>1322</v>
      </c>
      <c r="G887" s="408" t="s">
        <v>2318</v>
      </c>
      <c r="H887" s="408" t="s">
        <v>1322</v>
      </c>
      <c r="I887" s="408" t="s">
        <v>2244</v>
      </c>
      <c r="J887" s="408" t="s">
        <v>2319</v>
      </c>
      <c r="K887" s="826">
        <v>44621</v>
      </c>
      <c r="L887" s="408">
        <v>8500</v>
      </c>
      <c r="M887" s="408">
        <v>4250</v>
      </c>
      <c r="N887" s="408">
        <v>0</v>
      </c>
      <c r="O887" s="408">
        <v>0</v>
      </c>
      <c r="P887" s="408">
        <v>0</v>
      </c>
      <c r="Q887" s="408">
        <v>0</v>
      </c>
      <c r="R887" s="408">
        <v>27.19</v>
      </c>
      <c r="S887" s="408"/>
      <c r="T887" s="408"/>
      <c r="U887" s="408">
        <v>231115</v>
      </c>
      <c r="V887" s="408"/>
      <c r="W887" s="408">
        <v>231115</v>
      </c>
      <c r="X887" s="408">
        <v>184960</v>
      </c>
      <c r="Y887" s="408">
        <v>0</v>
      </c>
      <c r="Z887" s="408">
        <v>0</v>
      </c>
      <c r="AA887" s="408">
        <v>0</v>
      </c>
      <c r="AB887" s="408">
        <v>0</v>
      </c>
      <c r="AC887" s="408">
        <v>1982.205214134294</v>
      </c>
      <c r="AD887" s="408">
        <v>1904.296134648604</v>
      </c>
      <c r="AE887" s="408">
        <v>203422.25706685573</v>
      </c>
      <c r="AF887" s="408"/>
      <c r="AG887" s="408"/>
      <c r="AH887" s="408"/>
      <c r="AI887" s="408">
        <v>0</v>
      </c>
      <c r="AJ887" s="408">
        <v>0</v>
      </c>
      <c r="AK887" s="408">
        <v>0</v>
      </c>
      <c r="AL887" s="408">
        <v>0</v>
      </c>
      <c r="AM887" s="408"/>
      <c r="AN887" s="408">
        <v>0</v>
      </c>
      <c r="AO887" s="408">
        <v>4206.5210642689435</v>
      </c>
      <c r="AP887" s="408">
        <v>19618.755165597664</v>
      </c>
      <c r="AQ887" s="408">
        <v>0</v>
      </c>
      <c r="AR887" s="408">
        <v>0</v>
      </c>
      <c r="AS887" s="408"/>
      <c r="AT887" s="408"/>
      <c r="AU887" s="408">
        <v>0</v>
      </c>
      <c r="AV887" s="408">
        <v>0</v>
      </c>
      <c r="AW887" s="408">
        <v>0</v>
      </c>
      <c r="AX887" s="408"/>
      <c r="AY887" s="408"/>
      <c r="AZ887" s="408">
        <v>0</v>
      </c>
      <c r="BA887" s="408"/>
      <c r="BB887" s="408">
        <v>0</v>
      </c>
      <c r="BC887" s="408">
        <v>0</v>
      </c>
      <c r="BD887" s="408">
        <v>0</v>
      </c>
      <c r="BE887" s="408">
        <v>0</v>
      </c>
      <c r="BF887" s="408"/>
      <c r="BG887" s="408">
        <v>0</v>
      </c>
      <c r="BH887" s="408">
        <v>0</v>
      </c>
      <c r="BI887" s="408">
        <v>0</v>
      </c>
      <c r="BJ887" s="408">
        <v>0</v>
      </c>
      <c r="BK887" s="408">
        <v>0</v>
      </c>
      <c r="BL887" s="408">
        <v>0</v>
      </c>
      <c r="BM887" s="408"/>
      <c r="BN887" s="408">
        <v>92480</v>
      </c>
      <c r="BO887" s="408"/>
      <c r="BP887" s="408"/>
      <c r="BQ887" s="408"/>
      <c r="BR887" s="408"/>
      <c r="BS887" s="408"/>
      <c r="BT887" s="408"/>
      <c r="BU887" s="408"/>
      <c r="BV887" s="408">
        <v>0</v>
      </c>
      <c r="BW887" s="408"/>
      <c r="BX887" s="408"/>
      <c r="BY887" s="408"/>
      <c r="BZ887" s="408"/>
      <c r="CA887" s="408"/>
      <c r="CB887" s="408"/>
      <c r="CC887" s="408"/>
      <c r="CD887" s="408"/>
      <c r="CE887" s="408"/>
      <c r="CF887" s="408"/>
      <c r="CG887" s="408"/>
      <c r="CH887" s="408"/>
      <c r="CI887" s="408">
        <v>92480</v>
      </c>
      <c r="CJ887" s="408">
        <v>-23077.529999999984</v>
      </c>
      <c r="CK887" s="408"/>
      <c r="CL887" s="408"/>
      <c r="CM887" s="408"/>
      <c r="CN887" s="408"/>
      <c r="CO887" s="408">
        <v>-46155</v>
      </c>
      <c r="CP887" s="408">
        <v>0</v>
      </c>
      <c r="CQ887" s="408">
        <v>31</v>
      </c>
      <c r="CR887" s="408">
        <v>4334.9319059781446</v>
      </c>
      <c r="CS887" s="408">
        <v>419.17083285697208</v>
      </c>
      <c r="CT887" s="408">
        <v>1954.9670182882692</v>
      </c>
      <c r="CU887" s="408">
        <v>0</v>
      </c>
      <c r="CV887" s="408">
        <v>0</v>
      </c>
      <c r="CW887" s="408"/>
      <c r="CX887" s="408"/>
      <c r="CY887" s="408"/>
      <c r="CZ887" s="408">
        <v>1960.7940548329007</v>
      </c>
      <c r="DA887" s="408">
        <v>0</v>
      </c>
      <c r="DB887" s="408">
        <v>0</v>
      </c>
      <c r="DC887" s="408"/>
      <c r="DD887" s="408"/>
      <c r="DE887" s="408">
        <v>0</v>
      </c>
      <c r="DF887" s="408">
        <v>0</v>
      </c>
      <c r="DG887" s="408">
        <v>0</v>
      </c>
      <c r="DH887" s="408">
        <v>0</v>
      </c>
      <c r="DI887" s="408">
        <v>0</v>
      </c>
      <c r="DJ887" s="408"/>
      <c r="DK887" s="408">
        <v>0</v>
      </c>
      <c r="DL887" s="408">
        <v>0</v>
      </c>
      <c r="DM887" s="408"/>
      <c r="DN887" s="408">
        <v>0</v>
      </c>
      <c r="DO887" s="408">
        <v>0</v>
      </c>
      <c r="DP887" s="408">
        <v>0</v>
      </c>
      <c r="DQ887" s="408">
        <v>0</v>
      </c>
      <c r="DR887" s="408">
        <v>0</v>
      </c>
      <c r="DS887" s="408"/>
      <c r="DT887" s="408"/>
      <c r="DU887" s="408">
        <v>203422.25706685573</v>
      </c>
      <c r="DV887" s="408"/>
      <c r="DW887" s="408">
        <v>0</v>
      </c>
      <c r="DX887" s="408">
        <v>0</v>
      </c>
      <c r="DY887" s="408">
        <v>-46155</v>
      </c>
      <c r="DZ887" s="408"/>
      <c r="EA887" s="408">
        <v>0</v>
      </c>
      <c r="EB887" s="408"/>
      <c r="EC887" s="408">
        <v>-50533.539218893537</v>
      </c>
      <c r="ED887" s="408"/>
      <c r="EE887" s="408">
        <v>0</v>
      </c>
      <c r="EF887" s="408">
        <v>0</v>
      </c>
      <c r="EG887" s="408"/>
      <c r="EH887" s="408">
        <v>0</v>
      </c>
      <c r="EI887" s="408">
        <v>0</v>
      </c>
      <c r="EJ887" s="408">
        <v>0</v>
      </c>
      <c r="EK887" s="408">
        <v>0</v>
      </c>
      <c r="EL887" s="408">
        <v>0</v>
      </c>
      <c r="EM887" s="408"/>
      <c r="EN887" s="408"/>
      <c r="EO887" s="408">
        <v>0</v>
      </c>
      <c r="EP887" s="408">
        <v>0</v>
      </c>
      <c r="EQ887" s="408"/>
      <c r="ER887" s="408">
        <v>0</v>
      </c>
      <c r="ES887" s="408"/>
      <c r="ET887" s="408">
        <v>0</v>
      </c>
      <c r="EU887" s="408"/>
      <c r="EV887" s="408">
        <v>240</v>
      </c>
      <c r="EW887" s="408"/>
      <c r="EX887" s="408"/>
      <c r="EY887" s="408"/>
      <c r="EZ887" s="408"/>
      <c r="FA887" s="408">
        <v>0</v>
      </c>
      <c r="FB887" s="408"/>
      <c r="FC887" s="408"/>
      <c r="FD887" s="408"/>
      <c r="FE887" s="408"/>
      <c r="FF887" s="408">
        <v>0</v>
      </c>
      <c r="FG887" s="408">
        <v>0</v>
      </c>
      <c r="FH887" s="408">
        <v>0</v>
      </c>
      <c r="FI887" s="408">
        <v>0</v>
      </c>
    </row>
    <row r="888" spans="1:165">
      <c r="A888" s="408">
        <v>886</v>
      </c>
      <c r="B888" s="408" t="s">
        <v>1036</v>
      </c>
      <c r="C888" s="408" t="s">
        <v>2247</v>
      </c>
      <c r="D888" s="408" t="s">
        <v>597</v>
      </c>
      <c r="E888" s="408" t="s">
        <v>970</v>
      </c>
      <c r="F888" s="408" t="s">
        <v>1322</v>
      </c>
      <c r="G888" s="408" t="s">
        <v>2318</v>
      </c>
      <c r="H888" s="408" t="s">
        <v>1322</v>
      </c>
      <c r="I888" s="408" t="s">
        <v>1322</v>
      </c>
      <c r="J888" s="408" t="s">
        <v>2319</v>
      </c>
      <c r="K888" s="826">
        <v>44621</v>
      </c>
      <c r="L888" s="408">
        <v>0</v>
      </c>
      <c r="M888" s="408">
        <v>0</v>
      </c>
      <c r="N888" s="408">
        <v>3383.4169999999999</v>
      </c>
      <c r="O888" s="408">
        <v>3383.4169999999999</v>
      </c>
      <c r="P888" s="408">
        <v>0</v>
      </c>
      <c r="Q888" s="408">
        <v>0</v>
      </c>
      <c r="R888" s="408"/>
      <c r="S888" s="408">
        <v>85.01</v>
      </c>
      <c r="T888" s="408"/>
      <c r="U888" s="408"/>
      <c r="V888" s="408">
        <v>287624.27916999999</v>
      </c>
      <c r="W888" s="408">
        <v>287624.27916999999</v>
      </c>
      <c r="X888" s="408">
        <v>283631.84710999997</v>
      </c>
      <c r="Y888" s="408">
        <v>0</v>
      </c>
      <c r="Z888" s="408">
        <v>181162.7266212317</v>
      </c>
      <c r="AA888" s="408">
        <v>0</v>
      </c>
      <c r="AB888" s="408">
        <v>0</v>
      </c>
      <c r="AC888" s="408">
        <v>0</v>
      </c>
      <c r="AD888" s="408">
        <v>0</v>
      </c>
      <c r="AE888" s="408">
        <v>0</v>
      </c>
      <c r="AF888" s="408"/>
      <c r="AG888" s="408"/>
      <c r="AH888" s="408"/>
      <c r="AI888" s="408">
        <v>0</v>
      </c>
      <c r="AJ888" s="408">
        <v>0</v>
      </c>
      <c r="AK888" s="408">
        <v>0</v>
      </c>
      <c r="AL888" s="408">
        <v>32173.014693817506</v>
      </c>
      <c r="AM888" s="408"/>
      <c r="AN888" s="408">
        <v>2709.4871172407738</v>
      </c>
      <c r="AO888" s="408">
        <v>0</v>
      </c>
      <c r="AP888" s="408">
        <v>0</v>
      </c>
      <c r="AQ888" s="408">
        <v>0</v>
      </c>
      <c r="AR888" s="408">
        <v>0</v>
      </c>
      <c r="AS888" s="408"/>
      <c r="AT888" s="408"/>
      <c r="AU888" s="408">
        <v>0</v>
      </c>
      <c r="AV888" s="408">
        <v>0</v>
      </c>
      <c r="AW888" s="408">
        <v>0</v>
      </c>
      <c r="AX888" s="408"/>
      <c r="AY888" s="408"/>
      <c r="AZ888" s="408">
        <v>0</v>
      </c>
      <c r="BA888" s="408"/>
      <c r="BB888" s="408">
        <v>0</v>
      </c>
      <c r="BC888" s="408">
        <v>0</v>
      </c>
      <c r="BD888" s="408">
        <v>0</v>
      </c>
      <c r="BE888" s="408">
        <v>0</v>
      </c>
      <c r="BF888" s="408"/>
      <c r="BG888" s="408">
        <v>25303.413820101432</v>
      </c>
      <c r="BH888" s="408">
        <v>0</v>
      </c>
      <c r="BI888" s="408">
        <v>6730.08</v>
      </c>
      <c r="BJ888" s="408">
        <v>0</v>
      </c>
      <c r="BK888" s="408">
        <v>151006.29999999999</v>
      </c>
      <c r="BL888" s="408">
        <v>2</v>
      </c>
      <c r="BM888" s="408"/>
      <c r="BN888" s="408"/>
      <c r="BO888" s="408"/>
      <c r="BP888" s="408"/>
      <c r="BQ888" s="408"/>
      <c r="BR888" s="408"/>
      <c r="BS888" s="408"/>
      <c r="BT888" s="408"/>
      <c r="BU888" s="408"/>
      <c r="BV888" s="408">
        <v>25303.413820101432</v>
      </c>
      <c r="BW888" s="408"/>
      <c r="BX888" s="408"/>
      <c r="BY888" s="408"/>
      <c r="BZ888" s="408"/>
      <c r="CA888" s="408"/>
      <c r="CB888" s="408"/>
      <c r="CC888" s="408"/>
      <c r="CD888" s="408"/>
      <c r="CE888" s="408"/>
      <c r="CF888" s="408"/>
      <c r="CG888" s="408"/>
      <c r="CH888" s="408"/>
      <c r="CI888" s="408">
        <v>283632.09860000003</v>
      </c>
      <c r="CJ888" s="408">
        <v>-3992.2105699999956</v>
      </c>
      <c r="CK888" s="408"/>
      <c r="CL888" s="408"/>
      <c r="CM888" s="408"/>
      <c r="CN888" s="408"/>
      <c r="CO888" s="408">
        <v>-3992.4320600000228</v>
      </c>
      <c r="CP888" s="408">
        <v>0</v>
      </c>
      <c r="CQ888" s="408">
        <v>31</v>
      </c>
      <c r="CR888" s="408">
        <v>-3993.9869632789632</v>
      </c>
      <c r="CS888" s="408">
        <v>0</v>
      </c>
      <c r="CT888" s="408">
        <v>0</v>
      </c>
      <c r="CU888" s="408">
        <v>0</v>
      </c>
      <c r="CV888" s="408">
        <v>0</v>
      </c>
      <c r="CW888" s="408"/>
      <c r="CX888" s="408"/>
      <c r="CY888" s="408"/>
      <c r="CZ888" s="408">
        <v>0</v>
      </c>
      <c r="DA888" s="408">
        <v>0</v>
      </c>
      <c r="DB888" s="408">
        <v>0</v>
      </c>
      <c r="DC888" s="408"/>
      <c r="DD888" s="408"/>
      <c r="DE888" s="408">
        <v>0</v>
      </c>
      <c r="DF888" s="408">
        <v>0</v>
      </c>
      <c r="DG888" s="408">
        <v>3206.7483551639452</v>
      </c>
      <c r="DH888" s="408">
        <v>0</v>
      </c>
      <c r="DI888" s="408">
        <v>-6151.7129232909647</v>
      </c>
      <c r="DJ888" s="408"/>
      <c r="DK888" s="408">
        <v>0</v>
      </c>
      <c r="DL888" s="408">
        <v>0</v>
      </c>
      <c r="DM888" s="408"/>
      <c r="DN888" s="408">
        <v>0</v>
      </c>
      <c r="DO888" s="408">
        <v>-972.36713038300877</v>
      </c>
      <c r="DP888" s="408">
        <v>-76.655264768913639</v>
      </c>
      <c r="DQ888" s="408">
        <v>0</v>
      </c>
      <c r="DR888" s="408">
        <v>0</v>
      </c>
      <c r="DS888" s="408"/>
      <c r="DT888" s="408"/>
      <c r="DU888" s="408"/>
      <c r="DV888" s="408">
        <v>0</v>
      </c>
      <c r="DW888" s="408">
        <v>0</v>
      </c>
      <c r="DX888" s="408">
        <v>0</v>
      </c>
      <c r="DY888" s="408">
        <v>-3992.432060000021</v>
      </c>
      <c r="DZ888" s="408"/>
      <c r="EA888" s="408">
        <v>0</v>
      </c>
      <c r="EB888" s="408"/>
      <c r="EC888" s="408">
        <v>0</v>
      </c>
      <c r="ED888" s="408"/>
      <c r="EE888" s="408">
        <v>0</v>
      </c>
      <c r="EF888" s="408">
        <v>0</v>
      </c>
      <c r="EG888" s="408"/>
      <c r="EH888" s="408">
        <v>0</v>
      </c>
      <c r="EI888" s="408">
        <v>0</v>
      </c>
      <c r="EJ888" s="408">
        <v>0</v>
      </c>
      <c r="EK888" s="408">
        <v>0</v>
      </c>
      <c r="EL888" s="408">
        <v>0</v>
      </c>
      <c r="EM888" s="408"/>
      <c r="EN888" s="408"/>
      <c r="EO888" s="408">
        <v>0</v>
      </c>
      <c r="EP888" s="408">
        <v>46265.72932874001</v>
      </c>
      <c r="EQ888" s="408"/>
      <c r="ER888" s="408">
        <v>0</v>
      </c>
      <c r="ES888" s="408"/>
      <c r="ET888" s="408">
        <v>0</v>
      </c>
      <c r="EU888" s="408"/>
      <c r="EV888" s="408">
        <v>240</v>
      </c>
      <c r="EW888" s="408"/>
      <c r="EX888" s="408"/>
      <c r="EY888" s="408"/>
      <c r="EZ888" s="408"/>
      <c r="FA888" s="408">
        <v>0</v>
      </c>
      <c r="FB888" s="408"/>
      <c r="FC888" s="408"/>
      <c r="FD888" s="408"/>
      <c r="FE888" s="408"/>
      <c r="FF888" s="408">
        <v>0</v>
      </c>
      <c r="FG888" s="408">
        <v>0</v>
      </c>
      <c r="FH888" s="408">
        <v>0</v>
      </c>
      <c r="FI888" s="408">
        <v>0</v>
      </c>
    </row>
    <row r="889" spans="1:165">
      <c r="A889" s="408">
        <v>887</v>
      </c>
      <c r="B889" s="408" t="s">
        <v>1036</v>
      </c>
      <c r="C889" s="408" t="s">
        <v>2243</v>
      </c>
      <c r="D889" s="408" t="s">
        <v>597</v>
      </c>
      <c r="E889" s="408" t="s">
        <v>970</v>
      </c>
      <c r="F889" s="408" t="s">
        <v>1322</v>
      </c>
      <c r="G889" s="408" t="s">
        <v>2318</v>
      </c>
      <c r="H889" s="408" t="s">
        <v>1322</v>
      </c>
      <c r="I889" s="408" t="s">
        <v>973</v>
      </c>
      <c r="J889" s="408" t="s">
        <v>2319</v>
      </c>
      <c r="K889" s="826">
        <v>44621</v>
      </c>
      <c r="L889" s="408">
        <v>0</v>
      </c>
      <c r="M889" s="408">
        <v>0</v>
      </c>
      <c r="N889" s="408">
        <v>47.040999999999997</v>
      </c>
      <c r="O889" s="408">
        <v>22.089724464500001</v>
      </c>
      <c r="P889" s="408">
        <v>0</v>
      </c>
      <c r="Q889" s="408">
        <v>0</v>
      </c>
      <c r="R889" s="408"/>
      <c r="S889" s="408">
        <v>1358.36</v>
      </c>
      <c r="T889" s="408"/>
      <c r="U889" s="408"/>
      <c r="V889" s="408">
        <v>63898.612759999989</v>
      </c>
      <c r="W889" s="408">
        <v>63898.612759999989</v>
      </c>
      <c r="X889" s="408">
        <v>54006.831279999991</v>
      </c>
      <c r="Y889" s="408">
        <v>0</v>
      </c>
      <c r="Z889" s="408">
        <v>2518.7778577069748</v>
      </c>
      <c r="AA889" s="408">
        <v>0</v>
      </c>
      <c r="AB889" s="408">
        <v>0</v>
      </c>
      <c r="AC889" s="408">
        <v>891.05477739201001</v>
      </c>
      <c r="AD889" s="408">
        <v>856.10647361981796</v>
      </c>
      <c r="AE889" s="408">
        <v>47441.211506005733</v>
      </c>
      <c r="AF889" s="408"/>
      <c r="AG889" s="408"/>
      <c r="AH889" s="408"/>
      <c r="AI889" s="408">
        <v>0</v>
      </c>
      <c r="AJ889" s="408">
        <v>0</v>
      </c>
      <c r="AK889" s="408">
        <v>0</v>
      </c>
      <c r="AL889" s="408">
        <v>447.31429327566457</v>
      </c>
      <c r="AM889" s="408"/>
      <c r="AN889" s="408">
        <v>37.671083251672272</v>
      </c>
      <c r="AO889" s="408">
        <v>1891.5572867992589</v>
      </c>
      <c r="AP889" s="408">
        <v>8820.0040955391814</v>
      </c>
      <c r="AQ889" s="408">
        <v>0</v>
      </c>
      <c r="AR889" s="408">
        <v>0</v>
      </c>
      <c r="AS889" s="408"/>
      <c r="AT889" s="408"/>
      <c r="AU889" s="408">
        <v>0</v>
      </c>
      <c r="AV889" s="408">
        <v>0</v>
      </c>
      <c r="AW889" s="408">
        <v>0</v>
      </c>
      <c r="AX889" s="408"/>
      <c r="AY889" s="408"/>
      <c r="AZ889" s="408">
        <v>0</v>
      </c>
      <c r="BA889" s="408"/>
      <c r="BB889" s="408">
        <v>0</v>
      </c>
      <c r="BC889" s="408">
        <v>0</v>
      </c>
      <c r="BD889" s="408">
        <v>0</v>
      </c>
      <c r="BE889" s="408">
        <v>0</v>
      </c>
      <c r="BF889" s="408"/>
      <c r="BG889" s="408">
        <v>351.8034843211438</v>
      </c>
      <c r="BH889" s="408">
        <v>0</v>
      </c>
      <c r="BI889" s="408">
        <v>0</v>
      </c>
      <c r="BJ889" s="408">
        <v>0</v>
      </c>
      <c r="BK889" s="408">
        <v>0</v>
      </c>
      <c r="BL889" s="408">
        <v>0</v>
      </c>
      <c r="BM889" s="408"/>
      <c r="BN889" s="408">
        <v>28646.060416796834</v>
      </c>
      <c r="BO889" s="408"/>
      <c r="BP889" s="408"/>
      <c r="BQ889" s="408"/>
      <c r="BR889" s="408"/>
      <c r="BS889" s="408"/>
      <c r="BT889" s="408"/>
      <c r="BU889" s="408"/>
      <c r="BV889" s="408">
        <v>351.8034843211438</v>
      </c>
      <c r="BW889" s="408"/>
      <c r="BX889" s="408"/>
      <c r="BY889" s="408"/>
      <c r="BZ889" s="408"/>
      <c r="CA889" s="408"/>
      <c r="CB889" s="408"/>
      <c r="CC889" s="408"/>
      <c r="CD889" s="408"/>
      <c r="CE889" s="408"/>
      <c r="CF889" s="408"/>
      <c r="CG889" s="408"/>
      <c r="CH889" s="408"/>
      <c r="CI889" s="408">
        <v>25361.087199999998</v>
      </c>
      <c r="CJ889" s="408">
        <v>-4644.7409235982159</v>
      </c>
      <c r="CK889" s="408"/>
      <c r="CL889" s="408"/>
      <c r="CM889" s="408"/>
      <c r="CN889" s="408"/>
      <c r="CO889" s="408">
        <v>-9891.7814799999978</v>
      </c>
      <c r="CP889" s="408">
        <v>0</v>
      </c>
      <c r="CQ889" s="408">
        <v>31</v>
      </c>
      <c r="CR889" s="408">
        <v>1893.3602059986115</v>
      </c>
      <c r="CS889" s="408">
        <v>188.48964053437044</v>
      </c>
      <c r="CT889" s="408">
        <v>878.89455586778604</v>
      </c>
      <c r="CU889" s="408">
        <v>0</v>
      </c>
      <c r="CV889" s="408">
        <v>0</v>
      </c>
      <c r="CW889" s="408"/>
      <c r="CX889" s="408"/>
      <c r="CY889" s="408"/>
      <c r="CZ889" s="408">
        <v>881.50600803874045</v>
      </c>
      <c r="DA889" s="408">
        <v>0</v>
      </c>
      <c r="DB889" s="408">
        <v>0</v>
      </c>
      <c r="DC889" s="408"/>
      <c r="DD889" s="408"/>
      <c r="DE889" s="408">
        <v>0</v>
      </c>
      <c r="DF889" s="408">
        <v>0</v>
      </c>
      <c r="DG889" s="408">
        <v>44.584705159094256</v>
      </c>
      <c r="DH889" s="408">
        <v>0</v>
      </c>
      <c r="DI889" s="408">
        <v>-85.529725607138971</v>
      </c>
      <c r="DJ889" s="408"/>
      <c r="DK889" s="408">
        <v>0</v>
      </c>
      <c r="DL889" s="408">
        <v>0</v>
      </c>
      <c r="DM889" s="408"/>
      <c r="DN889" s="408">
        <v>0</v>
      </c>
      <c r="DO889" s="408">
        <v>-13.519209184190743</v>
      </c>
      <c r="DP889" s="408">
        <v>-1.0657688100504572</v>
      </c>
      <c r="DQ889" s="408">
        <v>0</v>
      </c>
      <c r="DR889" s="408">
        <v>0</v>
      </c>
      <c r="DS889" s="408"/>
      <c r="DT889" s="408"/>
      <c r="DU889" s="408"/>
      <c r="DV889" s="408">
        <v>47441.211506005733</v>
      </c>
      <c r="DW889" s="408">
        <v>0</v>
      </c>
      <c r="DX889" s="408">
        <v>0</v>
      </c>
      <c r="DY889" s="408">
        <v>-9891.7814799999978</v>
      </c>
      <c r="DZ889" s="408"/>
      <c r="EA889" s="408">
        <v>0</v>
      </c>
      <c r="EB889" s="408"/>
      <c r="EC889" s="408">
        <v>-11785.201662779131</v>
      </c>
      <c r="ED889" s="408"/>
      <c r="EE889" s="408">
        <v>0</v>
      </c>
      <c r="EF889" s="408">
        <v>0</v>
      </c>
      <c r="EG889" s="408"/>
      <c r="EH889" s="408">
        <v>0</v>
      </c>
      <c r="EI889" s="408">
        <v>0</v>
      </c>
      <c r="EJ889" s="408">
        <v>0</v>
      </c>
      <c r="EK889" s="408">
        <v>0</v>
      </c>
      <c r="EL889" s="408">
        <v>0</v>
      </c>
      <c r="EM889" s="408"/>
      <c r="EN889" s="408"/>
      <c r="EO889" s="408">
        <v>0</v>
      </c>
      <c r="EP889" s="408">
        <v>643.25094227322813</v>
      </c>
      <c r="EQ889" s="408"/>
      <c r="ER889" s="408">
        <v>0</v>
      </c>
      <c r="ES889" s="408"/>
      <c r="ET889" s="408">
        <v>0</v>
      </c>
      <c r="EU889" s="408"/>
      <c r="EV889" s="408">
        <v>240</v>
      </c>
      <c r="EW889" s="408"/>
      <c r="EX889" s="408"/>
      <c r="EY889" s="408"/>
      <c r="EZ889" s="408"/>
      <c r="FA889" s="408">
        <v>0</v>
      </c>
      <c r="FB889" s="408"/>
      <c r="FC889" s="408"/>
      <c r="FD889" s="408"/>
      <c r="FE889" s="408"/>
      <c r="FF889" s="408">
        <v>0</v>
      </c>
      <c r="FG889" s="408">
        <v>0</v>
      </c>
      <c r="FH889" s="408">
        <v>0</v>
      </c>
      <c r="FI889" s="408">
        <v>0</v>
      </c>
    </row>
    <row r="890" spans="1:165">
      <c r="A890" s="408">
        <v>888</v>
      </c>
      <c r="B890" s="408" t="s">
        <v>1036</v>
      </c>
      <c r="C890" s="408" t="s">
        <v>2243</v>
      </c>
      <c r="D890" s="408" t="s">
        <v>597</v>
      </c>
      <c r="E890" s="408" t="s">
        <v>970</v>
      </c>
      <c r="F890" s="408" t="s">
        <v>1322</v>
      </c>
      <c r="G890" s="408" t="s">
        <v>2318</v>
      </c>
      <c r="H890" s="408" t="s">
        <v>1322</v>
      </c>
      <c r="I890" s="408" t="s">
        <v>2244</v>
      </c>
      <c r="J890" s="408" t="s">
        <v>2319</v>
      </c>
      <c r="K890" s="826">
        <v>44621</v>
      </c>
      <c r="L890" s="408">
        <v>0</v>
      </c>
      <c r="M890" s="408">
        <v>0</v>
      </c>
      <c r="N890" s="408">
        <v>643.06799999999998</v>
      </c>
      <c r="O890" s="408">
        <v>643.06799999999998</v>
      </c>
      <c r="P890" s="408">
        <v>0</v>
      </c>
      <c r="Q890" s="408">
        <v>0</v>
      </c>
      <c r="R890" s="408"/>
      <c r="S890" s="408">
        <v>85.01</v>
      </c>
      <c r="T890" s="408"/>
      <c r="U890" s="408"/>
      <c r="V890" s="408">
        <v>54667.210680000004</v>
      </c>
      <c r="W890" s="408">
        <v>54667.210680000004</v>
      </c>
      <c r="X890" s="408">
        <v>53908.390439999996</v>
      </c>
      <c r="Y890" s="408">
        <v>0</v>
      </c>
      <c r="Z890" s="408">
        <v>34432.631946597838</v>
      </c>
      <c r="AA890" s="408">
        <v>0</v>
      </c>
      <c r="AB890" s="408">
        <v>0</v>
      </c>
      <c r="AC890" s="408">
        <v>0</v>
      </c>
      <c r="AD890" s="408">
        <v>0</v>
      </c>
      <c r="AE890" s="408">
        <v>0</v>
      </c>
      <c r="AF890" s="408"/>
      <c r="AG890" s="408"/>
      <c r="AH890" s="408"/>
      <c r="AI890" s="408">
        <v>0</v>
      </c>
      <c r="AJ890" s="408">
        <v>0</v>
      </c>
      <c r="AK890" s="408">
        <v>0</v>
      </c>
      <c r="AL890" s="408">
        <v>6114.9530823790965</v>
      </c>
      <c r="AM890" s="408"/>
      <c r="AN890" s="408">
        <v>514.97774631675316</v>
      </c>
      <c r="AO890" s="408">
        <v>0</v>
      </c>
      <c r="AP890" s="408">
        <v>0</v>
      </c>
      <c r="AQ890" s="408">
        <v>0</v>
      </c>
      <c r="AR890" s="408">
        <v>0</v>
      </c>
      <c r="AS890" s="408"/>
      <c r="AT890" s="408"/>
      <c r="AU890" s="408">
        <v>0</v>
      </c>
      <c r="AV890" s="408">
        <v>0</v>
      </c>
      <c r="AW890" s="408">
        <v>0</v>
      </c>
      <c r="AX890" s="408"/>
      <c r="AY890" s="408"/>
      <c r="AZ890" s="408">
        <v>0</v>
      </c>
      <c r="BA890" s="408"/>
      <c r="BB890" s="408">
        <v>0</v>
      </c>
      <c r="BC890" s="408">
        <v>0</v>
      </c>
      <c r="BD890" s="408">
        <v>0</v>
      </c>
      <c r="BE890" s="408">
        <v>0</v>
      </c>
      <c r="BF890" s="408"/>
      <c r="BG890" s="408">
        <v>4809.284731519936</v>
      </c>
      <c r="BH890" s="408">
        <v>0</v>
      </c>
      <c r="BI890" s="408">
        <v>0</v>
      </c>
      <c r="BJ890" s="408">
        <v>0</v>
      </c>
      <c r="BK890" s="408">
        <v>0</v>
      </c>
      <c r="BL890" s="408">
        <v>0</v>
      </c>
      <c r="BM890" s="408"/>
      <c r="BN890" s="408"/>
      <c r="BO890" s="408"/>
      <c r="BP890" s="408"/>
      <c r="BQ890" s="408"/>
      <c r="BR890" s="408"/>
      <c r="BS890" s="408"/>
      <c r="BT890" s="408"/>
      <c r="BU890" s="408"/>
      <c r="BV890" s="408">
        <v>4809.284731519936</v>
      </c>
      <c r="BW890" s="408"/>
      <c r="BX890" s="408"/>
      <c r="BY890" s="408"/>
      <c r="BZ890" s="408"/>
      <c r="CA890" s="408"/>
      <c r="CB890" s="408"/>
      <c r="CC890" s="408"/>
      <c r="CD890" s="408"/>
      <c r="CE890" s="408"/>
      <c r="CF890" s="408"/>
      <c r="CG890" s="408"/>
      <c r="CH890" s="408"/>
      <c r="CI890" s="408">
        <v>53908.558100000002</v>
      </c>
      <c r="CJ890" s="408">
        <v>-758.68258000000787</v>
      </c>
      <c r="CK890" s="408"/>
      <c r="CL890" s="408"/>
      <c r="CM890" s="408"/>
      <c r="CN890" s="408"/>
      <c r="CO890" s="408">
        <v>-758.82024000000433</v>
      </c>
      <c r="CP890" s="408">
        <v>0</v>
      </c>
      <c r="CQ890" s="408">
        <v>31</v>
      </c>
      <c r="CR890" s="408">
        <v>-759.11577216225851</v>
      </c>
      <c r="CS890" s="408">
        <v>0</v>
      </c>
      <c r="CT890" s="408">
        <v>0</v>
      </c>
      <c r="CU890" s="408">
        <v>0</v>
      </c>
      <c r="CV890" s="408">
        <v>0</v>
      </c>
      <c r="CW890" s="408"/>
      <c r="CX890" s="408"/>
      <c r="CY890" s="408"/>
      <c r="CZ890" s="408">
        <v>0</v>
      </c>
      <c r="DA890" s="408">
        <v>0</v>
      </c>
      <c r="DB890" s="408">
        <v>0</v>
      </c>
      <c r="DC890" s="408"/>
      <c r="DD890" s="408"/>
      <c r="DE890" s="408">
        <v>0</v>
      </c>
      <c r="DF890" s="408">
        <v>0</v>
      </c>
      <c r="DG890" s="408">
        <v>609.48953417759822</v>
      </c>
      <c r="DH890" s="408">
        <v>0</v>
      </c>
      <c r="DI890" s="408">
        <v>-1169.223222013381</v>
      </c>
      <c r="DJ890" s="408"/>
      <c r="DK890" s="408">
        <v>0</v>
      </c>
      <c r="DL890" s="408">
        <v>0</v>
      </c>
      <c r="DM890" s="408"/>
      <c r="DN890" s="408">
        <v>0</v>
      </c>
      <c r="DO890" s="408">
        <v>-184.81262753043484</v>
      </c>
      <c r="DP890" s="408">
        <v>-14.569456796018926</v>
      </c>
      <c r="DQ890" s="408">
        <v>0</v>
      </c>
      <c r="DR890" s="408">
        <v>0</v>
      </c>
      <c r="DS890" s="408"/>
      <c r="DT890" s="408"/>
      <c r="DU890" s="408"/>
      <c r="DV890" s="408">
        <v>0</v>
      </c>
      <c r="DW890" s="408">
        <v>0</v>
      </c>
      <c r="DX890" s="408">
        <v>0</v>
      </c>
      <c r="DY890" s="408">
        <v>-758.8202400000082</v>
      </c>
      <c r="DZ890" s="408"/>
      <c r="EA890" s="408">
        <v>0</v>
      </c>
      <c r="EB890" s="408"/>
      <c r="EC890" s="408">
        <v>0</v>
      </c>
      <c r="ED890" s="408"/>
      <c r="EE890" s="408">
        <v>0</v>
      </c>
      <c r="EF890" s="408">
        <v>0</v>
      </c>
      <c r="EG890" s="408"/>
      <c r="EH890" s="408">
        <v>0</v>
      </c>
      <c r="EI890" s="408">
        <v>0</v>
      </c>
      <c r="EJ890" s="408">
        <v>0</v>
      </c>
      <c r="EK890" s="408">
        <v>0</v>
      </c>
      <c r="EL890" s="408">
        <v>0</v>
      </c>
      <c r="EM890" s="408"/>
      <c r="EN890" s="408"/>
      <c r="EO890" s="408">
        <v>0</v>
      </c>
      <c r="EP890" s="408">
        <v>8793.4800906817509</v>
      </c>
      <c r="EQ890" s="408"/>
      <c r="ER890" s="408">
        <v>0</v>
      </c>
      <c r="ES890" s="408"/>
      <c r="ET890" s="408">
        <v>0</v>
      </c>
      <c r="EU890" s="408"/>
      <c r="EV890" s="408">
        <v>240</v>
      </c>
      <c r="EW890" s="408"/>
      <c r="EX890" s="408"/>
      <c r="EY890" s="408"/>
      <c r="EZ890" s="408"/>
      <c r="FA890" s="408">
        <v>0</v>
      </c>
      <c r="FB890" s="408"/>
      <c r="FC890" s="408"/>
      <c r="FD890" s="408"/>
      <c r="FE890" s="408"/>
      <c r="FF890" s="408">
        <v>0</v>
      </c>
      <c r="FG890" s="408">
        <v>0</v>
      </c>
      <c r="FH890" s="408">
        <v>0</v>
      </c>
      <c r="FI890" s="408">
        <v>0</v>
      </c>
    </row>
    <row r="891" spans="1:165">
      <c r="A891" s="408">
        <v>889</v>
      </c>
      <c r="B891" s="408" t="s">
        <v>1036</v>
      </c>
      <c r="C891" s="408" t="s">
        <v>2243</v>
      </c>
      <c r="D891" s="408" t="s">
        <v>597</v>
      </c>
      <c r="E891" s="408" t="s">
        <v>970</v>
      </c>
      <c r="F891" s="408" t="s">
        <v>1322</v>
      </c>
      <c r="G891" s="408" t="s">
        <v>2318</v>
      </c>
      <c r="H891" s="408" t="s">
        <v>1322</v>
      </c>
      <c r="I891" s="408" t="s">
        <v>1322</v>
      </c>
      <c r="J891" s="408" t="s">
        <v>2319</v>
      </c>
      <c r="K891" s="826">
        <v>44621</v>
      </c>
      <c r="L891" s="408">
        <v>2928</v>
      </c>
      <c r="M891" s="408">
        <v>1502.99955456</v>
      </c>
      <c r="N891" s="408">
        <v>0</v>
      </c>
      <c r="O891" s="408">
        <v>0</v>
      </c>
      <c r="P891" s="408">
        <v>0</v>
      </c>
      <c r="Q891" s="408">
        <v>0</v>
      </c>
      <c r="R891" s="408">
        <v>27.19</v>
      </c>
      <c r="S891" s="408"/>
      <c r="T891" s="408"/>
      <c r="U891" s="408">
        <v>79612.320000000007</v>
      </c>
      <c r="V891" s="408"/>
      <c r="W891" s="408">
        <v>79612.320000000007</v>
      </c>
      <c r="X891" s="408">
        <v>63713.280000000006</v>
      </c>
      <c r="Y891" s="408">
        <v>0</v>
      </c>
      <c r="Z891" s="408">
        <v>0</v>
      </c>
      <c r="AA891" s="408">
        <v>0</v>
      </c>
      <c r="AB891" s="408">
        <v>0</v>
      </c>
      <c r="AC891" s="408">
        <v>682.81139611590743</v>
      </c>
      <c r="AD891" s="408">
        <v>655.97400967660155</v>
      </c>
      <c r="AE891" s="408">
        <v>70072.984551971007</v>
      </c>
      <c r="AF891" s="408"/>
      <c r="AG891" s="408"/>
      <c r="AH891" s="408"/>
      <c r="AI891" s="408">
        <v>0</v>
      </c>
      <c r="AJ891" s="408">
        <v>0</v>
      </c>
      <c r="AK891" s="408">
        <v>0</v>
      </c>
      <c r="AL891" s="408">
        <v>0</v>
      </c>
      <c r="AM891" s="408"/>
      <c r="AN891" s="408">
        <v>0</v>
      </c>
      <c r="AO891" s="408">
        <v>1449.0227854328787</v>
      </c>
      <c r="AP891" s="408">
        <v>6758.0841323376426</v>
      </c>
      <c r="AQ891" s="408">
        <v>0</v>
      </c>
      <c r="AR891" s="408">
        <v>0</v>
      </c>
      <c r="AS891" s="408"/>
      <c r="AT891" s="408"/>
      <c r="AU891" s="408">
        <v>0</v>
      </c>
      <c r="AV891" s="408">
        <v>0</v>
      </c>
      <c r="AW891" s="408">
        <v>0</v>
      </c>
      <c r="AX891" s="408"/>
      <c r="AY891" s="408"/>
      <c r="AZ891" s="408">
        <v>0</v>
      </c>
      <c r="BA891" s="408"/>
      <c r="BB891" s="408">
        <v>0</v>
      </c>
      <c r="BC891" s="408">
        <v>0</v>
      </c>
      <c r="BD891" s="408">
        <v>0</v>
      </c>
      <c r="BE891" s="408">
        <v>0</v>
      </c>
      <c r="BF891" s="408"/>
      <c r="BG891" s="408">
        <v>0</v>
      </c>
      <c r="BH891" s="408">
        <v>0</v>
      </c>
      <c r="BI891" s="408">
        <v>1418.99</v>
      </c>
      <c r="BJ891" s="408">
        <v>0</v>
      </c>
      <c r="BK891" s="408">
        <v>37473.620000000003</v>
      </c>
      <c r="BL891" s="408">
        <v>5</v>
      </c>
      <c r="BM891" s="408"/>
      <c r="BN891" s="408">
        <v>31008.009692774402</v>
      </c>
      <c r="BO891" s="408"/>
      <c r="BP891" s="408"/>
      <c r="BQ891" s="408"/>
      <c r="BR891" s="408"/>
      <c r="BS891" s="408"/>
      <c r="BT891" s="408"/>
      <c r="BU891" s="408"/>
      <c r="BV891" s="408">
        <v>0</v>
      </c>
      <c r="BW891" s="408"/>
      <c r="BX891" s="408"/>
      <c r="BY891" s="408"/>
      <c r="BZ891" s="408"/>
      <c r="CA891" s="408"/>
      <c r="CB891" s="408"/>
      <c r="CC891" s="408"/>
      <c r="CD891" s="408"/>
      <c r="CE891" s="408"/>
      <c r="CF891" s="408"/>
      <c r="CG891" s="408"/>
      <c r="CH891" s="408"/>
      <c r="CI891" s="408">
        <v>32705.280000000002</v>
      </c>
      <c r="CJ891" s="408">
        <v>-8161.3078884864044</v>
      </c>
      <c r="CK891" s="408"/>
      <c r="CL891" s="408"/>
      <c r="CM891" s="408"/>
      <c r="CN891" s="408"/>
      <c r="CO891" s="408">
        <v>-15899.039999999999</v>
      </c>
      <c r="CP891" s="408">
        <v>0</v>
      </c>
      <c r="CQ891" s="408">
        <v>31</v>
      </c>
      <c r="CR891" s="408">
        <v>1493.256543612235</v>
      </c>
      <c r="CS891" s="408">
        <v>144.39202336531912</v>
      </c>
      <c r="CT891" s="408">
        <v>673.4286387703587</v>
      </c>
      <c r="CU891" s="408">
        <v>0</v>
      </c>
      <c r="CV891" s="408">
        <v>0</v>
      </c>
      <c r="CW891" s="408"/>
      <c r="CX891" s="408"/>
      <c r="CY891" s="408"/>
      <c r="CZ891" s="408">
        <v>675.43588147655669</v>
      </c>
      <c r="DA891" s="408">
        <v>0</v>
      </c>
      <c r="DB891" s="408">
        <v>0</v>
      </c>
      <c r="DC891" s="408"/>
      <c r="DD891" s="408"/>
      <c r="DE891" s="408">
        <v>0</v>
      </c>
      <c r="DF891" s="408">
        <v>0</v>
      </c>
      <c r="DG891" s="408">
        <v>0</v>
      </c>
      <c r="DH891" s="408">
        <v>0</v>
      </c>
      <c r="DI891" s="408">
        <v>0</v>
      </c>
      <c r="DJ891" s="408"/>
      <c r="DK891" s="408">
        <v>0</v>
      </c>
      <c r="DL891" s="408">
        <v>0</v>
      </c>
      <c r="DM891" s="408"/>
      <c r="DN891" s="408">
        <v>0</v>
      </c>
      <c r="DO891" s="408">
        <v>0</v>
      </c>
      <c r="DP891" s="408">
        <v>0</v>
      </c>
      <c r="DQ891" s="408">
        <v>0</v>
      </c>
      <c r="DR891" s="408">
        <v>0</v>
      </c>
      <c r="DS891" s="408"/>
      <c r="DT891" s="408"/>
      <c r="DU891" s="408">
        <v>70072.984551971007</v>
      </c>
      <c r="DV891" s="408"/>
      <c r="DW891" s="408">
        <v>0</v>
      </c>
      <c r="DX891" s="408">
        <v>0</v>
      </c>
      <c r="DY891" s="408">
        <v>-15899.04</v>
      </c>
      <c r="DZ891" s="408"/>
      <c r="EA891" s="408">
        <v>0</v>
      </c>
      <c r="EB891" s="408"/>
      <c r="EC891" s="408">
        <v>-17407.317980343563</v>
      </c>
      <c r="ED891" s="408"/>
      <c r="EE891" s="408">
        <v>0</v>
      </c>
      <c r="EF891" s="408">
        <v>0</v>
      </c>
      <c r="EG891" s="408"/>
      <c r="EH891" s="408">
        <v>0</v>
      </c>
      <c r="EI891" s="408">
        <v>0</v>
      </c>
      <c r="EJ891" s="408">
        <v>0</v>
      </c>
      <c r="EK891" s="408">
        <v>0</v>
      </c>
      <c r="EL891" s="408">
        <v>0</v>
      </c>
      <c r="EM891" s="408"/>
      <c r="EN891" s="408"/>
      <c r="EO891" s="408">
        <v>0</v>
      </c>
      <c r="EP891" s="408">
        <v>0</v>
      </c>
      <c r="EQ891" s="408"/>
      <c r="ER891" s="408">
        <v>0</v>
      </c>
      <c r="ES891" s="408"/>
      <c r="ET891" s="408">
        <v>0</v>
      </c>
      <c r="EU891" s="408"/>
      <c r="EV891" s="408">
        <v>240</v>
      </c>
      <c r="EW891" s="408"/>
      <c r="EX891" s="408"/>
      <c r="EY891" s="408"/>
      <c r="EZ891" s="408"/>
      <c r="FA891" s="408">
        <v>0</v>
      </c>
      <c r="FB891" s="408"/>
      <c r="FC891" s="408"/>
      <c r="FD891" s="408"/>
      <c r="FE891" s="408"/>
      <c r="FF891" s="408">
        <v>0</v>
      </c>
      <c r="FG891" s="408">
        <v>0</v>
      </c>
      <c r="FH891" s="408">
        <v>0</v>
      </c>
      <c r="FI891" s="408">
        <v>0</v>
      </c>
    </row>
    <row r="892" spans="1:165">
      <c r="A892" s="408">
        <v>890</v>
      </c>
      <c r="B892" s="408" t="s">
        <v>1036</v>
      </c>
      <c r="C892" s="408" t="s">
        <v>993</v>
      </c>
      <c r="D892" s="408" t="s">
        <v>599</v>
      </c>
      <c r="E892" s="408" t="s">
        <v>1322</v>
      </c>
      <c r="F892" s="408" t="s">
        <v>1322</v>
      </c>
      <c r="G892" s="408" t="s">
        <v>1322</v>
      </c>
      <c r="H892" s="408" t="s">
        <v>2320</v>
      </c>
      <c r="I892" s="408" t="s">
        <v>1322</v>
      </c>
      <c r="J892" s="408" t="s">
        <v>2256</v>
      </c>
      <c r="K892" s="826">
        <v>44621</v>
      </c>
      <c r="L892" s="408">
        <v>7020</v>
      </c>
      <c r="M892" s="408">
        <v>3510</v>
      </c>
      <c r="N892" s="408">
        <v>0</v>
      </c>
      <c r="O892" s="408">
        <v>0</v>
      </c>
      <c r="P892" s="408">
        <v>0</v>
      </c>
      <c r="Q892" s="408">
        <v>0</v>
      </c>
      <c r="R892" s="408">
        <v>6.87</v>
      </c>
      <c r="S892" s="408"/>
      <c r="T892" s="408"/>
      <c r="U892" s="408">
        <v>48227.4</v>
      </c>
      <c r="V892" s="408"/>
      <c r="W892" s="408">
        <v>48227.4</v>
      </c>
      <c r="X892" s="408">
        <v>40084.199999999997</v>
      </c>
      <c r="Y892" s="408">
        <v>0</v>
      </c>
      <c r="Z892" s="408">
        <v>0</v>
      </c>
      <c r="AA892" s="408">
        <v>0</v>
      </c>
      <c r="AB892" s="408">
        <v>0</v>
      </c>
      <c r="AC892" s="408">
        <v>0</v>
      </c>
      <c r="AD892" s="408">
        <v>2031.0321998913851</v>
      </c>
      <c r="AE892" s="408">
        <v>42729.467006265557</v>
      </c>
      <c r="AF892" s="408"/>
      <c r="AG892" s="408"/>
      <c r="AH892" s="408"/>
      <c r="AI892" s="408">
        <v>0</v>
      </c>
      <c r="AJ892" s="408">
        <v>0</v>
      </c>
      <c r="AK892" s="408">
        <v>0</v>
      </c>
      <c r="AL892" s="408">
        <v>0</v>
      </c>
      <c r="AM892" s="408"/>
      <c r="AN892" s="408">
        <v>0</v>
      </c>
      <c r="AO892" s="408">
        <v>0</v>
      </c>
      <c r="AP892" s="408">
        <v>0</v>
      </c>
      <c r="AQ892" s="408">
        <v>0</v>
      </c>
      <c r="AR892" s="408">
        <v>0</v>
      </c>
      <c r="AS892" s="408"/>
      <c r="AT892" s="408"/>
      <c r="AU892" s="408">
        <v>0</v>
      </c>
      <c r="AV892" s="408">
        <v>0</v>
      </c>
      <c r="AW892" s="408">
        <v>0</v>
      </c>
      <c r="AX892" s="408"/>
      <c r="AY892" s="408"/>
      <c r="AZ892" s="408">
        <v>0</v>
      </c>
      <c r="BA892" s="408"/>
      <c r="BB892" s="408">
        <v>0</v>
      </c>
      <c r="BC892" s="408">
        <v>0</v>
      </c>
      <c r="BD892" s="408">
        <v>0</v>
      </c>
      <c r="BE892" s="408">
        <v>0</v>
      </c>
      <c r="BF892" s="408"/>
      <c r="BG892" s="408">
        <v>3436.1874076712338</v>
      </c>
      <c r="BH892" s="408">
        <v>0</v>
      </c>
      <c r="BI892" s="408">
        <v>331.4</v>
      </c>
      <c r="BJ892" s="408">
        <v>0</v>
      </c>
      <c r="BK892" s="408">
        <v>0</v>
      </c>
      <c r="BL892" s="408">
        <v>0</v>
      </c>
      <c r="BM892" s="408"/>
      <c r="BN892" s="408"/>
      <c r="BO892" s="408">
        <v>20042.099999999999</v>
      </c>
      <c r="BP892" s="408"/>
      <c r="BQ892" s="408"/>
      <c r="BR892" s="408"/>
      <c r="BS892" s="408"/>
      <c r="BT892" s="408"/>
      <c r="BU892" s="408"/>
      <c r="BV892" s="408">
        <v>3436.1874076712338</v>
      </c>
      <c r="BW892" s="408"/>
      <c r="BX892" s="408"/>
      <c r="BY892" s="408"/>
      <c r="BZ892" s="408"/>
      <c r="CA892" s="408"/>
      <c r="CB892" s="408"/>
      <c r="CC892" s="408"/>
      <c r="CD892" s="408"/>
      <c r="CE892" s="408"/>
      <c r="CF892" s="408"/>
      <c r="CG892" s="408"/>
      <c r="CH892" s="408"/>
      <c r="CI892" s="408">
        <v>20042.099999999999</v>
      </c>
      <c r="CJ892" s="408">
        <v>-4071.6299999999974</v>
      </c>
      <c r="CK892" s="408"/>
      <c r="CL892" s="408"/>
      <c r="CM892" s="408"/>
      <c r="CN892" s="408"/>
      <c r="CO892" s="408">
        <v>-8143.2000000000007</v>
      </c>
      <c r="CP892" s="408">
        <v>0</v>
      </c>
      <c r="CQ892" s="408">
        <v>31</v>
      </c>
      <c r="CR892" s="408">
        <v>2526.7645846364476</v>
      </c>
      <c r="CS892" s="408">
        <v>0</v>
      </c>
      <c r="CT892" s="408">
        <v>0</v>
      </c>
      <c r="CU892" s="408">
        <v>0</v>
      </c>
      <c r="CV892" s="408">
        <v>0</v>
      </c>
      <c r="CW892" s="408"/>
      <c r="CX892" s="408"/>
      <c r="CY892" s="408"/>
      <c r="CZ892" s="408">
        <v>2091.2902096795342</v>
      </c>
      <c r="DA892" s="408">
        <v>0</v>
      </c>
      <c r="DB892" s="408">
        <v>0</v>
      </c>
      <c r="DC892" s="408"/>
      <c r="DD892" s="408"/>
      <c r="DE892" s="408">
        <v>0</v>
      </c>
      <c r="DF892" s="408">
        <v>0</v>
      </c>
      <c r="DG892" s="408">
        <v>435.47437495691338</v>
      </c>
      <c r="DH892" s="408">
        <v>0</v>
      </c>
      <c r="DI892" s="408">
        <v>0</v>
      </c>
      <c r="DJ892" s="408"/>
      <c r="DK892" s="408">
        <v>0</v>
      </c>
      <c r="DL892" s="408">
        <v>0</v>
      </c>
      <c r="DM892" s="408"/>
      <c r="DN892" s="408">
        <v>0</v>
      </c>
      <c r="DO892" s="408">
        <v>0</v>
      </c>
      <c r="DP892" s="408">
        <v>0</v>
      </c>
      <c r="DQ892" s="408">
        <v>0</v>
      </c>
      <c r="DR892" s="408">
        <v>0</v>
      </c>
      <c r="DS892" s="408"/>
      <c r="DT892" s="408"/>
      <c r="DU892" s="408">
        <v>42729.467006265557</v>
      </c>
      <c r="DV892" s="408"/>
      <c r="DW892" s="408">
        <v>0</v>
      </c>
      <c r="DX892" s="408">
        <v>0</v>
      </c>
      <c r="DY892" s="408">
        <v>-8143.2000000000044</v>
      </c>
      <c r="DZ892" s="408"/>
      <c r="EA892" s="408">
        <v>0</v>
      </c>
      <c r="EB892" s="408"/>
      <c r="EC892" s="408">
        <v>-10614.724405765934</v>
      </c>
      <c r="ED892" s="408"/>
      <c r="EE892" s="408">
        <v>0</v>
      </c>
      <c r="EF892" s="408">
        <v>0</v>
      </c>
      <c r="EG892" s="408"/>
      <c r="EH892" s="408">
        <v>0</v>
      </c>
      <c r="EI892" s="408">
        <v>0</v>
      </c>
      <c r="EJ892" s="408">
        <v>0</v>
      </c>
      <c r="EK892" s="408">
        <v>0</v>
      </c>
      <c r="EL892" s="408">
        <v>0</v>
      </c>
      <c r="EM892" s="408"/>
      <c r="EN892" s="408"/>
      <c r="EO892" s="408">
        <v>0</v>
      </c>
      <c r="EP892" s="408">
        <v>0</v>
      </c>
      <c r="EQ892" s="408"/>
      <c r="ER892" s="408">
        <v>0</v>
      </c>
      <c r="ES892" s="408"/>
      <c r="ET892" s="408">
        <v>0</v>
      </c>
      <c r="EU892" s="408"/>
      <c r="EV892" s="408">
        <v>240</v>
      </c>
      <c r="EW892" s="408"/>
      <c r="EX892" s="408"/>
      <c r="EY892" s="408"/>
      <c r="EZ892" s="408"/>
      <c r="FA892" s="408">
        <v>0</v>
      </c>
      <c r="FB892" s="408"/>
      <c r="FC892" s="408"/>
      <c r="FD892" s="408"/>
      <c r="FE892" s="408"/>
      <c r="FF892" s="408">
        <v>0</v>
      </c>
      <c r="FG892" s="408">
        <v>0</v>
      </c>
      <c r="FH892" s="408">
        <v>0</v>
      </c>
      <c r="FI892" s="408">
        <v>0</v>
      </c>
    </row>
    <row r="893" spans="1:165">
      <c r="A893" s="408">
        <v>891</v>
      </c>
      <c r="B893" s="408" t="s">
        <v>1036</v>
      </c>
      <c r="C893" s="408" t="s">
        <v>2247</v>
      </c>
      <c r="D893" s="408" t="s">
        <v>597</v>
      </c>
      <c r="E893" s="408" t="s">
        <v>970</v>
      </c>
      <c r="F893" s="408" t="s">
        <v>1322</v>
      </c>
      <c r="G893" s="408" t="s">
        <v>2318</v>
      </c>
      <c r="H893" s="408" t="s">
        <v>1322</v>
      </c>
      <c r="I893" s="408" t="s">
        <v>973</v>
      </c>
      <c r="J893" s="408" t="s">
        <v>2319</v>
      </c>
      <c r="K893" s="826">
        <v>44652</v>
      </c>
      <c r="L893" s="408">
        <v>7800</v>
      </c>
      <c r="M893" s="408">
        <v>3900</v>
      </c>
      <c r="N893" s="408">
        <v>0</v>
      </c>
      <c r="O893" s="408">
        <v>0</v>
      </c>
      <c r="P893" s="408">
        <v>0</v>
      </c>
      <c r="Q893" s="408">
        <v>0</v>
      </c>
      <c r="R893" s="408">
        <v>52.95</v>
      </c>
      <c r="S893" s="408"/>
      <c r="T893" s="408"/>
      <c r="U893" s="408">
        <v>413010</v>
      </c>
      <c r="V893" s="408"/>
      <c r="W893" s="408">
        <v>413010</v>
      </c>
      <c r="X893" s="408">
        <v>345150</v>
      </c>
      <c r="Y893" s="408">
        <v>0</v>
      </c>
      <c r="Z893" s="408">
        <v>0</v>
      </c>
      <c r="AA893" s="408">
        <v>0</v>
      </c>
      <c r="AB893" s="408">
        <v>0</v>
      </c>
      <c r="AC893" s="408">
        <v>6143.7967769655443</v>
      </c>
      <c r="AD893" s="408">
        <v>5902.6636731637609</v>
      </c>
      <c r="AE893" s="408">
        <v>327082.9691133537</v>
      </c>
      <c r="AF893" s="408"/>
      <c r="AG893" s="408"/>
      <c r="AH893" s="408"/>
      <c r="AI893" s="408">
        <v>0</v>
      </c>
      <c r="AJ893" s="408">
        <v>0</v>
      </c>
      <c r="AK893" s="408">
        <v>0</v>
      </c>
      <c r="AL893" s="408">
        <v>0</v>
      </c>
      <c r="AM893" s="408"/>
      <c r="AN893" s="408">
        <v>0</v>
      </c>
      <c r="AO893" s="408">
        <v>13041.996884625618</v>
      </c>
      <c r="AP893" s="408">
        <v>60812.114336929255</v>
      </c>
      <c r="AQ893" s="408">
        <v>0</v>
      </c>
      <c r="AR893" s="408">
        <v>0</v>
      </c>
      <c r="AS893" s="408"/>
      <c r="AT893" s="408"/>
      <c r="AU893" s="408">
        <v>0</v>
      </c>
      <c r="AV893" s="408">
        <v>0</v>
      </c>
      <c r="AW893" s="408">
        <v>0</v>
      </c>
      <c r="AX893" s="408"/>
      <c r="AY893" s="408"/>
      <c r="AZ893" s="408">
        <v>0</v>
      </c>
      <c r="BA893" s="408"/>
      <c r="BB893" s="408">
        <v>0</v>
      </c>
      <c r="BC893" s="408">
        <v>0</v>
      </c>
      <c r="BD893" s="408">
        <v>0</v>
      </c>
      <c r="BE893" s="408">
        <v>0</v>
      </c>
      <c r="BF893" s="408"/>
      <c r="BG893" s="408">
        <v>0</v>
      </c>
      <c r="BH893" s="408">
        <v>0</v>
      </c>
      <c r="BI893" s="408">
        <v>0</v>
      </c>
      <c r="BJ893" s="408">
        <v>0</v>
      </c>
      <c r="BK893" s="408">
        <v>0</v>
      </c>
      <c r="BL893" s="408">
        <v>0</v>
      </c>
      <c r="BM893" s="408"/>
      <c r="BN893" s="408">
        <v>172575</v>
      </c>
      <c r="BO893" s="408"/>
      <c r="BP893" s="408"/>
      <c r="BQ893" s="408"/>
      <c r="BR893" s="408"/>
      <c r="BS893" s="408"/>
      <c r="BT893" s="408"/>
      <c r="BU893" s="408"/>
      <c r="BV893" s="408">
        <v>0</v>
      </c>
      <c r="BW893" s="408"/>
      <c r="BX893" s="408"/>
      <c r="BY893" s="408"/>
      <c r="BZ893" s="408"/>
      <c r="CA893" s="408"/>
      <c r="CB893" s="408"/>
      <c r="CC893" s="408"/>
      <c r="CD893" s="408"/>
      <c r="CE893" s="408"/>
      <c r="CF893" s="408"/>
      <c r="CG893" s="408"/>
      <c r="CH893" s="408"/>
      <c r="CI893" s="408">
        <v>172575</v>
      </c>
      <c r="CJ893" s="408">
        <v>-33930.030000000028</v>
      </c>
      <c r="CK893" s="408"/>
      <c r="CL893" s="408"/>
      <c r="CM893" s="408"/>
      <c r="CN893" s="408"/>
      <c r="CO893" s="408">
        <v>-67860.000000000029</v>
      </c>
      <c r="CP893" s="408">
        <v>0</v>
      </c>
      <c r="CQ893" s="408">
        <v>30</v>
      </c>
      <c r="CR893" s="408">
        <v>13437.192136518745</v>
      </c>
      <c r="CS893" s="408">
        <v>1299.6071130329037</v>
      </c>
      <c r="CT893" s="408">
        <v>6059.7972112697025</v>
      </c>
      <c r="CU893" s="408">
        <v>0</v>
      </c>
      <c r="CV893" s="408">
        <v>0</v>
      </c>
      <c r="CW893" s="408"/>
      <c r="CX893" s="408"/>
      <c r="CY893" s="408"/>
      <c r="CZ893" s="408">
        <v>6077.7878122161492</v>
      </c>
      <c r="DA893" s="408">
        <v>0</v>
      </c>
      <c r="DB893" s="408">
        <v>0</v>
      </c>
      <c r="DC893" s="408"/>
      <c r="DD893" s="408"/>
      <c r="DE893" s="408">
        <v>0</v>
      </c>
      <c r="DF893" s="408">
        <v>0</v>
      </c>
      <c r="DG893" s="408">
        <v>0</v>
      </c>
      <c r="DH893" s="408">
        <v>0</v>
      </c>
      <c r="DI893" s="408">
        <v>0</v>
      </c>
      <c r="DJ893" s="408"/>
      <c r="DK893" s="408">
        <v>0</v>
      </c>
      <c r="DL893" s="408">
        <v>0</v>
      </c>
      <c r="DM893" s="408"/>
      <c r="DN893" s="408">
        <v>0</v>
      </c>
      <c r="DO893" s="408">
        <v>0</v>
      </c>
      <c r="DP893" s="408">
        <v>0</v>
      </c>
      <c r="DQ893" s="408">
        <v>0</v>
      </c>
      <c r="DR893" s="408">
        <v>0</v>
      </c>
      <c r="DS893" s="408"/>
      <c r="DT893" s="408"/>
      <c r="DU893" s="408">
        <v>327082.9691133537</v>
      </c>
      <c r="DV893" s="408"/>
      <c r="DW893" s="408">
        <v>0</v>
      </c>
      <c r="DX893" s="408">
        <v>0</v>
      </c>
      <c r="DY893" s="408">
        <v>-67860</v>
      </c>
      <c r="DZ893" s="408"/>
      <c r="EA893" s="408">
        <v>0</v>
      </c>
      <c r="EB893" s="408"/>
      <c r="EC893" s="408">
        <v>-81252.957694248587</v>
      </c>
      <c r="ED893" s="408"/>
      <c r="EE893" s="408">
        <v>0</v>
      </c>
      <c r="EF893" s="408">
        <v>0</v>
      </c>
      <c r="EG893" s="408"/>
      <c r="EH893" s="408">
        <v>0</v>
      </c>
      <c r="EI893" s="408">
        <v>0</v>
      </c>
      <c r="EJ893" s="408">
        <v>0</v>
      </c>
      <c r="EK893" s="408">
        <v>0</v>
      </c>
      <c r="EL893" s="408">
        <v>0</v>
      </c>
      <c r="EM893" s="408"/>
      <c r="EN893" s="408"/>
      <c r="EO893" s="408">
        <v>0</v>
      </c>
      <c r="EP893" s="408">
        <v>0</v>
      </c>
      <c r="EQ893" s="408"/>
      <c r="ER893" s="408">
        <v>0</v>
      </c>
      <c r="ES893" s="408"/>
      <c r="ET893" s="408">
        <v>0</v>
      </c>
      <c r="EU893" s="408"/>
      <c r="EV893" s="408">
        <v>240</v>
      </c>
      <c r="EW893" s="408"/>
      <c r="EX893" s="408"/>
      <c r="EY893" s="408"/>
      <c r="EZ893" s="408"/>
      <c r="FA893" s="408">
        <v>0</v>
      </c>
      <c r="FB893" s="408"/>
      <c r="FC893" s="408"/>
      <c r="FD893" s="408"/>
      <c r="FE893" s="408"/>
      <c r="FF893" s="408">
        <v>0</v>
      </c>
      <c r="FG893" s="408">
        <v>0</v>
      </c>
      <c r="FH893" s="408">
        <v>0</v>
      </c>
      <c r="FI893" s="408">
        <v>0</v>
      </c>
    </row>
    <row r="894" spans="1:165">
      <c r="A894" s="408">
        <v>892</v>
      </c>
      <c r="B894" s="408" t="s">
        <v>1036</v>
      </c>
      <c r="C894" s="408" t="s">
        <v>2247</v>
      </c>
      <c r="D894" s="408" t="s">
        <v>597</v>
      </c>
      <c r="E894" s="408" t="s">
        <v>970</v>
      </c>
      <c r="F894" s="408" t="s">
        <v>1322</v>
      </c>
      <c r="G894" s="408" t="s">
        <v>2318</v>
      </c>
      <c r="H894" s="408" t="s">
        <v>1322</v>
      </c>
      <c r="I894" s="408" t="s">
        <v>2244</v>
      </c>
      <c r="J894" s="408" t="s">
        <v>2319</v>
      </c>
      <c r="K894" s="826">
        <v>44652</v>
      </c>
      <c r="L894" s="408">
        <v>8500</v>
      </c>
      <c r="M894" s="408">
        <v>4250</v>
      </c>
      <c r="N894" s="408">
        <v>0</v>
      </c>
      <c r="O894" s="408">
        <v>0</v>
      </c>
      <c r="P894" s="408">
        <v>0</v>
      </c>
      <c r="Q894" s="408">
        <v>0</v>
      </c>
      <c r="R894" s="408">
        <v>27.19</v>
      </c>
      <c r="S894" s="408"/>
      <c r="T894" s="408"/>
      <c r="U894" s="408">
        <v>231115</v>
      </c>
      <c r="V894" s="408"/>
      <c r="W894" s="408">
        <v>231115</v>
      </c>
      <c r="X894" s="408">
        <v>184960</v>
      </c>
      <c r="Y894" s="408">
        <v>0</v>
      </c>
      <c r="Z894" s="408">
        <v>0</v>
      </c>
      <c r="AA894" s="408">
        <v>0</v>
      </c>
      <c r="AB894" s="408">
        <v>0</v>
      </c>
      <c r="AC894" s="408">
        <v>1982.205214134294</v>
      </c>
      <c r="AD894" s="408">
        <v>1904.296134648604</v>
      </c>
      <c r="AE894" s="408">
        <v>203422.25706685573</v>
      </c>
      <c r="AF894" s="408"/>
      <c r="AG894" s="408"/>
      <c r="AH894" s="408"/>
      <c r="AI894" s="408">
        <v>0</v>
      </c>
      <c r="AJ894" s="408">
        <v>0</v>
      </c>
      <c r="AK894" s="408">
        <v>0</v>
      </c>
      <c r="AL894" s="408">
        <v>0</v>
      </c>
      <c r="AM894" s="408"/>
      <c r="AN894" s="408">
        <v>0</v>
      </c>
      <c r="AO894" s="408">
        <v>4206.5210642689435</v>
      </c>
      <c r="AP894" s="408">
        <v>19618.755165597664</v>
      </c>
      <c r="AQ894" s="408">
        <v>0</v>
      </c>
      <c r="AR894" s="408">
        <v>0</v>
      </c>
      <c r="AS894" s="408"/>
      <c r="AT894" s="408"/>
      <c r="AU894" s="408">
        <v>0</v>
      </c>
      <c r="AV894" s="408">
        <v>0</v>
      </c>
      <c r="AW894" s="408">
        <v>0</v>
      </c>
      <c r="AX894" s="408"/>
      <c r="AY894" s="408"/>
      <c r="AZ894" s="408">
        <v>0</v>
      </c>
      <c r="BA894" s="408"/>
      <c r="BB894" s="408">
        <v>0</v>
      </c>
      <c r="BC894" s="408">
        <v>0</v>
      </c>
      <c r="BD894" s="408">
        <v>0</v>
      </c>
      <c r="BE894" s="408">
        <v>0</v>
      </c>
      <c r="BF894" s="408"/>
      <c r="BG894" s="408">
        <v>0</v>
      </c>
      <c r="BH894" s="408">
        <v>0</v>
      </c>
      <c r="BI894" s="408">
        <v>0</v>
      </c>
      <c r="BJ894" s="408">
        <v>0</v>
      </c>
      <c r="BK894" s="408">
        <v>0</v>
      </c>
      <c r="BL894" s="408">
        <v>0</v>
      </c>
      <c r="BM894" s="408"/>
      <c r="BN894" s="408">
        <v>92480</v>
      </c>
      <c r="BO894" s="408"/>
      <c r="BP894" s="408"/>
      <c r="BQ894" s="408"/>
      <c r="BR894" s="408"/>
      <c r="BS894" s="408"/>
      <c r="BT894" s="408"/>
      <c r="BU894" s="408"/>
      <c r="BV894" s="408">
        <v>0</v>
      </c>
      <c r="BW894" s="408"/>
      <c r="BX894" s="408"/>
      <c r="BY894" s="408"/>
      <c r="BZ894" s="408"/>
      <c r="CA894" s="408"/>
      <c r="CB894" s="408"/>
      <c r="CC894" s="408"/>
      <c r="CD894" s="408"/>
      <c r="CE894" s="408"/>
      <c r="CF894" s="408"/>
      <c r="CG894" s="408"/>
      <c r="CH894" s="408"/>
      <c r="CI894" s="408">
        <v>92480</v>
      </c>
      <c r="CJ894" s="408">
        <v>-23077.529999999984</v>
      </c>
      <c r="CK894" s="408"/>
      <c r="CL894" s="408"/>
      <c r="CM894" s="408"/>
      <c r="CN894" s="408"/>
      <c r="CO894" s="408">
        <v>-46155</v>
      </c>
      <c r="CP894" s="408">
        <v>0</v>
      </c>
      <c r="CQ894" s="408">
        <v>30</v>
      </c>
      <c r="CR894" s="408">
        <v>4334.9319059781446</v>
      </c>
      <c r="CS894" s="408">
        <v>419.17083285697208</v>
      </c>
      <c r="CT894" s="408">
        <v>1954.9670182882692</v>
      </c>
      <c r="CU894" s="408">
        <v>0</v>
      </c>
      <c r="CV894" s="408">
        <v>0</v>
      </c>
      <c r="CW894" s="408"/>
      <c r="CX894" s="408"/>
      <c r="CY894" s="408"/>
      <c r="CZ894" s="408">
        <v>1960.7940548329007</v>
      </c>
      <c r="DA894" s="408">
        <v>0</v>
      </c>
      <c r="DB894" s="408">
        <v>0</v>
      </c>
      <c r="DC894" s="408"/>
      <c r="DD894" s="408"/>
      <c r="DE894" s="408">
        <v>0</v>
      </c>
      <c r="DF894" s="408">
        <v>0</v>
      </c>
      <c r="DG894" s="408">
        <v>0</v>
      </c>
      <c r="DH894" s="408">
        <v>0</v>
      </c>
      <c r="DI894" s="408">
        <v>0</v>
      </c>
      <c r="DJ894" s="408"/>
      <c r="DK894" s="408">
        <v>0</v>
      </c>
      <c r="DL894" s="408">
        <v>0</v>
      </c>
      <c r="DM894" s="408"/>
      <c r="DN894" s="408">
        <v>0</v>
      </c>
      <c r="DO894" s="408">
        <v>0</v>
      </c>
      <c r="DP894" s="408">
        <v>0</v>
      </c>
      <c r="DQ894" s="408">
        <v>0</v>
      </c>
      <c r="DR894" s="408">
        <v>0</v>
      </c>
      <c r="DS894" s="408"/>
      <c r="DT894" s="408"/>
      <c r="DU894" s="408">
        <v>203422.25706685573</v>
      </c>
      <c r="DV894" s="408"/>
      <c r="DW894" s="408">
        <v>0</v>
      </c>
      <c r="DX894" s="408">
        <v>0</v>
      </c>
      <c r="DY894" s="408">
        <v>-46155</v>
      </c>
      <c r="DZ894" s="408"/>
      <c r="EA894" s="408">
        <v>0</v>
      </c>
      <c r="EB894" s="408"/>
      <c r="EC894" s="408">
        <v>-50533.539218893537</v>
      </c>
      <c r="ED894" s="408"/>
      <c r="EE894" s="408">
        <v>0</v>
      </c>
      <c r="EF894" s="408">
        <v>0</v>
      </c>
      <c r="EG894" s="408"/>
      <c r="EH894" s="408">
        <v>0</v>
      </c>
      <c r="EI894" s="408">
        <v>0</v>
      </c>
      <c r="EJ894" s="408">
        <v>0</v>
      </c>
      <c r="EK894" s="408">
        <v>0</v>
      </c>
      <c r="EL894" s="408">
        <v>0</v>
      </c>
      <c r="EM894" s="408"/>
      <c r="EN894" s="408"/>
      <c r="EO894" s="408">
        <v>0</v>
      </c>
      <c r="EP894" s="408">
        <v>0</v>
      </c>
      <c r="EQ894" s="408"/>
      <c r="ER894" s="408">
        <v>0</v>
      </c>
      <c r="ES894" s="408"/>
      <c r="ET894" s="408">
        <v>0</v>
      </c>
      <c r="EU894" s="408"/>
      <c r="EV894" s="408">
        <v>240</v>
      </c>
      <c r="EW894" s="408"/>
      <c r="EX894" s="408"/>
      <c r="EY894" s="408"/>
      <c r="EZ894" s="408"/>
      <c r="FA894" s="408">
        <v>0</v>
      </c>
      <c r="FB894" s="408"/>
      <c r="FC894" s="408"/>
      <c r="FD894" s="408"/>
      <c r="FE894" s="408"/>
      <c r="FF894" s="408">
        <v>0</v>
      </c>
      <c r="FG894" s="408">
        <v>0</v>
      </c>
      <c r="FH894" s="408">
        <v>0</v>
      </c>
      <c r="FI894" s="408">
        <v>0</v>
      </c>
    </row>
    <row r="895" spans="1:165">
      <c r="A895" s="408">
        <v>893</v>
      </c>
      <c r="B895" s="408" t="s">
        <v>1036</v>
      </c>
      <c r="C895" s="408" t="s">
        <v>2247</v>
      </c>
      <c r="D895" s="408" t="s">
        <v>597</v>
      </c>
      <c r="E895" s="408" t="s">
        <v>970</v>
      </c>
      <c r="F895" s="408" t="s">
        <v>1322</v>
      </c>
      <c r="G895" s="408" t="s">
        <v>2318</v>
      </c>
      <c r="H895" s="408" t="s">
        <v>1322</v>
      </c>
      <c r="I895" s="408" t="s">
        <v>1322</v>
      </c>
      <c r="J895" s="408" t="s">
        <v>2319</v>
      </c>
      <c r="K895" s="826">
        <v>44652</v>
      </c>
      <c r="L895" s="408">
        <v>0</v>
      </c>
      <c r="M895" s="408">
        <v>0</v>
      </c>
      <c r="N895" s="408">
        <v>3181.4549999999999</v>
      </c>
      <c r="O895" s="408">
        <v>3181.4549999999999</v>
      </c>
      <c r="P895" s="408">
        <v>0</v>
      </c>
      <c r="Q895" s="408">
        <v>0</v>
      </c>
      <c r="R895" s="408"/>
      <c r="S895" s="408">
        <v>85.01</v>
      </c>
      <c r="T895" s="408"/>
      <c r="U895" s="408"/>
      <c r="V895" s="408">
        <v>270455.48955</v>
      </c>
      <c r="W895" s="408">
        <v>270455.48955</v>
      </c>
      <c r="X895" s="408">
        <v>266701.37264999998</v>
      </c>
      <c r="Y895" s="408">
        <v>0</v>
      </c>
      <c r="Z895" s="408">
        <v>170348.81080953093</v>
      </c>
      <c r="AA895" s="408">
        <v>0</v>
      </c>
      <c r="AB895" s="408">
        <v>0</v>
      </c>
      <c r="AC895" s="408">
        <v>0</v>
      </c>
      <c r="AD895" s="408">
        <v>0</v>
      </c>
      <c r="AE895" s="408">
        <v>0</v>
      </c>
      <c r="AF895" s="408"/>
      <c r="AG895" s="408"/>
      <c r="AH895" s="408"/>
      <c r="AI895" s="408">
        <v>0</v>
      </c>
      <c r="AJ895" s="408">
        <v>0</v>
      </c>
      <c r="AK895" s="408">
        <v>0</v>
      </c>
      <c r="AL895" s="408">
        <v>30252.55192094831</v>
      </c>
      <c r="AM895" s="408"/>
      <c r="AN895" s="408">
        <v>2547.7531550445146</v>
      </c>
      <c r="AO895" s="408">
        <v>0</v>
      </c>
      <c r="AP895" s="408">
        <v>0</v>
      </c>
      <c r="AQ895" s="408">
        <v>0</v>
      </c>
      <c r="AR895" s="408">
        <v>0</v>
      </c>
      <c r="AS895" s="408"/>
      <c r="AT895" s="408"/>
      <c r="AU895" s="408">
        <v>0</v>
      </c>
      <c r="AV895" s="408">
        <v>0</v>
      </c>
      <c r="AW895" s="408">
        <v>0</v>
      </c>
      <c r="AX895" s="408"/>
      <c r="AY895" s="408"/>
      <c r="AZ895" s="408">
        <v>0</v>
      </c>
      <c r="BA895" s="408"/>
      <c r="BB895" s="408">
        <v>0</v>
      </c>
      <c r="BC895" s="408">
        <v>0</v>
      </c>
      <c r="BD895" s="408">
        <v>0</v>
      </c>
      <c r="BE895" s="408">
        <v>0</v>
      </c>
      <c r="BF895" s="408"/>
      <c r="BG895" s="408">
        <v>23793.009379284551</v>
      </c>
      <c r="BH895" s="408">
        <v>0</v>
      </c>
      <c r="BI895" s="408">
        <v>6587.91</v>
      </c>
      <c r="BJ895" s="408">
        <v>0</v>
      </c>
      <c r="BK895" s="408">
        <v>147357.07999999999</v>
      </c>
      <c r="BL895" s="408">
        <v>2</v>
      </c>
      <c r="BM895" s="408"/>
      <c r="BN895" s="408"/>
      <c r="BO895" s="408"/>
      <c r="BP895" s="408"/>
      <c r="BQ895" s="408"/>
      <c r="BR895" s="408"/>
      <c r="BS895" s="408"/>
      <c r="BT895" s="408"/>
      <c r="BU895" s="408"/>
      <c r="BV895" s="408">
        <v>23793.009379284551</v>
      </c>
      <c r="BW895" s="408"/>
      <c r="BX895" s="408"/>
      <c r="BY895" s="408"/>
      <c r="BZ895" s="408"/>
      <c r="CA895" s="408"/>
      <c r="CB895" s="408"/>
      <c r="CC895" s="408"/>
      <c r="CD895" s="408"/>
      <c r="CE895" s="408"/>
      <c r="CF895" s="408"/>
      <c r="CG895" s="408"/>
      <c r="CH895" s="408"/>
      <c r="CI895" s="408">
        <v>266701.79180000001</v>
      </c>
      <c r="CJ895" s="408">
        <v>-3753.72775000002</v>
      </c>
      <c r="CK895" s="408"/>
      <c r="CL895" s="408"/>
      <c r="CM895" s="408"/>
      <c r="CN895" s="408"/>
      <c r="CO895" s="408">
        <v>-3754.1169000000218</v>
      </c>
      <c r="CP895" s="408">
        <v>0</v>
      </c>
      <c r="CQ895" s="408">
        <v>30</v>
      </c>
      <c r="CR895" s="408">
        <v>-3755.5789884186233</v>
      </c>
      <c r="CS895" s="408">
        <v>0</v>
      </c>
      <c r="CT895" s="408">
        <v>0</v>
      </c>
      <c r="CU895" s="408">
        <v>0</v>
      </c>
      <c r="CV895" s="408">
        <v>0</v>
      </c>
      <c r="CW895" s="408"/>
      <c r="CX895" s="408"/>
      <c r="CY895" s="408"/>
      <c r="CZ895" s="408">
        <v>0</v>
      </c>
      <c r="DA895" s="408">
        <v>0</v>
      </c>
      <c r="DB895" s="408">
        <v>0</v>
      </c>
      <c r="DC895" s="408"/>
      <c r="DD895" s="408"/>
      <c r="DE895" s="408">
        <v>0</v>
      </c>
      <c r="DF895" s="408">
        <v>0</v>
      </c>
      <c r="DG895" s="408">
        <v>3015.332011477778</v>
      </c>
      <c r="DH895" s="408">
        <v>0</v>
      </c>
      <c r="DI895" s="408">
        <v>-5784.5065619663801</v>
      </c>
      <c r="DJ895" s="408"/>
      <c r="DK895" s="408">
        <v>0</v>
      </c>
      <c r="DL895" s="408">
        <v>0</v>
      </c>
      <c r="DM895" s="408"/>
      <c r="DN895" s="408">
        <v>0</v>
      </c>
      <c r="DO895" s="408">
        <v>-914.32485821069713</v>
      </c>
      <c r="DP895" s="408">
        <v>-72.079579719374124</v>
      </c>
      <c r="DQ895" s="408">
        <v>0</v>
      </c>
      <c r="DR895" s="408">
        <v>0</v>
      </c>
      <c r="DS895" s="408"/>
      <c r="DT895" s="408"/>
      <c r="DU895" s="408"/>
      <c r="DV895" s="408">
        <v>0</v>
      </c>
      <c r="DW895" s="408">
        <v>0</v>
      </c>
      <c r="DX895" s="408">
        <v>0</v>
      </c>
      <c r="DY895" s="408">
        <v>-3754.1169000000227</v>
      </c>
      <c r="DZ895" s="408"/>
      <c r="EA895" s="408">
        <v>0</v>
      </c>
      <c r="EB895" s="408"/>
      <c r="EC895" s="408">
        <v>0</v>
      </c>
      <c r="ED895" s="408"/>
      <c r="EE895" s="408">
        <v>0</v>
      </c>
      <c r="EF895" s="408">
        <v>0</v>
      </c>
      <c r="EG895" s="408"/>
      <c r="EH895" s="408">
        <v>0</v>
      </c>
      <c r="EI895" s="408">
        <v>0</v>
      </c>
      <c r="EJ895" s="408">
        <v>0</v>
      </c>
      <c r="EK895" s="408">
        <v>0</v>
      </c>
      <c r="EL895" s="408">
        <v>0</v>
      </c>
      <c r="EM895" s="408"/>
      <c r="EN895" s="408"/>
      <c r="EO895" s="408">
        <v>0</v>
      </c>
      <c r="EP895" s="408">
        <v>43504.048097401697</v>
      </c>
      <c r="EQ895" s="408"/>
      <c r="ER895" s="408">
        <v>0</v>
      </c>
      <c r="ES895" s="408"/>
      <c r="ET895" s="408">
        <v>0</v>
      </c>
      <c r="EU895" s="408"/>
      <c r="EV895" s="408">
        <v>240</v>
      </c>
      <c r="EW895" s="408"/>
      <c r="EX895" s="408"/>
      <c r="EY895" s="408"/>
      <c r="EZ895" s="408"/>
      <c r="FA895" s="408">
        <v>0</v>
      </c>
      <c r="FB895" s="408"/>
      <c r="FC895" s="408"/>
      <c r="FD895" s="408"/>
      <c r="FE895" s="408"/>
      <c r="FF895" s="408">
        <v>0</v>
      </c>
      <c r="FG895" s="408">
        <v>0</v>
      </c>
      <c r="FH895" s="408">
        <v>0</v>
      </c>
      <c r="FI895" s="408">
        <v>0</v>
      </c>
    </row>
    <row r="896" spans="1:165">
      <c r="A896" s="408">
        <v>894</v>
      </c>
      <c r="B896" s="408" t="s">
        <v>1036</v>
      </c>
      <c r="C896" s="408" t="s">
        <v>2243</v>
      </c>
      <c r="D896" s="408" t="s">
        <v>597</v>
      </c>
      <c r="E896" s="408" t="s">
        <v>970</v>
      </c>
      <c r="F896" s="408" t="s">
        <v>1322</v>
      </c>
      <c r="G896" s="408" t="s">
        <v>2318</v>
      </c>
      <c r="H896" s="408" t="s">
        <v>1322</v>
      </c>
      <c r="I896" s="408" t="s">
        <v>973</v>
      </c>
      <c r="J896" s="408" t="s">
        <v>2319</v>
      </c>
      <c r="K896" s="826">
        <v>44652</v>
      </c>
      <c r="L896" s="408">
        <v>0</v>
      </c>
      <c r="M896" s="408">
        <v>0</v>
      </c>
      <c r="N896" s="408">
        <v>39.43</v>
      </c>
      <c r="O896" s="408">
        <v>18.5013430228</v>
      </c>
      <c r="P896" s="408">
        <v>0</v>
      </c>
      <c r="Q896" s="408">
        <v>0</v>
      </c>
      <c r="R896" s="408"/>
      <c r="S896" s="408">
        <v>1358.36</v>
      </c>
      <c r="T896" s="408"/>
      <c r="U896" s="408"/>
      <c r="V896" s="408">
        <v>53560.134799999993</v>
      </c>
      <c r="W896" s="408">
        <v>53560.134799999993</v>
      </c>
      <c r="X896" s="408">
        <v>45268.794399999999</v>
      </c>
      <c r="Y896" s="408">
        <v>0</v>
      </c>
      <c r="Z896" s="408">
        <v>2111.2521189895201</v>
      </c>
      <c r="AA896" s="408">
        <v>0</v>
      </c>
      <c r="AB896" s="408">
        <v>0</v>
      </c>
      <c r="AC896" s="408">
        <v>746.88654307023569</v>
      </c>
      <c r="AD896" s="408">
        <v>717.59270115068614</v>
      </c>
      <c r="AE896" s="408">
        <v>39765.459273438195</v>
      </c>
      <c r="AF896" s="408"/>
      <c r="AG896" s="408"/>
      <c r="AH896" s="408"/>
      <c r="AI896" s="408">
        <v>0</v>
      </c>
      <c r="AJ896" s="408">
        <v>0</v>
      </c>
      <c r="AK896" s="408">
        <v>0</v>
      </c>
      <c r="AL896" s="408">
        <v>374.94106383494091</v>
      </c>
      <c r="AM896" s="408"/>
      <c r="AN896" s="408">
        <v>31.576089211824527</v>
      </c>
      <c r="AO896" s="408">
        <v>1585.5127190853677</v>
      </c>
      <c r="AP896" s="408">
        <v>7392.9712694693981</v>
      </c>
      <c r="AQ896" s="408">
        <v>0</v>
      </c>
      <c r="AR896" s="408">
        <v>0</v>
      </c>
      <c r="AS896" s="408"/>
      <c r="AT896" s="408"/>
      <c r="AU896" s="408">
        <v>0</v>
      </c>
      <c r="AV896" s="408">
        <v>0</v>
      </c>
      <c r="AW896" s="408">
        <v>0</v>
      </c>
      <c r="AX896" s="408"/>
      <c r="AY896" s="408"/>
      <c r="AZ896" s="408">
        <v>0</v>
      </c>
      <c r="BA896" s="408"/>
      <c r="BB896" s="408">
        <v>0</v>
      </c>
      <c r="BC896" s="408">
        <v>0</v>
      </c>
      <c r="BD896" s="408">
        <v>0</v>
      </c>
      <c r="BE896" s="408">
        <v>0</v>
      </c>
      <c r="BF896" s="408"/>
      <c r="BG896" s="408">
        <v>294.88342906789188</v>
      </c>
      <c r="BH896" s="408">
        <v>0</v>
      </c>
      <c r="BI896" s="408">
        <v>0</v>
      </c>
      <c r="BJ896" s="408">
        <v>0</v>
      </c>
      <c r="BK896" s="408">
        <v>0</v>
      </c>
      <c r="BL896" s="408">
        <v>0</v>
      </c>
      <c r="BM896" s="408"/>
      <c r="BN896" s="408">
        <v>24027.772502383774</v>
      </c>
      <c r="BO896" s="408"/>
      <c r="BP896" s="408"/>
      <c r="BQ896" s="408"/>
      <c r="BR896" s="408"/>
      <c r="BS896" s="408"/>
      <c r="BT896" s="408"/>
      <c r="BU896" s="408"/>
      <c r="BV896" s="408">
        <v>294.88342906789188</v>
      </c>
      <c r="BW896" s="408"/>
      <c r="BX896" s="408"/>
      <c r="BY896" s="408"/>
      <c r="BZ896" s="408"/>
      <c r="CA896" s="408"/>
      <c r="CB896" s="408"/>
      <c r="CC896" s="408"/>
      <c r="CD896" s="408"/>
      <c r="CE896" s="408"/>
      <c r="CF896" s="408"/>
      <c r="CG896" s="408"/>
      <c r="CH896" s="408"/>
      <c r="CI896" s="408">
        <v>21239.48</v>
      </c>
      <c r="CJ896" s="408">
        <v>-3892.0343084506021</v>
      </c>
      <c r="CK896" s="408"/>
      <c r="CL896" s="408"/>
      <c r="CM896" s="408"/>
      <c r="CN896" s="408"/>
      <c r="CO896" s="408">
        <v>-8291.3403999999991</v>
      </c>
      <c r="CP896" s="408">
        <v>0</v>
      </c>
      <c r="CQ896" s="408">
        <v>30</v>
      </c>
      <c r="CR896" s="408">
        <v>1587.0239349190124</v>
      </c>
      <c r="CS896" s="408">
        <v>157.99295351438582</v>
      </c>
      <c r="CT896" s="408">
        <v>736.69378495072033</v>
      </c>
      <c r="CU896" s="408">
        <v>0</v>
      </c>
      <c r="CV896" s="408">
        <v>0</v>
      </c>
      <c r="CW896" s="408"/>
      <c r="CX896" s="408"/>
      <c r="CY896" s="408"/>
      <c r="CZ896" s="408">
        <v>738.88271713967663</v>
      </c>
      <c r="DA896" s="408">
        <v>0</v>
      </c>
      <c r="DB896" s="408">
        <v>0</v>
      </c>
      <c r="DC896" s="408"/>
      <c r="DD896" s="408"/>
      <c r="DE896" s="408">
        <v>0</v>
      </c>
      <c r="DF896" s="408">
        <v>0</v>
      </c>
      <c r="DG896" s="408">
        <v>37.371121456242122</v>
      </c>
      <c r="DH896" s="408">
        <v>0</v>
      </c>
      <c r="DI896" s="408">
        <v>-71.691441097967299</v>
      </c>
      <c r="DJ896" s="408"/>
      <c r="DK896" s="408">
        <v>0</v>
      </c>
      <c r="DL896" s="408">
        <v>0</v>
      </c>
      <c r="DM896" s="408"/>
      <c r="DN896" s="408">
        <v>0</v>
      </c>
      <c r="DO896" s="408">
        <v>-11.331868330448742</v>
      </c>
      <c r="DP896" s="408">
        <v>-0.89333271359642197</v>
      </c>
      <c r="DQ896" s="408">
        <v>0</v>
      </c>
      <c r="DR896" s="408">
        <v>0</v>
      </c>
      <c r="DS896" s="408"/>
      <c r="DT896" s="408"/>
      <c r="DU896" s="408"/>
      <c r="DV896" s="408">
        <v>39765.459273438195</v>
      </c>
      <c r="DW896" s="408">
        <v>0</v>
      </c>
      <c r="DX896" s="408">
        <v>0</v>
      </c>
      <c r="DY896" s="408">
        <v>-8291.3403999999937</v>
      </c>
      <c r="DZ896" s="408"/>
      <c r="EA896" s="408">
        <v>0</v>
      </c>
      <c r="EB896" s="408"/>
      <c r="EC896" s="408">
        <v>-9878.4146077545338</v>
      </c>
      <c r="ED896" s="408"/>
      <c r="EE896" s="408">
        <v>0</v>
      </c>
      <c r="EF896" s="408">
        <v>0</v>
      </c>
      <c r="EG896" s="408"/>
      <c r="EH896" s="408">
        <v>0</v>
      </c>
      <c r="EI896" s="408">
        <v>0</v>
      </c>
      <c r="EJ896" s="408">
        <v>0</v>
      </c>
      <c r="EK896" s="408">
        <v>0</v>
      </c>
      <c r="EL896" s="408">
        <v>0</v>
      </c>
      <c r="EM896" s="408"/>
      <c r="EN896" s="408"/>
      <c r="EO896" s="408">
        <v>0</v>
      </c>
      <c r="EP896" s="408">
        <v>539.17613685579363</v>
      </c>
      <c r="EQ896" s="408"/>
      <c r="ER896" s="408">
        <v>0</v>
      </c>
      <c r="ES896" s="408"/>
      <c r="ET896" s="408">
        <v>0</v>
      </c>
      <c r="EU896" s="408"/>
      <c r="EV896" s="408">
        <v>240</v>
      </c>
      <c r="EW896" s="408"/>
      <c r="EX896" s="408"/>
      <c r="EY896" s="408"/>
      <c r="EZ896" s="408"/>
      <c r="FA896" s="408">
        <v>0</v>
      </c>
      <c r="FB896" s="408"/>
      <c r="FC896" s="408"/>
      <c r="FD896" s="408"/>
      <c r="FE896" s="408"/>
      <c r="FF896" s="408">
        <v>0</v>
      </c>
      <c r="FG896" s="408">
        <v>0</v>
      </c>
      <c r="FH896" s="408">
        <v>0</v>
      </c>
      <c r="FI896" s="408">
        <v>0</v>
      </c>
    </row>
    <row r="897" spans="1:165">
      <c r="A897" s="408">
        <v>895</v>
      </c>
      <c r="B897" s="408" t="s">
        <v>1036</v>
      </c>
      <c r="C897" s="408" t="s">
        <v>2243</v>
      </c>
      <c r="D897" s="408" t="s">
        <v>597</v>
      </c>
      <c r="E897" s="408" t="s">
        <v>970</v>
      </c>
      <c r="F897" s="408" t="s">
        <v>1322</v>
      </c>
      <c r="G897" s="408" t="s">
        <v>2318</v>
      </c>
      <c r="H897" s="408" t="s">
        <v>1322</v>
      </c>
      <c r="I897" s="408" t="s">
        <v>2244</v>
      </c>
      <c r="J897" s="408" t="s">
        <v>2319</v>
      </c>
      <c r="K897" s="826">
        <v>44652</v>
      </c>
      <c r="L897" s="408">
        <v>0</v>
      </c>
      <c r="M897" s="408">
        <v>0</v>
      </c>
      <c r="N897" s="408">
        <v>548.78399999999999</v>
      </c>
      <c r="O897" s="408">
        <v>548.78399999999999</v>
      </c>
      <c r="P897" s="408">
        <v>0</v>
      </c>
      <c r="Q897" s="408">
        <v>0</v>
      </c>
      <c r="R897" s="408"/>
      <c r="S897" s="408">
        <v>85.01</v>
      </c>
      <c r="T897" s="408"/>
      <c r="U897" s="408"/>
      <c r="V897" s="408">
        <v>46652.127840000001</v>
      </c>
      <c r="W897" s="408">
        <v>46652.127840000001</v>
      </c>
      <c r="X897" s="408">
        <v>46004.562720000002</v>
      </c>
      <c r="Y897" s="408">
        <v>0</v>
      </c>
      <c r="Z897" s="408">
        <v>29384.260280688432</v>
      </c>
      <c r="AA897" s="408">
        <v>0</v>
      </c>
      <c r="AB897" s="408">
        <v>0</v>
      </c>
      <c r="AC897" s="408">
        <v>0</v>
      </c>
      <c r="AD897" s="408">
        <v>0</v>
      </c>
      <c r="AE897" s="408">
        <v>0</v>
      </c>
      <c r="AF897" s="408"/>
      <c r="AG897" s="408"/>
      <c r="AH897" s="408"/>
      <c r="AI897" s="408">
        <v>0</v>
      </c>
      <c r="AJ897" s="408">
        <v>0</v>
      </c>
      <c r="AK897" s="408">
        <v>0</v>
      </c>
      <c r="AL897" s="408">
        <v>5218.4036717117478</v>
      </c>
      <c r="AM897" s="408"/>
      <c r="AN897" s="408">
        <v>439.47381542028688</v>
      </c>
      <c r="AO897" s="408">
        <v>0</v>
      </c>
      <c r="AP897" s="408">
        <v>0</v>
      </c>
      <c r="AQ897" s="408">
        <v>0</v>
      </c>
      <c r="AR897" s="408">
        <v>0</v>
      </c>
      <c r="AS897" s="408"/>
      <c r="AT897" s="408"/>
      <c r="AU897" s="408">
        <v>0</v>
      </c>
      <c r="AV897" s="408">
        <v>0</v>
      </c>
      <c r="AW897" s="408">
        <v>0</v>
      </c>
      <c r="AX897" s="408"/>
      <c r="AY897" s="408"/>
      <c r="AZ897" s="408">
        <v>0</v>
      </c>
      <c r="BA897" s="408"/>
      <c r="BB897" s="408">
        <v>0</v>
      </c>
      <c r="BC897" s="408">
        <v>0</v>
      </c>
      <c r="BD897" s="408">
        <v>0</v>
      </c>
      <c r="BE897" s="408">
        <v>0</v>
      </c>
      <c r="BF897" s="408"/>
      <c r="BG897" s="408">
        <v>4104.1670742478818</v>
      </c>
      <c r="BH897" s="408">
        <v>0</v>
      </c>
      <c r="BI897" s="408">
        <v>0</v>
      </c>
      <c r="BJ897" s="408">
        <v>0</v>
      </c>
      <c r="BK897" s="408">
        <v>0</v>
      </c>
      <c r="BL897" s="408">
        <v>0</v>
      </c>
      <c r="BM897" s="408"/>
      <c r="BN897" s="408"/>
      <c r="BO897" s="408"/>
      <c r="BP897" s="408"/>
      <c r="BQ897" s="408"/>
      <c r="BR897" s="408"/>
      <c r="BS897" s="408"/>
      <c r="BT897" s="408"/>
      <c r="BU897" s="408"/>
      <c r="BV897" s="408">
        <v>4104.1670742478818</v>
      </c>
      <c r="BW897" s="408"/>
      <c r="BX897" s="408"/>
      <c r="BY897" s="408"/>
      <c r="BZ897" s="408"/>
      <c r="CA897" s="408"/>
      <c r="CB897" s="408"/>
      <c r="CC897" s="408"/>
      <c r="CD897" s="408"/>
      <c r="CE897" s="408"/>
      <c r="CF897" s="408"/>
      <c r="CG897" s="408"/>
      <c r="CH897" s="408"/>
      <c r="CI897" s="408">
        <v>46004.227399999996</v>
      </c>
      <c r="CJ897" s="408">
        <v>-647.930440000011</v>
      </c>
      <c r="CK897" s="408"/>
      <c r="CL897" s="408"/>
      <c r="CM897" s="408"/>
      <c r="CN897" s="408"/>
      <c r="CO897" s="408">
        <v>-647.56512000000373</v>
      </c>
      <c r="CP897" s="408">
        <v>0</v>
      </c>
      <c r="CQ897" s="408">
        <v>30</v>
      </c>
      <c r="CR897" s="408">
        <v>-647.81732244533487</v>
      </c>
      <c r="CS897" s="408">
        <v>0</v>
      </c>
      <c r="CT897" s="408">
        <v>0</v>
      </c>
      <c r="CU897" s="408">
        <v>0</v>
      </c>
      <c r="CV897" s="408">
        <v>0</v>
      </c>
      <c r="CW897" s="408"/>
      <c r="CX897" s="408"/>
      <c r="CY897" s="408"/>
      <c r="CZ897" s="408">
        <v>0</v>
      </c>
      <c r="DA897" s="408">
        <v>0</v>
      </c>
      <c r="DB897" s="408">
        <v>0</v>
      </c>
      <c r="DC897" s="408"/>
      <c r="DD897" s="408"/>
      <c r="DE897" s="408">
        <v>0</v>
      </c>
      <c r="DF897" s="408">
        <v>0</v>
      </c>
      <c r="DG897" s="408">
        <v>520.12867149993326</v>
      </c>
      <c r="DH897" s="408">
        <v>0</v>
      </c>
      <c r="DI897" s="408">
        <v>-997.79649534635973</v>
      </c>
      <c r="DJ897" s="408"/>
      <c r="DK897" s="408">
        <v>0</v>
      </c>
      <c r="DL897" s="408">
        <v>0</v>
      </c>
      <c r="DM897" s="408"/>
      <c r="DN897" s="408">
        <v>0</v>
      </c>
      <c r="DO897" s="408">
        <v>-157.716155968983</v>
      </c>
      <c r="DP897" s="408">
        <v>-12.433342629934032</v>
      </c>
      <c r="DQ897" s="408">
        <v>0</v>
      </c>
      <c r="DR897" s="408">
        <v>0</v>
      </c>
      <c r="DS897" s="408"/>
      <c r="DT897" s="408"/>
      <c r="DU897" s="408"/>
      <c r="DV897" s="408">
        <v>0</v>
      </c>
      <c r="DW897" s="408">
        <v>0</v>
      </c>
      <c r="DX897" s="408">
        <v>0</v>
      </c>
      <c r="DY897" s="408">
        <v>-647.5651199999993</v>
      </c>
      <c r="DZ897" s="408"/>
      <c r="EA897" s="408">
        <v>0</v>
      </c>
      <c r="EB897" s="408"/>
      <c r="EC897" s="408">
        <v>0</v>
      </c>
      <c r="ED897" s="408"/>
      <c r="EE897" s="408">
        <v>0</v>
      </c>
      <c r="EF897" s="408">
        <v>0</v>
      </c>
      <c r="EG897" s="408"/>
      <c r="EH897" s="408">
        <v>0</v>
      </c>
      <c r="EI897" s="408">
        <v>0</v>
      </c>
      <c r="EJ897" s="408">
        <v>0</v>
      </c>
      <c r="EK897" s="408">
        <v>0</v>
      </c>
      <c r="EL897" s="408">
        <v>0</v>
      </c>
      <c r="EM897" s="408"/>
      <c r="EN897" s="408"/>
      <c r="EO897" s="408">
        <v>0</v>
      </c>
      <c r="EP897" s="408">
        <v>7504.2160052820145</v>
      </c>
      <c r="EQ897" s="408"/>
      <c r="ER897" s="408">
        <v>0</v>
      </c>
      <c r="ES897" s="408"/>
      <c r="ET897" s="408">
        <v>0</v>
      </c>
      <c r="EU897" s="408"/>
      <c r="EV897" s="408">
        <v>240</v>
      </c>
      <c r="EW897" s="408"/>
      <c r="EX897" s="408"/>
      <c r="EY897" s="408"/>
      <c r="EZ897" s="408"/>
      <c r="FA897" s="408">
        <v>0</v>
      </c>
      <c r="FB897" s="408"/>
      <c r="FC897" s="408"/>
      <c r="FD897" s="408"/>
      <c r="FE897" s="408"/>
      <c r="FF897" s="408">
        <v>0</v>
      </c>
      <c r="FG897" s="408">
        <v>0</v>
      </c>
      <c r="FH897" s="408">
        <v>0</v>
      </c>
      <c r="FI897" s="408">
        <v>0</v>
      </c>
    </row>
    <row r="898" spans="1:165">
      <c r="A898" s="408">
        <v>896</v>
      </c>
      <c r="B898" s="408" t="s">
        <v>1036</v>
      </c>
      <c r="C898" s="408" t="s">
        <v>2243</v>
      </c>
      <c r="D898" s="408" t="s">
        <v>597</v>
      </c>
      <c r="E898" s="408" t="s">
        <v>970</v>
      </c>
      <c r="F898" s="408" t="s">
        <v>1322</v>
      </c>
      <c r="G898" s="408" t="s">
        <v>2318</v>
      </c>
      <c r="H898" s="408" t="s">
        <v>1322</v>
      </c>
      <c r="I898" s="408" t="s">
        <v>1322</v>
      </c>
      <c r="J898" s="408" t="s">
        <v>2319</v>
      </c>
      <c r="K898" s="826">
        <v>44652</v>
      </c>
      <c r="L898" s="408">
        <v>2949</v>
      </c>
      <c r="M898" s="408">
        <v>1513.49955183</v>
      </c>
      <c r="N898" s="408">
        <v>0</v>
      </c>
      <c r="O898" s="408">
        <v>0</v>
      </c>
      <c r="P898" s="408">
        <v>0</v>
      </c>
      <c r="Q898" s="408">
        <v>0</v>
      </c>
      <c r="R898" s="408">
        <v>27.19</v>
      </c>
      <c r="S898" s="408"/>
      <c r="T898" s="408"/>
      <c r="U898" s="408">
        <v>80183.31</v>
      </c>
      <c r="V898" s="408"/>
      <c r="W898" s="408">
        <v>80183.31</v>
      </c>
      <c r="X898" s="408">
        <v>64170.240000000005</v>
      </c>
      <c r="Y898" s="408">
        <v>0</v>
      </c>
      <c r="Z898" s="408">
        <v>0</v>
      </c>
      <c r="AA898" s="408">
        <v>0</v>
      </c>
      <c r="AB898" s="408">
        <v>0</v>
      </c>
      <c r="AC898" s="408">
        <v>687.70860899788624</v>
      </c>
      <c r="AD898" s="408">
        <v>660.67874130338043</v>
      </c>
      <c r="AE898" s="408">
        <v>70575.557187077357</v>
      </c>
      <c r="AF898" s="408"/>
      <c r="AG898" s="408"/>
      <c r="AH898" s="408"/>
      <c r="AI898" s="408">
        <v>0</v>
      </c>
      <c r="AJ898" s="408">
        <v>0</v>
      </c>
      <c r="AK898" s="408">
        <v>0</v>
      </c>
      <c r="AL898" s="408">
        <v>0</v>
      </c>
      <c r="AM898" s="408"/>
      <c r="AN898" s="408">
        <v>0</v>
      </c>
      <c r="AO898" s="408">
        <v>1459.4153668857782</v>
      </c>
      <c r="AP898" s="408">
        <v>6806.5539980408839</v>
      </c>
      <c r="AQ898" s="408">
        <v>0</v>
      </c>
      <c r="AR898" s="408">
        <v>0</v>
      </c>
      <c r="AS898" s="408"/>
      <c r="AT898" s="408"/>
      <c r="AU898" s="408">
        <v>0</v>
      </c>
      <c r="AV898" s="408">
        <v>0</v>
      </c>
      <c r="AW898" s="408">
        <v>0</v>
      </c>
      <c r="AX898" s="408"/>
      <c r="AY898" s="408"/>
      <c r="AZ898" s="408">
        <v>0</v>
      </c>
      <c r="BA898" s="408"/>
      <c r="BB898" s="408">
        <v>0</v>
      </c>
      <c r="BC898" s="408">
        <v>0</v>
      </c>
      <c r="BD898" s="408">
        <v>0</v>
      </c>
      <c r="BE898" s="408">
        <v>0</v>
      </c>
      <c r="BF898" s="408"/>
      <c r="BG898" s="408">
        <v>0</v>
      </c>
      <c r="BH898" s="408">
        <v>0</v>
      </c>
      <c r="BI898" s="408">
        <v>1285.81</v>
      </c>
      <c r="BJ898" s="408">
        <v>0</v>
      </c>
      <c r="BK898" s="408">
        <v>33411.32</v>
      </c>
      <c r="BL898" s="408">
        <v>5</v>
      </c>
      <c r="BM898" s="408"/>
      <c r="BN898" s="408">
        <v>31236.489752179205</v>
      </c>
      <c r="BO898" s="408"/>
      <c r="BP898" s="408"/>
      <c r="BQ898" s="408"/>
      <c r="BR898" s="408"/>
      <c r="BS898" s="408"/>
      <c r="BT898" s="408"/>
      <c r="BU898" s="408"/>
      <c r="BV898" s="408">
        <v>0</v>
      </c>
      <c r="BW898" s="408"/>
      <c r="BX898" s="408"/>
      <c r="BY898" s="408"/>
      <c r="BZ898" s="408"/>
      <c r="CA898" s="408"/>
      <c r="CB898" s="408"/>
      <c r="CC898" s="408"/>
      <c r="CD898" s="408"/>
      <c r="CE898" s="408"/>
      <c r="CF898" s="408"/>
      <c r="CG898" s="408"/>
      <c r="CH898" s="408"/>
      <c r="CI898" s="408">
        <v>32933.760000000002</v>
      </c>
      <c r="CJ898" s="408">
        <v>-8218.3228142577063</v>
      </c>
      <c r="CK898" s="408"/>
      <c r="CL898" s="408"/>
      <c r="CM898" s="408"/>
      <c r="CN898" s="408"/>
      <c r="CO898" s="408">
        <v>-16013.07</v>
      </c>
      <c r="CP898" s="408">
        <v>0</v>
      </c>
      <c r="CQ898" s="408">
        <v>30</v>
      </c>
      <c r="CR898" s="408">
        <v>1503.9663753799468</v>
      </c>
      <c r="CS898" s="408">
        <v>145.42762189355426</v>
      </c>
      <c r="CT898" s="408">
        <v>678.25855728612987</v>
      </c>
      <c r="CU898" s="408">
        <v>0</v>
      </c>
      <c r="CV898" s="408">
        <v>0</v>
      </c>
      <c r="CW898" s="408"/>
      <c r="CX898" s="408"/>
      <c r="CY898" s="408"/>
      <c r="CZ898" s="408">
        <v>680.28019620026168</v>
      </c>
      <c r="DA898" s="408">
        <v>0</v>
      </c>
      <c r="DB898" s="408">
        <v>0</v>
      </c>
      <c r="DC898" s="408"/>
      <c r="DD898" s="408"/>
      <c r="DE898" s="408">
        <v>0</v>
      </c>
      <c r="DF898" s="408">
        <v>0</v>
      </c>
      <c r="DG898" s="408">
        <v>0</v>
      </c>
      <c r="DH898" s="408">
        <v>0</v>
      </c>
      <c r="DI898" s="408">
        <v>0</v>
      </c>
      <c r="DJ898" s="408"/>
      <c r="DK898" s="408">
        <v>0</v>
      </c>
      <c r="DL898" s="408">
        <v>0</v>
      </c>
      <c r="DM898" s="408"/>
      <c r="DN898" s="408">
        <v>0</v>
      </c>
      <c r="DO898" s="408">
        <v>0</v>
      </c>
      <c r="DP898" s="408">
        <v>0</v>
      </c>
      <c r="DQ898" s="408">
        <v>0</v>
      </c>
      <c r="DR898" s="408">
        <v>0</v>
      </c>
      <c r="DS898" s="408"/>
      <c r="DT898" s="408"/>
      <c r="DU898" s="408">
        <v>70575.557187077357</v>
      </c>
      <c r="DV898" s="408"/>
      <c r="DW898" s="408">
        <v>0</v>
      </c>
      <c r="DX898" s="408">
        <v>0</v>
      </c>
      <c r="DY898" s="408">
        <v>-16013.069999999992</v>
      </c>
      <c r="DZ898" s="408"/>
      <c r="EA898" s="408">
        <v>0</v>
      </c>
      <c r="EB898" s="408"/>
      <c r="EC898" s="408">
        <v>-17532.165547825534</v>
      </c>
      <c r="ED898" s="408"/>
      <c r="EE898" s="408">
        <v>0</v>
      </c>
      <c r="EF898" s="408">
        <v>0</v>
      </c>
      <c r="EG898" s="408"/>
      <c r="EH898" s="408">
        <v>0</v>
      </c>
      <c r="EI898" s="408">
        <v>0</v>
      </c>
      <c r="EJ898" s="408">
        <v>0</v>
      </c>
      <c r="EK898" s="408">
        <v>0</v>
      </c>
      <c r="EL898" s="408">
        <v>0</v>
      </c>
      <c r="EM898" s="408"/>
      <c r="EN898" s="408"/>
      <c r="EO898" s="408">
        <v>0</v>
      </c>
      <c r="EP898" s="408">
        <v>0</v>
      </c>
      <c r="EQ898" s="408"/>
      <c r="ER898" s="408">
        <v>0</v>
      </c>
      <c r="ES898" s="408"/>
      <c r="ET898" s="408">
        <v>0</v>
      </c>
      <c r="EU898" s="408"/>
      <c r="EV898" s="408">
        <v>240</v>
      </c>
      <c r="EW898" s="408"/>
      <c r="EX898" s="408"/>
      <c r="EY898" s="408"/>
      <c r="EZ898" s="408"/>
      <c r="FA898" s="408">
        <v>0</v>
      </c>
      <c r="FB898" s="408"/>
      <c r="FC898" s="408"/>
      <c r="FD898" s="408"/>
      <c r="FE898" s="408"/>
      <c r="FF898" s="408">
        <v>0</v>
      </c>
      <c r="FG898" s="408">
        <v>0</v>
      </c>
      <c r="FH898" s="408">
        <v>0</v>
      </c>
      <c r="FI898" s="408">
        <v>0</v>
      </c>
    </row>
    <row r="899" spans="1:165">
      <c r="A899" s="408">
        <v>897</v>
      </c>
      <c r="B899" s="408" t="s">
        <v>1036</v>
      </c>
      <c r="C899" s="408" t="s">
        <v>993</v>
      </c>
      <c r="D899" s="408" t="s">
        <v>599</v>
      </c>
      <c r="E899" s="408" t="s">
        <v>1322</v>
      </c>
      <c r="F899" s="408" t="s">
        <v>1322</v>
      </c>
      <c r="G899" s="408" t="s">
        <v>1322</v>
      </c>
      <c r="H899" s="408" t="s">
        <v>2320</v>
      </c>
      <c r="I899" s="408" t="s">
        <v>1322</v>
      </c>
      <c r="J899" s="408" t="s">
        <v>2256</v>
      </c>
      <c r="K899" s="826">
        <v>44652</v>
      </c>
      <c r="L899" s="408">
        <v>7020</v>
      </c>
      <c r="M899" s="408">
        <v>3510</v>
      </c>
      <c r="N899" s="408">
        <v>0</v>
      </c>
      <c r="O899" s="408">
        <v>0</v>
      </c>
      <c r="P899" s="408">
        <v>0</v>
      </c>
      <c r="Q899" s="408">
        <v>0</v>
      </c>
      <c r="R899" s="408">
        <v>6.87</v>
      </c>
      <c r="S899" s="408"/>
      <c r="T899" s="408"/>
      <c r="U899" s="408">
        <v>48227.4</v>
      </c>
      <c r="V899" s="408"/>
      <c r="W899" s="408">
        <v>48227.4</v>
      </c>
      <c r="X899" s="408">
        <v>40084.199999999997</v>
      </c>
      <c r="Y899" s="408">
        <v>0</v>
      </c>
      <c r="Z899" s="408">
        <v>0</v>
      </c>
      <c r="AA899" s="408">
        <v>0</v>
      </c>
      <c r="AB899" s="408">
        <v>0</v>
      </c>
      <c r="AC899" s="408">
        <v>0</v>
      </c>
      <c r="AD899" s="408">
        <v>2031.0321998913851</v>
      </c>
      <c r="AE899" s="408">
        <v>42729.467006265557</v>
      </c>
      <c r="AF899" s="408"/>
      <c r="AG899" s="408"/>
      <c r="AH899" s="408"/>
      <c r="AI899" s="408">
        <v>0</v>
      </c>
      <c r="AJ899" s="408">
        <v>0</v>
      </c>
      <c r="AK899" s="408">
        <v>0</v>
      </c>
      <c r="AL899" s="408">
        <v>0</v>
      </c>
      <c r="AM899" s="408"/>
      <c r="AN899" s="408">
        <v>0</v>
      </c>
      <c r="AO899" s="408">
        <v>0</v>
      </c>
      <c r="AP899" s="408">
        <v>0</v>
      </c>
      <c r="AQ899" s="408">
        <v>0</v>
      </c>
      <c r="AR899" s="408">
        <v>0</v>
      </c>
      <c r="AS899" s="408"/>
      <c r="AT899" s="408"/>
      <c r="AU899" s="408">
        <v>0</v>
      </c>
      <c r="AV899" s="408">
        <v>0</v>
      </c>
      <c r="AW899" s="408">
        <v>0</v>
      </c>
      <c r="AX899" s="408"/>
      <c r="AY899" s="408"/>
      <c r="AZ899" s="408">
        <v>0</v>
      </c>
      <c r="BA899" s="408"/>
      <c r="BB899" s="408">
        <v>0</v>
      </c>
      <c r="BC899" s="408">
        <v>0</v>
      </c>
      <c r="BD899" s="408">
        <v>0</v>
      </c>
      <c r="BE899" s="408">
        <v>0</v>
      </c>
      <c r="BF899" s="408"/>
      <c r="BG899" s="408">
        <v>3436.1874076712338</v>
      </c>
      <c r="BH899" s="408">
        <v>0</v>
      </c>
      <c r="BI899" s="408">
        <v>331.4</v>
      </c>
      <c r="BJ899" s="408">
        <v>0</v>
      </c>
      <c r="BK899" s="408">
        <v>0</v>
      </c>
      <c r="BL899" s="408">
        <v>0</v>
      </c>
      <c r="BM899" s="408"/>
      <c r="BN899" s="408"/>
      <c r="BO899" s="408">
        <v>20042.099999999999</v>
      </c>
      <c r="BP899" s="408"/>
      <c r="BQ899" s="408"/>
      <c r="BR899" s="408"/>
      <c r="BS899" s="408"/>
      <c r="BT899" s="408"/>
      <c r="BU899" s="408"/>
      <c r="BV899" s="408">
        <v>3436.1874076712338</v>
      </c>
      <c r="BW899" s="408"/>
      <c r="BX899" s="408"/>
      <c r="BY899" s="408"/>
      <c r="BZ899" s="408"/>
      <c r="CA899" s="408"/>
      <c r="CB899" s="408"/>
      <c r="CC899" s="408"/>
      <c r="CD899" s="408"/>
      <c r="CE899" s="408"/>
      <c r="CF899" s="408"/>
      <c r="CG899" s="408"/>
      <c r="CH899" s="408"/>
      <c r="CI899" s="408">
        <v>20042.099999999999</v>
      </c>
      <c r="CJ899" s="408">
        <v>-4071.6299999999974</v>
      </c>
      <c r="CK899" s="408"/>
      <c r="CL899" s="408"/>
      <c r="CM899" s="408"/>
      <c r="CN899" s="408"/>
      <c r="CO899" s="408">
        <v>-8143.2000000000007</v>
      </c>
      <c r="CP899" s="408">
        <v>0</v>
      </c>
      <c r="CQ899" s="408">
        <v>30</v>
      </c>
      <c r="CR899" s="408">
        <v>2526.7645846364476</v>
      </c>
      <c r="CS899" s="408">
        <v>0</v>
      </c>
      <c r="CT899" s="408">
        <v>0</v>
      </c>
      <c r="CU899" s="408">
        <v>0</v>
      </c>
      <c r="CV899" s="408">
        <v>0</v>
      </c>
      <c r="CW899" s="408"/>
      <c r="CX899" s="408"/>
      <c r="CY899" s="408"/>
      <c r="CZ899" s="408">
        <v>2091.2902096795342</v>
      </c>
      <c r="DA899" s="408">
        <v>0</v>
      </c>
      <c r="DB899" s="408">
        <v>0</v>
      </c>
      <c r="DC899" s="408"/>
      <c r="DD899" s="408"/>
      <c r="DE899" s="408">
        <v>0</v>
      </c>
      <c r="DF899" s="408">
        <v>0</v>
      </c>
      <c r="DG899" s="408">
        <v>435.47437495691338</v>
      </c>
      <c r="DH899" s="408">
        <v>0</v>
      </c>
      <c r="DI899" s="408">
        <v>0</v>
      </c>
      <c r="DJ899" s="408"/>
      <c r="DK899" s="408">
        <v>0</v>
      </c>
      <c r="DL899" s="408">
        <v>0</v>
      </c>
      <c r="DM899" s="408"/>
      <c r="DN899" s="408">
        <v>0</v>
      </c>
      <c r="DO899" s="408">
        <v>0</v>
      </c>
      <c r="DP899" s="408">
        <v>0</v>
      </c>
      <c r="DQ899" s="408">
        <v>0</v>
      </c>
      <c r="DR899" s="408">
        <v>0</v>
      </c>
      <c r="DS899" s="408"/>
      <c r="DT899" s="408"/>
      <c r="DU899" s="408">
        <v>42729.467006265557</v>
      </c>
      <c r="DV899" s="408"/>
      <c r="DW899" s="408">
        <v>0</v>
      </c>
      <c r="DX899" s="408">
        <v>0</v>
      </c>
      <c r="DY899" s="408">
        <v>-8143.2000000000044</v>
      </c>
      <c r="DZ899" s="408"/>
      <c r="EA899" s="408">
        <v>0</v>
      </c>
      <c r="EB899" s="408"/>
      <c r="EC899" s="408">
        <v>-10614.724405765934</v>
      </c>
      <c r="ED899" s="408"/>
      <c r="EE899" s="408">
        <v>0</v>
      </c>
      <c r="EF899" s="408">
        <v>0</v>
      </c>
      <c r="EG899" s="408"/>
      <c r="EH899" s="408">
        <v>0</v>
      </c>
      <c r="EI899" s="408">
        <v>0</v>
      </c>
      <c r="EJ899" s="408">
        <v>0</v>
      </c>
      <c r="EK899" s="408">
        <v>0</v>
      </c>
      <c r="EL899" s="408">
        <v>0</v>
      </c>
      <c r="EM899" s="408"/>
      <c r="EN899" s="408"/>
      <c r="EO899" s="408">
        <v>0</v>
      </c>
      <c r="EP899" s="408">
        <v>0</v>
      </c>
      <c r="EQ899" s="408"/>
      <c r="ER899" s="408">
        <v>0</v>
      </c>
      <c r="ES899" s="408"/>
      <c r="ET899" s="408">
        <v>0</v>
      </c>
      <c r="EU899" s="408"/>
      <c r="EV899" s="408">
        <v>240</v>
      </c>
      <c r="EW899" s="408"/>
      <c r="EX899" s="408"/>
      <c r="EY899" s="408"/>
      <c r="EZ899" s="408"/>
      <c r="FA899" s="408">
        <v>0</v>
      </c>
      <c r="FB899" s="408"/>
      <c r="FC899" s="408"/>
      <c r="FD899" s="408"/>
      <c r="FE899" s="408"/>
      <c r="FF899" s="408">
        <v>0</v>
      </c>
      <c r="FG899" s="408">
        <v>0</v>
      </c>
      <c r="FH899" s="408">
        <v>0</v>
      </c>
      <c r="FI899" s="408">
        <v>0</v>
      </c>
    </row>
    <row r="900" spans="1:165">
      <c r="A900" s="408">
        <v>898</v>
      </c>
      <c r="B900" s="408" t="s">
        <v>1036</v>
      </c>
      <c r="C900" s="408" t="s">
        <v>2247</v>
      </c>
      <c r="D900" s="408" t="s">
        <v>597</v>
      </c>
      <c r="E900" s="408" t="s">
        <v>970</v>
      </c>
      <c r="F900" s="408" t="s">
        <v>1322</v>
      </c>
      <c r="G900" s="408" t="s">
        <v>2318</v>
      </c>
      <c r="H900" s="408" t="s">
        <v>1322</v>
      </c>
      <c r="I900" s="408" t="s">
        <v>973</v>
      </c>
      <c r="J900" s="408" t="s">
        <v>2319</v>
      </c>
      <c r="K900" s="826">
        <v>44682</v>
      </c>
      <c r="L900" s="408">
        <v>7800</v>
      </c>
      <c r="M900" s="408">
        <v>3900</v>
      </c>
      <c r="N900" s="408">
        <v>0</v>
      </c>
      <c r="O900" s="408">
        <v>0</v>
      </c>
      <c r="P900" s="408">
        <v>0</v>
      </c>
      <c r="Q900" s="408">
        <v>0</v>
      </c>
      <c r="R900" s="408">
        <v>52.95</v>
      </c>
      <c r="S900" s="408"/>
      <c r="T900" s="408"/>
      <c r="U900" s="408">
        <v>413010</v>
      </c>
      <c r="V900" s="408"/>
      <c r="W900" s="408">
        <v>413010</v>
      </c>
      <c r="X900" s="408">
        <v>345150</v>
      </c>
      <c r="Y900" s="408">
        <v>0</v>
      </c>
      <c r="Z900" s="408">
        <v>0</v>
      </c>
      <c r="AA900" s="408">
        <v>0</v>
      </c>
      <c r="AB900" s="408">
        <v>0</v>
      </c>
      <c r="AC900" s="408">
        <v>6143.7967769655443</v>
      </c>
      <c r="AD900" s="408">
        <v>5902.6636731637609</v>
      </c>
      <c r="AE900" s="408">
        <v>327082.9691133537</v>
      </c>
      <c r="AF900" s="408"/>
      <c r="AG900" s="408"/>
      <c r="AH900" s="408"/>
      <c r="AI900" s="408">
        <v>0</v>
      </c>
      <c r="AJ900" s="408">
        <v>0</v>
      </c>
      <c r="AK900" s="408">
        <v>0</v>
      </c>
      <c r="AL900" s="408">
        <v>0</v>
      </c>
      <c r="AM900" s="408"/>
      <c r="AN900" s="408">
        <v>0</v>
      </c>
      <c r="AO900" s="408">
        <v>13041.996884625618</v>
      </c>
      <c r="AP900" s="408">
        <v>60812.114336929255</v>
      </c>
      <c r="AQ900" s="408">
        <v>0</v>
      </c>
      <c r="AR900" s="408">
        <v>0</v>
      </c>
      <c r="AS900" s="408"/>
      <c r="AT900" s="408"/>
      <c r="AU900" s="408">
        <v>0</v>
      </c>
      <c r="AV900" s="408">
        <v>0</v>
      </c>
      <c r="AW900" s="408">
        <v>0</v>
      </c>
      <c r="AX900" s="408"/>
      <c r="AY900" s="408"/>
      <c r="AZ900" s="408">
        <v>0</v>
      </c>
      <c r="BA900" s="408"/>
      <c r="BB900" s="408">
        <v>0</v>
      </c>
      <c r="BC900" s="408">
        <v>0</v>
      </c>
      <c r="BD900" s="408">
        <v>0</v>
      </c>
      <c r="BE900" s="408">
        <v>0</v>
      </c>
      <c r="BF900" s="408"/>
      <c r="BG900" s="408">
        <v>0</v>
      </c>
      <c r="BH900" s="408">
        <v>0</v>
      </c>
      <c r="BI900" s="408">
        <v>0</v>
      </c>
      <c r="BJ900" s="408">
        <v>0</v>
      </c>
      <c r="BK900" s="408">
        <v>0</v>
      </c>
      <c r="BL900" s="408">
        <v>0</v>
      </c>
      <c r="BM900" s="408"/>
      <c r="BN900" s="408">
        <v>172575</v>
      </c>
      <c r="BO900" s="408"/>
      <c r="BP900" s="408"/>
      <c r="BQ900" s="408"/>
      <c r="BR900" s="408"/>
      <c r="BS900" s="408"/>
      <c r="BT900" s="408"/>
      <c r="BU900" s="408"/>
      <c r="BV900" s="408">
        <v>0</v>
      </c>
      <c r="BW900" s="408"/>
      <c r="BX900" s="408"/>
      <c r="BY900" s="408"/>
      <c r="BZ900" s="408"/>
      <c r="CA900" s="408"/>
      <c r="CB900" s="408"/>
      <c r="CC900" s="408"/>
      <c r="CD900" s="408"/>
      <c r="CE900" s="408"/>
      <c r="CF900" s="408"/>
      <c r="CG900" s="408"/>
      <c r="CH900" s="408"/>
      <c r="CI900" s="408">
        <v>172575</v>
      </c>
      <c r="CJ900" s="408">
        <v>-33930.030000000028</v>
      </c>
      <c r="CK900" s="408"/>
      <c r="CL900" s="408"/>
      <c r="CM900" s="408"/>
      <c r="CN900" s="408"/>
      <c r="CO900" s="408">
        <v>-67860.000000000029</v>
      </c>
      <c r="CP900" s="408">
        <v>0</v>
      </c>
      <c r="CQ900" s="408">
        <v>31</v>
      </c>
      <c r="CR900" s="408">
        <v>13437.192136518745</v>
      </c>
      <c r="CS900" s="408">
        <v>1299.6071130329037</v>
      </c>
      <c r="CT900" s="408">
        <v>6059.7972112697025</v>
      </c>
      <c r="CU900" s="408">
        <v>0</v>
      </c>
      <c r="CV900" s="408">
        <v>0</v>
      </c>
      <c r="CW900" s="408"/>
      <c r="CX900" s="408"/>
      <c r="CY900" s="408"/>
      <c r="CZ900" s="408">
        <v>6077.7878122161492</v>
      </c>
      <c r="DA900" s="408">
        <v>0</v>
      </c>
      <c r="DB900" s="408">
        <v>0</v>
      </c>
      <c r="DC900" s="408"/>
      <c r="DD900" s="408"/>
      <c r="DE900" s="408">
        <v>0</v>
      </c>
      <c r="DF900" s="408">
        <v>0</v>
      </c>
      <c r="DG900" s="408">
        <v>0</v>
      </c>
      <c r="DH900" s="408">
        <v>0</v>
      </c>
      <c r="DI900" s="408">
        <v>0</v>
      </c>
      <c r="DJ900" s="408"/>
      <c r="DK900" s="408">
        <v>0</v>
      </c>
      <c r="DL900" s="408">
        <v>0</v>
      </c>
      <c r="DM900" s="408"/>
      <c r="DN900" s="408">
        <v>0</v>
      </c>
      <c r="DO900" s="408">
        <v>0</v>
      </c>
      <c r="DP900" s="408">
        <v>0</v>
      </c>
      <c r="DQ900" s="408">
        <v>0</v>
      </c>
      <c r="DR900" s="408">
        <v>0</v>
      </c>
      <c r="DS900" s="408"/>
      <c r="DT900" s="408"/>
      <c r="DU900" s="408">
        <v>327082.9691133537</v>
      </c>
      <c r="DV900" s="408"/>
      <c r="DW900" s="408">
        <v>0</v>
      </c>
      <c r="DX900" s="408">
        <v>0</v>
      </c>
      <c r="DY900" s="408">
        <v>-67860</v>
      </c>
      <c r="DZ900" s="408"/>
      <c r="EA900" s="408">
        <v>0</v>
      </c>
      <c r="EB900" s="408"/>
      <c r="EC900" s="408">
        <v>-81252.957694248587</v>
      </c>
      <c r="ED900" s="408"/>
      <c r="EE900" s="408">
        <v>0</v>
      </c>
      <c r="EF900" s="408">
        <v>0</v>
      </c>
      <c r="EG900" s="408"/>
      <c r="EH900" s="408">
        <v>0</v>
      </c>
      <c r="EI900" s="408">
        <v>0</v>
      </c>
      <c r="EJ900" s="408">
        <v>0</v>
      </c>
      <c r="EK900" s="408">
        <v>0</v>
      </c>
      <c r="EL900" s="408">
        <v>0</v>
      </c>
      <c r="EM900" s="408"/>
      <c r="EN900" s="408"/>
      <c r="EO900" s="408">
        <v>0</v>
      </c>
      <c r="EP900" s="408">
        <v>0</v>
      </c>
      <c r="EQ900" s="408"/>
      <c r="ER900" s="408">
        <v>0</v>
      </c>
      <c r="ES900" s="408"/>
      <c r="ET900" s="408">
        <v>0</v>
      </c>
      <c r="EU900" s="408"/>
      <c r="EV900" s="408">
        <v>240</v>
      </c>
      <c r="EW900" s="408"/>
      <c r="EX900" s="408"/>
      <c r="EY900" s="408"/>
      <c r="EZ900" s="408"/>
      <c r="FA900" s="408">
        <v>0</v>
      </c>
      <c r="FB900" s="408"/>
      <c r="FC900" s="408"/>
      <c r="FD900" s="408"/>
      <c r="FE900" s="408"/>
      <c r="FF900" s="408">
        <v>0</v>
      </c>
      <c r="FG900" s="408">
        <v>0</v>
      </c>
      <c r="FH900" s="408">
        <v>0</v>
      </c>
      <c r="FI900" s="408">
        <v>0</v>
      </c>
    </row>
    <row r="901" spans="1:165">
      <c r="A901" s="408">
        <v>899</v>
      </c>
      <c r="B901" s="408" t="s">
        <v>1036</v>
      </c>
      <c r="C901" s="408" t="s">
        <v>2247</v>
      </c>
      <c r="D901" s="408" t="s">
        <v>597</v>
      </c>
      <c r="E901" s="408" t="s">
        <v>970</v>
      </c>
      <c r="F901" s="408" t="s">
        <v>1322</v>
      </c>
      <c r="G901" s="408" t="s">
        <v>2318</v>
      </c>
      <c r="H901" s="408" t="s">
        <v>1322</v>
      </c>
      <c r="I901" s="408" t="s">
        <v>2244</v>
      </c>
      <c r="J901" s="408" t="s">
        <v>2319</v>
      </c>
      <c r="K901" s="826">
        <v>44682</v>
      </c>
      <c r="L901" s="408">
        <v>8500</v>
      </c>
      <c r="M901" s="408">
        <v>4250</v>
      </c>
      <c r="N901" s="408">
        <v>0</v>
      </c>
      <c r="O901" s="408">
        <v>0</v>
      </c>
      <c r="P901" s="408">
        <v>0</v>
      </c>
      <c r="Q901" s="408">
        <v>0</v>
      </c>
      <c r="R901" s="408">
        <v>27.19</v>
      </c>
      <c r="S901" s="408"/>
      <c r="T901" s="408"/>
      <c r="U901" s="408">
        <v>231115</v>
      </c>
      <c r="V901" s="408"/>
      <c r="W901" s="408">
        <v>231115</v>
      </c>
      <c r="X901" s="408">
        <v>184960</v>
      </c>
      <c r="Y901" s="408">
        <v>0</v>
      </c>
      <c r="Z901" s="408">
        <v>0</v>
      </c>
      <c r="AA901" s="408">
        <v>0</v>
      </c>
      <c r="AB901" s="408">
        <v>0</v>
      </c>
      <c r="AC901" s="408">
        <v>1982.205214134294</v>
      </c>
      <c r="AD901" s="408">
        <v>1904.296134648604</v>
      </c>
      <c r="AE901" s="408">
        <v>203422.25706685573</v>
      </c>
      <c r="AF901" s="408"/>
      <c r="AG901" s="408"/>
      <c r="AH901" s="408"/>
      <c r="AI901" s="408">
        <v>0</v>
      </c>
      <c r="AJ901" s="408">
        <v>0</v>
      </c>
      <c r="AK901" s="408">
        <v>0</v>
      </c>
      <c r="AL901" s="408">
        <v>0</v>
      </c>
      <c r="AM901" s="408"/>
      <c r="AN901" s="408">
        <v>0</v>
      </c>
      <c r="AO901" s="408">
        <v>4206.5210642689435</v>
      </c>
      <c r="AP901" s="408">
        <v>19618.755165597664</v>
      </c>
      <c r="AQ901" s="408">
        <v>0</v>
      </c>
      <c r="AR901" s="408">
        <v>0</v>
      </c>
      <c r="AS901" s="408"/>
      <c r="AT901" s="408"/>
      <c r="AU901" s="408">
        <v>0</v>
      </c>
      <c r="AV901" s="408">
        <v>0</v>
      </c>
      <c r="AW901" s="408">
        <v>0</v>
      </c>
      <c r="AX901" s="408"/>
      <c r="AY901" s="408"/>
      <c r="AZ901" s="408">
        <v>0</v>
      </c>
      <c r="BA901" s="408"/>
      <c r="BB901" s="408">
        <v>0</v>
      </c>
      <c r="BC901" s="408">
        <v>0</v>
      </c>
      <c r="BD901" s="408">
        <v>0</v>
      </c>
      <c r="BE901" s="408">
        <v>0</v>
      </c>
      <c r="BF901" s="408"/>
      <c r="BG901" s="408">
        <v>0</v>
      </c>
      <c r="BH901" s="408">
        <v>0</v>
      </c>
      <c r="BI901" s="408">
        <v>0</v>
      </c>
      <c r="BJ901" s="408">
        <v>0</v>
      </c>
      <c r="BK901" s="408">
        <v>0</v>
      </c>
      <c r="BL901" s="408">
        <v>0</v>
      </c>
      <c r="BM901" s="408"/>
      <c r="BN901" s="408">
        <v>92480</v>
      </c>
      <c r="BO901" s="408"/>
      <c r="BP901" s="408"/>
      <c r="BQ901" s="408"/>
      <c r="BR901" s="408"/>
      <c r="BS901" s="408"/>
      <c r="BT901" s="408"/>
      <c r="BU901" s="408"/>
      <c r="BV901" s="408">
        <v>0</v>
      </c>
      <c r="BW901" s="408"/>
      <c r="BX901" s="408"/>
      <c r="BY901" s="408"/>
      <c r="BZ901" s="408"/>
      <c r="CA901" s="408"/>
      <c r="CB901" s="408"/>
      <c r="CC901" s="408"/>
      <c r="CD901" s="408"/>
      <c r="CE901" s="408"/>
      <c r="CF901" s="408"/>
      <c r="CG901" s="408"/>
      <c r="CH901" s="408"/>
      <c r="CI901" s="408">
        <v>92480</v>
      </c>
      <c r="CJ901" s="408">
        <v>-23077.529999999984</v>
      </c>
      <c r="CK901" s="408"/>
      <c r="CL901" s="408"/>
      <c r="CM901" s="408"/>
      <c r="CN901" s="408"/>
      <c r="CO901" s="408">
        <v>-46155</v>
      </c>
      <c r="CP901" s="408">
        <v>0</v>
      </c>
      <c r="CQ901" s="408">
        <v>31</v>
      </c>
      <c r="CR901" s="408">
        <v>4334.9319059781446</v>
      </c>
      <c r="CS901" s="408">
        <v>419.17083285697208</v>
      </c>
      <c r="CT901" s="408">
        <v>1954.9670182882692</v>
      </c>
      <c r="CU901" s="408">
        <v>0</v>
      </c>
      <c r="CV901" s="408">
        <v>0</v>
      </c>
      <c r="CW901" s="408"/>
      <c r="CX901" s="408"/>
      <c r="CY901" s="408"/>
      <c r="CZ901" s="408">
        <v>1960.7940548329007</v>
      </c>
      <c r="DA901" s="408">
        <v>0</v>
      </c>
      <c r="DB901" s="408">
        <v>0</v>
      </c>
      <c r="DC901" s="408"/>
      <c r="DD901" s="408"/>
      <c r="DE901" s="408">
        <v>0</v>
      </c>
      <c r="DF901" s="408">
        <v>0</v>
      </c>
      <c r="DG901" s="408">
        <v>0</v>
      </c>
      <c r="DH901" s="408">
        <v>0</v>
      </c>
      <c r="DI901" s="408">
        <v>0</v>
      </c>
      <c r="DJ901" s="408"/>
      <c r="DK901" s="408">
        <v>0</v>
      </c>
      <c r="DL901" s="408">
        <v>0</v>
      </c>
      <c r="DM901" s="408"/>
      <c r="DN901" s="408">
        <v>0</v>
      </c>
      <c r="DO901" s="408">
        <v>0</v>
      </c>
      <c r="DP901" s="408">
        <v>0</v>
      </c>
      <c r="DQ901" s="408">
        <v>0</v>
      </c>
      <c r="DR901" s="408">
        <v>0</v>
      </c>
      <c r="DS901" s="408"/>
      <c r="DT901" s="408"/>
      <c r="DU901" s="408">
        <v>203422.25706685573</v>
      </c>
      <c r="DV901" s="408"/>
      <c r="DW901" s="408">
        <v>0</v>
      </c>
      <c r="DX901" s="408">
        <v>0</v>
      </c>
      <c r="DY901" s="408">
        <v>-46155</v>
      </c>
      <c r="DZ901" s="408"/>
      <c r="EA901" s="408">
        <v>0</v>
      </c>
      <c r="EB901" s="408"/>
      <c r="EC901" s="408">
        <v>-50533.539218893537</v>
      </c>
      <c r="ED901" s="408"/>
      <c r="EE901" s="408">
        <v>0</v>
      </c>
      <c r="EF901" s="408">
        <v>0</v>
      </c>
      <c r="EG901" s="408"/>
      <c r="EH901" s="408">
        <v>0</v>
      </c>
      <c r="EI901" s="408">
        <v>0</v>
      </c>
      <c r="EJ901" s="408">
        <v>0</v>
      </c>
      <c r="EK901" s="408">
        <v>0</v>
      </c>
      <c r="EL901" s="408">
        <v>0</v>
      </c>
      <c r="EM901" s="408"/>
      <c r="EN901" s="408"/>
      <c r="EO901" s="408">
        <v>0</v>
      </c>
      <c r="EP901" s="408">
        <v>0</v>
      </c>
      <c r="EQ901" s="408"/>
      <c r="ER901" s="408">
        <v>0</v>
      </c>
      <c r="ES901" s="408"/>
      <c r="ET901" s="408">
        <v>0</v>
      </c>
      <c r="EU901" s="408"/>
      <c r="EV901" s="408">
        <v>240</v>
      </c>
      <c r="EW901" s="408"/>
      <c r="EX901" s="408"/>
      <c r="EY901" s="408"/>
      <c r="EZ901" s="408"/>
      <c r="FA901" s="408">
        <v>0</v>
      </c>
      <c r="FB901" s="408"/>
      <c r="FC901" s="408"/>
      <c r="FD901" s="408"/>
      <c r="FE901" s="408"/>
      <c r="FF901" s="408">
        <v>0</v>
      </c>
      <c r="FG901" s="408">
        <v>0</v>
      </c>
      <c r="FH901" s="408">
        <v>0</v>
      </c>
      <c r="FI901" s="408">
        <v>0</v>
      </c>
    </row>
    <row r="902" spans="1:165">
      <c r="A902" s="408">
        <v>900</v>
      </c>
      <c r="B902" s="408" t="s">
        <v>1036</v>
      </c>
      <c r="C902" s="408" t="s">
        <v>2247</v>
      </c>
      <c r="D902" s="408" t="s">
        <v>597</v>
      </c>
      <c r="E902" s="408" t="s">
        <v>970</v>
      </c>
      <c r="F902" s="408" t="s">
        <v>1322</v>
      </c>
      <c r="G902" s="408" t="s">
        <v>2318</v>
      </c>
      <c r="H902" s="408" t="s">
        <v>1322</v>
      </c>
      <c r="I902" s="408" t="s">
        <v>1322</v>
      </c>
      <c r="J902" s="408" t="s">
        <v>2319</v>
      </c>
      <c r="K902" s="826">
        <v>44682</v>
      </c>
      <c r="L902" s="408">
        <v>0</v>
      </c>
      <c r="M902" s="408">
        <v>0</v>
      </c>
      <c r="N902" s="408">
        <v>3143.7820000000002</v>
      </c>
      <c r="O902" s="408">
        <v>3143.7820000000002</v>
      </c>
      <c r="P902" s="408">
        <v>0</v>
      </c>
      <c r="Q902" s="408">
        <v>0</v>
      </c>
      <c r="R902" s="408"/>
      <c r="S902" s="408">
        <v>85.01</v>
      </c>
      <c r="T902" s="408"/>
      <c r="U902" s="408"/>
      <c r="V902" s="408">
        <v>267252.90782000002</v>
      </c>
      <c r="W902" s="408">
        <v>267252.90782000002</v>
      </c>
      <c r="X902" s="408">
        <v>263543.24505999999</v>
      </c>
      <c r="Y902" s="408">
        <v>0</v>
      </c>
      <c r="Z902" s="408">
        <v>168331.63604212814</v>
      </c>
      <c r="AA902" s="408">
        <v>0</v>
      </c>
      <c r="AB902" s="408">
        <v>0</v>
      </c>
      <c r="AC902" s="408">
        <v>0</v>
      </c>
      <c r="AD902" s="408">
        <v>0</v>
      </c>
      <c r="AE902" s="408">
        <v>0</v>
      </c>
      <c r="AF902" s="408"/>
      <c r="AG902" s="408"/>
      <c r="AH902" s="408"/>
      <c r="AI902" s="408">
        <v>0</v>
      </c>
      <c r="AJ902" s="408">
        <v>0</v>
      </c>
      <c r="AK902" s="408">
        <v>0</v>
      </c>
      <c r="AL902" s="408">
        <v>29894.318223310634</v>
      </c>
      <c r="AM902" s="408"/>
      <c r="AN902" s="408">
        <v>2517.5840957273181</v>
      </c>
      <c r="AO902" s="408">
        <v>0</v>
      </c>
      <c r="AP902" s="408">
        <v>0</v>
      </c>
      <c r="AQ902" s="408">
        <v>0</v>
      </c>
      <c r="AR902" s="408">
        <v>0</v>
      </c>
      <c r="AS902" s="408"/>
      <c r="AT902" s="408"/>
      <c r="AU902" s="408">
        <v>0</v>
      </c>
      <c r="AV902" s="408">
        <v>0</v>
      </c>
      <c r="AW902" s="408">
        <v>0</v>
      </c>
      <c r="AX902" s="408"/>
      <c r="AY902" s="408"/>
      <c r="AZ902" s="408">
        <v>0</v>
      </c>
      <c r="BA902" s="408"/>
      <c r="BB902" s="408">
        <v>0</v>
      </c>
      <c r="BC902" s="408">
        <v>0</v>
      </c>
      <c r="BD902" s="408">
        <v>0</v>
      </c>
      <c r="BE902" s="408">
        <v>0</v>
      </c>
      <c r="BF902" s="408"/>
      <c r="BG902" s="408">
        <v>23511.265949833003</v>
      </c>
      <c r="BH902" s="408">
        <v>0</v>
      </c>
      <c r="BI902" s="408">
        <v>7774.24</v>
      </c>
      <c r="BJ902" s="408">
        <v>0</v>
      </c>
      <c r="BK902" s="408">
        <v>141865.92000000001</v>
      </c>
      <c r="BL902" s="408">
        <v>2</v>
      </c>
      <c r="BM902" s="408"/>
      <c r="BN902" s="408"/>
      <c r="BO902" s="408"/>
      <c r="BP902" s="408"/>
      <c r="BQ902" s="408"/>
      <c r="BR902" s="408"/>
      <c r="BS902" s="408"/>
      <c r="BT902" s="408"/>
      <c r="BU902" s="408"/>
      <c r="BV902" s="408">
        <v>23511.265949833003</v>
      </c>
      <c r="BW902" s="408"/>
      <c r="BX902" s="408"/>
      <c r="BY902" s="408"/>
      <c r="BZ902" s="408"/>
      <c r="CA902" s="408"/>
      <c r="CB902" s="408"/>
      <c r="CC902" s="408"/>
      <c r="CD902" s="408"/>
      <c r="CE902" s="408"/>
      <c r="CF902" s="408"/>
      <c r="CG902" s="408"/>
      <c r="CH902" s="408"/>
      <c r="CI902" s="408">
        <v>263543.07740000001</v>
      </c>
      <c r="CJ902" s="408">
        <v>-3709.8604200000409</v>
      </c>
      <c r="CK902" s="408"/>
      <c r="CL902" s="408"/>
      <c r="CM902" s="408"/>
      <c r="CN902" s="408"/>
      <c r="CO902" s="408">
        <v>-3709.6627600000215</v>
      </c>
      <c r="CP902" s="408">
        <v>0</v>
      </c>
      <c r="CQ902" s="408">
        <v>31</v>
      </c>
      <c r="CR902" s="408">
        <v>-3711.1075351903564</v>
      </c>
      <c r="CS902" s="408">
        <v>0</v>
      </c>
      <c r="CT902" s="408">
        <v>0</v>
      </c>
      <c r="CU902" s="408">
        <v>0</v>
      </c>
      <c r="CV902" s="408">
        <v>0</v>
      </c>
      <c r="CW902" s="408"/>
      <c r="CX902" s="408"/>
      <c r="CY902" s="408"/>
      <c r="CZ902" s="408">
        <v>0</v>
      </c>
      <c r="DA902" s="408">
        <v>0</v>
      </c>
      <c r="DB902" s="408">
        <v>0</v>
      </c>
      <c r="DC902" s="408"/>
      <c r="DD902" s="408"/>
      <c r="DE902" s="408">
        <v>0</v>
      </c>
      <c r="DF902" s="408">
        <v>0</v>
      </c>
      <c r="DG902" s="408">
        <v>2979.6261464353993</v>
      </c>
      <c r="DH902" s="408">
        <v>0</v>
      </c>
      <c r="DI902" s="408">
        <v>-5716.0096900291974</v>
      </c>
      <c r="DJ902" s="408"/>
      <c r="DK902" s="408">
        <v>0</v>
      </c>
      <c r="DL902" s="408">
        <v>0</v>
      </c>
      <c r="DM902" s="408"/>
      <c r="DN902" s="408">
        <v>0</v>
      </c>
      <c r="DO902" s="408">
        <v>-903.497937703145</v>
      </c>
      <c r="DP902" s="408">
        <v>-71.22605389337059</v>
      </c>
      <c r="DQ902" s="408">
        <v>0</v>
      </c>
      <c r="DR902" s="408">
        <v>0</v>
      </c>
      <c r="DS902" s="408"/>
      <c r="DT902" s="408"/>
      <c r="DU902" s="408"/>
      <c r="DV902" s="408">
        <v>0</v>
      </c>
      <c r="DW902" s="408">
        <v>0</v>
      </c>
      <c r="DX902" s="408">
        <v>0</v>
      </c>
      <c r="DY902" s="408">
        <v>-3709.6627600000356</v>
      </c>
      <c r="DZ902" s="408"/>
      <c r="EA902" s="408">
        <v>0</v>
      </c>
      <c r="EB902" s="408"/>
      <c r="EC902" s="408">
        <v>0</v>
      </c>
      <c r="ED902" s="408"/>
      <c r="EE902" s="408">
        <v>0</v>
      </c>
      <c r="EF902" s="408">
        <v>0</v>
      </c>
      <c r="EG902" s="408"/>
      <c r="EH902" s="408">
        <v>0</v>
      </c>
      <c r="EI902" s="408">
        <v>0</v>
      </c>
      <c r="EJ902" s="408">
        <v>0</v>
      </c>
      <c r="EK902" s="408">
        <v>0</v>
      </c>
      <c r="EL902" s="408">
        <v>0</v>
      </c>
      <c r="EM902" s="408"/>
      <c r="EN902" s="408"/>
      <c r="EO902" s="408">
        <v>0</v>
      </c>
      <c r="EP902" s="408">
        <v>42988.897638264789</v>
      </c>
      <c r="EQ902" s="408"/>
      <c r="ER902" s="408">
        <v>0</v>
      </c>
      <c r="ES902" s="408"/>
      <c r="ET902" s="408">
        <v>0</v>
      </c>
      <c r="EU902" s="408"/>
      <c r="EV902" s="408">
        <v>240</v>
      </c>
      <c r="EW902" s="408"/>
      <c r="EX902" s="408"/>
      <c r="EY902" s="408"/>
      <c r="EZ902" s="408"/>
      <c r="FA902" s="408">
        <v>0</v>
      </c>
      <c r="FB902" s="408"/>
      <c r="FC902" s="408"/>
      <c r="FD902" s="408"/>
      <c r="FE902" s="408"/>
      <c r="FF902" s="408">
        <v>0</v>
      </c>
      <c r="FG902" s="408">
        <v>0</v>
      </c>
      <c r="FH902" s="408">
        <v>0</v>
      </c>
      <c r="FI902" s="408">
        <v>0</v>
      </c>
    </row>
    <row r="903" spans="1:165">
      <c r="A903" s="408">
        <v>901</v>
      </c>
      <c r="B903" s="408" t="s">
        <v>1036</v>
      </c>
      <c r="C903" s="408" t="s">
        <v>2243</v>
      </c>
      <c r="D903" s="408" t="s">
        <v>597</v>
      </c>
      <c r="E903" s="408" t="s">
        <v>970</v>
      </c>
      <c r="F903" s="408" t="s">
        <v>1322</v>
      </c>
      <c r="G903" s="408" t="s">
        <v>2318</v>
      </c>
      <c r="H903" s="408" t="s">
        <v>1322</v>
      </c>
      <c r="I903" s="408" t="s">
        <v>973</v>
      </c>
      <c r="J903" s="408" t="s">
        <v>2319</v>
      </c>
      <c r="K903" s="826">
        <v>44682</v>
      </c>
      <c r="L903" s="408">
        <v>0</v>
      </c>
      <c r="M903" s="408">
        <v>0</v>
      </c>
      <c r="N903" s="408">
        <v>43.113</v>
      </c>
      <c r="O903" s="408">
        <v>20.23760650485</v>
      </c>
      <c r="P903" s="408">
        <v>0</v>
      </c>
      <c r="Q903" s="408">
        <v>0</v>
      </c>
      <c r="R903" s="408"/>
      <c r="S903" s="408">
        <v>1358.36</v>
      </c>
      <c r="T903" s="408"/>
      <c r="U903" s="408"/>
      <c r="V903" s="408">
        <v>58562.974679999992</v>
      </c>
      <c r="W903" s="408">
        <v>58562.974679999992</v>
      </c>
      <c r="X903" s="408">
        <v>49497.173039999994</v>
      </c>
      <c r="Y903" s="408">
        <v>0</v>
      </c>
      <c r="Z903" s="408">
        <v>2308.4558104487746</v>
      </c>
      <c r="AA903" s="408">
        <v>0</v>
      </c>
      <c r="AB903" s="408">
        <v>0</v>
      </c>
      <c r="AC903" s="408">
        <v>816.65025441001956</v>
      </c>
      <c r="AD903" s="408">
        <v>784.62019083716791</v>
      </c>
      <c r="AE903" s="408">
        <v>43479.79319441392</v>
      </c>
      <c r="AF903" s="408"/>
      <c r="AG903" s="408"/>
      <c r="AH903" s="408"/>
      <c r="AI903" s="408">
        <v>0</v>
      </c>
      <c r="AJ903" s="408">
        <v>0</v>
      </c>
      <c r="AK903" s="408">
        <v>0</v>
      </c>
      <c r="AL903" s="408">
        <v>409.96282234633037</v>
      </c>
      <c r="AM903" s="408"/>
      <c r="AN903" s="408">
        <v>34.525486537899845</v>
      </c>
      <c r="AO903" s="408">
        <v>1733.6091772236232</v>
      </c>
      <c r="AP903" s="408">
        <v>8083.5194101099205</v>
      </c>
      <c r="AQ903" s="408">
        <v>0</v>
      </c>
      <c r="AR903" s="408">
        <v>0</v>
      </c>
      <c r="AS903" s="408"/>
      <c r="AT903" s="408"/>
      <c r="AU903" s="408">
        <v>0</v>
      </c>
      <c r="AV903" s="408">
        <v>0</v>
      </c>
      <c r="AW903" s="408">
        <v>0</v>
      </c>
      <c r="AX903" s="408"/>
      <c r="AY903" s="408"/>
      <c r="AZ903" s="408">
        <v>0</v>
      </c>
      <c r="BA903" s="408"/>
      <c r="BB903" s="408">
        <v>0</v>
      </c>
      <c r="BC903" s="408">
        <v>0</v>
      </c>
      <c r="BD903" s="408">
        <v>0</v>
      </c>
      <c r="BE903" s="408">
        <v>0</v>
      </c>
      <c r="BF903" s="408"/>
      <c r="BG903" s="408">
        <v>322.42732126309971</v>
      </c>
      <c r="BH903" s="408">
        <v>0</v>
      </c>
      <c r="BI903" s="408">
        <v>0</v>
      </c>
      <c r="BJ903" s="408">
        <v>0</v>
      </c>
      <c r="BK903" s="408">
        <v>0</v>
      </c>
      <c r="BL903" s="408">
        <v>0</v>
      </c>
      <c r="BM903" s="408"/>
      <c r="BN903" s="408">
        <v>26262.781763911811</v>
      </c>
      <c r="BO903" s="408"/>
      <c r="BP903" s="408"/>
      <c r="BQ903" s="408"/>
      <c r="BR903" s="408"/>
      <c r="BS903" s="408"/>
      <c r="BT903" s="408"/>
      <c r="BU903" s="408"/>
      <c r="BV903" s="408">
        <v>322.42732126309971</v>
      </c>
      <c r="BW903" s="408"/>
      <c r="BX903" s="408"/>
      <c r="BY903" s="408"/>
      <c r="BZ903" s="408"/>
      <c r="CA903" s="408"/>
      <c r="CB903" s="408"/>
      <c r="CC903" s="408"/>
      <c r="CD903" s="408"/>
      <c r="CE903" s="408"/>
      <c r="CF903" s="408"/>
      <c r="CG903" s="408"/>
      <c r="CH903" s="408"/>
      <c r="CI903" s="408">
        <v>23237.139199999998</v>
      </c>
      <c r="CJ903" s="408">
        <v>-4252.8459719280399</v>
      </c>
      <c r="CK903" s="408"/>
      <c r="CL903" s="408"/>
      <c r="CM903" s="408"/>
      <c r="CN903" s="408"/>
      <c r="CO903" s="408">
        <v>-9065.8016399999979</v>
      </c>
      <c r="CP903" s="408">
        <v>0</v>
      </c>
      <c r="CQ903" s="408">
        <v>31</v>
      </c>
      <c r="CR903" s="408">
        <v>1735.2615497378483</v>
      </c>
      <c r="CS903" s="408">
        <v>172.75044902018044</v>
      </c>
      <c r="CT903" s="408">
        <v>805.50543115851906</v>
      </c>
      <c r="CU903" s="408">
        <v>0</v>
      </c>
      <c r="CV903" s="408">
        <v>0</v>
      </c>
      <c r="CW903" s="408"/>
      <c r="CX903" s="408"/>
      <c r="CY903" s="408"/>
      <c r="CZ903" s="408">
        <v>807.89882282634744</v>
      </c>
      <c r="DA903" s="408">
        <v>0</v>
      </c>
      <c r="DB903" s="408">
        <v>0</v>
      </c>
      <c r="DC903" s="408"/>
      <c r="DD903" s="408"/>
      <c r="DE903" s="408">
        <v>0</v>
      </c>
      <c r="DF903" s="408">
        <v>0</v>
      </c>
      <c r="DG903" s="408">
        <v>40.861809772837091</v>
      </c>
      <c r="DH903" s="408">
        <v>0</v>
      </c>
      <c r="DI903" s="408">
        <v>-78.387854427001457</v>
      </c>
      <c r="DJ903" s="408"/>
      <c r="DK903" s="408">
        <v>0</v>
      </c>
      <c r="DL903" s="408">
        <v>0</v>
      </c>
      <c r="DM903" s="408"/>
      <c r="DN903" s="408">
        <v>0</v>
      </c>
      <c r="DO903" s="408">
        <v>-12.390333231819341</v>
      </c>
      <c r="DP903" s="408">
        <v>-0.97677538121436669</v>
      </c>
      <c r="DQ903" s="408">
        <v>0</v>
      </c>
      <c r="DR903" s="408">
        <v>0</v>
      </c>
      <c r="DS903" s="408"/>
      <c r="DT903" s="408"/>
      <c r="DU903" s="408"/>
      <c r="DV903" s="408">
        <v>43479.79319441392</v>
      </c>
      <c r="DW903" s="408">
        <v>0</v>
      </c>
      <c r="DX903" s="408">
        <v>0</v>
      </c>
      <c r="DY903" s="408">
        <v>-9065.8016399999979</v>
      </c>
      <c r="DZ903" s="408"/>
      <c r="EA903" s="408">
        <v>0</v>
      </c>
      <c r="EB903" s="408"/>
      <c r="EC903" s="408">
        <v>-10801.118158359655</v>
      </c>
      <c r="ED903" s="408"/>
      <c r="EE903" s="408">
        <v>0</v>
      </c>
      <c r="EF903" s="408">
        <v>0</v>
      </c>
      <c r="EG903" s="408"/>
      <c r="EH903" s="408">
        <v>0</v>
      </c>
      <c r="EI903" s="408">
        <v>0</v>
      </c>
      <c r="EJ903" s="408">
        <v>0</v>
      </c>
      <c r="EK903" s="408">
        <v>0</v>
      </c>
      <c r="EL903" s="408">
        <v>0</v>
      </c>
      <c r="EM903" s="408"/>
      <c r="EN903" s="408"/>
      <c r="EO903" s="408">
        <v>0</v>
      </c>
      <c r="EP903" s="408">
        <v>589.53844251239741</v>
      </c>
      <c r="EQ903" s="408"/>
      <c r="ER903" s="408">
        <v>0</v>
      </c>
      <c r="ES903" s="408"/>
      <c r="ET903" s="408">
        <v>0</v>
      </c>
      <c r="EU903" s="408"/>
      <c r="EV903" s="408">
        <v>240</v>
      </c>
      <c r="EW903" s="408"/>
      <c r="EX903" s="408"/>
      <c r="EY903" s="408"/>
      <c r="EZ903" s="408"/>
      <c r="FA903" s="408">
        <v>0</v>
      </c>
      <c r="FB903" s="408"/>
      <c r="FC903" s="408"/>
      <c r="FD903" s="408"/>
      <c r="FE903" s="408"/>
      <c r="FF903" s="408">
        <v>0</v>
      </c>
      <c r="FG903" s="408">
        <v>0</v>
      </c>
      <c r="FH903" s="408">
        <v>0</v>
      </c>
      <c r="FI903" s="408">
        <v>0</v>
      </c>
    </row>
    <row r="904" spans="1:165">
      <c r="A904" s="408">
        <v>902</v>
      </c>
      <c r="B904" s="408" t="s">
        <v>1036</v>
      </c>
      <c r="C904" s="408" t="s">
        <v>2243</v>
      </c>
      <c r="D904" s="408" t="s">
        <v>597</v>
      </c>
      <c r="E904" s="408" t="s">
        <v>970</v>
      </c>
      <c r="F904" s="408" t="s">
        <v>1322</v>
      </c>
      <c r="G904" s="408" t="s">
        <v>2318</v>
      </c>
      <c r="H904" s="408" t="s">
        <v>1322</v>
      </c>
      <c r="I904" s="408" t="s">
        <v>2244</v>
      </c>
      <c r="J904" s="408" t="s">
        <v>2319</v>
      </c>
      <c r="K904" s="826">
        <v>44682</v>
      </c>
      <c r="L904" s="408">
        <v>0</v>
      </c>
      <c r="M904" s="408">
        <v>0</v>
      </c>
      <c r="N904" s="408">
        <v>589.10299999999995</v>
      </c>
      <c r="O904" s="408">
        <v>589.10299999999995</v>
      </c>
      <c r="P904" s="408">
        <v>0</v>
      </c>
      <c r="Q904" s="408">
        <v>0</v>
      </c>
      <c r="R904" s="408"/>
      <c r="S904" s="408">
        <v>85.01</v>
      </c>
      <c r="T904" s="408"/>
      <c r="U904" s="408"/>
      <c r="V904" s="408">
        <v>50079.646029999996</v>
      </c>
      <c r="W904" s="408">
        <v>50079.646029999996</v>
      </c>
      <c r="X904" s="408">
        <v>49384.504489999992</v>
      </c>
      <c r="Y904" s="408">
        <v>0</v>
      </c>
      <c r="Z904" s="408">
        <v>31543.113290719841</v>
      </c>
      <c r="AA904" s="408">
        <v>0</v>
      </c>
      <c r="AB904" s="408">
        <v>0</v>
      </c>
      <c r="AC904" s="408">
        <v>0</v>
      </c>
      <c r="AD904" s="408">
        <v>0</v>
      </c>
      <c r="AE904" s="408">
        <v>0</v>
      </c>
      <c r="AF904" s="408"/>
      <c r="AG904" s="408"/>
      <c r="AH904" s="408"/>
      <c r="AI904" s="408">
        <v>0</v>
      </c>
      <c r="AJ904" s="408">
        <v>0</v>
      </c>
      <c r="AK904" s="408">
        <v>0</v>
      </c>
      <c r="AL904" s="408">
        <v>5601.7982634632308</v>
      </c>
      <c r="AM904" s="408"/>
      <c r="AN904" s="408">
        <v>471.76182812461235</v>
      </c>
      <c r="AO904" s="408">
        <v>0</v>
      </c>
      <c r="AP904" s="408">
        <v>0</v>
      </c>
      <c r="AQ904" s="408">
        <v>0</v>
      </c>
      <c r="AR904" s="408">
        <v>0</v>
      </c>
      <c r="AS904" s="408"/>
      <c r="AT904" s="408"/>
      <c r="AU904" s="408">
        <v>0</v>
      </c>
      <c r="AV904" s="408">
        <v>0</v>
      </c>
      <c r="AW904" s="408">
        <v>0</v>
      </c>
      <c r="AX904" s="408"/>
      <c r="AY904" s="408"/>
      <c r="AZ904" s="408">
        <v>0</v>
      </c>
      <c r="BA904" s="408"/>
      <c r="BB904" s="408">
        <v>0</v>
      </c>
      <c r="BC904" s="408">
        <v>0</v>
      </c>
      <c r="BD904" s="408">
        <v>0</v>
      </c>
      <c r="BE904" s="408">
        <v>0</v>
      </c>
      <c r="BF904" s="408"/>
      <c r="BG904" s="408">
        <v>4405.6990290180647</v>
      </c>
      <c r="BH904" s="408">
        <v>0</v>
      </c>
      <c r="BI904" s="408">
        <v>0</v>
      </c>
      <c r="BJ904" s="408">
        <v>0</v>
      </c>
      <c r="BK904" s="408">
        <v>0</v>
      </c>
      <c r="BL904" s="408">
        <v>0</v>
      </c>
      <c r="BM904" s="408"/>
      <c r="BN904" s="408"/>
      <c r="BO904" s="408"/>
      <c r="BP904" s="408"/>
      <c r="BQ904" s="408"/>
      <c r="BR904" s="408"/>
      <c r="BS904" s="408"/>
      <c r="BT904" s="408"/>
      <c r="BU904" s="408"/>
      <c r="BV904" s="408">
        <v>4405.6990290180647</v>
      </c>
      <c r="BW904" s="408"/>
      <c r="BX904" s="408"/>
      <c r="BY904" s="408"/>
      <c r="BZ904" s="408"/>
      <c r="CA904" s="408"/>
      <c r="CB904" s="408"/>
      <c r="CC904" s="408"/>
      <c r="CD904" s="408"/>
      <c r="CE904" s="408"/>
      <c r="CF904" s="408"/>
      <c r="CG904" s="408"/>
      <c r="CH904" s="408"/>
      <c r="CI904" s="408">
        <v>49384.253000000004</v>
      </c>
      <c r="CJ904" s="408">
        <v>-695.42302999999811</v>
      </c>
      <c r="CK904" s="408"/>
      <c r="CL904" s="408"/>
      <c r="CM904" s="408"/>
      <c r="CN904" s="408"/>
      <c r="CO904" s="408">
        <v>-695.14154000000394</v>
      </c>
      <c r="CP904" s="408">
        <v>0</v>
      </c>
      <c r="CQ904" s="408">
        <v>31</v>
      </c>
      <c r="CR904" s="408">
        <v>-695.41227168525074</v>
      </c>
      <c r="CS904" s="408">
        <v>0</v>
      </c>
      <c r="CT904" s="408">
        <v>0</v>
      </c>
      <c r="CU904" s="408">
        <v>0</v>
      </c>
      <c r="CV904" s="408">
        <v>0</v>
      </c>
      <c r="CW904" s="408"/>
      <c r="CX904" s="408"/>
      <c r="CY904" s="408"/>
      <c r="CZ904" s="408">
        <v>0</v>
      </c>
      <c r="DA904" s="408">
        <v>0</v>
      </c>
      <c r="DB904" s="408">
        <v>0</v>
      </c>
      <c r="DC904" s="408"/>
      <c r="DD904" s="408"/>
      <c r="DE904" s="408">
        <v>0</v>
      </c>
      <c r="DF904" s="408">
        <v>0</v>
      </c>
      <c r="DG904" s="408">
        <v>558.34237289466364</v>
      </c>
      <c r="DH904" s="408">
        <v>0</v>
      </c>
      <c r="DI904" s="408">
        <v>-1071.1043120754766</v>
      </c>
      <c r="DJ904" s="408"/>
      <c r="DK904" s="408">
        <v>0</v>
      </c>
      <c r="DL904" s="408">
        <v>0</v>
      </c>
      <c r="DM904" s="408"/>
      <c r="DN904" s="408">
        <v>0</v>
      </c>
      <c r="DO904" s="408">
        <v>-169.30351582734875</v>
      </c>
      <c r="DP904" s="408">
        <v>-13.346816677093443</v>
      </c>
      <c r="DQ904" s="408">
        <v>0</v>
      </c>
      <c r="DR904" s="408">
        <v>0</v>
      </c>
      <c r="DS904" s="408"/>
      <c r="DT904" s="408"/>
      <c r="DU904" s="408"/>
      <c r="DV904" s="408">
        <v>0</v>
      </c>
      <c r="DW904" s="408">
        <v>0</v>
      </c>
      <c r="DX904" s="408">
        <v>0</v>
      </c>
      <c r="DY904" s="408">
        <v>-695.14154000000417</v>
      </c>
      <c r="DZ904" s="408"/>
      <c r="EA904" s="408">
        <v>0</v>
      </c>
      <c r="EB904" s="408"/>
      <c r="EC904" s="408">
        <v>0</v>
      </c>
      <c r="ED904" s="408"/>
      <c r="EE904" s="408">
        <v>0</v>
      </c>
      <c r="EF904" s="408">
        <v>0</v>
      </c>
      <c r="EG904" s="408"/>
      <c r="EH904" s="408">
        <v>0</v>
      </c>
      <c r="EI904" s="408">
        <v>0</v>
      </c>
      <c r="EJ904" s="408">
        <v>0</v>
      </c>
      <c r="EK904" s="408">
        <v>0</v>
      </c>
      <c r="EL904" s="408">
        <v>0</v>
      </c>
      <c r="EM904" s="408"/>
      <c r="EN904" s="408"/>
      <c r="EO904" s="408">
        <v>0</v>
      </c>
      <c r="EP904" s="408">
        <v>8055.5485607445744</v>
      </c>
      <c r="EQ904" s="408"/>
      <c r="ER904" s="408">
        <v>0</v>
      </c>
      <c r="ES904" s="408"/>
      <c r="ET904" s="408">
        <v>0</v>
      </c>
      <c r="EU904" s="408"/>
      <c r="EV904" s="408">
        <v>240</v>
      </c>
      <c r="EW904" s="408"/>
      <c r="EX904" s="408"/>
      <c r="EY904" s="408"/>
      <c r="EZ904" s="408"/>
      <c r="FA904" s="408">
        <v>0</v>
      </c>
      <c r="FB904" s="408"/>
      <c r="FC904" s="408"/>
      <c r="FD904" s="408"/>
      <c r="FE904" s="408"/>
      <c r="FF904" s="408">
        <v>0</v>
      </c>
      <c r="FG904" s="408">
        <v>0</v>
      </c>
      <c r="FH904" s="408">
        <v>0</v>
      </c>
      <c r="FI904" s="408">
        <v>0</v>
      </c>
    </row>
    <row r="905" spans="1:165">
      <c r="A905" s="408">
        <v>903</v>
      </c>
      <c r="B905" s="408" t="s">
        <v>1036</v>
      </c>
      <c r="C905" s="408" t="s">
        <v>2243</v>
      </c>
      <c r="D905" s="408" t="s">
        <v>597</v>
      </c>
      <c r="E905" s="408" t="s">
        <v>970</v>
      </c>
      <c r="F905" s="408" t="s">
        <v>1322</v>
      </c>
      <c r="G905" s="408" t="s">
        <v>2318</v>
      </c>
      <c r="H905" s="408" t="s">
        <v>1322</v>
      </c>
      <c r="I905" s="408" t="s">
        <v>1322</v>
      </c>
      <c r="J905" s="408" t="s">
        <v>2319</v>
      </c>
      <c r="K905" s="826">
        <v>44682</v>
      </c>
      <c r="L905" s="408">
        <v>2940</v>
      </c>
      <c r="M905" s="408">
        <v>1509.0000113999999</v>
      </c>
      <c r="N905" s="408">
        <v>0</v>
      </c>
      <c r="O905" s="408">
        <v>0</v>
      </c>
      <c r="P905" s="408">
        <v>0</v>
      </c>
      <c r="Q905" s="408">
        <v>0</v>
      </c>
      <c r="R905" s="408">
        <v>27.19</v>
      </c>
      <c r="S905" s="408"/>
      <c r="T905" s="408"/>
      <c r="U905" s="408">
        <v>79938.600000000006</v>
      </c>
      <c r="V905" s="408"/>
      <c r="W905" s="408">
        <v>79938.600000000006</v>
      </c>
      <c r="X905" s="408">
        <v>63974.400000000001</v>
      </c>
      <c r="Y905" s="408">
        <v>0</v>
      </c>
      <c r="Z905" s="408">
        <v>0</v>
      </c>
      <c r="AA905" s="408">
        <v>0</v>
      </c>
      <c r="AB905" s="408">
        <v>0</v>
      </c>
      <c r="AC905" s="408">
        <v>685.60980347703821</v>
      </c>
      <c r="AD905" s="408">
        <v>658.66242774904663</v>
      </c>
      <c r="AE905" s="408">
        <v>70360.168914888927</v>
      </c>
      <c r="AF905" s="408"/>
      <c r="AG905" s="408"/>
      <c r="AH905" s="408"/>
      <c r="AI905" s="408">
        <v>0</v>
      </c>
      <c r="AJ905" s="408">
        <v>0</v>
      </c>
      <c r="AK905" s="408">
        <v>0</v>
      </c>
      <c r="AL905" s="408">
        <v>0</v>
      </c>
      <c r="AM905" s="408"/>
      <c r="AN905" s="408">
        <v>0</v>
      </c>
      <c r="AO905" s="408">
        <v>1454.9614034059641</v>
      </c>
      <c r="AP905" s="408">
        <v>6785.7811984537811</v>
      </c>
      <c r="AQ905" s="408">
        <v>0</v>
      </c>
      <c r="AR905" s="408">
        <v>0</v>
      </c>
      <c r="AS905" s="408"/>
      <c r="AT905" s="408"/>
      <c r="AU905" s="408">
        <v>0</v>
      </c>
      <c r="AV905" s="408">
        <v>0</v>
      </c>
      <c r="AW905" s="408">
        <v>0</v>
      </c>
      <c r="AX905" s="408"/>
      <c r="AY905" s="408"/>
      <c r="AZ905" s="408">
        <v>0</v>
      </c>
      <c r="BA905" s="408"/>
      <c r="BB905" s="408">
        <v>0</v>
      </c>
      <c r="BC905" s="408">
        <v>0</v>
      </c>
      <c r="BD905" s="408">
        <v>0</v>
      </c>
      <c r="BE905" s="408">
        <v>0</v>
      </c>
      <c r="BF905" s="408"/>
      <c r="BG905" s="408">
        <v>0</v>
      </c>
      <c r="BH905" s="408">
        <v>0</v>
      </c>
      <c r="BI905" s="408">
        <v>1595.31</v>
      </c>
      <c r="BJ905" s="408">
        <v>0</v>
      </c>
      <c r="BK905" s="408">
        <v>34349.68</v>
      </c>
      <c r="BL905" s="408">
        <v>5</v>
      </c>
      <c r="BM905" s="408"/>
      <c r="BN905" s="408">
        <v>31138.559751936002</v>
      </c>
      <c r="BO905" s="408"/>
      <c r="BP905" s="408"/>
      <c r="BQ905" s="408"/>
      <c r="BR905" s="408"/>
      <c r="BS905" s="408"/>
      <c r="BT905" s="408"/>
      <c r="BU905" s="408"/>
      <c r="BV905" s="408">
        <v>0</v>
      </c>
      <c r="BW905" s="408"/>
      <c r="BX905" s="408"/>
      <c r="BY905" s="408"/>
      <c r="BZ905" s="408"/>
      <c r="CA905" s="408"/>
      <c r="CB905" s="408"/>
      <c r="CC905" s="408"/>
      <c r="CD905" s="408"/>
      <c r="CE905" s="408"/>
      <c r="CF905" s="408"/>
      <c r="CG905" s="408"/>
      <c r="CH905" s="408"/>
      <c r="CI905" s="408">
        <v>32835.840000000004</v>
      </c>
      <c r="CJ905" s="408">
        <v>-8193.900309966004</v>
      </c>
      <c r="CK905" s="408"/>
      <c r="CL905" s="408"/>
      <c r="CM905" s="408"/>
      <c r="CN905" s="408"/>
      <c r="CO905" s="408">
        <v>-15964.199999999999</v>
      </c>
      <c r="CP905" s="408">
        <v>0</v>
      </c>
      <c r="CQ905" s="408">
        <v>31</v>
      </c>
      <c r="CR905" s="408">
        <v>1499.3764474794971</v>
      </c>
      <c r="CS905" s="408">
        <v>144.98379395288202</v>
      </c>
      <c r="CT905" s="408">
        <v>676.18859220794184</v>
      </c>
      <c r="CU905" s="408">
        <v>0</v>
      </c>
      <c r="CV905" s="408">
        <v>0</v>
      </c>
      <c r="CW905" s="408"/>
      <c r="CX905" s="408"/>
      <c r="CY905" s="408"/>
      <c r="CZ905" s="408">
        <v>678.20406131867389</v>
      </c>
      <c r="DA905" s="408">
        <v>0</v>
      </c>
      <c r="DB905" s="408">
        <v>0</v>
      </c>
      <c r="DC905" s="408"/>
      <c r="DD905" s="408"/>
      <c r="DE905" s="408">
        <v>0</v>
      </c>
      <c r="DF905" s="408">
        <v>0</v>
      </c>
      <c r="DG905" s="408">
        <v>0</v>
      </c>
      <c r="DH905" s="408">
        <v>0</v>
      </c>
      <c r="DI905" s="408">
        <v>0</v>
      </c>
      <c r="DJ905" s="408"/>
      <c r="DK905" s="408">
        <v>0</v>
      </c>
      <c r="DL905" s="408">
        <v>0</v>
      </c>
      <c r="DM905" s="408"/>
      <c r="DN905" s="408">
        <v>0</v>
      </c>
      <c r="DO905" s="408">
        <v>0</v>
      </c>
      <c r="DP905" s="408">
        <v>0</v>
      </c>
      <c r="DQ905" s="408">
        <v>0</v>
      </c>
      <c r="DR905" s="408">
        <v>0</v>
      </c>
      <c r="DS905" s="408"/>
      <c r="DT905" s="408"/>
      <c r="DU905" s="408">
        <v>70360.168914888927</v>
      </c>
      <c r="DV905" s="408"/>
      <c r="DW905" s="408">
        <v>0</v>
      </c>
      <c r="DX905" s="408">
        <v>0</v>
      </c>
      <c r="DY905" s="408">
        <v>-15964.200000000004</v>
      </c>
      <c r="DZ905" s="408"/>
      <c r="EA905" s="408">
        <v>0</v>
      </c>
      <c r="EB905" s="408"/>
      <c r="EC905" s="408">
        <v>-17478.659447476122</v>
      </c>
      <c r="ED905" s="408"/>
      <c r="EE905" s="408">
        <v>0</v>
      </c>
      <c r="EF905" s="408">
        <v>0</v>
      </c>
      <c r="EG905" s="408"/>
      <c r="EH905" s="408">
        <v>0</v>
      </c>
      <c r="EI905" s="408">
        <v>0</v>
      </c>
      <c r="EJ905" s="408">
        <v>0</v>
      </c>
      <c r="EK905" s="408">
        <v>0</v>
      </c>
      <c r="EL905" s="408">
        <v>0</v>
      </c>
      <c r="EM905" s="408"/>
      <c r="EN905" s="408"/>
      <c r="EO905" s="408">
        <v>0</v>
      </c>
      <c r="EP905" s="408">
        <v>0</v>
      </c>
      <c r="EQ905" s="408"/>
      <c r="ER905" s="408">
        <v>0</v>
      </c>
      <c r="ES905" s="408"/>
      <c r="ET905" s="408">
        <v>0</v>
      </c>
      <c r="EU905" s="408"/>
      <c r="EV905" s="408">
        <v>240</v>
      </c>
      <c r="EW905" s="408"/>
      <c r="EX905" s="408"/>
      <c r="EY905" s="408"/>
      <c r="EZ905" s="408"/>
      <c r="FA905" s="408">
        <v>0</v>
      </c>
      <c r="FB905" s="408"/>
      <c r="FC905" s="408"/>
      <c r="FD905" s="408"/>
      <c r="FE905" s="408"/>
      <c r="FF905" s="408">
        <v>0</v>
      </c>
      <c r="FG905" s="408">
        <v>0</v>
      </c>
      <c r="FH905" s="408">
        <v>0</v>
      </c>
      <c r="FI905" s="408">
        <v>0</v>
      </c>
    </row>
    <row r="906" spans="1:165">
      <c r="A906" s="408">
        <v>904</v>
      </c>
      <c r="B906" s="408" t="s">
        <v>1036</v>
      </c>
      <c r="C906" s="408" t="s">
        <v>993</v>
      </c>
      <c r="D906" s="408" t="s">
        <v>599</v>
      </c>
      <c r="E906" s="408" t="s">
        <v>1322</v>
      </c>
      <c r="F906" s="408" t="s">
        <v>1322</v>
      </c>
      <c r="G906" s="408" t="s">
        <v>1322</v>
      </c>
      <c r="H906" s="408" t="s">
        <v>2320</v>
      </c>
      <c r="I906" s="408" t="s">
        <v>1322</v>
      </c>
      <c r="J906" s="408" t="s">
        <v>2256</v>
      </c>
      <c r="K906" s="826">
        <v>44682</v>
      </c>
      <c r="L906" s="408">
        <v>7020</v>
      </c>
      <c r="M906" s="408">
        <v>3510</v>
      </c>
      <c r="N906" s="408">
        <v>0</v>
      </c>
      <c r="O906" s="408">
        <v>0</v>
      </c>
      <c r="P906" s="408">
        <v>0</v>
      </c>
      <c r="Q906" s="408">
        <v>0</v>
      </c>
      <c r="R906" s="408">
        <v>6.87</v>
      </c>
      <c r="S906" s="408"/>
      <c r="T906" s="408"/>
      <c r="U906" s="408">
        <v>48227.4</v>
      </c>
      <c r="V906" s="408"/>
      <c r="W906" s="408">
        <v>48227.4</v>
      </c>
      <c r="X906" s="408">
        <v>40084.199999999997</v>
      </c>
      <c r="Y906" s="408">
        <v>0</v>
      </c>
      <c r="Z906" s="408">
        <v>0</v>
      </c>
      <c r="AA906" s="408">
        <v>0</v>
      </c>
      <c r="AB906" s="408">
        <v>0</v>
      </c>
      <c r="AC906" s="408">
        <v>0</v>
      </c>
      <c r="AD906" s="408">
        <v>2031.0321998913851</v>
      </c>
      <c r="AE906" s="408">
        <v>42729.467006265557</v>
      </c>
      <c r="AF906" s="408"/>
      <c r="AG906" s="408"/>
      <c r="AH906" s="408"/>
      <c r="AI906" s="408">
        <v>0</v>
      </c>
      <c r="AJ906" s="408">
        <v>0</v>
      </c>
      <c r="AK906" s="408">
        <v>0</v>
      </c>
      <c r="AL906" s="408">
        <v>0</v>
      </c>
      <c r="AM906" s="408"/>
      <c r="AN906" s="408">
        <v>0</v>
      </c>
      <c r="AO906" s="408">
        <v>0</v>
      </c>
      <c r="AP906" s="408">
        <v>0</v>
      </c>
      <c r="AQ906" s="408">
        <v>0</v>
      </c>
      <c r="AR906" s="408">
        <v>0</v>
      </c>
      <c r="AS906" s="408"/>
      <c r="AT906" s="408"/>
      <c r="AU906" s="408">
        <v>0</v>
      </c>
      <c r="AV906" s="408">
        <v>0</v>
      </c>
      <c r="AW906" s="408">
        <v>0</v>
      </c>
      <c r="AX906" s="408"/>
      <c r="AY906" s="408"/>
      <c r="AZ906" s="408">
        <v>0</v>
      </c>
      <c r="BA906" s="408"/>
      <c r="BB906" s="408">
        <v>0</v>
      </c>
      <c r="BC906" s="408">
        <v>0</v>
      </c>
      <c r="BD906" s="408">
        <v>0</v>
      </c>
      <c r="BE906" s="408">
        <v>0</v>
      </c>
      <c r="BF906" s="408"/>
      <c r="BG906" s="408">
        <v>3436.1874076712338</v>
      </c>
      <c r="BH906" s="408">
        <v>0</v>
      </c>
      <c r="BI906" s="408">
        <v>392.62</v>
      </c>
      <c r="BJ906" s="408">
        <v>0</v>
      </c>
      <c r="BK906" s="408">
        <v>0</v>
      </c>
      <c r="BL906" s="408">
        <v>0</v>
      </c>
      <c r="BM906" s="408"/>
      <c r="BN906" s="408"/>
      <c r="BO906" s="408">
        <v>20042.099999999999</v>
      </c>
      <c r="BP906" s="408"/>
      <c r="BQ906" s="408"/>
      <c r="BR906" s="408"/>
      <c r="BS906" s="408"/>
      <c r="BT906" s="408"/>
      <c r="BU906" s="408"/>
      <c r="BV906" s="408">
        <v>3436.1874076712338</v>
      </c>
      <c r="BW906" s="408"/>
      <c r="BX906" s="408"/>
      <c r="BY906" s="408"/>
      <c r="BZ906" s="408"/>
      <c r="CA906" s="408"/>
      <c r="CB906" s="408"/>
      <c r="CC906" s="408"/>
      <c r="CD906" s="408"/>
      <c r="CE906" s="408"/>
      <c r="CF906" s="408"/>
      <c r="CG906" s="408"/>
      <c r="CH906" s="408"/>
      <c r="CI906" s="408">
        <v>20042.099999999999</v>
      </c>
      <c r="CJ906" s="408">
        <v>-4071.6299999999974</v>
      </c>
      <c r="CK906" s="408"/>
      <c r="CL906" s="408"/>
      <c r="CM906" s="408"/>
      <c r="CN906" s="408"/>
      <c r="CO906" s="408">
        <v>-8143.2000000000007</v>
      </c>
      <c r="CP906" s="408">
        <v>0</v>
      </c>
      <c r="CQ906" s="408">
        <v>31</v>
      </c>
      <c r="CR906" s="408">
        <v>2526.7645846364476</v>
      </c>
      <c r="CS906" s="408">
        <v>0</v>
      </c>
      <c r="CT906" s="408">
        <v>0</v>
      </c>
      <c r="CU906" s="408">
        <v>0</v>
      </c>
      <c r="CV906" s="408">
        <v>0</v>
      </c>
      <c r="CW906" s="408"/>
      <c r="CX906" s="408"/>
      <c r="CY906" s="408"/>
      <c r="CZ906" s="408">
        <v>2091.2902096795342</v>
      </c>
      <c r="DA906" s="408">
        <v>0</v>
      </c>
      <c r="DB906" s="408">
        <v>0</v>
      </c>
      <c r="DC906" s="408"/>
      <c r="DD906" s="408"/>
      <c r="DE906" s="408">
        <v>0</v>
      </c>
      <c r="DF906" s="408">
        <v>0</v>
      </c>
      <c r="DG906" s="408">
        <v>435.47437495691338</v>
      </c>
      <c r="DH906" s="408">
        <v>0</v>
      </c>
      <c r="DI906" s="408">
        <v>0</v>
      </c>
      <c r="DJ906" s="408"/>
      <c r="DK906" s="408">
        <v>0</v>
      </c>
      <c r="DL906" s="408">
        <v>0</v>
      </c>
      <c r="DM906" s="408"/>
      <c r="DN906" s="408">
        <v>0</v>
      </c>
      <c r="DO906" s="408">
        <v>0</v>
      </c>
      <c r="DP906" s="408">
        <v>0</v>
      </c>
      <c r="DQ906" s="408">
        <v>0</v>
      </c>
      <c r="DR906" s="408">
        <v>0</v>
      </c>
      <c r="DS906" s="408"/>
      <c r="DT906" s="408"/>
      <c r="DU906" s="408">
        <v>42729.467006265557</v>
      </c>
      <c r="DV906" s="408"/>
      <c r="DW906" s="408">
        <v>0</v>
      </c>
      <c r="DX906" s="408">
        <v>0</v>
      </c>
      <c r="DY906" s="408">
        <v>-8143.2000000000044</v>
      </c>
      <c r="DZ906" s="408"/>
      <c r="EA906" s="408">
        <v>0</v>
      </c>
      <c r="EB906" s="408"/>
      <c r="EC906" s="408">
        <v>-10614.724405765934</v>
      </c>
      <c r="ED906" s="408"/>
      <c r="EE906" s="408">
        <v>0</v>
      </c>
      <c r="EF906" s="408">
        <v>0</v>
      </c>
      <c r="EG906" s="408"/>
      <c r="EH906" s="408">
        <v>0</v>
      </c>
      <c r="EI906" s="408">
        <v>0</v>
      </c>
      <c r="EJ906" s="408">
        <v>0</v>
      </c>
      <c r="EK906" s="408">
        <v>0</v>
      </c>
      <c r="EL906" s="408">
        <v>0</v>
      </c>
      <c r="EM906" s="408"/>
      <c r="EN906" s="408"/>
      <c r="EO906" s="408">
        <v>0</v>
      </c>
      <c r="EP906" s="408">
        <v>0</v>
      </c>
      <c r="EQ906" s="408"/>
      <c r="ER906" s="408">
        <v>0</v>
      </c>
      <c r="ES906" s="408"/>
      <c r="ET906" s="408">
        <v>0</v>
      </c>
      <c r="EU906" s="408"/>
      <c r="EV906" s="408">
        <v>240</v>
      </c>
      <c r="EW906" s="408"/>
      <c r="EX906" s="408"/>
      <c r="EY906" s="408"/>
      <c r="EZ906" s="408"/>
      <c r="FA906" s="408">
        <v>0</v>
      </c>
      <c r="FB906" s="408"/>
      <c r="FC906" s="408"/>
      <c r="FD906" s="408"/>
      <c r="FE906" s="408"/>
      <c r="FF906" s="408">
        <v>0</v>
      </c>
      <c r="FG906" s="408">
        <v>0</v>
      </c>
      <c r="FH906" s="408">
        <v>0</v>
      </c>
      <c r="FI906" s="408">
        <v>0</v>
      </c>
    </row>
    <row r="907" spans="1:165">
      <c r="A907" s="408">
        <v>905</v>
      </c>
      <c r="B907" s="408" t="s">
        <v>1036</v>
      </c>
      <c r="C907" s="408" t="s">
        <v>2247</v>
      </c>
      <c r="D907" s="408" t="s">
        <v>597</v>
      </c>
      <c r="E907" s="408" t="s">
        <v>970</v>
      </c>
      <c r="F907" s="408" t="s">
        <v>1322</v>
      </c>
      <c r="G907" s="408" t="s">
        <v>2318</v>
      </c>
      <c r="H907" s="408" t="s">
        <v>1322</v>
      </c>
      <c r="I907" s="408" t="s">
        <v>973</v>
      </c>
      <c r="J907" s="408" t="s">
        <v>2319</v>
      </c>
      <c r="K907" s="826">
        <v>44713</v>
      </c>
      <c r="L907" s="408">
        <v>7800</v>
      </c>
      <c r="M907" s="408">
        <v>3900</v>
      </c>
      <c r="N907" s="408">
        <v>0</v>
      </c>
      <c r="O907" s="408">
        <v>0</v>
      </c>
      <c r="P907" s="408">
        <v>0</v>
      </c>
      <c r="Q907" s="408">
        <v>0</v>
      </c>
      <c r="R907" s="408">
        <v>52.95</v>
      </c>
      <c r="S907" s="408"/>
      <c r="T907" s="408"/>
      <c r="U907" s="408">
        <v>413010</v>
      </c>
      <c r="V907" s="408"/>
      <c r="W907" s="408">
        <v>413010</v>
      </c>
      <c r="X907" s="408">
        <v>345150</v>
      </c>
      <c r="Y907" s="408">
        <v>0</v>
      </c>
      <c r="Z907" s="408">
        <v>0</v>
      </c>
      <c r="AA907" s="408">
        <v>0</v>
      </c>
      <c r="AB907" s="408">
        <v>0</v>
      </c>
      <c r="AC907" s="408">
        <v>6143.7967769655443</v>
      </c>
      <c r="AD907" s="408">
        <v>5902.6636731637609</v>
      </c>
      <c r="AE907" s="408">
        <v>327082.9691133537</v>
      </c>
      <c r="AF907" s="408"/>
      <c r="AG907" s="408"/>
      <c r="AH907" s="408"/>
      <c r="AI907" s="408">
        <v>0</v>
      </c>
      <c r="AJ907" s="408">
        <v>0</v>
      </c>
      <c r="AK907" s="408">
        <v>0</v>
      </c>
      <c r="AL907" s="408">
        <v>0</v>
      </c>
      <c r="AM907" s="408"/>
      <c r="AN907" s="408">
        <v>0</v>
      </c>
      <c r="AO907" s="408">
        <v>13041.996884625618</v>
      </c>
      <c r="AP907" s="408">
        <v>60812.114336929255</v>
      </c>
      <c r="AQ907" s="408">
        <v>0</v>
      </c>
      <c r="AR907" s="408">
        <v>0</v>
      </c>
      <c r="AS907" s="408"/>
      <c r="AT907" s="408"/>
      <c r="AU907" s="408">
        <v>0</v>
      </c>
      <c r="AV907" s="408">
        <v>0</v>
      </c>
      <c r="AW907" s="408">
        <v>0</v>
      </c>
      <c r="AX907" s="408"/>
      <c r="AY907" s="408"/>
      <c r="AZ907" s="408">
        <v>0</v>
      </c>
      <c r="BA907" s="408"/>
      <c r="BB907" s="408">
        <v>0</v>
      </c>
      <c r="BC907" s="408">
        <v>0</v>
      </c>
      <c r="BD907" s="408">
        <v>0</v>
      </c>
      <c r="BE907" s="408">
        <v>0</v>
      </c>
      <c r="BF907" s="408"/>
      <c r="BG907" s="408">
        <v>0</v>
      </c>
      <c r="BH907" s="408">
        <v>0</v>
      </c>
      <c r="BI907" s="408">
        <v>0</v>
      </c>
      <c r="BJ907" s="408">
        <v>0</v>
      </c>
      <c r="BK907" s="408">
        <v>0</v>
      </c>
      <c r="BL907" s="408">
        <v>0</v>
      </c>
      <c r="BM907" s="408"/>
      <c r="BN907" s="408">
        <v>172575</v>
      </c>
      <c r="BO907" s="408"/>
      <c r="BP907" s="408"/>
      <c r="BQ907" s="408"/>
      <c r="BR907" s="408"/>
      <c r="BS907" s="408"/>
      <c r="BT907" s="408"/>
      <c r="BU907" s="408"/>
      <c r="BV907" s="408">
        <v>0</v>
      </c>
      <c r="BW907" s="408"/>
      <c r="BX907" s="408"/>
      <c r="BY907" s="408"/>
      <c r="BZ907" s="408"/>
      <c r="CA907" s="408"/>
      <c r="CB907" s="408"/>
      <c r="CC907" s="408"/>
      <c r="CD907" s="408"/>
      <c r="CE907" s="408"/>
      <c r="CF907" s="408"/>
      <c r="CG907" s="408"/>
      <c r="CH907" s="408"/>
      <c r="CI907" s="408">
        <v>172575</v>
      </c>
      <c r="CJ907" s="408">
        <v>-33930.030000000028</v>
      </c>
      <c r="CK907" s="408"/>
      <c r="CL907" s="408"/>
      <c r="CM907" s="408"/>
      <c r="CN907" s="408"/>
      <c r="CO907" s="408">
        <v>-67860.000000000029</v>
      </c>
      <c r="CP907" s="408">
        <v>0</v>
      </c>
      <c r="CQ907" s="408">
        <v>30</v>
      </c>
      <c r="CR907" s="408">
        <v>13437.192136518745</v>
      </c>
      <c r="CS907" s="408">
        <v>1299.6071130329037</v>
      </c>
      <c r="CT907" s="408">
        <v>6059.7972112697025</v>
      </c>
      <c r="CU907" s="408">
        <v>0</v>
      </c>
      <c r="CV907" s="408">
        <v>0</v>
      </c>
      <c r="CW907" s="408"/>
      <c r="CX907" s="408"/>
      <c r="CY907" s="408"/>
      <c r="CZ907" s="408">
        <v>6077.7878122161492</v>
      </c>
      <c r="DA907" s="408">
        <v>0</v>
      </c>
      <c r="DB907" s="408">
        <v>0</v>
      </c>
      <c r="DC907" s="408"/>
      <c r="DD907" s="408"/>
      <c r="DE907" s="408">
        <v>0</v>
      </c>
      <c r="DF907" s="408">
        <v>0</v>
      </c>
      <c r="DG907" s="408">
        <v>0</v>
      </c>
      <c r="DH907" s="408">
        <v>0</v>
      </c>
      <c r="DI907" s="408">
        <v>0</v>
      </c>
      <c r="DJ907" s="408"/>
      <c r="DK907" s="408">
        <v>0</v>
      </c>
      <c r="DL907" s="408">
        <v>0</v>
      </c>
      <c r="DM907" s="408"/>
      <c r="DN907" s="408">
        <v>0</v>
      </c>
      <c r="DO907" s="408">
        <v>0</v>
      </c>
      <c r="DP907" s="408">
        <v>0</v>
      </c>
      <c r="DQ907" s="408">
        <v>0</v>
      </c>
      <c r="DR907" s="408">
        <v>0</v>
      </c>
      <c r="DS907" s="408"/>
      <c r="DT907" s="408"/>
      <c r="DU907" s="408">
        <v>327082.9691133537</v>
      </c>
      <c r="DV907" s="408"/>
      <c r="DW907" s="408">
        <v>0</v>
      </c>
      <c r="DX907" s="408">
        <v>0</v>
      </c>
      <c r="DY907" s="408">
        <v>-67860</v>
      </c>
      <c r="DZ907" s="408"/>
      <c r="EA907" s="408">
        <v>0</v>
      </c>
      <c r="EB907" s="408"/>
      <c r="EC907" s="408">
        <v>-81252.957694248587</v>
      </c>
      <c r="ED907" s="408"/>
      <c r="EE907" s="408">
        <v>0</v>
      </c>
      <c r="EF907" s="408">
        <v>0</v>
      </c>
      <c r="EG907" s="408"/>
      <c r="EH907" s="408">
        <v>0</v>
      </c>
      <c r="EI907" s="408">
        <v>0</v>
      </c>
      <c r="EJ907" s="408">
        <v>0</v>
      </c>
      <c r="EK907" s="408">
        <v>0</v>
      </c>
      <c r="EL907" s="408">
        <v>0</v>
      </c>
      <c r="EM907" s="408"/>
      <c r="EN907" s="408"/>
      <c r="EO907" s="408">
        <v>0</v>
      </c>
      <c r="EP907" s="408">
        <v>0</v>
      </c>
      <c r="EQ907" s="408"/>
      <c r="ER907" s="408">
        <v>0</v>
      </c>
      <c r="ES907" s="408"/>
      <c r="ET907" s="408">
        <v>0</v>
      </c>
      <c r="EU907" s="408"/>
      <c r="EV907" s="408">
        <v>240</v>
      </c>
      <c r="EW907" s="408"/>
      <c r="EX907" s="408"/>
      <c r="EY907" s="408"/>
      <c r="EZ907" s="408"/>
      <c r="FA907" s="408">
        <v>0</v>
      </c>
      <c r="FB907" s="408"/>
      <c r="FC907" s="408"/>
      <c r="FD907" s="408"/>
      <c r="FE907" s="408"/>
      <c r="FF907" s="408">
        <v>0</v>
      </c>
      <c r="FG907" s="408">
        <v>0</v>
      </c>
      <c r="FH907" s="408">
        <v>0</v>
      </c>
      <c r="FI907" s="408">
        <v>0</v>
      </c>
    </row>
    <row r="908" spans="1:165">
      <c r="A908" s="408">
        <v>906</v>
      </c>
      <c r="B908" s="408" t="s">
        <v>1036</v>
      </c>
      <c r="C908" s="408" t="s">
        <v>2247</v>
      </c>
      <c r="D908" s="408" t="s">
        <v>597</v>
      </c>
      <c r="E908" s="408" t="s">
        <v>970</v>
      </c>
      <c r="F908" s="408" t="s">
        <v>1322</v>
      </c>
      <c r="G908" s="408" t="s">
        <v>2318</v>
      </c>
      <c r="H908" s="408" t="s">
        <v>1322</v>
      </c>
      <c r="I908" s="408" t="s">
        <v>2244</v>
      </c>
      <c r="J908" s="408" t="s">
        <v>2319</v>
      </c>
      <c r="K908" s="826">
        <v>44713</v>
      </c>
      <c r="L908" s="408">
        <v>8500</v>
      </c>
      <c r="M908" s="408">
        <v>4250</v>
      </c>
      <c r="N908" s="408">
        <v>0</v>
      </c>
      <c r="O908" s="408">
        <v>0</v>
      </c>
      <c r="P908" s="408">
        <v>0</v>
      </c>
      <c r="Q908" s="408">
        <v>0</v>
      </c>
      <c r="R908" s="408">
        <v>27.19</v>
      </c>
      <c r="S908" s="408"/>
      <c r="T908" s="408"/>
      <c r="U908" s="408">
        <v>231115</v>
      </c>
      <c r="V908" s="408"/>
      <c r="W908" s="408">
        <v>231115</v>
      </c>
      <c r="X908" s="408">
        <v>184960</v>
      </c>
      <c r="Y908" s="408">
        <v>0</v>
      </c>
      <c r="Z908" s="408">
        <v>0</v>
      </c>
      <c r="AA908" s="408">
        <v>0</v>
      </c>
      <c r="AB908" s="408">
        <v>0</v>
      </c>
      <c r="AC908" s="408">
        <v>1982.205214134294</v>
      </c>
      <c r="AD908" s="408">
        <v>1904.296134648604</v>
      </c>
      <c r="AE908" s="408">
        <v>203422.25706685573</v>
      </c>
      <c r="AF908" s="408"/>
      <c r="AG908" s="408"/>
      <c r="AH908" s="408"/>
      <c r="AI908" s="408">
        <v>0</v>
      </c>
      <c r="AJ908" s="408">
        <v>0</v>
      </c>
      <c r="AK908" s="408">
        <v>0</v>
      </c>
      <c r="AL908" s="408">
        <v>0</v>
      </c>
      <c r="AM908" s="408"/>
      <c r="AN908" s="408">
        <v>0</v>
      </c>
      <c r="AO908" s="408">
        <v>4206.5210642689435</v>
      </c>
      <c r="AP908" s="408">
        <v>19618.755165597664</v>
      </c>
      <c r="AQ908" s="408">
        <v>0</v>
      </c>
      <c r="AR908" s="408">
        <v>0</v>
      </c>
      <c r="AS908" s="408"/>
      <c r="AT908" s="408"/>
      <c r="AU908" s="408">
        <v>0</v>
      </c>
      <c r="AV908" s="408">
        <v>0</v>
      </c>
      <c r="AW908" s="408">
        <v>0</v>
      </c>
      <c r="AX908" s="408"/>
      <c r="AY908" s="408"/>
      <c r="AZ908" s="408">
        <v>0</v>
      </c>
      <c r="BA908" s="408"/>
      <c r="BB908" s="408">
        <v>0</v>
      </c>
      <c r="BC908" s="408">
        <v>0</v>
      </c>
      <c r="BD908" s="408">
        <v>0</v>
      </c>
      <c r="BE908" s="408">
        <v>0</v>
      </c>
      <c r="BF908" s="408"/>
      <c r="BG908" s="408">
        <v>0</v>
      </c>
      <c r="BH908" s="408">
        <v>0</v>
      </c>
      <c r="BI908" s="408">
        <v>0</v>
      </c>
      <c r="BJ908" s="408">
        <v>0</v>
      </c>
      <c r="BK908" s="408">
        <v>0</v>
      </c>
      <c r="BL908" s="408">
        <v>0</v>
      </c>
      <c r="BM908" s="408"/>
      <c r="BN908" s="408">
        <v>92480</v>
      </c>
      <c r="BO908" s="408"/>
      <c r="BP908" s="408"/>
      <c r="BQ908" s="408"/>
      <c r="BR908" s="408"/>
      <c r="BS908" s="408"/>
      <c r="BT908" s="408"/>
      <c r="BU908" s="408"/>
      <c r="BV908" s="408">
        <v>0</v>
      </c>
      <c r="BW908" s="408"/>
      <c r="BX908" s="408"/>
      <c r="BY908" s="408"/>
      <c r="BZ908" s="408"/>
      <c r="CA908" s="408"/>
      <c r="CB908" s="408"/>
      <c r="CC908" s="408"/>
      <c r="CD908" s="408"/>
      <c r="CE908" s="408"/>
      <c r="CF908" s="408"/>
      <c r="CG908" s="408"/>
      <c r="CH908" s="408"/>
      <c r="CI908" s="408">
        <v>92480</v>
      </c>
      <c r="CJ908" s="408">
        <v>-23077.529999999984</v>
      </c>
      <c r="CK908" s="408"/>
      <c r="CL908" s="408"/>
      <c r="CM908" s="408"/>
      <c r="CN908" s="408"/>
      <c r="CO908" s="408">
        <v>-46155</v>
      </c>
      <c r="CP908" s="408">
        <v>0</v>
      </c>
      <c r="CQ908" s="408">
        <v>30</v>
      </c>
      <c r="CR908" s="408">
        <v>4334.9319059781446</v>
      </c>
      <c r="CS908" s="408">
        <v>419.17083285697208</v>
      </c>
      <c r="CT908" s="408">
        <v>1954.9670182882692</v>
      </c>
      <c r="CU908" s="408">
        <v>0</v>
      </c>
      <c r="CV908" s="408">
        <v>0</v>
      </c>
      <c r="CW908" s="408"/>
      <c r="CX908" s="408"/>
      <c r="CY908" s="408"/>
      <c r="CZ908" s="408">
        <v>1960.7940548329007</v>
      </c>
      <c r="DA908" s="408">
        <v>0</v>
      </c>
      <c r="DB908" s="408">
        <v>0</v>
      </c>
      <c r="DC908" s="408"/>
      <c r="DD908" s="408"/>
      <c r="DE908" s="408">
        <v>0</v>
      </c>
      <c r="DF908" s="408">
        <v>0</v>
      </c>
      <c r="DG908" s="408">
        <v>0</v>
      </c>
      <c r="DH908" s="408">
        <v>0</v>
      </c>
      <c r="DI908" s="408">
        <v>0</v>
      </c>
      <c r="DJ908" s="408"/>
      <c r="DK908" s="408">
        <v>0</v>
      </c>
      <c r="DL908" s="408">
        <v>0</v>
      </c>
      <c r="DM908" s="408"/>
      <c r="DN908" s="408">
        <v>0</v>
      </c>
      <c r="DO908" s="408">
        <v>0</v>
      </c>
      <c r="DP908" s="408">
        <v>0</v>
      </c>
      <c r="DQ908" s="408">
        <v>0</v>
      </c>
      <c r="DR908" s="408">
        <v>0</v>
      </c>
      <c r="DS908" s="408"/>
      <c r="DT908" s="408"/>
      <c r="DU908" s="408">
        <v>203422.25706685573</v>
      </c>
      <c r="DV908" s="408"/>
      <c r="DW908" s="408">
        <v>0</v>
      </c>
      <c r="DX908" s="408">
        <v>0</v>
      </c>
      <c r="DY908" s="408">
        <v>-46155</v>
      </c>
      <c r="DZ908" s="408"/>
      <c r="EA908" s="408">
        <v>0</v>
      </c>
      <c r="EB908" s="408"/>
      <c r="EC908" s="408">
        <v>-50533.539218893537</v>
      </c>
      <c r="ED908" s="408"/>
      <c r="EE908" s="408">
        <v>0</v>
      </c>
      <c r="EF908" s="408">
        <v>0</v>
      </c>
      <c r="EG908" s="408"/>
      <c r="EH908" s="408">
        <v>0</v>
      </c>
      <c r="EI908" s="408">
        <v>0</v>
      </c>
      <c r="EJ908" s="408">
        <v>0</v>
      </c>
      <c r="EK908" s="408">
        <v>0</v>
      </c>
      <c r="EL908" s="408">
        <v>0</v>
      </c>
      <c r="EM908" s="408"/>
      <c r="EN908" s="408"/>
      <c r="EO908" s="408">
        <v>0</v>
      </c>
      <c r="EP908" s="408">
        <v>0</v>
      </c>
      <c r="EQ908" s="408"/>
      <c r="ER908" s="408">
        <v>0</v>
      </c>
      <c r="ES908" s="408"/>
      <c r="ET908" s="408">
        <v>0</v>
      </c>
      <c r="EU908" s="408"/>
      <c r="EV908" s="408">
        <v>240</v>
      </c>
      <c r="EW908" s="408"/>
      <c r="EX908" s="408"/>
      <c r="EY908" s="408"/>
      <c r="EZ908" s="408"/>
      <c r="FA908" s="408">
        <v>0</v>
      </c>
      <c r="FB908" s="408"/>
      <c r="FC908" s="408"/>
      <c r="FD908" s="408"/>
      <c r="FE908" s="408"/>
      <c r="FF908" s="408">
        <v>0</v>
      </c>
      <c r="FG908" s="408">
        <v>0</v>
      </c>
      <c r="FH908" s="408">
        <v>0</v>
      </c>
      <c r="FI908" s="408">
        <v>0</v>
      </c>
    </row>
    <row r="909" spans="1:165">
      <c r="A909" s="408">
        <v>907</v>
      </c>
      <c r="B909" s="408" t="s">
        <v>1036</v>
      </c>
      <c r="C909" s="408" t="s">
        <v>2247</v>
      </c>
      <c r="D909" s="408" t="s">
        <v>597</v>
      </c>
      <c r="E909" s="408" t="s">
        <v>970</v>
      </c>
      <c r="F909" s="408" t="s">
        <v>1322</v>
      </c>
      <c r="G909" s="408" t="s">
        <v>2318</v>
      </c>
      <c r="H909" s="408" t="s">
        <v>1322</v>
      </c>
      <c r="I909" s="408" t="s">
        <v>1322</v>
      </c>
      <c r="J909" s="408" t="s">
        <v>2319</v>
      </c>
      <c r="K909" s="826">
        <v>44713</v>
      </c>
      <c r="L909" s="408">
        <v>0</v>
      </c>
      <c r="M909" s="408">
        <v>0</v>
      </c>
      <c r="N909" s="408">
        <v>3442.6689999999999</v>
      </c>
      <c r="O909" s="408">
        <v>3442.6689999999999</v>
      </c>
      <c r="P909" s="408">
        <v>0</v>
      </c>
      <c r="Q909" s="408">
        <v>0</v>
      </c>
      <c r="R909" s="408"/>
      <c r="S909" s="408">
        <v>85.01</v>
      </c>
      <c r="T909" s="408"/>
      <c r="U909" s="408"/>
      <c r="V909" s="408">
        <v>292661.29168999998</v>
      </c>
      <c r="W909" s="408">
        <v>292661.29168999998</v>
      </c>
      <c r="X909" s="408">
        <v>288598.94227</v>
      </c>
      <c r="Y909" s="408">
        <v>0</v>
      </c>
      <c r="Z909" s="408">
        <v>184335.33404081999</v>
      </c>
      <c r="AA909" s="408">
        <v>0</v>
      </c>
      <c r="AB909" s="408">
        <v>0</v>
      </c>
      <c r="AC909" s="408">
        <v>0</v>
      </c>
      <c r="AD909" s="408">
        <v>0</v>
      </c>
      <c r="AE909" s="408">
        <v>0</v>
      </c>
      <c r="AF909" s="408"/>
      <c r="AG909" s="408"/>
      <c r="AH909" s="408"/>
      <c r="AI909" s="408">
        <v>0</v>
      </c>
      <c r="AJ909" s="408">
        <v>0</v>
      </c>
      <c r="AK909" s="408">
        <v>0</v>
      </c>
      <c r="AL909" s="408">
        <v>32736.443755809589</v>
      </c>
      <c r="AM909" s="408"/>
      <c r="AN909" s="408">
        <v>2756.9369381380352</v>
      </c>
      <c r="AO909" s="408">
        <v>0</v>
      </c>
      <c r="AP909" s="408">
        <v>0</v>
      </c>
      <c r="AQ909" s="408">
        <v>0</v>
      </c>
      <c r="AR909" s="408">
        <v>0</v>
      </c>
      <c r="AS909" s="408"/>
      <c r="AT909" s="408"/>
      <c r="AU909" s="408">
        <v>0</v>
      </c>
      <c r="AV909" s="408">
        <v>0</v>
      </c>
      <c r="AW909" s="408">
        <v>0</v>
      </c>
      <c r="AX909" s="408"/>
      <c r="AY909" s="408"/>
      <c r="AZ909" s="408">
        <v>0</v>
      </c>
      <c r="BA909" s="408"/>
      <c r="BB909" s="408">
        <v>0</v>
      </c>
      <c r="BC909" s="408">
        <v>0</v>
      </c>
      <c r="BD909" s="408">
        <v>0</v>
      </c>
      <c r="BE909" s="408">
        <v>0</v>
      </c>
      <c r="BF909" s="408"/>
      <c r="BG909" s="408">
        <v>25746.53917995765</v>
      </c>
      <c r="BH909" s="408">
        <v>0</v>
      </c>
      <c r="BI909" s="408">
        <v>9943.84</v>
      </c>
      <c r="BJ909" s="408">
        <v>0</v>
      </c>
      <c r="BK909" s="408">
        <v>156006.66</v>
      </c>
      <c r="BL909" s="408">
        <v>2</v>
      </c>
      <c r="BM909" s="408"/>
      <c r="BN909" s="408"/>
      <c r="BO909" s="408"/>
      <c r="BP909" s="408"/>
      <c r="BQ909" s="408"/>
      <c r="BR909" s="408"/>
      <c r="BS909" s="408"/>
      <c r="BT909" s="408"/>
      <c r="BU909" s="408"/>
      <c r="BV909" s="408">
        <v>25746.53917995765</v>
      </c>
      <c r="BW909" s="408"/>
      <c r="BX909" s="408"/>
      <c r="BY909" s="408"/>
      <c r="BZ909" s="408"/>
      <c r="CA909" s="408"/>
      <c r="CB909" s="408"/>
      <c r="CC909" s="408"/>
      <c r="CD909" s="408"/>
      <c r="CE909" s="408"/>
      <c r="CF909" s="408"/>
      <c r="CG909" s="408"/>
      <c r="CH909" s="408"/>
      <c r="CI909" s="408">
        <v>288599.02610000002</v>
      </c>
      <c r="CJ909" s="408">
        <v>-4062.2955899999943</v>
      </c>
      <c r="CK909" s="408"/>
      <c r="CL909" s="408"/>
      <c r="CM909" s="408"/>
      <c r="CN909" s="408"/>
      <c r="CO909" s="408">
        <v>-4062.3494200000232</v>
      </c>
      <c r="CP909" s="408">
        <v>0</v>
      </c>
      <c r="CQ909" s="408">
        <v>30</v>
      </c>
      <c r="CR909" s="408">
        <v>-4063.9315534811467</v>
      </c>
      <c r="CS909" s="408">
        <v>0</v>
      </c>
      <c r="CT909" s="408">
        <v>0</v>
      </c>
      <c r="CU909" s="408">
        <v>0</v>
      </c>
      <c r="CV909" s="408">
        <v>0</v>
      </c>
      <c r="CW909" s="408"/>
      <c r="CX909" s="408"/>
      <c r="CY909" s="408"/>
      <c r="CZ909" s="408">
        <v>0</v>
      </c>
      <c r="DA909" s="408">
        <v>0</v>
      </c>
      <c r="DB909" s="408">
        <v>0</v>
      </c>
      <c r="DC909" s="408"/>
      <c r="DD909" s="408"/>
      <c r="DE909" s="408">
        <v>0</v>
      </c>
      <c r="DF909" s="408">
        <v>0</v>
      </c>
      <c r="DG909" s="408">
        <v>3262.9064502317924</v>
      </c>
      <c r="DH909" s="408">
        <v>0</v>
      </c>
      <c r="DI909" s="408">
        <v>-6259.4446318361151</v>
      </c>
      <c r="DJ909" s="408"/>
      <c r="DK909" s="408">
        <v>0</v>
      </c>
      <c r="DL909" s="408">
        <v>0</v>
      </c>
      <c r="DM909" s="408"/>
      <c r="DN909" s="408">
        <v>0</v>
      </c>
      <c r="DO909" s="408">
        <v>-989.39568382748257</v>
      </c>
      <c r="DP909" s="408">
        <v>-77.997688049309545</v>
      </c>
      <c r="DQ909" s="408">
        <v>0</v>
      </c>
      <c r="DR909" s="408">
        <v>0</v>
      </c>
      <c r="DS909" s="408"/>
      <c r="DT909" s="408"/>
      <c r="DU909" s="408"/>
      <c r="DV909" s="408">
        <v>0</v>
      </c>
      <c r="DW909" s="408">
        <v>0</v>
      </c>
      <c r="DX909" s="408">
        <v>0</v>
      </c>
      <c r="DY909" s="408">
        <v>-4062.3494199999841</v>
      </c>
      <c r="DZ909" s="408"/>
      <c r="EA909" s="408">
        <v>0</v>
      </c>
      <c r="EB909" s="408"/>
      <c r="EC909" s="408">
        <v>0</v>
      </c>
      <c r="ED909" s="408"/>
      <c r="EE909" s="408">
        <v>0</v>
      </c>
      <c r="EF909" s="408">
        <v>0</v>
      </c>
      <c r="EG909" s="408"/>
      <c r="EH909" s="408">
        <v>0</v>
      </c>
      <c r="EI909" s="408">
        <v>0</v>
      </c>
      <c r="EJ909" s="408">
        <v>0</v>
      </c>
      <c r="EK909" s="408">
        <v>0</v>
      </c>
      <c r="EL909" s="408">
        <v>0</v>
      </c>
      <c r="EM909" s="408"/>
      <c r="EN909" s="408"/>
      <c r="EO909" s="408">
        <v>0</v>
      </c>
      <c r="EP909" s="408">
        <v>47075.956680020237</v>
      </c>
      <c r="EQ909" s="408"/>
      <c r="ER909" s="408">
        <v>0</v>
      </c>
      <c r="ES909" s="408"/>
      <c r="ET909" s="408">
        <v>0</v>
      </c>
      <c r="EU909" s="408"/>
      <c r="EV909" s="408">
        <v>240</v>
      </c>
      <c r="EW909" s="408"/>
      <c r="EX909" s="408"/>
      <c r="EY909" s="408"/>
      <c r="EZ909" s="408"/>
      <c r="FA909" s="408">
        <v>0</v>
      </c>
      <c r="FB909" s="408"/>
      <c r="FC909" s="408"/>
      <c r="FD909" s="408"/>
      <c r="FE909" s="408"/>
      <c r="FF909" s="408">
        <v>0</v>
      </c>
      <c r="FG909" s="408">
        <v>0</v>
      </c>
      <c r="FH909" s="408">
        <v>0</v>
      </c>
      <c r="FI909" s="408">
        <v>0</v>
      </c>
    </row>
    <row r="910" spans="1:165">
      <c r="A910" s="408">
        <v>908</v>
      </c>
      <c r="B910" s="408" t="s">
        <v>1036</v>
      </c>
      <c r="C910" s="408" t="s">
        <v>2243</v>
      </c>
      <c r="D910" s="408" t="s">
        <v>597</v>
      </c>
      <c r="E910" s="408" t="s">
        <v>970</v>
      </c>
      <c r="F910" s="408" t="s">
        <v>1322</v>
      </c>
      <c r="G910" s="408" t="s">
        <v>2318</v>
      </c>
      <c r="H910" s="408" t="s">
        <v>1322</v>
      </c>
      <c r="I910" s="408" t="s">
        <v>973</v>
      </c>
      <c r="J910" s="408" t="s">
        <v>2319</v>
      </c>
      <c r="K910" s="826">
        <v>44713</v>
      </c>
      <c r="L910" s="408">
        <v>0</v>
      </c>
      <c r="M910" s="408">
        <v>0</v>
      </c>
      <c r="N910" s="408">
        <v>38.335999999999999</v>
      </c>
      <c r="O910" s="408">
        <v>18.02766539456</v>
      </c>
      <c r="P910" s="408">
        <v>0</v>
      </c>
      <c r="Q910" s="408">
        <v>0</v>
      </c>
      <c r="R910" s="408"/>
      <c r="S910" s="408">
        <v>1358.36</v>
      </c>
      <c r="T910" s="408"/>
      <c r="U910" s="408"/>
      <c r="V910" s="408">
        <v>52074.088959999994</v>
      </c>
      <c r="W910" s="408">
        <v>52074.088959999994</v>
      </c>
      <c r="X910" s="408">
        <v>44012.794879999994</v>
      </c>
      <c r="Y910" s="408">
        <v>0</v>
      </c>
      <c r="Z910" s="408">
        <v>2052.6746445240237</v>
      </c>
      <c r="AA910" s="408">
        <v>0</v>
      </c>
      <c r="AB910" s="408">
        <v>0</v>
      </c>
      <c r="AC910" s="408">
        <v>726.16389843115792</v>
      </c>
      <c r="AD910" s="408">
        <v>697.68282503963235</v>
      </c>
      <c r="AE910" s="408">
        <v>38662.151831258598</v>
      </c>
      <c r="AF910" s="408"/>
      <c r="AG910" s="408"/>
      <c r="AH910" s="408"/>
      <c r="AI910" s="408">
        <v>0</v>
      </c>
      <c r="AJ910" s="408">
        <v>0</v>
      </c>
      <c r="AK910" s="408">
        <v>0</v>
      </c>
      <c r="AL910" s="408">
        <v>364.53818471154688</v>
      </c>
      <c r="AM910" s="408"/>
      <c r="AN910" s="408">
        <v>30.699998884719886</v>
      </c>
      <c r="AO910" s="408">
        <v>1541.522079605799</v>
      </c>
      <c r="AP910" s="408">
        <v>7187.8505347800874</v>
      </c>
      <c r="AQ910" s="408">
        <v>0</v>
      </c>
      <c r="AR910" s="408">
        <v>0</v>
      </c>
      <c r="AS910" s="408"/>
      <c r="AT910" s="408"/>
      <c r="AU910" s="408">
        <v>0</v>
      </c>
      <c r="AV910" s="408">
        <v>0</v>
      </c>
      <c r="AW910" s="408">
        <v>0</v>
      </c>
      <c r="AX910" s="408"/>
      <c r="AY910" s="408"/>
      <c r="AZ910" s="408">
        <v>0</v>
      </c>
      <c r="BA910" s="408"/>
      <c r="BB910" s="408">
        <v>0</v>
      </c>
      <c r="BC910" s="408">
        <v>0</v>
      </c>
      <c r="BD910" s="408">
        <v>0</v>
      </c>
      <c r="BE910" s="408">
        <v>0</v>
      </c>
      <c r="BF910" s="408"/>
      <c r="BG910" s="408">
        <v>286.70177876608426</v>
      </c>
      <c r="BH910" s="408">
        <v>0</v>
      </c>
      <c r="BI910" s="408">
        <v>0</v>
      </c>
      <c r="BJ910" s="408">
        <v>0</v>
      </c>
      <c r="BK910" s="408">
        <v>0</v>
      </c>
      <c r="BL910" s="408">
        <v>0</v>
      </c>
      <c r="BM910" s="408"/>
      <c r="BN910" s="408">
        <v>23315.592793813554</v>
      </c>
      <c r="BO910" s="408"/>
      <c r="BP910" s="408"/>
      <c r="BQ910" s="408"/>
      <c r="BR910" s="408"/>
      <c r="BS910" s="408"/>
      <c r="BT910" s="408"/>
      <c r="BU910" s="408"/>
      <c r="BV910" s="408">
        <v>286.70177876608426</v>
      </c>
      <c r="BW910" s="408"/>
      <c r="BX910" s="408"/>
      <c r="BY910" s="408"/>
      <c r="BZ910" s="408"/>
      <c r="CA910" s="408"/>
      <c r="CB910" s="408"/>
      <c r="CC910" s="408"/>
      <c r="CD910" s="408"/>
      <c r="CE910" s="408"/>
      <c r="CF910" s="408"/>
      <c r="CG910" s="408"/>
      <c r="CH910" s="408"/>
      <c r="CI910" s="408">
        <v>20699.882399999999</v>
      </c>
      <c r="CJ910" s="408">
        <v>-3788.2071653545172</v>
      </c>
      <c r="CK910" s="408"/>
      <c r="CL910" s="408"/>
      <c r="CM910" s="408"/>
      <c r="CN910" s="408"/>
      <c r="CO910" s="408">
        <v>-8061.2940799999988</v>
      </c>
      <c r="CP910" s="408">
        <v>0</v>
      </c>
      <c r="CQ910" s="408">
        <v>30</v>
      </c>
      <c r="CR910" s="408">
        <v>1542.9913661946539</v>
      </c>
      <c r="CS910" s="408">
        <v>153.60938031771479</v>
      </c>
      <c r="CT910" s="408">
        <v>716.25394217273151</v>
      </c>
      <c r="CU910" s="408">
        <v>0</v>
      </c>
      <c r="CV910" s="408">
        <v>0</v>
      </c>
      <c r="CW910" s="408"/>
      <c r="CX910" s="408"/>
      <c r="CY910" s="408"/>
      <c r="CZ910" s="408">
        <v>718.38214162481984</v>
      </c>
      <c r="DA910" s="408">
        <v>0</v>
      </c>
      <c r="DB910" s="408">
        <v>0</v>
      </c>
      <c r="DC910" s="408"/>
      <c r="DD910" s="408"/>
      <c r="DE910" s="408">
        <v>0</v>
      </c>
      <c r="DF910" s="408">
        <v>0</v>
      </c>
      <c r="DG910" s="408">
        <v>36.334245806403715</v>
      </c>
      <c r="DH910" s="408">
        <v>0</v>
      </c>
      <c r="DI910" s="408">
        <v>-69.702335428143442</v>
      </c>
      <c r="DJ910" s="408"/>
      <c r="DK910" s="408">
        <v>0</v>
      </c>
      <c r="DL910" s="408">
        <v>0</v>
      </c>
      <c r="DM910" s="408"/>
      <c r="DN910" s="408">
        <v>0</v>
      </c>
      <c r="DO910" s="408">
        <v>-11.017461433327014</v>
      </c>
      <c r="DP910" s="408">
        <v>-0.86854686554482541</v>
      </c>
      <c r="DQ910" s="408">
        <v>0</v>
      </c>
      <c r="DR910" s="408">
        <v>0</v>
      </c>
      <c r="DS910" s="408"/>
      <c r="DT910" s="408"/>
      <c r="DU910" s="408"/>
      <c r="DV910" s="408">
        <v>38662.151831258598</v>
      </c>
      <c r="DW910" s="408">
        <v>0</v>
      </c>
      <c r="DX910" s="408">
        <v>0</v>
      </c>
      <c r="DY910" s="408">
        <v>-8061.2940799999997</v>
      </c>
      <c r="DZ910" s="408"/>
      <c r="EA910" s="408">
        <v>0</v>
      </c>
      <c r="EB910" s="408"/>
      <c r="EC910" s="408">
        <v>-9604.3343241916737</v>
      </c>
      <c r="ED910" s="408"/>
      <c r="EE910" s="408">
        <v>0</v>
      </c>
      <c r="EF910" s="408">
        <v>0</v>
      </c>
      <c r="EG910" s="408"/>
      <c r="EH910" s="408">
        <v>0</v>
      </c>
      <c r="EI910" s="408">
        <v>0</v>
      </c>
      <c r="EJ910" s="408">
        <v>0</v>
      </c>
      <c r="EK910" s="408">
        <v>0</v>
      </c>
      <c r="EL910" s="408">
        <v>0</v>
      </c>
      <c r="EM910" s="408"/>
      <c r="EN910" s="408"/>
      <c r="EO910" s="408">
        <v>0</v>
      </c>
      <c r="EP910" s="408">
        <v>524.21649461079642</v>
      </c>
      <c r="EQ910" s="408"/>
      <c r="ER910" s="408">
        <v>0</v>
      </c>
      <c r="ES910" s="408"/>
      <c r="ET910" s="408">
        <v>0</v>
      </c>
      <c r="EU910" s="408"/>
      <c r="EV910" s="408">
        <v>240</v>
      </c>
      <c r="EW910" s="408"/>
      <c r="EX910" s="408"/>
      <c r="EY910" s="408"/>
      <c r="EZ910" s="408"/>
      <c r="FA910" s="408">
        <v>0</v>
      </c>
      <c r="FB910" s="408"/>
      <c r="FC910" s="408"/>
      <c r="FD910" s="408"/>
      <c r="FE910" s="408"/>
      <c r="FF910" s="408">
        <v>0</v>
      </c>
      <c r="FG910" s="408">
        <v>0</v>
      </c>
      <c r="FH910" s="408">
        <v>0</v>
      </c>
      <c r="FI910" s="408">
        <v>0</v>
      </c>
    </row>
    <row r="911" spans="1:165">
      <c r="A911" s="408">
        <v>909</v>
      </c>
      <c r="B911" s="408" t="s">
        <v>1036</v>
      </c>
      <c r="C911" s="408" t="s">
        <v>2243</v>
      </c>
      <c r="D911" s="408" t="s">
        <v>597</v>
      </c>
      <c r="E911" s="408" t="s">
        <v>970</v>
      </c>
      <c r="F911" s="408" t="s">
        <v>1322</v>
      </c>
      <c r="G911" s="408" t="s">
        <v>2318</v>
      </c>
      <c r="H911" s="408" t="s">
        <v>1322</v>
      </c>
      <c r="I911" s="408" t="s">
        <v>2244</v>
      </c>
      <c r="J911" s="408" t="s">
        <v>2319</v>
      </c>
      <c r="K911" s="826">
        <v>44713</v>
      </c>
      <c r="L911" s="408">
        <v>0</v>
      </c>
      <c r="M911" s="408">
        <v>0</v>
      </c>
      <c r="N911" s="408">
        <v>546.11199999999997</v>
      </c>
      <c r="O911" s="408">
        <v>546.11199999999997</v>
      </c>
      <c r="P911" s="408">
        <v>0</v>
      </c>
      <c r="Q911" s="408">
        <v>0</v>
      </c>
      <c r="R911" s="408"/>
      <c r="S911" s="408">
        <v>85.01</v>
      </c>
      <c r="T911" s="408"/>
      <c r="U911" s="408"/>
      <c r="V911" s="408">
        <v>46424.981119999997</v>
      </c>
      <c r="W911" s="408">
        <v>46424.981119999997</v>
      </c>
      <c r="X911" s="408">
        <v>45780.568959999997</v>
      </c>
      <c r="Y911" s="408">
        <v>0</v>
      </c>
      <c r="Z911" s="408">
        <v>29241.189886015847</v>
      </c>
      <c r="AA911" s="408">
        <v>0</v>
      </c>
      <c r="AB911" s="408">
        <v>0</v>
      </c>
      <c r="AC911" s="408">
        <v>0</v>
      </c>
      <c r="AD911" s="408">
        <v>0</v>
      </c>
      <c r="AE911" s="408">
        <v>0</v>
      </c>
      <c r="AF911" s="408"/>
      <c r="AG911" s="408"/>
      <c r="AH911" s="408"/>
      <c r="AI911" s="408">
        <v>0</v>
      </c>
      <c r="AJ911" s="408">
        <v>0</v>
      </c>
      <c r="AK911" s="408">
        <v>0</v>
      </c>
      <c r="AL911" s="408">
        <v>5192.9955428107342</v>
      </c>
      <c r="AM911" s="408"/>
      <c r="AN911" s="408">
        <v>437.33404087364738</v>
      </c>
      <c r="AO911" s="408">
        <v>0</v>
      </c>
      <c r="AP911" s="408">
        <v>0</v>
      </c>
      <c r="AQ911" s="408">
        <v>0</v>
      </c>
      <c r="AR911" s="408">
        <v>0</v>
      </c>
      <c r="AS911" s="408"/>
      <c r="AT911" s="408"/>
      <c r="AU911" s="408">
        <v>0</v>
      </c>
      <c r="AV911" s="408">
        <v>0</v>
      </c>
      <c r="AW911" s="408">
        <v>0</v>
      </c>
      <c r="AX911" s="408"/>
      <c r="AY911" s="408"/>
      <c r="AZ911" s="408">
        <v>0</v>
      </c>
      <c r="BA911" s="408"/>
      <c r="BB911" s="408">
        <v>0</v>
      </c>
      <c r="BC911" s="408">
        <v>0</v>
      </c>
      <c r="BD911" s="408">
        <v>0</v>
      </c>
      <c r="BE911" s="408">
        <v>0</v>
      </c>
      <c r="BF911" s="408"/>
      <c r="BG911" s="408">
        <v>4084.1841038580915</v>
      </c>
      <c r="BH911" s="408">
        <v>0</v>
      </c>
      <c r="BI911" s="408">
        <v>0</v>
      </c>
      <c r="BJ911" s="408">
        <v>0</v>
      </c>
      <c r="BK911" s="408">
        <v>0</v>
      </c>
      <c r="BL911" s="408">
        <v>0</v>
      </c>
      <c r="BM911" s="408"/>
      <c r="BN911" s="408"/>
      <c r="BO911" s="408"/>
      <c r="BP911" s="408"/>
      <c r="BQ911" s="408"/>
      <c r="BR911" s="408"/>
      <c r="BS911" s="408"/>
      <c r="BT911" s="408"/>
      <c r="BU911" s="408"/>
      <c r="BV911" s="408">
        <v>4084.1841038580915</v>
      </c>
      <c r="BW911" s="408"/>
      <c r="BX911" s="408"/>
      <c r="BY911" s="408"/>
      <c r="BZ911" s="408"/>
      <c r="CA911" s="408"/>
      <c r="CB911" s="408"/>
      <c r="CC911" s="408"/>
      <c r="CD911" s="408"/>
      <c r="CE911" s="408"/>
      <c r="CF911" s="408"/>
      <c r="CG911" s="408"/>
      <c r="CH911" s="408"/>
      <c r="CI911" s="408">
        <v>45780.401299999998</v>
      </c>
      <c r="CJ911" s="408">
        <v>-644.60982000000513</v>
      </c>
      <c r="CK911" s="408"/>
      <c r="CL911" s="408"/>
      <c r="CM911" s="408"/>
      <c r="CN911" s="408"/>
      <c r="CO911" s="408">
        <v>-644.41216000000372</v>
      </c>
      <c r="CP911" s="408">
        <v>0</v>
      </c>
      <c r="CQ911" s="408">
        <v>30</v>
      </c>
      <c r="CR911" s="408">
        <v>-644.66313448509027</v>
      </c>
      <c r="CS911" s="408">
        <v>0</v>
      </c>
      <c r="CT911" s="408">
        <v>0</v>
      </c>
      <c r="CU911" s="408">
        <v>0</v>
      </c>
      <c r="CV911" s="408">
        <v>0</v>
      </c>
      <c r="CW911" s="408"/>
      <c r="CX911" s="408"/>
      <c r="CY911" s="408"/>
      <c r="CZ911" s="408">
        <v>0</v>
      </c>
      <c r="DA911" s="408">
        <v>0</v>
      </c>
      <c r="DB911" s="408">
        <v>0</v>
      </c>
      <c r="DC911" s="408"/>
      <c r="DD911" s="408"/>
      <c r="DE911" s="408">
        <v>0</v>
      </c>
      <c r="DF911" s="408">
        <v>0</v>
      </c>
      <c r="DG911" s="408">
        <v>517.59619276467947</v>
      </c>
      <c r="DH911" s="408">
        <v>0</v>
      </c>
      <c r="DI911" s="408">
        <v>-992.93827747636897</v>
      </c>
      <c r="DJ911" s="408"/>
      <c r="DK911" s="408">
        <v>0</v>
      </c>
      <c r="DL911" s="408">
        <v>0</v>
      </c>
      <c r="DM911" s="408"/>
      <c r="DN911" s="408">
        <v>0</v>
      </c>
      <c r="DO911" s="408">
        <v>-156.94824442500794</v>
      </c>
      <c r="DP911" s="408">
        <v>-12.372805348404029</v>
      </c>
      <c r="DQ911" s="408">
        <v>0</v>
      </c>
      <c r="DR911" s="408">
        <v>0</v>
      </c>
      <c r="DS911" s="408"/>
      <c r="DT911" s="408"/>
      <c r="DU911" s="408"/>
      <c r="DV911" s="408">
        <v>0</v>
      </c>
      <c r="DW911" s="408">
        <v>0</v>
      </c>
      <c r="DX911" s="408">
        <v>0</v>
      </c>
      <c r="DY911" s="408">
        <v>-644.41215999999986</v>
      </c>
      <c r="DZ911" s="408"/>
      <c r="EA911" s="408">
        <v>0</v>
      </c>
      <c r="EB911" s="408"/>
      <c r="EC911" s="408">
        <v>0</v>
      </c>
      <c r="ED911" s="408"/>
      <c r="EE911" s="408">
        <v>0</v>
      </c>
      <c r="EF911" s="408">
        <v>0</v>
      </c>
      <c r="EG911" s="408"/>
      <c r="EH911" s="408">
        <v>0</v>
      </c>
      <c r="EI911" s="408">
        <v>0</v>
      </c>
      <c r="EJ911" s="408">
        <v>0</v>
      </c>
      <c r="EK911" s="408">
        <v>0</v>
      </c>
      <c r="EL911" s="408">
        <v>0</v>
      </c>
      <c r="EM911" s="408"/>
      <c r="EN911" s="408"/>
      <c r="EO911" s="408">
        <v>0</v>
      </c>
      <c r="EP911" s="408">
        <v>7467.678378153465</v>
      </c>
      <c r="EQ911" s="408"/>
      <c r="ER911" s="408">
        <v>0</v>
      </c>
      <c r="ES911" s="408"/>
      <c r="ET911" s="408">
        <v>0</v>
      </c>
      <c r="EU911" s="408"/>
      <c r="EV911" s="408">
        <v>240</v>
      </c>
      <c r="EW911" s="408"/>
      <c r="EX911" s="408"/>
      <c r="EY911" s="408"/>
      <c r="EZ911" s="408"/>
      <c r="FA911" s="408">
        <v>0</v>
      </c>
      <c r="FB911" s="408"/>
      <c r="FC911" s="408"/>
      <c r="FD911" s="408"/>
      <c r="FE911" s="408"/>
      <c r="FF911" s="408">
        <v>0</v>
      </c>
      <c r="FG911" s="408">
        <v>0</v>
      </c>
      <c r="FH911" s="408">
        <v>0</v>
      </c>
      <c r="FI911" s="408">
        <v>0</v>
      </c>
    </row>
    <row r="912" spans="1:165">
      <c r="A912" s="408">
        <v>910</v>
      </c>
      <c r="B912" s="408" t="s">
        <v>1036</v>
      </c>
      <c r="C912" s="408" t="s">
        <v>2243</v>
      </c>
      <c r="D912" s="408" t="s">
        <v>597</v>
      </c>
      <c r="E912" s="408" t="s">
        <v>970</v>
      </c>
      <c r="F912" s="408" t="s">
        <v>1322</v>
      </c>
      <c r="G912" s="408" t="s">
        <v>2318</v>
      </c>
      <c r="H912" s="408" t="s">
        <v>1322</v>
      </c>
      <c r="I912" s="408" t="s">
        <v>1322</v>
      </c>
      <c r="J912" s="408" t="s">
        <v>2319</v>
      </c>
      <c r="K912" s="826">
        <v>44713</v>
      </c>
      <c r="L912" s="408">
        <v>2973</v>
      </c>
      <c r="M912" s="408">
        <v>1525.4999923800001</v>
      </c>
      <c r="N912" s="408">
        <v>0</v>
      </c>
      <c r="O912" s="408">
        <v>0</v>
      </c>
      <c r="P912" s="408">
        <v>0</v>
      </c>
      <c r="Q912" s="408">
        <v>0</v>
      </c>
      <c r="R912" s="408">
        <v>27.19</v>
      </c>
      <c r="S912" s="408"/>
      <c r="T912" s="408"/>
      <c r="U912" s="408">
        <v>80835.87000000001</v>
      </c>
      <c r="V912" s="408"/>
      <c r="W912" s="408">
        <v>80835.87000000001</v>
      </c>
      <c r="X912" s="408">
        <v>64692.480000000003</v>
      </c>
      <c r="Y912" s="408">
        <v>0</v>
      </c>
      <c r="Z912" s="408">
        <v>0</v>
      </c>
      <c r="AA912" s="408">
        <v>0</v>
      </c>
      <c r="AB912" s="408">
        <v>0</v>
      </c>
      <c r="AC912" s="408">
        <v>693.30542372014781</v>
      </c>
      <c r="AD912" s="408">
        <v>666.05557744827058</v>
      </c>
      <c r="AE912" s="408">
        <v>71149.925912913197</v>
      </c>
      <c r="AF912" s="408"/>
      <c r="AG912" s="408"/>
      <c r="AH912" s="408"/>
      <c r="AI912" s="408">
        <v>0</v>
      </c>
      <c r="AJ912" s="408">
        <v>0</v>
      </c>
      <c r="AK912" s="408">
        <v>0</v>
      </c>
      <c r="AL912" s="408">
        <v>0</v>
      </c>
      <c r="AM912" s="408"/>
      <c r="AN912" s="408">
        <v>0</v>
      </c>
      <c r="AO912" s="408">
        <v>1471.2926028319494</v>
      </c>
      <c r="AP912" s="408">
        <v>6861.9481302731601</v>
      </c>
      <c r="AQ912" s="408">
        <v>0</v>
      </c>
      <c r="AR912" s="408">
        <v>0</v>
      </c>
      <c r="AS912" s="408"/>
      <c r="AT912" s="408"/>
      <c r="AU912" s="408">
        <v>0</v>
      </c>
      <c r="AV912" s="408">
        <v>0</v>
      </c>
      <c r="AW912" s="408">
        <v>0</v>
      </c>
      <c r="AX912" s="408"/>
      <c r="AY912" s="408"/>
      <c r="AZ912" s="408">
        <v>0</v>
      </c>
      <c r="BA912" s="408"/>
      <c r="BB912" s="408">
        <v>0</v>
      </c>
      <c r="BC912" s="408">
        <v>0</v>
      </c>
      <c r="BD912" s="408">
        <v>0</v>
      </c>
      <c r="BE912" s="408">
        <v>0</v>
      </c>
      <c r="BF912" s="408"/>
      <c r="BG912" s="408">
        <v>0</v>
      </c>
      <c r="BH912" s="408">
        <v>0</v>
      </c>
      <c r="BI912" s="408">
        <v>1876.78</v>
      </c>
      <c r="BJ912" s="408">
        <v>0</v>
      </c>
      <c r="BK912" s="408">
        <v>32824.31</v>
      </c>
      <c r="BL912" s="408">
        <v>5</v>
      </c>
      <c r="BM912" s="408"/>
      <c r="BN912" s="408">
        <v>31497.6001658112</v>
      </c>
      <c r="BO912" s="408"/>
      <c r="BP912" s="408"/>
      <c r="BQ912" s="408"/>
      <c r="BR912" s="408"/>
      <c r="BS912" s="408"/>
      <c r="BT912" s="408"/>
      <c r="BU912" s="408"/>
      <c r="BV912" s="408">
        <v>0</v>
      </c>
      <c r="BW912" s="408"/>
      <c r="BX912" s="408"/>
      <c r="BY912" s="408"/>
      <c r="BZ912" s="408"/>
      <c r="CA912" s="408"/>
      <c r="CB912" s="408"/>
      <c r="CC912" s="408"/>
      <c r="CD912" s="408"/>
      <c r="CE912" s="408"/>
      <c r="CF912" s="408"/>
      <c r="CG912" s="408"/>
      <c r="CH912" s="408"/>
      <c r="CI912" s="408">
        <v>33194.880000000005</v>
      </c>
      <c r="CJ912" s="408">
        <v>-8283.4947928122056</v>
      </c>
      <c r="CK912" s="408"/>
      <c r="CL912" s="408"/>
      <c r="CM912" s="408"/>
      <c r="CN912" s="408"/>
      <c r="CO912" s="408">
        <v>-16143.39</v>
      </c>
      <c r="CP912" s="408">
        <v>0</v>
      </c>
      <c r="CQ912" s="408">
        <v>30</v>
      </c>
      <c r="CR912" s="408">
        <v>1516.2061831144711</v>
      </c>
      <c r="CS912" s="408">
        <v>146.61116306867984</v>
      </c>
      <c r="CT912" s="408">
        <v>683.77846416129614</v>
      </c>
      <c r="CU912" s="408">
        <v>0</v>
      </c>
      <c r="CV912" s="408">
        <v>0</v>
      </c>
      <c r="CW912" s="408"/>
      <c r="CX912" s="408"/>
      <c r="CY912" s="408"/>
      <c r="CZ912" s="408">
        <v>685.81655588449564</v>
      </c>
      <c r="DA912" s="408">
        <v>0</v>
      </c>
      <c r="DB912" s="408">
        <v>0</v>
      </c>
      <c r="DC912" s="408"/>
      <c r="DD912" s="408"/>
      <c r="DE912" s="408">
        <v>0</v>
      </c>
      <c r="DF912" s="408">
        <v>0</v>
      </c>
      <c r="DG912" s="408">
        <v>0</v>
      </c>
      <c r="DH912" s="408">
        <v>0</v>
      </c>
      <c r="DI912" s="408">
        <v>0</v>
      </c>
      <c r="DJ912" s="408"/>
      <c r="DK912" s="408">
        <v>0</v>
      </c>
      <c r="DL912" s="408">
        <v>0</v>
      </c>
      <c r="DM912" s="408"/>
      <c r="DN912" s="408">
        <v>0</v>
      </c>
      <c r="DO912" s="408">
        <v>0</v>
      </c>
      <c r="DP912" s="408">
        <v>0</v>
      </c>
      <c r="DQ912" s="408">
        <v>0</v>
      </c>
      <c r="DR912" s="408">
        <v>0</v>
      </c>
      <c r="DS912" s="408"/>
      <c r="DT912" s="408"/>
      <c r="DU912" s="408">
        <v>71149.925912913197</v>
      </c>
      <c r="DV912" s="408"/>
      <c r="DW912" s="408">
        <v>0</v>
      </c>
      <c r="DX912" s="408">
        <v>0</v>
      </c>
      <c r="DY912" s="408">
        <v>-16143.390000000007</v>
      </c>
      <c r="DZ912" s="408"/>
      <c r="EA912" s="408">
        <v>0</v>
      </c>
      <c r="EB912" s="408"/>
      <c r="EC912" s="408">
        <v>-17674.84848209066</v>
      </c>
      <c r="ED912" s="408"/>
      <c r="EE912" s="408">
        <v>0</v>
      </c>
      <c r="EF912" s="408">
        <v>0</v>
      </c>
      <c r="EG912" s="408"/>
      <c r="EH912" s="408">
        <v>0</v>
      </c>
      <c r="EI912" s="408">
        <v>0</v>
      </c>
      <c r="EJ912" s="408">
        <v>0</v>
      </c>
      <c r="EK912" s="408">
        <v>0</v>
      </c>
      <c r="EL912" s="408">
        <v>0</v>
      </c>
      <c r="EM912" s="408"/>
      <c r="EN912" s="408"/>
      <c r="EO912" s="408">
        <v>0</v>
      </c>
      <c r="EP912" s="408">
        <v>0</v>
      </c>
      <c r="EQ912" s="408"/>
      <c r="ER912" s="408">
        <v>0</v>
      </c>
      <c r="ES912" s="408"/>
      <c r="ET912" s="408">
        <v>0</v>
      </c>
      <c r="EU912" s="408"/>
      <c r="EV912" s="408">
        <v>240</v>
      </c>
      <c r="EW912" s="408"/>
      <c r="EX912" s="408"/>
      <c r="EY912" s="408"/>
      <c r="EZ912" s="408"/>
      <c r="FA912" s="408">
        <v>0</v>
      </c>
      <c r="FB912" s="408"/>
      <c r="FC912" s="408"/>
      <c r="FD912" s="408"/>
      <c r="FE912" s="408"/>
      <c r="FF912" s="408">
        <v>0</v>
      </c>
      <c r="FG912" s="408">
        <v>0</v>
      </c>
      <c r="FH912" s="408">
        <v>0</v>
      </c>
      <c r="FI912" s="408">
        <v>0</v>
      </c>
    </row>
    <row r="913" spans="1:165">
      <c r="A913" s="408">
        <v>911</v>
      </c>
      <c r="B913" s="408" t="s">
        <v>1036</v>
      </c>
      <c r="C913" s="408" t="s">
        <v>993</v>
      </c>
      <c r="D913" s="408" t="s">
        <v>599</v>
      </c>
      <c r="E913" s="408" t="s">
        <v>1322</v>
      </c>
      <c r="F913" s="408" t="s">
        <v>1322</v>
      </c>
      <c r="G913" s="408" t="s">
        <v>1322</v>
      </c>
      <c r="H913" s="408" t="s">
        <v>2320</v>
      </c>
      <c r="I913" s="408" t="s">
        <v>1322</v>
      </c>
      <c r="J913" s="408" t="s">
        <v>2256</v>
      </c>
      <c r="K913" s="826">
        <v>44713</v>
      </c>
      <c r="L913" s="408">
        <v>7020</v>
      </c>
      <c r="M913" s="408">
        <v>3510</v>
      </c>
      <c r="N913" s="408">
        <v>0</v>
      </c>
      <c r="O913" s="408">
        <v>0</v>
      </c>
      <c r="P913" s="408">
        <v>0</v>
      </c>
      <c r="Q913" s="408">
        <v>0</v>
      </c>
      <c r="R913" s="408">
        <v>6.87</v>
      </c>
      <c r="S913" s="408"/>
      <c r="T913" s="408"/>
      <c r="U913" s="408">
        <v>48227.4</v>
      </c>
      <c r="V913" s="408"/>
      <c r="W913" s="408">
        <v>48227.4</v>
      </c>
      <c r="X913" s="408">
        <v>40084.199999999997</v>
      </c>
      <c r="Y913" s="408">
        <v>0</v>
      </c>
      <c r="Z913" s="408">
        <v>0</v>
      </c>
      <c r="AA913" s="408">
        <v>0</v>
      </c>
      <c r="AB913" s="408">
        <v>0</v>
      </c>
      <c r="AC913" s="408">
        <v>0</v>
      </c>
      <c r="AD913" s="408">
        <v>2031.0321998913851</v>
      </c>
      <c r="AE913" s="408">
        <v>42729.467006265557</v>
      </c>
      <c r="AF913" s="408"/>
      <c r="AG913" s="408"/>
      <c r="AH913" s="408"/>
      <c r="AI913" s="408">
        <v>0</v>
      </c>
      <c r="AJ913" s="408">
        <v>0</v>
      </c>
      <c r="AK913" s="408">
        <v>0</v>
      </c>
      <c r="AL913" s="408">
        <v>0</v>
      </c>
      <c r="AM913" s="408"/>
      <c r="AN913" s="408">
        <v>0</v>
      </c>
      <c r="AO913" s="408">
        <v>0</v>
      </c>
      <c r="AP913" s="408">
        <v>0</v>
      </c>
      <c r="AQ913" s="408">
        <v>0</v>
      </c>
      <c r="AR913" s="408">
        <v>0</v>
      </c>
      <c r="AS913" s="408"/>
      <c r="AT913" s="408"/>
      <c r="AU913" s="408">
        <v>0</v>
      </c>
      <c r="AV913" s="408">
        <v>0</v>
      </c>
      <c r="AW913" s="408">
        <v>0</v>
      </c>
      <c r="AX913" s="408"/>
      <c r="AY913" s="408"/>
      <c r="AZ913" s="408">
        <v>0</v>
      </c>
      <c r="BA913" s="408"/>
      <c r="BB913" s="408">
        <v>0</v>
      </c>
      <c r="BC913" s="408">
        <v>0</v>
      </c>
      <c r="BD913" s="408">
        <v>0</v>
      </c>
      <c r="BE913" s="408">
        <v>0</v>
      </c>
      <c r="BF913" s="408"/>
      <c r="BG913" s="408">
        <v>3436.1874076712338</v>
      </c>
      <c r="BH913" s="408">
        <v>0</v>
      </c>
      <c r="BI913" s="408">
        <v>486.85</v>
      </c>
      <c r="BJ913" s="408">
        <v>0</v>
      </c>
      <c r="BK913" s="408">
        <v>0</v>
      </c>
      <c r="BL913" s="408">
        <v>0</v>
      </c>
      <c r="BM913" s="408"/>
      <c r="BN913" s="408"/>
      <c r="BO913" s="408">
        <v>20042.099999999999</v>
      </c>
      <c r="BP913" s="408"/>
      <c r="BQ913" s="408"/>
      <c r="BR913" s="408"/>
      <c r="BS913" s="408"/>
      <c r="BT913" s="408"/>
      <c r="BU913" s="408"/>
      <c r="BV913" s="408">
        <v>3436.1874076712338</v>
      </c>
      <c r="BW913" s="408"/>
      <c r="BX913" s="408"/>
      <c r="BY913" s="408"/>
      <c r="BZ913" s="408"/>
      <c r="CA913" s="408"/>
      <c r="CB913" s="408"/>
      <c r="CC913" s="408"/>
      <c r="CD913" s="408"/>
      <c r="CE913" s="408"/>
      <c r="CF913" s="408"/>
      <c r="CG913" s="408"/>
      <c r="CH913" s="408"/>
      <c r="CI913" s="408">
        <v>20042.099999999999</v>
      </c>
      <c r="CJ913" s="408">
        <v>-4071.6299999999974</v>
      </c>
      <c r="CK913" s="408"/>
      <c r="CL913" s="408"/>
      <c r="CM913" s="408"/>
      <c r="CN913" s="408"/>
      <c r="CO913" s="408">
        <v>-8143.2000000000007</v>
      </c>
      <c r="CP913" s="408">
        <v>0</v>
      </c>
      <c r="CQ913" s="408">
        <v>30</v>
      </c>
      <c r="CR913" s="408">
        <v>2526.7645846364476</v>
      </c>
      <c r="CS913" s="408">
        <v>0</v>
      </c>
      <c r="CT913" s="408">
        <v>0</v>
      </c>
      <c r="CU913" s="408">
        <v>0</v>
      </c>
      <c r="CV913" s="408">
        <v>0</v>
      </c>
      <c r="CW913" s="408"/>
      <c r="CX913" s="408"/>
      <c r="CY913" s="408"/>
      <c r="CZ913" s="408">
        <v>2091.2902096795342</v>
      </c>
      <c r="DA913" s="408">
        <v>0</v>
      </c>
      <c r="DB913" s="408">
        <v>0</v>
      </c>
      <c r="DC913" s="408"/>
      <c r="DD913" s="408"/>
      <c r="DE913" s="408">
        <v>0</v>
      </c>
      <c r="DF913" s="408">
        <v>0</v>
      </c>
      <c r="DG913" s="408">
        <v>435.47437495691338</v>
      </c>
      <c r="DH913" s="408">
        <v>0</v>
      </c>
      <c r="DI913" s="408">
        <v>0</v>
      </c>
      <c r="DJ913" s="408"/>
      <c r="DK913" s="408">
        <v>0</v>
      </c>
      <c r="DL913" s="408">
        <v>0</v>
      </c>
      <c r="DM913" s="408"/>
      <c r="DN913" s="408">
        <v>0</v>
      </c>
      <c r="DO913" s="408">
        <v>0</v>
      </c>
      <c r="DP913" s="408">
        <v>0</v>
      </c>
      <c r="DQ913" s="408">
        <v>0</v>
      </c>
      <c r="DR913" s="408">
        <v>0</v>
      </c>
      <c r="DS913" s="408"/>
      <c r="DT913" s="408"/>
      <c r="DU913" s="408">
        <v>42729.467006265557</v>
      </c>
      <c r="DV913" s="408"/>
      <c r="DW913" s="408">
        <v>0</v>
      </c>
      <c r="DX913" s="408">
        <v>0</v>
      </c>
      <c r="DY913" s="408">
        <v>-8143.2000000000044</v>
      </c>
      <c r="DZ913" s="408"/>
      <c r="EA913" s="408">
        <v>0</v>
      </c>
      <c r="EB913" s="408"/>
      <c r="EC913" s="408">
        <v>-10614.724405765934</v>
      </c>
      <c r="ED913" s="408"/>
      <c r="EE913" s="408">
        <v>0</v>
      </c>
      <c r="EF913" s="408">
        <v>0</v>
      </c>
      <c r="EG913" s="408"/>
      <c r="EH913" s="408">
        <v>0</v>
      </c>
      <c r="EI913" s="408">
        <v>0</v>
      </c>
      <c r="EJ913" s="408">
        <v>0</v>
      </c>
      <c r="EK913" s="408">
        <v>0</v>
      </c>
      <c r="EL913" s="408">
        <v>0</v>
      </c>
      <c r="EM913" s="408"/>
      <c r="EN913" s="408"/>
      <c r="EO913" s="408">
        <v>0</v>
      </c>
      <c r="EP913" s="408">
        <v>0</v>
      </c>
      <c r="EQ913" s="408"/>
      <c r="ER913" s="408">
        <v>0</v>
      </c>
      <c r="ES913" s="408"/>
      <c r="ET913" s="408">
        <v>0</v>
      </c>
      <c r="EU913" s="408"/>
      <c r="EV913" s="408">
        <v>240</v>
      </c>
      <c r="EW913" s="408"/>
      <c r="EX913" s="408"/>
      <c r="EY913" s="408"/>
      <c r="EZ913" s="408"/>
      <c r="FA913" s="408">
        <v>0</v>
      </c>
      <c r="FB913" s="408"/>
      <c r="FC913" s="408"/>
      <c r="FD913" s="408"/>
      <c r="FE913" s="408"/>
      <c r="FF913" s="408">
        <v>0</v>
      </c>
      <c r="FG913" s="408">
        <v>0</v>
      </c>
      <c r="FH913" s="408">
        <v>0</v>
      </c>
      <c r="FI913" s="408">
        <v>0</v>
      </c>
    </row>
    <row r="914" spans="1:165">
      <c r="A914" s="1704"/>
      <c r="B914" s="1704"/>
      <c r="C914" s="1704"/>
      <c r="D914" s="1704"/>
      <c r="E914" s="1704"/>
      <c r="F914" s="1704"/>
      <c r="G914" s="1704"/>
      <c r="H914" s="1704"/>
      <c r="I914" s="1704"/>
      <c r="J914" s="1704"/>
      <c r="K914" s="1704"/>
      <c r="L914" s="1704"/>
      <c r="M914" s="1704"/>
      <c r="N914" s="1704"/>
      <c r="O914" s="1704"/>
      <c r="P914" s="1704"/>
      <c r="Q914" s="1704"/>
      <c r="R914" s="1704"/>
      <c r="S914" s="1704"/>
      <c r="T914" s="1704"/>
      <c r="U914" s="1704"/>
      <c r="V914" s="1704"/>
      <c r="W914" s="1704"/>
      <c r="X914" s="1704"/>
      <c r="Y914" s="1704"/>
      <c r="Z914" s="1704"/>
      <c r="AA914" s="1704"/>
      <c r="AB914" s="1704"/>
      <c r="AC914" s="1704"/>
      <c r="AD914" s="1704"/>
      <c r="AE914" s="1704"/>
      <c r="AF914" s="1704"/>
      <c r="AG914" s="1704"/>
      <c r="AH914" s="1704"/>
      <c r="AI914" s="1704"/>
      <c r="AJ914" s="1704"/>
      <c r="AK914" s="1704"/>
      <c r="AL914" s="1704"/>
      <c r="AM914" s="1704"/>
      <c r="AN914" s="1704"/>
      <c r="AO914" s="1704"/>
      <c r="AP914" s="1704"/>
      <c r="AQ914" s="1704"/>
      <c r="AR914" s="1704"/>
      <c r="AS914" s="1704"/>
      <c r="AT914" s="1704"/>
      <c r="AU914" s="1704"/>
      <c r="AV914" s="1704"/>
      <c r="AW914" s="1704"/>
      <c r="AX914" s="1704"/>
      <c r="AY914" s="1704"/>
      <c r="AZ914" s="1704"/>
      <c r="BA914" s="1704"/>
      <c r="BB914" s="1704"/>
      <c r="BC914" s="1704"/>
      <c r="BD914" s="1704"/>
      <c r="BE914" s="1704"/>
      <c r="BF914" s="1704"/>
      <c r="BG914" s="1704"/>
      <c r="BH914" s="1704"/>
      <c r="BI914" s="1704"/>
      <c r="BJ914" s="1704"/>
      <c r="BK914" s="1704"/>
      <c r="BL914" s="1704"/>
      <c r="BM914" s="1704"/>
      <c r="BN914" s="1704"/>
      <c r="BO914" s="1704"/>
      <c r="BP914" s="1704"/>
      <c r="BQ914" s="1704"/>
      <c r="BR914" s="1704"/>
      <c r="BS914" s="1704"/>
      <c r="BT914" s="1704"/>
      <c r="BU914" s="1704"/>
      <c r="BV914" s="1704"/>
      <c r="BW914" s="1704"/>
      <c r="BX914" s="1704"/>
      <c r="BY914" s="1704"/>
      <c r="BZ914" s="1704"/>
      <c r="CA914" s="1704"/>
      <c r="CB914" s="1704"/>
      <c r="CC914" s="1704"/>
      <c r="CD914" s="1704"/>
      <c r="CE914" s="1704"/>
      <c r="CF914" s="1704"/>
      <c r="CG914" s="1704"/>
      <c r="CH914" s="1704"/>
      <c r="CI914" s="1704"/>
      <c r="CJ914" s="1704"/>
      <c r="CK914" s="1704"/>
      <c r="CL914" s="1704"/>
      <c r="CM914" s="1704"/>
      <c r="CN914" s="1704"/>
      <c r="CO914" s="1704"/>
      <c r="CP914" s="1704"/>
      <c r="CQ914" s="1704"/>
      <c r="CR914" s="1704"/>
      <c r="CS914" s="1704"/>
      <c r="CT914" s="1704"/>
      <c r="CU914" s="1704"/>
      <c r="CV914" s="1704"/>
      <c r="CW914" s="1704"/>
      <c r="CX914" s="1704"/>
      <c r="CY914" s="1704"/>
      <c r="CZ914" s="1704"/>
      <c r="DA914" s="1704"/>
      <c r="DB914" s="1704"/>
      <c r="DC914" s="1704"/>
      <c r="DD914" s="1704"/>
      <c r="DE914" s="1704"/>
      <c r="DF914" s="1704"/>
      <c r="DG914" s="1704"/>
      <c r="DH914" s="1704"/>
      <c r="DI914" s="1704"/>
      <c r="DJ914" s="1704"/>
      <c r="DK914" s="1704"/>
      <c r="DL914" s="1704"/>
      <c r="DM914" s="1704"/>
      <c r="DN914" s="1704"/>
      <c r="DO914" s="1704"/>
      <c r="DP914" s="1704"/>
      <c r="DQ914" s="1704"/>
      <c r="DR914" s="1704"/>
      <c r="DS914" s="1704"/>
      <c r="DT914" s="1704"/>
      <c r="DU914" s="1704"/>
      <c r="DV914" s="1704"/>
      <c r="DW914" s="1704"/>
      <c r="DX914" s="1704"/>
      <c r="DY914" s="1704"/>
      <c r="DZ914" s="1704"/>
      <c r="EA914" s="1704"/>
      <c r="EB914" s="1704"/>
      <c r="EC914" s="1704"/>
      <c r="ED914" s="1704"/>
      <c r="EE914" s="1704"/>
      <c r="EF914" s="1704"/>
      <c r="EG914" s="1704"/>
      <c r="EH914" s="1704"/>
      <c r="EI914" s="1704"/>
      <c r="EJ914" s="1704"/>
      <c r="EK914" s="1704"/>
      <c r="EL914" s="1704"/>
      <c r="EM914" s="1704"/>
      <c r="EN914" s="1704"/>
      <c r="EO914" s="1704"/>
      <c r="EP914" s="1704"/>
      <c r="EQ914" s="1704"/>
      <c r="ER914" s="1704"/>
      <c r="ES914" s="1704"/>
      <c r="ET914" s="1704"/>
      <c r="EU914" s="1704"/>
      <c r="EV914" s="1704"/>
      <c r="EW914" s="1704"/>
      <c r="EX914" s="1704"/>
      <c r="EY914" s="1704"/>
      <c r="EZ914" s="1704"/>
      <c r="FA914" s="1704"/>
      <c r="FB914" s="1704"/>
      <c r="FC914" s="1704"/>
      <c r="FD914" s="1704"/>
      <c r="FE914" s="1704"/>
      <c r="FF914" s="1704"/>
      <c r="FG914" s="1704"/>
      <c r="FH914" s="1704"/>
      <c r="FI914" s="1704"/>
    </row>
    <row r="915" spans="1:165">
      <c r="A915" s="1704"/>
      <c r="B915" s="1704"/>
      <c r="C915" s="1704"/>
      <c r="D915" s="1704"/>
      <c r="E915" s="1704"/>
      <c r="F915" s="1704"/>
      <c r="G915" s="1704"/>
      <c r="H915" s="1704"/>
      <c r="I915" s="1704"/>
      <c r="J915" s="1704"/>
      <c r="K915" s="1704"/>
      <c r="L915" s="1704"/>
      <c r="M915" s="1704"/>
      <c r="N915" s="1704"/>
      <c r="O915" s="1704"/>
      <c r="P915" s="1704"/>
      <c r="Q915" s="1704"/>
      <c r="R915" s="1704"/>
      <c r="S915" s="1704"/>
      <c r="T915" s="1704"/>
      <c r="U915" s="1704"/>
      <c r="V915" s="1704"/>
      <c r="W915" s="1704"/>
      <c r="X915" s="1704"/>
      <c r="Y915" s="1704"/>
      <c r="Z915" s="1704"/>
      <c r="AA915" s="1704"/>
      <c r="AB915" s="1704"/>
      <c r="AC915" s="1704"/>
      <c r="AD915" s="1704"/>
      <c r="AE915" s="1704"/>
      <c r="AF915" s="1704"/>
      <c r="AG915" s="1704"/>
      <c r="AH915" s="1704"/>
      <c r="AI915" s="1704"/>
      <c r="AJ915" s="1704"/>
      <c r="AK915" s="1704"/>
      <c r="AL915" s="1704"/>
      <c r="AM915" s="1704"/>
      <c r="AN915" s="1704"/>
      <c r="AO915" s="1704"/>
      <c r="AP915" s="1704"/>
      <c r="AQ915" s="1704"/>
      <c r="AR915" s="1704"/>
      <c r="AS915" s="1704"/>
      <c r="AT915" s="1704"/>
      <c r="AU915" s="1704"/>
      <c r="AV915" s="1704"/>
      <c r="AW915" s="1704"/>
      <c r="AX915" s="1704"/>
      <c r="AY915" s="1704"/>
      <c r="AZ915" s="1704"/>
      <c r="BA915" s="1704"/>
      <c r="BB915" s="1704"/>
      <c r="BC915" s="1704"/>
      <c r="BD915" s="1704"/>
      <c r="BE915" s="1704"/>
      <c r="BF915" s="1704"/>
      <c r="BG915" s="1704"/>
      <c r="BH915" s="1704"/>
      <c r="BI915" s="1704"/>
      <c r="BJ915" s="1704"/>
      <c r="BK915" s="1704"/>
      <c r="BL915" s="1704"/>
      <c r="BM915" s="1704"/>
      <c r="BN915" s="1704"/>
      <c r="BO915" s="1704"/>
      <c r="BP915" s="1704"/>
      <c r="BQ915" s="1704"/>
      <c r="BR915" s="1704"/>
      <c r="BS915" s="1704"/>
      <c r="BT915" s="1704"/>
      <c r="BU915" s="1704"/>
      <c r="BV915" s="1704"/>
      <c r="BW915" s="1704"/>
      <c r="BX915" s="1704"/>
      <c r="BY915" s="1704"/>
      <c r="BZ915" s="1704"/>
      <c r="CA915" s="1704"/>
      <c r="CB915" s="1704"/>
      <c r="CC915" s="1704"/>
      <c r="CD915" s="1704"/>
      <c r="CE915" s="1704"/>
      <c r="CF915" s="1704"/>
      <c r="CG915" s="1704"/>
      <c r="CH915" s="1704"/>
      <c r="CI915" s="1704"/>
      <c r="CJ915" s="1704"/>
      <c r="CK915" s="1704"/>
      <c r="CL915" s="1704"/>
      <c r="CM915" s="1704"/>
      <c r="CN915" s="1704"/>
      <c r="CO915" s="1704"/>
      <c r="CP915" s="1704"/>
      <c r="CQ915" s="1704"/>
      <c r="CR915" s="1704"/>
      <c r="CS915" s="1704"/>
      <c r="CT915" s="1704"/>
      <c r="CU915" s="1704"/>
      <c r="CV915" s="1704"/>
      <c r="CW915" s="1704"/>
      <c r="CX915" s="1704"/>
      <c r="CY915" s="1704"/>
      <c r="CZ915" s="1704"/>
      <c r="DA915" s="1704"/>
      <c r="DB915" s="1704"/>
      <c r="DC915" s="1704"/>
      <c r="DD915" s="1704"/>
      <c r="DE915" s="1704"/>
      <c r="DF915" s="1704"/>
      <c r="DG915" s="1704"/>
      <c r="DH915" s="1704"/>
      <c r="DI915" s="1704"/>
      <c r="DJ915" s="1704"/>
      <c r="DK915" s="1704"/>
      <c r="DL915" s="1704"/>
      <c r="DM915" s="1704"/>
      <c r="DN915" s="1704"/>
      <c r="DO915" s="1704"/>
      <c r="DP915" s="1704"/>
      <c r="DQ915" s="1704"/>
      <c r="DR915" s="1704"/>
      <c r="DS915" s="1704"/>
      <c r="DT915" s="1704"/>
      <c r="DU915" s="1704"/>
      <c r="DV915" s="1704"/>
      <c r="DW915" s="1704"/>
      <c r="DX915" s="1704"/>
      <c r="DY915" s="1704"/>
      <c r="DZ915" s="1704"/>
      <c r="EA915" s="1704"/>
      <c r="EB915" s="1704"/>
      <c r="EC915" s="1704"/>
      <c r="ED915" s="1704"/>
      <c r="EE915" s="1704"/>
      <c r="EF915" s="1704"/>
      <c r="EG915" s="1704"/>
      <c r="EH915" s="1704"/>
      <c r="EI915" s="1704"/>
      <c r="EJ915" s="1704"/>
      <c r="EK915" s="1704"/>
      <c r="EL915" s="1704"/>
      <c r="EM915" s="1704"/>
      <c r="EN915" s="1704"/>
      <c r="EO915" s="1704"/>
      <c r="EP915" s="1704"/>
      <c r="EQ915" s="1704"/>
      <c r="ER915" s="1704"/>
      <c r="ES915" s="1704"/>
      <c r="ET915" s="1704"/>
      <c r="EU915" s="1704"/>
      <c r="EV915" s="1704"/>
      <c r="EW915" s="1704"/>
      <c r="EX915" s="1704"/>
      <c r="EY915" s="1704"/>
      <c r="EZ915" s="1704"/>
      <c r="FA915" s="1704"/>
      <c r="FB915" s="1704"/>
      <c r="FC915" s="1704"/>
      <c r="FD915" s="1704"/>
      <c r="FE915" s="1704"/>
      <c r="FF915" s="1704"/>
      <c r="FG915" s="1704"/>
      <c r="FH915" s="1704"/>
      <c r="FI915" s="1704"/>
    </row>
    <row r="916" spans="1:165">
      <c r="A916" s="1704"/>
      <c r="B916" s="1704"/>
      <c r="C916" s="1704"/>
      <c r="D916" s="1704"/>
      <c r="E916" s="1704"/>
      <c r="F916" s="1704"/>
      <c r="G916" s="1704"/>
      <c r="H916" s="1704"/>
      <c r="I916" s="1704"/>
      <c r="J916" s="1704"/>
      <c r="K916" s="1704"/>
      <c r="L916" s="1704"/>
      <c r="M916" s="1704"/>
      <c r="N916" s="1704"/>
      <c r="O916" s="1704"/>
      <c r="P916" s="1704"/>
      <c r="Q916" s="1704"/>
      <c r="R916" s="1704"/>
      <c r="S916" s="1704"/>
      <c r="T916" s="1704"/>
      <c r="U916" s="1704"/>
      <c r="V916" s="1704"/>
      <c r="W916" s="1704"/>
      <c r="X916" s="1704"/>
      <c r="Y916" s="1704"/>
      <c r="Z916" s="1704"/>
      <c r="AA916" s="1704"/>
      <c r="AB916" s="1704"/>
      <c r="AC916" s="1704"/>
      <c r="AD916" s="1704"/>
      <c r="AE916" s="1704"/>
      <c r="AF916" s="1704"/>
      <c r="AG916" s="1704"/>
      <c r="AH916" s="1704"/>
      <c r="AI916" s="1704"/>
      <c r="AJ916" s="1704"/>
      <c r="AK916" s="1704"/>
      <c r="AL916" s="1704"/>
      <c r="AM916" s="1704"/>
      <c r="AN916" s="1704"/>
      <c r="AO916" s="1704"/>
      <c r="AP916" s="1704"/>
      <c r="AQ916" s="1704"/>
      <c r="AR916" s="1704"/>
      <c r="AS916" s="1704"/>
      <c r="AT916" s="1704"/>
      <c r="AU916" s="1704"/>
      <c r="AV916" s="1704"/>
      <c r="AW916" s="1704"/>
      <c r="AX916" s="1704"/>
      <c r="AY916" s="1704"/>
      <c r="AZ916" s="1704"/>
      <c r="BA916" s="1704"/>
      <c r="BB916" s="1704"/>
      <c r="BC916" s="1704"/>
      <c r="BD916" s="1704"/>
      <c r="BE916" s="1704"/>
      <c r="BF916" s="1704"/>
      <c r="BG916" s="1704"/>
      <c r="BH916" s="1704"/>
      <c r="BI916" s="1704"/>
      <c r="BJ916" s="1704"/>
      <c r="BK916" s="1704"/>
      <c r="BL916" s="1704"/>
      <c r="BM916" s="1704"/>
      <c r="BN916" s="1704"/>
      <c r="BO916" s="1704"/>
      <c r="BP916" s="1704"/>
      <c r="BQ916" s="1704"/>
      <c r="BR916" s="1704"/>
      <c r="BS916" s="1704"/>
      <c r="BT916" s="1704"/>
      <c r="BU916" s="1704"/>
      <c r="BV916" s="1704"/>
      <c r="BW916" s="1704"/>
      <c r="BX916" s="1704"/>
      <c r="BY916" s="1704"/>
      <c r="BZ916" s="1704"/>
      <c r="CA916" s="1704"/>
      <c r="CB916" s="1704"/>
      <c r="CC916" s="1704"/>
      <c r="CD916" s="1704"/>
      <c r="CE916" s="1704"/>
      <c r="CF916" s="1704"/>
      <c r="CG916" s="1704"/>
      <c r="CH916" s="1704"/>
      <c r="CI916" s="1704"/>
      <c r="CJ916" s="1704"/>
      <c r="CK916" s="1704"/>
      <c r="CL916" s="1704"/>
      <c r="CM916" s="1704"/>
      <c r="CN916" s="1704"/>
      <c r="CO916" s="1704"/>
      <c r="CP916" s="1704"/>
      <c r="CQ916" s="1704"/>
      <c r="CR916" s="1704"/>
      <c r="CS916" s="1704"/>
      <c r="CT916" s="1704"/>
      <c r="CU916" s="1704"/>
      <c r="CV916" s="1704"/>
      <c r="CW916" s="1704"/>
      <c r="CX916" s="1704"/>
      <c r="CY916" s="1704"/>
      <c r="CZ916" s="1704"/>
      <c r="DA916" s="1704"/>
      <c r="DB916" s="1704"/>
      <c r="DC916" s="1704"/>
      <c r="DD916" s="1704"/>
      <c r="DE916" s="1704"/>
      <c r="DF916" s="1704"/>
      <c r="DG916" s="1704"/>
      <c r="DH916" s="1704"/>
      <c r="DI916" s="1704"/>
      <c r="DJ916" s="1704"/>
      <c r="DK916" s="1704"/>
      <c r="DL916" s="1704"/>
      <c r="DM916" s="1704"/>
      <c r="DN916" s="1704"/>
      <c r="DO916" s="1704"/>
      <c r="DP916" s="1704"/>
      <c r="DQ916" s="1704"/>
      <c r="DR916" s="1704"/>
      <c r="DS916" s="1704"/>
      <c r="DT916" s="1704"/>
      <c r="DU916" s="1704"/>
      <c r="DV916" s="1704"/>
      <c r="DW916" s="1704"/>
      <c r="DX916" s="1704"/>
      <c r="DY916" s="1704"/>
      <c r="DZ916" s="1704"/>
      <c r="EA916" s="1704"/>
      <c r="EB916" s="1704"/>
      <c r="EC916" s="1704"/>
      <c r="ED916" s="1704"/>
      <c r="EE916" s="1704"/>
      <c r="EF916" s="1704"/>
      <c r="EG916" s="1704"/>
      <c r="EH916" s="1704"/>
      <c r="EI916" s="1704"/>
      <c r="EJ916" s="1704"/>
      <c r="EK916" s="1704"/>
      <c r="EL916" s="1704"/>
      <c r="EM916" s="1704"/>
      <c r="EN916" s="1704"/>
      <c r="EO916" s="1704"/>
      <c r="EP916" s="1704"/>
      <c r="EQ916" s="1704"/>
      <c r="ER916" s="1704"/>
      <c r="ES916" s="1704"/>
      <c r="ET916" s="1704"/>
      <c r="EU916" s="1704"/>
      <c r="EV916" s="1704"/>
      <c r="EW916" s="1704"/>
      <c r="EX916" s="1704"/>
      <c r="EY916" s="1704"/>
      <c r="EZ916" s="1704"/>
      <c r="FA916" s="1704"/>
      <c r="FB916" s="1704"/>
      <c r="FC916" s="1704"/>
      <c r="FD916" s="1704"/>
      <c r="FE916" s="1704"/>
      <c r="FF916" s="1704"/>
      <c r="FG916" s="1704"/>
      <c r="FH916" s="1704"/>
      <c r="FI916" s="1704"/>
    </row>
    <row r="917" spans="1:165">
      <c r="A917" s="1704"/>
      <c r="B917" s="1704"/>
      <c r="C917" s="1704"/>
      <c r="D917" s="1704"/>
      <c r="E917" s="1704"/>
      <c r="F917" s="1704"/>
      <c r="G917" s="1704"/>
      <c r="H917" s="1704"/>
      <c r="I917" s="1704"/>
      <c r="J917" s="1704"/>
      <c r="K917" s="1704"/>
      <c r="L917" s="1704"/>
      <c r="M917" s="1704"/>
      <c r="N917" s="1704"/>
      <c r="O917" s="1704"/>
      <c r="P917" s="1704"/>
      <c r="Q917" s="1704"/>
      <c r="R917" s="1704"/>
      <c r="S917" s="1704"/>
      <c r="T917" s="1704"/>
      <c r="U917" s="1704"/>
      <c r="V917" s="1704"/>
      <c r="W917" s="1704"/>
      <c r="X917" s="1704"/>
      <c r="Y917" s="1704"/>
      <c r="Z917" s="1704"/>
      <c r="AA917" s="1704"/>
      <c r="AB917" s="1704"/>
      <c r="AC917" s="1704"/>
      <c r="AD917" s="1704"/>
      <c r="AE917" s="1704"/>
      <c r="AF917" s="1704"/>
      <c r="AG917" s="1704"/>
      <c r="AH917" s="1704"/>
      <c r="AI917" s="1704"/>
      <c r="AJ917" s="1704"/>
      <c r="AK917" s="1704"/>
      <c r="AL917" s="1704"/>
      <c r="AM917" s="1704"/>
      <c r="AN917" s="1704"/>
      <c r="AO917" s="1704"/>
      <c r="AP917" s="1704"/>
      <c r="AQ917" s="1704"/>
      <c r="AR917" s="1704"/>
      <c r="AS917" s="1704"/>
      <c r="AT917" s="1704"/>
      <c r="AU917" s="1704"/>
      <c r="AV917" s="1704"/>
      <c r="AW917" s="1704"/>
      <c r="AX917" s="1704"/>
      <c r="AY917" s="1704"/>
      <c r="AZ917" s="1704"/>
      <c r="BA917" s="1704"/>
      <c r="BB917" s="1704"/>
      <c r="BC917" s="1704"/>
      <c r="BD917" s="1704"/>
      <c r="BE917" s="1704"/>
      <c r="BF917" s="1704"/>
      <c r="BG917" s="1704"/>
      <c r="BH917" s="1704"/>
      <c r="BI917" s="1704"/>
      <c r="BJ917" s="1704"/>
      <c r="BK917" s="1704"/>
      <c r="BL917" s="1704"/>
      <c r="BM917" s="1704"/>
      <c r="BN917" s="1704"/>
      <c r="BO917" s="1704"/>
      <c r="BP917" s="1704"/>
      <c r="BQ917" s="1704"/>
      <c r="BR917" s="1704"/>
      <c r="BS917" s="1704"/>
      <c r="BT917" s="1704"/>
      <c r="BU917" s="1704"/>
      <c r="BV917" s="1704"/>
      <c r="BW917" s="1704"/>
      <c r="BX917" s="1704"/>
      <c r="BY917" s="1704"/>
      <c r="BZ917" s="1704"/>
      <c r="CA917" s="1704"/>
      <c r="CB917" s="1704"/>
      <c r="CC917" s="1704"/>
      <c r="CD917" s="1704"/>
      <c r="CE917" s="1704"/>
      <c r="CF917" s="1704"/>
      <c r="CG917" s="1704"/>
      <c r="CH917" s="1704"/>
      <c r="CI917" s="1704"/>
      <c r="CJ917" s="1704"/>
      <c r="CK917" s="1704"/>
      <c r="CL917" s="1704"/>
      <c r="CM917" s="1704"/>
      <c r="CN917" s="1704"/>
      <c r="CO917" s="1704"/>
      <c r="CP917" s="1704"/>
      <c r="CQ917" s="1704"/>
      <c r="CR917" s="1704"/>
      <c r="CS917" s="1704"/>
      <c r="CT917" s="1704"/>
      <c r="CU917" s="1704"/>
      <c r="CV917" s="1704"/>
      <c r="CW917" s="1704"/>
      <c r="CX917" s="1704"/>
      <c r="CY917" s="1704"/>
      <c r="CZ917" s="1704"/>
      <c r="DA917" s="1704"/>
      <c r="DB917" s="1704"/>
      <c r="DC917" s="1704"/>
      <c r="DD917" s="1704"/>
      <c r="DE917" s="1704"/>
      <c r="DF917" s="1704"/>
      <c r="DG917" s="1704"/>
      <c r="DH917" s="1704"/>
      <c r="DI917" s="1704"/>
      <c r="DJ917" s="1704"/>
      <c r="DK917" s="1704"/>
      <c r="DL917" s="1704"/>
      <c r="DM917" s="1704"/>
      <c r="DN917" s="1704"/>
      <c r="DO917" s="1704"/>
      <c r="DP917" s="1704"/>
      <c r="DQ917" s="1704"/>
      <c r="DR917" s="1704"/>
      <c r="DS917" s="1704"/>
      <c r="DT917" s="1704"/>
      <c r="DU917" s="1704"/>
      <c r="DV917" s="1704"/>
      <c r="DW917" s="1704"/>
      <c r="DX917" s="1704"/>
      <c r="DY917" s="1704"/>
      <c r="DZ917" s="1704"/>
      <c r="EA917" s="1704"/>
      <c r="EB917" s="1704"/>
      <c r="EC917" s="1704"/>
      <c r="ED917" s="1704"/>
      <c r="EE917" s="1704"/>
      <c r="EF917" s="1704"/>
      <c r="EG917" s="1704"/>
      <c r="EH917" s="1704"/>
      <c r="EI917" s="1704"/>
      <c r="EJ917" s="1704"/>
      <c r="EK917" s="1704"/>
      <c r="EL917" s="1704"/>
      <c r="EM917" s="1704"/>
      <c r="EN917" s="1704"/>
      <c r="EO917" s="1704"/>
      <c r="EP917" s="1704"/>
      <c r="EQ917" s="1704"/>
      <c r="ER917" s="1704"/>
      <c r="ES917" s="1704"/>
      <c r="ET917" s="1704"/>
      <c r="EU917" s="1704"/>
      <c r="EV917" s="1704"/>
      <c r="EW917" s="1704"/>
      <c r="EX917" s="1704"/>
      <c r="EY917" s="1704"/>
      <c r="EZ917" s="1704"/>
      <c r="FA917" s="1704"/>
      <c r="FB917" s="1704"/>
      <c r="FC917" s="1704"/>
      <c r="FD917" s="1704"/>
      <c r="FE917" s="1704"/>
      <c r="FF917" s="1704"/>
      <c r="FG917" s="1704"/>
      <c r="FH917" s="1704"/>
      <c r="FI917" s="1704"/>
    </row>
    <row r="918" spans="1:165">
      <c r="A918" s="1704"/>
      <c r="B918" s="1704"/>
      <c r="C918" s="1704"/>
      <c r="D918" s="1704"/>
      <c r="E918" s="1704"/>
      <c r="F918" s="1704"/>
      <c r="G918" s="1704"/>
      <c r="H918" s="1704"/>
      <c r="I918" s="1704"/>
      <c r="J918" s="1704"/>
      <c r="K918" s="1704"/>
      <c r="L918" s="1704"/>
      <c r="M918" s="1704"/>
      <c r="N918" s="1704"/>
      <c r="O918" s="1704"/>
      <c r="P918" s="1704"/>
      <c r="Q918" s="1704"/>
      <c r="R918" s="1704"/>
      <c r="S918" s="1704"/>
      <c r="T918" s="1704"/>
      <c r="U918" s="1704"/>
      <c r="V918" s="1704"/>
      <c r="W918" s="1704"/>
      <c r="X918" s="1704"/>
      <c r="Y918" s="1704"/>
      <c r="Z918" s="1704"/>
      <c r="AA918" s="1704"/>
      <c r="AB918" s="1704"/>
      <c r="AC918" s="1704"/>
      <c r="AD918" s="1704"/>
      <c r="AE918" s="1704"/>
      <c r="AF918" s="1704"/>
      <c r="AG918" s="1704"/>
      <c r="AH918" s="1704"/>
      <c r="AI918" s="1704"/>
      <c r="AJ918" s="1704"/>
      <c r="AK918" s="1704"/>
      <c r="AL918" s="1704"/>
      <c r="AM918" s="1704"/>
      <c r="AN918" s="1704"/>
      <c r="AO918" s="1704"/>
      <c r="AP918" s="1704"/>
      <c r="AQ918" s="1704"/>
      <c r="AR918" s="1704"/>
      <c r="AS918" s="1704"/>
      <c r="AT918" s="1704"/>
      <c r="AU918" s="1704"/>
      <c r="AV918" s="1704"/>
      <c r="AW918" s="1704"/>
      <c r="AX918" s="1704"/>
      <c r="AY918" s="1704"/>
      <c r="AZ918" s="1704"/>
      <c r="BA918" s="1704"/>
      <c r="BB918" s="1704"/>
      <c r="BC918" s="1704"/>
      <c r="BD918" s="1704"/>
      <c r="BE918" s="1704"/>
      <c r="BF918" s="1704"/>
      <c r="BG918" s="1704"/>
      <c r="BH918" s="1704"/>
      <c r="BI918" s="1704"/>
      <c r="BJ918" s="1704"/>
      <c r="BK918" s="1704"/>
      <c r="BL918" s="1704"/>
      <c r="BM918" s="1704"/>
      <c r="BN918" s="1704"/>
      <c r="BO918" s="1704"/>
      <c r="BP918" s="1704"/>
      <c r="BQ918" s="1704"/>
      <c r="BR918" s="1704"/>
      <c r="BS918" s="1704"/>
      <c r="BT918" s="1704"/>
      <c r="BU918" s="1704"/>
      <c r="BV918" s="1704"/>
      <c r="BW918" s="1704"/>
      <c r="BX918" s="1704"/>
      <c r="BY918" s="1704"/>
      <c r="BZ918" s="1704"/>
      <c r="CA918" s="1704"/>
      <c r="CB918" s="1704"/>
      <c r="CC918" s="1704"/>
      <c r="CD918" s="1704"/>
      <c r="CE918" s="1704"/>
      <c r="CF918" s="1704"/>
      <c r="CG918" s="1704"/>
      <c r="CH918" s="1704"/>
      <c r="CI918" s="1704"/>
      <c r="CJ918" s="1704"/>
      <c r="CK918" s="1704"/>
      <c r="CL918" s="1704"/>
      <c r="CM918" s="1704"/>
      <c r="CN918" s="1704"/>
      <c r="CO918" s="1704"/>
      <c r="CP918" s="1704"/>
      <c r="CQ918" s="1704"/>
      <c r="CR918" s="1704"/>
      <c r="CS918" s="1704"/>
      <c r="CT918" s="1704"/>
      <c r="CU918" s="1704"/>
      <c r="CV918" s="1704"/>
      <c r="CW918" s="1704"/>
      <c r="CX918" s="1704"/>
      <c r="CY918" s="1704"/>
      <c r="CZ918" s="1704"/>
      <c r="DA918" s="1704"/>
      <c r="DB918" s="1704"/>
      <c r="DC918" s="1704"/>
      <c r="DD918" s="1704"/>
      <c r="DE918" s="1704"/>
      <c r="DF918" s="1704"/>
      <c r="DG918" s="1704"/>
      <c r="DH918" s="1704"/>
      <c r="DI918" s="1704"/>
      <c r="DJ918" s="1704"/>
      <c r="DK918" s="1704"/>
      <c r="DL918" s="1704"/>
      <c r="DM918" s="1704"/>
      <c r="DN918" s="1704"/>
      <c r="DO918" s="1704"/>
      <c r="DP918" s="1704"/>
      <c r="DQ918" s="1704"/>
      <c r="DR918" s="1704"/>
      <c r="DS918" s="1704"/>
      <c r="DT918" s="1704"/>
      <c r="DU918" s="1704"/>
      <c r="DV918" s="1704"/>
      <c r="DW918" s="1704"/>
      <c r="DX918" s="1704"/>
      <c r="DY918" s="1704"/>
      <c r="DZ918" s="1704"/>
      <c r="EA918" s="1704"/>
      <c r="EB918" s="1704"/>
      <c r="EC918" s="1704"/>
      <c r="ED918" s="1704"/>
      <c r="EE918" s="1704"/>
      <c r="EF918" s="1704"/>
      <c r="EG918" s="1704"/>
      <c r="EH918" s="1704"/>
      <c r="EI918" s="1704"/>
      <c r="EJ918" s="1704"/>
      <c r="EK918" s="1704"/>
      <c r="EL918" s="1704"/>
      <c r="EM918" s="1704"/>
      <c r="EN918" s="1704"/>
      <c r="EO918" s="1704"/>
      <c r="EP918" s="1704"/>
      <c r="EQ918" s="1704"/>
      <c r="ER918" s="1704"/>
      <c r="ES918" s="1704"/>
      <c r="ET918" s="1704"/>
      <c r="EU918" s="1704"/>
      <c r="EV918" s="1704"/>
      <c r="EW918" s="1704"/>
      <c r="EX918" s="1704"/>
      <c r="EY918" s="1704"/>
      <c r="EZ918" s="1704"/>
      <c r="FA918" s="1704"/>
      <c r="FB918" s="1704"/>
      <c r="FC918" s="1704"/>
      <c r="FD918" s="1704"/>
      <c r="FE918" s="1704"/>
      <c r="FF918" s="1704"/>
      <c r="FG918" s="1704"/>
      <c r="FH918" s="1704"/>
      <c r="FI918" s="1704"/>
    </row>
    <row r="919" spans="1:165">
      <c r="K919" s="266"/>
      <c r="L919" s="266"/>
      <c r="M919" s="266"/>
      <c r="N919" s="266"/>
      <c r="O919" s="266"/>
      <c r="P919" s="266"/>
      <c r="Q919" s="266"/>
      <c r="BR919" s="266"/>
      <c r="BS919" s="266"/>
      <c r="BT919" s="266"/>
      <c r="BU919" s="266"/>
      <c r="BV919" s="266"/>
      <c r="CJ919" s="266"/>
      <c r="CO919" s="266"/>
      <c r="CP919" s="266"/>
      <c r="CQ919" s="266"/>
      <c r="CR919" s="266"/>
      <c r="CS919" s="266"/>
      <c r="CT919" s="266"/>
      <c r="CU919" s="266"/>
      <c r="CV919" s="266"/>
      <c r="CW919" s="266"/>
      <c r="CX919" s="266"/>
      <c r="CY919" s="266"/>
      <c r="CZ919" s="266"/>
      <c r="DA919" s="266"/>
      <c r="DB919" s="266"/>
      <c r="DC919" s="266"/>
      <c r="DD919" s="266"/>
      <c r="DE919" s="266"/>
      <c r="DF919" s="266"/>
      <c r="DG919" s="266"/>
      <c r="DH919" s="266"/>
      <c r="DI919" s="266"/>
      <c r="DJ919" s="266"/>
      <c r="DK919" s="266"/>
      <c r="DL919" s="266"/>
      <c r="DM919" s="266"/>
      <c r="DN919" s="266"/>
      <c r="DO919" s="266"/>
      <c r="DP919" s="266"/>
      <c r="DQ919" s="266"/>
      <c r="DR919" s="266"/>
      <c r="DS919" s="266"/>
    </row>
    <row r="920" spans="1:165">
      <c r="K920" s="266"/>
      <c r="L920" s="266"/>
      <c r="M920" s="266"/>
      <c r="N920" s="266"/>
      <c r="O920" s="266"/>
      <c r="P920" s="266"/>
      <c r="Q920" s="266"/>
      <c r="BR920" s="266"/>
      <c r="BS920" s="266"/>
      <c r="BT920" s="266"/>
      <c r="BU920" s="266"/>
      <c r="BV920" s="266"/>
      <c r="CJ920" s="266"/>
      <c r="CO920" s="266"/>
      <c r="CP920" s="266"/>
      <c r="CQ920" s="266"/>
      <c r="CR920" s="266"/>
      <c r="CS920" s="266"/>
      <c r="CT920" s="266"/>
      <c r="CU920" s="266"/>
      <c r="CV920" s="266"/>
      <c r="CW920" s="266"/>
      <c r="CX920" s="266"/>
      <c r="CY920" s="266"/>
      <c r="CZ920" s="266"/>
      <c r="DA920" s="266"/>
      <c r="DB920" s="266"/>
      <c r="DC920" s="266"/>
      <c r="DD920" s="266"/>
      <c r="DE920" s="266"/>
      <c r="DF920" s="266"/>
      <c r="DG920" s="266"/>
      <c r="DH920" s="266"/>
      <c r="DI920" s="266"/>
      <c r="DJ920" s="266"/>
      <c r="DK920" s="266"/>
      <c r="DL920" s="266"/>
      <c r="DM920" s="266"/>
      <c r="DN920" s="266"/>
      <c r="DO920" s="266"/>
      <c r="DP920" s="266"/>
      <c r="DQ920" s="266"/>
      <c r="DR920" s="266"/>
      <c r="DS920" s="266"/>
    </row>
    <row r="921" spans="1:165">
      <c r="K921" s="266"/>
      <c r="L921" s="266"/>
      <c r="M921" s="266"/>
      <c r="N921" s="266"/>
      <c r="O921" s="266"/>
      <c r="P921" s="266"/>
      <c r="Q921" s="266"/>
      <c r="BR921" s="266"/>
      <c r="BS921" s="266"/>
      <c r="BT921" s="266"/>
      <c r="BU921" s="266"/>
      <c r="BV921" s="266"/>
      <c r="CJ921" s="266"/>
      <c r="CO921" s="266"/>
      <c r="CP921" s="266"/>
      <c r="CQ921" s="266"/>
      <c r="CR921" s="266"/>
      <c r="CS921" s="266"/>
      <c r="CT921" s="266"/>
      <c r="CU921" s="266"/>
      <c r="CV921" s="266"/>
      <c r="CW921" s="266"/>
      <c r="CX921" s="266"/>
      <c r="CY921" s="266"/>
      <c r="CZ921" s="266"/>
      <c r="DA921" s="266"/>
      <c r="DB921" s="266"/>
      <c r="DC921" s="266"/>
      <c r="DD921" s="266"/>
      <c r="DE921" s="266"/>
      <c r="DF921" s="266"/>
      <c r="DG921" s="266"/>
      <c r="DH921" s="266"/>
      <c r="DI921" s="266"/>
      <c r="DJ921" s="266"/>
      <c r="DK921" s="266"/>
      <c r="DL921" s="266"/>
      <c r="DM921" s="266"/>
      <c r="DN921" s="266"/>
      <c r="DO921" s="266"/>
      <c r="DP921" s="266"/>
      <c r="DQ921" s="266"/>
      <c r="DR921" s="266"/>
      <c r="DS921" s="266"/>
    </row>
    <row r="922" spans="1:165">
      <c r="K922" s="266"/>
      <c r="L922" s="266"/>
      <c r="M922" s="266"/>
      <c r="N922" s="266"/>
      <c r="O922" s="266"/>
      <c r="P922" s="266"/>
      <c r="Q922" s="266"/>
      <c r="BR922" s="266"/>
      <c r="BS922" s="266"/>
      <c r="BT922" s="266"/>
      <c r="BU922" s="266"/>
      <c r="BV922" s="266"/>
      <c r="CJ922" s="266"/>
      <c r="CO922" s="266"/>
      <c r="CP922" s="266"/>
      <c r="CQ922" s="266"/>
      <c r="CR922" s="266"/>
      <c r="CS922" s="266"/>
      <c r="CT922" s="266"/>
      <c r="CU922" s="266"/>
      <c r="CV922" s="266"/>
      <c r="CW922" s="266"/>
      <c r="CX922" s="266"/>
      <c r="CY922" s="266"/>
      <c r="CZ922" s="266"/>
      <c r="DA922" s="266"/>
      <c r="DB922" s="266"/>
      <c r="DC922" s="266"/>
      <c r="DD922" s="266"/>
      <c r="DE922" s="266"/>
      <c r="DF922" s="266"/>
      <c r="DG922" s="266"/>
      <c r="DH922" s="266"/>
      <c r="DI922" s="266"/>
      <c r="DJ922" s="266"/>
      <c r="DK922" s="266"/>
      <c r="DL922" s="266"/>
      <c r="DM922" s="266"/>
      <c r="DN922" s="266"/>
      <c r="DO922" s="266"/>
      <c r="DP922" s="266"/>
      <c r="DQ922" s="266"/>
      <c r="DR922" s="266"/>
      <c r="DS922" s="266"/>
    </row>
    <row r="923" spans="1:165">
      <c r="K923" s="266"/>
      <c r="L923" s="266"/>
      <c r="M923" s="266"/>
      <c r="N923" s="266"/>
      <c r="O923" s="266"/>
      <c r="P923" s="266"/>
      <c r="Q923" s="266"/>
      <c r="BR923" s="266"/>
      <c r="BS923" s="266"/>
      <c r="BT923" s="266"/>
      <c r="BU923" s="266"/>
      <c r="BV923" s="266"/>
      <c r="CJ923" s="266"/>
      <c r="CO923" s="266"/>
      <c r="CP923" s="266"/>
      <c r="CQ923" s="266"/>
      <c r="CR923" s="266"/>
      <c r="CS923" s="266"/>
      <c r="CT923" s="266"/>
      <c r="CU923" s="266"/>
      <c r="CV923" s="266"/>
      <c r="CW923" s="266"/>
      <c r="CX923" s="266"/>
      <c r="CY923" s="266"/>
      <c r="CZ923" s="266"/>
      <c r="DA923" s="266"/>
      <c r="DB923" s="266"/>
      <c r="DC923" s="266"/>
      <c r="DD923" s="266"/>
      <c r="DE923" s="266"/>
      <c r="DF923" s="266"/>
      <c r="DG923" s="266"/>
      <c r="DH923" s="266"/>
      <c r="DI923" s="266"/>
      <c r="DJ923" s="266"/>
      <c r="DK923" s="266"/>
      <c r="DL923" s="266"/>
      <c r="DM923" s="266"/>
      <c r="DN923" s="266"/>
      <c r="DO923" s="266"/>
      <c r="DP923" s="266"/>
      <c r="DQ923" s="266"/>
      <c r="DR923" s="266"/>
      <c r="DS923" s="266"/>
    </row>
    <row r="924" spans="1:165">
      <c r="K924" s="266"/>
      <c r="L924" s="266"/>
      <c r="M924" s="266"/>
      <c r="N924" s="266"/>
      <c r="O924" s="266"/>
      <c r="P924" s="266"/>
      <c r="Q924" s="266"/>
      <c r="BR924" s="266"/>
      <c r="BS924" s="266"/>
      <c r="BT924" s="266"/>
      <c r="BU924" s="266"/>
      <c r="BV924" s="266"/>
      <c r="CJ924" s="266"/>
      <c r="CO924" s="266"/>
      <c r="CP924" s="266"/>
      <c r="CQ924" s="266"/>
      <c r="CR924" s="266"/>
      <c r="CS924" s="266"/>
      <c r="CT924" s="266"/>
      <c r="CU924" s="266"/>
      <c r="CV924" s="266"/>
      <c r="CW924" s="266"/>
      <c r="CX924" s="266"/>
      <c r="CY924" s="266"/>
      <c r="CZ924" s="266"/>
      <c r="DA924" s="266"/>
      <c r="DB924" s="266"/>
      <c r="DC924" s="266"/>
      <c r="DD924" s="266"/>
      <c r="DE924" s="266"/>
      <c r="DF924" s="266"/>
      <c r="DG924" s="266"/>
      <c r="DH924" s="266"/>
      <c r="DI924" s="266"/>
      <c r="DJ924" s="266"/>
      <c r="DK924" s="266"/>
      <c r="DL924" s="266"/>
      <c r="DM924" s="266"/>
      <c r="DN924" s="266"/>
      <c r="DO924" s="266"/>
      <c r="DP924" s="266"/>
      <c r="DQ924" s="266"/>
      <c r="DR924" s="266"/>
      <c r="DS924" s="266"/>
    </row>
    <row r="925" spans="1:165">
      <c r="K925" s="266"/>
      <c r="L925" s="266"/>
      <c r="M925" s="266"/>
      <c r="N925" s="266"/>
      <c r="O925" s="266"/>
      <c r="P925" s="266"/>
      <c r="Q925" s="266"/>
      <c r="BR925" s="266"/>
      <c r="BS925" s="266"/>
      <c r="BT925" s="266"/>
      <c r="BU925" s="266"/>
      <c r="BV925" s="266"/>
      <c r="CJ925" s="266"/>
      <c r="CO925" s="266"/>
      <c r="CP925" s="266"/>
      <c r="CQ925" s="266"/>
      <c r="CR925" s="266"/>
      <c r="CS925" s="266"/>
      <c r="CT925" s="266"/>
      <c r="CU925" s="266"/>
      <c r="CV925" s="266"/>
      <c r="CW925" s="266"/>
      <c r="CX925" s="266"/>
      <c r="CY925" s="266"/>
      <c r="CZ925" s="266"/>
      <c r="DA925" s="266"/>
      <c r="DB925" s="266"/>
      <c r="DC925" s="266"/>
      <c r="DD925" s="266"/>
      <c r="DE925" s="266"/>
      <c r="DF925" s="266"/>
      <c r="DG925" s="266"/>
      <c r="DH925" s="266"/>
      <c r="DI925" s="266"/>
      <c r="DJ925" s="266"/>
      <c r="DK925" s="266"/>
      <c r="DL925" s="266"/>
      <c r="DM925" s="266"/>
      <c r="DN925" s="266"/>
      <c r="DO925" s="266"/>
      <c r="DP925" s="266"/>
      <c r="DQ925" s="266"/>
      <c r="DR925" s="266"/>
      <c r="DS925" s="266"/>
    </row>
    <row r="926" spans="1:165">
      <c r="K926" s="266"/>
      <c r="L926" s="266"/>
      <c r="M926" s="266"/>
      <c r="N926" s="266"/>
      <c r="O926" s="266"/>
      <c r="P926" s="266"/>
      <c r="Q926" s="266"/>
      <c r="BR926" s="266"/>
      <c r="BS926" s="266"/>
      <c r="BT926" s="266"/>
      <c r="BU926" s="266"/>
      <c r="BV926" s="266"/>
      <c r="CJ926" s="266"/>
      <c r="CO926" s="266"/>
      <c r="CP926" s="266"/>
      <c r="CQ926" s="266"/>
      <c r="CR926" s="266"/>
      <c r="CS926" s="266"/>
      <c r="CT926" s="266"/>
      <c r="CU926" s="266"/>
      <c r="CV926" s="266"/>
      <c r="CW926" s="266"/>
      <c r="CX926" s="266"/>
      <c r="CY926" s="266"/>
      <c r="CZ926" s="266"/>
      <c r="DA926" s="266"/>
      <c r="DB926" s="266"/>
      <c r="DC926" s="266"/>
      <c r="DD926" s="266"/>
      <c r="DE926" s="266"/>
      <c r="DF926" s="266"/>
      <c r="DG926" s="266"/>
      <c r="DH926" s="266"/>
      <c r="DI926" s="266"/>
      <c r="DJ926" s="266"/>
      <c r="DK926" s="266"/>
      <c r="DL926" s="266"/>
      <c r="DM926" s="266"/>
      <c r="DN926" s="266"/>
      <c r="DO926" s="266"/>
      <c r="DP926" s="266"/>
      <c r="DQ926" s="266"/>
      <c r="DR926" s="266"/>
      <c r="DS926" s="266"/>
    </row>
    <row r="927" spans="1:165">
      <c r="K927" s="266"/>
      <c r="L927" s="266"/>
      <c r="M927" s="266"/>
      <c r="N927" s="266"/>
      <c r="O927" s="266"/>
      <c r="P927" s="266"/>
      <c r="Q927" s="266"/>
      <c r="BR927" s="266"/>
      <c r="BS927" s="266"/>
      <c r="BT927" s="266"/>
      <c r="BU927" s="266"/>
      <c r="BV927" s="266"/>
      <c r="CJ927" s="266"/>
      <c r="CO927" s="266"/>
      <c r="CP927" s="266"/>
      <c r="CQ927" s="266"/>
      <c r="CR927" s="266"/>
      <c r="CS927" s="266"/>
      <c r="CT927" s="266"/>
      <c r="CU927" s="266"/>
      <c r="CV927" s="266"/>
      <c r="CW927" s="266"/>
      <c r="CX927" s="266"/>
      <c r="CY927" s="266"/>
      <c r="CZ927" s="266"/>
      <c r="DA927" s="266"/>
      <c r="DB927" s="266"/>
      <c r="DC927" s="266"/>
      <c r="DD927" s="266"/>
      <c r="DE927" s="266"/>
      <c r="DF927" s="266"/>
      <c r="DG927" s="266"/>
      <c r="DH927" s="266"/>
      <c r="DI927" s="266"/>
      <c r="DJ927" s="266"/>
      <c r="DK927" s="266"/>
      <c r="DL927" s="266"/>
      <c r="DM927" s="266"/>
      <c r="DN927" s="266"/>
      <c r="DO927" s="266"/>
      <c r="DP927" s="266"/>
      <c r="DQ927" s="266"/>
      <c r="DR927" s="266"/>
      <c r="DS927" s="266"/>
    </row>
    <row r="928" spans="1:165">
      <c r="K928" s="266"/>
      <c r="L928" s="266"/>
      <c r="M928" s="266"/>
      <c r="N928" s="266"/>
      <c r="O928" s="266"/>
      <c r="P928" s="266"/>
      <c r="Q928" s="266"/>
      <c r="BR928" s="266"/>
      <c r="BS928" s="266"/>
      <c r="BT928" s="266"/>
      <c r="BU928" s="266"/>
      <c r="BV928" s="266"/>
      <c r="CJ928" s="266"/>
      <c r="CO928" s="266"/>
      <c r="CP928" s="266"/>
      <c r="CQ928" s="266"/>
      <c r="CR928" s="266"/>
      <c r="CS928" s="266"/>
      <c r="CT928" s="266"/>
      <c r="CU928" s="266"/>
      <c r="CV928" s="266"/>
      <c r="CW928" s="266"/>
      <c r="CX928" s="266"/>
      <c r="CY928" s="266"/>
      <c r="CZ928" s="266"/>
      <c r="DA928" s="266"/>
      <c r="DB928" s="266"/>
      <c r="DC928" s="266"/>
      <c r="DD928" s="266"/>
      <c r="DE928" s="266"/>
      <c r="DF928" s="266"/>
      <c r="DG928" s="266"/>
      <c r="DH928" s="266"/>
      <c r="DI928" s="266"/>
      <c r="DJ928" s="266"/>
      <c r="DK928" s="266"/>
      <c r="DL928" s="266"/>
      <c r="DM928" s="266"/>
      <c r="DN928" s="266"/>
      <c r="DO928" s="266"/>
      <c r="DP928" s="266"/>
      <c r="DQ928" s="266"/>
      <c r="DR928" s="266"/>
      <c r="DS928" s="266"/>
    </row>
    <row r="929" spans="129:146" s="266" customFormat="1">
      <c r="DY929" s="291"/>
      <c r="EC929" s="291"/>
      <c r="EP929" s="291"/>
    </row>
    <row r="930" spans="129:146" s="266" customFormat="1">
      <c r="DY930" s="291"/>
      <c r="EC930" s="291"/>
      <c r="EP930" s="291"/>
    </row>
    <row r="931" spans="129:146" s="266" customFormat="1">
      <c r="DY931" s="291"/>
      <c r="EC931" s="291"/>
      <c r="EP931" s="291"/>
    </row>
    <row r="932" spans="129:146" s="266" customFormat="1">
      <c r="DY932" s="291"/>
      <c r="EC932" s="291"/>
      <c r="EP932" s="291"/>
    </row>
    <row r="933" spans="129:146" s="266" customFormat="1">
      <c r="DY933" s="291"/>
      <c r="EC933" s="291"/>
      <c r="EP933" s="291"/>
    </row>
    <row r="934" spans="129:146" s="266" customFormat="1">
      <c r="DY934" s="291"/>
      <c r="EC934" s="291"/>
      <c r="EP934" s="291"/>
    </row>
    <row r="935" spans="129:146" s="266" customFormat="1">
      <c r="DY935" s="291"/>
      <c r="EC935" s="291"/>
      <c r="EP935" s="291"/>
    </row>
    <row r="936" spans="129:146" s="266" customFormat="1">
      <c r="DY936" s="291"/>
      <c r="EC936" s="291"/>
      <c r="EP936" s="291"/>
    </row>
    <row r="937" spans="129:146" s="266" customFormat="1">
      <c r="DY937" s="291"/>
      <c r="EC937" s="291"/>
      <c r="EP937" s="291"/>
    </row>
    <row r="938" spans="129:146" s="266" customFormat="1">
      <c r="DY938" s="291"/>
      <c r="EC938" s="291"/>
      <c r="EP938" s="291"/>
    </row>
    <row r="939" spans="129:146" s="266" customFormat="1">
      <c r="DY939" s="291"/>
      <c r="EC939" s="291"/>
      <c r="EP939" s="291"/>
    </row>
    <row r="940" spans="129:146" s="266" customFormat="1">
      <c r="DY940" s="291"/>
      <c r="EC940" s="291"/>
      <c r="EP940" s="291"/>
    </row>
    <row r="941" spans="129:146" s="266" customFormat="1">
      <c r="DY941" s="291"/>
      <c r="EC941" s="291"/>
      <c r="EP941" s="291"/>
    </row>
    <row r="942" spans="129:146" s="266" customFormat="1">
      <c r="DY942" s="291"/>
      <c r="EC942" s="291"/>
      <c r="EP942" s="291"/>
    </row>
    <row r="943" spans="129:146" s="266" customFormat="1">
      <c r="DY943" s="291"/>
      <c r="EC943" s="291"/>
      <c r="EP943" s="291"/>
    </row>
    <row r="944" spans="129:146" s="266" customFormat="1">
      <c r="DY944" s="291"/>
      <c r="EC944" s="291"/>
      <c r="EP944" s="291"/>
    </row>
    <row r="945" spans="129:146" s="266" customFormat="1">
      <c r="DY945" s="291"/>
      <c r="EC945" s="291"/>
      <c r="EP945" s="291"/>
    </row>
    <row r="946" spans="129:146" s="266" customFormat="1">
      <c r="DY946" s="291"/>
      <c r="EC946" s="291"/>
      <c r="EP946" s="291"/>
    </row>
    <row r="947" spans="129:146" s="266" customFormat="1">
      <c r="DY947" s="291"/>
      <c r="EC947" s="291"/>
      <c r="EP947" s="291"/>
    </row>
    <row r="948" spans="129:146" s="266" customFormat="1">
      <c r="DY948" s="291"/>
      <c r="EC948" s="291"/>
      <c r="EP948" s="291"/>
    </row>
    <row r="949" spans="129:146" s="266" customFormat="1">
      <c r="DY949" s="291"/>
      <c r="EC949" s="291"/>
      <c r="EP949" s="291"/>
    </row>
    <row r="950" spans="129:146" s="266" customFormat="1">
      <c r="DY950" s="291"/>
      <c r="EC950" s="291"/>
      <c r="EP950" s="291"/>
    </row>
    <row r="951" spans="129:146" s="266" customFormat="1">
      <c r="DY951" s="291"/>
      <c r="EC951" s="291"/>
      <c r="EP951" s="291"/>
    </row>
    <row r="952" spans="129:146" s="266" customFormat="1">
      <c r="DY952" s="291"/>
      <c r="EC952" s="291"/>
      <c r="EP952" s="291"/>
    </row>
    <row r="953" spans="129:146" s="266" customFormat="1">
      <c r="DY953" s="291"/>
      <c r="EC953" s="291"/>
      <c r="EP953" s="291"/>
    </row>
    <row r="954" spans="129:146" s="266" customFormat="1">
      <c r="DY954" s="291"/>
      <c r="EC954" s="291"/>
      <c r="EP954" s="291"/>
    </row>
    <row r="955" spans="129:146" s="266" customFormat="1">
      <c r="DY955" s="291"/>
      <c r="EC955" s="291"/>
      <c r="EP955" s="291"/>
    </row>
    <row r="956" spans="129:146" s="266" customFormat="1">
      <c r="DY956" s="291"/>
      <c r="EC956" s="291"/>
      <c r="EP956" s="291"/>
    </row>
    <row r="957" spans="129:146" s="266" customFormat="1">
      <c r="DY957" s="291"/>
      <c r="EC957" s="291"/>
      <c r="EP957" s="291"/>
    </row>
    <row r="958" spans="129:146" s="266" customFormat="1">
      <c r="DY958" s="291"/>
      <c r="EC958" s="291"/>
      <c r="EP958" s="291"/>
    </row>
    <row r="959" spans="129:146" s="266" customFormat="1">
      <c r="DY959" s="291"/>
      <c r="EC959" s="291"/>
      <c r="EP959" s="291"/>
    </row>
    <row r="960" spans="129:146" s="266" customFormat="1">
      <c r="DY960" s="291"/>
      <c r="EC960" s="291"/>
      <c r="EP960" s="291"/>
    </row>
    <row r="961" spans="129:146" s="266" customFormat="1">
      <c r="DY961" s="291"/>
      <c r="EC961" s="291"/>
      <c r="EP961" s="291"/>
    </row>
    <row r="962" spans="129:146" s="266" customFormat="1">
      <c r="DY962" s="291"/>
      <c r="EC962" s="291"/>
      <c r="EP962" s="291"/>
    </row>
    <row r="963" spans="129:146" s="266" customFormat="1">
      <c r="DY963" s="291"/>
      <c r="EC963" s="291"/>
      <c r="EP963" s="291"/>
    </row>
    <row r="964" spans="129:146" s="266" customFormat="1">
      <c r="DY964" s="291"/>
      <c r="EC964" s="291"/>
      <c r="EP964" s="291"/>
    </row>
    <row r="965" spans="129:146" s="266" customFormat="1">
      <c r="DY965" s="291"/>
      <c r="EC965" s="291"/>
      <c r="EP965" s="291"/>
    </row>
    <row r="966" spans="129:146" s="266" customFormat="1">
      <c r="DY966" s="291"/>
      <c r="EC966" s="291"/>
      <c r="EP966" s="291"/>
    </row>
    <row r="967" spans="129:146" s="266" customFormat="1">
      <c r="DY967" s="291"/>
      <c r="EC967" s="291"/>
      <c r="EP967" s="291"/>
    </row>
    <row r="968" spans="129:146" s="266" customFormat="1">
      <c r="DY968" s="291"/>
      <c r="EC968" s="291"/>
      <c r="EP968" s="291"/>
    </row>
    <row r="969" spans="129:146" s="266" customFormat="1">
      <c r="DY969" s="291"/>
      <c r="EC969" s="291"/>
      <c r="EP969" s="291"/>
    </row>
    <row r="970" spans="129:146" s="266" customFormat="1">
      <c r="DY970" s="291"/>
      <c r="EC970" s="291"/>
      <c r="EP970" s="291"/>
    </row>
    <row r="971" spans="129:146" s="266" customFormat="1">
      <c r="DY971" s="291"/>
      <c r="EC971" s="291"/>
      <c r="EP971" s="291"/>
    </row>
    <row r="972" spans="129:146" s="266" customFormat="1">
      <c r="DY972" s="291"/>
      <c r="EC972" s="291"/>
      <c r="EP972" s="291"/>
    </row>
    <row r="973" spans="129:146" s="266" customFormat="1">
      <c r="DY973" s="291"/>
      <c r="EC973" s="291"/>
      <c r="EP973" s="291"/>
    </row>
    <row r="974" spans="129:146" s="266" customFormat="1">
      <c r="DY974" s="291"/>
      <c r="EC974" s="291"/>
      <c r="EP974" s="291"/>
    </row>
    <row r="975" spans="129:146" s="266" customFormat="1">
      <c r="DY975" s="291"/>
      <c r="EC975" s="291"/>
      <c r="EP975" s="291"/>
    </row>
    <row r="976" spans="129:146" s="266" customFormat="1">
      <c r="DY976" s="291"/>
      <c r="EC976" s="291"/>
      <c r="EP976" s="291"/>
    </row>
    <row r="977" spans="129:146" s="266" customFormat="1">
      <c r="DY977" s="291"/>
      <c r="EC977" s="291"/>
      <c r="EP977" s="291"/>
    </row>
    <row r="978" spans="129:146" s="266" customFormat="1">
      <c r="DY978" s="291"/>
      <c r="EC978" s="291"/>
      <c r="EP978" s="291"/>
    </row>
    <row r="979" spans="129:146" s="266" customFormat="1">
      <c r="DY979" s="291"/>
      <c r="EC979" s="291"/>
      <c r="EP979" s="291"/>
    </row>
    <row r="980" spans="129:146" s="266" customFormat="1">
      <c r="DY980" s="291"/>
      <c r="EC980" s="291"/>
      <c r="EP980" s="291"/>
    </row>
    <row r="981" spans="129:146" s="266" customFormat="1">
      <c r="DY981" s="291"/>
      <c r="EC981" s="291"/>
      <c r="EP981" s="291"/>
    </row>
    <row r="982" spans="129:146" s="266" customFormat="1">
      <c r="DY982" s="291"/>
      <c r="EC982" s="291"/>
      <c r="EP982" s="291"/>
    </row>
    <row r="983" spans="129:146" s="266" customFormat="1">
      <c r="DY983" s="291"/>
      <c r="EC983" s="291"/>
      <c r="EP983" s="291"/>
    </row>
    <row r="984" spans="129:146" s="266" customFormat="1">
      <c r="DY984" s="291"/>
      <c r="EC984" s="291"/>
      <c r="EP984" s="291"/>
    </row>
    <row r="985" spans="129:146" s="266" customFormat="1">
      <c r="DY985" s="291"/>
      <c r="EC985" s="291"/>
      <c r="EP985" s="291"/>
    </row>
    <row r="986" spans="129:146" s="266" customFormat="1">
      <c r="DY986" s="291"/>
      <c r="EC986" s="291"/>
      <c r="EP986" s="291"/>
    </row>
    <row r="987" spans="129:146" s="266" customFormat="1">
      <c r="DY987" s="291"/>
      <c r="EC987" s="291"/>
      <c r="EP987" s="291"/>
    </row>
    <row r="988" spans="129:146" s="266" customFormat="1">
      <c r="DY988" s="291"/>
      <c r="EC988" s="291"/>
      <c r="EP988" s="291"/>
    </row>
    <row r="989" spans="129:146" s="266" customFormat="1">
      <c r="DY989" s="291"/>
      <c r="EC989" s="291"/>
      <c r="EP989" s="291"/>
    </row>
    <row r="990" spans="129:146" s="266" customFormat="1">
      <c r="DY990" s="291"/>
      <c r="EC990" s="291"/>
      <c r="EP990" s="291"/>
    </row>
    <row r="991" spans="129:146" s="266" customFormat="1">
      <c r="DY991" s="291"/>
      <c r="EC991" s="291"/>
      <c r="EP991" s="291"/>
    </row>
    <row r="992" spans="129:146" s="266" customFormat="1">
      <c r="DY992" s="291"/>
      <c r="EC992" s="291"/>
      <c r="EP992" s="291"/>
    </row>
    <row r="993" spans="129:146" s="266" customFormat="1">
      <c r="DY993" s="291"/>
      <c r="EC993" s="291"/>
      <c r="EP993" s="291"/>
    </row>
    <row r="994" spans="129:146" s="266" customFormat="1">
      <c r="DY994" s="291"/>
      <c r="EC994" s="291"/>
      <c r="EP994" s="291"/>
    </row>
    <row r="995" spans="129:146" s="266" customFormat="1">
      <c r="DY995" s="291"/>
      <c r="EC995" s="291"/>
      <c r="EP995" s="291"/>
    </row>
    <row r="996" spans="129:146" s="266" customFormat="1">
      <c r="DY996" s="291"/>
      <c r="EC996" s="291"/>
      <c r="EP996" s="291"/>
    </row>
    <row r="997" spans="129:146" s="266" customFormat="1">
      <c r="DY997" s="291"/>
      <c r="EC997" s="291"/>
      <c r="EP997" s="291"/>
    </row>
    <row r="998" spans="129:146" s="266" customFormat="1">
      <c r="DY998" s="291"/>
      <c r="EC998" s="291"/>
      <c r="EP998" s="291"/>
    </row>
    <row r="999" spans="129:146" s="266" customFormat="1">
      <c r="DY999" s="291"/>
      <c r="EC999" s="291"/>
      <c r="EP999" s="291"/>
    </row>
    <row r="1000" spans="129:146" s="266" customFormat="1">
      <c r="DY1000" s="291"/>
      <c r="EC1000" s="291"/>
      <c r="EP1000" s="291"/>
    </row>
    <row r="1001" spans="129:146" s="266" customFormat="1">
      <c r="DY1001" s="291"/>
      <c r="EC1001" s="291"/>
      <c r="EP1001" s="291"/>
    </row>
    <row r="1002" spans="129:146" s="266" customFormat="1">
      <c r="DY1002" s="291"/>
      <c r="EC1002" s="291"/>
      <c r="EP1002" s="291"/>
    </row>
    <row r="1003" spans="129:146" s="266" customFormat="1">
      <c r="DY1003" s="291"/>
      <c r="EC1003" s="291"/>
      <c r="EP1003" s="291"/>
    </row>
    <row r="1004" spans="129:146" s="266" customFormat="1">
      <c r="DY1004" s="291"/>
      <c r="EC1004" s="291"/>
      <c r="EP1004" s="291"/>
    </row>
    <row r="1005" spans="129:146" s="266" customFormat="1">
      <c r="DY1005" s="291"/>
      <c r="EC1005" s="291"/>
      <c r="EP1005" s="291"/>
    </row>
    <row r="1006" spans="129:146" s="266" customFormat="1">
      <c r="DY1006" s="291"/>
      <c r="EC1006" s="291"/>
      <c r="EP1006" s="291"/>
    </row>
    <row r="1007" spans="129:146" s="266" customFormat="1">
      <c r="DY1007" s="291"/>
      <c r="EC1007" s="291"/>
      <c r="EP1007" s="291"/>
    </row>
    <row r="1008" spans="129:146" s="266" customFormat="1">
      <c r="DY1008" s="291"/>
      <c r="EC1008" s="291"/>
      <c r="EP1008" s="291"/>
    </row>
    <row r="1009" spans="129:146" s="266" customFormat="1">
      <c r="DY1009" s="291"/>
      <c r="EC1009" s="291"/>
      <c r="EP1009" s="291"/>
    </row>
    <row r="1010" spans="129:146" s="266" customFormat="1">
      <c r="DY1010" s="291"/>
      <c r="EC1010" s="291"/>
      <c r="EP1010" s="291"/>
    </row>
    <row r="1011" spans="129:146" s="266" customFormat="1">
      <c r="DY1011" s="291"/>
      <c r="EC1011" s="291"/>
      <c r="EP1011" s="291"/>
    </row>
    <row r="1012" spans="129:146" s="266" customFormat="1">
      <c r="DY1012" s="291"/>
      <c r="EC1012" s="291"/>
      <c r="EP1012" s="291"/>
    </row>
    <row r="1013" spans="129:146" s="266" customFormat="1">
      <c r="DY1013" s="291"/>
      <c r="EC1013" s="291"/>
      <c r="EP1013" s="291"/>
    </row>
    <row r="1014" spans="129:146" s="266" customFormat="1">
      <c r="DY1014" s="291"/>
      <c r="EC1014" s="291"/>
      <c r="EP1014" s="291"/>
    </row>
    <row r="1015" spans="129:146" s="266" customFormat="1">
      <c r="DY1015" s="291"/>
      <c r="EC1015" s="291"/>
      <c r="EP1015" s="291"/>
    </row>
    <row r="1016" spans="129:146" s="266" customFormat="1">
      <c r="DY1016" s="291"/>
      <c r="EC1016" s="291"/>
      <c r="EP1016" s="291"/>
    </row>
    <row r="1017" spans="129:146" s="266" customFormat="1">
      <c r="DY1017" s="291"/>
      <c r="EC1017" s="291"/>
      <c r="EP1017" s="291"/>
    </row>
    <row r="1018" spans="129:146" s="266" customFormat="1">
      <c r="DY1018" s="291"/>
      <c r="EC1018" s="291"/>
      <c r="EP1018" s="291"/>
    </row>
    <row r="1019" spans="129:146" s="266" customFormat="1">
      <c r="DY1019" s="291"/>
      <c r="EC1019" s="291"/>
      <c r="EP1019" s="291"/>
    </row>
    <row r="1020" spans="129:146" s="266" customFormat="1">
      <c r="DY1020" s="291"/>
      <c r="EC1020" s="291"/>
      <c r="EP1020" s="291"/>
    </row>
    <row r="1021" spans="129:146" s="266" customFormat="1">
      <c r="DY1021" s="291"/>
      <c r="EC1021" s="291"/>
      <c r="EP1021" s="291"/>
    </row>
    <row r="1022" spans="129:146" s="266" customFormat="1">
      <c r="DY1022" s="291"/>
      <c r="EC1022" s="291"/>
      <c r="EP1022" s="291"/>
    </row>
    <row r="1023" spans="129:146" s="266" customFormat="1">
      <c r="DY1023" s="291"/>
      <c r="EC1023" s="291"/>
      <c r="EP1023" s="291"/>
    </row>
    <row r="1024" spans="129:146" s="266" customFormat="1">
      <c r="DY1024" s="291"/>
      <c r="EC1024" s="291"/>
      <c r="EP1024" s="291"/>
    </row>
    <row r="1025" spans="129:146" s="266" customFormat="1">
      <c r="DY1025" s="291"/>
      <c r="EC1025" s="291"/>
      <c r="EP1025" s="291"/>
    </row>
    <row r="1026" spans="129:146" s="266" customFormat="1">
      <c r="DY1026" s="291"/>
      <c r="EC1026" s="291"/>
      <c r="EP1026" s="291"/>
    </row>
    <row r="1027" spans="129:146" s="266" customFormat="1">
      <c r="DY1027" s="291"/>
      <c r="EC1027" s="291"/>
      <c r="EP1027" s="291"/>
    </row>
    <row r="1028" spans="129:146" s="266" customFormat="1">
      <c r="DY1028" s="291"/>
      <c r="EC1028" s="291"/>
      <c r="EP1028" s="291"/>
    </row>
    <row r="1029" spans="129:146" s="266" customFormat="1">
      <c r="DY1029" s="291"/>
      <c r="EC1029" s="291"/>
      <c r="EP1029" s="291"/>
    </row>
    <row r="1030" spans="129:146" s="266" customFormat="1">
      <c r="DY1030" s="291"/>
      <c r="EC1030" s="291"/>
      <c r="EP1030" s="291"/>
    </row>
    <row r="1031" spans="129:146" s="266" customFormat="1">
      <c r="DY1031" s="291"/>
      <c r="EC1031" s="291"/>
      <c r="EP1031" s="291"/>
    </row>
    <row r="1032" spans="129:146" s="266" customFormat="1">
      <c r="DY1032" s="291"/>
      <c r="EC1032" s="291"/>
      <c r="EP1032" s="291"/>
    </row>
    <row r="1033" spans="129:146" s="266" customFormat="1">
      <c r="DY1033" s="291"/>
      <c r="EC1033" s="291"/>
      <c r="EP1033" s="291"/>
    </row>
    <row r="1034" spans="129:146" s="266" customFormat="1">
      <c r="DY1034" s="291"/>
      <c r="EC1034" s="291"/>
      <c r="EP1034" s="291"/>
    </row>
    <row r="1035" spans="129:146" s="266" customFormat="1">
      <c r="DY1035" s="291"/>
      <c r="EC1035" s="291"/>
      <c r="EP1035" s="291"/>
    </row>
    <row r="1036" spans="129:146" s="266" customFormat="1">
      <c r="DY1036" s="291"/>
      <c r="EC1036" s="291"/>
      <c r="EP1036" s="291"/>
    </row>
    <row r="1037" spans="129:146" s="266" customFormat="1">
      <c r="DY1037" s="291"/>
      <c r="EC1037" s="291"/>
      <c r="EP1037" s="291"/>
    </row>
    <row r="1038" spans="129:146" s="266" customFormat="1">
      <c r="DY1038" s="291"/>
      <c r="EC1038" s="291"/>
      <c r="EP1038" s="291"/>
    </row>
    <row r="1039" spans="129:146" s="266" customFormat="1">
      <c r="DY1039" s="291"/>
      <c r="EC1039" s="291"/>
      <c r="EP1039" s="291"/>
    </row>
    <row r="1040" spans="129:146" s="266" customFormat="1">
      <c r="DY1040" s="291"/>
      <c r="EC1040" s="291"/>
      <c r="EP1040" s="291"/>
    </row>
    <row r="1041" spans="129:146" s="266" customFormat="1">
      <c r="DY1041" s="291"/>
      <c r="EC1041" s="291"/>
      <c r="EP1041" s="291"/>
    </row>
    <row r="1042" spans="129:146" s="266" customFormat="1">
      <c r="DY1042" s="291"/>
      <c r="EC1042" s="291"/>
      <c r="EP1042" s="291"/>
    </row>
    <row r="1043" spans="129:146" s="266" customFormat="1">
      <c r="DY1043" s="291"/>
      <c r="EC1043" s="291"/>
      <c r="EP1043" s="291"/>
    </row>
    <row r="1044" spans="129:146" s="266" customFormat="1">
      <c r="DY1044" s="291"/>
      <c r="EC1044" s="291"/>
      <c r="EP1044" s="291"/>
    </row>
    <row r="1045" spans="129:146" s="266" customFormat="1">
      <c r="DY1045" s="291"/>
      <c r="EC1045" s="291"/>
      <c r="EP1045" s="291"/>
    </row>
    <row r="1046" spans="129:146" s="266" customFormat="1">
      <c r="DY1046" s="291"/>
      <c r="EC1046" s="291"/>
      <c r="EP1046" s="291"/>
    </row>
    <row r="1047" spans="129:146" s="266" customFormat="1">
      <c r="DY1047" s="291"/>
      <c r="EC1047" s="291"/>
      <c r="EP1047" s="291"/>
    </row>
    <row r="1048" spans="129:146" s="266" customFormat="1">
      <c r="DY1048" s="291"/>
      <c r="EC1048" s="291"/>
      <c r="EP1048" s="291"/>
    </row>
    <row r="1049" spans="129:146" s="266" customFormat="1">
      <c r="DY1049" s="291"/>
      <c r="EC1049" s="291"/>
      <c r="EP1049" s="291"/>
    </row>
    <row r="1050" spans="129:146" s="266" customFormat="1">
      <c r="DY1050" s="291"/>
      <c r="EC1050" s="291"/>
      <c r="EP1050" s="291"/>
    </row>
    <row r="1051" spans="129:146" s="266" customFormat="1">
      <c r="DY1051" s="291"/>
      <c r="EC1051" s="291"/>
      <c r="EP1051" s="291"/>
    </row>
    <row r="1052" spans="129:146" s="266" customFormat="1">
      <c r="DY1052" s="291"/>
      <c r="EC1052" s="291"/>
      <c r="EP1052" s="291"/>
    </row>
    <row r="1053" spans="129:146" s="266" customFormat="1">
      <c r="DY1053" s="291"/>
      <c r="EC1053" s="291"/>
      <c r="EP1053" s="291"/>
    </row>
    <row r="1054" spans="129:146" s="266" customFormat="1">
      <c r="DY1054" s="291"/>
      <c r="EC1054" s="291"/>
      <c r="EP1054" s="291"/>
    </row>
    <row r="1055" spans="129:146" s="266" customFormat="1">
      <c r="DY1055" s="291"/>
      <c r="EC1055" s="291"/>
      <c r="EP1055" s="291"/>
    </row>
    <row r="1056" spans="129:146" s="266" customFormat="1">
      <c r="DY1056" s="291"/>
      <c r="EC1056" s="291"/>
      <c r="EP1056" s="291"/>
    </row>
    <row r="1057" spans="129:146" s="266" customFormat="1">
      <c r="DY1057" s="291"/>
      <c r="EC1057" s="291"/>
      <c r="EP1057" s="291"/>
    </row>
    <row r="1058" spans="129:146" s="266" customFormat="1">
      <c r="DY1058" s="291"/>
      <c r="EC1058" s="291"/>
      <c r="EP1058" s="291"/>
    </row>
    <row r="1059" spans="129:146" s="266" customFormat="1">
      <c r="DY1059" s="291"/>
      <c r="EC1059" s="291"/>
      <c r="EP1059" s="291"/>
    </row>
    <row r="1060" spans="129:146" s="266" customFormat="1">
      <c r="DY1060" s="291"/>
      <c r="EC1060" s="291"/>
      <c r="EP1060" s="291"/>
    </row>
    <row r="1061" spans="129:146" s="266" customFormat="1">
      <c r="DY1061" s="291"/>
      <c r="EC1061" s="291"/>
      <c r="EP1061" s="291"/>
    </row>
    <row r="1062" spans="129:146" s="266" customFormat="1">
      <c r="DY1062" s="291"/>
      <c r="EC1062" s="291"/>
      <c r="EP1062" s="291"/>
    </row>
    <row r="1063" spans="129:146" s="266" customFormat="1">
      <c r="DY1063" s="291"/>
      <c r="EC1063" s="291"/>
      <c r="EP1063" s="291"/>
    </row>
    <row r="1064" spans="129:146" s="266" customFormat="1">
      <c r="DY1064" s="291"/>
      <c r="EC1064" s="291"/>
      <c r="EP1064" s="291"/>
    </row>
    <row r="1065" spans="129:146" s="266" customFormat="1">
      <c r="DY1065" s="291"/>
      <c r="EC1065" s="291"/>
      <c r="EP1065" s="291"/>
    </row>
    <row r="1066" spans="129:146" s="266" customFormat="1">
      <c r="DY1066" s="291"/>
      <c r="EC1066" s="291"/>
      <c r="EP1066" s="291"/>
    </row>
    <row r="1067" spans="129:146" s="266" customFormat="1">
      <c r="DY1067" s="291"/>
      <c r="EC1067" s="291"/>
      <c r="EP1067" s="291"/>
    </row>
    <row r="1068" spans="129:146" s="266" customFormat="1">
      <c r="DY1068" s="291"/>
      <c r="EC1068" s="291"/>
      <c r="EP1068" s="291"/>
    </row>
    <row r="1069" spans="129:146" s="266" customFormat="1">
      <c r="DY1069" s="291"/>
      <c r="EC1069" s="291"/>
      <c r="EP1069" s="291"/>
    </row>
    <row r="1070" spans="129:146" s="266" customFormat="1">
      <c r="DY1070" s="291"/>
      <c r="EC1070" s="291"/>
      <c r="EP1070" s="291"/>
    </row>
    <row r="1071" spans="129:146" s="266" customFormat="1">
      <c r="DY1071" s="291"/>
      <c r="EC1071" s="291"/>
      <c r="EP1071" s="291"/>
    </row>
    <row r="1072" spans="129:146" s="266" customFormat="1">
      <c r="DY1072" s="291"/>
      <c r="EC1072" s="291"/>
      <c r="EP1072" s="291"/>
    </row>
    <row r="1073" spans="129:146" s="266" customFormat="1">
      <c r="DY1073" s="291"/>
      <c r="EC1073" s="291"/>
      <c r="EP1073" s="291"/>
    </row>
    <row r="1074" spans="129:146" s="266" customFormat="1">
      <c r="DY1074" s="291"/>
      <c r="EC1074" s="291"/>
      <c r="EP1074" s="291"/>
    </row>
    <row r="1075" spans="129:146" s="266" customFormat="1">
      <c r="DY1075" s="291"/>
      <c r="EC1075" s="291"/>
      <c r="EP1075" s="291"/>
    </row>
    <row r="1076" spans="129:146" s="266" customFormat="1">
      <c r="DY1076" s="291"/>
      <c r="EC1076" s="291"/>
      <c r="EP1076" s="291"/>
    </row>
    <row r="1077" spans="129:146" s="266" customFormat="1">
      <c r="DY1077" s="291"/>
      <c r="EC1077" s="291"/>
      <c r="EP1077" s="291"/>
    </row>
    <row r="1078" spans="129:146" s="266" customFormat="1">
      <c r="DY1078" s="291"/>
      <c r="EC1078" s="291"/>
      <c r="EP1078" s="291"/>
    </row>
    <row r="1079" spans="129:146" s="266" customFormat="1">
      <c r="DY1079" s="291"/>
      <c r="EC1079" s="291"/>
      <c r="EP1079" s="291"/>
    </row>
    <row r="1080" spans="129:146" s="266" customFormat="1">
      <c r="DY1080" s="291"/>
      <c r="EC1080" s="291"/>
      <c r="EP1080" s="291"/>
    </row>
    <row r="1081" spans="129:146" s="266" customFormat="1">
      <c r="DY1081" s="291"/>
      <c r="EC1081" s="291"/>
      <c r="EP1081" s="291"/>
    </row>
    <row r="1082" spans="129:146" s="266" customFormat="1">
      <c r="DY1082" s="291"/>
      <c r="EC1082" s="291"/>
      <c r="EP1082" s="291"/>
    </row>
    <row r="1083" spans="129:146" s="266" customFormat="1">
      <c r="DY1083" s="291"/>
      <c r="EC1083" s="291"/>
      <c r="EP1083" s="291"/>
    </row>
    <row r="1084" spans="129:146" s="266" customFormat="1">
      <c r="DY1084" s="291"/>
      <c r="EC1084" s="291"/>
      <c r="EP1084" s="291"/>
    </row>
    <row r="1085" spans="129:146" s="266" customFormat="1">
      <c r="DY1085" s="291"/>
      <c r="EC1085" s="291"/>
      <c r="EP1085" s="291"/>
    </row>
    <row r="1086" spans="129:146" s="266" customFormat="1">
      <c r="DY1086" s="291"/>
      <c r="EC1086" s="291"/>
      <c r="EP1086" s="291"/>
    </row>
    <row r="1087" spans="129:146" s="266" customFormat="1">
      <c r="DY1087" s="291"/>
      <c r="EC1087" s="291"/>
      <c r="EP1087" s="291"/>
    </row>
    <row r="1088" spans="129:146" s="266" customFormat="1">
      <c r="DY1088" s="291"/>
      <c r="EC1088" s="291"/>
      <c r="EP1088" s="291"/>
    </row>
    <row r="1089" spans="129:146" s="266" customFormat="1">
      <c r="DY1089" s="291"/>
      <c r="EC1089" s="291"/>
      <c r="EP1089" s="291"/>
    </row>
    <row r="1090" spans="129:146" s="266" customFormat="1">
      <c r="DY1090" s="291"/>
      <c r="EC1090" s="291"/>
      <c r="EP1090" s="291"/>
    </row>
    <row r="1091" spans="129:146" s="266" customFormat="1">
      <c r="DY1091" s="291"/>
      <c r="EC1091" s="291"/>
      <c r="EP1091" s="291"/>
    </row>
    <row r="1092" spans="129:146" s="266" customFormat="1">
      <c r="DY1092" s="291"/>
      <c r="EC1092" s="291"/>
      <c r="EP1092" s="291"/>
    </row>
    <row r="1093" spans="129:146" s="266" customFormat="1">
      <c r="DY1093" s="291"/>
      <c r="EC1093" s="291"/>
      <c r="EP1093" s="291"/>
    </row>
    <row r="1094" spans="129:146" s="266" customFormat="1">
      <c r="DY1094" s="291"/>
      <c r="EC1094" s="291"/>
      <c r="EP1094" s="291"/>
    </row>
    <row r="1095" spans="129:146" s="266" customFormat="1">
      <c r="DY1095" s="291"/>
      <c r="EC1095" s="291"/>
      <c r="EP1095" s="291"/>
    </row>
    <row r="1096" spans="129:146" s="266" customFormat="1">
      <c r="DY1096" s="291"/>
      <c r="EC1096" s="291"/>
      <c r="EP1096" s="291"/>
    </row>
    <row r="1097" spans="129:146" s="266" customFormat="1">
      <c r="DY1097" s="291"/>
      <c r="EC1097" s="291"/>
      <c r="EP1097" s="291"/>
    </row>
    <row r="1098" spans="129:146" s="266" customFormat="1">
      <c r="DY1098" s="291"/>
      <c r="EC1098" s="291"/>
      <c r="EP1098" s="291"/>
    </row>
    <row r="1099" spans="129:146" s="266" customFormat="1">
      <c r="DY1099" s="291"/>
      <c r="EC1099" s="291"/>
      <c r="EP1099" s="291"/>
    </row>
    <row r="1100" spans="129:146" s="266" customFormat="1">
      <c r="DY1100" s="291"/>
      <c r="EC1100" s="291"/>
      <c r="EP1100" s="291"/>
    </row>
    <row r="1101" spans="129:146" s="266" customFormat="1">
      <c r="DY1101" s="291"/>
      <c r="EC1101" s="291"/>
      <c r="EP1101" s="291"/>
    </row>
    <row r="1102" spans="129:146" s="266" customFormat="1">
      <c r="DY1102" s="291"/>
      <c r="EC1102" s="291"/>
      <c r="EP1102" s="291"/>
    </row>
    <row r="1103" spans="129:146" s="266" customFormat="1">
      <c r="DY1103" s="291"/>
      <c r="EC1103" s="291"/>
      <c r="EP1103" s="291"/>
    </row>
    <row r="1104" spans="129:146" s="266" customFormat="1">
      <c r="DY1104" s="291"/>
      <c r="EC1104" s="291"/>
      <c r="EP1104" s="291"/>
    </row>
    <row r="1105" spans="129:146" s="266" customFormat="1">
      <c r="DY1105" s="291"/>
      <c r="EC1105" s="291"/>
      <c r="EP1105" s="291"/>
    </row>
    <row r="1106" spans="129:146" s="266" customFormat="1">
      <c r="DY1106" s="291"/>
      <c r="EC1106" s="291"/>
      <c r="EP1106" s="291"/>
    </row>
    <row r="1107" spans="129:146" s="266" customFormat="1">
      <c r="DY1107" s="291"/>
      <c r="EC1107" s="291"/>
      <c r="EP1107" s="291"/>
    </row>
    <row r="1108" spans="129:146" s="266" customFormat="1">
      <c r="DY1108" s="291"/>
      <c r="EC1108" s="291"/>
      <c r="EP1108" s="291"/>
    </row>
    <row r="1109" spans="129:146" s="266" customFormat="1">
      <c r="DY1109" s="291"/>
      <c r="EC1109" s="291"/>
      <c r="EP1109" s="291"/>
    </row>
    <row r="1110" spans="129:146" s="266" customFormat="1">
      <c r="DY1110" s="291"/>
      <c r="EC1110" s="291"/>
      <c r="EP1110" s="291"/>
    </row>
    <row r="1111" spans="129:146" s="266" customFormat="1">
      <c r="DY1111" s="291"/>
      <c r="EC1111" s="291"/>
      <c r="EP1111" s="291"/>
    </row>
    <row r="1112" spans="129:146" s="266" customFormat="1">
      <c r="DY1112" s="291"/>
      <c r="EC1112" s="291"/>
      <c r="EP1112" s="291"/>
    </row>
    <row r="1113" spans="129:146" s="266" customFormat="1">
      <c r="DY1113" s="291"/>
      <c r="EC1113" s="291"/>
      <c r="EP1113" s="291"/>
    </row>
    <row r="1114" spans="129:146" s="266" customFormat="1">
      <c r="DY1114" s="291"/>
      <c r="EC1114" s="291"/>
      <c r="EP1114" s="291"/>
    </row>
    <row r="1115" spans="129:146" s="266" customFormat="1">
      <c r="DY1115" s="291"/>
      <c r="EC1115" s="291"/>
      <c r="EP1115" s="291"/>
    </row>
    <row r="1116" spans="129:146" s="266" customFormat="1">
      <c r="DY1116" s="291"/>
      <c r="EC1116" s="291"/>
      <c r="EP1116" s="291"/>
    </row>
    <row r="1117" spans="129:146" s="266" customFormat="1">
      <c r="DY1117" s="291"/>
      <c r="EC1117" s="291"/>
      <c r="EP1117" s="291"/>
    </row>
    <row r="1118" spans="129:146" s="266" customFormat="1">
      <c r="DY1118" s="291"/>
      <c r="EC1118" s="291"/>
      <c r="EP1118" s="291"/>
    </row>
    <row r="1119" spans="129:146" s="266" customFormat="1">
      <c r="DY1119" s="291"/>
      <c r="EC1119" s="291"/>
      <c r="EP1119" s="291"/>
    </row>
    <row r="1120" spans="129:146" s="266" customFormat="1">
      <c r="DY1120" s="291"/>
      <c r="EC1120" s="291"/>
      <c r="EP1120" s="291"/>
    </row>
    <row r="1121" spans="129:146" s="266" customFormat="1">
      <c r="DY1121" s="291"/>
      <c r="EC1121" s="291"/>
      <c r="EP1121" s="291"/>
    </row>
    <row r="1122" spans="129:146" s="266" customFormat="1">
      <c r="DY1122" s="291"/>
      <c r="EC1122" s="291"/>
      <c r="EP1122" s="291"/>
    </row>
    <row r="1123" spans="129:146" s="266" customFormat="1">
      <c r="DY1123" s="291"/>
      <c r="EC1123" s="291"/>
      <c r="EP1123" s="291"/>
    </row>
    <row r="1124" spans="129:146" s="266" customFormat="1">
      <c r="DY1124" s="291"/>
      <c r="EC1124" s="291"/>
      <c r="EP1124" s="291"/>
    </row>
    <row r="1125" spans="129:146" s="266" customFormat="1">
      <c r="DY1125" s="291"/>
      <c r="EC1125" s="291"/>
      <c r="EP1125" s="291"/>
    </row>
    <row r="1126" spans="129:146" s="266" customFormat="1">
      <c r="DY1126" s="291"/>
      <c r="EC1126" s="291"/>
      <c r="EP1126" s="291"/>
    </row>
    <row r="1127" spans="129:146" s="266" customFormat="1">
      <c r="DY1127" s="291"/>
      <c r="EC1127" s="291"/>
      <c r="EP1127" s="291"/>
    </row>
    <row r="1128" spans="129:146" s="266" customFormat="1">
      <c r="DY1128" s="291"/>
      <c r="EC1128" s="291"/>
      <c r="EP1128" s="291"/>
    </row>
    <row r="1129" spans="129:146" s="266" customFormat="1">
      <c r="DY1129" s="291"/>
      <c r="EC1129" s="291"/>
      <c r="EP1129" s="291"/>
    </row>
    <row r="1130" spans="129:146" s="266" customFormat="1">
      <c r="DY1130" s="291"/>
      <c r="EC1130" s="291"/>
      <c r="EP1130" s="291"/>
    </row>
    <row r="1131" spans="129:146" s="266" customFormat="1">
      <c r="DY1131" s="291"/>
      <c r="EC1131" s="291"/>
      <c r="EP1131" s="291"/>
    </row>
    <row r="1132" spans="129:146" s="266" customFormat="1">
      <c r="DY1132" s="291"/>
      <c r="EC1132" s="291"/>
      <c r="EP1132" s="291"/>
    </row>
    <row r="1133" spans="129:146" s="266" customFormat="1">
      <c r="DY1133" s="291"/>
      <c r="EC1133" s="291"/>
      <c r="EP1133" s="291"/>
    </row>
    <row r="1134" spans="129:146" s="266" customFormat="1">
      <c r="DY1134" s="291"/>
      <c r="EC1134" s="291"/>
      <c r="EP1134" s="291"/>
    </row>
    <row r="1135" spans="129:146" s="266" customFormat="1">
      <c r="DY1135" s="291"/>
      <c r="EC1135" s="291"/>
      <c r="EP1135" s="291"/>
    </row>
    <row r="1136" spans="129:146" s="266" customFormat="1">
      <c r="DY1136" s="291"/>
      <c r="EC1136" s="291"/>
      <c r="EP1136" s="291"/>
    </row>
    <row r="1137" spans="129:146" s="266" customFormat="1">
      <c r="DY1137" s="291"/>
      <c r="EC1137" s="291"/>
      <c r="EP1137" s="291"/>
    </row>
    <row r="1138" spans="129:146" s="266" customFormat="1">
      <c r="DY1138" s="291"/>
      <c r="EC1138" s="291"/>
      <c r="EP1138" s="291"/>
    </row>
    <row r="1139" spans="129:146" s="266" customFormat="1">
      <c r="DY1139" s="291"/>
      <c r="EC1139" s="291"/>
      <c r="EP1139" s="291"/>
    </row>
    <row r="1140" spans="129:146" s="266" customFormat="1">
      <c r="DY1140" s="291"/>
      <c r="EC1140" s="291"/>
      <c r="EP1140" s="291"/>
    </row>
    <row r="1141" spans="129:146" s="266" customFormat="1">
      <c r="DY1141" s="291"/>
      <c r="EC1141" s="291"/>
      <c r="EP1141" s="291"/>
    </row>
    <row r="1142" spans="129:146" s="266" customFormat="1">
      <c r="DY1142" s="291"/>
      <c r="EC1142" s="291"/>
      <c r="EP1142" s="291"/>
    </row>
    <row r="1143" spans="129:146" s="266" customFormat="1">
      <c r="DY1143" s="291"/>
      <c r="EC1143" s="291"/>
      <c r="EP1143" s="291"/>
    </row>
    <row r="1144" spans="129:146" s="266" customFormat="1">
      <c r="DY1144" s="291"/>
      <c r="EC1144" s="291"/>
      <c r="EP1144" s="291"/>
    </row>
    <row r="1145" spans="129:146" s="266" customFormat="1">
      <c r="DY1145" s="291"/>
      <c r="EC1145" s="291"/>
      <c r="EP1145" s="291"/>
    </row>
    <row r="1146" spans="129:146" s="266" customFormat="1">
      <c r="DY1146" s="291"/>
      <c r="EC1146" s="291"/>
      <c r="EP1146" s="291"/>
    </row>
    <row r="1147" spans="129:146" s="266" customFormat="1">
      <c r="DY1147" s="291"/>
      <c r="EC1147" s="291"/>
      <c r="EP1147" s="291"/>
    </row>
    <row r="1148" spans="129:146" s="266" customFormat="1">
      <c r="DY1148" s="291"/>
      <c r="EC1148" s="291"/>
      <c r="EP1148" s="291"/>
    </row>
    <row r="1149" spans="129:146" s="266" customFormat="1">
      <c r="DY1149" s="291"/>
      <c r="EC1149" s="291"/>
      <c r="EP1149" s="291"/>
    </row>
    <row r="1150" spans="129:146" s="266" customFormat="1">
      <c r="DY1150" s="291"/>
      <c r="EC1150" s="291"/>
      <c r="EP1150" s="291"/>
    </row>
    <row r="1151" spans="129:146" s="266" customFormat="1">
      <c r="DY1151" s="291"/>
      <c r="EC1151" s="291"/>
      <c r="EP1151" s="291"/>
    </row>
    <row r="1152" spans="129:146" s="266" customFormat="1">
      <c r="DY1152" s="291"/>
      <c r="EC1152" s="291"/>
      <c r="EP1152" s="291"/>
    </row>
    <row r="1153" spans="129:146" s="266" customFormat="1">
      <c r="DY1153" s="291"/>
      <c r="EC1153" s="291"/>
      <c r="EP1153" s="291"/>
    </row>
    <row r="1154" spans="129:146" s="266" customFormat="1">
      <c r="DY1154" s="291"/>
      <c r="EC1154" s="291"/>
      <c r="EP1154" s="291"/>
    </row>
    <row r="1155" spans="129:146" s="266" customFormat="1">
      <c r="DY1155" s="291"/>
      <c r="EC1155" s="291"/>
      <c r="EP1155" s="291"/>
    </row>
    <row r="1156" spans="129:146" s="266" customFormat="1">
      <c r="DY1156" s="291"/>
      <c r="EC1156" s="291"/>
      <c r="EP1156" s="291"/>
    </row>
    <row r="1157" spans="129:146" s="266" customFormat="1">
      <c r="DY1157" s="291"/>
      <c r="EC1157" s="291"/>
      <c r="EP1157" s="291"/>
    </row>
    <row r="1158" spans="129:146" s="266" customFormat="1">
      <c r="DY1158" s="291"/>
      <c r="EC1158" s="291"/>
      <c r="EP1158" s="291"/>
    </row>
    <row r="1159" spans="129:146" s="266" customFormat="1">
      <c r="DY1159" s="291"/>
      <c r="EC1159" s="291"/>
      <c r="EP1159" s="291"/>
    </row>
    <row r="1160" spans="129:146" s="266" customFormat="1">
      <c r="DY1160" s="291"/>
      <c r="EC1160" s="291"/>
      <c r="EP1160" s="291"/>
    </row>
    <row r="1161" spans="129:146" s="266" customFormat="1">
      <c r="DY1161" s="291"/>
      <c r="EC1161" s="291"/>
      <c r="EP1161" s="291"/>
    </row>
    <row r="1162" spans="129:146" s="266" customFormat="1">
      <c r="DY1162" s="291"/>
      <c r="EC1162" s="291"/>
      <c r="EP1162" s="291"/>
    </row>
    <row r="1163" spans="129:146" s="266" customFormat="1">
      <c r="DY1163" s="291"/>
      <c r="EC1163" s="291"/>
      <c r="EP1163" s="291"/>
    </row>
    <row r="1164" spans="129:146" s="266" customFormat="1">
      <c r="DY1164" s="291"/>
      <c r="EC1164" s="291"/>
      <c r="EP1164" s="291"/>
    </row>
    <row r="1165" spans="129:146" s="266" customFormat="1">
      <c r="DY1165" s="291"/>
      <c r="EC1165" s="291"/>
      <c r="EP1165" s="291"/>
    </row>
    <row r="1166" spans="129:146" s="266" customFormat="1">
      <c r="DY1166" s="291"/>
      <c r="EC1166" s="291"/>
      <c r="EP1166" s="291"/>
    </row>
    <row r="1167" spans="129:146" s="266" customFormat="1">
      <c r="DY1167" s="291"/>
      <c r="EC1167" s="291"/>
      <c r="EP1167" s="291"/>
    </row>
    <row r="1168" spans="129:146" s="266" customFormat="1">
      <c r="DY1168" s="291"/>
      <c r="EC1168" s="291"/>
      <c r="EP1168" s="291"/>
    </row>
    <row r="1169" spans="129:146" s="266" customFormat="1">
      <c r="DY1169" s="291"/>
      <c r="EC1169" s="291"/>
      <c r="EP1169" s="291"/>
    </row>
    <row r="1170" spans="129:146" s="266" customFormat="1">
      <c r="DY1170" s="291"/>
      <c r="EC1170" s="291"/>
      <c r="EP1170" s="291"/>
    </row>
    <row r="1171" spans="129:146" s="266" customFormat="1">
      <c r="DY1171" s="291"/>
      <c r="EC1171" s="291"/>
      <c r="EP1171" s="291"/>
    </row>
    <row r="1172" spans="129:146" s="266" customFormat="1">
      <c r="DY1172" s="291"/>
      <c r="EC1172" s="291"/>
      <c r="EP1172" s="291"/>
    </row>
    <row r="1173" spans="129:146" s="266" customFormat="1">
      <c r="DY1173" s="291"/>
      <c r="EC1173" s="291"/>
      <c r="EP1173" s="291"/>
    </row>
    <row r="1174" spans="129:146" s="266" customFormat="1">
      <c r="DY1174" s="291"/>
      <c r="EC1174" s="291"/>
      <c r="EP1174" s="291"/>
    </row>
    <row r="1175" spans="129:146" s="266" customFormat="1">
      <c r="DY1175" s="291"/>
      <c r="EC1175" s="291"/>
      <c r="EP1175" s="291"/>
    </row>
    <row r="1176" spans="129:146" s="266" customFormat="1">
      <c r="DY1176" s="291"/>
      <c r="EC1176" s="291"/>
      <c r="EP1176" s="291"/>
    </row>
    <row r="1177" spans="129:146" s="266" customFormat="1">
      <c r="DY1177" s="291"/>
      <c r="EC1177" s="291"/>
      <c r="EP1177" s="291"/>
    </row>
    <row r="1178" spans="129:146" s="266" customFormat="1">
      <c r="DY1178" s="291"/>
      <c r="EC1178" s="291"/>
      <c r="EP1178" s="291"/>
    </row>
    <row r="1179" spans="129:146" s="266" customFormat="1">
      <c r="DY1179" s="291"/>
      <c r="EC1179" s="291"/>
      <c r="EP1179" s="291"/>
    </row>
    <row r="1180" spans="129:146" s="266" customFormat="1">
      <c r="DY1180" s="291"/>
      <c r="EC1180" s="291"/>
      <c r="EP1180" s="291"/>
    </row>
    <row r="1181" spans="129:146" s="266" customFormat="1">
      <c r="DY1181" s="291"/>
      <c r="EC1181" s="291"/>
      <c r="EP1181" s="291"/>
    </row>
    <row r="1182" spans="129:146" s="266" customFormat="1">
      <c r="DY1182" s="291"/>
      <c r="EC1182" s="291"/>
      <c r="EP1182" s="291"/>
    </row>
    <row r="1183" spans="129:146" s="266" customFormat="1">
      <c r="DY1183" s="291"/>
      <c r="EC1183" s="291"/>
      <c r="EP1183" s="291"/>
    </row>
    <row r="1184" spans="129:146" s="266" customFormat="1">
      <c r="DY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9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105"/>
  <sheetViews>
    <sheetView showGridLines="0" topLeftCell="H21" zoomScale="95" zoomScaleNormal="95" workbookViewId="0">
      <selection activeCell="K30" sqref="K30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1008" t="s">
        <v>1160</v>
      </c>
      <c r="C1" s="1105"/>
      <c r="D1" s="1009"/>
      <c r="E1" s="1009"/>
      <c r="F1" s="1218" t="s">
        <v>953</v>
      </c>
      <c r="G1" s="1219">
        <f ca="1">LnkTXTIRTEco</f>
        <v>0.14499999999999999</v>
      </c>
    </row>
    <row r="2" spans="2:19" ht="23.25" customHeight="1">
      <c r="B2" s="138" t="str">
        <f>CAPA!C9</f>
        <v>Certel</v>
      </c>
      <c r="C2" s="70"/>
      <c r="D2" s="70"/>
      <c r="E2" s="70"/>
      <c r="F2" s="121" t="s">
        <v>957</v>
      </c>
      <c r="G2" s="122">
        <f ca="1">LnkTXTIRTTotal</f>
        <v>7.5999999999999998E-2</v>
      </c>
    </row>
    <row r="3" spans="2:19" ht="16.5">
      <c r="B3" s="71" t="s">
        <v>761</v>
      </c>
      <c r="K3" s="71" t="s">
        <v>1161</v>
      </c>
      <c r="O3" s="9" t="s">
        <v>1162</v>
      </c>
    </row>
    <row r="4" spans="2:19">
      <c r="B4" s="1266" t="s">
        <v>855</v>
      </c>
      <c r="C4" s="1266" t="s">
        <v>773</v>
      </c>
      <c r="K4" s="1266" t="s">
        <v>975</v>
      </c>
      <c r="L4" s="1266" t="s">
        <v>772</v>
      </c>
      <c r="M4" s="1266" t="s">
        <v>978</v>
      </c>
      <c r="P4" s="68" t="s">
        <v>1163</v>
      </c>
    </row>
    <row r="5" spans="2:19">
      <c r="B5" s="1267" t="s">
        <v>1164</v>
      </c>
      <c r="C5" s="1268">
        <f ca="1">SUM(C6,C9)</f>
        <v>448090.0275398728</v>
      </c>
      <c r="K5" s="68" t="s">
        <v>858</v>
      </c>
      <c r="L5" s="93">
        <f ca="1">M5</f>
        <v>395242.39399999974</v>
      </c>
      <c r="M5" s="141">
        <f ca="1">FornecimentoE</f>
        <v>395242.39399999974</v>
      </c>
      <c r="P5" s="68" t="s">
        <v>1165</v>
      </c>
    </row>
    <row r="6" spans="2:19">
      <c r="B6" s="1269" t="s">
        <v>1166</v>
      </c>
      <c r="C6" s="1270">
        <f ca="1">SUM(C7:C8)</f>
        <v>395242.39399999974</v>
      </c>
      <c r="E6" s="1576">
        <f ca="1">C23/LnkTXTEV-1</f>
        <v>0.1337094257653777</v>
      </c>
      <c r="K6" s="68" t="s">
        <v>867</v>
      </c>
      <c r="L6" s="93">
        <f t="shared" ref="L6:L9" ca="1" si="0">M6</f>
        <v>0</v>
      </c>
      <c r="M6" s="141">
        <f ca="1">DSUM(MercadoBase,"TUSD_E",INDIRECT("Mercado_Criterio"&amp;Calc_Mercado!B17))</f>
        <v>0</v>
      </c>
      <c r="P6" s="68" t="s">
        <v>1167</v>
      </c>
    </row>
    <row r="7" spans="2:19">
      <c r="B7" s="145" t="s">
        <v>858</v>
      </c>
      <c r="C7" s="146">
        <f ca="1">M5</f>
        <v>395242.39399999974</v>
      </c>
      <c r="K7" s="68" t="s">
        <v>1168</v>
      </c>
      <c r="L7" s="93">
        <f t="shared" ca="1" si="0"/>
        <v>42518.079000000012</v>
      </c>
      <c r="M7" s="141">
        <f ca="1">LivreE</f>
        <v>42518.079000000012</v>
      </c>
      <c r="P7" s="68" t="s">
        <v>1169</v>
      </c>
    </row>
    <row r="8" spans="2:19">
      <c r="B8" s="145" t="s">
        <v>867</v>
      </c>
      <c r="C8" s="146">
        <f ca="1">M6</f>
        <v>0</v>
      </c>
      <c r="K8" s="68" t="s">
        <v>958</v>
      </c>
      <c r="L8" s="93">
        <f t="shared" ca="1" si="0"/>
        <v>0</v>
      </c>
      <c r="M8" s="141">
        <f ca="1">LivreE_A1</f>
        <v>0</v>
      </c>
      <c r="P8" s="68" t="s">
        <v>1170</v>
      </c>
    </row>
    <row r="9" spans="2:19">
      <c r="B9" s="1269" t="s">
        <v>1171</v>
      </c>
      <c r="C9" s="1270">
        <f ca="1">SUM(C10:C12)</f>
        <v>52847.633539873044</v>
      </c>
      <c r="K9" s="822" t="s">
        <v>1172</v>
      </c>
      <c r="L9" s="1709">
        <f t="shared" ca="1" si="0"/>
        <v>275195.12799999968</v>
      </c>
      <c r="M9" s="1271">
        <f ca="1">FornecimentoE_BT</f>
        <v>275195.12799999968</v>
      </c>
      <c r="P9" s="68" t="s">
        <v>1173</v>
      </c>
    </row>
    <row r="10" spans="2:19">
      <c r="B10" s="145" t="s">
        <v>1174</v>
      </c>
      <c r="C10" s="146">
        <f ca="1">N16+N17</f>
        <v>37236.426439873045</v>
      </c>
      <c r="J10" s="125"/>
      <c r="P10" s="79"/>
    </row>
    <row r="11" spans="2:19">
      <c r="B11" s="145" t="s">
        <v>1175</v>
      </c>
      <c r="C11" s="146">
        <f ca="1">N18</f>
        <v>1344.1249313099997</v>
      </c>
      <c r="K11" s="71" t="s">
        <v>1176</v>
      </c>
      <c r="L11" s="71"/>
      <c r="M11" s="126"/>
      <c r="P11" s="68" t="s">
        <v>1177</v>
      </c>
      <c r="Q11" s="504">
        <f ca="1">M20/(C6+M20)</f>
        <v>8.6109072053399932E-2</v>
      </c>
      <c r="R11" s="69">
        <f ca="1">Q11*($M$24+LnkTXTGPM)</f>
        <v>15949.961124210968</v>
      </c>
    </row>
    <row r="12" spans="2:19">
      <c r="B12" s="145" t="s">
        <v>1178</v>
      </c>
      <c r="C12" s="146">
        <f ca="1">N19</f>
        <v>14267.082168689998</v>
      </c>
      <c r="D12" s="72"/>
      <c r="F12" s="72"/>
      <c r="G12" s="127"/>
      <c r="K12" s="147" t="s">
        <v>855</v>
      </c>
      <c r="L12" s="147" t="s">
        <v>772</v>
      </c>
      <c r="M12" s="1272" t="s">
        <v>1179</v>
      </c>
      <c r="N12" s="1273" t="s">
        <v>29</v>
      </c>
      <c r="P12" s="68" t="s">
        <v>1180</v>
      </c>
      <c r="Q12" s="398">
        <v>0.1389</v>
      </c>
      <c r="R12" s="69"/>
      <c r="S12" s="142"/>
    </row>
    <row r="13" spans="2:19">
      <c r="B13" s="1274" t="s">
        <v>1181</v>
      </c>
      <c r="C13" s="1275">
        <f ca="1">IFERROR(E23,0)</f>
        <v>156.17922423348651</v>
      </c>
      <c r="D13" s="92"/>
      <c r="E13" s="92"/>
      <c r="F13" s="92"/>
      <c r="G13" s="92"/>
      <c r="K13" s="68" t="s">
        <v>1182</v>
      </c>
      <c r="M13" s="398">
        <f>CAPA!H30</f>
        <v>0</v>
      </c>
      <c r="N13" s="475">
        <f ca="1">IFERROR(IF($M$21&lt;$M$20,M13,($M$20/$M$21)*M13),0)</f>
        <v>0</v>
      </c>
      <c r="P13" s="68" t="s">
        <v>1183</v>
      </c>
      <c r="Q13" s="504">
        <f ca="1">IF(Q11&lt;Q12,Q11,(IF(Q11=0,0,Q11*0.75+Q12*0.25)))</f>
        <v>8.6109072053399932E-2</v>
      </c>
      <c r="R13" s="69">
        <f ca="1">($M$5+$M$6-$M$8)*Q13/(1-Q13)</f>
        <v>37240.719590000037</v>
      </c>
    </row>
    <row r="14" spans="2:19">
      <c r="B14" s="1276" t="s">
        <v>1184</v>
      </c>
      <c r="C14" s="1277">
        <f ca="1">C13*C5</f>
        <v>69982352.887938932</v>
      </c>
      <c r="D14" s="128"/>
      <c r="E14" s="128"/>
      <c r="F14" s="128"/>
      <c r="G14" s="129"/>
      <c r="K14" s="68" t="s">
        <v>1185</v>
      </c>
      <c r="L14" s="79">
        <v>8.1500000000000003E-2</v>
      </c>
      <c r="M14" s="398">
        <f>IF(CAPA!P1="verdadeiro",IF(CAPA!H29=0,CAPA!K34,CAPA!H29),CAPA!H41)</f>
        <v>8.6099999999999996E-2</v>
      </c>
      <c r="N14" s="398">
        <f ca="1">IFERROR(N17/((M5+M6-M8+N16)+N17),0)</f>
        <v>8.6099999999999996E-2</v>
      </c>
      <c r="P14" s="68" t="s">
        <v>1186</v>
      </c>
      <c r="Q14" s="504">
        <f ca="1">(M17+M16)/(M16+M17+M5+M6)</f>
        <v>8.6099999999999996E-2</v>
      </c>
      <c r="R14" s="69">
        <f ca="1">IF(CAPA!H33="",(M5+M6-M8)/(1-M14)*M14,CAPA!H33)+IF(CAPA!H34="",M13*M9,CAPA!H34)</f>
        <v>37236.426439873045</v>
      </c>
    </row>
    <row r="15" spans="2:19">
      <c r="E15" s="79"/>
      <c r="F15" s="72"/>
      <c r="G15" s="127"/>
      <c r="K15" s="822" t="s">
        <v>1187</v>
      </c>
      <c r="L15" s="1710">
        <v>0</v>
      </c>
      <c r="M15" s="1584">
        <f>IF(CAPA!H31=0,0,CAPA!H31)</f>
        <v>0</v>
      </c>
      <c r="N15" s="1585">
        <f ca="1">IFERROR(M22/(LnkTXTEV+N17+N16),0)</f>
        <v>3.6097044206978485E-2</v>
      </c>
      <c r="P15" s="68" t="s">
        <v>1188</v>
      </c>
      <c r="Q15" s="79">
        <f ca="1">IF(Q14&lt;Q13,Q14,Q13)</f>
        <v>8.6099999999999996E-2</v>
      </c>
      <c r="R15" s="69">
        <f ca="1">IF(R14&lt;R13,R14,R13)</f>
        <v>37236.426439873045</v>
      </c>
      <c r="S15" s="79">
        <f ca="1">R15/(M5+R15)</f>
        <v>8.6099999999999996E-2</v>
      </c>
    </row>
    <row r="16" spans="2:19">
      <c r="B16" s="130" t="s">
        <v>1189</v>
      </c>
      <c r="C16" s="131"/>
      <c r="D16" s="132"/>
      <c r="E16" s="132"/>
      <c r="F16" s="132"/>
      <c r="K16" s="1278" t="s">
        <v>1190</v>
      </c>
      <c r="L16" s="1278">
        <f ca="1">L9*L13</f>
        <v>0</v>
      </c>
      <c r="M16" s="1278">
        <f ca="1">IF(CAPA!H34="",M13*M9,CAPA!H34)</f>
        <v>0</v>
      </c>
      <c r="N16" s="476">
        <f ca="1">IF(CAPA!P1="verdadeiro",IF($M$21&lt;$M$20,M16,($M$20/$M$21)*M16),M16)</f>
        <v>0</v>
      </c>
      <c r="P16" s="142" t="s">
        <v>1191</v>
      </c>
      <c r="Q16" s="79">
        <f ca="1">IF(Q15&gt;Q12,Q12,Q15)</f>
        <v>8.6099999999999996E-2</v>
      </c>
      <c r="R16" s="69">
        <f ca="1">($M$5+$M$6-$M$8+R15)*Q16</f>
        <v>37236.426439873045</v>
      </c>
    </row>
    <row r="17" spans="1:23">
      <c r="B17" s="1266" t="s">
        <v>1192</v>
      </c>
      <c r="C17" s="1266" t="s">
        <v>1193</v>
      </c>
      <c r="D17" s="1266"/>
      <c r="E17" s="1266" t="s">
        <v>1194</v>
      </c>
      <c r="F17" s="1266" t="s">
        <v>1195</v>
      </c>
      <c r="K17" s="141" t="s">
        <v>1196</v>
      </c>
      <c r="L17" s="141">
        <f ca="1">IF([20]CAPA!H33="",(L5+L6-L8+L16)/(1-L14)*L14,[20]CAPA!H33)</f>
        <v>35070.500937397912</v>
      </c>
      <c r="M17" s="141">
        <f ca="1">IF(CAPA!H33="",(M5+M6-M8+M16)/(1-M14)*M14,CAPA!H33)</f>
        <v>37236.426439873045</v>
      </c>
      <c r="N17" s="476">
        <f ca="1">IF(CAPA!P1="verdadeiro",IF($M$21&lt;$M$20,M17,($M$20/$M$21)*M17),M17)+M23</f>
        <v>37236.426439873045</v>
      </c>
      <c r="O17" s="142"/>
      <c r="P17" s="68" t="s">
        <v>1197</v>
      </c>
      <c r="Q17" s="398">
        <f ca="1">Q15-Q16</f>
        <v>0</v>
      </c>
      <c r="R17" s="69">
        <f ca="1">R15-R16</f>
        <v>0</v>
      </c>
    </row>
    <row r="18" spans="1:23">
      <c r="B18" s="78" t="s">
        <v>271</v>
      </c>
      <c r="C18" s="796">
        <f ca="1">IFERROR(C70*O30,0)</f>
        <v>20249.868736240525</v>
      </c>
      <c r="D18" s="123"/>
      <c r="E18" s="123">
        <f>CAPA!E58</f>
        <v>213.16735529174946</v>
      </c>
      <c r="F18" s="77">
        <f ca="1">C18*E18</f>
        <v>4316610.9635094739</v>
      </c>
      <c r="G18" s="797"/>
      <c r="H18" s="799"/>
      <c r="I18" s="134"/>
      <c r="K18" s="141" t="s">
        <v>1175</v>
      </c>
      <c r="L18" s="141">
        <f ca="1">N18</f>
        <v>1344.1249313099997</v>
      </c>
      <c r="M18" s="476"/>
      <c r="N18" s="1632">
        <f ca="1">(N16+N17)*N15</f>
        <v>1344.1249313099997</v>
      </c>
      <c r="P18" s="68" t="s">
        <v>1198</v>
      </c>
      <c r="Q18" s="79">
        <f ca="1">R17/M9</f>
        <v>0</v>
      </c>
    </row>
    <row r="19" spans="1:23">
      <c r="B19" s="78" t="s">
        <v>47</v>
      </c>
      <c r="C19" s="256" cm="1">
        <f t="array" ref="C19">TabEnergiaProinfa[MWh]</f>
        <v>7485.8213413858921</v>
      </c>
      <c r="D19" s="89"/>
      <c r="E19" s="89">
        <v>0</v>
      </c>
      <c r="F19" s="77">
        <v>0</v>
      </c>
      <c r="G19" s="798"/>
      <c r="H19" s="799"/>
      <c r="K19" s="1271" t="s">
        <v>1178</v>
      </c>
      <c r="L19" s="1271">
        <f ca="1">N19</f>
        <v>14267.082168689998</v>
      </c>
      <c r="M19" s="1586"/>
      <c r="N19" s="1633">
        <f ca="1">(M5+M6)*N15</f>
        <v>14267.082168689998</v>
      </c>
      <c r="Q19" s="142"/>
    </row>
    <row r="20" spans="1:23">
      <c r="B20" s="78" t="str">
        <f>B63</f>
        <v>Angra</v>
      </c>
      <c r="C20" s="256">
        <f ca="1">C63*O30</f>
        <v>14500.259827171738</v>
      </c>
      <c r="D20" s="89"/>
      <c r="E20" s="89">
        <f>E63</f>
        <v>349.15</v>
      </c>
      <c r="F20" s="77">
        <f ca="1">E20*C20</f>
        <v>5062765.7186570121</v>
      </c>
      <c r="G20" s="798"/>
      <c r="H20" s="799"/>
      <c r="J20" s="134"/>
      <c r="K20" s="141" t="s">
        <v>1199</v>
      </c>
      <c r="L20" s="141"/>
      <c r="M20" s="141">
        <v>37240.719590000037</v>
      </c>
      <c r="N20" s="399"/>
      <c r="O20" s="142"/>
    </row>
    <row r="21" spans="1:23">
      <c r="B21" s="78" t="str">
        <f>B64</f>
        <v>CCGF</v>
      </c>
      <c r="C21" s="256">
        <f ca="1">(C64+C65)*O30</f>
        <v>101761.18971538321</v>
      </c>
      <c r="D21" s="89"/>
      <c r="E21" s="89">
        <f>SUM(F64:F65)/(C64+C65)</f>
        <v>145.41844748374891</v>
      </c>
      <c r="F21" s="77">
        <f ca="1">E21*C21</f>
        <v>14797954.222510263</v>
      </c>
      <c r="G21" s="798"/>
      <c r="H21" s="799"/>
      <c r="K21" s="1271" t="s">
        <v>1200</v>
      </c>
      <c r="L21" s="1271"/>
      <c r="M21" s="1271">
        <f ca="1">M16+M17</f>
        <v>37236.426439873045</v>
      </c>
      <c r="N21" s="1279"/>
    </row>
    <row r="22" spans="1:23">
      <c r="B22" s="78" t="s">
        <v>1201</v>
      </c>
      <c r="C22" s="256">
        <f ca="1">IF(J60=0,E35,(J48+J60))*O30</f>
        <v>304092.88791969151</v>
      </c>
      <c r="D22" s="89"/>
      <c r="E22" s="89">
        <f ca="1">IF(K60=0,H35,(N48+N60)/(M48+M60))</f>
        <v>150.62838955759773</v>
      </c>
      <c r="F22" s="77">
        <f ca="1">E22*C22</f>
        <v>45805021.983262196</v>
      </c>
      <c r="G22" s="798"/>
      <c r="H22" s="799"/>
      <c r="K22" s="68" t="s">
        <v>2195</v>
      </c>
      <c r="M22" s="1583">
        <f>SUMIFS(TabPerdaDIT[Valor],TabPerdaDIT[Dados de perda],"Perdas RB")</f>
        <v>15611.2071</v>
      </c>
    </row>
    <row r="23" spans="1:23">
      <c r="B23" s="1280" t="s">
        <v>1202</v>
      </c>
      <c r="C23" s="1281">
        <f ca="1">SUM(C18:C22)</f>
        <v>448090.02753987286</v>
      </c>
      <c r="D23" s="1282"/>
      <c r="E23" s="1282">
        <f ca="1">IF(SUM(C18:C22)=0,0,SUM(F18:F22)/SUM(C18:C22))</f>
        <v>156.17922423348651</v>
      </c>
      <c r="F23" s="1283">
        <f ca="1">SUM(F18:F22)</f>
        <v>69982352.887938946</v>
      </c>
      <c r="G23" s="798"/>
      <c r="H23" s="799"/>
      <c r="K23" s="68" t="s">
        <v>2303</v>
      </c>
      <c r="M23" s="1583">
        <f>SUMIFS(TabPerdaDIT[Valor],TabPerdaDIT[Dados de perda],"Perdas DITs")</f>
        <v>0</v>
      </c>
    </row>
    <row r="24" spans="1:23" ht="27.75" customHeight="1">
      <c r="F24" s="135"/>
      <c r="G24" s="798"/>
      <c r="H24" s="847"/>
      <c r="J24" s="72"/>
      <c r="K24" s="1284" t="s">
        <v>1203</v>
      </c>
      <c r="L24" s="1284"/>
      <c r="M24" s="1285">
        <f ca="1">SUMIF(CUSD!F6:F30,"Energia",CUSD!G6:G30)/1000-M7</f>
        <v>164979.87237999996</v>
      </c>
      <c r="N24" s="68">
        <f ca="1">LnkTXTEV</f>
        <v>395242.39399999974</v>
      </c>
    </row>
    <row r="25" spans="1:23">
      <c r="E25" s="93"/>
      <c r="F25" s="135"/>
      <c r="G25" s="127"/>
      <c r="H25" s="72"/>
      <c r="I25" s="72"/>
      <c r="J25" s="72"/>
      <c r="K25" s="1284" t="s">
        <v>879</v>
      </c>
      <c r="L25" s="1284"/>
      <c r="M25" s="1286">
        <f>E35+M26+C70</f>
        <v>229195.71984999999</v>
      </c>
      <c r="N25" s="781">
        <f ca="1">M24/M25-1</f>
        <v>-0.28017908673000924</v>
      </c>
    </row>
    <row r="26" spans="1:23">
      <c r="A26" s="74"/>
      <c r="B26" s="895" t="s">
        <v>2194</v>
      </c>
      <c r="F26" s="91"/>
      <c r="G26" s="72"/>
      <c r="H26" s="72"/>
      <c r="I26" s="72"/>
      <c r="K26" s="1284" t="s">
        <v>1204</v>
      </c>
      <c r="L26" s="1284"/>
      <c r="M26" s="1287">
        <f>SUMIFS(Faturas!V:V,Faturas!U:U,"Proinfa*")/1000</f>
        <v>4340.8032400000002</v>
      </c>
    </row>
    <row r="27" spans="1:23" ht="24" customHeight="1">
      <c r="B27" s="1288" t="s">
        <v>27</v>
      </c>
      <c r="C27" s="1288" t="s">
        <v>955</v>
      </c>
      <c r="D27" s="1288" t="s">
        <v>1205</v>
      </c>
      <c r="E27" s="1288" t="s">
        <v>978</v>
      </c>
      <c r="F27" s="1288" t="s">
        <v>1206</v>
      </c>
      <c r="G27" s="1289" t="s">
        <v>1207</v>
      </c>
      <c r="H27" s="1289" t="s">
        <v>1208</v>
      </c>
      <c r="I27" s="1289" t="s">
        <v>1209</v>
      </c>
      <c r="K27" s="130"/>
      <c r="L27" s="130"/>
      <c r="M27" s="843"/>
      <c r="N27" s="101"/>
      <c r="O27" s="101"/>
    </row>
    <row r="28" spans="1:23">
      <c r="A28" s="74" t="s">
        <v>2314</v>
      </c>
      <c r="B28" s="524" t="s">
        <v>2315</v>
      </c>
      <c r="C28" s="524" t="s">
        <v>215</v>
      </c>
      <c r="D28" s="524">
        <f>IF(B28="","",SUMIFS(Faturas!V:V,Faturas!U:U,"Consumo*",Faturas!S:S,Energia!C28,Faturas!R:R,Energia!B28))</f>
        <v>195763859.31</v>
      </c>
      <c r="E28" s="524">
        <f>IF(B28="","",D28/1000)</f>
        <v>195763.85931</v>
      </c>
      <c r="F28" s="616">
        <f>I28</f>
        <v>0.32969999999999999</v>
      </c>
      <c r="G28" s="525">
        <f>IFERROR(VLOOKUP(CONCATENATE(A28,A78),BD!$H$43:$S$59,12,FALSE),"")</f>
        <v>273.92</v>
      </c>
      <c r="H28" s="525">
        <f>IF(B28="","",IFERROR(G28*(1-F28),0))</f>
        <v>183.608576</v>
      </c>
      <c r="I28" s="523">
        <f>IF(A78="","",_xlfn.IFNA(VLOOKUP(CONCATENATE($B$2,A28,A78),DescontosTE[[#All],[chave]:[2021]],8,FALSE),0))</f>
        <v>0.32969999999999999</v>
      </c>
      <c r="K28" s="71" t="s">
        <v>1210</v>
      </c>
      <c r="L28" s="71"/>
      <c r="Q28" s="68" t="s">
        <v>978</v>
      </c>
      <c r="R28" s="68" t="s">
        <v>1206</v>
      </c>
      <c r="S28" s="68" t="s">
        <v>1207</v>
      </c>
      <c r="T28" s="68" t="s">
        <v>1208</v>
      </c>
      <c r="U28" s="68" t="s">
        <v>1209</v>
      </c>
    </row>
    <row r="29" spans="1:23" ht="16.5">
      <c r="A29" s="74" t="s">
        <v>2314</v>
      </c>
      <c r="B29" s="524" t="s">
        <v>2315</v>
      </c>
      <c r="C29" s="524" t="s">
        <v>2179</v>
      </c>
      <c r="D29" s="524">
        <f>IF(B29="","",SUMIFS(Faturas!V:V,Faturas!U:U,"Consumo*",Faturas!S:S,Energia!C29,Faturas!R:R,Energia!B29))</f>
        <v>7474599.3000000017</v>
      </c>
      <c r="E29" s="524">
        <f>IF(B29="","",D29/1000)</f>
        <v>7474.5993000000017</v>
      </c>
      <c r="F29" s="616">
        <f t="shared" ref="F29:F32" si="1">I29</f>
        <v>0.32969999999999999</v>
      </c>
      <c r="G29" s="525">
        <f>IFERROR(VLOOKUP(CONCATENATE(A29,A79),BD!$H$43:$S$59,12,FALSE),"")</f>
        <v>273.92</v>
      </c>
      <c r="H29" s="525">
        <f t="shared" ref="H29:H34" si="2">IF(B29="","",IFERROR(G29*(1-F29),0))</f>
        <v>183.608576</v>
      </c>
      <c r="I29" s="523">
        <f>IF(A79="","",_xlfn.IFNA(VLOOKUP(CONCATENATE($B$2,A29,A79),DescontosTE[[#All],[chave]:[2021]],8,FALSE),0))</f>
        <v>0.32969999999999999</v>
      </c>
      <c r="K29" s="1290" t="s">
        <v>22</v>
      </c>
      <c r="L29" s="1291"/>
      <c r="M29" s="1291" t="s">
        <v>1211</v>
      </c>
      <c r="N29" s="1291" t="s">
        <v>1212</v>
      </c>
      <c r="O29" s="1292" t="s">
        <v>1213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5">
        <f ca="1">IF(N30="","",IFERROR(S29*(1-R29),0))</f>
        <v>98.98848000000001</v>
      </c>
      <c r="U29" s="142">
        <f ca="1">T29*Q29</f>
        <v>8804025.801398363</v>
      </c>
      <c r="V29" s="68">
        <f>S29*Q29</f>
        <v>24333957.438912004</v>
      </c>
      <c r="W29" s="142">
        <f ca="1">V29-U29</f>
        <v>15529931.637513641</v>
      </c>
    </row>
    <row r="30" spans="1:23">
      <c r="A30" s="74"/>
      <c r="B30" s="524"/>
      <c r="C30" s="524"/>
      <c r="D30" s="524" t="str">
        <f>IF(B30="","",SUMIFS(Faturas!V:V,Faturas!U:U,"Consumo*",Faturas!S:S,Energia!C30,Faturas!R:R,Energia!B30))</f>
        <v/>
      </c>
      <c r="E30" s="524" t="str">
        <f>IF(B30="","",D30/1000)</f>
        <v/>
      </c>
      <c r="F30" s="616" t="str">
        <f t="shared" si="1"/>
        <v/>
      </c>
      <c r="G30" s="525" t="str">
        <f>IFERROR(VLOOKUP(CONCATENATE(A30,A80),BD!$H$43:$S$59,12,FALSE),"")</f>
        <v/>
      </c>
      <c r="H30" s="525" t="str">
        <f t="shared" si="2"/>
        <v/>
      </c>
      <c r="I30" s="523" t="str">
        <f>IF(A80="","",_xlfn.IFNA(VLOOKUP(CONCATENATE($B$2,A30,A80),DescontosTE[[#All],[chave]:[2021]],8,FALSE),0))</f>
        <v/>
      </c>
      <c r="K30" s="68" t="s">
        <v>1214</v>
      </c>
      <c r="M30" s="142">
        <f>IF(J60=0,E35,(J48+J60))+C63+C64+C65+C70</f>
        <v>470338.96574685449</v>
      </c>
      <c r="N30" s="93">
        <f ca="1">LnkTXTER-LnkTXTProinfa</f>
        <v>440604.20619848691</v>
      </c>
      <c r="O30" s="212">
        <f ca="1">N30/M30</f>
        <v>0.93678014854424929</v>
      </c>
      <c r="P30" s="130"/>
      <c r="Q30" s="68">
        <v>121096.97702999999</v>
      </c>
      <c r="R30" s="68">
        <v>0.63819999999999999</v>
      </c>
      <c r="S30" s="68">
        <v>273.60000000000002</v>
      </c>
      <c r="T30" s="525" t="str">
        <f>IF(J28="","",IFERROR(S30*(1-R30),0))</f>
        <v/>
      </c>
      <c r="U30" s="142" t="e">
        <f t="shared" ref="U30" si="3">T30*Q30</f>
        <v>#VALUE!</v>
      </c>
      <c r="V30" s="68">
        <f t="shared" ref="V30" si="4">S30*Q30</f>
        <v>33132132.915408</v>
      </c>
      <c r="W30" s="142" t="e">
        <f t="shared" ref="W30:W31" si="5">V30-U30</f>
        <v>#VALUE!</v>
      </c>
    </row>
    <row r="31" spans="1:23" ht="15.75">
      <c r="A31" s="74"/>
      <c r="B31" s="524"/>
      <c r="C31" s="524"/>
      <c r="D31" s="524" t="str">
        <f>IF(B31="","",SUMIFS(Faturas!V:V,Faturas!U:U,"Consumo*",Faturas!S:S,Energia!C31,Faturas!R:R,Energia!B31))</f>
        <v/>
      </c>
      <c r="E31" s="524" t="str">
        <f t="shared" ref="E31:E34" si="6">IF(B31="","",D31/1000)</f>
        <v/>
      </c>
      <c r="F31" s="616" t="str">
        <f t="shared" si="1"/>
        <v/>
      </c>
      <c r="G31" s="525" t="str">
        <f>IFERROR(VLOOKUP(CONCATENATE(A31,A81),BD!$H$43:$S$59,12,FALSE),"")</f>
        <v/>
      </c>
      <c r="H31" s="525" t="str">
        <f t="shared" si="2"/>
        <v/>
      </c>
      <c r="I31" s="523" t="str">
        <f>IF(A81="","",_xlfn.IFNA(VLOOKUP(CONCATENATE($B$2,A31,A81),DescontosTE[[#All],[chave]:[2021]],8,FALSE),0))</f>
        <v/>
      </c>
      <c r="K31" s="830"/>
      <c r="L31" s="830"/>
      <c r="M31" s="832"/>
      <c r="N31" s="831"/>
      <c r="O31" s="833"/>
      <c r="P31" s="130"/>
      <c r="Q31" s="68">
        <v>252593.90320000003</v>
      </c>
      <c r="R31" s="68">
        <v>0.53600000000000003</v>
      </c>
      <c r="S31" s="68">
        <v>273.60000000000002</v>
      </c>
      <c r="T31" s="525" t="str">
        <f>IF(J29="","",IFERROR(S31*(1-R31),0))</f>
        <v/>
      </c>
      <c r="U31" s="142" t="e">
        <f>T31*Q31</f>
        <v>#VALUE!</v>
      </c>
      <c r="V31" s="68">
        <f>S31*Q31</f>
        <v>69109691.915520012</v>
      </c>
      <c r="W31" s="142" t="e">
        <f t="shared" si="5"/>
        <v>#VALUE!</v>
      </c>
    </row>
    <row r="32" spans="1:23" ht="15.75">
      <c r="A32" s="74"/>
      <c r="B32" s="524"/>
      <c r="C32" s="524"/>
      <c r="D32" s="524" t="str">
        <f>IF(B32="","",SUMIFS(Faturas!V:V,Faturas!U:U,"Consumo*",Faturas!S:S,Energia!C32,Faturas!R:R,Energia!B32))</f>
        <v/>
      </c>
      <c r="E32" s="524" t="str">
        <f t="shared" si="6"/>
        <v/>
      </c>
      <c r="F32" s="616" t="str">
        <f t="shared" si="1"/>
        <v/>
      </c>
      <c r="G32" s="525" t="str">
        <f>IFERROR(VLOOKUP(CONCATENATE(A32,A82),BD!$H$43:$S$59,12,FALSE),"")</f>
        <v/>
      </c>
      <c r="H32" s="525" t="str">
        <f t="shared" si="2"/>
        <v/>
      </c>
      <c r="I32" s="523" t="str">
        <f>IF(A82="","",_xlfn.IFNA(VLOOKUP(CONCATENATE($B$2,A32,A82),DescontosTE[[#All],[chave]:[2021]],8,FALSE),0))</f>
        <v/>
      </c>
      <c r="K32" s="834"/>
      <c r="L32" s="834"/>
      <c r="M32" s="834"/>
      <c r="N32" s="834"/>
      <c r="O32" s="834"/>
      <c r="Q32" s="68" t="s">
        <v>138</v>
      </c>
      <c r="R32" s="68" t="s">
        <v>138</v>
      </c>
      <c r="S32" s="68" t="s">
        <v>138</v>
      </c>
      <c r="T32" s="68" t="s">
        <v>138</v>
      </c>
      <c r="U32" s="142" t="e">
        <f ca="1">SUM(U29:U31)</f>
        <v>#VALUE!</v>
      </c>
      <c r="W32" s="142" t="e">
        <f ca="1">SUM(W29:W31)</f>
        <v>#VALUE!</v>
      </c>
    </row>
    <row r="33" spans="1:23" ht="16.5" customHeight="1">
      <c r="A33" s="74"/>
      <c r="B33" s="524"/>
      <c r="C33" s="524"/>
      <c r="D33" s="524"/>
      <c r="E33" s="524" t="str">
        <f t="shared" si="6"/>
        <v/>
      </c>
      <c r="F33" s="616" t="str">
        <f t="shared" ref="F33:F34" si="7">IF(B33="","",I33)</f>
        <v/>
      </c>
      <c r="G33" s="525" t="str">
        <f>IFERROR(VLOOKUP(CONCATENATE(A33,A83),BD!$H$43:$S$59,12,FALSE),"")</f>
        <v/>
      </c>
      <c r="H33" s="525" t="str">
        <f t="shared" si="2"/>
        <v/>
      </c>
      <c r="I33" s="523" t="str">
        <f>IF(A83="","",_xlfn.IFNA(VLOOKUP(CONCATENATE($B$2,A33,A83),DescontosTE[[#All],[chave]:[2021]],8,FALSE),0))</f>
        <v/>
      </c>
      <c r="K33" s="835"/>
      <c r="L33" s="835"/>
      <c r="M33" s="836"/>
      <c r="N33" s="834"/>
      <c r="O33" s="832"/>
      <c r="P33" s="130"/>
      <c r="Q33" s="68" t="s">
        <v>138</v>
      </c>
      <c r="R33" s="68" t="s">
        <v>138</v>
      </c>
      <c r="S33" s="68" t="s">
        <v>138</v>
      </c>
      <c r="T33" s="68" t="s">
        <v>138</v>
      </c>
      <c r="U33" s="68">
        <v>20662164.890662618</v>
      </c>
      <c r="V33" s="68">
        <v>25993414.128396805</v>
      </c>
      <c r="W33" s="68">
        <f>V33-U33</f>
        <v>5331249.2377341874</v>
      </c>
    </row>
    <row r="34" spans="1:23" ht="18" customHeight="1">
      <c r="A34" s="74"/>
      <c r="B34" s="524"/>
      <c r="C34" s="524"/>
      <c r="D34" s="524" t="str">
        <f>IF(B34="","",SUMIFS(Faturas!V:V,Faturas!U:U,"Consumo*",Faturas!S:S,Energia!C34,Faturas!R:R,Energia!B34))</f>
        <v/>
      </c>
      <c r="E34" s="524" t="str">
        <f t="shared" si="6"/>
        <v/>
      </c>
      <c r="F34" s="616" t="str">
        <f t="shared" si="7"/>
        <v/>
      </c>
      <c r="G34" s="525" t="str">
        <f>IFERROR(VLOOKUP(CONCATENATE(A34,A84),BD!$H$43:$S$59,12,FALSE),"")</f>
        <v/>
      </c>
      <c r="H34" s="525" t="str">
        <f t="shared" si="2"/>
        <v/>
      </c>
      <c r="I34" s="523" t="str">
        <f>IF(A84="","",_xlfn.IFNA(VLOOKUP(CONCATENATE($B$2,A34,A84),DescontosTE[[#All],[chave]:[2021]],8,FALSE),0))</f>
        <v/>
      </c>
      <c r="K34" s="1705" t="s">
        <v>2376</v>
      </c>
      <c r="L34" s="1706"/>
      <c r="M34" s="982"/>
      <c r="N34" s="779"/>
      <c r="O34" s="101"/>
      <c r="P34" s="130"/>
      <c r="W34" s="142" t="e">
        <f ca="1">W32+W33</f>
        <v>#VALUE!</v>
      </c>
    </row>
    <row r="35" spans="1:23" ht="14.25" customHeight="1">
      <c r="A35" s="74"/>
      <c r="B35" s="761"/>
      <c r="C35" s="762"/>
      <c r="D35" s="763">
        <f>SUM(D28:D34)</f>
        <v>203238458.61000001</v>
      </c>
      <c r="E35" s="763">
        <f>SUM(E28:E34)</f>
        <v>203238.45861</v>
      </c>
      <c r="F35" s="760"/>
      <c r="G35" s="756">
        <f>IFERROR(SUMPRODUCT(G28:G34,E28:E34)/SUM(E28:E34),0)</f>
        <v>273.92000000000007</v>
      </c>
      <c r="H35" s="757">
        <f>IFERROR(SUMPRODUCT(H28:H34,E28:E34)/SUM(E28:E34),0)</f>
        <v>183.60857599999997</v>
      </c>
      <c r="I35" s="756"/>
      <c r="K35" s="1707" t="s">
        <v>2377</v>
      </c>
      <c r="L35" s="1708">
        <f ca="1">(L16+L17+L18+L19)/LnkTXTEV</f>
        <v>0.12822943289175084</v>
      </c>
      <c r="M35" s="779"/>
      <c r="N35" s="779"/>
      <c r="O35" s="780"/>
      <c r="P35" s="130"/>
      <c r="Q35" s="68" t="s">
        <v>138</v>
      </c>
      <c r="R35" s="68" t="s">
        <v>138</v>
      </c>
      <c r="S35" s="68" t="s">
        <v>138</v>
      </c>
      <c r="T35" s="68" t="s">
        <v>138</v>
      </c>
      <c r="U35" s="68" t="s">
        <v>138</v>
      </c>
    </row>
    <row r="36" spans="1:23" ht="24" customHeight="1">
      <c r="A36" s="74"/>
      <c r="C36" s="68"/>
      <c r="J36" s="74"/>
      <c r="O36" s="130"/>
    </row>
    <row r="37" spans="1:23" ht="24" customHeight="1">
      <c r="A37" s="74"/>
      <c r="B37" s="895" t="s">
        <v>2191</v>
      </c>
      <c r="C37" s="68"/>
      <c r="J37" s="74"/>
      <c r="O37" s="130"/>
    </row>
    <row r="38" spans="1:23" ht="24" customHeight="1">
      <c r="A38" s="74"/>
      <c r="C38" s="68"/>
      <c r="J38" s="74"/>
      <c r="O38" s="130"/>
    </row>
    <row r="39" spans="1:23" ht="24" customHeight="1">
      <c r="A39" s="74"/>
      <c r="B39" s="895" t="s">
        <v>2192</v>
      </c>
      <c r="C39" s="69"/>
      <c r="G39" s="137"/>
      <c r="O39" s="130"/>
    </row>
    <row r="40" spans="1:23" ht="24" customHeight="1">
      <c r="A40" s="74"/>
      <c r="B40" s="1293" t="s">
        <v>855</v>
      </c>
      <c r="C40" s="1294" t="s">
        <v>1215</v>
      </c>
      <c r="D40" s="1295"/>
      <c r="E40" s="1294" t="s">
        <v>62</v>
      </c>
      <c r="F40" s="1294" t="s">
        <v>61</v>
      </c>
      <c r="G40" s="1294" t="s">
        <v>1216</v>
      </c>
      <c r="H40" s="1294" t="s">
        <v>1217</v>
      </c>
      <c r="I40" s="1294" t="s">
        <v>1218</v>
      </c>
      <c r="J40" s="1294" t="s">
        <v>978</v>
      </c>
      <c r="K40" s="1294" t="s">
        <v>1219</v>
      </c>
      <c r="L40" s="1294" t="s">
        <v>1220</v>
      </c>
      <c r="M40" s="1294" t="s">
        <v>1221</v>
      </c>
      <c r="N40" s="1294" t="s">
        <v>1222</v>
      </c>
      <c r="O40" s="130"/>
    </row>
    <row r="41" spans="1:23" ht="24" customHeight="1">
      <c r="A41" s="74"/>
      <c r="B41" s="1577" t="s">
        <v>867</v>
      </c>
      <c r="C41" s="1577"/>
      <c r="D41" s="1577"/>
      <c r="E41" s="1578"/>
      <c r="F41" s="1579"/>
      <c r="G41" s="1580"/>
      <c r="H41" s="1581"/>
      <c r="I41" s="1656"/>
      <c r="J41" s="1577">
        <f>C104</f>
        <v>495.00000000000011</v>
      </c>
      <c r="K41" s="1582">
        <f>H35</f>
        <v>183.60857599999997</v>
      </c>
      <c r="L41" s="828">
        <f>IFERROR(J41*K41,0)</f>
        <v>90886.245120000007</v>
      </c>
      <c r="M41" s="837">
        <f t="shared" ref="M41:M47" ca="1" si="8">IFERROR(J41*$O$30,0)</f>
        <v>463.70617352940349</v>
      </c>
      <c r="N41" s="828">
        <f ca="1">IFERROR(K41*M41,0)</f>
        <v>85140.430204142656</v>
      </c>
      <c r="O41" s="130"/>
    </row>
    <row r="42" spans="1:23" ht="24" customHeight="1">
      <c r="A42" s="74"/>
      <c r="B42" s="1577"/>
      <c r="C42" s="1577"/>
      <c r="D42" s="1577"/>
      <c r="E42" s="1578"/>
      <c r="F42" s="1579"/>
      <c r="G42" s="1580"/>
      <c r="H42" s="1581"/>
      <c r="I42" s="1657"/>
      <c r="J42" s="1577"/>
      <c r="K42" s="1582">
        <f>IFERROR(E42*(VLOOKUP(EDATE(G42,-1),Índices!B5:F405,3,FALSE)/VLOOKUP(EDATE(F42,-1),Índices!B5:F405,3,FALSE)),0)</f>
        <v>0</v>
      </c>
      <c r="L42" s="828">
        <f>IFERROR(J42*K42,0)</f>
        <v>0</v>
      </c>
      <c r="M42" s="837">
        <f t="shared" ca="1" si="8"/>
        <v>0</v>
      </c>
      <c r="N42" s="828">
        <f ca="1">IFERROR(K42*M42,0)</f>
        <v>0</v>
      </c>
      <c r="O42" s="130"/>
    </row>
    <row r="43" spans="1:23" ht="24" customHeight="1">
      <c r="A43" s="74"/>
      <c r="B43" s="1577"/>
      <c r="C43" s="1577"/>
      <c r="D43" s="1577" t="s">
        <v>138</v>
      </c>
      <c r="E43" s="1578" t="str">
        <f t="shared" ref="E43:E47" si="9">IF(B43="","",D43/1000)</f>
        <v/>
      </c>
      <c r="F43" s="1579" t="str">
        <f>IF(B43="","",I43)</f>
        <v/>
      </c>
      <c r="G43" s="1580" t="s">
        <v>138</v>
      </c>
      <c r="H43" s="1581"/>
      <c r="I43" s="1656"/>
      <c r="J43" s="1577"/>
      <c r="K43" s="1582">
        <f>IFERROR(E43*(VLOOKUP(EDATE(G43,-1),Índices!B6:F406,3,FALSE)/VLOOKUP(EDATE(F43,-1),Índices!B6:F406,3,FALSE)),0)</f>
        <v>0</v>
      </c>
      <c r="L43" s="828">
        <f t="shared" ref="L43:L47" si="10">J43*K43</f>
        <v>0</v>
      </c>
      <c r="M43" s="837">
        <f t="shared" ca="1" si="8"/>
        <v>0</v>
      </c>
      <c r="N43" s="828">
        <f t="shared" ref="N43:N47" ca="1" si="11">K43*M43</f>
        <v>0</v>
      </c>
      <c r="O43" s="130"/>
    </row>
    <row r="44" spans="1:23" ht="24" customHeight="1">
      <c r="A44" s="74"/>
      <c r="B44" s="1577"/>
      <c r="C44" s="1577"/>
      <c r="D44" s="1577" t="s">
        <v>138</v>
      </c>
      <c r="E44" s="1578" t="str">
        <f t="shared" si="9"/>
        <v/>
      </c>
      <c r="F44" s="1579" t="str">
        <f>IF(B44="","",I44)</f>
        <v/>
      </c>
      <c r="G44" s="1580" t="s">
        <v>138</v>
      </c>
      <c r="H44" s="1581"/>
      <c r="I44" s="1656"/>
      <c r="J44" s="1577"/>
      <c r="K44" s="1582">
        <f>IFERROR(E44*(VLOOKUP(EDATE(G44,-1),Índices!B7:F407,3,FALSE)/VLOOKUP(EDATE(F44,-1),Índices!B7:F407,3,FALSE)),0)</f>
        <v>0</v>
      </c>
      <c r="L44" s="828">
        <f t="shared" si="10"/>
        <v>0</v>
      </c>
      <c r="M44" s="837">
        <f t="shared" ca="1" si="8"/>
        <v>0</v>
      </c>
      <c r="N44" s="828">
        <f ca="1">K44*M44</f>
        <v>0</v>
      </c>
      <c r="O44" s="130"/>
    </row>
    <row r="45" spans="1:23" ht="24" customHeight="1">
      <c r="A45" s="74"/>
      <c r="B45" s="1577"/>
      <c r="C45" s="1577"/>
      <c r="D45" s="1577" t="s">
        <v>138</v>
      </c>
      <c r="E45" s="1578" t="str">
        <f t="shared" si="9"/>
        <v/>
      </c>
      <c r="F45" s="1579" t="str">
        <f>IF(B45="","",I45)</f>
        <v/>
      </c>
      <c r="G45" s="1580" t="s">
        <v>138</v>
      </c>
      <c r="H45" s="1581"/>
      <c r="I45" s="1656"/>
      <c r="J45" s="1577"/>
      <c r="K45" s="1582">
        <f>IFERROR(E45*(VLOOKUP(EDATE(G45,-1),Índices!B8:F408,3,FALSE)/VLOOKUP(EDATE(F45,-1),Índices!B8:F408,3,FALSE)),0)</f>
        <v>0</v>
      </c>
      <c r="L45" s="828">
        <f t="shared" si="10"/>
        <v>0</v>
      </c>
      <c r="M45" s="837">
        <f t="shared" ca="1" si="8"/>
        <v>0</v>
      </c>
      <c r="N45" s="828">
        <f t="shared" ca="1" si="11"/>
        <v>0</v>
      </c>
      <c r="O45" s="130"/>
    </row>
    <row r="46" spans="1:23" ht="24" customHeight="1">
      <c r="A46" s="74"/>
      <c r="B46" s="1577"/>
      <c r="C46" s="1577"/>
      <c r="D46" s="1577" t="s">
        <v>138</v>
      </c>
      <c r="E46" s="1578" t="str">
        <f t="shared" si="9"/>
        <v/>
      </c>
      <c r="F46" s="1579" t="str">
        <f>IF(B46="","",I46)</f>
        <v/>
      </c>
      <c r="G46" s="1580" t="s">
        <v>138</v>
      </c>
      <c r="H46" s="1581"/>
      <c r="I46" s="1656"/>
      <c r="J46" s="1577"/>
      <c r="K46" s="1582">
        <f>IFERROR(E46*(VLOOKUP(EDATE(G46,-1),Índices!B9:F409,3,FALSE)/VLOOKUP(EDATE(F46,-1),Índices!B9:F409,3,FALSE)),0)</f>
        <v>0</v>
      </c>
      <c r="L46" s="828">
        <f t="shared" si="10"/>
        <v>0</v>
      </c>
      <c r="M46" s="837">
        <f t="shared" ca="1" si="8"/>
        <v>0</v>
      </c>
      <c r="N46" s="828">
        <f t="shared" ca="1" si="11"/>
        <v>0</v>
      </c>
      <c r="O46" s="130"/>
    </row>
    <row r="47" spans="1:23" ht="24" customHeight="1">
      <c r="A47" s="74"/>
      <c r="B47" s="1577"/>
      <c r="C47" s="1577"/>
      <c r="D47" s="1577" t="s">
        <v>138</v>
      </c>
      <c r="E47" s="1578" t="str">
        <f t="shared" si="9"/>
        <v/>
      </c>
      <c r="F47" s="1579" t="str">
        <f>IF(B47="","",I47)</f>
        <v/>
      </c>
      <c r="G47" s="1580" t="s">
        <v>138</v>
      </c>
      <c r="H47" s="1581"/>
      <c r="I47" s="1656"/>
      <c r="J47" s="1577"/>
      <c r="K47" s="1582">
        <f>IFERROR(E47*(VLOOKUP(EDATE(G47,-1),Índices!B10:F410,3,FALSE)/VLOOKUP(EDATE(F47,-1),Índices!B10:F410,3,FALSE)),0)</f>
        <v>0</v>
      </c>
      <c r="L47" s="828">
        <f t="shared" si="10"/>
        <v>0</v>
      </c>
      <c r="M47" s="837">
        <f t="shared" ca="1" si="8"/>
        <v>0</v>
      </c>
      <c r="N47" s="828">
        <f t="shared" ca="1" si="11"/>
        <v>0</v>
      </c>
      <c r="O47" s="130"/>
    </row>
    <row r="48" spans="1:23" ht="24" customHeight="1">
      <c r="A48" s="74"/>
      <c r="B48" s="1296" t="s">
        <v>846</v>
      </c>
      <c r="C48" s="1297"/>
      <c r="D48" s="1297"/>
      <c r="E48" s="1296"/>
      <c r="F48" s="1296"/>
      <c r="G48" s="1298"/>
      <c r="H48" s="1296"/>
      <c r="I48" s="1296"/>
      <c r="J48" s="1299">
        <f>SUM(J41:J47)</f>
        <v>495.00000000000011</v>
      </c>
      <c r="K48" s="1300">
        <f ca="1">IFERROR(SUMPRODUCT(K41:K47,M41:M47)/SUM(M41:M47),0)</f>
        <v>183.60857599999997</v>
      </c>
      <c r="L48" s="1296"/>
      <c r="M48" s="1301">
        <f ca="1">SUM(M41:M47)</f>
        <v>463.70617352940349</v>
      </c>
      <c r="N48" s="1301">
        <f ca="1">SUM(N41:N47)</f>
        <v>85140.430204142656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5" t="s">
        <v>2193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293" t="s">
        <v>855</v>
      </c>
      <c r="C52" s="1294" t="s">
        <v>1215</v>
      </c>
      <c r="D52" s="1295"/>
      <c r="E52" s="1294" t="s">
        <v>62</v>
      </c>
      <c r="F52" s="1294" t="s">
        <v>61</v>
      </c>
      <c r="G52" s="1294" t="s">
        <v>1216</v>
      </c>
      <c r="H52" s="1294" t="s">
        <v>1217</v>
      </c>
      <c r="I52" s="1294" t="s">
        <v>1218</v>
      </c>
      <c r="J52" s="1294" t="s">
        <v>978</v>
      </c>
      <c r="K52" s="1294" t="s">
        <v>1219</v>
      </c>
      <c r="L52" s="1294" t="s">
        <v>1220</v>
      </c>
      <c r="M52" s="1294" t="s">
        <v>1221</v>
      </c>
      <c r="N52" s="1294" t="s">
        <v>1222</v>
      </c>
      <c r="O52" s="130"/>
      <c r="V52" s="142" t="e">
        <f ca="1">W34-V51</f>
        <v>#VALUE!</v>
      </c>
    </row>
    <row r="53" spans="1:22" ht="18" customHeight="1">
      <c r="A53" s="74"/>
      <c r="B53" s="1577" t="s">
        <v>2331</v>
      </c>
      <c r="C53" s="1577"/>
      <c r="D53" s="1577"/>
      <c r="E53" s="1578">
        <v>133.80000000000001</v>
      </c>
      <c r="F53" s="1579">
        <v>44136</v>
      </c>
      <c r="G53" s="1580">
        <v>44562</v>
      </c>
      <c r="H53" s="1581">
        <v>37</v>
      </c>
      <c r="I53" s="1656">
        <v>365</v>
      </c>
      <c r="J53" s="1577">
        <f>H53*I53*24</f>
        <v>324120</v>
      </c>
      <c r="K53" s="1582">
        <f>IFERROR(E53*(VLOOKUP(EDATE(G53,-1),Índices!B5:D499,3,FALSE)/VLOOKUP(EDATE(F53,-1),Índices!B5:D499,3,FALSE)),0)</f>
        <v>150.57802181636302</v>
      </c>
      <c r="L53" s="828">
        <f>IFERROR(J53*K53,0)</f>
        <v>48805348.431119584</v>
      </c>
      <c r="M53" s="837">
        <f t="shared" ref="M53:M59" ca="1" si="12">IFERROR(J53*$O$30,0)</f>
        <v>303629.18174616207</v>
      </c>
      <c r="N53" s="828">
        <f ca="1">IFERROR(K53*M53,0)</f>
        <v>45719881.553058043</v>
      </c>
      <c r="O53" s="136"/>
    </row>
    <row r="54" spans="1:22">
      <c r="B54" s="1577"/>
      <c r="C54" s="1577"/>
      <c r="D54" s="1577"/>
      <c r="E54" s="1578"/>
      <c r="F54" s="1579"/>
      <c r="G54" s="1580"/>
      <c r="H54" s="1581"/>
      <c r="I54" s="1657"/>
      <c r="J54" s="1577"/>
      <c r="K54" s="1582">
        <f>IFERROR(E54*(VLOOKUP(EDATE(G54,-1),Índices!B6:D500,3,FALSE)/VLOOKUP(EDATE(F54,-1),Índices!B6:D500,3,FALSE)),0)</f>
        <v>0</v>
      </c>
      <c r="L54" s="828">
        <f>IFERROR(J54*K54,0)</f>
        <v>0</v>
      </c>
      <c r="M54" s="837">
        <f t="shared" ca="1" si="12"/>
        <v>0</v>
      </c>
      <c r="N54" s="828">
        <f ca="1">IFERROR(K54*M54,0)</f>
        <v>0</v>
      </c>
      <c r="V54" s="68">
        <v>7728827.6146981604</v>
      </c>
    </row>
    <row r="55" spans="1:22">
      <c r="B55" s="1577"/>
      <c r="C55" s="1577"/>
      <c r="D55" s="1577" t="s">
        <v>138</v>
      </c>
      <c r="E55" s="1578" t="str">
        <f t="shared" ref="E55:E59" si="13">IF(B55="","",D55/1000)</f>
        <v/>
      </c>
      <c r="F55" s="1579" t="str">
        <f>IF(B55="","",I55)</f>
        <v/>
      </c>
      <c r="G55" s="1580" t="s">
        <v>138</v>
      </c>
      <c r="H55" s="1581"/>
      <c r="I55" s="1656"/>
      <c r="J55" s="1577"/>
      <c r="K55" s="1582">
        <f>IFERROR(E55*(VLOOKUP(EDATE(G55,-1),Índices!B7:D501,3,FALSE)/VLOOKUP(EDATE(F55,-1),Índices!B7:D501,3,FALSE)),0)</f>
        <v>0</v>
      </c>
      <c r="L55" s="828">
        <f t="shared" ref="L55:L59" si="14">J55*K55</f>
        <v>0</v>
      </c>
      <c r="M55" s="837">
        <f t="shared" ca="1" si="12"/>
        <v>0</v>
      </c>
      <c r="N55" s="828">
        <f t="shared" ref="N55:N59" ca="1" si="15">K55*M55</f>
        <v>0</v>
      </c>
    </row>
    <row r="56" spans="1:22">
      <c r="B56" s="1577"/>
      <c r="C56" s="1577"/>
      <c r="D56" s="1577" t="s">
        <v>138</v>
      </c>
      <c r="E56" s="1578" t="str">
        <f t="shared" si="13"/>
        <v/>
      </c>
      <c r="F56" s="1579" t="str">
        <f>IF(B56="","",I56)</f>
        <v/>
      </c>
      <c r="G56" s="1580" t="s">
        <v>138</v>
      </c>
      <c r="H56" s="1581"/>
      <c r="I56" s="1656"/>
      <c r="J56" s="1577"/>
      <c r="K56" s="1582">
        <f>IFERROR(E56*(VLOOKUP(EDATE(G56,-1),Índices!B8:D502,3,FALSE)/VLOOKUP(EDATE(F56,-1),Índices!B8:D502,3,FALSE)),0)</f>
        <v>0</v>
      </c>
      <c r="L56" s="828">
        <f t="shared" si="14"/>
        <v>0</v>
      </c>
      <c r="M56" s="837">
        <f t="shared" ca="1" si="12"/>
        <v>0</v>
      </c>
      <c r="N56" s="828">
        <f t="shared" ca="1" si="15"/>
        <v>0</v>
      </c>
      <c r="V56" s="142" t="e">
        <f ca="1">V52+V54</f>
        <v>#VALUE!</v>
      </c>
    </row>
    <row r="57" spans="1:22">
      <c r="B57" s="1577"/>
      <c r="C57" s="1577"/>
      <c r="D57" s="1577" t="s">
        <v>138</v>
      </c>
      <c r="E57" s="1578" t="str">
        <f t="shared" si="13"/>
        <v/>
      </c>
      <c r="F57" s="1579" t="str">
        <f>IF(B57="","",I57)</f>
        <v/>
      </c>
      <c r="G57" s="1580" t="s">
        <v>138</v>
      </c>
      <c r="H57" s="1581"/>
      <c r="I57" s="1656"/>
      <c r="J57" s="1577"/>
      <c r="K57" s="1582">
        <f>IFERROR(E57*(VLOOKUP(EDATE(G57,-1),Índices!B9:D503,3,FALSE)/VLOOKUP(EDATE(F57,-1),Índices!B9:D503,3,FALSE)),0)</f>
        <v>0</v>
      </c>
      <c r="L57" s="828">
        <f t="shared" si="14"/>
        <v>0</v>
      </c>
      <c r="M57" s="837">
        <f t="shared" ca="1" si="12"/>
        <v>0</v>
      </c>
      <c r="N57" s="828">
        <f t="shared" ca="1" si="15"/>
        <v>0</v>
      </c>
    </row>
    <row r="58" spans="1:22">
      <c r="B58" s="1577"/>
      <c r="C58" s="1577"/>
      <c r="D58" s="1577" t="s">
        <v>138</v>
      </c>
      <c r="E58" s="1578" t="str">
        <f t="shared" si="13"/>
        <v/>
      </c>
      <c r="F58" s="1579" t="str">
        <f>IF(B58="","",I58)</f>
        <v/>
      </c>
      <c r="G58" s="1580" t="s">
        <v>138</v>
      </c>
      <c r="H58" s="1581"/>
      <c r="I58" s="1656"/>
      <c r="J58" s="1577"/>
      <c r="K58" s="1582">
        <f>IFERROR(E58*(VLOOKUP(EDATE(G58,-1),Índices!B10:D504,3,FALSE)/VLOOKUP(EDATE(F58,-1),Índices!B10:D504,3,FALSE)),0)</f>
        <v>0</v>
      </c>
      <c r="L58" s="828">
        <f t="shared" si="14"/>
        <v>0</v>
      </c>
      <c r="M58" s="837">
        <f t="shared" ca="1" si="12"/>
        <v>0</v>
      </c>
      <c r="N58" s="828">
        <f t="shared" ca="1" si="15"/>
        <v>0</v>
      </c>
    </row>
    <row r="59" spans="1:22">
      <c r="B59" s="1577"/>
      <c r="C59" s="1577"/>
      <c r="D59" s="1577" t="s">
        <v>138</v>
      </c>
      <c r="E59" s="1578" t="str">
        <f t="shared" si="13"/>
        <v/>
      </c>
      <c r="F59" s="1579" t="str">
        <f>IF(B59="","",I59)</f>
        <v/>
      </c>
      <c r="G59" s="1580" t="s">
        <v>138</v>
      </c>
      <c r="H59" s="1581"/>
      <c r="I59" s="1656"/>
      <c r="J59" s="1577"/>
      <c r="K59" s="1582">
        <f>IFERROR(E59*(VLOOKUP(EDATE(G59,-1),Índices!B11:D505,3,FALSE)/VLOOKUP(EDATE(F59,-1),Índices!B11:D505,3,FALSE)),0)</f>
        <v>0</v>
      </c>
      <c r="L59" s="828">
        <f t="shared" si="14"/>
        <v>0</v>
      </c>
      <c r="M59" s="837">
        <f t="shared" ca="1" si="12"/>
        <v>0</v>
      </c>
      <c r="N59" s="828">
        <f t="shared" ca="1" si="15"/>
        <v>0</v>
      </c>
    </row>
    <row r="60" spans="1:22">
      <c r="B60" s="1296" t="s">
        <v>846</v>
      </c>
      <c r="C60" s="1297"/>
      <c r="D60" s="1297"/>
      <c r="E60" s="1296"/>
      <c r="F60" s="1296"/>
      <c r="G60" s="1298"/>
      <c r="H60" s="1296"/>
      <c r="I60" s="1296"/>
      <c r="J60" s="1299">
        <f>SUM(J53:J59)</f>
        <v>324120</v>
      </c>
      <c r="K60" s="1300">
        <f ca="1">IFERROR(SUMPRODUCT(K53:K59,M53:M59)/SUM(M53:M59),0)</f>
        <v>150.57802181636302</v>
      </c>
      <c r="L60" s="1296"/>
      <c r="M60" s="1301">
        <f ca="1">SUM(M53:M59)</f>
        <v>303629.18174616207</v>
      </c>
      <c r="N60" s="1301">
        <f ca="1">SUM(N53:N59)</f>
        <v>45719881.553058043</v>
      </c>
    </row>
    <row r="61" spans="1:22">
      <c r="C61" s="424"/>
      <c r="D61" s="424"/>
      <c r="E61" s="424"/>
      <c r="K61" s="68" t="s">
        <v>2196</v>
      </c>
    </row>
    <row r="62" spans="1:22" ht="15.75">
      <c r="B62" s="1302" t="s">
        <v>1223</v>
      </c>
      <c r="C62" s="1303" t="s">
        <v>1224</v>
      </c>
      <c r="D62" s="1304"/>
      <c r="E62" s="1305" t="s">
        <v>1225</v>
      </c>
      <c r="F62" s="1305" t="s">
        <v>1226</v>
      </c>
      <c r="H62" s="1306" t="s">
        <v>1227</v>
      </c>
      <c r="I62" s="1307" t="s">
        <v>42</v>
      </c>
      <c r="J62" s="1308" t="s">
        <v>43</v>
      </c>
      <c r="K62" s="1309" t="s">
        <v>1195</v>
      </c>
    </row>
    <row r="63" spans="1:22" ht="15.75">
      <c r="B63" s="78" t="s">
        <v>1228</v>
      </c>
      <c r="C63" s="844">
        <f>IF(ISERROR(VLOOKUP("Angra",AngraCota[],5,FALSE)),0,VLOOKUP("Angra",AngraCota[],5,FALSE))</f>
        <v>15478.829103824472</v>
      </c>
      <c r="D63" s="845">
        <f t="shared" ref="D63:D65" si="16">E63</f>
        <v>349.15</v>
      </c>
      <c r="E63" s="827">
        <f>IFERROR(VLOOKUP("Angra",AngraCota[],4,FALSE),0)</f>
        <v>349.15</v>
      </c>
      <c r="F63" s="108">
        <f>C63*E63</f>
        <v>5404433.1816003136</v>
      </c>
      <c r="H63" s="1310" t="s">
        <v>1229</v>
      </c>
      <c r="I63" s="1311" cm="1">
        <f t="array" ref="I63">GSFRH[GSF previsto]</f>
        <v>0.88500000000000001</v>
      </c>
      <c r="J63" s="1312" cm="1">
        <f t="array" ref="J63">GSFRH[PLD]</f>
        <v>195.04</v>
      </c>
      <c r="K63" s="1313">
        <f>(J63*(1-I63)*(C64+C65))</f>
        <v>2436497.8104917067</v>
      </c>
    </row>
    <row r="64" spans="1:22" ht="15.75">
      <c r="B64" s="78" t="s">
        <v>1229</v>
      </c>
      <c r="C64" s="844">
        <f>BD!AE22</f>
        <v>47853.549271438562</v>
      </c>
      <c r="D64" s="845">
        <f t="shared" si="16"/>
        <v>152.35460767555463</v>
      </c>
      <c r="E64" s="827">
        <f>BD!AG22</f>
        <v>152.35460767555463</v>
      </c>
      <c r="F64" s="108">
        <f>C64*E64</f>
        <v>7290708.7251328453</v>
      </c>
      <c r="H64" s="838" t="s">
        <v>1230</v>
      </c>
      <c r="I64" s="839">
        <f>I63</f>
        <v>0.88500000000000001</v>
      </c>
      <c r="J64" s="840">
        <f>J63</f>
        <v>195.04</v>
      </c>
      <c r="K64" s="841"/>
    </row>
    <row r="65" spans="1:11" ht="15.75">
      <c r="B65" s="78" t="s">
        <v>1229</v>
      </c>
      <c r="C65" s="844">
        <f>BD!AE23</f>
        <v>60775.129371591487</v>
      </c>
      <c r="D65" s="845">
        <f t="shared" si="16"/>
        <v>139.9570048356594</v>
      </c>
      <c r="E65" s="827">
        <f>BD!AG23</f>
        <v>139.9570048356594</v>
      </c>
      <c r="F65" s="108">
        <f>C65*E65</f>
        <v>8505905.0753476564</v>
      </c>
      <c r="H65" s="842" t="s">
        <v>1231</v>
      </c>
      <c r="I65" s="839">
        <f>I64</f>
        <v>0.88500000000000001</v>
      </c>
      <c r="J65" s="840">
        <f>J64</f>
        <v>195.04</v>
      </c>
      <c r="K65" s="841">
        <f>(J65*(1-I65)*I68*K68*365*24)</f>
        <v>3592981.4164640112</v>
      </c>
    </row>
    <row r="66" spans="1:11" ht="15.75">
      <c r="B66" s="829"/>
      <c r="C66" s="829">
        <f>SUM(C63:C65)</f>
        <v>124107.50774685452</v>
      </c>
      <c r="D66" s="829"/>
      <c r="E66" s="829"/>
      <c r="F66" s="829">
        <f>SUM(F63:F65)</f>
        <v>21201046.982080817</v>
      </c>
      <c r="H66" s="823" t="s">
        <v>1232</v>
      </c>
      <c r="I66" s="1314"/>
      <c r="J66" s="1315"/>
      <c r="K66" s="1316">
        <f>SUM(K63:K65)</f>
        <v>6029479.2269557174</v>
      </c>
    </row>
    <row r="67" spans="1:11" ht="15.75">
      <c r="H67" s="1807" t="s">
        <v>45</v>
      </c>
      <c r="I67" s="1807"/>
      <c r="J67" s="1317"/>
      <c r="K67" s="1317" t="s">
        <v>44</v>
      </c>
    </row>
    <row r="68" spans="1:11" ht="15.75">
      <c r="C68" s="124">
        <f ca="1">+C64*O30</f>
        <v>44828.25499486777</v>
      </c>
      <c r="H68" s="824" t="str">
        <f>CAPA!C9</f>
        <v>Certel</v>
      </c>
      <c r="I68" s="846" cm="1">
        <f t="array" ref="I68">GSFRH[Fator de rateio]</f>
        <v>1.2406221000000001E-3</v>
      </c>
      <c r="J68" s="962">
        <f>J63</f>
        <v>195.04</v>
      </c>
      <c r="K68" s="825" cm="1">
        <f t="array" ref="K68">GSFRH[MWm repactuado]</f>
        <v>14739.74</v>
      </c>
    </row>
    <row r="69" spans="1:11" ht="15">
      <c r="B69" s="1302" t="s">
        <v>1233</v>
      </c>
      <c r="C69" s="1303" t="s">
        <v>1224</v>
      </c>
      <c r="D69" s="1304"/>
      <c r="E69" s="1305" t="s">
        <v>1225</v>
      </c>
      <c r="F69" s="1305" t="s">
        <v>1226</v>
      </c>
    </row>
    <row r="70" spans="1:11">
      <c r="B70" s="78" t="s">
        <v>1234</v>
      </c>
      <c r="C70" s="844">
        <v>21616.457999999999</v>
      </c>
      <c r="D70" s="845">
        <f t="shared" ref="D70" si="17">E70</f>
        <v>183.608576</v>
      </c>
      <c r="E70" s="1655">
        <f>H28</f>
        <v>183.608576</v>
      </c>
      <c r="F70" s="108">
        <f>C70*E70</f>
        <v>3968967.0715438076</v>
      </c>
    </row>
    <row r="71" spans="1:11">
      <c r="B71" s="78"/>
      <c r="C71" s="844"/>
      <c r="D71" s="845"/>
      <c r="E71" s="827"/>
      <c r="F71" s="108"/>
      <c r="J71" s="142"/>
    </row>
    <row r="72" spans="1:11">
      <c r="B72" s="829"/>
      <c r="C72" s="829">
        <f>SUM(C70:C71)</f>
        <v>21616.457999999999</v>
      </c>
      <c r="D72" s="829"/>
      <c r="E72" s="829"/>
      <c r="F72" s="829">
        <f>SUM(F70:F71)</f>
        <v>3968967.0715438076</v>
      </c>
      <c r="J72" s="142"/>
    </row>
    <row r="77" spans="1:11">
      <c r="A77" s="68" t="s">
        <v>1235</v>
      </c>
    </row>
    <row r="78" spans="1:11">
      <c r="A78" s="68" t="str">
        <f>TRIM(LEFT(C28,3))</f>
        <v>A3</v>
      </c>
    </row>
    <row r="79" spans="1:11">
      <c r="A79" s="68" t="str">
        <f t="shared" ref="A79:A84" si="18">TRIM(LEFT(C29,3))</f>
        <v>A4</v>
      </c>
    </row>
    <row r="80" spans="1:11">
      <c r="A80" s="68" t="str">
        <f t="shared" si="18"/>
        <v/>
      </c>
    </row>
    <row r="81" spans="1:4">
      <c r="A81" s="68" t="str">
        <f t="shared" si="18"/>
        <v/>
      </c>
    </row>
    <row r="82" spans="1:4">
      <c r="A82" s="68" t="str">
        <f t="shared" si="18"/>
        <v/>
      </c>
    </row>
    <row r="83" spans="1:4">
      <c r="A83" s="68" t="str">
        <f t="shared" si="18"/>
        <v/>
      </c>
    </row>
    <row r="84" spans="1:4">
      <c r="A84" s="68" t="str">
        <f t="shared" si="18"/>
        <v/>
      </c>
    </row>
    <row r="92" spans="1:4">
      <c r="B92" s="1711">
        <v>44743</v>
      </c>
      <c r="C92" s="1712">
        <v>40</v>
      </c>
    </row>
    <row r="93" spans="1:4">
      <c r="B93" s="1711">
        <v>44774</v>
      </c>
      <c r="C93" s="1713">
        <v>40</v>
      </c>
      <c r="D93" s="124"/>
    </row>
    <row r="94" spans="1:4">
      <c r="B94" s="1711">
        <v>44805</v>
      </c>
      <c r="C94" s="1713">
        <v>40</v>
      </c>
      <c r="D94" s="124"/>
    </row>
    <row r="95" spans="1:4">
      <c r="B95" s="1711">
        <v>44835</v>
      </c>
      <c r="C95" s="1713">
        <v>40</v>
      </c>
      <c r="D95" s="124"/>
    </row>
    <row r="96" spans="1:4">
      <c r="B96" s="1711">
        <v>44866</v>
      </c>
      <c r="C96" s="1713">
        <v>40</v>
      </c>
      <c r="D96" s="124"/>
    </row>
    <row r="97" spans="2:4">
      <c r="B97" s="1711">
        <v>44896</v>
      </c>
      <c r="C97" s="1713">
        <v>45</v>
      </c>
      <c r="D97" s="124"/>
    </row>
    <row r="98" spans="2:4">
      <c r="B98" s="1711">
        <v>44927</v>
      </c>
      <c r="C98" s="1713">
        <f>500/12</f>
        <v>41.666666666666664</v>
      </c>
      <c r="D98" s="124"/>
    </row>
    <row r="99" spans="2:4">
      <c r="B99" s="1711">
        <v>44958</v>
      </c>
      <c r="C99" s="1713">
        <f t="shared" ref="C99:C103" si="19">500/12</f>
        <v>41.666666666666664</v>
      </c>
      <c r="D99" s="124"/>
    </row>
    <row r="100" spans="2:4">
      <c r="B100" s="1711">
        <v>44986</v>
      </c>
      <c r="C100" s="1713">
        <f t="shared" si="19"/>
        <v>41.666666666666664</v>
      </c>
      <c r="D100" s="124"/>
    </row>
    <row r="101" spans="2:4">
      <c r="B101" s="1711">
        <v>45017</v>
      </c>
      <c r="C101" s="1713">
        <f t="shared" si="19"/>
        <v>41.666666666666664</v>
      </c>
      <c r="D101" s="124"/>
    </row>
    <row r="102" spans="2:4">
      <c r="B102" s="1711">
        <v>45047</v>
      </c>
      <c r="C102" s="1713">
        <f t="shared" si="19"/>
        <v>41.666666666666664</v>
      </c>
      <c r="D102" s="124"/>
    </row>
    <row r="103" spans="2:4">
      <c r="B103" s="1711">
        <v>45078</v>
      </c>
      <c r="C103" s="1713">
        <f t="shared" si="19"/>
        <v>41.666666666666664</v>
      </c>
      <c r="D103" s="124"/>
    </row>
    <row r="104" spans="2:4">
      <c r="B104" s="1711"/>
      <c r="C104" s="71">
        <f>SUM(C92:C103)</f>
        <v>495.00000000000011</v>
      </c>
      <c r="D104" s="124"/>
    </row>
    <row r="105" spans="2:4">
      <c r="C105" s="68"/>
    </row>
  </sheetData>
  <mergeCells count="1">
    <mergeCell ref="H67:I67"/>
  </mergeCells>
  <conditionalFormatting sqref="K13:N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Q32:AD33 Q34:V34 X34:AD34 P36:AC87 Q35:AD35 Q22:AB28 P23:P29 T21:AA21 N62:N1048576 U29:AB29 Q29:S31 U30:AD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Q32:AD33 Q34:V34 X34:AD34 P36:AC87 Q35:AD35 Q22:AB28 P23:P29 T21:AA21 N62:N1048576 U29:AB29 Q29:S31 U30:AD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Q32:AD33 Q34:V34 X34:AD34 P36:AC87 Q35:AD35 Q22:AB28 P23:P29 T15:AB19 T21:AA21 U12:AB14 N62:N1048576 U29:AB29 Q29:S31 U30:AD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Q32:AD33 Q34:V34 X34:AD34 P36:AC87 Q35:AD35 Q22:AB28 P23:P29 T21:AA21 T20:AC20 U12:AB14 N62:N1048576 U29:AB29 Q29:S31 U30:AD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B6FDE-1D29-4CEF-B6B0-7FDB87AF166F}">
  <sheetPr codeName="Planilha7"/>
  <dimension ref="B1:X29"/>
  <sheetViews>
    <sheetView showGridLines="0" workbookViewId="0">
      <selection activeCell="J5" sqref="J5"/>
    </sheetView>
  </sheetViews>
  <sheetFormatPr defaultRowHeight="12.75"/>
  <cols>
    <col min="1" max="1" width="3.7109375" style="1668" customWidth="1"/>
    <col min="2" max="2" width="11.42578125" style="1668" bestFit="1" customWidth="1"/>
    <col min="3" max="3" width="19.28515625" style="1668" customWidth="1"/>
    <col min="4" max="4" width="17.7109375" style="1668" customWidth="1"/>
    <col min="5" max="5" width="13.7109375" style="1668" customWidth="1"/>
    <col min="6" max="8" width="14.7109375" style="1668" customWidth="1"/>
    <col min="9" max="9" width="16.42578125" style="1668" customWidth="1"/>
    <col min="10" max="10" width="19.5703125" style="1668" customWidth="1"/>
    <col min="11" max="18" width="15.7109375" style="1668" customWidth="1"/>
    <col min="19" max="40" width="9" style="1668" customWidth="1"/>
    <col min="41" max="16384" width="9.140625" style="1668"/>
  </cols>
  <sheetData>
    <row r="1" spans="2:24" ht="14.1" customHeight="1"/>
    <row r="2" spans="2:24" ht="14.1" customHeight="1"/>
    <row r="3" spans="2:24" ht="42" customHeight="1">
      <c r="B3" s="1683" t="s">
        <v>2361</v>
      </c>
      <c r="C3" s="1697"/>
      <c r="D3" s="1682" t="s">
        <v>2360</v>
      </c>
      <c r="E3" s="1698" t="s">
        <v>2359</v>
      </c>
      <c r="F3" s="1697"/>
      <c r="G3" s="1682" t="s">
        <v>2358</v>
      </c>
      <c r="H3" s="1682" t="s">
        <v>2357</v>
      </c>
      <c r="I3" s="1682" t="s">
        <v>2356</v>
      </c>
      <c r="J3" s="1682" t="s">
        <v>2355</v>
      </c>
      <c r="K3" s="1682" t="s">
        <v>2354</v>
      </c>
      <c r="L3" s="1682" t="s">
        <v>2353</v>
      </c>
      <c r="M3" s="1682" t="s">
        <v>2352</v>
      </c>
      <c r="N3" s="1682" t="s">
        <v>2351</v>
      </c>
      <c r="O3" s="1682" t="s">
        <v>2350</v>
      </c>
      <c r="P3" s="1682" t="s">
        <v>2349</v>
      </c>
      <c r="Q3" s="1682" t="s">
        <v>2348</v>
      </c>
      <c r="R3" s="1696" t="s">
        <v>2347</v>
      </c>
    </row>
    <row r="4" spans="2:24" ht="14.1" customHeight="1">
      <c r="B4" s="1690" t="s">
        <v>2346</v>
      </c>
      <c r="C4" s="1690"/>
      <c r="D4" s="1690"/>
      <c r="E4" s="1695" t="s">
        <v>138</v>
      </c>
      <c r="F4" s="1694"/>
      <c r="G4" s="1690">
        <v>0</v>
      </c>
      <c r="H4" s="1693">
        <f>D4+G4</f>
        <v>0</v>
      </c>
      <c r="I4" s="1689">
        <f>+D6</f>
        <v>0</v>
      </c>
      <c r="J4" s="1689">
        <f>+F27*0</f>
        <v>0</v>
      </c>
      <c r="K4" s="1692"/>
      <c r="L4" s="1691">
        <f>K4*VLOOKUP(SAS_RA0_DataFim,[10]Índices!$B$6:$F$50000,5,0)/VLOOKUP(DATE(YEAR(SAS_RA0_DataFim)-2,MONTH([10]CAPA!C15),1),[10]Índices!$B$6:$F$50000,5,0)</f>
        <v>0</v>
      </c>
      <c r="M4" s="1690">
        <v>0</v>
      </c>
      <c r="N4" s="1689">
        <f>M4*VLOOKUP(SAS_RA0_DataFim,[10]Índices!$B$6:$F$50000,5,0)/VLOOKUP(DATE(YEAR(SAS_RA0_DataFim)-1,MONTH(SAS_RA0_DataFim),1),[10]Índices!$B$6:$F$50000,5,0)</f>
        <v>0</v>
      </c>
      <c r="O4" s="1689">
        <f>G27</f>
        <v>0</v>
      </c>
      <c r="P4" s="1689">
        <f>J4+L4+N4-O4</f>
        <v>0</v>
      </c>
      <c r="Q4" s="1689">
        <f>IF(I4*12&gt;(D4+K4+M4-P4),D4+K4+M4-P4,I4*12)*0</f>
        <v>0</v>
      </c>
      <c r="R4" s="1688">
        <f>P4+Q4</f>
        <v>0</v>
      </c>
    </row>
    <row r="5" spans="2:24" ht="14.1" customHeight="1"/>
    <row r="6" spans="2:24" ht="14.1" customHeight="1">
      <c r="B6" s="1687" t="s">
        <v>2345</v>
      </c>
      <c r="C6" s="1686"/>
      <c r="D6" s="1685"/>
      <c r="N6" s="1684"/>
    </row>
    <row r="7" spans="2:24" ht="14.1" customHeight="1"/>
    <row r="8" spans="2:24" ht="42" customHeight="1">
      <c r="B8" s="1683" t="s">
        <v>34</v>
      </c>
      <c r="C8" s="1682" t="s">
        <v>2344</v>
      </c>
      <c r="D8" s="1682" t="s">
        <v>2343</v>
      </c>
      <c r="E8" s="1682" t="s">
        <v>2342</v>
      </c>
      <c r="F8" s="1682" t="s">
        <v>2341</v>
      </c>
      <c r="G8" s="1682" t="s">
        <v>2340</v>
      </c>
      <c r="H8" s="1682" t="s">
        <v>2339</v>
      </c>
    </row>
    <row r="9" spans="2:24" ht="14.1" customHeight="1">
      <c r="B9" s="1675">
        <v>44105</v>
      </c>
      <c r="C9" s="1681"/>
      <c r="D9" s="1676"/>
      <c r="E9" s="1680"/>
      <c r="F9" s="1679">
        <f>C9*VLOOKUP(SAS_RA0_DataFim,[10]Índices!$B$6:$F$50000,5,0)/VLOOKUP(DATE(YEAR($B9),MONTH($B9)-1,1),[10]Índices!$B$6:$F$50000,5,0)</f>
        <v>0</v>
      </c>
      <c r="G9" s="1679">
        <f>D9*VLOOKUP(SAS_RA0_DataFim,[10]Índices!$B$6:$F$50000,5,0)/VLOOKUP(DATE(YEAR($B9),MONTH($B9)-1,1),[10]Índices!$B$6:$F$50000,5,0)</f>
        <v>0</v>
      </c>
      <c r="H9" s="1679">
        <f>E9*VLOOKUP(SAS_RA0_DataFim,[10]Índices!$B$6:$F$50000,5,0)/VLOOKUP(DATE(YEAR($B9),MONTH($B9)-1,1),[10]Índices!$B$6:$F$50000,5,0)</f>
        <v>0</v>
      </c>
    </row>
    <row r="10" spans="2:24" ht="14.1" customHeight="1">
      <c r="B10" s="1675">
        <v>44136</v>
      </c>
      <c r="C10" s="1677"/>
      <c r="D10" s="1676"/>
      <c r="E10" s="1672"/>
      <c r="F10" s="1671">
        <f>C10*VLOOKUP(SAS_RA0_DataFim,[10]Índices!$B$6:$F$50000,5,0)/VLOOKUP(DATE(YEAR($B10),MONTH($B10)-1,1),[10]Índices!$B$6:$F$50000,5,0)</f>
        <v>0</v>
      </c>
      <c r="G10" s="1671">
        <f>D10*VLOOKUP(SAS_RA0_DataFim,[10]Índices!$B$6:$F$50000,5,0)/VLOOKUP(DATE(YEAR($B10),MONTH($B10)-1,1),[10]Índices!$B$6:$F$50000,5,0)</f>
        <v>0</v>
      </c>
      <c r="H10" s="1671">
        <f>E10*VLOOKUP(SAS_RA0_DataFim,[10]Índices!$B$6:$F$50000,5,0)/VLOOKUP(DATE(YEAR($B10),MONTH($B10)-1,1),[10]Índices!$B$6:$F$50000,5,0)</f>
        <v>0</v>
      </c>
      <c r="X10" s="1678"/>
    </row>
    <row r="11" spans="2:24" ht="14.1" customHeight="1">
      <c r="B11" s="1675">
        <v>44166</v>
      </c>
      <c r="C11" s="1677"/>
      <c r="D11" s="1676"/>
      <c r="E11" s="1672"/>
      <c r="F11" s="1671">
        <f>C11*VLOOKUP(SAS_RA0_DataFim,[10]Índices!$B$6:$F$50000,5,0)/VLOOKUP(DATE(YEAR($B11),MONTH($B11)-1,1),[10]Índices!$B$6:$F$50000,5,0)</f>
        <v>0</v>
      </c>
      <c r="G11" s="1671">
        <f>D11*VLOOKUP(SAS_RA0_DataFim,[10]Índices!$B$6:$F$50000,5,0)/VLOOKUP(DATE(YEAR($B11),MONTH($B11)-1,1),[10]Índices!$B$6:$F$50000,5,0)</f>
        <v>0</v>
      </c>
      <c r="H11" s="1671">
        <f>E11*VLOOKUP(SAS_RA0_DataFim,[10]Índices!$B$6:$F$50000,5,0)/VLOOKUP(DATE(YEAR($B11),MONTH($B11)-1,1),[10]Índices!$B$6:$F$50000,5,0)</f>
        <v>0</v>
      </c>
    </row>
    <row r="12" spans="2:24" ht="14.1" customHeight="1">
      <c r="B12" s="1675">
        <v>44197</v>
      </c>
      <c r="C12" s="1677"/>
      <c r="D12" s="1676"/>
      <c r="E12" s="1672"/>
      <c r="F12" s="1671">
        <f>C12*VLOOKUP(SAS_RA0_DataFim,[10]Índices!$B$6:$F$50000,5,0)/VLOOKUP(DATE(YEAR($B12),MONTH($B12)-1,1),[10]Índices!$B$6:$F$50000,5,0)</f>
        <v>0</v>
      </c>
      <c r="G12" s="1671">
        <f>D12*VLOOKUP(SAS_RA0_DataFim,[10]Índices!$B$6:$F$50000,5,0)/VLOOKUP(DATE(YEAR($B12),MONTH($B12)-1,1),[10]Índices!$B$6:$F$50000,5,0)</f>
        <v>0</v>
      </c>
      <c r="H12" s="1671">
        <f>E12*VLOOKUP(SAS_RA0_DataFim,[10]Índices!$B$6:$F$50000,5,0)/VLOOKUP(DATE(YEAR($B12),MONTH($B12)-1,1),[10]Índices!$B$6:$F$50000,5,0)</f>
        <v>0</v>
      </c>
    </row>
    <row r="13" spans="2:24" ht="14.1" customHeight="1">
      <c r="B13" s="1675">
        <v>44228</v>
      </c>
      <c r="C13" s="1672"/>
      <c r="D13" s="1673"/>
      <c r="E13" s="1672"/>
      <c r="F13" s="1671">
        <f>C13*VLOOKUP(SAS_RA0_DataFim,[10]Índices!$B$6:$F$50000,5,0)/VLOOKUP(DATE(YEAR($B13),MONTH($B13)-1,1),[10]Índices!$B$6:$F$50000,5,0)</f>
        <v>0</v>
      </c>
      <c r="G13" s="1671">
        <f>D13*VLOOKUP(SAS_RA0_DataFim,[10]Índices!$B$6:$F$50000,5,0)/VLOOKUP(DATE(YEAR($B13),MONTH($B13)-1,1),[10]Índices!$B$6:$F$50000,5,0)</f>
        <v>0</v>
      </c>
      <c r="H13" s="1671">
        <f>E13*VLOOKUP(SAS_RA0_DataFim,[10]Índices!$B$6:$F$50000,5,0)/VLOOKUP(DATE(YEAR($B13),MONTH($B13)-1,1),[10]Índices!$B$6:$F$50000,5,0)</f>
        <v>0</v>
      </c>
    </row>
    <row r="14" spans="2:24" ht="14.1" customHeight="1">
      <c r="B14" s="1675">
        <v>44256</v>
      </c>
      <c r="C14" s="1674"/>
      <c r="D14" s="1673"/>
      <c r="E14" s="1672"/>
      <c r="F14" s="1671">
        <f>C14*VLOOKUP(SAS_RA0_DataFim,[10]Índices!$B$6:$F$50000,5,0)/VLOOKUP(DATE(YEAR($B14),MONTH($B14)-1,1),[10]Índices!$B$6:$F$50000,5,0)</f>
        <v>0</v>
      </c>
      <c r="G14" s="1671">
        <f>D14*VLOOKUP(SAS_RA0_DataFim,[10]Índices!$B$6:$F$50000,5,0)/VLOOKUP(DATE(YEAR($B14),MONTH($B14)-1,1),[10]Índices!$B$6:$F$50000,5,0)</f>
        <v>0</v>
      </c>
      <c r="H14" s="1671">
        <f>E14*VLOOKUP(SAS_RA0_DataFim,[10]Índices!$B$6:$F$50000,5,0)/VLOOKUP(DATE(YEAR($B14),MONTH($B14)-1,1),[10]Índices!$B$6:$F$50000,5,0)</f>
        <v>0</v>
      </c>
    </row>
    <row r="15" spans="2:24" ht="14.1" customHeight="1">
      <c r="B15" s="1675">
        <v>44287</v>
      </c>
      <c r="C15" s="1674"/>
      <c r="D15" s="1673"/>
      <c r="E15" s="1672"/>
      <c r="F15" s="1671">
        <f>C15*VLOOKUP(SAS_RA0_DataFim,[10]Índices!$B$6:$F$50000,5,0)/VLOOKUP(DATE(YEAR($B15),MONTH($B15)-1,1),[10]Índices!$B$6:$F$50000,5,0)</f>
        <v>0</v>
      </c>
      <c r="G15" s="1671">
        <f>D15*VLOOKUP(SAS_RA0_DataFim,[10]Índices!$B$6:$F$50000,5,0)/VLOOKUP(DATE(YEAR($B15),MONTH($B15)-1,1),[10]Índices!$B$6:$F$50000,5,0)</f>
        <v>0</v>
      </c>
      <c r="H15" s="1671">
        <f>E15*VLOOKUP(SAS_RA0_DataFim,[10]Índices!$B$6:$F$50000,5,0)/VLOOKUP(DATE(YEAR($B15),MONTH($B15)-1,1),[10]Índices!$B$6:$F$50000,5,0)</f>
        <v>0</v>
      </c>
    </row>
    <row r="16" spans="2:24" ht="14.1" customHeight="1">
      <c r="B16" s="1675">
        <v>44317</v>
      </c>
      <c r="C16" s="1674"/>
      <c r="D16" s="1673"/>
      <c r="E16" s="1672"/>
      <c r="F16" s="1671">
        <f>C16*VLOOKUP(SAS_RA0_DataFim,[10]Índices!$B$6:$F$50000,5,0)/VLOOKUP(DATE(YEAR($B16),MONTH($B16)-1,1),[10]Índices!$B$6:$F$50000,5,0)</f>
        <v>0</v>
      </c>
      <c r="G16" s="1671">
        <f>D16*VLOOKUP(SAS_RA0_DataFim,[10]Índices!$B$6:$F$50000,5,0)/VLOOKUP(DATE(YEAR($B16),MONTH($B16)-1,1),[10]Índices!$B$6:$F$50000,5,0)</f>
        <v>0</v>
      </c>
      <c r="H16" s="1671">
        <f>E16*VLOOKUP(SAS_RA0_DataFim,[10]Índices!$B$6:$F$50000,5,0)/VLOOKUP(DATE(YEAR($B16),MONTH($B16)-1,1),[10]Índices!$B$6:$F$50000,5,0)</f>
        <v>0</v>
      </c>
    </row>
    <row r="17" spans="2:8" ht="14.1" customHeight="1">
      <c r="B17" s="1675">
        <v>44348</v>
      </c>
      <c r="C17" s="1674"/>
      <c r="D17" s="1673"/>
      <c r="E17" s="1672"/>
      <c r="F17" s="1671">
        <f>C17*VLOOKUP(SAS_RA0_DataFim,[10]Índices!$B$6:$F$50000,5,0)/VLOOKUP(DATE(YEAR($B17),MONTH($B17)-1,1),[10]Índices!$B$6:$F$50000,5,0)</f>
        <v>0</v>
      </c>
      <c r="G17" s="1671">
        <f>D17*VLOOKUP(SAS_RA0_DataFim,[10]Índices!$B$6:$F$50000,5,0)/VLOOKUP(DATE(YEAR($B17),MONTH($B17)-1,1),[10]Índices!$B$6:$F$50000,5,0)</f>
        <v>0</v>
      </c>
      <c r="H17" s="1671">
        <f>E17*VLOOKUP(SAS_RA0_DataFim,[10]Índices!$B$6:$F$50000,5,0)/VLOOKUP(DATE(YEAR($B17),MONTH($B17)-1,1),[10]Índices!$B$6:$F$50000,5,0)</f>
        <v>0</v>
      </c>
    </row>
    <row r="18" spans="2:8" ht="14.1" customHeight="1">
      <c r="B18" s="1675">
        <v>44378</v>
      </c>
      <c r="C18" s="1674"/>
      <c r="D18" s="1673"/>
      <c r="E18" s="1672"/>
      <c r="F18" s="1671">
        <f>C18*VLOOKUP(SAS_RA0_DataFim,[10]Índices!$B$6:$F$50000,5,0)/VLOOKUP(DATE(YEAR($B18),MONTH($B18)-1,1),[10]Índices!$B$6:$F$50000,5,0)</f>
        <v>0</v>
      </c>
      <c r="G18" s="1671">
        <f>D18*VLOOKUP(SAS_RA0_DataFim,[10]Índices!$B$6:$F$50000,5,0)/VLOOKUP(DATE(YEAR($B18),MONTH($B18)-1,1),[10]Índices!$B$6:$F$50000,5,0)</f>
        <v>0</v>
      </c>
      <c r="H18" s="1671">
        <f>E18*VLOOKUP(SAS_RA0_DataFim,[10]Índices!$B$6:$F$50000,5,0)/VLOOKUP(DATE(YEAR($B18),MONTH($B18)-1,1),[10]Índices!$B$6:$F$50000,5,0)</f>
        <v>0</v>
      </c>
    </row>
    <row r="19" spans="2:8" ht="14.1" customHeight="1">
      <c r="B19" s="1675">
        <v>44409</v>
      </c>
      <c r="C19" s="1674"/>
      <c r="D19" s="1673"/>
      <c r="E19" s="1672"/>
      <c r="F19" s="1671">
        <f>C19*VLOOKUP(SAS_RA0_DataFim,[10]Índices!$B$6:$F$50000,5,0)/VLOOKUP(DATE(YEAR($B19),MONTH($B19)-1,1),[10]Índices!$B$6:$F$50000,5,0)</f>
        <v>0</v>
      </c>
      <c r="G19" s="1671">
        <f>D19*VLOOKUP(SAS_RA0_DataFim,[10]Índices!$B$6:$F$50000,5,0)/VLOOKUP(DATE(YEAR($B19),MONTH($B19)-1,1),[10]Índices!$B$6:$F$50000,5,0)</f>
        <v>0</v>
      </c>
      <c r="H19" s="1671">
        <f>E19*VLOOKUP(SAS_RA0_DataFim,[10]Índices!$B$6:$F$50000,5,0)/VLOOKUP(DATE(YEAR($B19),MONTH($B19)-1,1),[10]Índices!$B$6:$F$50000,5,0)</f>
        <v>0</v>
      </c>
    </row>
    <row r="20" spans="2:8" ht="14.1" customHeight="1">
      <c r="B20" s="1675">
        <v>44440</v>
      </c>
      <c r="C20" s="1674"/>
      <c r="D20" s="1673"/>
      <c r="E20" s="1672"/>
      <c r="F20" s="1671">
        <f>C20*VLOOKUP(SAS_RA0_DataFim,[10]Índices!$B$6:$F$50000,5,0)/VLOOKUP(DATE(YEAR($B20),MONTH($B20)-1,1),[10]Índices!$B$6:$F$50000,5,0)</f>
        <v>0</v>
      </c>
      <c r="G20" s="1671">
        <f>D20*VLOOKUP(SAS_RA0_DataFim,[10]Índices!$B$6:$F$50000,5,0)/VLOOKUP(DATE(YEAR($B20),MONTH($B20)-1,1),[10]Índices!$B$6:$F$50000,5,0)</f>
        <v>0</v>
      </c>
      <c r="H20" s="1671">
        <f>E20*VLOOKUP(SAS_RA0_DataFim,[10]Índices!$B$6:$F$50000,5,0)/VLOOKUP(DATE(YEAR($B20),MONTH($B20)-1,1),[10]Índices!$B$6:$F$50000,5,0)</f>
        <v>0</v>
      </c>
    </row>
    <row r="21" spans="2:8" ht="14.1" customHeight="1">
      <c r="B21" s="1675">
        <v>44470</v>
      </c>
      <c r="C21" s="1674"/>
      <c r="D21" s="1673"/>
      <c r="E21" s="1672"/>
      <c r="F21" s="1671">
        <f>C21*VLOOKUP(SAS_RA0_DataFim,[10]Índices!$B$6:$F$50000,5,0)/VLOOKUP(DATE(YEAR($B21),MONTH($B21)-1,1),[10]Índices!$B$6:$F$50000,5,0)</f>
        <v>0</v>
      </c>
      <c r="G21" s="1671">
        <f>D21*VLOOKUP(SAS_RA0_DataFim,[10]Índices!$B$6:$F$50000,5,0)/VLOOKUP(DATE(YEAR($B21),MONTH($B21)-1,1),[10]Índices!$B$6:$F$50000,5,0)</f>
        <v>0</v>
      </c>
      <c r="H21" s="1671">
        <f>E21*VLOOKUP(SAS_RA0_DataFim,[10]Índices!$B$6:$F$50000,5,0)/VLOOKUP(DATE(YEAR($B21),MONTH($B21)-1,1),[10]Índices!$B$6:$F$50000,5,0)</f>
        <v>0</v>
      </c>
    </row>
    <row r="22" spans="2:8" ht="14.1" customHeight="1">
      <c r="B22" s="1675">
        <v>44501</v>
      </c>
      <c r="C22" s="1674"/>
      <c r="D22" s="1673"/>
      <c r="E22" s="1672"/>
      <c r="F22" s="1671">
        <f>C22*VLOOKUP(SAS_RA0_DataFim,[10]Índices!$B$6:$F$50000,5,0)/VLOOKUP(DATE(YEAR($B22),MONTH($B22)-1,1),[10]Índices!$B$6:$F$50000,5,0)</f>
        <v>0</v>
      </c>
      <c r="G22" s="1671">
        <f>D22*VLOOKUP(SAS_RA0_DataFim,[10]Índices!$B$6:$F$50000,5,0)/VLOOKUP(DATE(YEAR($B22),MONTH($B22)-1,1),[10]Índices!$B$6:$F$50000,5,0)</f>
        <v>0</v>
      </c>
      <c r="H22" s="1671">
        <f>E22*VLOOKUP(SAS_RA0_DataFim,[10]Índices!$B$6:$F$50000,5,0)/VLOOKUP(DATE(YEAR($B22),MONTH($B22)-1,1),[10]Índices!$B$6:$F$50000,5,0)</f>
        <v>0</v>
      </c>
    </row>
    <row r="23" spans="2:8" ht="14.1" customHeight="1">
      <c r="B23" s="1675">
        <v>44531</v>
      </c>
      <c r="C23" s="1674"/>
      <c r="D23" s="1673"/>
      <c r="E23" s="1672"/>
      <c r="F23" s="1671">
        <f>C23*VLOOKUP(SAS_RA0_DataFim,[10]Índices!$B$6:$F$50000,5,0)/VLOOKUP(DATE(YEAR($B23),MONTH($B23)-1,1),[10]Índices!$B$6:$F$50000,5,0)</f>
        <v>0</v>
      </c>
      <c r="G23" s="1671">
        <f>D23*VLOOKUP(SAS_RA0_DataFim,[10]Índices!$B$6:$F$50000,5,0)/VLOOKUP(DATE(YEAR($B23),MONTH($B23)-1,1),[10]Índices!$B$6:$F$50000,5,0)</f>
        <v>0</v>
      </c>
      <c r="H23" s="1671">
        <f>E23*VLOOKUP(SAS_RA0_DataFim,[10]Índices!$B$6:$F$50000,5,0)/VLOOKUP(DATE(YEAR($B23),MONTH($B23)-1,1),[10]Índices!$B$6:$F$50000,5,0)</f>
        <v>0</v>
      </c>
    </row>
    <row r="24" spans="2:8" ht="14.1" customHeight="1">
      <c r="B24" s="1675">
        <v>44562</v>
      </c>
      <c r="C24" s="1674"/>
      <c r="D24" s="1673"/>
      <c r="E24" s="1672"/>
      <c r="F24" s="1671">
        <f>C24*VLOOKUP(SAS_RA0_DataFim,[10]Índices!$B$6:$F$50000,5,0)/VLOOKUP(DATE(YEAR($B24),MONTH($B24)-1,1),[10]Índices!$B$6:$F$50000,5,0)</f>
        <v>0</v>
      </c>
      <c r="G24" s="1671">
        <f>D24*VLOOKUP(SAS_RA0_DataFim,[10]Índices!$B$6:$F$50000,5,0)/VLOOKUP(DATE(YEAR($B24),MONTH($B24)-1,1),[10]Índices!$B$6:$F$50000,5,0)</f>
        <v>0</v>
      </c>
      <c r="H24" s="1671">
        <f>E24*VLOOKUP(SAS_RA0_DataFim,[10]Índices!$B$6:$F$50000,5,0)/VLOOKUP(DATE(YEAR($B24),MONTH($B24)-1,1),[10]Índices!$B$6:$F$50000,5,0)</f>
        <v>0</v>
      </c>
    </row>
    <row r="25" spans="2:8" ht="14.1" customHeight="1">
      <c r="B25" s="1675">
        <v>44593</v>
      </c>
      <c r="C25" s="1674">
        <v>8114091.8499999996</v>
      </c>
      <c r="D25" s="1673"/>
      <c r="E25" s="1672"/>
      <c r="F25" s="1671">
        <f>C25*VLOOKUP(SAS_RA0_DataFim,[10]Índices!$B$6:$F$50000,5,0)/VLOOKUP(DATE(YEAR($B25),MONTH($B25)-1,1),[10]Índices!$B$6:$F$50000,5,0)</f>
        <v>8491413.5825381931</v>
      </c>
      <c r="G25" s="1671">
        <f>D25*VLOOKUP(SAS_RA0_DataFim,[10]Índices!$B$6:$F$50000,5,0)/VLOOKUP(DATE(YEAR($B25),MONTH($B25)-1,1),[10]Índices!$B$6:$F$50000,5,0)</f>
        <v>0</v>
      </c>
      <c r="H25" s="1671">
        <f>E25*VLOOKUP(SAS_RA0_DataFim,[10]Índices!$B$6:$F$50000,5,0)/VLOOKUP(DATE(YEAR($B25),MONTH($B25)-1,1),[10]Índices!$B$6:$F$50000,5,0)</f>
        <v>0</v>
      </c>
    </row>
    <row r="26" spans="2:8" ht="14.1" customHeight="1">
      <c r="B26" s="1675">
        <v>44621</v>
      </c>
      <c r="C26" s="1674"/>
      <c r="D26" s="1673"/>
      <c r="E26" s="1672"/>
      <c r="F26" s="1671">
        <f>C26*VLOOKUP(SAS_RA0_DataFim,[10]Índices!$B$6:$F$50000,5,0)/VLOOKUP(DATE(YEAR($B26),MONTH($B26)-1,1),[10]Índices!$B$6:$F$50000,5,0)</f>
        <v>0</v>
      </c>
      <c r="G26" s="1671">
        <f>D26*VLOOKUP(SAS_RA0_DataFim,[10]Índices!$B$6:$F$50000,5,0)/VLOOKUP(DATE(YEAR($B26),MONTH($B26)-1,1),[10]Índices!$B$6:$F$50000,5,0)</f>
        <v>0</v>
      </c>
      <c r="H26" s="1671">
        <f>E26*VLOOKUP(SAS_RA0_DataFim,[10]Índices!$B$6:$F$50000,5,0)/VLOOKUP(DATE(YEAR($B26),MONTH($B26)-1,1),[10]Índices!$B$6:$F$50000,5,0)</f>
        <v>0</v>
      </c>
    </row>
    <row r="27" spans="2:8" ht="14.1" customHeight="1">
      <c r="B27" s="1670" t="s">
        <v>837</v>
      </c>
      <c r="C27" s="1669">
        <f t="shared" ref="C27:H27" si="0">SUM(C9:C26)</f>
        <v>8114091.8499999996</v>
      </c>
      <c r="D27" s="1669">
        <f t="shared" si="0"/>
        <v>0</v>
      </c>
      <c r="E27" s="1669">
        <f t="shared" si="0"/>
        <v>0</v>
      </c>
      <c r="F27" s="1669">
        <f t="shared" si="0"/>
        <v>8491413.5825381931</v>
      </c>
      <c r="G27" s="1669">
        <f t="shared" si="0"/>
        <v>0</v>
      </c>
      <c r="H27" s="1669">
        <f t="shared" si="0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topLeftCell="A4" zoomScale="90" zoomScaleNormal="90" workbookViewId="0">
      <selection activeCell="E18" sqref="E18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18" t="s">
        <v>705</v>
      </c>
      <c r="C1" s="1105">
        <f>Resultado!C1</f>
        <v>0</v>
      </c>
      <c r="D1" s="1319"/>
      <c r="E1" s="1320"/>
      <c r="F1" s="1321"/>
      <c r="G1" s="1218" t="s">
        <v>953</v>
      </c>
      <c r="H1" s="1322">
        <f ca="1">LnkTXTIRTEco</f>
        <v>0.14499999999999999</v>
      </c>
    </row>
    <row r="2" spans="2:27">
      <c r="B2" s="138" t="str">
        <f>CAPA!C9</f>
        <v>Certel</v>
      </c>
      <c r="C2" s="70"/>
      <c r="D2" s="70"/>
      <c r="G2" s="121" t="s">
        <v>957</v>
      </c>
      <c r="H2" s="148">
        <f ca="1">LnkTXTIRTTotal</f>
        <v>7.5999999999999998E-2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23" t="s">
        <v>1236</v>
      </c>
      <c r="C6" s="1323"/>
      <c r="D6" s="1323"/>
      <c r="E6" s="1323"/>
      <c r="F6" s="1323"/>
      <c r="G6" s="1323"/>
      <c r="H6" s="1323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24" t="s">
        <v>855</v>
      </c>
      <c r="C8" s="1324" t="s">
        <v>1237</v>
      </c>
      <c r="D8" s="1324" t="s">
        <v>1238</v>
      </c>
      <c r="E8" s="1324" t="s">
        <v>1239</v>
      </c>
      <c r="H8" s="152"/>
    </row>
    <row r="9" spans="2:27">
      <c r="B9" s="158" t="s">
        <v>973</v>
      </c>
      <c r="C9" s="181">
        <f>SUMIFS($M$18:$M$63,$D$18:$D$63,"Ponta")</f>
        <v>960</v>
      </c>
      <c r="D9" s="181">
        <f>SUMIFS($J$18:$J$63,$D$18:$D$63,"Ponta")</f>
        <v>6998400</v>
      </c>
      <c r="E9" s="181">
        <f>SUMIFS($L$18:$L$63,$D$18:$D$63,"Ponta")</f>
        <v>1234560</v>
      </c>
    </row>
    <row r="10" spans="2:27">
      <c r="B10" s="1325" t="s">
        <v>1240</v>
      </c>
      <c r="C10" s="1326">
        <f>SUMIFS($M$18:$M$63,$D$18:$D$63,"Fora Ponta")</f>
        <v>960</v>
      </c>
      <c r="D10" s="1326">
        <f>SUMIFS($J$18:$J$63,$D$18:$D$63,"Fora Ponta")</f>
        <v>7565760</v>
      </c>
      <c r="E10" s="1326">
        <f>SUMIFS($L$18:$L$63,$D$18:$D$63,"Fora Ponta")</f>
        <v>1234560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27" t="s">
        <v>1241</v>
      </c>
      <c r="G14" s="1328"/>
      <c r="H14" s="1328"/>
      <c r="I14" s="1328"/>
      <c r="J14" s="1328"/>
      <c r="K14" s="1328"/>
      <c r="L14" s="1328"/>
      <c r="M14" s="1328"/>
      <c r="N14" s="1328"/>
      <c r="O14" s="1328"/>
      <c r="P14" s="1328"/>
      <c r="Q14" s="1328"/>
      <c r="R14" s="1329"/>
    </row>
    <row r="15" spans="2:27">
      <c r="B15" s="1813" t="s">
        <v>1242</v>
      </c>
      <c r="C15" s="1814" t="s">
        <v>1243</v>
      </c>
      <c r="D15" s="1815" t="s">
        <v>78</v>
      </c>
      <c r="E15" s="1816" t="s">
        <v>1244</v>
      </c>
      <c r="F15" s="1816"/>
      <c r="G15" s="1816"/>
      <c r="H15" s="1817"/>
      <c r="I15" s="1818" t="s">
        <v>1245</v>
      </c>
      <c r="J15" s="1819"/>
      <c r="K15" s="1819"/>
      <c r="L15" s="1819"/>
      <c r="M15" s="1820" t="s">
        <v>1246</v>
      </c>
      <c r="N15" s="1821"/>
      <c r="O15" s="1821"/>
      <c r="P15" s="1821"/>
      <c r="Q15" s="1821"/>
      <c r="R15" s="1821"/>
      <c r="S15" s="1821"/>
      <c r="T15" s="1821"/>
      <c r="U15" s="1821"/>
      <c r="V15" s="1821"/>
      <c r="W15" s="1821"/>
      <c r="X15" s="1821"/>
      <c r="Y15" s="1821"/>
      <c r="Z15" s="65"/>
      <c r="AA15" s="387"/>
    </row>
    <row r="16" spans="2:27">
      <c r="B16" s="1813"/>
      <c r="C16" s="1814"/>
      <c r="D16" s="1815"/>
      <c r="E16" s="1824" t="s">
        <v>123</v>
      </c>
      <c r="F16" s="1825"/>
      <c r="G16" s="1825" t="s">
        <v>1247</v>
      </c>
      <c r="H16" s="1826"/>
      <c r="I16" s="1827" t="s">
        <v>123</v>
      </c>
      <c r="J16" s="1828"/>
      <c r="K16" s="1828" t="s">
        <v>1247</v>
      </c>
      <c r="L16" s="1829"/>
      <c r="M16" s="1822"/>
      <c r="N16" s="1823"/>
      <c r="O16" s="1823"/>
      <c r="P16" s="1823"/>
      <c r="Q16" s="1823"/>
      <c r="R16" s="1823"/>
      <c r="S16" s="1823"/>
      <c r="T16" s="1823"/>
      <c r="U16" s="1823"/>
      <c r="V16" s="1823"/>
      <c r="W16" s="1823"/>
      <c r="X16" s="1823"/>
      <c r="Y16" s="1823"/>
      <c r="Z16" s="65"/>
      <c r="AA16" s="387"/>
    </row>
    <row r="17" spans="2:27">
      <c r="B17" s="1813"/>
      <c r="C17" s="1814"/>
      <c r="D17" s="1815"/>
      <c r="E17" s="388" t="s">
        <v>772</v>
      </c>
      <c r="F17" s="389" t="s">
        <v>773</v>
      </c>
      <c r="G17" s="389" t="s">
        <v>772</v>
      </c>
      <c r="H17" s="390" t="s">
        <v>773</v>
      </c>
      <c r="I17" s="391" t="s">
        <v>772</v>
      </c>
      <c r="J17" s="392" t="s">
        <v>773</v>
      </c>
      <c r="K17" s="392" t="s">
        <v>772</v>
      </c>
      <c r="L17" s="392" t="s">
        <v>773</v>
      </c>
      <c r="M17" s="393" t="s">
        <v>846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859</v>
      </c>
    </row>
    <row r="18" spans="2:27">
      <c r="B18" s="1330" t="str">
        <f>RBBD!B3</f>
        <v>LAJEADO 3 - 69 kV (A)</v>
      </c>
      <c r="C18" s="1330" t="str">
        <f>RBBD!C3</f>
        <v>69</v>
      </c>
      <c r="D18" s="1330" t="str">
        <f>RBBD!D3</f>
        <v>Ponta</v>
      </c>
      <c r="E18" s="1667">
        <v>4967</v>
      </c>
      <c r="F18" s="1330">
        <f>RBBD!F3</f>
        <v>7290</v>
      </c>
      <c r="G18" s="1667">
        <v>1152</v>
      </c>
      <c r="H18" s="1330">
        <f>RBBD!H3</f>
        <v>1286</v>
      </c>
      <c r="I18" s="1330">
        <f>E18*$M18</f>
        <v>4768320</v>
      </c>
      <c r="J18" s="1330">
        <f>F18*$M18</f>
        <v>6998400</v>
      </c>
      <c r="K18" s="1330">
        <f>G18*$M18</f>
        <v>1105920</v>
      </c>
      <c r="L18" s="1330">
        <f>H18*$M18</f>
        <v>1234560</v>
      </c>
      <c r="M18" s="1330">
        <f>SUM(N18:Y18)</f>
        <v>960</v>
      </c>
      <c r="N18" s="1330">
        <f>RBBD!I3</f>
        <v>80</v>
      </c>
      <c r="O18" s="1330">
        <f>RBBD!J3</f>
        <v>80</v>
      </c>
      <c r="P18" s="1330">
        <f>RBBD!K3</f>
        <v>80</v>
      </c>
      <c r="Q18" s="1330">
        <f>RBBD!L3</f>
        <v>80</v>
      </c>
      <c r="R18" s="1330">
        <f>RBBD!M3</f>
        <v>80</v>
      </c>
      <c r="S18" s="1330">
        <f>RBBD!N3</f>
        <v>80</v>
      </c>
      <c r="T18" s="1330">
        <f>RBBD!O3</f>
        <v>80</v>
      </c>
      <c r="U18" s="1330">
        <f>RBBD!P3</f>
        <v>80</v>
      </c>
      <c r="V18" s="1330">
        <f>RBBD!Q3</f>
        <v>80</v>
      </c>
      <c r="W18" s="1330">
        <f>RBBD!R3</f>
        <v>80</v>
      </c>
      <c r="X18" s="1330">
        <f>RBBD!S3</f>
        <v>80</v>
      </c>
      <c r="Y18" s="1330">
        <f>RBBD!T3</f>
        <v>80</v>
      </c>
      <c r="Z18" s="65"/>
      <c r="AA18" s="329">
        <f t="shared" ref="AA18:AA23" si="1">IF(B18=0,0,1)</f>
        <v>1</v>
      </c>
    </row>
    <row r="19" spans="2:27">
      <c r="B19" s="1330" t="str">
        <f>RBBD!B4</f>
        <v>LAJEADO 3 - 69 kV (A)</v>
      </c>
      <c r="C19" s="1330" t="str">
        <f>RBBD!C4</f>
        <v>69</v>
      </c>
      <c r="D19" s="1330" t="str">
        <f>RBBD!D4</f>
        <v>Fora Ponta</v>
      </c>
      <c r="E19" s="1667">
        <v>5742</v>
      </c>
      <c r="F19" s="1330">
        <f>RBBD!F4</f>
        <v>7881</v>
      </c>
      <c r="G19" s="1667">
        <v>1152</v>
      </c>
      <c r="H19" s="1330">
        <f>RBBD!H4</f>
        <v>1286</v>
      </c>
      <c r="I19" s="1330">
        <f t="shared" ref="I19:L60" si="2">E19*$M19</f>
        <v>5512320</v>
      </c>
      <c r="J19" s="1330">
        <f t="shared" si="2"/>
        <v>7565760</v>
      </c>
      <c r="K19" s="1330">
        <f t="shared" si="2"/>
        <v>1105920</v>
      </c>
      <c r="L19" s="1330">
        <f t="shared" si="2"/>
        <v>1234560</v>
      </c>
      <c r="M19" s="1330">
        <f t="shared" ref="M19:M60" si="3">SUM(N19:Y19)</f>
        <v>960</v>
      </c>
      <c r="N19" s="1330">
        <f>RBBD!I4</f>
        <v>80</v>
      </c>
      <c r="O19" s="1330">
        <f>RBBD!J4</f>
        <v>80</v>
      </c>
      <c r="P19" s="1330">
        <f>RBBD!K4</f>
        <v>80</v>
      </c>
      <c r="Q19" s="1330">
        <f>RBBD!L4</f>
        <v>80</v>
      </c>
      <c r="R19" s="1330">
        <f>RBBD!M4</f>
        <v>80</v>
      </c>
      <c r="S19" s="1330">
        <f>RBBD!N4</f>
        <v>80</v>
      </c>
      <c r="T19" s="1330">
        <f>RBBD!O4</f>
        <v>80</v>
      </c>
      <c r="U19" s="1330">
        <f>RBBD!P4</f>
        <v>80</v>
      </c>
      <c r="V19" s="1330">
        <f>RBBD!Q4</f>
        <v>80</v>
      </c>
      <c r="W19" s="1330">
        <f>RBBD!R4</f>
        <v>80</v>
      </c>
      <c r="X19" s="1330">
        <f>RBBD!S4</f>
        <v>80</v>
      </c>
      <c r="Y19" s="1330">
        <f>RBBD!T4</f>
        <v>80</v>
      </c>
      <c r="Z19" s="65"/>
      <c r="AA19" s="329">
        <f t="shared" si="1"/>
        <v>1</v>
      </c>
    </row>
    <row r="20" spans="2:27" hidden="1">
      <c r="B20" s="1330">
        <f>RBBD!B5</f>
        <v>0</v>
      </c>
      <c r="C20" s="1330">
        <f>RBBD!C5</f>
        <v>0</v>
      </c>
      <c r="D20" s="1330">
        <f>RBBD!D5</f>
        <v>0</v>
      </c>
      <c r="E20" s="1330">
        <f>RBBD!E5</f>
        <v>0</v>
      </c>
      <c r="F20" s="1330">
        <f>RBBD!F5</f>
        <v>0</v>
      </c>
      <c r="G20" s="1330">
        <f>RBBD!G5</f>
        <v>0</v>
      </c>
      <c r="H20" s="1330">
        <f>RBBD!H5</f>
        <v>0</v>
      </c>
      <c r="I20" s="1330">
        <f t="shared" si="2"/>
        <v>0</v>
      </c>
      <c r="J20" s="1330">
        <f t="shared" si="2"/>
        <v>0</v>
      </c>
      <c r="K20" s="1330">
        <f t="shared" si="2"/>
        <v>0</v>
      </c>
      <c r="L20" s="1330">
        <f t="shared" si="2"/>
        <v>0</v>
      </c>
      <c r="M20" s="1330">
        <f t="shared" si="3"/>
        <v>0</v>
      </c>
      <c r="N20" s="1330">
        <f>RBBD!I5</f>
        <v>0</v>
      </c>
      <c r="O20" s="1330">
        <f>RBBD!J5</f>
        <v>0</v>
      </c>
      <c r="P20" s="1330">
        <f>RBBD!K5</f>
        <v>0</v>
      </c>
      <c r="Q20" s="1330">
        <f>RBBD!L5</f>
        <v>0</v>
      </c>
      <c r="R20" s="1330">
        <f>RBBD!M5</f>
        <v>0</v>
      </c>
      <c r="S20" s="1330">
        <f>RBBD!N5</f>
        <v>0</v>
      </c>
      <c r="T20" s="1330">
        <f>RBBD!O5</f>
        <v>0</v>
      </c>
      <c r="U20" s="1330">
        <f>RBBD!P5</f>
        <v>0</v>
      </c>
      <c r="V20" s="1330">
        <f>RBBD!Q5</f>
        <v>0</v>
      </c>
      <c r="W20" s="1330">
        <f>RBBD!R5</f>
        <v>0</v>
      </c>
      <c r="X20" s="1330">
        <f>RBBD!S5</f>
        <v>0</v>
      </c>
      <c r="Y20" s="1330">
        <f>RBBD!T5</f>
        <v>0</v>
      </c>
      <c r="Z20" s="65"/>
      <c r="AA20" s="329">
        <f t="shared" si="1"/>
        <v>0</v>
      </c>
    </row>
    <row r="21" spans="2:27" hidden="1">
      <c r="B21" s="1330">
        <f>RBBD!B6</f>
        <v>0</v>
      </c>
      <c r="C21" s="1330">
        <f>RBBD!C6</f>
        <v>0</v>
      </c>
      <c r="D21" s="1330">
        <f>RBBD!D6</f>
        <v>0</v>
      </c>
      <c r="E21" s="1330">
        <f>RBBD!E6</f>
        <v>0</v>
      </c>
      <c r="F21" s="1330">
        <f>RBBD!F6</f>
        <v>0</v>
      </c>
      <c r="G21" s="1330">
        <f>RBBD!G6</f>
        <v>0</v>
      </c>
      <c r="H21" s="1330">
        <f>RBBD!H6</f>
        <v>0</v>
      </c>
      <c r="I21" s="1330">
        <f t="shared" si="2"/>
        <v>0</v>
      </c>
      <c r="J21" s="1330">
        <f t="shared" si="2"/>
        <v>0</v>
      </c>
      <c r="K21" s="1330">
        <f t="shared" si="2"/>
        <v>0</v>
      </c>
      <c r="L21" s="1330">
        <f t="shared" si="2"/>
        <v>0</v>
      </c>
      <c r="M21" s="1330">
        <f t="shared" si="3"/>
        <v>0</v>
      </c>
      <c r="N21" s="1330">
        <f>RBBD!I6</f>
        <v>0</v>
      </c>
      <c r="O21" s="1330">
        <f>RBBD!J6</f>
        <v>0</v>
      </c>
      <c r="P21" s="1330">
        <f>RBBD!K6</f>
        <v>0</v>
      </c>
      <c r="Q21" s="1330">
        <f>RBBD!L6</f>
        <v>0</v>
      </c>
      <c r="R21" s="1330">
        <f>RBBD!M6</f>
        <v>0</v>
      </c>
      <c r="S21" s="1330">
        <f>RBBD!N6</f>
        <v>0</v>
      </c>
      <c r="T21" s="1330">
        <f>RBBD!O6</f>
        <v>0</v>
      </c>
      <c r="U21" s="1330">
        <f>RBBD!P6</f>
        <v>0</v>
      </c>
      <c r="V21" s="1330">
        <f>RBBD!Q6</f>
        <v>0</v>
      </c>
      <c r="W21" s="1330">
        <f>RBBD!R6</f>
        <v>0</v>
      </c>
      <c r="X21" s="1330">
        <f>RBBD!S6</f>
        <v>0</v>
      </c>
      <c r="Y21" s="1330">
        <f>RBBD!T6</f>
        <v>0</v>
      </c>
      <c r="Z21" s="65"/>
      <c r="AA21" s="329">
        <f t="shared" si="1"/>
        <v>0</v>
      </c>
    </row>
    <row r="22" spans="2:27" hidden="1">
      <c r="B22" s="1330">
        <f>RBBD!B7</f>
        <v>0</v>
      </c>
      <c r="C22" s="1330">
        <f>RBBD!C7</f>
        <v>0</v>
      </c>
      <c r="D22" s="1330">
        <f>RBBD!D7</f>
        <v>0</v>
      </c>
      <c r="E22" s="1330">
        <f>RBBD!E7</f>
        <v>0</v>
      </c>
      <c r="F22" s="1330">
        <f>RBBD!F7</f>
        <v>0</v>
      </c>
      <c r="G22" s="1330">
        <f>RBBD!G7</f>
        <v>0</v>
      </c>
      <c r="H22" s="1330">
        <f>RBBD!H7</f>
        <v>0</v>
      </c>
      <c r="I22" s="1330">
        <f t="shared" si="2"/>
        <v>0</v>
      </c>
      <c r="J22" s="1330">
        <f t="shared" si="2"/>
        <v>0</v>
      </c>
      <c r="K22" s="1330">
        <f t="shared" si="2"/>
        <v>0</v>
      </c>
      <c r="L22" s="1330">
        <f t="shared" si="2"/>
        <v>0</v>
      </c>
      <c r="M22" s="1330">
        <f t="shared" si="3"/>
        <v>0</v>
      </c>
      <c r="N22" s="1330">
        <f>RBBD!I7</f>
        <v>0</v>
      </c>
      <c r="O22" s="1330">
        <f>RBBD!J7</f>
        <v>0</v>
      </c>
      <c r="P22" s="1330">
        <f>RBBD!K7</f>
        <v>0</v>
      </c>
      <c r="Q22" s="1330">
        <f>RBBD!L7</f>
        <v>0</v>
      </c>
      <c r="R22" s="1330">
        <f>RBBD!M7</f>
        <v>0</v>
      </c>
      <c r="S22" s="1330">
        <f>RBBD!N7</f>
        <v>0</v>
      </c>
      <c r="T22" s="1330">
        <f>RBBD!O7</f>
        <v>0</v>
      </c>
      <c r="U22" s="1330">
        <f>RBBD!P7</f>
        <v>0</v>
      </c>
      <c r="V22" s="1330">
        <f>RBBD!Q7</f>
        <v>0</v>
      </c>
      <c r="W22" s="1330">
        <f>RBBD!R7</f>
        <v>0</v>
      </c>
      <c r="X22" s="1330">
        <f>RBBD!S7</f>
        <v>0</v>
      </c>
      <c r="Y22" s="1330">
        <f>RBBD!T7</f>
        <v>0</v>
      </c>
      <c r="Z22" s="65"/>
      <c r="AA22" s="329">
        <f t="shared" si="1"/>
        <v>0</v>
      </c>
    </row>
    <row r="23" spans="2:27" hidden="1">
      <c r="B23" s="1330">
        <f>RBBD!B8</f>
        <v>0</v>
      </c>
      <c r="C23" s="1330">
        <f>RBBD!C8</f>
        <v>0</v>
      </c>
      <c r="D23" s="1330">
        <f>RBBD!D8</f>
        <v>0</v>
      </c>
      <c r="E23" s="1330">
        <f>RBBD!E8</f>
        <v>0</v>
      </c>
      <c r="F23" s="1330">
        <f>RBBD!F8</f>
        <v>0</v>
      </c>
      <c r="G23" s="1330">
        <f>RBBD!G8</f>
        <v>0</v>
      </c>
      <c r="H23" s="1330">
        <f>RBBD!H8</f>
        <v>0</v>
      </c>
      <c r="I23" s="1330">
        <f t="shared" si="2"/>
        <v>0</v>
      </c>
      <c r="J23" s="1330">
        <f t="shared" si="2"/>
        <v>0</v>
      </c>
      <c r="K23" s="1330">
        <f t="shared" si="2"/>
        <v>0</v>
      </c>
      <c r="L23" s="1330">
        <f t="shared" si="2"/>
        <v>0</v>
      </c>
      <c r="M23" s="1330">
        <f t="shared" si="3"/>
        <v>0</v>
      </c>
      <c r="N23" s="1330">
        <f>RBBD!I8</f>
        <v>0</v>
      </c>
      <c r="O23" s="1330">
        <f>RBBD!J8</f>
        <v>0</v>
      </c>
      <c r="P23" s="1330">
        <f>RBBD!K8</f>
        <v>0</v>
      </c>
      <c r="Q23" s="1330">
        <f>RBBD!L8</f>
        <v>0</v>
      </c>
      <c r="R23" s="1330">
        <f>RBBD!M8</f>
        <v>0</v>
      </c>
      <c r="S23" s="1330">
        <f>RBBD!N8</f>
        <v>0</v>
      </c>
      <c r="T23" s="1330">
        <f>RBBD!O8</f>
        <v>0</v>
      </c>
      <c r="U23" s="1330">
        <f>RBBD!P8</f>
        <v>0</v>
      </c>
      <c r="V23" s="1330">
        <f>RBBD!Q8</f>
        <v>0</v>
      </c>
      <c r="W23" s="1330">
        <f>RBBD!R8</f>
        <v>0</v>
      </c>
      <c r="X23" s="1330">
        <f>RBBD!S8</f>
        <v>0</v>
      </c>
      <c r="Y23" s="1330">
        <f>RBBD!T8</f>
        <v>0</v>
      </c>
      <c r="Z23" s="65"/>
      <c r="AA23" s="329">
        <f t="shared" si="1"/>
        <v>0</v>
      </c>
    </row>
    <row r="24" spans="2:27" hidden="1">
      <c r="B24" s="1330">
        <f>RBBD!B9</f>
        <v>0</v>
      </c>
      <c r="C24" s="1330">
        <f>RBBD!C9</f>
        <v>0</v>
      </c>
      <c r="D24" s="1330">
        <f>RBBD!D9</f>
        <v>0</v>
      </c>
      <c r="E24" s="1330">
        <f>RBBD!E9</f>
        <v>0</v>
      </c>
      <c r="F24" s="1330">
        <f>RBBD!F9</f>
        <v>0</v>
      </c>
      <c r="G24" s="1330">
        <f>RBBD!G9</f>
        <v>0</v>
      </c>
      <c r="H24" s="1330">
        <f>RBBD!H9</f>
        <v>0</v>
      </c>
      <c r="I24" s="1330">
        <f t="shared" si="2"/>
        <v>0</v>
      </c>
      <c r="J24" s="1330">
        <f t="shared" si="2"/>
        <v>0</v>
      </c>
      <c r="K24" s="1330">
        <f t="shared" si="2"/>
        <v>0</v>
      </c>
      <c r="L24" s="1330">
        <f t="shared" si="2"/>
        <v>0</v>
      </c>
      <c r="M24" s="1330">
        <f t="shared" si="3"/>
        <v>0</v>
      </c>
      <c r="N24" s="1330">
        <f>RBBD!I9</f>
        <v>0</v>
      </c>
      <c r="O24" s="1330">
        <f>RBBD!J9</f>
        <v>0</v>
      </c>
      <c r="P24" s="1330">
        <f>RBBD!K9</f>
        <v>0</v>
      </c>
      <c r="Q24" s="1330">
        <f>RBBD!L9</f>
        <v>0</v>
      </c>
      <c r="R24" s="1330">
        <f>RBBD!M9</f>
        <v>0</v>
      </c>
      <c r="S24" s="1330">
        <f>RBBD!N9</f>
        <v>0</v>
      </c>
      <c r="T24" s="1330">
        <f>RBBD!O9</f>
        <v>0</v>
      </c>
      <c r="U24" s="1330">
        <f>RBBD!P9</f>
        <v>0</v>
      </c>
      <c r="V24" s="1330">
        <f>RBBD!Q9</f>
        <v>0</v>
      </c>
      <c r="W24" s="1330">
        <f>RBBD!R9</f>
        <v>0</v>
      </c>
      <c r="X24" s="1330">
        <f>RBBD!S9</f>
        <v>0</v>
      </c>
      <c r="Y24" s="1330">
        <f>RBBD!T9</f>
        <v>0</v>
      </c>
      <c r="Z24" s="65"/>
      <c r="AA24" s="329">
        <f t="shared" ref="AA24:AA38" si="4">IF(B24=0,0,1)</f>
        <v>0</v>
      </c>
    </row>
    <row r="25" spans="2:27" hidden="1">
      <c r="B25" s="1330">
        <f>RBBD!B10</f>
        <v>0</v>
      </c>
      <c r="C25" s="1330">
        <f>RBBD!C10</f>
        <v>0</v>
      </c>
      <c r="D25" s="1330">
        <f>RBBD!D10</f>
        <v>0</v>
      </c>
      <c r="E25" s="1330">
        <f>RBBD!E10</f>
        <v>0</v>
      </c>
      <c r="F25" s="1330">
        <f>RBBD!F10</f>
        <v>0</v>
      </c>
      <c r="G25" s="1330">
        <f>RBBD!G10</f>
        <v>0</v>
      </c>
      <c r="H25" s="1330">
        <f>RBBD!H10</f>
        <v>0</v>
      </c>
      <c r="I25" s="1330">
        <f t="shared" si="2"/>
        <v>0</v>
      </c>
      <c r="J25" s="1330">
        <f t="shared" si="2"/>
        <v>0</v>
      </c>
      <c r="K25" s="1330">
        <f t="shared" si="2"/>
        <v>0</v>
      </c>
      <c r="L25" s="1330">
        <f t="shared" si="2"/>
        <v>0</v>
      </c>
      <c r="M25" s="1330">
        <f t="shared" si="3"/>
        <v>0</v>
      </c>
      <c r="N25" s="1330">
        <f>RBBD!I10</f>
        <v>0</v>
      </c>
      <c r="O25" s="1330">
        <f>RBBD!J10</f>
        <v>0</v>
      </c>
      <c r="P25" s="1330">
        <f>RBBD!K10</f>
        <v>0</v>
      </c>
      <c r="Q25" s="1330">
        <f>RBBD!L10</f>
        <v>0</v>
      </c>
      <c r="R25" s="1330">
        <f>RBBD!M10</f>
        <v>0</v>
      </c>
      <c r="S25" s="1330">
        <f>RBBD!N10</f>
        <v>0</v>
      </c>
      <c r="T25" s="1330">
        <f>RBBD!O10</f>
        <v>0</v>
      </c>
      <c r="U25" s="1330">
        <f>RBBD!P10</f>
        <v>0</v>
      </c>
      <c r="V25" s="1330">
        <f>RBBD!Q10</f>
        <v>0</v>
      </c>
      <c r="W25" s="1330">
        <f>RBBD!R10</f>
        <v>0</v>
      </c>
      <c r="X25" s="1330">
        <f>RBBD!S10</f>
        <v>0</v>
      </c>
      <c r="Y25" s="1330">
        <f>RBBD!T10</f>
        <v>0</v>
      </c>
      <c r="Z25" s="65"/>
      <c r="AA25" s="329">
        <f t="shared" si="4"/>
        <v>0</v>
      </c>
    </row>
    <row r="26" spans="2:27" hidden="1">
      <c r="B26" s="1330">
        <f>RBBD!B11</f>
        <v>0</v>
      </c>
      <c r="C26" s="1330">
        <f>RBBD!C11</f>
        <v>0</v>
      </c>
      <c r="D26" s="1330">
        <f>RBBD!D11</f>
        <v>0</v>
      </c>
      <c r="E26" s="1330">
        <f>RBBD!E11</f>
        <v>0</v>
      </c>
      <c r="F26" s="1330">
        <f>RBBD!F11</f>
        <v>0</v>
      </c>
      <c r="G26" s="1330">
        <f>RBBD!G11</f>
        <v>0</v>
      </c>
      <c r="H26" s="1330">
        <f>RBBD!H11</f>
        <v>0</v>
      </c>
      <c r="I26" s="1330">
        <f t="shared" si="2"/>
        <v>0</v>
      </c>
      <c r="J26" s="1330">
        <f t="shared" si="2"/>
        <v>0</v>
      </c>
      <c r="K26" s="1330">
        <f t="shared" si="2"/>
        <v>0</v>
      </c>
      <c r="L26" s="1330">
        <f t="shared" si="2"/>
        <v>0</v>
      </c>
      <c r="M26" s="1330">
        <f t="shared" si="3"/>
        <v>0</v>
      </c>
      <c r="N26" s="1330">
        <f>RBBD!I11</f>
        <v>0</v>
      </c>
      <c r="O26" s="1330">
        <f>RBBD!J11</f>
        <v>0</v>
      </c>
      <c r="P26" s="1330">
        <f>RBBD!K11</f>
        <v>0</v>
      </c>
      <c r="Q26" s="1330">
        <f>RBBD!L11</f>
        <v>0</v>
      </c>
      <c r="R26" s="1330">
        <f>RBBD!M11</f>
        <v>0</v>
      </c>
      <c r="S26" s="1330">
        <f>RBBD!N11</f>
        <v>0</v>
      </c>
      <c r="T26" s="1330">
        <f>RBBD!O11</f>
        <v>0</v>
      </c>
      <c r="U26" s="1330">
        <f>RBBD!P11</f>
        <v>0</v>
      </c>
      <c r="V26" s="1330">
        <f>RBBD!Q11</f>
        <v>0</v>
      </c>
      <c r="W26" s="1330">
        <f>RBBD!R11</f>
        <v>0</v>
      </c>
      <c r="X26" s="1330">
        <f>RBBD!S11</f>
        <v>0</v>
      </c>
      <c r="Y26" s="1330">
        <f>RBBD!T11</f>
        <v>0</v>
      </c>
      <c r="Z26" s="65"/>
      <c r="AA26" s="329">
        <f t="shared" si="4"/>
        <v>0</v>
      </c>
    </row>
    <row r="27" spans="2:27" hidden="1">
      <c r="B27" s="1330">
        <f>RBBD!B12</f>
        <v>0</v>
      </c>
      <c r="C27" s="1330">
        <f>RBBD!C12</f>
        <v>0</v>
      </c>
      <c r="D27" s="1330">
        <f>RBBD!D12</f>
        <v>0</v>
      </c>
      <c r="E27" s="1330">
        <f>RBBD!E12</f>
        <v>0</v>
      </c>
      <c r="F27" s="1330">
        <f>RBBD!F12</f>
        <v>0</v>
      </c>
      <c r="G27" s="1330">
        <f>RBBD!G12</f>
        <v>0</v>
      </c>
      <c r="H27" s="1330">
        <f>RBBD!H12</f>
        <v>0</v>
      </c>
      <c r="I27" s="1330">
        <f t="shared" si="2"/>
        <v>0</v>
      </c>
      <c r="J27" s="1330">
        <f t="shared" si="2"/>
        <v>0</v>
      </c>
      <c r="K27" s="1330">
        <f t="shared" si="2"/>
        <v>0</v>
      </c>
      <c r="L27" s="1330">
        <f t="shared" si="2"/>
        <v>0</v>
      </c>
      <c r="M27" s="1330">
        <f t="shared" si="3"/>
        <v>0</v>
      </c>
      <c r="N27" s="1330">
        <f>RBBD!I12</f>
        <v>0</v>
      </c>
      <c r="O27" s="1330">
        <f>RBBD!J12</f>
        <v>0</v>
      </c>
      <c r="P27" s="1330">
        <f>RBBD!K12</f>
        <v>0</v>
      </c>
      <c r="Q27" s="1330">
        <f>RBBD!L12</f>
        <v>0</v>
      </c>
      <c r="R27" s="1330">
        <f>RBBD!M12</f>
        <v>0</v>
      </c>
      <c r="S27" s="1330">
        <f>RBBD!N12</f>
        <v>0</v>
      </c>
      <c r="T27" s="1330">
        <f>RBBD!O12</f>
        <v>0</v>
      </c>
      <c r="U27" s="1330">
        <f>RBBD!P12</f>
        <v>0</v>
      </c>
      <c r="V27" s="1330">
        <f>RBBD!Q12</f>
        <v>0</v>
      </c>
      <c r="W27" s="1330">
        <f>RBBD!R12</f>
        <v>0</v>
      </c>
      <c r="X27" s="1330">
        <f>RBBD!S12</f>
        <v>0</v>
      </c>
      <c r="Y27" s="1330">
        <f>RBBD!T12</f>
        <v>0</v>
      </c>
      <c r="Z27" s="65"/>
      <c r="AA27" s="329">
        <f t="shared" si="4"/>
        <v>0</v>
      </c>
    </row>
    <row r="28" spans="2:27" hidden="1">
      <c r="B28" s="1330">
        <f>RBBD!B13</f>
        <v>0</v>
      </c>
      <c r="C28" s="1330">
        <f>RBBD!C13</f>
        <v>0</v>
      </c>
      <c r="D28" s="1330">
        <f>RBBD!D13</f>
        <v>0</v>
      </c>
      <c r="E28" s="1330">
        <f>RBBD!G13</f>
        <v>0</v>
      </c>
      <c r="F28" s="1330">
        <f>RBBD!H13</f>
        <v>0</v>
      </c>
      <c r="G28" s="1330">
        <f>RBBD!E13</f>
        <v>0</v>
      </c>
      <c r="H28" s="1330">
        <f>RBBD!F13</f>
        <v>0</v>
      </c>
      <c r="I28" s="1330">
        <f t="shared" si="2"/>
        <v>0</v>
      </c>
      <c r="J28" s="1330">
        <f t="shared" si="2"/>
        <v>0</v>
      </c>
      <c r="K28" s="1330">
        <f t="shared" si="2"/>
        <v>0</v>
      </c>
      <c r="L28" s="1330">
        <f t="shared" si="2"/>
        <v>0</v>
      </c>
      <c r="M28" s="1330">
        <f t="shared" si="3"/>
        <v>0</v>
      </c>
      <c r="N28" s="1330">
        <f>RBBD!I13</f>
        <v>0</v>
      </c>
      <c r="O28" s="1330">
        <f>RBBD!J13</f>
        <v>0</v>
      </c>
      <c r="P28" s="1330">
        <f>RBBD!K13</f>
        <v>0</v>
      </c>
      <c r="Q28" s="1330">
        <f>RBBD!L13</f>
        <v>0</v>
      </c>
      <c r="R28" s="1330">
        <f>RBBD!M13</f>
        <v>0</v>
      </c>
      <c r="S28" s="1330">
        <f>RBBD!N13</f>
        <v>0</v>
      </c>
      <c r="T28" s="1330">
        <f>RBBD!O13</f>
        <v>0</v>
      </c>
      <c r="U28" s="1330">
        <f>RBBD!P13</f>
        <v>0</v>
      </c>
      <c r="V28" s="1330">
        <f>RBBD!Q13</f>
        <v>0</v>
      </c>
      <c r="W28" s="1330">
        <f>RBBD!R13</f>
        <v>0</v>
      </c>
      <c r="X28" s="1330">
        <f>RBBD!S13</f>
        <v>0</v>
      </c>
      <c r="Y28" s="1330">
        <f>RBBD!T13</f>
        <v>0</v>
      </c>
      <c r="Z28" s="65"/>
      <c r="AA28" s="329">
        <f t="shared" si="4"/>
        <v>0</v>
      </c>
    </row>
    <row r="29" spans="2:27" hidden="1">
      <c r="B29" s="1330">
        <f>RBBD!B14</f>
        <v>0</v>
      </c>
      <c r="C29" s="1330">
        <f>RBBD!C14</f>
        <v>0</v>
      </c>
      <c r="D29" s="1330">
        <f>RBBD!D14</f>
        <v>0</v>
      </c>
      <c r="E29" s="1330">
        <f>RBBD!G14</f>
        <v>0</v>
      </c>
      <c r="F29" s="1330">
        <f>RBBD!H14</f>
        <v>0</v>
      </c>
      <c r="G29" s="1330">
        <f>RBBD!E14</f>
        <v>0</v>
      </c>
      <c r="H29" s="1330">
        <f>RBBD!F14</f>
        <v>0</v>
      </c>
      <c r="I29" s="1330">
        <f t="shared" si="2"/>
        <v>0</v>
      </c>
      <c r="J29" s="1330">
        <f t="shared" si="2"/>
        <v>0</v>
      </c>
      <c r="K29" s="1330">
        <f t="shared" si="2"/>
        <v>0</v>
      </c>
      <c r="L29" s="1330">
        <f t="shared" si="2"/>
        <v>0</v>
      </c>
      <c r="M29" s="1330">
        <f t="shared" si="3"/>
        <v>0</v>
      </c>
      <c r="N29" s="1330">
        <f>RBBD!I14</f>
        <v>0</v>
      </c>
      <c r="O29" s="1330">
        <f>RBBD!J14</f>
        <v>0</v>
      </c>
      <c r="P29" s="1330">
        <f>RBBD!K14</f>
        <v>0</v>
      </c>
      <c r="Q29" s="1330">
        <f>RBBD!L14</f>
        <v>0</v>
      </c>
      <c r="R29" s="1330">
        <f>RBBD!M14</f>
        <v>0</v>
      </c>
      <c r="S29" s="1330">
        <f>RBBD!N14</f>
        <v>0</v>
      </c>
      <c r="T29" s="1330">
        <f>RBBD!O14</f>
        <v>0</v>
      </c>
      <c r="U29" s="1330">
        <f>RBBD!P14</f>
        <v>0</v>
      </c>
      <c r="V29" s="1330">
        <f>RBBD!Q14</f>
        <v>0</v>
      </c>
      <c r="W29" s="1330">
        <f>RBBD!R14</f>
        <v>0</v>
      </c>
      <c r="X29" s="1330">
        <f>RBBD!S14</f>
        <v>0</v>
      </c>
      <c r="Y29" s="1330">
        <f>RBBD!T14</f>
        <v>0</v>
      </c>
      <c r="Z29" s="65"/>
      <c r="AA29" s="329">
        <f t="shared" si="4"/>
        <v>0</v>
      </c>
    </row>
    <row r="30" spans="2:27" hidden="1">
      <c r="B30" s="1330">
        <f>RBBD!B15</f>
        <v>0</v>
      </c>
      <c r="C30" s="1330">
        <f>RBBD!C15</f>
        <v>0</v>
      </c>
      <c r="D30" s="1330">
        <f>RBBD!D15</f>
        <v>0</v>
      </c>
      <c r="E30" s="1330">
        <f>RBBD!G15</f>
        <v>0</v>
      </c>
      <c r="F30" s="1330">
        <f>RBBD!H15</f>
        <v>0</v>
      </c>
      <c r="G30" s="1330">
        <f>RBBD!E15</f>
        <v>0</v>
      </c>
      <c r="H30" s="1330">
        <f>RBBD!F15</f>
        <v>0</v>
      </c>
      <c r="I30" s="1330">
        <f t="shared" si="2"/>
        <v>0</v>
      </c>
      <c r="J30" s="1330">
        <f t="shared" si="2"/>
        <v>0</v>
      </c>
      <c r="K30" s="1330">
        <f t="shared" si="2"/>
        <v>0</v>
      </c>
      <c r="L30" s="1330">
        <f t="shared" si="2"/>
        <v>0</v>
      </c>
      <c r="M30" s="1330">
        <f t="shared" si="3"/>
        <v>0</v>
      </c>
      <c r="N30" s="1330">
        <f>RBBD!I15</f>
        <v>0</v>
      </c>
      <c r="O30" s="1330">
        <f>RBBD!J15</f>
        <v>0</v>
      </c>
      <c r="P30" s="1330">
        <f>RBBD!K15</f>
        <v>0</v>
      </c>
      <c r="Q30" s="1330">
        <f>RBBD!L15</f>
        <v>0</v>
      </c>
      <c r="R30" s="1330">
        <f>RBBD!M15</f>
        <v>0</v>
      </c>
      <c r="S30" s="1330">
        <f>RBBD!N15</f>
        <v>0</v>
      </c>
      <c r="T30" s="1330">
        <f>RBBD!O15</f>
        <v>0</v>
      </c>
      <c r="U30" s="1330">
        <f>RBBD!P15</f>
        <v>0</v>
      </c>
      <c r="V30" s="1330">
        <f>RBBD!Q15</f>
        <v>0</v>
      </c>
      <c r="W30" s="1330">
        <f>RBBD!R15</f>
        <v>0</v>
      </c>
      <c r="X30" s="1330">
        <f>RBBD!S15</f>
        <v>0</v>
      </c>
      <c r="Y30" s="1330">
        <f>RBBD!T15</f>
        <v>0</v>
      </c>
      <c r="Z30" s="65"/>
      <c r="AA30" s="329">
        <f t="shared" si="4"/>
        <v>0</v>
      </c>
    </row>
    <row r="31" spans="2:27" hidden="1">
      <c r="B31" s="1330">
        <f>RBBD!B16</f>
        <v>0</v>
      </c>
      <c r="C31" s="1330">
        <f>RBBD!C16</f>
        <v>0</v>
      </c>
      <c r="D31" s="1330">
        <f>RBBD!D16</f>
        <v>0</v>
      </c>
      <c r="E31" s="1330">
        <f>RBBD!G16</f>
        <v>0</v>
      </c>
      <c r="F31" s="1330">
        <f>RBBD!H16</f>
        <v>0</v>
      </c>
      <c r="G31" s="1330">
        <f>RBBD!E16</f>
        <v>0</v>
      </c>
      <c r="H31" s="1330">
        <f>RBBD!F16</f>
        <v>0</v>
      </c>
      <c r="I31" s="1330">
        <f t="shared" si="2"/>
        <v>0</v>
      </c>
      <c r="J31" s="1330">
        <f t="shared" si="2"/>
        <v>0</v>
      </c>
      <c r="K31" s="1330">
        <f t="shared" si="2"/>
        <v>0</v>
      </c>
      <c r="L31" s="1330">
        <f t="shared" si="2"/>
        <v>0</v>
      </c>
      <c r="M31" s="1330">
        <f t="shared" si="3"/>
        <v>0</v>
      </c>
      <c r="N31" s="1330">
        <f>RBBD!I16</f>
        <v>0</v>
      </c>
      <c r="O31" s="1330">
        <f>RBBD!J16</f>
        <v>0</v>
      </c>
      <c r="P31" s="1330">
        <f>RBBD!K16</f>
        <v>0</v>
      </c>
      <c r="Q31" s="1330">
        <f>RBBD!L16</f>
        <v>0</v>
      </c>
      <c r="R31" s="1330">
        <f>RBBD!M16</f>
        <v>0</v>
      </c>
      <c r="S31" s="1330">
        <f>RBBD!N16</f>
        <v>0</v>
      </c>
      <c r="T31" s="1330">
        <f>RBBD!O16</f>
        <v>0</v>
      </c>
      <c r="U31" s="1330">
        <f>RBBD!P16</f>
        <v>0</v>
      </c>
      <c r="V31" s="1330">
        <f>RBBD!Q16</f>
        <v>0</v>
      </c>
      <c r="W31" s="1330">
        <f>RBBD!R16</f>
        <v>0</v>
      </c>
      <c r="X31" s="1330">
        <f>RBBD!S16</f>
        <v>0</v>
      </c>
      <c r="Y31" s="1330">
        <f>RBBD!T16</f>
        <v>0</v>
      </c>
      <c r="Z31" s="65"/>
      <c r="AA31" s="329">
        <f t="shared" si="4"/>
        <v>0</v>
      </c>
    </row>
    <row r="32" spans="2:27" hidden="1">
      <c r="B32" s="1330">
        <f>RBBD!B17</f>
        <v>0</v>
      </c>
      <c r="C32" s="1330">
        <f>RBBD!C17</f>
        <v>0</v>
      </c>
      <c r="D32" s="1330">
        <f>RBBD!D17</f>
        <v>0</v>
      </c>
      <c r="E32" s="1330">
        <f>RBBD!G17</f>
        <v>0</v>
      </c>
      <c r="F32" s="1330">
        <f>RBBD!H17</f>
        <v>0</v>
      </c>
      <c r="G32" s="1330">
        <f>RBBD!E17</f>
        <v>0</v>
      </c>
      <c r="H32" s="1330">
        <f>RBBD!F17</f>
        <v>0</v>
      </c>
      <c r="I32" s="1330">
        <f t="shared" si="2"/>
        <v>0</v>
      </c>
      <c r="J32" s="1330">
        <f t="shared" si="2"/>
        <v>0</v>
      </c>
      <c r="K32" s="1330">
        <f t="shared" si="2"/>
        <v>0</v>
      </c>
      <c r="L32" s="1330">
        <f t="shared" si="2"/>
        <v>0</v>
      </c>
      <c r="M32" s="1330">
        <f t="shared" si="3"/>
        <v>0</v>
      </c>
      <c r="N32" s="1330">
        <f>RBBD!I17</f>
        <v>0</v>
      </c>
      <c r="O32" s="1330">
        <f>RBBD!J17</f>
        <v>0</v>
      </c>
      <c r="P32" s="1330">
        <f>RBBD!K17</f>
        <v>0</v>
      </c>
      <c r="Q32" s="1330">
        <f>RBBD!L17</f>
        <v>0</v>
      </c>
      <c r="R32" s="1330">
        <f>RBBD!M17</f>
        <v>0</v>
      </c>
      <c r="S32" s="1330">
        <f>RBBD!N17</f>
        <v>0</v>
      </c>
      <c r="T32" s="1330">
        <f>RBBD!O17</f>
        <v>0</v>
      </c>
      <c r="U32" s="1330">
        <f>RBBD!P17</f>
        <v>0</v>
      </c>
      <c r="V32" s="1330">
        <f>RBBD!Q17</f>
        <v>0</v>
      </c>
      <c r="W32" s="1330">
        <f>RBBD!R17</f>
        <v>0</v>
      </c>
      <c r="X32" s="1330">
        <f>RBBD!S17</f>
        <v>0</v>
      </c>
      <c r="Y32" s="1330">
        <f>RBBD!T17</f>
        <v>0</v>
      </c>
      <c r="Z32" s="65"/>
      <c r="AA32" s="329">
        <f t="shared" si="4"/>
        <v>0</v>
      </c>
    </row>
    <row r="33" spans="2:27" hidden="1">
      <c r="B33" s="1330">
        <f>RBBD!B18</f>
        <v>0</v>
      </c>
      <c r="C33" s="1330">
        <f>RBBD!C18</f>
        <v>0</v>
      </c>
      <c r="D33" s="1330">
        <f>RBBD!D18</f>
        <v>0</v>
      </c>
      <c r="E33" s="1330">
        <f>RBBD!G18</f>
        <v>0</v>
      </c>
      <c r="F33" s="1330">
        <f>RBBD!H18</f>
        <v>0</v>
      </c>
      <c r="G33" s="1330">
        <f>RBBD!E18</f>
        <v>0</v>
      </c>
      <c r="H33" s="1330">
        <f>RBBD!F18</f>
        <v>0</v>
      </c>
      <c r="I33" s="1330">
        <f t="shared" si="2"/>
        <v>0</v>
      </c>
      <c r="J33" s="1330">
        <f t="shared" si="2"/>
        <v>0</v>
      </c>
      <c r="K33" s="1330">
        <f t="shared" si="2"/>
        <v>0</v>
      </c>
      <c r="L33" s="1330">
        <f t="shared" si="2"/>
        <v>0</v>
      </c>
      <c r="M33" s="1330">
        <f t="shared" si="3"/>
        <v>0</v>
      </c>
      <c r="N33" s="1330">
        <f>RBBD!I18</f>
        <v>0</v>
      </c>
      <c r="O33" s="1330">
        <f>RBBD!J18</f>
        <v>0</v>
      </c>
      <c r="P33" s="1330">
        <f>RBBD!K18</f>
        <v>0</v>
      </c>
      <c r="Q33" s="1330">
        <f>RBBD!L18</f>
        <v>0</v>
      </c>
      <c r="R33" s="1330">
        <f>RBBD!M18</f>
        <v>0</v>
      </c>
      <c r="S33" s="1330">
        <f>RBBD!N18</f>
        <v>0</v>
      </c>
      <c r="T33" s="1330">
        <f>RBBD!O18</f>
        <v>0</v>
      </c>
      <c r="U33" s="1330">
        <f>RBBD!P18</f>
        <v>0</v>
      </c>
      <c r="V33" s="1330">
        <f>RBBD!Q18</f>
        <v>0</v>
      </c>
      <c r="W33" s="1330">
        <f>RBBD!R18</f>
        <v>0</v>
      </c>
      <c r="X33" s="1330">
        <f>RBBD!S18</f>
        <v>0</v>
      </c>
      <c r="Y33" s="1330">
        <f>RBBD!T18</f>
        <v>0</v>
      </c>
      <c r="Z33" s="65"/>
      <c r="AA33" s="329">
        <f t="shared" si="4"/>
        <v>0</v>
      </c>
    </row>
    <row r="34" spans="2:27" hidden="1">
      <c r="B34" s="1330">
        <f>RBBD!B19</f>
        <v>0</v>
      </c>
      <c r="C34" s="1330">
        <f>RBBD!C19</f>
        <v>0</v>
      </c>
      <c r="D34" s="1330">
        <f>RBBD!D19</f>
        <v>0</v>
      </c>
      <c r="E34" s="1330">
        <f>RBBD!G19</f>
        <v>0</v>
      </c>
      <c r="F34" s="1330">
        <f>RBBD!H19</f>
        <v>0</v>
      </c>
      <c r="G34" s="1330">
        <f>RBBD!E19</f>
        <v>0</v>
      </c>
      <c r="H34" s="1330">
        <f>RBBD!F19</f>
        <v>0</v>
      </c>
      <c r="I34" s="1330">
        <f t="shared" si="2"/>
        <v>0</v>
      </c>
      <c r="J34" s="1330">
        <f t="shared" si="2"/>
        <v>0</v>
      </c>
      <c r="K34" s="1330">
        <f t="shared" si="2"/>
        <v>0</v>
      </c>
      <c r="L34" s="1330">
        <f t="shared" si="2"/>
        <v>0</v>
      </c>
      <c r="M34" s="1330">
        <f t="shared" si="3"/>
        <v>0</v>
      </c>
      <c r="N34" s="1330">
        <f>RBBD!I19</f>
        <v>0</v>
      </c>
      <c r="O34" s="1330">
        <f>RBBD!J19</f>
        <v>0</v>
      </c>
      <c r="P34" s="1330">
        <f>RBBD!K19</f>
        <v>0</v>
      </c>
      <c r="Q34" s="1330">
        <f>RBBD!L19</f>
        <v>0</v>
      </c>
      <c r="R34" s="1330">
        <f>RBBD!M19</f>
        <v>0</v>
      </c>
      <c r="S34" s="1330">
        <f>RBBD!N19</f>
        <v>0</v>
      </c>
      <c r="T34" s="1330">
        <f>RBBD!O19</f>
        <v>0</v>
      </c>
      <c r="U34" s="1330">
        <f>RBBD!P19</f>
        <v>0</v>
      </c>
      <c r="V34" s="1330">
        <f>RBBD!Q19</f>
        <v>0</v>
      </c>
      <c r="W34" s="1330">
        <f>RBBD!R19</f>
        <v>0</v>
      </c>
      <c r="X34" s="1330">
        <f>RBBD!S19</f>
        <v>0</v>
      </c>
      <c r="Y34" s="1330">
        <f>RBBD!T19</f>
        <v>0</v>
      </c>
      <c r="Z34" s="65"/>
      <c r="AA34" s="329">
        <f t="shared" si="4"/>
        <v>0</v>
      </c>
    </row>
    <row r="35" spans="2:27" hidden="1">
      <c r="B35" s="1330">
        <f>RBBD!B20</f>
        <v>0</v>
      </c>
      <c r="C35" s="1330">
        <f>RBBD!C20</f>
        <v>0</v>
      </c>
      <c r="D35" s="1330">
        <f>RBBD!D20</f>
        <v>0</v>
      </c>
      <c r="E35" s="1330">
        <f>RBBD!G20</f>
        <v>0</v>
      </c>
      <c r="F35" s="1330">
        <f>RBBD!H20</f>
        <v>0</v>
      </c>
      <c r="G35" s="1330">
        <f>RBBD!E20</f>
        <v>0</v>
      </c>
      <c r="H35" s="1330">
        <f>RBBD!F20</f>
        <v>0</v>
      </c>
      <c r="I35" s="1330">
        <f t="shared" si="2"/>
        <v>0</v>
      </c>
      <c r="J35" s="1330">
        <f t="shared" si="2"/>
        <v>0</v>
      </c>
      <c r="K35" s="1330">
        <f t="shared" si="2"/>
        <v>0</v>
      </c>
      <c r="L35" s="1330">
        <f t="shared" si="2"/>
        <v>0</v>
      </c>
      <c r="M35" s="1330">
        <f t="shared" si="3"/>
        <v>0</v>
      </c>
      <c r="N35" s="1330">
        <f>RBBD!I20</f>
        <v>0</v>
      </c>
      <c r="O35" s="1330">
        <f>RBBD!J20</f>
        <v>0</v>
      </c>
      <c r="P35" s="1330">
        <f>RBBD!K20</f>
        <v>0</v>
      </c>
      <c r="Q35" s="1330">
        <f>RBBD!L20</f>
        <v>0</v>
      </c>
      <c r="R35" s="1330">
        <f>RBBD!M20</f>
        <v>0</v>
      </c>
      <c r="S35" s="1330">
        <f>RBBD!N20</f>
        <v>0</v>
      </c>
      <c r="T35" s="1330">
        <f>RBBD!O20</f>
        <v>0</v>
      </c>
      <c r="U35" s="1330">
        <f>RBBD!P20</f>
        <v>0</v>
      </c>
      <c r="V35" s="1330">
        <f>RBBD!Q20</f>
        <v>0</v>
      </c>
      <c r="W35" s="1330">
        <f>RBBD!R20</f>
        <v>0</v>
      </c>
      <c r="X35" s="1330">
        <f>RBBD!S20</f>
        <v>0</v>
      </c>
      <c r="Y35" s="1330">
        <f>RBBD!T20</f>
        <v>0</v>
      </c>
      <c r="Z35" s="65"/>
      <c r="AA35" s="329">
        <f t="shared" si="4"/>
        <v>0</v>
      </c>
    </row>
    <row r="36" spans="2:27" hidden="1">
      <c r="B36" s="1330">
        <f>RBBD!B21</f>
        <v>0</v>
      </c>
      <c r="C36" s="1330">
        <f>RBBD!C21</f>
        <v>0</v>
      </c>
      <c r="D36" s="1330">
        <f>RBBD!D21</f>
        <v>0</v>
      </c>
      <c r="E36" s="1330">
        <f>RBBD!G21</f>
        <v>0</v>
      </c>
      <c r="F36" s="1330">
        <f>RBBD!H21</f>
        <v>0</v>
      </c>
      <c r="G36" s="1330">
        <f>RBBD!E21</f>
        <v>0</v>
      </c>
      <c r="H36" s="1330">
        <f>RBBD!F21</f>
        <v>0</v>
      </c>
      <c r="I36" s="1330">
        <f t="shared" si="2"/>
        <v>0</v>
      </c>
      <c r="J36" s="1330">
        <f t="shared" si="2"/>
        <v>0</v>
      </c>
      <c r="K36" s="1330">
        <f t="shared" si="2"/>
        <v>0</v>
      </c>
      <c r="L36" s="1330">
        <f t="shared" si="2"/>
        <v>0</v>
      </c>
      <c r="M36" s="1330">
        <f t="shared" si="3"/>
        <v>0</v>
      </c>
      <c r="N36" s="1330">
        <f>RBBD!I21</f>
        <v>0</v>
      </c>
      <c r="O36" s="1330">
        <f>RBBD!J21</f>
        <v>0</v>
      </c>
      <c r="P36" s="1330">
        <f>RBBD!K21</f>
        <v>0</v>
      </c>
      <c r="Q36" s="1330">
        <f>RBBD!L21</f>
        <v>0</v>
      </c>
      <c r="R36" s="1330">
        <f>RBBD!M21</f>
        <v>0</v>
      </c>
      <c r="S36" s="1330">
        <f>RBBD!N21</f>
        <v>0</v>
      </c>
      <c r="T36" s="1330">
        <f>RBBD!O21</f>
        <v>0</v>
      </c>
      <c r="U36" s="1330">
        <f>RBBD!P21</f>
        <v>0</v>
      </c>
      <c r="V36" s="1330">
        <f>RBBD!Q21</f>
        <v>0</v>
      </c>
      <c r="W36" s="1330">
        <f>RBBD!R21</f>
        <v>0</v>
      </c>
      <c r="X36" s="1330">
        <f>RBBD!S21</f>
        <v>0</v>
      </c>
      <c r="Y36" s="1330">
        <f>RBBD!T21</f>
        <v>0</v>
      </c>
      <c r="Z36" s="65"/>
      <c r="AA36" s="329">
        <f t="shared" si="4"/>
        <v>0</v>
      </c>
    </row>
    <row r="37" spans="2:27" hidden="1">
      <c r="B37" s="1330">
        <f>RBBD!B22</f>
        <v>0</v>
      </c>
      <c r="C37" s="1330">
        <f>RBBD!C22</f>
        <v>0</v>
      </c>
      <c r="D37" s="1330">
        <f>RBBD!D22</f>
        <v>0</v>
      </c>
      <c r="E37" s="1330">
        <f>RBBD!G22</f>
        <v>0</v>
      </c>
      <c r="F37" s="1330">
        <f>RBBD!H22</f>
        <v>0</v>
      </c>
      <c r="G37" s="1330">
        <f>RBBD!E22</f>
        <v>0</v>
      </c>
      <c r="H37" s="1330">
        <f>RBBD!F22</f>
        <v>0</v>
      </c>
      <c r="I37" s="1330">
        <f t="shared" si="2"/>
        <v>0</v>
      </c>
      <c r="J37" s="1330">
        <f t="shared" si="2"/>
        <v>0</v>
      </c>
      <c r="K37" s="1330">
        <f t="shared" si="2"/>
        <v>0</v>
      </c>
      <c r="L37" s="1330">
        <f t="shared" si="2"/>
        <v>0</v>
      </c>
      <c r="M37" s="1330">
        <f t="shared" si="3"/>
        <v>0</v>
      </c>
      <c r="N37" s="1330">
        <f>RBBD!I22</f>
        <v>0</v>
      </c>
      <c r="O37" s="1330">
        <f>RBBD!J22</f>
        <v>0</v>
      </c>
      <c r="P37" s="1330">
        <f>RBBD!K22</f>
        <v>0</v>
      </c>
      <c r="Q37" s="1330">
        <f>RBBD!L22</f>
        <v>0</v>
      </c>
      <c r="R37" s="1330">
        <f>RBBD!M22</f>
        <v>0</v>
      </c>
      <c r="S37" s="1330">
        <f>RBBD!N22</f>
        <v>0</v>
      </c>
      <c r="T37" s="1330">
        <f>RBBD!O22</f>
        <v>0</v>
      </c>
      <c r="U37" s="1330">
        <f>RBBD!P22</f>
        <v>0</v>
      </c>
      <c r="V37" s="1330">
        <f>RBBD!Q22</f>
        <v>0</v>
      </c>
      <c r="W37" s="1330">
        <f>RBBD!R22</f>
        <v>0</v>
      </c>
      <c r="X37" s="1330">
        <f>RBBD!S22</f>
        <v>0</v>
      </c>
      <c r="Y37" s="1330">
        <f>RBBD!T22</f>
        <v>0</v>
      </c>
      <c r="Z37" s="65"/>
      <c r="AA37" s="329">
        <f t="shared" si="4"/>
        <v>0</v>
      </c>
    </row>
    <row r="38" spans="2:27" hidden="1">
      <c r="B38" s="1330">
        <f>RBBD!B23</f>
        <v>0</v>
      </c>
      <c r="C38" s="1330">
        <f>RBBD!C23</f>
        <v>0</v>
      </c>
      <c r="D38" s="1330">
        <f>RBBD!D23</f>
        <v>0</v>
      </c>
      <c r="E38" s="1330">
        <f>RBBD!G23</f>
        <v>0</v>
      </c>
      <c r="F38" s="1330">
        <f>RBBD!H23</f>
        <v>0</v>
      </c>
      <c r="G38" s="1330">
        <f>RBBD!E23</f>
        <v>0</v>
      </c>
      <c r="H38" s="1330">
        <f>RBBD!F23</f>
        <v>0</v>
      </c>
      <c r="I38" s="1330">
        <f t="shared" si="2"/>
        <v>0</v>
      </c>
      <c r="J38" s="1330">
        <f t="shared" si="2"/>
        <v>0</v>
      </c>
      <c r="K38" s="1330">
        <f t="shared" si="2"/>
        <v>0</v>
      </c>
      <c r="L38" s="1330">
        <f t="shared" si="2"/>
        <v>0</v>
      </c>
      <c r="M38" s="1330">
        <f t="shared" si="3"/>
        <v>0</v>
      </c>
      <c r="N38" s="1330">
        <f>RBBD!I23</f>
        <v>0</v>
      </c>
      <c r="O38" s="1330">
        <f>RBBD!J23</f>
        <v>0</v>
      </c>
      <c r="P38" s="1330">
        <f>RBBD!K23</f>
        <v>0</v>
      </c>
      <c r="Q38" s="1330">
        <f>RBBD!L23</f>
        <v>0</v>
      </c>
      <c r="R38" s="1330">
        <f>RBBD!M23</f>
        <v>0</v>
      </c>
      <c r="S38" s="1330">
        <f>RBBD!N23</f>
        <v>0</v>
      </c>
      <c r="T38" s="1330">
        <f>RBBD!O23</f>
        <v>0</v>
      </c>
      <c r="U38" s="1330">
        <f>RBBD!P23</f>
        <v>0</v>
      </c>
      <c r="V38" s="1330">
        <f>RBBD!Q23</f>
        <v>0</v>
      </c>
      <c r="W38" s="1330">
        <f>RBBD!R23</f>
        <v>0</v>
      </c>
      <c r="X38" s="1330">
        <f>RBBD!S23</f>
        <v>0</v>
      </c>
      <c r="Y38" s="1330">
        <f>RBBD!T23</f>
        <v>0</v>
      </c>
      <c r="Z38" s="65"/>
      <c r="AA38" s="329">
        <f t="shared" si="4"/>
        <v>0</v>
      </c>
    </row>
    <row r="39" spans="2:27" hidden="1">
      <c r="B39" s="1330">
        <f>RBBD!B24</f>
        <v>0</v>
      </c>
      <c r="C39" s="1330">
        <f>RBBD!C24</f>
        <v>0</v>
      </c>
      <c r="D39" s="1330">
        <f>RBBD!D24</f>
        <v>0</v>
      </c>
      <c r="E39" s="1330">
        <f>RBBD!G24</f>
        <v>0</v>
      </c>
      <c r="F39" s="1330">
        <f>RBBD!H24</f>
        <v>0</v>
      </c>
      <c r="G39" s="1330">
        <f>RBBD!E24</f>
        <v>0</v>
      </c>
      <c r="H39" s="1330">
        <f>RBBD!F24</f>
        <v>0</v>
      </c>
      <c r="I39" s="1330">
        <f t="shared" si="2"/>
        <v>0</v>
      </c>
      <c r="J39" s="1330">
        <f t="shared" si="2"/>
        <v>0</v>
      </c>
      <c r="K39" s="1330">
        <f t="shared" si="2"/>
        <v>0</v>
      </c>
      <c r="L39" s="1330">
        <f t="shared" si="2"/>
        <v>0</v>
      </c>
      <c r="M39" s="1330">
        <f t="shared" si="3"/>
        <v>0</v>
      </c>
      <c r="N39" s="1330">
        <f>RBBD!I24</f>
        <v>0</v>
      </c>
      <c r="O39" s="1330">
        <f>RBBD!J24</f>
        <v>0</v>
      </c>
      <c r="P39" s="1330">
        <f>RBBD!K24</f>
        <v>0</v>
      </c>
      <c r="Q39" s="1330">
        <f>RBBD!L24</f>
        <v>0</v>
      </c>
      <c r="R39" s="1330">
        <f>RBBD!M24</f>
        <v>0</v>
      </c>
      <c r="S39" s="1330">
        <f>RBBD!N24</f>
        <v>0</v>
      </c>
      <c r="T39" s="1330">
        <f>RBBD!O24</f>
        <v>0</v>
      </c>
      <c r="U39" s="1330">
        <f>RBBD!P24</f>
        <v>0</v>
      </c>
      <c r="V39" s="1330">
        <f>RBBD!Q24</f>
        <v>0</v>
      </c>
      <c r="W39" s="1330">
        <f>RBBD!R24</f>
        <v>0</v>
      </c>
      <c r="X39" s="1330">
        <f>RBBD!S24</f>
        <v>0</v>
      </c>
      <c r="Y39" s="1330">
        <f>RBBD!T24</f>
        <v>0</v>
      </c>
      <c r="Z39" s="65"/>
      <c r="AA39" s="329">
        <f t="shared" ref="AA39:AA60" si="5">IF(B39=0,0,1)</f>
        <v>0</v>
      </c>
    </row>
    <row r="40" spans="2:27" hidden="1">
      <c r="B40" s="1330">
        <f>RBBD!B25</f>
        <v>0</v>
      </c>
      <c r="C40" s="1330">
        <f>RBBD!C25</f>
        <v>0</v>
      </c>
      <c r="D40" s="1330">
        <f>RBBD!D25</f>
        <v>0</v>
      </c>
      <c r="E40" s="1330">
        <f>RBBD!G25</f>
        <v>0</v>
      </c>
      <c r="F40" s="1330">
        <f>RBBD!H25</f>
        <v>0</v>
      </c>
      <c r="G40" s="1330">
        <f>RBBD!E25</f>
        <v>0</v>
      </c>
      <c r="H40" s="1330">
        <f>RBBD!F25</f>
        <v>0</v>
      </c>
      <c r="I40" s="1330">
        <f t="shared" si="2"/>
        <v>0</v>
      </c>
      <c r="J40" s="1330">
        <f t="shared" si="2"/>
        <v>0</v>
      </c>
      <c r="K40" s="1330">
        <f t="shared" si="2"/>
        <v>0</v>
      </c>
      <c r="L40" s="1330">
        <f t="shared" si="2"/>
        <v>0</v>
      </c>
      <c r="M40" s="1330">
        <f t="shared" si="3"/>
        <v>0</v>
      </c>
      <c r="N40" s="1330">
        <f>RBBD!I25</f>
        <v>0</v>
      </c>
      <c r="O40" s="1330">
        <f>RBBD!J25</f>
        <v>0</v>
      </c>
      <c r="P40" s="1330">
        <f>RBBD!K25</f>
        <v>0</v>
      </c>
      <c r="Q40" s="1330">
        <f>RBBD!L25</f>
        <v>0</v>
      </c>
      <c r="R40" s="1330">
        <f>RBBD!M25</f>
        <v>0</v>
      </c>
      <c r="S40" s="1330">
        <f>RBBD!N25</f>
        <v>0</v>
      </c>
      <c r="T40" s="1330">
        <f>RBBD!O25</f>
        <v>0</v>
      </c>
      <c r="U40" s="1330">
        <f>RBBD!P25</f>
        <v>0</v>
      </c>
      <c r="V40" s="1330">
        <f>RBBD!Q25</f>
        <v>0</v>
      </c>
      <c r="W40" s="1330">
        <f>RBBD!R25</f>
        <v>0</v>
      </c>
      <c r="X40" s="1330">
        <f>RBBD!S25</f>
        <v>0</v>
      </c>
      <c r="Y40" s="1330">
        <f>RBBD!T25</f>
        <v>0</v>
      </c>
      <c r="Z40" s="65"/>
      <c r="AA40" s="329">
        <f t="shared" si="5"/>
        <v>0</v>
      </c>
    </row>
    <row r="41" spans="2:27" hidden="1">
      <c r="B41" s="1330">
        <f>RBBD!B26</f>
        <v>0</v>
      </c>
      <c r="C41" s="1330">
        <f>RBBD!C26</f>
        <v>0</v>
      </c>
      <c r="D41" s="1330">
        <f>RBBD!D26</f>
        <v>0</v>
      </c>
      <c r="E41" s="1330">
        <f>RBBD!G26</f>
        <v>0</v>
      </c>
      <c r="F41" s="1330">
        <f>RBBD!H26</f>
        <v>0</v>
      </c>
      <c r="G41" s="1330">
        <f>RBBD!E26</f>
        <v>0</v>
      </c>
      <c r="H41" s="1330">
        <f>RBBD!F26</f>
        <v>0</v>
      </c>
      <c r="I41" s="1330">
        <f t="shared" si="2"/>
        <v>0</v>
      </c>
      <c r="J41" s="1330">
        <f t="shared" si="2"/>
        <v>0</v>
      </c>
      <c r="K41" s="1330">
        <f t="shared" si="2"/>
        <v>0</v>
      </c>
      <c r="L41" s="1330">
        <f t="shared" si="2"/>
        <v>0</v>
      </c>
      <c r="M41" s="1330">
        <f t="shared" si="3"/>
        <v>0</v>
      </c>
      <c r="N41" s="1330">
        <f>RBBD!I26</f>
        <v>0</v>
      </c>
      <c r="O41" s="1330">
        <f>RBBD!J26</f>
        <v>0</v>
      </c>
      <c r="P41" s="1330">
        <f>RBBD!K26</f>
        <v>0</v>
      </c>
      <c r="Q41" s="1330">
        <f>RBBD!L26</f>
        <v>0</v>
      </c>
      <c r="R41" s="1330">
        <f>RBBD!M26</f>
        <v>0</v>
      </c>
      <c r="S41" s="1330">
        <f>RBBD!N26</f>
        <v>0</v>
      </c>
      <c r="T41" s="1330">
        <f>RBBD!O26</f>
        <v>0</v>
      </c>
      <c r="U41" s="1330">
        <f>RBBD!P26</f>
        <v>0</v>
      </c>
      <c r="V41" s="1330">
        <f>RBBD!Q26</f>
        <v>0</v>
      </c>
      <c r="W41" s="1330">
        <f>RBBD!R26</f>
        <v>0</v>
      </c>
      <c r="X41" s="1330">
        <f>RBBD!S26</f>
        <v>0</v>
      </c>
      <c r="Y41" s="1330">
        <f>RBBD!T26</f>
        <v>0</v>
      </c>
      <c r="Z41" s="65"/>
      <c r="AA41" s="329">
        <f t="shared" si="5"/>
        <v>0</v>
      </c>
    </row>
    <row r="42" spans="2:27" hidden="1">
      <c r="B42" s="1330">
        <f>RBBD!B27</f>
        <v>0</v>
      </c>
      <c r="C42" s="1330">
        <f>RBBD!C27</f>
        <v>0</v>
      </c>
      <c r="D42" s="1330">
        <f>RBBD!D27</f>
        <v>0</v>
      </c>
      <c r="E42" s="1330">
        <f>RBBD!G27</f>
        <v>0</v>
      </c>
      <c r="F42" s="1330">
        <f>RBBD!H27</f>
        <v>0</v>
      </c>
      <c r="G42" s="1330">
        <f>RBBD!E27</f>
        <v>0</v>
      </c>
      <c r="H42" s="1330">
        <f>RBBD!F27</f>
        <v>0</v>
      </c>
      <c r="I42" s="1330">
        <f t="shared" si="2"/>
        <v>0</v>
      </c>
      <c r="J42" s="1330">
        <f t="shared" si="2"/>
        <v>0</v>
      </c>
      <c r="K42" s="1330">
        <f t="shared" si="2"/>
        <v>0</v>
      </c>
      <c r="L42" s="1330">
        <f t="shared" si="2"/>
        <v>0</v>
      </c>
      <c r="M42" s="1330">
        <f t="shared" si="3"/>
        <v>0</v>
      </c>
      <c r="N42" s="1330">
        <f>RBBD!I27</f>
        <v>0</v>
      </c>
      <c r="O42" s="1330">
        <f>RBBD!J27</f>
        <v>0</v>
      </c>
      <c r="P42" s="1330">
        <f>RBBD!K27</f>
        <v>0</v>
      </c>
      <c r="Q42" s="1330">
        <f>RBBD!L27</f>
        <v>0</v>
      </c>
      <c r="R42" s="1330">
        <f>RBBD!M27</f>
        <v>0</v>
      </c>
      <c r="S42" s="1330">
        <f>RBBD!N27</f>
        <v>0</v>
      </c>
      <c r="T42" s="1330">
        <f>RBBD!O27</f>
        <v>0</v>
      </c>
      <c r="U42" s="1330">
        <f>RBBD!P27</f>
        <v>0</v>
      </c>
      <c r="V42" s="1330">
        <f>RBBD!Q27</f>
        <v>0</v>
      </c>
      <c r="W42" s="1330">
        <f>RBBD!R27</f>
        <v>0</v>
      </c>
      <c r="X42" s="1330">
        <f>RBBD!S27</f>
        <v>0</v>
      </c>
      <c r="Y42" s="1330">
        <f>RBBD!T27</f>
        <v>0</v>
      </c>
      <c r="Z42" s="65"/>
      <c r="AA42" s="329">
        <f t="shared" si="5"/>
        <v>0</v>
      </c>
    </row>
    <row r="43" spans="2:27" hidden="1">
      <c r="B43" s="1330">
        <f>RBBD!B28</f>
        <v>0</v>
      </c>
      <c r="C43" s="1330">
        <f>RBBD!C28</f>
        <v>0</v>
      </c>
      <c r="D43" s="1330">
        <f>RBBD!D28</f>
        <v>0</v>
      </c>
      <c r="E43" s="1330">
        <f>RBBD!G28</f>
        <v>0</v>
      </c>
      <c r="F43" s="1330">
        <f>RBBD!H28</f>
        <v>0</v>
      </c>
      <c r="G43" s="1330">
        <f>RBBD!E28</f>
        <v>0</v>
      </c>
      <c r="H43" s="1330">
        <f>RBBD!F28</f>
        <v>0</v>
      </c>
      <c r="I43" s="1330">
        <f t="shared" si="2"/>
        <v>0</v>
      </c>
      <c r="J43" s="1330">
        <f t="shared" si="2"/>
        <v>0</v>
      </c>
      <c r="K43" s="1330">
        <f t="shared" si="2"/>
        <v>0</v>
      </c>
      <c r="L43" s="1330">
        <f t="shared" si="2"/>
        <v>0</v>
      </c>
      <c r="M43" s="1330">
        <f t="shared" si="3"/>
        <v>0</v>
      </c>
      <c r="N43" s="1330">
        <f>RBBD!I28</f>
        <v>0</v>
      </c>
      <c r="O43" s="1330">
        <f>RBBD!J28</f>
        <v>0</v>
      </c>
      <c r="P43" s="1330">
        <f>RBBD!K28</f>
        <v>0</v>
      </c>
      <c r="Q43" s="1330">
        <f>RBBD!L28</f>
        <v>0</v>
      </c>
      <c r="R43" s="1330">
        <f>RBBD!M28</f>
        <v>0</v>
      </c>
      <c r="S43" s="1330">
        <f>RBBD!N28</f>
        <v>0</v>
      </c>
      <c r="T43" s="1330">
        <f>RBBD!O28</f>
        <v>0</v>
      </c>
      <c r="U43" s="1330">
        <f>RBBD!P28</f>
        <v>0</v>
      </c>
      <c r="V43" s="1330">
        <f>RBBD!Q28</f>
        <v>0</v>
      </c>
      <c r="W43" s="1330">
        <f>RBBD!R28</f>
        <v>0</v>
      </c>
      <c r="X43" s="1330">
        <f>RBBD!S28</f>
        <v>0</v>
      </c>
      <c r="Y43" s="1330">
        <f>RBBD!T28</f>
        <v>0</v>
      </c>
      <c r="Z43" s="65"/>
      <c r="AA43" s="329">
        <f t="shared" si="5"/>
        <v>0</v>
      </c>
    </row>
    <row r="44" spans="2:27" hidden="1">
      <c r="B44" s="1330">
        <f>RBBD!B29</f>
        <v>0</v>
      </c>
      <c r="C44" s="1330">
        <f>RBBD!C29</f>
        <v>0</v>
      </c>
      <c r="D44" s="1330">
        <f>RBBD!D29</f>
        <v>0</v>
      </c>
      <c r="E44" s="1330">
        <f>RBBD!G29</f>
        <v>0</v>
      </c>
      <c r="F44" s="1330">
        <f>RBBD!H29</f>
        <v>0</v>
      </c>
      <c r="G44" s="1330">
        <f>RBBD!E29</f>
        <v>0</v>
      </c>
      <c r="H44" s="1330">
        <f>RBBD!F29</f>
        <v>0</v>
      </c>
      <c r="I44" s="1330">
        <f t="shared" si="2"/>
        <v>0</v>
      </c>
      <c r="J44" s="1330">
        <f t="shared" si="2"/>
        <v>0</v>
      </c>
      <c r="K44" s="1330">
        <f t="shared" si="2"/>
        <v>0</v>
      </c>
      <c r="L44" s="1330">
        <f t="shared" si="2"/>
        <v>0</v>
      </c>
      <c r="M44" s="1330">
        <f t="shared" si="3"/>
        <v>0</v>
      </c>
      <c r="N44" s="1330">
        <f>RBBD!I29</f>
        <v>0</v>
      </c>
      <c r="O44" s="1330">
        <f>RBBD!J29</f>
        <v>0</v>
      </c>
      <c r="P44" s="1330">
        <f>RBBD!K29</f>
        <v>0</v>
      </c>
      <c r="Q44" s="1330">
        <f>RBBD!L29</f>
        <v>0</v>
      </c>
      <c r="R44" s="1330">
        <f>RBBD!M29</f>
        <v>0</v>
      </c>
      <c r="S44" s="1330">
        <f>RBBD!N29</f>
        <v>0</v>
      </c>
      <c r="T44" s="1330">
        <f>RBBD!O29</f>
        <v>0</v>
      </c>
      <c r="U44" s="1330">
        <f>RBBD!P29</f>
        <v>0</v>
      </c>
      <c r="V44" s="1330">
        <f>RBBD!Q29</f>
        <v>0</v>
      </c>
      <c r="W44" s="1330">
        <f>RBBD!R29</f>
        <v>0</v>
      </c>
      <c r="X44" s="1330">
        <f>RBBD!S29</f>
        <v>0</v>
      </c>
      <c r="Y44" s="1330">
        <f>RBBD!T29</f>
        <v>0</v>
      </c>
      <c r="Z44" s="65"/>
      <c r="AA44" s="329">
        <f t="shared" si="5"/>
        <v>0</v>
      </c>
    </row>
    <row r="45" spans="2:27" hidden="1">
      <c r="B45" s="1330">
        <f>RBBD!B30</f>
        <v>0</v>
      </c>
      <c r="C45" s="1330">
        <f>RBBD!C30</f>
        <v>0</v>
      </c>
      <c r="D45" s="1330">
        <f>RBBD!D30</f>
        <v>0</v>
      </c>
      <c r="E45" s="1330">
        <f>RBBD!G30</f>
        <v>0</v>
      </c>
      <c r="F45" s="1330">
        <f>RBBD!H30</f>
        <v>0</v>
      </c>
      <c r="G45" s="1330">
        <f>RBBD!E30</f>
        <v>0</v>
      </c>
      <c r="H45" s="1330">
        <f>RBBD!F30</f>
        <v>0</v>
      </c>
      <c r="I45" s="1330">
        <f t="shared" si="2"/>
        <v>0</v>
      </c>
      <c r="J45" s="1330">
        <f t="shared" si="2"/>
        <v>0</v>
      </c>
      <c r="K45" s="1330">
        <f t="shared" si="2"/>
        <v>0</v>
      </c>
      <c r="L45" s="1330">
        <f t="shared" si="2"/>
        <v>0</v>
      </c>
      <c r="M45" s="1330">
        <f t="shared" si="3"/>
        <v>0</v>
      </c>
      <c r="N45" s="1330">
        <f>RBBD!I30</f>
        <v>0</v>
      </c>
      <c r="O45" s="1330">
        <f>RBBD!J30</f>
        <v>0</v>
      </c>
      <c r="P45" s="1330">
        <f>RBBD!K30</f>
        <v>0</v>
      </c>
      <c r="Q45" s="1330">
        <f>RBBD!L30</f>
        <v>0</v>
      </c>
      <c r="R45" s="1330">
        <f>RBBD!M30</f>
        <v>0</v>
      </c>
      <c r="S45" s="1330">
        <f>RBBD!N30</f>
        <v>0</v>
      </c>
      <c r="T45" s="1330">
        <f>RBBD!O30</f>
        <v>0</v>
      </c>
      <c r="U45" s="1330">
        <f>RBBD!P30</f>
        <v>0</v>
      </c>
      <c r="V45" s="1330">
        <f>RBBD!Q30</f>
        <v>0</v>
      </c>
      <c r="W45" s="1330">
        <f>RBBD!R30</f>
        <v>0</v>
      </c>
      <c r="X45" s="1330">
        <f>RBBD!S30</f>
        <v>0</v>
      </c>
      <c r="Y45" s="1330">
        <f>RBBD!T30</f>
        <v>0</v>
      </c>
      <c r="Z45" s="65"/>
      <c r="AA45" s="329">
        <f t="shared" si="5"/>
        <v>0</v>
      </c>
    </row>
    <row r="46" spans="2:27" hidden="1">
      <c r="B46" s="1330">
        <f>RBBD!B31</f>
        <v>0</v>
      </c>
      <c r="C46" s="1330">
        <f>RBBD!C31</f>
        <v>0</v>
      </c>
      <c r="D46" s="1330">
        <f>RBBD!D31</f>
        <v>0</v>
      </c>
      <c r="E46" s="1330">
        <f>RBBD!G31</f>
        <v>0</v>
      </c>
      <c r="F46" s="1330">
        <f>RBBD!H31</f>
        <v>0</v>
      </c>
      <c r="G46" s="1330">
        <f>RBBD!E31</f>
        <v>0</v>
      </c>
      <c r="H46" s="1330">
        <f>RBBD!F31</f>
        <v>0</v>
      </c>
      <c r="I46" s="1330">
        <f t="shared" si="2"/>
        <v>0</v>
      </c>
      <c r="J46" s="1330">
        <f t="shared" si="2"/>
        <v>0</v>
      </c>
      <c r="K46" s="1330">
        <f t="shared" si="2"/>
        <v>0</v>
      </c>
      <c r="L46" s="1330">
        <f t="shared" si="2"/>
        <v>0</v>
      </c>
      <c r="M46" s="1330">
        <f t="shared" si="3"/>
        <v>0</v>
      </c>
      <c r="N46" s="1330">
        <f>RBBD!I31</f>
        <v>0</v>
      </c>
      <c r="O46" s="1330">
        <f>RBBD!J31</f>
        <v>0</v>
      </c>
      <c r="P46" s="1330">
        <f>RBBD!K31</f>
        <v>0</v>
      </c>
      <c r="Q46" s="1330">
        <f>RBBD!L31</f>
        <v>0</v>
      </c>
      <c r="R46" s="1330">
        <f>RBBD!M31</f>
        <v>0</v>
      </c>
      <c r="S46" s="1330">
        <f>RBBD!N31</f>
        <v>0</v>
      </c>
      <c r="T46" s="1330">
        <f>RBBD!O31</f>
        <v>0</v>
      </c>
      <c r="U46" s="1330">
        <f>RBBD!P31</f>
        <v>0</v>
      </c>
      <c r="V46" s="1330">
        <f>RBBD!Q31</f>
        <v>0</v>
      </c>
      <c r="W46" s="1330">
        <f>RBBD!R31</f>
        <v>0</v>
      </c>
      <c r="X46" s="1330">
        <f>RBBD!S31</f>
        <v>0</v>
      </c>
      <c r="Y46" s="1330">
        <f>RBBD!T31</f>
        <v>0</v>
      </c>
      <c r="Z46" s="65"/>
      <c r="AA46" s="329">
        <f t="shared" si="5"/>
        <v>0</v>
      </c>
    </row>
    <row r="47" spans="2:27" hidden="1">
      <c r="B47" s="1330">
        <f>RBBD!B32</f>
        <v>0</v>
      </c>
      <c r="C47" s="1330">
        <f>RBBD!C32</f>
        <v>0</v>
      </c>
      <c r="D47" s="1330">
        <f>RBBD!D32</f>
        <v>0</v>
      </c>
      <c r="E47" s="1330">
        <f>RBBD!G32</f>
        <v>0</v>
      </c>
      <c r="F47" s="1330">
        <f>RBBD!H32</f>
        <v>0</v>
      </c>
      <c r="G47" s="1330">
        <f>RBBD!E32</f>
        <v>0</v>
      </c>
      <c r="H47" s="1330">
        <f>RBBD!F32</f>
        <v>0</v>
      </c>
      <c r="I47" s="1330">
        <f t="shared" si="2"/>
        <v>0</v>
      </c>
      <c r="J47" s="1330">
        <f t="shared" si="2"/>
        <v>0</v>
      </c>
      <c r="K47" s="1330">
        <f t="shared" si="2"/>
        <v>0</v>
      </c>
      <c r="L47" s="1330">
        <f t="shared" si="2"/>
        <v>0</v>
      </c>
      <c r="M47" s="1330">
        <f t="shared" si="3"/>
        <v>0</v>
      </c>
      <c r="N47" s="1330">
        <f>RBBD!I32</f>
        <v>0</v>
      </c>
      <c r="O47" s="1330">
        <f>RBBD!J32</f>
        <v>0</v>
      </c>
      <c r="P47" s="1330">
        <f>RBBD!K32</f>
        <v>0</v>
      </c>
      <c r="Q47" s="1330">
        <f>RBBD!L32</f>
        <v>0</v>
      </c>
      <c r="R47" s="1330">
        <f>RBBD!M32</f>
        <v>0</v>
      </c>
      <c r="S47" s="1330">
        <f>RBBD!N32</f>
        <v>0</v>
      </c>
      <c r="T47" s="1330">
        <f>RBBD!O32</f>
        <v>0</v>
      </c>
      <c r="U47" s="1330">
        <f>RBBD!P32</f>
        <v>0</v>
      </c>
      <c r="V47" s="1330">
        <f>RBBD!Q32</f>
        <v>0</v>
      </c>
      <c r="W47" s="1330">
        <f>RBBD!R32</f>
        <v>0</v>
      </c>
      <c r="X47" s="1330">
        <f>RBBD!S32</f>
        <v>0</v>
      </c>
      <c r="Y47" s="1330">
        <f>RBBD!T32</f>
        <v>0</v>
      </c>
      <c r="Z47" s="65"/>
      <c r="AA47" s="329">
        <f t="shared" si="5"/>
        <v>0</v>
      </c>
    </row>
    <row r="48" spans="2:27" hidden="1">
      <c r="B48" s="1330">
        <f>RBBD!B33</f>
        <v>0</v>
      </c>
      <c r="C48" s="1330">
        <f>RBBD!C33</f>
        <v>0</v>
      </c>
      <c r="D48" s="1330">
        <f>RBBD!D33</f>
        <v>0</v>
      </c>
      <c r="E48" s="1330">
        <f>RBBD!G33</f>
        <v>0</v>
      </c>
      <c r="F48" s="1330">
        <f>RBBD!H33</f>
        <v>0</v>
      </c>
      <c r="G48" s="1330">
        <f>RBBD!E33</f>
        <v>0</v>
      </c>
      <c r="H48" s="1330">
        <f>RBBD!F33</f>
        <v>0</v>
      </c>
      <c r="I48" s="1330">
        <f t="shared" si="2"/>
        <v>0</v>
      </c>
      <c r="J48" s="1330">
        <f t="shared" si="2"/>
        <v>0</v>
      </c>
      <c r="K48" s="1330">
        <f t="shared" si="2"/>
        <v>0</v>
      </c>
      <c r="L48" s="1330">
        <f t="shared" si="2"/>
        <v>0</v>
      </c>
      <c r="M48" s="1330">
        <f t="shared" si="3"/>
        <v>0</v>
      </c>
      <c r="N48" s="1330">
        <f>RBBD!I33</f>
        <v>0</v>
      </c>
      <c r="O48" s="1330">
        <f>RBBD!J33</f>
        <v>0</v>
      </c>
      <c r="P48" s="1330">
        <f>RBBD!K33</f>
        <v>0</v>
      </c>
      <c r="Q48" s="1330">
        <f>RBBD!L33</f>
        <v>0</v>
      </c>
      <c r="R48" s="1330">
        <f>RBBD!M33</f>
        <v>0</v>
      </c>
      <c r="S48" s="1330">
        <f>RBBD!N33</f>
        <v>0</v>
      </c>
      <c r="T48" s="1330">
        <f>RBBD!O33</f>
        <v>0</v>
      </c>
      <c r="U48" s="1330">
        <f>RBBD!P33</f>
        <v>0</v>
      </c>
      <c r="V48" s="1330">
        <f>RBBD!Q33</f>
        <v>0</v>
      </c>
      <c r="W48" s="1330">
        <f>RBBD!R33</f>
        <v>0</v>
      </c>
      <c r="X48" s="1330">
        <f>RBBD!S33</f>
        <v>0</v>
      </c>
      <c r="Y48" s="1330">
        <f>RBBD!T33</f>
        <v>0</v>
      </c>
      <c r="Z48" s="65"/>
      <c r="AA48" s="329">
        <f t="shared" si="5"/>
        <v>0</v>
      </c>
    </row>
    <row r="49" spans="2:27" hidden="1">
      <c r="B49" s="1330">
        <f>RBBD!B34</f>
        <v>0</v>
      </c>
      <c r="C49" s="1330">
        <f>RBBD!C34</f>
        <v>0</v>
      </c>
      <c r="D49" s="1330">
        <f>RBBD!D34</f>
        <v>0</v>
      </c>
      <c r="E49" s="1330">
        <f>RBBD!G34</f>
        <v>0</v>
      </c>
      <c r="F49" s="1330">
        <f>RBBD!H34</f>
        <v>0</v>
      </c>
      <c r="G49" s="1330">
        <f>RBBD!E34</f>
        <v>0</v>
      </c>
      <c r="H49" s="1330">
        <f>RBBD!F34</f>
        <v>0</v>
      </c>
      <c r="I49" s="1330">
        <f t="shared" si="2"/>
        <v>0</v>
      </c>
      <c r="J49" s="1330">
        <f t="shared" si="2"/>
        <v>0</v>
      </c>
      <c r="K49" s="1330">
        <f t="shared" si="2"/>
        <v>0</v>
      </c>
      <c r="L49" s="1330">
        <f t="shared" si="2"/>
        <v>0</v>
      </c>
      <c r="M49" s="1330">
        <f t="shared" si="3"/>
        <v>0</v>
      </c>
      <c r="N49" s="1330">
        <f>RBBD!I34</f>
        <v>0</v>
      </c>
      <c r="O49" s="1330">
        <f>RBBD!J34</f>
        <v>0</v>
      </c>
      <c r="P49" s="1330">
        <f>RBBD!K34</f>
        <v>0</v>
      </c>
      <c r="Q49" s="1330">
        <f>RBBD!L34</f>
        <v>0</v>
      </c>
      <c r="R49" s="1330">
        <f>RBBD!M34</f>
        <v>0</v>
      </c>
      <c r="S49" s="1330">
        <f>RBBD!N34</f>
        <v>0</v>
      </c>
      <c r="T49" s="1330">
        <f>RBBD!O34</f>
        <v>0</v>
      </c>
      <c r="U49" s="1330">
        <f>RBBD!P34</f>
        <v>0</v>
      </c>
      <c r="V49" s="1330">
        <f>RBBD!Q34</f>
        <v>0</v>
      </c>
      <c r="W49" s="1330">
        <f>RBBD!R34</f>
        <v>0</v>
      </c>
      <c r="X49" s="1330">
        <f>RBBD!S34</f>
        <v>0</v>
      </c>
      <c r="Y49" s="1330">
        <f>RBBD!T34</f>
        <v>0</v>
      </c>
      <c r="Z49" s="65"/>
      <c r="AA49" s="329">
        <f t="shared" si="5"/>
        <v>0</v>
      </c>
    </row>
    <row r="50" spans="2:27" hidden="1">
      <c r="B50" s="1330">
        <f>RBBD!B35</f>
        <v>0</v>
      </c>
      <c r="C50" s="1330">
        <f>RBBD!C35</f>
        <v>0</v>
      </c>
      <c r="D50" s="1330">
        <f>RBBD!D35</f>
        <v>0</v>
      </c>
      <c r="E50" s="1330">
        <f>RBBD!G35</f>
        <v>0</v>
      </c>
      <c r="F50" s="1330">
        <f>RBBD!H35</f>
        <v>0</v>
      </c>
      <c r="G50" s="1330">
        <f>RBBD!E35</f>
        <v>0</v>
      </c>
      <c r="H50" s="1330">
        <f>RBBD!F35</f>
        <v>0</v>
      </c>
      <c r="I50" s="1330">
        <f t="shared" si="2"/>
        <v>0</v>
      </c>
      <c r="J50" s="1330">
        <f t="shared" si="2"/>
        <v>0</v>
      </c>
      <c r="K50" s="1330">
        <f t="shared" si="2"/>
        <v>0</v>
      </c>
      <c r="L50" s="1330">
        <f t="shared" si="2"/>
        <v>0</v>
      </c>
      <c r="M50" s="1330">
        <f t="shared" si="3"/>
        <v>0</v>
      </c>
      <c r="N50" s="1330">
        <f>RBBD!I35</f>
        <v>0</v>
      </c>
      <c r="O50" s="1330">
        <f>RBBD!J35</f>
        <v>0</v>
      </c>
      <c r="P50" s="1330">
        <f>RBBD!K35</f>
        <v>0</v>
      </c>
      <c r="Q50" s="1330">
        <f>RBBD!L35</f>
        <v>0</v>
      </c>
      <c r="R50" s="1330">
        <f>RBBD!M35</f>
        <v>0</v>
      </c>
      <c r="S50" s="1330">
        <f>RBBD!N35</f>
        <v>0</v>
      </c>
      <c r="T50" s="1330">
        <f>RBBD!O35</f>
        <v>0</v>
      </c>
      <c r="U50" s="1330">
        <f>RBBD!P35</f>
        <v>0</v>
      </c>
      <c r="V50" s="1330">
        <f>RBBD!Q35</f>
        <v>0</v>
      </c>
      <c r="W50" s="1330">
        <f>RBBD!R35</f>
        <v>0</v>
      </c>
      <c r="X50" s="1330">
        <f>RBBD!S35</f>
        <v>0</v>
      </c>
      <c r="Y50" s="1330">
        <f>RBBD!T35</f>
        <v>0</v>
      </c>
      <c r="Z50" s="65"/>
      <c r="AA50" s="329">
        <f t="shared" si="5"/>
        <v>0</v>
      </c>
    </row>
    <row r="51" spans="2:27" hidden="1">
      <c r="B51" s="1330">
        <f>RBBD!B36</f>
        <v>0</v>
      </c>
      <c r="C51" s="1330">
        <f>RBBD!C36</f>
        <v>0</v>
      </c>
      <c r="D51" s="1330">
        <f>RBBD!D36</f>
        <v>0</v>
      </c>
      <c r="E51" s="1330">
        <f>RBBD!G36</f>
        <v>0</v>
      </c>
      <c r="F51" s="1330">
        <f>RBBD!H36</f>
        <v>0</v>
      </c>
      <c r="G51" s="1330">
        <f>RBBD!E36</f>
        <v>0</v>
      </c>
      <c r="H51" s="1330">
        <f>RBBD!F36</f>
        <v>0</v>
      </c>
      <c r="I51" s="1330">
        <f t="shared" si="2"/>
        <v>0</v>
      </c>
      <c r="J51" s="1330">
        <f t="shared" si="2"/>
        <v>0</v>
      </c>
      <c r="K51" s="1330">
        <f t="shared" si="2"/>
        <v>0</v>
      </c>
      <c r="L51" s="1330">
        <f t="shared" si="2"/>
        <v>0</v>
      </c>
      <c r="M51" s="1330">
        <f t="shared" si="3"/>
        <v>0</v>
      </c>
      <c r="N51" s="1330">
        <f>RBBD!I36</f>
        <v>0</v>
      </c>
      <c r="O51" s="1330">
        <f>RBBD!J36</f>
        <v>0</v>
      </c>
      <c r="P51" s="1330">
        <f>RBBD!K36</f>
        <v>0</v>
      </c>
      <c r="Q51" s="1330">
        <f>RBBD!L36</f>
        <v>0</v>
      </c>
      <c r="R51" s="1330">
        <f>RBBD!M36</f>
        <v>0</v>
      </c>
      <c r="S51" s="1330">
        <f>RBBD!N36</f>
        <v>0</v>
      </c>
      <c r="T51" s="1330">
        <f>RBBD!O36</f>
        <v>0</v>
      </c>
      <c r="U51" s="1330">
        <f>RBBD!P36</f>
        <v>0</v>
      </c>
      <c r="V51" s="1330">
        <f>RBBD!Q36</f>
        <v>0</v>
      </c>
      <c r="W51" s="1330">
        <f>RBBD!R36</f>
        <v>0</v>
      </c>
      <c r="X51" s="1330">
        <f>RBBD!S36</f>
        <v>0</v>
      </c>
      <c r="Y51" s="1330">
        <f>RBBD!T36</f>
        <v>0</v>
      </c>
      <c r="Z51" s="65"/>
      <c r="AA51" s="329">
        <f t="shared" si="5"/>
        <v>0</v>
      </c>
    </row>
    <row r="52" spans="2:27" hidden="1">
      <c r="B52" s="1330">
        <f>RBBD!B37</f>
        <v>0</v>
      </c>
      <c r="C52" s="1330">
        <f>RBBD!C37</f>
        <v>0</v>
      </c>
      <c r="D52" s="1330">
        <f>RBBD!D37</f>
        <v>0</v>
      </c>
      <c r="E52" s="1330">
        <f>RBBD!G37</f>
        <v>0</v>
      </c>
      <c r="F52" s="1330">
        <f>RBBD!H37</f>
        <v>0</v>
      </c>
      <c r="G52" s="1330">
        <f>RBBD!E37</f>
        <v>0</v>
      </c>
      <c r="H52" s="1330">
        <f>RBBD!F37</f>
        <v>0</v>
      </c>
      <c r="I52" s="1330">
        <f t="shared" si="2"/>
        <v>0</v>
      </c>
      <c r="J52" s="1330">
        <f t="shared" si="2"/>
        <v>0</v>
      </c>
      <c r="K52" s="1330">
        <f t="shared" si="2"/>
        <v>0</v>
      </c>
      <c r="L52" s="1330">
        <f t="shared" si="2"/>
        <v>0</v>
      </c>
      <c r="M52" s="1330">
        <f t="shared" si="3"/>
        <v>0</v>
      </c>
      <c r="N52" s="1330">
        <f>RBBD!I37</f>
        <v>0</v>
      </c>
      <c r="O52" s="1330">
        <f>RBBD!J37</f>
        <v>0</v>
      </c>
      <c r="P52" s="1330">
        <f>RBBD!K37</f>
        <v>0</v>
      </c>
      <c r="Q52" s="1330">
        <f>RBBD!L37</f>
        <v>0</v>
      </c>
      <c r="R52" s="1330">
        <f>RBBD!M37</f>
        <v>0</v>
      </c>
      <c r="S52" s="1330">
        <f>RBBD!N37</f>
        <v>0</v>
      </c>
      <c r="T52" s="1330">
        <f>RBBD!O37</f>
        <v>0</v>
      </c>
      <c r="U52" s="1330">
        <f>RBBD!P37</f>
        <v>0</v>
      </c>
      <c r="V52" s="1330">
        <f>RBBD!Q37</f>
        <v>0</v>
      </c>
      <c r="W52" s="1330">
        <f>RBBD!R37</f>
        <v>0</v>
      </c>
      <c r="X52" s="1330">
        <f>RBBD!S37</f>
        <v>0</v>
      </c>
      <c r="Y52" s="1330">
        <f>RBBD!T37</f>
        <v>0</v>
      </c>
      <c r="Z52" s="65"/>
      <c r="AA52" s="329">
        <f t="shared" si="5"/>
        <v>0</v>
      </c>
    </row>
    <row r="53" spans="2:27" hidden="1">
      <c r="B53" s="1330">
        <f>RBBD!B38</f>
        <v>0</v>
      </c>
      <c r="C53" s="1330">
        <f>RBBD!C38</f>
        <v>0</v>
      </c>
      <c r="D53" s="1330">
        <f>RBBD!D38</f>
        <v>0</v>
      </c>
      <c r="E53" s="1330">
        <f>RBBD!G38</f>
        <v>0</v>
      </c>
      <c r="F53" s="1330">
        <f>RBBD!H38</f>
        <v>0</v>
      </c>
      <c r="G53" s="1330">
        <f>RBBD!E38</f>
        <v>0</v>
      </c>
      <c r="H53" s="1330">
        <f>RBBD!F38</f>
        <v>0</v>
      </c>
      <c r="I53" s="1330">
        <f t="shared" si="2"/>
        <v>0</v>
      </c>
      <c r="J53" s="1330">
        <f t="shared" si="2"/>
        <v>0</v>
      </c>
      <c r="K53" s="1330">
        <f t="shared" si="2"/>
        <v>0</v>
      </c>
      <c r="L53" s="1330">
        <f t="shared" si="2"/>
        <v>0</v>
      </c>
      <c r="M53" s="1330">
        <f t="shared" si="3"/>
        <v>0</v>
      </c>
      <c r="N53" s="1330">
        <f>RBBD!I38</f>
        <v>0</v>
      </c>
      <c r="O53" s="1330">
        <f>RBBD!J38</f>
        <v>0</v>
      </c>
      <c r="P53" s="1330">
        <f>RBBD!K38</f>
        <v>0</v>
      </c>
      <c r="Q53" s="1330">
        <f>RBBD!L38</f>
        <v>0</v>
      </c>
      <c r="R53" s="1330">
        <f>RBBD!M38</f>
        <v>0</v>
      </c>
      <c r="S53" s="1330">
        <f>RBBD!N38</f>
        <v>0</v>
      </c>
      <c r="T53" s="1330">
        <f>RBBD!O38</f>
        <v>0</v>
      </c>
      <c r="U53" s="1330">
        <f>RBBD!P38</f>
        <v>0</v>
      </c>
      <c r="V53" s="1330">
        <f>RBBD!Q38</f>
        <v>0</v>
      </c>
      <c r="W53" s="1330">
        <f>RBBD!R38</f>
        <v>0</v>
      </c>
      <c r="X53" s="1330">
        <f>RBBD!S38</f>
        <v>0</v>
      </c>
      <c r="Y53" s="1330">
        <f>RBBD!T38</f>
        <v>0</v>
      </c>
      <c r="Z53" s="65"/>
      <c r="AA53" s="329">
        <f t="shared" si="5"/>
        <v>0</v>
      </c>
    </row>
    <row r="54" spans="2:27" hidden="1">
      <c r="B54" s="1330">
        <f>RBBD!B39</f>
        <v>0</v>
      </c>
      <c r="C54" s="1330">
        <f>RBBD!C39</f>
        <v>0</v>
      </c>
      <c r="D54" s="1330">
        <f>RBBD!D39</f>
        <v>0</v>
      </c>
      <c r="E54" s="1330">
        <f>RBBD!G39</f>
        <v>0</v>
      </c>
      <c r="F54" s="1330">
        <f>RBBD!H39</f>
        <v>0</v>
      </c>
      <c r="G54" s="1330">
        <f>RBBD!E39</f>
        <v>0</v>
      </c>
      <c r="H54" s="1330">
        <f>RBBD!F39</f>
        <v>0</v>
      </c>
      <c r="I54" s="1330">
        <f t="shared" si="2"/>
        <v>0</v>
      </c>
      <c r="J54" s="1330">
        <f t="shared" si="2"/>
        <v>0</v>
      </c>
      <c r="K54" s="1330">
        <f t="shared" si="2"/>
        <v>0</v>
      </c>
      <c r="L54" s="1330">
        <f t="shared" si="2"/>
        <v>0</v>
      </c>
      <c r="M54" s="1330">
        <f t="shared" si="3"/>
        <v>0</v>
      </c>
      <c r="N54" s="1330">
        <f>RBBD!I39</f>
        <v>0</v>
      </c>
      <c r="O54" s="1330">
        <f>RBBD!J39</f>
        <v>0</v>
      </c>
      <c r="P54" s="1330">
        <f>RBBD!K39</f>
        <v>0</v>
      </c>
      <c r="Q54" s="1330">
        <f>RBBD!L39</f>
        <v>0</v>
      </c>
      <c r="R54" s="1330">
        <f>RBBD!M39</f>
        <v>0</v>
      </c>
      <c r="S54" s="1330">
        <f>RBBD!N39</f>
        <v>0</v>
      </c>
      <c r="T54" s="1330">
        <f>RBBD!O39</f>
        <v>0</v>
      </c>
      <c r="U54" s="1330">
        <f>RBBD!P39</f>
        <v>0</v>
      </c>
      <c r="V54" s="1330">
        <f>RBBD!Q39</f>
        <v>0</v>
      </c>
      <c r="W54" s="1330">
        <f>RBBD!R39</f>
        <v>0</v>
      </c>
      <c r="X54" s="1330">
        <f>RBBD!S39</f>
        <v>0</v>
      </c>
      <c r="Y54" s="1330">
        <f>RBBD!T39</f>
        <v>0</v>
      </c>
      <c r="Z54" s="65"/>
      <c r="AA54" s="329">
        <f t="shared" si="5"/>
        <v>0</v>
      </c>
    </row>
    <row r="55" spans="2:27" hidden="1">
      <c r="B55" s="1330">
        <f>RBBD!B40</f>
        <v>0</v>
      </c>
      <c r="C55" s="1330">
        <f>RBBD!C40</f>
        <v>0</v>
      </c>
      <c r="D55" s="1330">
        <f>RBBD!D40</f>
        <v>0</v>
      </c>
      <c r="E55" s="1330">
        <f>RBBD!G40</f>
        <v>0</v>
      </c>
      <c r="F55" s="1330">
        <f>RBBD!H40</f>
        <v>0</v>
      </c>
      <c r="G55" s="1330">
        <f>RBBD!E40</f>
        <v>0</v>
      </c>
      <c r="H55" s="1330">
        <f>RBBD!F40</f>
        <v>0</v>
      </c>
      <c r="I55" s="1330">
        <f t="shared" si="2"/>
        <v>0</v>
      </c>
      <c r="J55" s="1330">
        <f t="shared" si="2"/>
        <v>0</v>
      </c>
      <c r="K55" s="1330">
        <f t="shared" si="2"/>
        <v>0</v>
      </c>
      <c r="L55" s="1330">
        <f t="shared" si="2"/>
        <v>0</v>
      </c>
      <c r="M55" s="1330">
        <f t="shared" si="3"/>
        <v>0</v>
      </c>
      <c r="N55" s="1330">
        <f>RBBD!I40</f>
        <v>0</v>
      </c>
      <c r="O55" s="1330">
        <f>RBBD!J40</f>
        <v>0</v>
      </c>
      <c r="P55" s="1330">
        <f>RBBD!K40</f>
        <v>0</v>
      </c>
      <c r="Q55" s="1330">
        <f>RBBD!L40</f>
        <v>0</v>
      </c>
      <c r="R55" s="1330">
        <f>RBBD!M40</f>
        <v>0</v>
      </c>
      <c r="S55" s="1330">
        <f>RBBD!N40</f>
        <v>0</v>
      </c>
      <c r="T55" s="1330">
        <f>RBBD!O40</f>
        <v>0</v>
      </c>
      <c r="U55" s="1330">
        <f>RBBD!P40</f>
        <v>0</v>
      </c>
      <c r="V55" s="1330">
        <f>RBBD!Q40</f>
        <v>0</v>
      </c>
      <c r="W55" s="1330">
        <f>RBBD!R40</f>
        <v>0</v>
      </c>
      <c r="X55" s="1330">
        <f>RBBD!S40</f>
        <v>0</v>
      </c>
      <c r="Y55" s="1330">
        <f>RBBD!T40</f>
        <v>0</v>
      </c>
      <c r="Z55" s="65"/>
      <c r="AA55" s="329">
        <f t="shared" si="5"/>
        <v>0</v>
      </c>
    </row>
    <row r="56" spans="2:27" hidden="1">
      <c r="B56" s="1330">
        <f>RBBD!B41</f>
        <v>0</v>
      </c>
      <c r="C56" s="1330">
        <f>RBBD!C41</f>
        <v>0</v>
      </c>
      <c r="D56" s="1330">
        <f>RBBD!D41</f>
        <v>0</v>
      </c>
      <c r="E56" s="1330">
        <f>RBBD!G41</f>
        <v>0</v>
      </c>
      <c r="F56" s="1330">
        <f>RBBD!H41</f>
        <v>0</v>
      </c>
      <c r="G56" s="1330">
        <f>RBBD!E41</f>
        <v>0</v>
      </c>
      <c r="H56" s="1330">
        <f>RBBD!F41</f>
        <v>0</v>
      </c>
      <c r="I56" s="1330">
        <f t="shared" si="2"/>
        <v>0</v>
      </c>
      <c r="J56" s="1330">
        <f t="shared" si="2"/>
        <v>0</v>
      </c>
      <c r="K56" s="1330">
        <f t="shared" si="2"/>
        <v>0</v>
      </c>
      <c r="L56" s="1330">
        <f t="shared" si="2"/>
        <v>0</v>
      </c>
      <c r="M56" s="1330">
        <f t="shared" si="3"/>
        <v>0</v>
      </c>
      <c r="N56" s="1330">
        <f>RBBD!I41</f>
        <v>0</v>
      </c>
      <c r="O56" s="1330">
        <f>RBBD!J41</f>
        <v>0</v>
      </c>
      <c r="P56" s="1330">
        <f>RBBD!K41</f>
        <v>0</v>
      </c>
      <c r="Q56" s="1330">
        <f>RBBD!L41</f>
        <v>0</v>
      </c>
      <c r="R56" s="1330">
        <f>RBBD!M41</f>
        <v>0</v>
      </c>
      <c r="S56" s="1330">
        <f>RBBD!N41</f>
        <v>0</v>
      </c>
      <c r="T56" s="1330">
        <f>RBBD!O41</f>
        <v>0</v>
      </c>
      <c r="U56" s="1330">
        <f>RBBD!P41</f>
        <v>0</v>
      </c>
      <c r="V56" s="1330">
        <f>RBBD!Q41</f>
        <v>0</v>
      </c>
      <c r="W56" s="1330">
        <f>RBBD!R41</f>
        <v>0</v>
      </c>
      <c r="X56" s="1330">
        <f>RBBD!S41</f>
        <v>0</v>
      </c>
      <c r="Y56" s="1330">
        <f>RBBD!T41</f>
        <v>0</v>
      </c>
      <c r="Z56" s="65"/>
      <c r="AA56" s="329">
        <f t="shared" si="5"/>
        <v>0</v>
      </c>
    </row>
    <row r="57" spans="2:27" hidden="1">
      <c r="B57" s="1330">
        <f>RBBD!B42</f>
        <v>0</v>
      </c>
      <c r="C57" s="1330">
        <f>RBBD!C42</f>
        <v>0</v>
      </c>
      <c r="D57" s="1330">
        <f>RBBD!D42</f>
        <v>0</v>
      </c>
      <c r="E57" s="1330">
        <f>RBBD!G42</f>
        <v>0</v>
      </c>
      <c r="F57" s="1330">
        <f>RBBD!H42</f>
        <v>0</v>
      </c>
      <c r="G57" s="1330">
        <f>RBBD!E42</f>
        <v>0</v>
      </c>
      <c r="H57" s="1330">
        <f>RBBD!F42</f>
        <v>0</v>
      </c>
      <c r="I57" s="1330">
        <f t="shared" si="2"/>
        <v>0</v>
      </c>
      <c r="J57" s="1330">
        <f t="shared" si="2"/>
        <v>0</v>
      </c>
      <c r="K57" s="1330">
        <f t="shared" si="2"/>
        <v>0</v>
      </c>
      <c r="L57" s="1330">
        <f t="shared" si="2"/>
        <v>0</v>
      </c>
      <c r="M57" s="1330">
        <f t="shared" si="3"/>
        <v>0</v>
      </c>
      <c r="N57" s="1330">
        <f>RBBD!I42</f>
        <v>0</v>
      </c>
      <c r="O57" s="1330">
        <f>RBBD!J42</f>
        <v>0</v>
      </c>
      <c r="P57" s="1330">
        <f>RBBD!K42</f>
        <v>0</v>
      </c>
      <c r="Q57" s="1330">
        <f>RBBD!L42</f>
        <v>0</v>
      </c>
      <c r="R57" s="1330">
        <f>RBBD!M42</f>
        <v>0</v>
      </c>
      <c r="S57" s="1330">
        <f>RBBD!N42</f>
        <v>0</v>
      </c>
      <c r="T57" s="1330">
        <f>RBBD!O42</f>
        <v>0</v>
      </c>
      <c r="U57" s="1330">
        <f>RBBD!P42</f>
        <v>0</v>
      </c>
      <c r="V57" s="1330">
        <f>RBBD!Q42</f>
        <v>0</v>
      </c>
      <c r="W57" s="1330">
        <f>RBBD!R42</f>
        <v>0</v>
      </c>
      <c r="X57" s="1330">
        <f>RBBD!S42</f>
        <v>0</v>
      </c>
      <c r="Y57" s="1330">
        <f>RBBD!T42</f>
        <v>0</v>
      </c>
      <c r="Z57" s="65"/>
      <c r="AA57" s="329">
        <f t="shared" si="5"/>
        <v>0</v>
      </c>
    </row>
    <row r="58" spans="2:27" hidden="1">
      <c r="B58" s="1330">
        <f>RBBD!B43</f>
        <v>0</v>
      </c>
      <c r="C58" s="1330">
        <f>RBBD!C43</f>
        <v>0</v>
      </c>
      <c r="D58" s="1330">
        <f>RBBD!D43</f>
        <v>0</v>
      </c>
      <c r="E58" s="1330">
        <f>RBBD!G43</f>
        <v>0</v>
      </c>
      <c r="F58" s="1330">
        <f>RBBD!H43</f>
        <v>0</v>
      </c>
      <c r="G58" s="1330">
        <f>RBBD!E43</f>
        <v>0</v>
      </c>
      <c r="H58" s="1330">
        <f>RBBD!F43</f>
        <v>0</v>
      </c>
      <c r="I58" s="1330">
        <f t="shared" si="2"/>
        <v>0</v>
      </c>
      <c r="J58" s="1330">
        <f t="shared" si="2"/>
        <v>0</v>
      </c>
      <c r="K58" s="1330">
        <f t="shared" si="2"/>
        <v>0</v>
      </c>
      <c r="L58" s="1330">
        <f t="shared" si="2"/>
        <v>0</v>
      </c>
      <c r="M58" s="1330">
        <f t="shared" si="3"/>
        <v>0</v>
      </c>
      <c r="N58" s="1330">
        <f>RBBD!I43</f>
        <v>0</v>
      </c>
      <c r="O58" s="1330">
        <f>RBBD!J43</f>
        <v>0</v>
      </c>
      <c r="P58" s="1330">
        <f>RBBD!K43</f>
        <v>0</v>
      </c>
      <c r="Q58" s="1330">
        <f>RBBD!L43</f>
        <v>0</v>
      </c>
      <c r="R58" s="1330">
        <f>RBBD!M43</f>
        <v>0</v>
      </c>
      <c r="S58" s="1330">
        <f>RBBD!N43</f>
        <v>0</v>
      </c>
      <c r="T58" s="1330">
        <f>RBBD!O43</f>
        <v>0</v>
      </c>
      <c r="U58" s="1330">
        <f>RBBD!P43</f>
        <v>0</v>
      </c>
      <c r="V58" s="1330">
        <f>RBBD!Q43</f>
        <v>0</v>
      </c>
      <c r="W58" s="1330">
        <f>RBBD!R43</f>
        <v>0</v>
      </c>
      <c r="X58" s="1330">
        <f>RBBD!S43</f>
        <v>0</v>
      </c>
      <c r="Y58" s="1330">
        <f>RBBD!T43</f>
        <v>0</v>
      </c>
      <c r="Z58" s="65"/>
      <c r="AA58" s="329">
        <f t="shared" si="5"/>
        <v>0</v>
      </c>
    </row>
    <row r="59" spans="2:27" hidden="1">
      <c r="B59" s="1330">
        <f>RBBD!B44</f>
        <v>0</v>
      </c>
      <c r="C59" s="1330">
        <f>RBBD!C44</f>
        <v>0</v>
      </c>
      <c r="D59" s="1330">
        <f>RBBD!D44</f>
        <v>0</v>
      </c>
      <c r="E59" s="1330">
        <f>RBBD!G44</f>
        <v>0</v>
      </c>
      <c r="F59" s="1330">
        <f>RBBD!H44</f>
        <v>0</v>
      </c>
      <c r="G59" s="1330">
        <f>RBBD!E44</f>
        <v>0</v>
      </c>
      <c r="H59" s="1330">
        <f>RBBD!F44</f>
        <v>0</v>
      </c>
      <c r="I59" s="1330">
        <f t="shared" si="2"/>
        <v>0</v>
      </c>
      <c r="J59" s="1330">
        <f t="shared" si="2"/>
        <v>0</v>
      </c>
      <c r="K59" s="1330">
        <f t="shared" si="2"/>
        <v>0</v>
      </c>
      <c r="L59" s="1330">
        <f t="shared" si="2"/>
        <v>0</v>
      </c>
      <c r="M59" s="1330">
        <f t="shared" si="3"/>
        <v>0</v>
      </c>
      <c r="N59" s="1330">
        <f>RBBD!I44</f>
        <v>0</v>
      </c>
      <c r="O59" s="1330">
        <f>RBBD!J44</f>
        <v>0</v>
      </c>
      <c r="P59" s="1330">
        <f>RBBD!K44</f>
        <v>0</v>
      </c>
      <c r="Q59" s="1330">
        <f>RBBD!L44</f>
        <v>0</v>
      </c>
      <c r="R59" s="1330">
        <f>RBBD!M44</f>
        <v>0</v>
      </c>
      <c r="S59" s="1330">
        <f>RBBD!N44</f>
        <v>0</v>
      </c>
      <c r="T59" s="1330">
        <f>RBBD!O44</f>
        <v>0</v>
      </c>
      <c r="U59" s="1330">
        <f>RBBD!P44</f>
        <v>0</v>
      </c>
      <c r="V59" s="1330">
        <f>RBBD!Q44</f>
        <v>0</v>
      </c>
      <c r="W59" s="1330">
        <f>RBBD!R44</f>
        <v>0</v>
      </c>
      <c r="X59" s="1330">
        <f>RBBD!S44</f>
        <v>0</v>
      </c>
      <c r="Y59" s="1330">
        <f>RBBD!T44</f>
        <v>0</v>
      </c>
      <c r="Z59" s="65"/>
      <c r="AA59" s="329">
        <f t="shared" si="5"/>
        <v>0</v>
      </c>
    </row>
    <row r="60" spans="2:27" hidden="1">
      <c r="B60" s="1330">
        <f>RBBD!B45</f>
        <v>0</v>
      </c>
      <c r="C60" s="1330">
        <f>RBBD!C45</f>
        <v>0</v>
      </c>
      <c r="D60" s="1330">
        <f>RBBD!D45</f>
        <v>0</v>
      </c>
      <c r="E60" s="1330">
        <f>RBBD!G45</f>
        <v>0</v>
      </c>
      <c r="F60" s="1330">
        <f>RBBD!H45</f>
        <v>0</v>
      </c>
      <c r="G60" s="1330">
        <f>RBBD!E45</f>
        <v>0</v>
      </c>
      <c r="H60" s="1330">
        <f>RBBD!F45</f>
        <v>0</v>
      </c>
      <c r="I60" s="1330">
        <f t="shared" si="2"/>
        <v>0</v>
      </c>
      <c r="J60" s="1330">
        <f t="shared" si="2"/>
        <v>0</v>
      </c>
      <c r="K60" s="1330">
        <f t="shared" si="2"/>
        <v>0</v>
      </c>
      <c r="L60" s="1330">
        <f t="shared" si="2"/>
        <v>0</v>
      </c>
      <c r="M60" s="1330">
        <f t="shared" si="3"/>
        <v>0</v>
      </c>
      <c r="N60" s="1330">
        <f>RBBD!I45</f>
        <v>0</v>
      </c>
      <c r="O60" s="1330">
        <f>RBBD!J45</f>
        <v>0</v>
      </c>
      <c r="P60" s="1330">
        <f>RBBD!K45</f>
        <v>0</v>
      </c>
      <c r="Q60" s="1330">
        <f>RBBD!L45</f>
        <v>0</v>
      </c>
      <c r="R60" s="1330">
        <f>RBBD!M45</f>
        <v>0</v>
      </c>
      <c r="S60" s="1330">
        <f>RBBD!N45</f>
        <v>0</v>
      </c>
      <c r="T60" s="1330">
        <f>RBBD!O45</f>
        <v>0</v>
      </c>
      <c r="U60" s="1330">
        <f>RBBD!P45</f>
        <v>0</v>
      </c>
      <c r="V60" s="1330">
        <f>RBBD!Q45</f>
        <v>0</v>
      </c>
      <c r="W60" s="1330">
        <f>RBBD!R45</f>
        <v>0</v>
      </c>
      <c r="X60" s="1330">
        <f>RBBD!S45</f>
        <v>0</v>
      </c>
      <c r="Y60" s="1330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31" t="s">
        <v>1248</v>
      </c>
      <c r="D62" s="1332"/>
      <c r="E62" s="1332">
        <f>SUM(I18:I61)/SUM(M18:M61)</f>
        <v>5354.5</v>
      </c>
      <c r="F62" s="1332">
        <f>SUM(J18:J61)/SUM(M18:M61)</f>
        <v>7585.5</v>
      </c>
      <c r="G62" s="1332">
        <f>SUM(K18:K61)/SUM(M18:M61)</f>
        <v>1152</v>
      </c>
      <c r="H62" s="1332">
        <f>SUM(L18:L61)/SUM(M18:M61)</f>
        <v>1286</v>
      </c>
      <c r="I62" s="1333">
        <f>SUM(I16:I61)</f>
        <v>10280640</v>
      </c>
      <c r="J62" s="1333">
        <f>SUM(J16:J61)</f>
        <v>14564160</v>
      </c>
      <c r="K62" s="1333">
        <f>SUM(K16:K61)</f>
        <v>2211840</v>
      </c>
      <c r="L62" s="1333">
        <f>SUM(L16:L61)</f>
        <v>2469120</v>
      </c>
      <c r="M62" s="1333">
        <f>SUM(M17:M61)</f>
        <v>1920</v>
      </c>
      <c r="N62" s="1333">
        <f>SUM(N18:N61)</f>
        <v>160</v>
      </c>
      <c r="O62" s="1333">
        <f t="shared" ref="O62:Y62" si="6">SUM(O18:O61)</f>
        <v>160</v>
      </c>
      <c r="P62" s="1333">
        <f t="shared" si="6"/>
        <v>160</v>
      </c>
      <c r="Q62" s="1333">
        <f t="shared" si="6"/>
        <v>160</v>
      </c>
      <c r="R62" s="1333">
        <f t="shared" si="6"/>
        <v>160</v>
      </c>
      <c r="S62" s="1333">
        <f t="shared" si="6"/>
        <v>160</v>
      </c>
      <c r="T62" s="1333">
        <f t="shared" si="6"/>
        <v>160</v>
      </c>
      <c r="U62" s="1333">
        <f t="shared" si="6"/>
        <v>160</v>
      </c>
      <c r="V62" s="1333">
        <f t="shared" si="6"/>
        <v>160</v>
      </c>
      <c r="W62" s="1333">
        <f t="shared" si="6"/>
        <v>160</v>
      </c>
      <c r="X62" s="1333">
        <f t="shared" si="6"/>
        <v>160</v>
      </c>
      <c r="Y62" s="1333">
        <f t="shared" si="6"/>
        <v>160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23" t="s">
        <v>1249</v>
      </c>
      <c r="C67" s="1323"/>
      <c r="D67" s="1323"/>
      <c r="E67" s="1323"/>
      <c r="F67" s="1323"/>
      <c r="G67" s="1323"/>
      <c r="H67" s="1323"/>
      <c r="I67" s="1323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8"/>
      <c r="E69" s="1334">
        <f>IF(MONTH(E70)=7,E70,0)</f>
        <v>44378</v>
      </c>
      <c r="F69" s="1334">
        <f t="shared" ref="F69:P69" si="7">IF(MONTH(F70)=7,F70,0)</f>
        <v>0</v>
      </c>
      <c r="G69" s="1334">
        <f t="shared" si="7"/>
        <v>0</v>
      </c>
      <c r="H69" s="1334">
        <f t="shared" si="7"/>
        <v>0</v>
      </c>
      <c r="I69" s="1334">
        <f t="shared" si="7"/>
        <v>0</v>
      </c>
      <c r="J69" s="1334">
        <f t="shared" si="7"/>
        <v>0</v>
      </c>
      <c r="K69" s="1334">
        <f t="shared" si="7"/>
        <v>0</v>
      </c>
      <c r="L69" s="1334">
        <f t="shared" si="7"/>
        <v>0</v>
      </c>
      <c r="M69" s="1334">
        <f t="shared" si="7"/>
        <v>0</v>
      </c>
      <c r="N69" s="1334">
        <f t="shared" si="7"/>
        <v>0</v>
      </c>
      <c r="O69" s="1334">
        <f t="shared" si="7"/>
        <v>0</v>
      </c>
      <c r="P69" s="1334">
        <f t="shared" si="7"/>
        <v>0</v>
      </c>
      <c r="Q69" s="805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1250</v>
      </c>
      <c r="E70" s="1335">
        <f>G76</f>
        <v>44378</v>
      </c>
      <c r="F70" s="1335">
        <f>G77</f>
        <v>44409</v>
      </c>
      <c r="G70" s="1335">
        <f>G78</f>
        <v>44440</v>
      </c>
      <c r="H70" s="1335">
        <f>G79</f>
        <v>44470</v>
      </c>
      <c r="I70" s="1335">
        <f>G80</f>
        <v>44501</v>
      </c>
      <c r="J70" s="1335">
        <f>G81</f>
        <v>44531</v>
      </c>
      <c r="K70" s="1335">
        <f>G82</f>
        <v>44562</v>
      </c>
      <c r="L70" s="1335">
        <f>G83</f>
        <v>44593</v>
      </c>
      <c r="M70" s="1335">
        <f>G84</f>
        <v>44621</v>
      </c>
      <c r="N70" s="1335">
        <f>G85</f>
        <v>44652</v>
      </c>
      <c r="O70" s="1335">
        <f>G86</f>
        <v>44682</v>
      </c>
      <c r="P70" s="1335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36" t="s">
        <v>1251</v>
      </c>
      <c r="D71" s="1337">
        <f>SUM(E71:P71)</f>
        <v>0</v>
      </c>
      <c r="E71" s="1338">
        <f>SUMIF($G$76:$G$420,E70,$N$76:$N$420)</f>
        <v>0</v>
      </c>
      <c r="F71" s="1338">
        <f t="shared" ref="F71:P71" si="8">SUMIF($G$76:$G$420,F70,$N$76:$N$420)</f>
        <v>0</v>
      </c>
      <c r="G71" s="1338">
        <f t="shared" si="8"/>
        <v>0</v>
      </c>
      <c r="H71" s="1338">
        <f t="shared" si="8"/>
        <v>0</v>
      </c>
      <c r="I71" s="1338">
        <f t="shared" si="8"/>
        <v>0</v>
      </c>
      <c r="J71" s="1338">
        <f t="shared" si="8"/>
        <v>0</v>
      </c>
      <c r="K71" s="1338">
        <f t="shared" si="8"/>
        <v>0</v>
      </c>
      <c r="L71" s="1338">
        <f t="shared" si="8"/>
        <v>0</v>
      </c>
      <c r="M71" s="1338">
        <f t="shared" si="8"/>
        <v>0</v>
      </c>
      <c r="N71" s="1338">
        <f t="shared" si="8"/>
        <v>0</v>
      </c>
      <c r="O71" s="1338">
        <f t="shared" si="8"/>
        <v>0</v>
      </c>
      <c r="P71" s="1338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36" t="s">
        <v>1252</v>
      </c>
      <c r="D72" s="1337">
        <f>SUM(E72:P72)</f>
        <v>0</v>
      </c>
      <c r="E72" s="1338">
        <f>SUMIF(Indexador!$B$25:$B$48,'Rede Básica + Ajuste'!E70,Indexador!$J$25:$J$48)</f>
        <v>0</v>
      </c>
      <c r="F72" s="1338">
        <f>SUMIF(Indexador!$B$25:$B$48,'Rede Básica + Ajuste'!F70,Indexador!$J$25:$J$48)</f>
        <v>0</v>
      </c>
      <c r="G72" s="1338">
        <f>SUMIF(Indexador!$B$25:$B$48,'Rede Básica + Ajuste'!G70,Indexador!$J$25:$J$48)</f>
        <v>0</v>
      </c>
      <c r="H72" s="1338">
        <f>SUMIF(Indexador!$B$25:$B$48,'Rede Básica + Ajuste'!H70,Indexador!$J$25:$J$48)</f>
        <v>0</v>
      </c>
      <c r="I72" s="1338">
        <f>SUMIF(Indexador!$B$25:$B$48,'Rede Básica + Ajuste'!I70,Indexador!$J$25:$J$48)</f>
        <v>0</v>
      </c>
      <c r="J72" s="1338">
        <f>SUMIF(Indexador!$B$25:$B$48,'Rede Básica + Ajuste'!J70,Indexador!$J$25:$J$48)</f>
        <v>0</v>
      </c>
      <c r="K72" s="1338">
        <f>SUMIF(Indexador!$B$25:$B$48,'Rede Básica + Ajuste'!K70,Indexador!$J$25:$J$48)</f>
        <v>0</v>
      </c>
      <c r="L72" s="1338">
        <f>SUMIF(Indexador!$B$25:$B$48,'Rede Básica + Ajuste'!L70,Indexador!$J$25:$J$48)</f>
        <v>0</v>
      </c>
      <c r="M72" s="1338">
        <f>SUMIF(Indexador!$B$25:$B$48,'Rede Básica + Ajuste'!M70,Indexador!$J$25:$J$48)</f>
        <v>0</v>
      </c>
      <c r="N72" s="1338">
        <f>SUMIF(Indexador!$B$25:$B$48,'Rede Básica + Ajuste'!N70,Indexador!$J$25:$J$48)</f>
        <v>0</v>
      </c>
      <c r="O72" s="1338">
        <f>SUMIF(Indexador!$B$25:$B$48,'Rede Básica + Ajuste'!O70,Indexador!$J$25:$J$48)</f>
        <v>0</v>
      </c>
      <c r="P72" s="1338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809" t="s">
        <v>1253</v>
      </c>
      <c r="K74" s="1810"/>
      <c r="L74" s="1808" t="s">
        <v>1254</v>
      </c>
      <c r="M74" s="1808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811" t="s">
        <v>1236</v>
      </c>
      <c r="D75" s="1812"/>
      <c r="F75" s="275"/>
      <c r="G75" s="1339" t="s">
        <v>716</v>
      </c>
      <c r="H75" s="1340" t="s">
        <v>1255</v>
      </c>
      <c r="I75" s="1340" t="s">
        <v>1256</v>
      </c>
      <c r="J75" s="1341" t="s">
        <v>1257</v>
      </c>
      <c r="K75" s="1341" t="s">
        <v>1258</v>
      </c>
      <c r="L75" s="1341" t="s">
        <v>1257</v>
      </c>
      <c r="M75" s="1341" t="s">
        <v>1258</v>
      </c>
      <c r="N75" s="282" t="s">
        <v>1259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36" t="s">
        <v>1260</v>
      </c>
      <c r="D76" s="1342" t="str">
        <f>IF(D18="Ponta",B18,0)</f>
        <v>LAJEADO 3 - 69 kV (A)</v>
      </c>
      <c r="E76" s="18"/>
      <c r="F76" s="275"/>
      <c r="G76" s="1343">
        <f>DATE(YEAR(CAPA!C14),MONTH(CAPA!C14),1)</f>
        <v>44378</v>
      </c>
      <c r="H76" s="277">
        <f>SUMIFS($N$18:$N$60,$B$18:$B$60,$D$76,$D$18:$D$60,"Ponta")</f>
        <v>80</v>
      </c>
      <c r="I76" s="277">
        <f>SUMIFS($N$18:$N$60,$B$18:$B$60,$D$76,$D$18:$D$60,"Fora Ponta")</f>
        <v>80</v>
      </c>
      <c r="J76" s="277">
        <f>SUMIFS($E$18:$E$60,$B$18:$B$60,$D$76,$D$18:$D$60,"Ponta")</f>
        <v>4967</v>
      </c>
      <c r="K76" s="277">
        <f>SUMIFS($E$18:$E$60,$B$18:$B$60,$D$76,$D$18:$D$60,"Fora Ponta")</f>
        <v>5742</v>
      </c>
      <c r="L76" s="1344">
        <f>IF(MONTH(DataRevRea)=7,'Rede Básica + Ajuste'!J76,IF(G76&lt;$Q$69,(SUMIFS($E$18:$E$60,$B$18:$B$60,$D$76,$D$18:$D$60,"Ponta")),(SUMIFS($F$18:$F$60,$B$18:$B$60,$D$76,$D$18:$D$60,"Ponta"))))</f>
        <v>4967</v>
      </c>
      <c r="M76" s="1344">
        <f>IF(MONTH(DataRevRea)=7,'Rede Básica + Ajuste'!K76,IF(G76&lt;$Q$69,(SUMIFS($E$18:$E$60,$B$18:$B$60,$D$76,$D$18:$D$60,"Fora Ponta")),(SUMIFS($F$18:$F$60,$B$18:$B$60,$D$76,$D$18:$D$60,"Fora Ponta"))))</f>
        <v>5742</v>
      </c>
      <c r="N76" s="1345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80</v>
      </c>
      <c r="I77" s="277">
        <f>SUMIFS($O$18:$O$60,$B$18:$B$60,$D$76,$D$18:$D$60,"Fora Ponta")</f>
        <v>80</v>
      </c>
      <c r="J77" s="277">
        <f t="shared" ref="J77:J87" si="9">SUMIFS($E$18:$E$60,$B$18:$B$60,$D$76,$D$18:$D$60,"Ponta")</f>
        <v>4967</v>
      </c>
      <c r="K77" s="277">
        <f t="shared" ref="K77:K87" si="10">SUMIFS($E$18:$E$60,$B$18:$B$60,$D$76,$D$18:$D$60,"Fora Ponta")</f>
        <v>5742</v>
      </c>
      <c r="L77" s="277">
        <f>IF(MONTH(DataRevRea)=7,'Rede Básica + Ajuste'!J77,IF(G77&lt;$Q$69,(SUMIFS($E$18:$E$60,$B$18:$B$60,$D$76,$D$18:$D$60,"Ponta")),(SUMIFS($F$18:$F$60,$B$18:$B$60,$D$76,$D$18:$D$60,"Ponta"))))</f>
        <v>4967</v>
      </c>
      <c r="M77" s="277">
        <f>IF(MONTH(DataRevRea)=7,'Rede Básica + Ajuste'!K77,IF(G77&lt;$Q$69,(SUMIFS($E$18:$E$60,$B$18:$B$60,$D$76,$D$18:$D$60,"Fora Ponta")),(SUMIFS($F$18:$F$60,$B$18:$B$60,$D$76,$D$18:$D$60,"Fora Ponta"))))</f>
        <v>5742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46" t="s">
        <v>1261</v>
      </c>
      <c r="E78" s="1347" t="s">
        <v>1262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80</v>
      </c>
      <c r="I78" s="277">
        <f>SUMIFS($P$18:$P$60,$B$18:$B$60,$D$76,$D$18:$D$60,"Fora Ponta")</f>
        <v>80</v>
      </c>
      <c r="J78" s="277">
        <f t="shared" si="9"/>
        <v>4967</v>
      </c>
      <c r="K78" s="277">
        <f t="shared" si="10"/>
        <v>5742</v>
      </c>
      <c r="L78" s="277">
        <f>IF(MONTH(DataRevRea)=7,'Rede Básica + Ajuste'!J78,IF(G78&lt;$Q$69,(SUMIFS($E$18:$E$60,$B$18:$B$60,$D$76,$D$18:$D$60,"Ponta")),(SUMIFS($F$18:$F$60,$B$18:$B$60,$D$76,$D$18:$D$60,"Ponta"))))</f>
        <v>4967</v>
      </c>
      <c r="M78" s="277">
        <f>IF(MONTH(DataRevRea)=7,'Rede Básica + Ajuste'!K78,IF(G78&lt;$Q$69,(SUMIFS($E$18:$E$60,$B$18:$B$60,$D$76,$D$18:$D$60,"Fora Ponta")),(SUMIFS($F$18:$F$60,$B$18:$B$60,$D$76,$D$18:$D$60,"Fora Ponta"))))</f>
        <v>5742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48" t="str">
        <f>"Cobertura "&amp;YEAR(CAPA!C14)</f>
        <v>Cobertura 2021</v>
      </c>
      <c r="D79" s="1349">
        <f>SUMPRODUCT(H76:H87,J76:J87)</f>
        <v>4768320</v>
      </c>
      <c r="E79" s="1349">
        <f>SUMPRODUCT(I76:I87,K76:K87)</f>
        <v>5512320</v>
      </c>
      <c r="F79" s="275"/>
      <c r="G79" s="276">
        <f t="shared" si="12"/>
        <v>44470</v>
      </c>
      <c r="H79" s="277">
        <f>SUMIFS($Q$18:$Q$60,$B$18:$B$60,$D$76,$D$18:$D$60,"Ponta")</f>
        <v>80</v>
      </c>
      <c r="I79" s="277">
        <f>SUMIFS($Q$18:$Q$60,$B$18:$B$60,$D$76,$D$18:$D$60,"Fora Ponta")</f>
        <v>80</v>
      </c>
      <c r="J79" s="277">
        <f t="shared" si="9"/>
        <v>4967</v>
      </c>
      <c r="K79" s="277">
        <f t="shared" si="10"/>
        <v>5742</v>
      </c>
      <c r="L79" s="277">
        <f>IF(MONTH(DataRevRea)=7,'Rede Básica + Ajuste'!J79,IF(G79&lt;$Q$69,(SUMIFS($E$18:$E$60,$B$18:$B$60,$D$76,$D$18:$D$60,"Ponta")),(SUMIFS($F$18:$F$60,$B$18:$B$60,$D$76,$D$18:$D$60,"Ponta"))))</f>
        <v>4967</v>
      </c>
      <c r="M79" s="277">
        <f>IF(MONTH(DataRevRea)=7,'Rede Básica + Ajuste'!K79,IF(G79&lt;$Q$69,(SUMIFS($E$18:$E$60,$B$18:$B$60,$D$76,$D$18:$D$60,"Fora Ponta")),(SUMIFS($F$18:$F$60,$B$18:$B$60,$D$76,$D$18:$D$60,"Fora Ponta"))))</f>
        <v>5742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48" t="s">
        <v>1263</v>
      </c>
      <c r="D80" s="1349">
        <f>SUMPRODUCT(H76:H87,L76:L87)</f>
        <v>4768320</v>
      </c>
      <c r="E80" s="1349">
        <f>SUMPRODUCT(I76:I87,M76:M87)</f>
        <v>5512320</v>
      </c>
      <c r="F80" s="275"/>
      <c r="G80" s="276">
        <f t="shared" si="12"/>
        <v>44501</v>
      </c>
      <c r="H80" s="277">
        <f>SUMIFS($R$18:$R$60,$B$18:$B$60,$D$76,$D$18:$D$60,"Ponta")</f>
        <v>80</v>
      </c>
      <c r="I80" s="277">
        <f>SUMIFS($R$18:$R$60,$B$18:$B$60,$D$76,$D$18:$D$60,"Fora Ponta")</f>
        <v>80</v>
      </c>
      <c r="J80" s="277">
        <f t="shared" si="9"/>
        <v>4967</v>
      </c>
      <c r="K80" s="277">
        <f t="shared" si="10"/>
        <v>5742</v>
      </c>
      <c r="L80" s="277">
        <f>IF(MONTH(DataRevRea)=7,'Rede Básica + Ajuste'!J80,IF(G80&lt;$Q$69,(SUMIFS($E$18:$E$60,$B$18:$B$60,$D$76,$D$18:$D$60,"Ponta")),(SUMIFS($F$18:$F$60,$B$18:$B$60,$D$76,$D$18:$D$60,"Ponta"))))</f>
        <v>4967</v>
      </c>
      <c r="M80" s="277">
        <f>IF(MONTH(DataRevRea)=7,'Rede Básica + Ajuste'!K80,IF(G80&lt;$Q$69,(SUMIFS($E$18:$E$60,$B$18:$B$60,$D$76,$D$18:$D$60,"Fora Ponta")),(SUMIFS($F$18:$F$60,$B$18:$B$60,$D$76,$D$18:$D$60,"Fora Ponta"))))</f>
        <v>5742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80</v>
      </c>
      <c r="I81" s="277">
        <f>SUMIFS($S$18:$S$60,$B$18:$B$60,$D$76,$D$18:$D$60,"Fora Ponta")</f>
        <v>80</v>
      </c>
      <c r="J81" s="277">
        <f t="shared" si="9"/>
        <v>4967</v>
      </c>
      <c r="K81" s="277">
        <f t="shared" si="10"/>
        <v>5742</v>
      </c>
      <c r="L81" s="277">
        <f>IF(MONTH(DataRevRea)=7,'Rede Básica + Ajuste'!J81,IF(G81&lt;$Q$69,(SUMIFS($E$18:$E$60,$B$18:$B$60,$D$76,$D$18:$D$60,"Ponta")),(SUMIFS($F$18:$F$60,$B$18:$B$60,$D$76,$D$18:$D$60,"Ponta"))))</f>
        <v>4967</v>
      </c>
      <c r="M81" s="277">
        <f>IF(MONTH(DataRevRea)=7,'Rede Básica + Ajuste'!K81,IF(G81&lt;$Q$69,(SUMIFS($E$18:$E$60,$B$18:$B$60,$D$76,$D$18:$D$60,"Fora Ponta")),(SUMIFS($F$18:$F$60,$B$18:$B$60,$D$76,$D$18:$D$60,"Fora Ponta"))))</f>
        <v>5742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80</v>
      </c>
      <c r="I82" s="277">
        <f>SUMIFS($T$18:$T$60,$B$18:$B$60,$D$76,$D$18:$D$60,"Fora Ponta")</f>
        <v>80</v>
      </c>
      <c r="J82" s="277">
        <f t="shared" si="9"/>
        <v>4967</v>
      </c>
      <c r="K82" s="277">
        <f t="shared" si="10"/>
        <v>5742</v>
      </c>
      <c r="L82" s="277">
        <f>IF(MONTH(DataRevRea)=7,'Rede Básica + Ajuste'!J82,IF(G82&lt;$Q$69,(SUMIFS($E$18:$E$60,$B$18:$B$60,$D$76,$D$18:$D$60,"Ponta")),(SUMIFS($F$18:$F$60,$B$18:$B$60,$D$76,$D$18:$D$60,"Ponta"))))</f>
        <v>4967</v>
      </c>
      <c r="M82" s="277">
        <f>IF(MONTH(DataRevRea)=7,'Rede Básica + Ajuste'!K82,IF(G82&lt;$Q$69,(SUMIFS($E$18:$E$60,$B$18:$B$60,$D$76,$D$18:$D$60,"Fora Ponta")),(SUMIFS($F$18:$F$60,$B$18:$B$60,$D$76,$D$18:$D$60,"Fora Ponta"))))</f>
        <v>5742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80</v>
      </c>
      <c r="I83" s="277">
        <f>SUMIFS($U$18:$U$60,$B$18:$B$60,$D$76,$D$18:$D$60,"Fora Ponta")</f>
        <v>80</v>
      </c>
      <c r="J83" s="277">
        <f t="shared" si="9"/>
        <v>4967</v>
      </c>
      <c r="K83" s="277">
        <f t="shared" si="10"/>
        <v>5742</v>
      </c>
      <c r="L83" s="277">
        <f>IF(MONTH(DataRevRea)=7,'Rede Básica + Ajuste'!J83,IF(G83&lt;$Q$69,(SUMIFS($E$18:$E$60,$B$18:$B$60,$D$76,$D$18:$D$60,"Ponta")),(SUMIFS($F$18:$F$60,$B$18:$B$60,$D$76,$D$18:$D$60,"Ponta"))))</f>
        <v>4967</v>
      </c>
      <c r="M83" s="277">
        <f>IF(MONTH(DataRevRea)=7,'Rede Básica + Ajuste'!K83,IF(G83&lt;$Q$69,(SUMIFS($E$18:$E$60,$B$18:$B$60,$D$76,$D$18:$D$60,"Fora Ponta")),(SUMIFS($F$18:$F$60,$B$18:$B$60,$D$76,$D$18:$D$60,"Fora Ponta"))))</f>
        <v>5742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80</v>
      </c>
      <c r="I84" s="277">
        <f>SUMIFS($V$18:$V$60,$B$18:$B$60,$D$76,$D$18:$D$60,"Fora Ponta")</f>
        <v>80</v>
      </c>
      <c r="J84" s="277">
        <f t="shared" si="9"/>
        <v>4967</v>
      </c>
      <c r="K84" s="277">
        <f t="shared" si="10"/>
        <v>5742</v>
      </c>
      <c r="L84" s="277">
        <f>IF(MONTH(DataRevRea)=7,'Rede Básica + Ajuste'!J84,IF(G84&lt;$Q$69,(SUMIFS($E$18:$E$60,$B$18:$B$60,$D$76,$D$18:$D$60,"Ponta")),(SUMIFS($F$18:$F$60,$B$18:$B$60,$D$76,$D$18:$D$60,"Ponta"))))</f>
        <v>4967</v>
      </c>
      <c r="M84" s="277">
        <f>IF(MONTH(DataRevRea)=7,'Rede Básica + Ajuste'!K84,IF(G84&lt;$Q$69,(SUMIFS($E$18:$E$60,$B$18:$B$60,$D$76,$D$18:$D$60,"Fora Ponta")),(SUMIFS($F$18:$F$60,$B$18:$B$60,$D$76,$D$18:$D$60,"Fora Ponta"))))</f>
        <v>5742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80</v>
      </c>
      <c r="I85" s="277">
        <f>SUMIFS($W$18:$W$60,$B$18:$B$60,$D$76,$D$18:$D$60,"Fora Ponta")</f>
        <v>80</v>
      </c>
      <c r="J85" s="277">
        <f t="shared" si="9"/>
        <v>4967</v>
      </c>
      <c r="K85" s="277">
        <f t="shared" si="10"/>
        <v>5742</v>
      </c>
      <c r="L85" s="277">
        <f>IF(MONTH(DataRevRea)=7,'Rede Básica + Ajuste'!J85,IF(G85&lt;$Q$69,(SUMIFS($E$18:$E$60,$B$18:$B$60,$D$76,$D$18:$D$60,"Ponta")),(SUMIFS($F$18:$F$60,$B$18:$B$60,$D$76,$D$18:$D$60,"Ponta"))))</f>
        <v>4967</v>
      </c>
      <c r="M85" s="277">
        <f>IF(MONTH(DataRevRea)=7,'Rede Básica + Ajuste'!K85,IF(G85&lt;$Q$69,(SUMIFS($E$18:$E$60,$B$18:$B$60,$D$76,$D$18:$D$60,"Fora Ponta")),(SUMIFS($F$18:$F$60,$B$18:$B$60,$D$76,$D$18:$D$60,"Fora Ponta"))))</f>
        <v>5742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80</v>
      </c>
      <c r="I86" s="277">
        <f>SUMIFS($X$18:$X$60,$B$18:$B$60,$D$76,$D$18:$D$60,"Fora Ponta")</f>
        <v>80</v>
      </c>
      <c r="J86" s="277">
        <f t="shared" si="9"/>
        <v>4967</v>
      </c>
      <c r="K86" s="277">
        <f t="shared" si="10"/>
        <v>5742</v>
      </c>
      <c r="L86" s="277">
        <f>IF(MONTH(DataRevRea)=7,'Rede Básica + Ajuste'!J86,IF(G86&lt;$Q$69,(SUMIFS($E$18:$E$60,$B$18:$B$60,$D$76,$D$18:$D$60,"Ponta")),(SUMIFS($F$18:$F$60,$B$18:$B$60,$D$76,$D$18:$D$60,"Ponta"))))</f>
        <v>4967</v>
      </c>
      <c r="M86" s="277">
        <f>IF(MONTH(DataRevRea)=7,'Rede Básica + Ajuste'!K86,IF(G86&lt;$Q$69,(SUMIFS($E$18:$E$60,$B$18:$B$60,$D$76,$D$18:$D$60,"Fora Ponta")),(SUMIFS($F$18:$F$60,$B$18:$B$60,$D$76,$D$18:$D$60,"Fora Ponta"))))</f>
        <v>5742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50">
        <f t="shared" si="12"/>
        <v>44713</v>
      </c>
      <c r="H87" s="1351">
        <f>SUMIFS($Y$18:$Y$60,$B$18:$B$60,$D$76,$D$18:$D$60,"Ponta")</f>
        <v>80</v>
      </c>
      <c r="I87" s="1351">
        <f>SUMIFS($Y$18:$Y$60,$B$18:$B$60,$D$76,$D$18:$D$60,"Fora Ponta")</f>
        <v>80</v>
      </c>
      <c r="J87" s="1351">
        <f t="shared" si="9"/>
        <v>4967</v>
      </c>
      <c r="K87" s="1351">
        <f t="shared" si="10"/>
        <v>5742</v>
      </c>
      <c r="L87" s="1351">
        <f>IF(MONTH(DataRevRea)=7,'Rede Básica + Ajuste'!J87,IF(G87&lt;$Q$69,(SUMIFS($E$18:$E$60,$B$18:$B$60,$D$76,$D$18:$D$60,"Ponta")),(SUMIFS($F$18:$F$60,$B$18:$B$60,$D$76,$D$18:$D$60,"Ponta"))))</f>
        <v>4967</v>
      </c>
      <c r="M87" s="1351">
        <f>IF(MONTH(DataRevRea)=7,'Rede Básica + Ajuste'!K87,IF(G87&lt;$Q$69,(SUMIFS($E$18:$E$60,$B$18:$B$60,$D$76,$D$18:$D$60,"Fora Ponta")),(SUMIFS($F$18:$F$60,$B$18:$B$60,$D$76,$D$18:$D$60,"Fora Ponta"))))</f>
        <v>5742</v>
      </c>
      <c r="N87" s="1352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809" t="s">
        <v>1253</v>
      </c>
      <c r="K89" s="1810"/>
      <c r="L89" s="1808" t="s">
        <v>1254</v>
      </c>
      <c r="M89" s="1808"/>
      <c r="N89" s="283"/>
    </row>
    <row r="90" spans="2:50" ht="15.75">
      <c r="C90" s="1811" t="s">
        <v>1264</v>
      </c>
      <c r="D90" s="1812"/>
      <c r="F90" s="275"/>
      <c r="G90" s="1339" t="s">
        <v>716</v>
      </c>
      <c r="H90" s="1340" t="s">
        <v>1255</v>
      </c>
      <c r="I90" s="1340" t="s">
        <v>1256</v>
      </c>
      <c r="J90" s="1341" t="s">
        <v>1257</v>
      </c>
      <c r="K90" s="1341" t="s">
        <v>1258</v>
      </c>
      <c r="L90" s="1341" t="s">
        <v>1257</v>
      </c>
      <c r="M90" s="1341" t="s">
        <v>1258</v>
      </c>
      <c r="N90" s="282" t="s">
        <v>1259</v>
      </c>
    </row>
    <row r="91" spans="2:50" ht="15.75">
      <c r="C91" s="1336" t="s">
        <v>1260</v>
      </c>
      <c r="D91" s="1342" t="str">
        <f>IF(D18="Ponta",B18,0)</f>
        <v>LAJEADO 3 - 69 kV (A)</v>
      </c>
      <c r="E91" s="18"/>
      <c r="F91" s="275"/>
      <c r="G91" s="1343">
        <f>G76</f>
        <v>44378</v>
      </c>
      <c r="H91" s="277">
        <f>H76</f>
        <v>80</v>
      </c>
      <c r="I91" s="277">
        <f>I76</f>
        <v>80</v>
      </c>
      <c r="J91" s="277">
        <f>SUMIFS($G$18:$G$60,$B$18:$B$60,$D$76,$D$18:$D$60,"Ponta")</f>
        <v>1152</v>
      </c>
      <c r="K91" s="277">
        <f>SUMIFS($G$18:$G$60,$B$18:$B$60,$D$76,$D$18:$D$60,"Fora Ponta")</f>
        <v>1152</v>
      </c>
      <c r="L91" s="1344">
        <f>IF(MONTH(DataRevRea)=7,'Rede Básica + Ajuste'!J91,IF(G91&lt;$Q$69,(SUMIFS($G$18:$G$60,$B$18:$B$60,$D$91,$D$18:$D$60,"Ponta")),(SUMIFS($H$18:$H$60,$B$18:$B$60,$D$91,$D$18:$D$60,"Ponta"))))</f>
        <v>1152</v>
      </c>
      <c r="M91" s="1344">
        <f>IF(MONTH(DataRevRea)=7,'Rede Básica + Ajuste'!K91,IF(G91&lt;$Q$69,(SUMIFS($G$18:$G$60,$B$18:$B$60,$D$91,$D$18:$D$60,"Fora Ponta")),(SUMIFS($H$18:$H$60,$B$18:$B$60,$D$91,$D$18:$D$60,"Fora Ponta"))))</f>
        <v>1152</v>
      </c>
      <c r="N91" s="1345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80</v>
      </c>
      <c r="I92" s="277">
        <f t="shared" si="13"/>
        <v>80</v>
      </c>
      <c r="J92" s="277">
        <f t="shared" ref="J92:J102" si="14">SUMIFS($G$18:$G$60,$B$18:$B$60,$D$76,$D$18:$D$60,"Ponta")</f>
        <v>1152</v>
      </c>
      <c r="K92" s="277">
        <f t="shared" ref="K92:K102" si="15">SUMIFS($G$18:$G$60,$B$18:$B$60,$D$76,$D$18:$D$60,"Fora Ponta")</f>
        <v>1152</v>
      </c>
      <c r="L92" s="277">
        <f>IF(MONTH(DataRevRea)=7,'Rede Básica + Ajuste'!J92,IF(G92&lt;$Q$69,(SUMIFS($G$18:$G$60,$B$18:$B$60,$D$91,$D$18:$D$60,"Ponta")),(SUMIFS($H$18:$H$60,$B$18:$B$60,$D$91,$D$18:$D$60,"Ponta"))))</f>
        <v>1152</v>
      </c>
      <c r="M92" s="277">
        <f>IF(MONTH(DataRevRea)=7,'Rede Básica + Ajuste'!K92,IF(G92&lt;$Q$69,(SUMIFS($G$18:$G$60,$B$18:$B$60,$D$91,$D$18:$D$60,"Fora Ponta")),(SUMIFS($H$18:$H$60,$B$18:$B$60,$D$91,$D$18:$D$60,"Fora Ponta"))))</f>
        <v>1152</v>
      </c>
      <c r="N92" s="284">
        <f t="shared" ref="N92:N102" si="16">+(H92*(L92-J92))+(I92*(M92-K92))</f>
        <v>0</v>
      </c>
    </row>
    <row r="93" spans="2:50" ht="15.75">
      <c r="C93" s="278"/>
      <c r="D93" s="1346" t="s">
        <v>1261</v>
      </c>
      <c r="E93" s="1347" t="s">
        <v>1262</v>
      </c>
      <c r="F93" s="275"/>
      <c r="G93" s="276">
        <f t="shared" si="13"/>
        <v>44440</v>
      </c>
      <c r="H93" s="277">
        <f t="shared" si="13"/>
        <v>80</v>
      </c>
      <c r="I93" s="277">
        <f t="shared" si="13"/>
        <v>80</v>
      </c>
      <c r="J93" s="277">
        <f t="shared" si="14"/>
        <v>1152</v>
      </c>
      <c r="K93" s="277">
        <f t="shared" si="15"/>
        <v>1152</v>
      </c>
      <c r="L93" s="277">
        <f>IF(MONTH(DataRevRea)=7,'Rede Básica + Ajuste'!J93,IF(G93&lt;$Q$69,(SUMIFS($G$18:$G$60,$B$18:$B$60,$D$91,$D$18:$D$60,"Ponta")),(SUMIFS($H$18:$H$60,$B$18:$B$60,$D$91,$D$18:$D$60,"Ponta"))))</f>
        <v>1152</v>
      </c>
      <c r="M93" s="277">
        <f>IF(MONTH(DataRevRea)=7,'Rede Básica + Ajuste'!K93,IF(G93&lt;$Q$69,(SUMIFS($G$18:$G$60,$B$18:$B$60,$D$91,$D$18:$D$60,"Fora Ponta")),(SUMIFS($H$18:$H$60,$B$18:$B$60,$D$91,$D$18:$D$60,"Fora Ponta"))))</f>
        <v>1152</v>
      </c>
      <c r="N93" s="284">
        <f t="shared" si="16"/>
        <v>0</v>
      </c>
    </row>
    <row r="94" spans="2:50" ht="15.75">
      <c r="C94" s="1348" t="str">
        <f>C79</f>
        <v>Cobertura 2021</v>
      </c>
      <c r="D94" s="1349">
        <f>SUMPRODUCT(H91:H102,J91:J102)</f>
        <v>1105920</v>
      </c>
      <c r="E94" s="1349">
        <f>SUMPRODUCT(I91:I102,K91:K102)</f>
        <v>1105920</v>
      </c>
      <c r="F94" s="275"/>
      <c r="G94" s="276">
        <f t="shared" si="13"/>
        <v>44470</v>
      </c>
      <c r="H94" s="277">
        <f t="shared" si="13"/>
        <v>80</v>
      </c>
      <c r="I94" s="277">
        <f t="shared" si="13"/>
        <v>80</v>
      </c>
      <c r="J94" s="277">
        <f t="shared" si="14"/>
        <v>1152</v>
      </c>
      <c r="K94" s="277">
        <f t="shared" si="15"/>
        <v>1152</v>
      </c>
      <c r="L94" s="277">
        <f>IF(MONTH(DataRevRea)=7,'Rede Básica + Ajuste'!J94,IF(G94&lt;$Q$69,(SUMIFS($G$18:$G$60,$B$18:$B$60,$D$91,$D$18:$D$60,"Ponta")),(SUMIFS($H$18:$H$60,$B$18:$B$60,$D$91,$D$18:$D$60,"Ponta"))))</f>
        <v>1152</v>
      </c>
      <c r="M94" s="277">
        <f>IF(MONTH(DataRevRea)=7,'Rede Básica + Ajuste'!K94,IF(G94&lt;$Q$69,(SUMIFS($G$18:$G$60,$B$18:$B$60,$D$91,$D$18:$D$60,"Fora Ponta")),(SUMIFS($H$18:$H$60,$B$18:$B$60,$D$91,$D$18:$D$60,"Fora Ponta"))))</f>
        <v>1152</v>
      </c>
      <c r="N94" s="284">
        <f t="shared" si="16"/>
        <v>0</v>
      </c>
    </row>
    <row r="95" spans="2:50" ht="15.75">
      <c r="C95" s="1348" t="s">
        <v>1263</v>
      </c>
      <c r="D95" s="1349">
        <f>SUMPRODUCT(H91:H102,L91:L102)</f>
        <v>1105920</v>
      </c>
      <c r="E95" s="1349">
        <f>SUMPRODUCT(I91:I102,M91:M102)</f>
        <v>1105920</v>
      </c>
      <c r="F95" s="275"/>
      <c r="G95" s="276">
        <f t="shared" si="13"/>
        <v>44501</v>
      </c>
      <c r="H95" s="277">
        <f t="shared" si="13"/>
        <v>80</v>
      </c>
      <c r="I95" s="277">
        <f t="shared" si="13"/>
        <v>80</v>
      </c>
      <c r="J95" s="277">
        <f t="shared" si="14"/>
        <v>1152</v>
      </c>
      <c r="K95" s="277">
        <f t="shared" si="15"/>
        <v>1152</v>
      </c>
      <c r="L95" s="277">
        <f>IF(MONTH(DataRevRea)=7,'Rede Básica + Ajuste'!J95,IF(G95&lt;$Q$69,(SUMIFS($G$18:$G$60,$B$18:$B$60,$D$91,$D$18:$D$60,"Ponta")),(SUMIFS($H$18:$H$60,$B$18:$B$60,$D$91,$D$18:$D$60,"Ponta"))))</f>
        <v>1152</v>
      </c>
      <c r="M95" s="277">
        <f>IF(MONTH(DataRevRea)=7,'Rede Básica + Ajuste'!K95,IF(G95&lt;$Q$69,(SUMIFS($G$18:$G$60,$B$18:$B$60,$D$91,$D$18:$D$60,"Fora Ponta")),(SUMIFS($H$18:$H$60,$B$18:$B$60,$D$91,$D$18:$D$60,"Fora Ponta"))))</f>
        <v>1152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80</v>
      </c>
      <c r="I96" s="277">
        <f t="shared" si="13"/>
        <v>80</v>
      </c>
      <c r="J96" s="277">
        <f t="shared" si="14"/>
        <v>1152</v>
      </c>
      <c r="K96" s="277">
        <f t="shared" si="15"/>
        <v>1152</v>
      </c>
      <c r="L96" s="277">
        <f>IF(MONTH(DataRevRea)=7,'Rede Básica + Ajuste'!J96,IF(G96&lt;$Q$69,(SUMIFS($G$18:$G$60,$B$18:$B$60,$D$91,$D$18:$D$60,"Ponta")),(SUMIFS($H$18:$H$60,$B$18:$B$60,$D$91,$D$18:$D$60,"Ponta"))))</f>
        <v>1152</v>
      </c>
      <c r="M96" s="277">
        <f>IF(MONTH(DataRevRea)=7,'Rede Básica + Ajuste'!K96,IF(G96&lt;$Q$69,(SUMIFS($G$18:$G$60,$B$18:$B$60,$D$91,$D$18:$D$60,"Fora Ponta")),(SUMIFS($H$18:$H$60,$B$18:$B$60,$D$91,$D$18:$D$60,"Fora Ponta"))))</f>
        <v>1152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80</v>
      </c>
      <c r="I97" s="277">
        <f t="shared" si="13"/>
        <v>80</v>
      </c>
      <c r="J97" s="277">
        <f t="shared" si="14"/>
        <v>1152</v>
      </c>
      <c r="K97" s="277">
        <f t="shared" si="15"/>
        <v>1152</v>
      </c>
      <c r="L97" s="277">
        <f>IF(MONTH(DataRevRea)=7,'Rede Básica + Ajuste'!J97,IF(G97&lt;$Q$69,(SUMIFS($G$18:$G$60,$B$18:$B$60,$D$91,$D$18:$D$60,"Ponta")),(SUMIFS($H$18:$H$60,$B$18:$B$60,$D$91,$D$18:$D$60,"Ponta"))))</f>
        <v>1152</v>
      </c>
      <c r="M97" s="277">
        <f>IF(MONTH(DataRevRea)=7,'Rede Básica + Ajuste'!K97,IF(G97&lt;$Q$69,(SUMIFS($G$18:$G$60,$B$18:$B$60,$D$91,$D$18:$D$60,"Fora Ponta")),(SUMIFS($H$18:$H$60,$B$18:$B$60,$D$91,$D$18:$D$60,"Fora Ponta"))))</f>
        <v>1152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80</v>
      </c>
      <c r="I98" s="277">
        <f t="shared" si="13"/>
        <v>80</v>
      </c>
      <c r="J98" s="277">
        <f t="shared" si="14"/>
        <v>1152</v>
      </c>
      <c r="K98" s="277">
        <f t="shared" si="15"/>
        <v>1152</v>
      </c>
      <c r="L98" s="277">
        <f>IF(MONTH(DataRevRea)=7,'Rede Básica + Ajuste'!J98,IF(G98&lt;$Q$69,(SUMIFS($G$18:$G$60,$B$18:$B$60,$D$91,$D$18:$D$60,"Ponta")),(SUMIFS($H$18:$H$60,$B$18:$B$60,$D$91,$D$18:$D$60,"Ponta"))))</f>
        <v>1152</v>
      </c>
      <c r="M98" s="277">
        <f>IF(MONTH(DataRevRea)=7,'Rede Básica + Ajuste'!K98,IF(G98&lt;$Q$69,(SUMIFS($G$18:$G$60,$B$18:$B$60,$D$91,$D$18:$D$60,"Fora Ponta")),(SUMIFS($H$18:$H$60,$B$18:$B$60,$D$91,$D$18:$D$60,"Fora Ponta"))))</f>
        <v>1152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80</v>
      </c>
      <c r="I99" s="277">
        <f t="shared" si="13"/>
        <v>80</v>
      </c>
      <c r="J99" s="277">
        <f t="shared" si="14"/>
        <v>1152</v>
      </c>
      <c r="K99" s="277">
        <f t="shared" si="15"/>
        <v>1152</v>
      </c>
      <c r="L99" s="277">
        <f>IF(MONTH(DataRevRea)=7,'Rede Básica + Ajuste'!J99,IF(G99&lt;$Q$69,(SUMIFS($G$18:$G$60,$B$18:$B$60,$D$91,$D$18:$D$60,"Ponta")),(SUMIFS($H$18:$H$60,$B$18:$B$60,$D$91,$D$18:$D$60,"Ponta"))))</f>
        <v>1152</v>
      </c>
      <c r="M99" s="277">
        <f>IF(MONTH(DataRevRea)=7,'Rede Básica + Ajuste'!K99,IF(G99&lt;$Q$69,(SUMIFS($G$18:$G$60,$B$18:$B$60,$D$91,$D$18:$D$60,"Fora Ponta")),(SUMIFS($H$18:$H$60,$B$18:$B$60,$D$91,$D$18:$D$60,"Fora Ponta"))))</f>
        <v>1152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80</v>
      </c>
      <c r="I100" s="277">
        <f t="shared" si="13"/>
        <v>80</v>
      </c>
      <c r="J100" s="277">
        <f t="shared" si="14"/>
        <v>1152</v>
      </c>
      <c r="K100" s="277">
        <f t="shared" si="15"/>
        <v>1152</v>
      </c>
      <c r="L100" s="277">
        <f>IF(MONTH(DataRevRea)=7,'Rede Básica + Ajuste'!J100,IF(G100&lt;$Q$69,(SUMIFS($G$18:$G$60,$B$18:$B$60,$D$91,$D$18:$D$60,"Ponta")),(SUMIFS($H$18:$H$60,$B$18:$B$60,$D$91,$D$18:$D$60,"Ponta"))))</f>
        <v>1152</v>
      </c>
      <c r="M100" s="277">
        <f>IF(MONTH(DataRevRea)=7,'Rede Básica + Ajuste'!K100,IF(G100&lt;$Q$69,(SUMIFS($G$18:$G$60,$B$18:$B$60,$D$91,$D$18:$D$60,"Fora Ponta")),(SUMIFS($H$18:$H$60,$B$18:$B$60,$D$91,$D$18:$D$60,"Fora Ponta"))))</f>
        <v>1152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80</v>
      </c>
      <c r="I101" s="277">
        <f t="shared" si="13"/>
        <v>80</v>
      </c>
      <c r="J101" s="277">
        <f t="shared" si="14"/>
        <v>1152</v>
      </c>
      <c r="K101" s="277">
        <f t="shared" si="15"/>
        <v>1152</v>
      </c>
      <c r="L101" s="277">
        <f>IF(MONTH(DataRevRea)=7,'Rede Básica + Ajuste'!J101,IF(G101&lt;$Q$69,(SUMIFS($G$18:$G$60,$B$18:$B$60,$D$91,$D$18:$D$60,"Ponta")),(SUMIFS($H$18:$H$60,$B$18:$B$60,$D$91,$D$18:$D$60,"Ponta"))))</f>
        <v>1152</v>
      </c>
      <c r="M101" s="277">
        <f>IF(MONTH(DataRevRea)=7,'Rede Básica + Ajuste'!K101,IF(G101&lt;$Q$69,(SUMIFS($G$18:$G$60,$B$18:$B$60,$D$91,$D$18:$D$60,"Fora Ponta")),(SUMIFS($H$18:$H$60,$B$18:$B$60,$D$91,$D$18:$D$60,"Fora Ponta"))))</f>
        <v>1152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50">
        <f t="shared" si="13"/>
        <v>44713</v>
      </c>
      <c r="H102" s="1351">
        <f t="shared" si="13"/>
        <v>80</v>
      </c>
      <c r="I102" s="1351">
        <f t="shared" si="13"/>
        <v>80</v>
      </c>
      <c r="J102" s="1351">
        <f t="shared" si="14"/>
        <v>1152</v>
      </c>
      <c r="K102" s="1351">
        <f t="shared" si="15"/>
        <v>1152</v>
      </c>
      <c r="L102" s="1351">
        <f>IF(MONTH(DataRevRea)=7,'Rede Básica + Ajuste'!J102,IF(G102&lt;$Q$69,(SUMIFS($G$18:$G$60,$B$18:$B$60,$D$91,$D$18:$D$60,"Ponta")),(SUMIFS($H$18:$H$60,$B$18:$B$60,$D$91,$D$18:$D$60,"Ponta"))))</f>
        <v>1152</v>
      </c>
      <c r="M102" s="1351">
        <f>IF(MONTH(DataRevRea)=7,'Rede Básica + Ajuste'!K102,IF(G102&lt;$Q$69,(SUMIFS($G$18:$G$60,$B$18:$B$60,$D$91,$D$18:$D$60,"Fora Ponta")),(SUMIFS($H$18:$H$60,$B$18:$B$60,$D$91,$D$18:$D$60,"Fora Ponta"))))</f>
        <v>1152</v>
      </c>
      <c r="N102" s="1352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809" t="s">
        <v>1253</v>
      </c>
      <c r="K104" s="1810"/>
      <c r="L104" s="1808" t="s">
        <v>1254</v>
      </c>
      <c r="M104" s="1808"/>
      <c r="N104" s="283"/>
    </row>
    <row r="105" spans="3:14" ht="15.75">
      <c r="C105" s="1811" t="s">
        <v>1236</v>
      </c>
      <c r="D105" s="1812"/>
      <c r="F105" s="275"/>
      <c r="G105" s="1339" t="s">
        <v>716</v>
      </c>
      <c r="H105" s="1340" t="s">
        <v>1255</v>
      </c>
      <c r="I105" s="1340" t="s">
        <v>1256</v>
      </c>
      <c r="J105" s="1341" t="s">
        <v>1257</v>
      </c>
      <c r="K105" s="1341" t="s">
        <v>1258</v>
      </c>
      <c r="L105" s="1341" t="s">
        <v>1257</v>
      </c>
      <c r="M105" s="1341" t="s">
        <v>1258</v>
      </c>
      <c r="N105" s="282" t="s">
        <v>1259</v>
      </c>
    </row>
    <row r="106" spans="3:14" ht="15.75">
      <c r="C106" s="1336" t="s">
        <v>1260</v>
      </c>
      <c r="D106" s="1353">
        <f>IF(D19="Ponta",B19,0)</f>
        <v>0</v>
      </c>
      <c r="E106" s="18"/>
      <c r="F106" s="275"/>
      <c r="G106" s="1343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44">
        <f>IF(MONTH(DataRevRea)=7,'Rede Básica + Ajuste'!J106,IF(G106&lt;$Q$69,(SUMIFS($E$18:$E$60,$B$18:$B$60,$D$106,$D$18:$D$60,"Ponta")),(SUMIFS($F$18:$F$60,$B$18:$B$60,$D$106,$D$18:$D$60,"Ponta"))))</f>
        <v>0</v>
      </c>
      <c r="M106" s="1344">
        <f>IF(MONTH(DataRevRea)=7,'Rede Básica + Ajuste'!K106,IF(G106&lt;$Q$69,(SUMIFS($E$18:$E$60,$B$18:$B$60,$D$106,$D$18:$D$60,"Fora Ponta")),(SUMIFS($F$18:$F$60,$B$18:$B$60,$D$106,$D$18:$D$60,"Fora Ponta"))))</f>
        <v>0</v>
      </c>
      <c r="N106" s="1345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46" t="s">
        <v>1261</v>
      </c>
      <c r="E108" s="1347" t="s">
        <v>1262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48" t="str">
        <f>C94</f>
        <v>Cobertura 2021</v>
      </c>
      <c r="D109" s="1349">
        <f>SUMPRODUCT(H106:H117,J106:J117)</f>
        <v>0</v>
      </c>
      <c r="E109" s="1349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48" t="s">
        <v>1263</v>
      </c>
      <c r="D110" s="1349">
        <f>SUMPRODUCT(H106:H117,L106:L117)</f>
        <v>0</v>
      </c>
      <c r="E110" s="1349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50">
        <f t="shared" si="17"/>
        <v>44713</v>
      </c>
      <c r="H117" s="1351">
        <f>SUMIFS($Y$18:$Y$60,$B$18:$B$60,$D$106,$D$18:$D$60,"Ponta")</f>
        <v>0</v>
      </c>
      <c r="I117" s="1351">
        <f>SUMIFS($Y$18:$Y$60,$B$18:$B$60,$D$106,$D$18:$D$60,"Fora Ponta")</f>
        <v>0</v>
      </c>
      <c r="J117" s="1351">
        <f t="shared" si="18"/>
        <v>0</v>
      </c>
      <c r="K117" s="1351">
        <f t="shared" si="19"/>
        <v>0</v>
      </c>
      <c r="L117" s="1351">
        <f>IF(MONTH(DataRevRea)=7,'Rede Básica + Ajuste'!J117,IF(G117&lt;$Q$69,(SUMIFS($E$18:$E$60,$B$18:$B$60,$D$106,$D$18:$D$60,"Ponta")),(SUMIFS($F$18:$F$60,$B$18:$B$60,$D$106,$D$18:$D$60,"Ponta"))))</f>
        <v>0</v>
      </c>
      <c r="M117" s="1351">
        <f>IF(MONTH(DataRevRea)=7,'Rede Básica + Ajuste'!K117,IF(G117&lt;$Q$69,(SUMIFS($E$18:$E$60,$B$18:$B$60,$D$106,$D$18:$D$60,"Fora Ponta")),(SUMIFS($F$18:$F$60,$B$18:$B$60,$D$106,$D$18:$D$60,"Fora Ponta"))))</f>
        <v>0</v>
      </c>
      <c r="N117" s="1352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809" t="s">
        <v>1253</v>
      </c>
      <c r="K119" s="1810"/>
      <c r="L119" s="1808" t="s">
        <v>1254</v>
      </c>
      <c r="M119" s="1808"/>
      <c r="N119" s="283"/>
    </row>
    <row r="120" spans="3:14" ht="15.75">
      <c r="C120" s="1811" t="s">
        <v>1264</v>
      </c>
      <c r="D120" s="1812"/>
      <c r="F120" s="275"/>
      <c r="G120" s="1339" t="s">
        <v>716</v>
      </c>
      <c r="H120" s="1340" t="s">
        <v>1255</v>
      </c>
      <c r="I120" s="1340" t="s">
        <v>1256</v>
      </c>
      <c r="J120" s="1341" t="s">
        <v>1257</v>
      </c>
      <c r="K120" s="1341" t="s">
        <v>1258</v>
      </c>
      <c r="L120" s="1341" t="s">
        <v>1257</v>
      </c>
      <c r="M120" s="1341" t="s">
        <v>1258</v>
      </c>
      <c r="N120" s="282" t="s">
        <v>1259</v>
      </c>
    </row>
    <row r="121" spans="3:14" ht="15.75">
      <c r="C121" s="1336" t="s">
        <v>1260</v>
      </c>
      <c r="D121" s="1353">
        <f>IF(D19="Ponta",B19,0)</f>
        <v>0</v>
      </c>
      <c r="E121" s="18"/>
      <c r="F121" s="275"/>
      <c r="G121" s="1343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44">
        <f>IF(MONTH(DataRevRea)=7,'Rede Básica + Ajuste'!J121,IF(G121&lt;$Q$69,(SUMIFS($G$18:$G$60,$B$18:$B$60,$D$121,$D$18:$D$60,"Ponta")),(SUMIFS($H$18:$H$60,$B$18:$B$60,$D$121,$D$18:$D$60,"Ponta"))))</f>
        <v>0</v>
      </c>
      <c r="M121" s="1344">
        <f>IF(MONTH(DataRevRea)=7,'Rede Básica + Ajuste'!K121,IF(G121&lt;$Q$69,(SUMIFS($G$18:$G$60,$B$18:$B$60,$D$121,$D$18:$D$60,"Fora Ponta")),(SUMIFS($H$18:$H$60,$B$18:$B$60,$D$121,$D$18:$D$60,"Fora Ponta"))))</f>
        <v>0</v>
      </c>
      <c r="N121" s="1345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46" t="s">
        <v>1261</v>
      </c>
      <c r="E123" s="1347" t="s">
        <v>1262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48" t="str">
        <f>C109</f>
        <v>Cobertura 2021</v>
      </c>
      <c r="D124" s="1349">
        <f>SUMPRODUCT(H121:H132,J121:J132)</f>
        <v>0</v>
      </c>
      <c r="E124" s="1349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48" t="s">
        <v>1263</v>
      </c>
      <c r="D125" s="1349">
        <f>SUMPRODUCT(H121:H132,L121:L132)</f>
        <v>0</v>
      </c>
      <c r="E125" s="1349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50">
        <f t="shared" si="21"/>
        <v>44713</v>
      </c>
      <c r="H132" s="1351">
        <f t="shared" si="21"/>
        <v>0</v>
      </c>
      <c r="I132" s="1351">
        <f t="shared" si="21"/>
        <v>0</v>
      </c>
      <c r="J132" s="1351">
        <f t="shared" si="22"/>
        <v>0</v>
      </c>
      <c r="K132" s="1351">
        <f t="shared" si="23"/>
        <v>0</v>
      </c>
      <c r="L132" s="1351">
        <f>IF(MONTH(DataRevRea)=7,'Rede Básica + Ajuste'!J132,IF(G132&lt;$Q$69,(SUMIFS($G$18:$G$60,$B$18:$B$60,$D$121,$D$18:$D$60,"Ponta")),(SUMIFS($H$18:$H$60,$B$18:$B$60,$D$121,$D$18:$D$60,"Ponta"))))</f>
        <v>0</v>
      </c>
      <c r="M132" s="1351">
        <f>IF(MONTH(DataRevRea)=7,'Rede Básica + Ajuste'!K132,IF(G132&lt;$Q$69,(SUMIFS($G$18:$G$60,$B$18:$B$60,$D$121,$D$18:$D$60,"Fora Ponta")),(SUMIFS($H$18:$H$60,$B$18:$B$60,$D$121,$D$18:$D$60,"Fora Ponta"))))</f>
        <v>0</v>
      </c>
      <c r="N132" s="1352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809" t="s">
        <v>1253</v>
      </c>
      <c r="K134" s="1810"/>
      <c r="L134" s="1808" t="s">
        <v>1254</v>
      </c>
      <c r="M134" s="1808"/>
      <c r="N134" s="283"/>
    </row>
    <row r="135" spans="3:14" ht="15.75">
      <c r="C135" s="1811" t="s">
        <v>1236</v>
      </c>
      <c r="D135" s="1812"/>
      <c r="F135" s="275"/>
      <c r="G135" s="1339" t="s">
        <v>716</v>
      </c>
      <c r="H135" s="1340" t="s">
        <v>1255</v>
      </c>
      <c r="I135" s="1340" t="s">
        <v>1256</v>
      </c>
      <c r="J135" s="1341" t="s">
        <v>1257</v>
      </c>
      <c r="K135" s="1341" t="s">
        <v>1258</v>
      </c>
      <c r="L135" s="1341" t="s">
        <v>1257</v>
      </c>
      <c r="M135" s="1341" t="s">
        <v>1258</v>
      </c>
      <c r="N135" s="282" t="s">
        <v>1259</v>
      </c>
    </row>
    <row r="136" spans="3:14" ht="15.75">
      <c r="C136" s="1336" t="s">
        <v>1260</v>
      </c>
      <c r="D136" s="1353">
        <f>IF(D20="Ponta",B20,0)</f>
        <v>0</v>
      </c>
      <c r="E136" s="18"/>
      <c r="F136" s="275"/>
      <c r="G136" s="1343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44">
        <f>IF(MONTH(DataRevRea)=7,'Rede Básica + Ajuste'!J136,IF(G136&lt;$Q$69,(SUMIFS($E$18:$E$60,$B$18:$B$60,$D$136,$D$18:$D$60,"Ponta")),(SUMIFS($F$18:$F$60,$B$18:$B$60,$D$136,$D$18:$D$60,"Ponta"))))</f>
        <v>0</v>
      </c>
      <c r="M136" s="1344">
        <f>IF(MONTH(DataRevRea)=7,'Rede Básica + Ajuste'!K136,IF(G136&lt;$Q$69,(SUMIFS($E$18:$E$60,$B$18:$B$60,$D$136,$D$18:$D$60,"Fora Ponta")),(SUMIFS($F$18:$F$60,$B$18:$B$60,$D$136,$D$18:$D$60,"Fora Ponta"))))</f>
        <v>0</v>
      </c>
      <c r="N136" s="1345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46" t="s">
        <v>1261</v>
      </c>
      <c r="E138" s="1347" t="s">
        <v>1262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48" t="str">
        <f>C124</f>
        <v>Cobertura 2021</v>
      </c>
      <c r="D139" s="1349">
        <f>SUMPRODUCT(H136:H147,J136:J147)</f>
        <v>0</v>
      </c>
      <c r="E139" s="1349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48" t="s">
        <v>1263</v>
      </c>
      <c r="D140" s="1349">
        <f>SUMPRODUCT(H136:H147,L136:L147)</f>
        <v>0</v>
      </c>
      <c r="E140" s="1349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50">
        <f t="shared" si="25"/>
        <v>44713</v>
      </c>
      <c r="H147" s="1351">
        <f>SUMIFS($Y$18:$Y$60,$B$18:$B$60,$D$136,$D$18:$D$60,"Ponta")</f>
        <v>0</v>
      </c>
      <c r="I147" s="1351">
        <f>SUMIFS($Y$18:$Y$60,$B$18:$B$60,$D$136,$D$18:$D$60,"Fora Ponta")</f>
        <v>0</v>
      </c>
      <c r="J147" s="1351">
        <f t="shared" si="26"/>
        <v>0</v>
      </c>
      <c r="K147" s="1351">
        <f t="shared" si="27"/>
        <v>0</v>
      </c>
      <c r="L147" s="1351">
        <f>IF(MONTH(DataRevRea)=7,'Rede Básica + Ajuste'!J147,IF(G147&lt;$Q$69,(SUMIFS($E$18:$E$60,$B$18:$B$60,$D$136,$D$18:$D$60,"Ponta")),(SUMIFS($F$18:$F$60,$B$18:$B$60,$D$136,$D$18:$D$60,"Ponta"))))</f>
        <v>0</v>
      </c>
      <c r="M147" s="1351">
        <f>IF(MONTH(DataRevRea)=7,'Rede Básica + Ajuste'!K147,IF(G147&lt;$Q$69,(SUMIFS($E$18:$E$60,$B$18:$B$60,$D$136,$D$18:$D$60,"Fora Ponta")),(SUMIFS($F$18:$F$60,$B$18:$B$60,$D$136,$D$18:$D$60,"Fora Ponta"))))</f>
        <v>0</v>
      </c>
      <c r="N147" s="1352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809" t="s">
        <v>1253</v>
      </c>
      <c r="K149" s="1810"/>
      <c r="L149" s="1808" t="s">
        <v>1254</v>
      </c>
      <c r="M149" s="1808"/>
      <c r="N149" s="283"/>
    </row>
    <row r="150" spans="3:14" ht="15.75">
      <c r="C150" s="1811" t="s">
        <v>1264</v>
      </c>
      <c r="D150" s="1812"/>
      <c r="F150" s="275"/>
      <c r="G150" s="1339" t="s">
        <v>716</v>
      </c>
      <c r="H150" s="1340" t="s">
        <v>1255</v>
      </c>
      <c r="I150" s="1340" t="s">
        <v>1256</v>
      </c>
      <c r="J150" s="1341" t="s">
        <v>1257</v>
      </c>
      <c r="K150" s="1341" t="s">
        <v>1258</v>
      </c>
      <c r="L150" s="1341" t="s">
        <v>1257</v>
      </c>
      <c r="M150" s="1341" t="s">
        <v>1258</v>
      </c>
      <c r="N150" s="282" t="s">
        <v>1259</v>
      </c>
    </row>
    <row r="151" spans="3:14" ht="15.75">
      <c r="C151" s="1336" t="s">
        <v>1260</v>
      </c>
      <c r="D151" s="1353">
        <f>IF(D20="Ponta",B20,0)</f>
        <v>0</v>
      </c>
      <c r="E151" s="18"/>
      <c r="F151" s="275"/>
      <c r="G151" s="1343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44">
        <f>IF(MONTH(DataRevRea)=7,'Rede Básica + Ajuste'!J151,IF(G151&lt;$Q$69,(SUMIFS($G$18:$G$60,$B$18:$B$60,$D$151,$D$18:$D$60,"Ponta")),(SUMIFS($H$18:$H$60,$B$18:$B$60,$D$151,$D$18:$D$60,"Ponta"))))</f>
        <v>0</v>
      </c>
      <c r="M151" s="1344">
        <f>IF(MONTH(DataRevRea)=7,'Rede Básica + Ajuste'!K151,IF(G151&lt;$Q$69,(SUMIFS($G$18:$G$60,$B$18:$B$60,$D$151,$D$18:$D$60,"Fora Ponta")),(SUMIFS($H$18:$H$60,$B$18:$B$60,$D$151,$D$18:$D$60,"Fora Ponta"))))</f>
        <v>0</v>
      </c>
      <c r="N151" s="1345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46" t="s">
        <v>1261</v>
      </c>
      <c r="E153" s="1347" t="s">
        <v>1262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48" t="str">
        <f>C139</f>
        <v>Cobertura 2021</v>
      </c>
      <c r="D154" s="1349">
        <f>SUMPRODUCT(H151:H162,J151:J162)</f>
        <v>0</v>
      </c>
      <c r="E154" s="1349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48" t="s">
        <v>1263</v>
      </c>
      <c r="D155" s="1349">
        <f>SUMPRODUCT(H151:H162,L151:L162)</f>
        <v>0</v>
      </c>
      <c r="E155" s="1349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50">
        <f t="shared" si="29"/>
        <v>44713</v>
      </c>
      <c r="H162" s="1351">
        <f t="shared" si="29"/>
        <v>0</v>
      </c>
      <c r="I162" s="1351">
        <f t="shared" si="29"/>
        <v>0</v>
      </c>
      <c r="J162" s="1351">
        <f t="shared" si="30"/>
        <v>0</v>
      </c>
      <c r="K162" s="1351">
        <f t="shared" si="31"/>
        <v>0</v>
      </c>
      <c r="L162" s="1351">
        <f>IF(MONTH(DataRevRea)=7,'Rede Básica + Ajuste'!J162,IF(G162&lt;$Q$69,(SUMIFS($G$18:$G$60,$B$18:$B$60,$D$151,$D$18:$D$60,"Ponta")),(SUMIFS($H$18:$H$60,$B$18:$B$60,$D$151,$D$18:$D$60,"Ponta"))))</f>
        <v>0</v>
      </c>
      <c r="M162" s="1351">
        <f>IF(MONTH(DataRevRea)=7,'Rede Básica + Ajuste'!K162,IF(G162&lt;$Q$69,(SUMIFS($G$18:$G$60,$B$18:$B$60,$D$151,$D$18:$D$60,"Fora Ponta")),(SUMIFS($H$18:$H$60,$B$18:$B$60,$D$151,$D$18:$D$60,"Fora Ponta"))))</f>
        <v>0</v>
      </c>
      <c r="N162" s="1352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809" t="s">
        <v>1253</v>
      </c>
      <c r="K164" s="1810"/>
      <c r="L164" s="1808" t="s">
        <v>1254</v>
      </c>
      <c r="M164" s="1808"/>
      <c r="N164" s="283"/>
    </row>
    <row r="165" spans="3:14" ht="15.75">
      <c r="C165" s="1811" t="s">
        <v>1236</v>
      </c>
      <c r="D165" s="1812"/>
      <c r="F165" s="275"/>
      <c r="G165" s="1339" t="s">
        <v>716</v>
      </c>
      <c r="H165" s="1340" t="s">
        <v>1255</v>
      </c>
      <c r="I165" s="1340" t="s">
        <v>1256</v>
      </c>
      <c r="J165" s="1341" t="s">
        <v>1257</v>
      </c>
      <c r="K165" s="1341" t="s">
        <v>1258</v>
      </c>
      <c r="L165" s="1341" t="s">
        <v>1257</v>
      </c>
      <c r="M165" s="1341" t="s">
        <v>1258</v>
      </c>
      <c r="N165" s="282" t="s">
        <v>1259</v>
      </c>
    </row>
    <row r="166" spans="3:14" ht="15.75">
      <c r="C166" s="1336" t="s">
        <v>1260</v>
      </c>
      <c r="D166" s="1353">
        <f>IF(D21="Ponta",B21,0)</f>
        <v>0</v>
      </c>
      <c r="E166" s="18"/>
      <c r="F166" s="275"/>
      <c r="G166" s="1343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44">
        <f>IF(MONTH(DataRevRea)=7,'Rede Básica + Ajuste'!J166,IF(G166&lt;$Q$69,(SUMIFS($E$18:$E$60,$B$18:$B$60,$D$166,$D$18:$D$60,"Ponta")),(SUMIFS($F$18:$F$60,$B$18:$B$60,$D$166,$D$18:$D$60,"Ponta"))))</f>
        <v>0</v>
      </c>
      <c r="M166" s="1344">
        <f>IF(MONTH(DataRevRea)=7,'Rede Básica + Ajuste'!K166,IF(G166&lt;$Q$69,(SUMIFS($E$18:$E$60,$B$18:$B$60,$D$166,$D$18:$D$60,"Fora Ponta")),(SUMIFS($F$18:$F$60,$B$18:$B$60,$D$166,$D$18:$D$60,"Fora Ponta"))))</f>
        <v>0</v>
      </c>
      <c r="N166" s="1345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46" t="s">
        <v>1261</v>
      </c>
      <c r="E168" s="1347" t="s">
        <v>1262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48" t="str">
        <f>C154</f>
        <v>Cobertura 2021</v>
      </c>
      <c r="D169" s="1349">
        <f>SUMPRODUCT(H166:H177,J166:J177)</f>
        <v>0</v>
      </c>
      <c r="E169" s="1349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48" t="s">
        <v>1263</v>
      </c>
      <c r="D170" s="1349">
        <f>SUMPRODUCT(H166:H177,L166:L177)</f>
        <v>0</v>
      </c>
      <c r="E170" s="1349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50">
        <f t="shared" si="33"/>
        <v>44713</v>
      </c>
      <c r="H177" s="1351">
        <f>SUMIFS($Y$18:$Y$60,$B$18:$B$60,$D$166,$D$18:$D$60,"Ponta")</f>
        <v>0</v>
      </c>
      <c r="I177" s="1351">
        <f>SUMIFS($Y$18:$Y$60,$B$18:$B$60,$D$166,$D$18:$D$60,"Fora Ponta")</f>
        <v>0</v>
      </c>
      <c r="J177" s="1351">
        <f t="shared" si="34"/>
        <v>0</v>
      </c>
      <c r="K177" s="1351">
        <f t="shared" si="35"/>
        <v>0</v>
      </c>
      <c r="L177" s="1351">
        <f>IF(MONTH(DataRevRea)=7,'Rede Básica + Ajuste'!J177,IF(G177&lt;$Q$69,(SUMIFS($E$18:$E$60,$B$18:$B$60,$D$166,$D$18:$D$60,"Ponta")),(SUMIFS($F$18:$F$60,$B$18:$B$60,$D$166,$D$18:$D$60,"Ponta"))))</f>
        <v>0</v>
      </c>
      <c r="M177" s="1351">
        <f>IF(MONTH(DataRevRea)=7,'Rede Básica + Ajuste'!K177,IF(G177&lt;$Q$69,(SUMIFS($E$18:$E$60,$B$18:$B$60,$D$166,$D$18:$D$60,"Fora Ponta")),(SUMIFS($F$18:$F$60,$B$18:$B$60,$D$166,$D$18:$D$60,"Fora Ponta"))))</f>
        <v>0</v>
      </c>
      <c r="N177" s="1352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809" t="s">
        <v>1253</v>
      </c>
      <c r="K179" s="1810"/>
      <c r="L179" s="1808" t="s">
        <v>1254</v>
      </c>
      <c r="M179" s="1808"/>
      <c r="N179" s="283"/>
    </row>
    <row r="180" spans="3:14" ht="15.75">
      <c r="C180" s="1811" t="s">
        <v>1264</v>
      </c>
      <c r="D180" s="1812"/>
      <c r="F180" s="275"/>
      <c r="G180" s="1339" t="s">
        <v>716</v>
      </c>
      <c r="H180" s="1340" t="s">
        <v>1255</v>
      </c>
      <c r="I180" s="1340" t="s">
        <v>1256</v>
      </c>
      <c r="J180" s="1341" t="s">
        <v>1257</v>
      </c>
      <c r="K180" s="1341" t="s">
        <v>1258</v>
      </c>
      <c r="L180" s="1341" t="s">
        <v>1257</v>
      </c>
      <c r="M180" s="1341" t="s">
        <v>1258</v>
      </c>
      <c r="N180" s="282" t="s">
        <v>1259</v>
      </c>
    </row>
    <row r="181" spans="3:14" ht="15.75">
      <c r="C181" s="1336" t="s">
        <v>1260</v>
      </c>
      <c r="D181" s="1353">
        <f>IF(D21="Ponta",B21,0)</f>
        <v>0</v>
      </c>
      <c r="E181" s="18"/>
      <c r="F181" s="275"/>
      <c r="G181" s="1343">
        <f>G166</f>
        <v>44378</v>
      </c>
      <c r="H181" s="277">
        <f>H166</f>
        <v>0</v>
      </c>
      <c r="I181" s="277">
        <f>I166</f>
        <v>0</v>
      </c>
      <c r="J181" s="1344">
        <f>SUMIFS($G$18:$G$60,$B$18:$B$60,$D$181,$D$18:$D$60,"Ponta")</f>
        <v>0</v>
      </c>
      <c r="K181" s="1344">
        <f>SUMIFS($G$18:$G$60,$B$18:$B$60,$D$181,$D$18:$D$60,"Fora Ponta")</f>
        <v>0</v>
      </c>
      <c r="L181" s="1344">
        <f>IF(MONTH(DataRevRea)=7,'Rede Básica + Ajuste'!J181,IF(G181&lt;$Q$69,(SUMIFS($G$18:$G$60,$B$18:$B$60,$D$181,$D$18:$D$60,"Ponta")),(SUMIFS($H$18:$H$60,$B$18:$B$60,$D$181,$D$18:$D$60,"Ponta"))))</f>
        <v>0</v>
      </c>
      <c r="M181" s="1344">
        <f>IF(MONTH(DataRevRea)=7,'Rede Básica + Ajuste'!K181,IF(G181&lt;$Q$69,(SUMIFS($G$18:$G$60,$B$18:$B$60,$D$181,$D$18:$D$60,"Fora Ponta")),(SUMIFS($H$18:$H$60,$B$18:$B$60,$D$181,$D$18:$D$60,"Fora Ponta"))))</f>
        <v>0</v>
      </c>
      <c r="N181" s="1345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46" t="s">
        <v>1261</v>
      </c>
      <c r="E183" s="1347" t="s">
        <v>1262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48" t="str">
        <f>C169</f>
        <v>Cobertura 2021</v>
      </c>
      <c r="D184" s="1349">
        <f>SUMPRODUCT(H181:H192,J181:J192)</f>
        <v>0</v>
      </c>
      <c r="E184" s="1349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48" t="s">
        <v>1263</v>
      </c>
      <c r="D185" s="1349">
        <f>SUMPRODUCT(H181:H192,L181:L192)</f>
        <v>0</v>
      </c>
      <c r="E185" s="1349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50">
        <f t="shared" si="37"/>
        <v>44713</v>
      </c>
      <c r="H192" s="1351">
        <f t="shared" si="37"/>
        <v>0</v>
      </c>
      <c r="I192" s="1351">
        <f t="shared" si="37"/>
        <v>0</v>
      </c>
      <c r="J192" s="1351">
        <f t="shared" si="38"/>
        <v>0</v>
      </c>
      <c r="K192" s="1351">
        <f t="shared" si="39"/>
        <v>0</v>
      </c>
      <c r="L192" s="1351">
        <f>IF(MONTH(DataRevRea)=7,'Rede Básica + Ajuste'!J192,IF(G192&lt;$Q$69,(SUMIFS($G$18:$G$60,$B$18:$B$60,$D$181,$D$18:$D$60,"Ponta")),(SUMIFS($H$18:$H$60,$B$18:$B$60,$D$181,$D$18:$D$60,"Ponta"))))</f>
        <v>0</v>
      </c>
      <c r="M192" s="1351">
        <f>IF(MONTH(DataRevRea)=7,'Rede Básica + Ajuste'!K192,IF(G192&lt;$Q$69,(SUMIFS($G$18:$G$60,$B$18:$B$60,$D$181,$D$18:$D$60,"Fora Ponta")),(SUMIFS($H$18:$H$60,$B$18:$B$60,$D$181,$D$18:$D$60,"Fora Ponta"))))</f>
        <v>0</v>
      </c>
      <c r="N192" s="1352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809" t="s">
        <v>1253</v>
      </c>
      <c r="K194" s="1810"/>
      <c r="L194" s="1808" t="s">
        <v>1254</v>
      </c>
      <c r="M194" s="1808"/>
      <c r="N194" s="283"/>
    </row>
    <row r="195" spans="3:14" ht="15.75">
      <c r="C195" s="1811" t="s">
        <v>1236</v>
      </c>
      <c r="D195" s="1812"/>
      <c r="F195" s="275"/>
      <c r="G195" s="1339" t="s">
        <v>716</v>
      </c>
      <c r="H195" s="1340" t="s">
        <v>1255</v>
      </c>
      <c r="I195" s="1340" t="s">
        <v>1256</v>
      </c>
      <c r="J195" s="1341" t="s">
        <v>1257</v>
      </c>
      <c r="K195" s="1341" t="s">
        <v>1258</v>
      </c>
      <c r="L195" s="1341" t="s">
        <v>1257</v>
      </c>
      <c r="M195" s="1341" t="s">
        <v>1258</v>
      </c>
      <c r="N195" s="282" t="s">
        <v>1259</v>
      </c>
    </row>
    <row r="196" spans="3:14" ht="15.75">
      <c r="C196" s="1336" t="s">
        <v>1260</v>
      </c>
      <c r="D196" s="1353">
        <f>IF(D22="Ponta",B22,0)</f>
        <v>0</v>
      </c>
      <c r="E196" s="18"/>
      <c r="F196" s="275"/>
      <c r="G196" s="1343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44">
        <f>SUMIFS($E$18:$E$60,$B$18:$B$60,$D$196,$D$18:$D$60,"Ponta")</f>
        <v>0</v>
      </c>
      <c r="K196" s="1344">
        <f>SUMIFS($E$18:$E$60,$B$18:$B$60,$D$196,$D$18:$D$60,"Fora Ponta")</f>
        <v>0</v>
      </c>
      <c r="L196" s="1344">
        <f>IF(MONTH(DataRevRea)=7,'Rede Básica + Ajuste'!J196,IF(G196&lt;$Q$69,(SUMIFS($E$18:$E$60,$B$18:$B$60,$D$196,$D$18:$D$60,"Ponta")),(SUMIFS($F$18:$F$60,$B$18:$B$60,$D$196,$D$18:$D$60,"Ponta"))))</f>
        <v>0</v>
      </c>
      <c r="M196" s="1344">
        <f>IF(MONTH(DataRevRea)=7,'Rede Básica + Ajuste'!K196,IF(G196&lt;$Q$69,(SUMIFS($E$18:$E$60,$B$18:$B$60,$D$196,$D$18:$D$60,"Fora Ponta")),(SUMIFS($F$18:$F$60,$B$18:$B$60,$D$196,$D$18:$D$60,"Fora Ponta"))))</f>
        <v>0</v>
      </c>
      <c r="N196" s="1345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46" t="s">
        <v>1261</v>
      </c>
      <c r="E198" s="1347" t="s">
        <v>1262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48" t="str">
        <f>C184</f>
        <v>Cobertura 2021</v>
      </c>
      <c r="D199" s="1349">
        <f>SUMPRODUCT(H196:H207,J196:J207)</f>
        <v>0</v>
      </c>
      <c r="E199" s="1349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48" t="s">
        <v>1263</v>
      </c>
      <c r="D200" s="1349">
        <f>SUMPRODUCT(H196:H207,L196:L207)</f>
        <v>0</v>
      </c>
      <c r="E200" s="1349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50">
        <f t="shared" si="41"/>
        <v>44713</v>
      </c>
      <c r="H207" s="1351">
        <f>SUMIFS($Y$18:$Y$60,$B$18:$B$60,$D$196,$D$18:$D$60,"Ponta")</f>
        <v>0</v>
      </c>
      <c r="I207" s="1351">
        <f>SUMIFS($Y$18:$Y$60,$B$18:$B$60,$D$196,$D$18:$D$60,"Fora Ponta")</f>
        <v>0</v>
      </c>
      <c r="J207" s="1351">
        <f t="shared" si="42"/>
        <v>0</v>
      </c>
      <c r="K207" s="1351">
        <f t="shared" si="43"/>
        <v>0</v>
      </c>
      <c r="L207" s="1351">
        <f>IF(MONTH(DataRevRea)=7,'Rede Básica + Ajuste'!J207,IF(G207&lt;$Q$69,(SUMIFS($E$18:$E$60,$B$18:$B$60,$D$196,$D$18:$D$60,"Ponta")),(SUMIFS($F$18:$F$60,$B$18:$B$60,$D$196,$D$18:$D$60,"Ponta"))))</f>
        <v>0</v>
      </c>
      <c r="M207" s="1351">
        <f>IF(MONTH(DataRevRea)=7,'Rede Básica + Ajuste'!K207,IF(G207&lt;$Q$69,(SUMIFS($E$18:$E$60,$B$18:$B$60,$D$196,$D$18:$D$60,"Fora Ponta")),(SUMIFS($F$18:$F$60,$B$18:$B$60,$D$196,$D$18:$D$60,"Fora Ponta"))))</f>
        <v>0</v>
      </c>
      <c r="N207" s="1352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809" t="s">
        <v>1253</v>
      </c>
      <c r="K209" s="1810"/>
      <c r="L209" s="1808" t="s">
        <v>1254</v>
      </c>
      <c r="M209" s="1808"/>
      <c r="N209" s="283"/>
    </row>
    <row r="210" spans="3:14" ht="15.75">
      <c r="C210" s="1811" t="s">
        <v>1264</v>
      </c>
      <c r="D210" s="1812"/>
      <c r="F210" s="275"/>
      <c r="G210" s="1339" t="s">
        <v>716</v>
      </c>
      <c r="H210" s="1340" t="s">
        <v>1255</v>
      </c>
      <c r="I210" s="1340" t="s">
        <v>1256</v>
      </c>
      <c r="J210" s="1341" t="s">
        <v>1257</v>
      </c>
      <c r="K210" s="1341" t="s">
        <v>1258</v>
      </c>
      <c r="L210" s="1341" t="s">
        <v>1257</v>
      </c>
      <c r="M210" s="1341" t="s">
        <v>1258</v>
      </c>
      <c r="N210" s="282" t="s">
        <v>1259</v>
      </c>
    </row>
    <row r="211" spans="3:14" ht="15.75">
      <c r="C211" s="1336" t="s">
        <v>1260</v>
      </c>
      <c r="D211" s="1353">
        <f>IF(D22="Ponta",B22,0)</f>
        <v>0</v>
      </c>
      <c r="E211" s="18"/>
      <c r="F211" s="275"/>
      <c r="G211" s="1343">
        <f>G196</f>
        <v>44378</v>
      </c>
      <c r="H211" s="277">
        <f>H196</f>
        <v>0</v>
      </c>
      <c r="I211" s="277">
        <f>I196</f>
        <v>0</v>
      </c>
      <c r="J211" s="1344">
        <f>SUMIFS($G$18:$G$60,$B$18:$B$60,$D$211,$D$18:$D$60,"Ponta")</f>
        <v>0</v>
      </c>
      <c r="K211" s="1344">
        <f>SUMIFS($G$18:$G$60,$B$18:$B$60,$D$211,$D$18:$D$60,"Fora Ponta")</f>
        <v>0</v>
      </c>
      <c r="L211" s="1344">
        <f>IF(MONTH(DataRevRea)=7,'Rede Básica + Ajuste'!J211,IF(G211&lt;$Q$69,(SUMIFS($G$18:$G$60,$B$18:$B$60,$D$211,$D$18:$D$60,"Ponta")),(SUMIFS($H$18:$H$60,$B$18:$B$60,$D$211,$D$18:$D$60,"Ponta"))))</f>
        <v>0</v>
      </c>
      <c r="M211" s="1344">
        <f>IF(MONTH(DataRevRea)=7,'Rede Básica + Ajuste'!K211,IF(G211&lt;$Q$69,(SUMIFS($G$18:$G$60,$B$18:$B$60,$D$211,$D$18:$D$60,"Fora Ponta")),(SUMIFS($H$18:$H$60,$B$18:$B$60,$D$211,$D$18:$D$60,"Fora Ponta"))))</f>
        <v>0</v>
      </c>
      <c r="N211" s="1345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46" t="s">
        <v>1261</v>
      </c>
      <c r="E213" s="1347" t="s">
        <v>1262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48" t="str">
        <f>C199</f>
        <v>Cobertura 2021</v>
      </c>
      <c r="D214" s="1349">
        <f>SUMPRODUCT(H211:H222,J211:J222)</f>
        <v>0</v>
      </c>
      <c r="E214" s="1349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48" t="s">
        <v>1263</v>
      </c>
      <c r="D215" s="1349">
        <f>SUMPRODUCT(H211:H222,L211:L222)</f>
        <v>0</v>
      </c>
      <c r="E215" s="1349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50">
        <f t="shared" si="45"/>
        <v>44713</v>
      </c>
      <c r="H222" s="1351">
        <f t="shared" si="45"/>
        <v>0</v>
      </c>
      <c r="I222" s="1351">
        <f t="shared" si="45"/>
        <v>0</v>
      </c>
      <c r="J222" s="1351">
        <f t="shared" si="46"/>
        <v>0</v>
      </c>
      <c r="K222" s="1351">
        <f t="shared" si="47"/>
        <v>0</v>
      </c>
      <c r="L222" s="1351">
        <f>IF(MONTH(DataRevRea)=7,'Rede Básica + Ajuste'!J222,IF(G222&lt;$Q$69,(SUMIFS($G$18:$G$60,$B$18:$B$60,$D$211,$D$18:$D$60,"Ponta")),(SUMIFS($H$18:$H$60,$B$18:$B$60,$D$211,$D$18:$D$60,"Ponta"))))</f>
        <v>0</v>
      </c>
      <c r="M222" s="1351">
        <f>IF(MONTH(DataRevRea)=7,'Rede Básica + Ajuste'!K222,IF(G222&lt;$Q$69,(SUMIFS($G$18:$G$60,$B$18:$B$60,$D$211,$D$18:$D$60,"Fora Ponta")),(SUMIFS($H$18:$H$60,$B$18:$B$60,$D$211,$D$18:$D$60,"Fora Ponta"))))</f>
        <v>0</v>
      </c>
      <c r="N222" s="1352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G17" sqref="G17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08" t="s">
        <v>708</v>
      </c>
      <c r="C1" s="1105"/>
      <c r="D1" s="1009"/>
      <c r="E1" s="1320"/>
      <c r="F1" s="1320"/>
      <c r="G1" s="1218" t="s">
        <v>953</v>
      </c>
      <c r="H1" s="1219">
        <f ca="1">LnkTXTIRTEco</f>
        <v>0.14499999999999999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1265</v>
      </c>
      <c r="AL1" s="185">
        <v>7947</v>
      </c>
      <c r="AM1" s="184" t="s">
        <v>1266</v>
      </c>
    </row>
    <row r="2" spans="2:39" ht="15" thickBot="1">
      <c r="B2" s="138" t="str">
        <f>CAPA!C9</f>
        <v>Certel</v>
      </c>
      <c r="C2" s="70"/>
      <c r="D2" s="70"/>
      <c r="G2" s="121" t="s">
        <v>957</v>
      </c>
      <c r="H2" s="122">
        <f ca="1">LnkTXTIRTTotal</f>
        <v>7.5999999999999998E-2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1267</v>
      </c>
      <c r="AL2" s="187">
        <v>7959</v>
      </c>
      <c r="AM2" s="188" t="s">
        <v>1268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1269</v>
      </c>
      <c r="AL4" s="171">
        <v>7972</v>
      </c>
      <c r="AM4" s="172" t="s">
        <v>1270</v>
      </c>
    </row>
    <row r="5" spans="2:39" ht="29.25" thickBot="1">
      <c r="B5" s="1324" t="s">
        <v>1271</v>
      </c>
      <c r="C5" s="1324" t="s">
        <v>1272</v>
      </c>
      <c r="D5" s="1324" t="s">
        <v>1273</v>
      </c>
      <c r="E5" s="1324" t="s">
        <v>1274</v>
      </c>
      <c r="F5" s="1324" t="s">
        <v>1275</v>
      </c>
      <c r="G5" s="1324" t="s">
        <v>1276</v>
      </c>
      <c r="J5" s="158" t="s">
        <v>1277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1278</v>
      </c>
      <c r="AL5" s="171">
        <v>7973</v>
      </c>
      <c r="AM5" s="172" t="s">
        <v>1279</v>
      </c>
    </row>
    <row r="6" spans="2:39" ht="15" thickBot="1">
      <c r="B6" s="1658" t="str">
        <f>RBBD!B304</f>
        <v>CEEE-T</v>
      </c>
      <c r="C6" s="1659">
        <f>SUM(RBBD!D304:E304)</f>
        <v>0</v>
      </c>
      <c r="D6" s="1660">
        <f>SUM(RBBD!F304:G304)</f>
        <v>0</v>
      </c>
      <c r="E6" s="1660">
        <f>SUM(RBBD!H304:I304)</f>
        <v>0</v>
      </c>
      <c r="F6" s="1659" t="str">
        <f>RBBD!C304</f>
        <v>IPCA</v>
      </c>
      <c r="G6" s="1659">
        <f>SUM(C6:E6)</f>
        <v>0</v>
      </c>
      <c r="J6" s="158" t="s">
        <v>849</v>
      </c>
      <c r="K6" s="169">
        <v>3</v>
      </c>
      <c r="AK6" s="170" t="s">
        <v>1280</v>
      </c>
      <c r="AL6" s="171">
        <v>7974</v>
      </c>
      <c r="AM6" s="172" t="s">
        <v>1281</v>
      </c>
    </row>
    <row r="7" spans="2:39" ht="15" thickBot="1">
      <c r="B7" s="394" t="str">
        <f>RBBD!B305</f>
        <v>VINEYARDS</v>
      </c>
      <c r="C7" s="395">
        <f>SUM(RBBD!D305:E305)</f>
        <v>1139255.8699999999</v>
      </c>
      <c r="D7" s="396">
        <f>SUM(RBBD!F305:G305)</f>
        <v>0</v>
      </c>
      <c r="E7" s="396">
        <f>SUM(RBBD!H305:I305)</f>
        <v>0</v>
      </c>
      <c r="F7" s="395" t="str">
        <f>RBBD!C305</f>
        <v>IPCA</v>
      </c>
      <c r="G7" s="395">
        <f>SUM(C7:E7)</f>
        <v>1139255.8699999999</v>
      </c>
      <c r="J7" s="158"/>
      <c r="K7" s="158"/>
      <c r="AK7" s="170" t="s">
        <v>1282</v>
      </c>
      <c r="AL7" s="171">
        <v>7977</v>
      </c>
      <c r="AM7" s="172" t="s">
        <v>1283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1284</v>
      </c>
      <c r="AL8" s="171">
        <v>7978</v>
      </c>
      <c r="AM8" s="172" t="s">
        <v>1285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1286</v>
      </c>
      <c r="AL9" s="171">
        <v>7979</v>
      </c>
      <c r="AM9" s="172" t="s">
        <v>1287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1288</v>
      </c>
      <c r="AL10" s="171">
        <v>8047</v>
      </c>
      <c r="AM10" s="172" t="s">
        <v>1289</v>
      </c>
    </row>
    <row r="11" spans="2:39" ht="15" thickBot="1">
      <c r="B11" s="1354" t="s">
        <v>837</v>
      </c>
      <c r="C11" s="1355">
        <f>SUM(C6:C10)</f>
        <v>1139255.8699999999</v>
      </c>
      <c r="D11" s="1355">
        <f>SUM(D6:D10)</f>
        <v>0</v>
      </c>
      <c r="E11" s="1356">
        <f>SUM(E6:E10)</f>
        <v>0</v>
      </c>
      <c r="F11" s="1357"/>
      <c r="G11" s="1358">
        <f>SUM(G6:G10)</f>
        <v>1139255.8699999999</v>
      </c>
      <c r="AK11" s="170" t="s">
        <v>1290</v>
      </c>
      <c r="AL11" s="171">
        <v>8049</v>
      </c>
      <c r="AM11" s="172" t="s">
        <v>1291</v>
      </c>
    </row>
    <row r="12" spans="2:39" ht="15" thickBot="1">
      <c r="B12" s="166"/>
      <c r="C12" s="165"/>
      <c r="D12" s="1359" t="s">
        <v>1292</v>
      </c>
      <c r="E12" s="1359"/>
      <c r="F12" s="1360">
        <f>IF(MONTH(CAPA!C15)&gt;6,DATE(YEAR(CAPA!C15),6,1),DATE(YEAR(CAPA!C15)-1,6,1))</f>
        <v>44713</v>
      </c>
      <c r="G12" s="189"/>
      <c r="AK12" s="170" t="s">
        <v>1293</v>
      </c>
      <c r="AL12" s="171">
        <v>8050</v>
      </c>
      <c r="AM12" s="172" t="s">
        <v>1294</v>
      </c>
    </row>
    <row r="13" spans="2:39" ht="15" thickBot="1">
      <c r="B13" s="182"/>
      <c r="C13" s="182"/>
      <c r="D13" s="182"/>
      <c r="F13" s="183" t="s">
        <v>1295</v>
      </c>
      <c r="AK13" s="170"/>
      <c r="AL13" s="171"/>
      <c r="AM13" s="172"/>
    </row>
    <row r="14" spans="2:39" ht="15" thickBot="1">
      <c r="B14" s="182"/>
      <c r="C14" s="182"/>
      <c r="AK14" s="170" t="s">
        <v>1296</v>
      </c>
      <c r="AL14" s="171">
        <v>8051</v>
      </c>
      <c r="AM14" s="172" t="s">
        <v>1297</v>
      </c>
    </row>
    <row r="15" spans="2:39" ht="29.25" thickBot="1">
      <c r="B15" s="1324" t="s">
        <v>1271</v>
      </c>
      <c r="C15" s="1324" t="s">
        <v>1272</v>
      </c>
      <c r="D15" s="1324" t="s">
        <v>1298</v>
      </c>
      <c r="E15" s="1324" t="s">
        <v>1299</v>
      </c>
      <c r="F15" s="151"/>
      <c r="AK15" s="170" t="s">
        <v>1300</v>
      </c>
      <c r="AL15" s="171">
        <v>8057</v>
      </c>
      <c r="AM15" s="172" t="s">
        <v>1301</v>
      </c>
    </row>
    <row r="16" spans="2:39" ht="15" thickBot="1">
      <c r="B16" s="190" t="str">
        <f>B6</f>
        <v>CEEE-T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1302</v>
      </c>
      <c r="AL16" s="171">
        <v>8058</v>
      </c>
      <c r="AM16" s="172" t="s">
        <v>1303</v>
      </c>
    </row>
    <row r="17" spans="2:39" ht="15" thickBot="1">
      <c r="B17" s="190" t="str">
        <f>B7</f>
        <v>VINEYARDS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1146889.5423490694</v>
      </c>
      <c r="D17" s="192"/>
      <c r="E17" s="191">
        <f>SUM(C17:D17)</f>
        <v>1146889.5423490694</v>
      </c>
      <c r="F17" s="151"/>
      <c r="AK17" s="170" t="s">
        <v>1304</v>
      </c>
      <c r="AL17" s="171">
        <v>8220</v>
      </c>
      <c r="AM17" s="172" t="s">
        <v>1305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1306</v>
      </c>
      <c r="AL18" s="171">
        <v>8221</v>
      </c>
      <c r="AM18" s="172" t="s">
        <v>1307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1308</v>
      </c>
      <c r="AL19" s="171">
        <v>8231</v>
      </c>
      <c r="AM19" s="172" t="s">
        <v>1309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1310</v>
      </c>
      <c r="AL20" s="171">
        <v>8261</v>
      </c>
      <c r="AM20" s="172" t="s">
        <v>1311</v>
      </c>
    </row>
    <row r="21" spans="2:39">
      <c r="B21" s="1354" t="s">
        <v>837</v>
      </c>
      <c r="C21" s="1361">
        <f>SUM(C16:C20)</f>
        <v>1146889.5423490694</v>
      </c>
      <c r="D21" s="1361">
        <f>SUM(D16:D20)</f>
        <v>0</v>
      </c>
      <c r="E21" s="1361">
        <f>SUM(E16:E20)</f>
        <v>1146889.5423490694</v>
      </c>
      <c r="F21" s="151"/>
      <c r="AK21" s="173" t="s">
        <v>1312</v>
      </c>
      <c r="AL21" s="174">
        <v>8263</v>
      </c>
      <c r="AM21" s="175" t="s">
        <v>1313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8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08" t="s">
        <v>1032</v>
      </c>
      <c r="C1" s="1105"/>
      <c r="D1" s="1362"/>
      <c r="E1" s="1363"/>
      <c r="F1" s="1363"/>
      <c r="G1" s="1218" t="s">
        <v>953</v>
      </c>
      <c r="H1" s="1322">
        <f ca="1">LnkTXTIRTEco</f>
        <v>0.14499999999999999</v>
      </c>
    </row>
    <row r="2" spans="1:16" ht="46.5" customHeight="1">
      <c r="B2" s="138" t="str">
        <f>CAPA!C9</f>
        <v>Certel</v>
      </c>
      <c r="C2" s="70"/>
      <c r="D2" s="70"/>
      <c r="G2" s="121" t="s">
        <v>957</v>
      </c>
      <c r="H2" s="148">
        <f ca="1">LnkTXTIRTTotal</f>
        <v>7.5999999999999998E-2</v>
      </c>
      <c r="I2" s="91" t="s">
        <v>1314</v>
      </c>
    </row>
    <row r="3" spans="1:16">
      <c r="B3" s="1364" t="s">
        <v>1315</v>
      </c>
      <c r="C3" s="1365">
        <f>SUMPRODUCT(J6:J44,H6:H44)</f>
        <v>1157274.8109167996</v>
      </c>
      <c r="D3" s="73"/>
      <c r="E3" s="1364" t="s">
        <v>1206</v>
      </c>
      <c r="F3" s="68" t="s">
        <v>1316</v>
      </c>
      <c r="G3" s="1366">
        <f>LnkTXTDescTusdAnte</f>
        <v>0</v>
      </c>
      <c r="H3" s="91"/>
      <c r="I3" s="1367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1317</v>
      </c>
      <c r="B5" s="1368" t="s">
        <v>27</v>
      </c>
      <c r="C5" s="1368" t="s">
        <v>21</v>
      </c>
      <c r="D5" s="1368" t="s">
        <v>22</v>
      </c>
      <c r="E5" s="1368" t="s">
        <v>78</v>
      </c>
      <c r="F5" s="1368" t="s">
        <v>894</v>
      </c>
      <c r="G5" s="1368" t="s">
        <v>1318</v>
      </c>
      <c r="H5" s="1368" t="s">
        <v>60</v>
      </c>
      <c r="I5" s="1368" t="s">
        <v>1207</v>
      </c>
      <c r="J5" s="1368" t="s">
        <v>1208</v>
      </c>
      <c r="L5" s="68"/>
      <c r="M5" s="69"/>
    </row>
    <row r="6" spans="1:16">
      <c r="A6" s="68" t="s">
        <v>2314</v>
      </c>
      <c r="B6" s="149" t="s">
        <v>2315</v>
      </c>
      <c r="C6" s="149" t="s">
        <v>215</v>
      </c>
      <c r="D6" s="149" t="s">
        <v>218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0</v>
      </c>
      <c r="H6" s="149">
        <f>IF(B6="","",IF(LEFT(D6,7)="Demanda",G6,G6/1000))</f>
        <v>0</v>
      </c>
      <c r="I6" s="149">
        <f>IF(ISERROR(VLOOKUP(CONCATENATE(A6,A41,E6,F6),BD!$H$6:$V$30,14,FALSE)),"",VLOOKUP(CONCATENATE(A6,A41,E6,F6),BD!$H$6:$V$30,14,FALSE))</f>
        <v>0</v>
      </c>
      <c r="J6" s="149">
        <f t="shared" ref="J6:J13" si="0">IF(ISERROR(I6*(1-$G$3)),"",I6*(1-$G$3))</f>
        <v>0</v>
      </c>
      <c r="L6" s="68"/>
      <c r="M6" s="69"/>
      <c r="N6" s="69"/>
    </row>
    <row r="7" spans="1:16">
      <c r="A7" s="68" t="s">
        <v>2314</v>
      </c>
      <c r="B7" s="149" t="s">
        <v>2315</v>
      </c>
      <c r="C7" s="149" t="s">
        <v>215</v>
      </c>
      <c r="D7" s="149" t="s">
        <v>220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0</v>
      </c>
      <c r="H7" s="149">
        <f t="shared" ref="H7:H30" si="3">IF(B7="","",IF(LEFT(D7,7)="Demanda",G7,G7/1000))</f>
        <v>0</v>
      </c>
      <c r="I7" s="149">
        <f>IF(ISERROR(VLOOKUP(CONCATENATE(A7,A42,E7,F7),BD!$H$6:$V$30,14,FALSE)),"",VLOOKUP(CONCATENATE(A7,A42,E7,F7),BD!$H$6:$V$30,14,FALSE))</f>
        <v>0</v>
      </c>
      <c r="J7" s="149">
        <f t="shared" si="0"/>
        <v>0</v>
      </c>
    </row>
    <row r="8" spans="1:16">
      <c r="A8" s="68" t="s">
        <v>2314</v>
      </c>
      <c r="B8" s="149" t="s">
        <v>2315</v>
      </c>
      <c r="C8" s="149" t="s">
        <v>2179</v>
      </c>
      <c r="D8" s="149" t="s">
        <v>218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26756.129999999997</v>
      </c>
      <c r="H8" s="149">
        <f t="shared" si="3"/>
        <v>26756.129999999997</v>
      </c>
      <c r="I8" s="149">
        <f>IF(ISERROR(VLOOKUP(CONCATENATE(A8,A43,E8,F8),BD!$H$6:$V$30,14,FALSE)),"",VLOOKUP(CONCATENATE(A8,A43,E8,F8),BD!$H$6:$V$30,14,FALSE))</f>
        <v>19.98</v>
      </c>
      <c r="J8" s="149">
        <f t="shared" si="0"/>
        <v>19.98</v>
      </c>
      <c r="K8" s="69">
        <f>H8*J8</f>
        <v>534587.47739999997</v>
      </c>
      <c r="L8" s="68"/>
      <c r="M8" s="69"/>
    </row>
    <row r="9" spans="1:16">
      <c r="A9" s="68" t="s">
        <v>2314</v>
      </c>
      <c r="B9" s="149" t="s">
        <v>2315</v>
      </c>
      <c r="C9" s="149" t="s">
        <v>2179</v>
      </c>
      <c r="D9" s="149" t="s">
        <v>220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19959.099999999999</v>
      </c>
      <c r="H9" s="149">
        <f t="shared" si="3"/>
        <v>19959.099999999999</v>
      </c>
      <c r="I9" s="149">
        <f>IF(ISERROR(VLOOKUP(CONCATENATE(A9,A44,E9,F9),BD!$H$6:$V$30,14,FALSE)),"",VLOOKUP(CONCATENATE(A9,A44,E9,F9),BD!$H$6:$V$30,14,FALSE))</f>
        <v>26.9</v>
      </c>
      <c r="J9" s="149">
        <f t="shared" si="0"/>
        <v>26.9</v>
      </c>
      <c r="K9" s="69">
        <f t="shared" ref="K9:K13" si="4">H9*J9</f>
        <v>536899.78999999992</v>
      </c>
      <c r="L9" s="68"/>
      <c r="M9" s="69"/>
    </row>
    <row r="10" spans="1:16">
      <c r="A10" s="68" t="s">
        <v>2314</v>
      </c>
      <c r="B10" s="149" t="s">
        <v>2315</v>
      </c>
      <c r="C10" s="149" t="s">
        <v>215</v>
      </c>
      <c r="D10" s="149" t="s">
        <v>222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176035143</v>
      </c>
      <c r="H10" s="149">
        <f t="shared" si="3"/>
        <v>176035.14300000001</v>
      </c>
      <c r="I10" s="149">
        <f>IF(ISERROR(VLOOKUP(CONCATENATE(A10,A45,E10,F10),BD!$H$6:$V$30,14,FALSE)),"",VLOOKUP(CONCATENATE(A10,A45,E10,F10),BD!$H$6:$V$30,14,FALSE))</f>
        <v>0</v>
      </c>
      <c r="J10" s="149">
        <f t="shared" si="0"/>
        <v>0</v>
      </c>
      <c r="K10" s="69">
        <f t="shared" si="4"/>
        <v>0</v>
      </c>
      <c r="L10" s="68"/>
      <c r="M10" s="69"/>
    </row>
    <row r="11" spans="1:16">
      <c r="A11" s="68" t="s">
        <v>2314</v>
      </c>
      <c r="B11" s="149" t="s">
        <v>2315</v>
      </c>
      <c r="C11" s="149" t="s">
        <v>215</v>
      </c>
      <c r="D11" s="149" t="s">
        <v>224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23911088</v>
      </c>
      <c r="H11" s="149">
        <f t="shared" si="3"/>
        <v>23911.088</v>
      </c>
      <c r="I11" s="149">
        <f>IF(ISERROR(VLOOKUP(CONCATENATE(A11,A46,E11,F11),BD!$H$6:$V$30,14,FALSE)),"",VLOOKUP(CONCATENATE(A11,A46,E11,F11),BD!$H$6:$V$30,14,FALSE))</f>
        <v>0</v>
      </c>
      <c r="J11" s="149">
        <f t="shared" ref="J11" si="5">IF(ISERROR(I11*(1-$G$3)),"",I11*(1-$G$3))</f>
        <v>0</v>
      </c>
      <c r="K11" s="69">
        <f t="shared" si="4"/>
        <v>0</v>
      </c>
      <c r="L11" s="751"/>
      <c r="M11" s="243"/>
      <c r="N11" s="244"/>
      <c r="O11" s="244"/>
      <c r="P11" s="244"/>
    </row>
    <row r="12" spans="1:16">
      <c r="A12" s="68" t="s">
        <v>2314</v>
      </c>
      <c r="B12" s="149" t="s">
        <v>2315</v>
      </c>
      <c r="C12" s="149" t="s">
        <v>2179</v>
      </c>
      <c r="D12" s="149" t="s">
        <v>222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6708291.7200000007</v>
      </c>
      <c r="H12" s="149">
        <f t="shared" si="3"/>
        <v>6708.2917200000011</v>
      </c>
      <c r="I12" s="149">
        <f>IF(ISERROR(VLOOKUP(CONCATENATE(A12,A47,E12,F12),BD!$H$6:$V$30,14,FALSE)),"",VLOOKUP(CONCATENATE(A12,A47,E12,F12),BD!$H$6:$V$30,14,FALSE))</f>
        <v>11.36</v>
      </c>
      <c r="J12" s="149">
        <f t="shared" si="0"/>
        <v>11.36</v>
      </c>
      <c r="K12" s="69">
        <f t="shared" si="4"/>
        <v>76206.193939200006</v>
      </c>
      <c r="N12" s="244"/>
      <c r="O12" s="244"/>
      <c r="P12" s="244"/>
    </row>
    <row r="13" spans="1:16">
      <c r="A13" s="68" t="s">
        <v>2314</v>
      </c>
      <c r="B13" s="149" t="s">
        <v>2315</v>
      </c>
      <c r="C13" s="149" t="s">
        <v>2179</v>
      </c>
      <c r="D13" s="149" t="s">
        <v>224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843428.65999999992</v>
      </c>
      <c r="H13" s="149">
        <f t="shared" si="3"/>
        <v>843.42865999999992</v>
      </c>
      <c r="I13" s="149">
        <f>IF(ISERROR(VLOOKUP(CONCATENATE(A13,A48,E13,F13),BD!$H$6:$V$30,14,FALSE)),"",VLOOKUP(CONCATENATE(A13,A48,E13,F13),BD!$H$6:$V$30,14,FALSE))</f>
        <v>11.36</v>
      </c>
      <c r="J13" s="149">
        <f t="shared" si="0"/>
        <v>11.36</v>
      </c>
      <c r="K13" s="69">
        <f t="shared" si="4"/>
        <v>9581.3495775999982</v>
      </c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6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6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6"/>
        <v/>
      </c>
      <c r="K16" s="69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6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6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6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6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6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6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6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6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6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6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6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6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6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6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1319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218</v>
      </c>
      <c r="B36" s="292" t="s">
        <v>1320</v>
      </c>
      <c r="C36" s="292" t="s">
        <v>1321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220</v>
      </c>
      <c r="B37" s="292" t="s">
        <v>973</v>
      </c>
      <c r="C37" s="292" t="s">
        <v>1321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222</v>
      </c>
      <c r="B38" s="292" t="s">
        <v>1322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224</v>
      </c>
      <c r="B39" s="292" t="s">
        <v>1322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A3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7">IF(LEFT(C7,1)="B","B",TRIM(LEFT(C7,3)))</f>
        <v>A3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7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7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7"/>
        <v>A3</v>
      </c>
    </row>
    <row r="46" spans="1:15">
      <c r="A46" s="68" t="str">
        <f t="shared" si="7"/>
        <v>A3</v>
      </c>
    </row>
    <row r="47" spans="1:15">
      <c r="A47" s="68" t="str">
        <f t="shared" si="7"/>
        <v>A4</v>
      </c>
    </row>
    <row r="48" spans="1:15">
      <c r="A48" s="68" t="str">
        <f t="shared" si="7"/>
        <v>A4</v>
      </c>
    </row>
    <row r="49" spans="1:1">
      <c r="A49" s="68" t="str">
        <f t="shared" si="7"/>
        <v/>
      </c>
    </row>
    <row r="50" spans="1:1">
      <c r="A50" s="68" t="str">
        <f t="shared" si="7"/>
        <v/>
      </c>
    </row>
    <row r="51" spans="1:1">
      <c r="A51" s="68" t="str">
        <f t="shared" si="7"/>
        <v/>
      </c>
    </row>
    <row r="52" spans="1:1">
      <c r="A52" s="68" t="str">
        <f t="shared" si="7"/>
        <v/>
      </c>
    </row>
    <row r="53" spans="1:1">
      <c r="A53" s="68" t="str">
        <f t="shared" ref="A53:A67" si="8">TRIM(LEFT(C18,3))</f>
        <v/>
      </c>
    </row>
    <row r="54" spans="1:1">
      <c r="A54" s="68" t="str">
        <f t="shared" si="8"/>
        <v/>
      </c>
    </row>
    <row r="55" spans="1:1">
      <c r="A55" s="68" t="str">
        <f t="shared" si="8"/>
        <v/>
      </c>
    </row>
    <row r="56" spans="1:1">
      <c r="A56" s="68" t="str">
        <f t="shared" si="8"/>
        <v/>
      </c>
    </row>
    <row r="57" spans="1:1">
      <c r="A57" s="68" t="str">
        <f t="shared" si="8"/>
        <v/>
      </c>
    </row>
    <row r="58" spans="1:1">
      <c r="A58" s="68" t="str">
        <f t="shared" si="8"/>
        <v/>
      </c>
    </row>
    <row r="59" spans="1:1">
      <c r="A59" s="68" t="str">
        <f t="shared" si="8"/>
        <v/>
      </c>
    </row>
    <row r="60" spans="1:1">
      <c r="A60" s="68" t="str">
        <f t="shared" si="8"/>
        <v/>
      </c>
    </row>
    <row r="61" spans="1:1">
      <c r="A61" s="68" t="str">
        <f t="shared" si="8"/>
        <v/>
      </c>
    </row>
    <row r="62" spans="1:1">
      <c r="A62" s="68" t="str">
        <f t="shared" si="8"/>
        <v/>
      </c>
    </row>
    <row r="63" spans="1:1">
      <c r="A63" s="68" t="str">
        <f t="shared" si="8"/>
        <v/>
      </c>
    </row>
    <row r="64" spans="1:1">
      <c r="A64" s="68" t="str">
        <f t="shared" si="8"/>
        <v/>
      </c>
    </row>
    <row r="65" spans="1:1">
      <c r="A65" s="68" t="str">
        <f t="shared" si="8"/>
        <v/>
      </c>
    </row>
    <row r="66" spans="1:1">
      <c r="A66" s="68" t="str">
        <f t="shared" si="8"/>
        <v/>
      </c>
    </row>
    <row r="67" spans="1:1">
      <c r="A67" s="68" t="str">
        <f t="shared" si="8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15" zoomScaleNormal="115" workbookViewId="0">
      <selection activeCell="D20" sqref="D20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08" t="s">
        <v>820</v>
      </c>
      <c r="C1" s="1319"/>
      <c r="D1" s="1319"/>
      <c r="E1" s="1319"/>
      <c r="F1" s="1009"/>
      <c r="G1" s="1009"/>
      <c r="H1" s="1218" t="s">
        <v>953</v>
      </c>
      <c r="I1" s="1219">
        <f ca="1">LnkTXTIRTEco</f>
        <v>0.14499999999999999</v>
      </c>
      <c r="J1" s="195"/>
      <c r="K1" s="196"/>
    </row>
    <row r="2" spans="1:15" s="197" customFormat="1" ht="27" customHeight="1">
      <c r="B2" s="138" t="str">
        <f>CAPA!C9</f>
        <v>Certel</v>
      </c>
      <c r="C2" s="70"/>
      <c r="D2" s="70"/>
      <c r="E2" s="70"/>
      <c r="F2" s="70"/>
      <c r="G2" s="70"/>
      <c r="H2" s="121" t="s">
        <v>957</v>
      </c>
      <c r="I2" s="122">
        <f ca="1">LnkTXTIRTTotal</f>
        <v>7.5999999999999998E-2</v>
      </c>
    </row>
    <row r="3" spans="1:15">
      <c r="B3" s="1012" t="s">
        <v>1323</v>
      </c>
      <c r="C3" s="822"/>
      <c r="E3" s="822" t="str">
        <f>"Encargos "&amp;YEAR(CAPA!C14)</f>
        <v>Encargos 2021</v>
      </c>
      <c r="F3" s="822"/>
      <c r="H3" s="822"/>
      <c r="I3" s="822"/>
      <c r="J3" s="822"/>
      <c r="K3" s="822"/>
      <c r="L3" s="822"/>
      <c r="M3" s="822"/>
      <c r="N3" s="822"/>
      <c r="O3" s="822"/>
    </row>
    <row r="4" spans="1:15">
      <c r="E4" s="1324" t="s">
        <v>72</v>
      </c>
      <c r="F4" s="1324" t="s">
        <v>1324</v>
      </c>
      <c r="H4" s="72"/>
      <c r="I4" s="72"/>
    </row>
    <row r="5" spans="1:15">
      <c r="B5" s="1324" t="s">
        <v>72</v>
      </c>
      <c r="C5" s="1324" t="s">
        <v>37</v>
      </c>
      <c r="E5" s="68" t="s">
        <v>40</v>
      </c>
      <c r="F5" s="116">
        <f>CAPA!D42</f>
        <v>448320.27033288899</v>
      </c>
      <c r="H5" s="1831" t="s">
        <v>1325</v>
      </c>
      <c r="I5" s="1831"/>
      <c r="K5" s="1831" t="s">
        <v>1326</v>
      </c>
      <c r="L5" s="1831"/>
      <c r="N5" s="1831" t="s">
        <v>1327</v>
      </c>
      <c r="O5" s="1831"/>
    </row>
    <row r="6" spans="1:15">
      <c r="B6" s="68" t="s">
        <v>40</v>
      </c>
      <c r="C6" s="80">
        <f ca="1">L14</f>
        <v>493851.78355056606</v>
      </c>
      <c r="E6" s="68" t="s">
        <v>41</v>
      </c>
      <c r="F6" s="116">
        <f>CAPA!D43</f>
        <v>24866757.67306</v>
      </c>
      <c r="H6" s="201" t="s">
        <v>1328</v>
      </c>
      <c r="I6" s="202">
        <f ca="1">FornecimentoE+LivreE-Calc_Mercado!C16</f>
        <v>434894.60899999976</v>
      </c>
      <c r="K6" s="517" t="s">
        <v>822</v>
      </c>
      <c r="L6" s="422">
        <f ca="1">LnkTXTER</f>
        <v>448090.0275398728</v>
      </c>
      <c r="N6" s="203" t="s">
        <v>1329</v>
      </c>
      <c r="O6" s="403">
        <v>1E-14</v>
      </c>
    </row>
    <row r="7" spans="1:15" ht="13.5" customHeight="1">
      <c r="B7" s="68" t="s">
        <v>41</v>
      </c>
      <c r="C7" s="80">
        <f ca="1">I22</f>
        <v>36400300.943379179</v>
      </c>
      <c r="D7" s="198"/>
      <c r="E7" s="68" t="s">
        <v>126</v>
      </c>
      <c r="F7" s="116">
        <f>CAPA!D44</f>
        <v>0</v>
      </c>
      <c r="H7" s="1369" t="s">
        <v>1330</v>
      </c>
      <c r="I7" s="1370">
        <v>14.13</v>
      </c>
      <c r="K7" s="517" t="s">
        <v>1168</v>
      </c>
      <c r="L7" s="422">
        <f ca="1">Energia!M7</f>
        <v>42518.079000000012</v>
      </c>
      <c r="N7" s="203" t="s">
        <v>1331</v>
      </c>
      <c r="O7" s="204">
        <f ca="1">SUM(C12+C6+C9+C10+C8)</f>
        <v>17148637.068928421</v>
      </c>
    </row>
    <row r="8" spans="1:15">
      <c r="B8" s="68" t="s">
        <v>126</v>
      </c>
      <c r="C8" s="80">
        <v>0</v>
      </c>
      <c r="D8" s="198"/>
      <c r="E8" s="68" t="s">
        <v>845</v>
      </c>
      <c r="F8" s="116">
        <f>CAPA!D45</f>
        <v>1237876.58</v>
      </c>
      <c r="K8" s="517" t="s">
        <v>1171</v>
      </c>
      <c r="L8" s="422">
        <f ca="1">LnkTXTPerdas</f>
        <v>52847.633539873044</v>
      </c>
      <c r="N8" s="203" t="s">
        <v>794</v>
      </c>
      <c r="O8" s="269">
        <f>Resultado!D24</f>
        <v>19337444.35326587</v>
      </c>
    </row>
    <row r="9" spans="1:15">
      <c r="B9" s="68" t="s">
        <v>1332</v>
      </c>
      <c r="C9" s="849">
        <f>IFERROR(VLOOKUP("ESS/EER",TabEncargosBancoConsolidados[],2,FALSE),0)</f>
        <v>10509724.460207857</v>
      </c>
      <c r="D9" s="69"/>
      <c r="E9" s="68" t="s">
        <v>47</v>
      </c>
      <c r="F9" s="116">
        <f>CAPA!D46</f>
        <v>4048042.5462799999</v>
      </c>
      <c r="H9" s="1831" t="s">
        <v>1333</v>
      </c>
      <c r="I9" s="1831"/>
      <c r="K9" s="517" t="s">
        <v>1334</v>
      </c>
      <c r="L9" s="422">
        <f ca="1">SUM(L6:L7,-L8)</f>
        <v>437760.47299999977</v>
      </c>
      <c r="N9" s="203" t="s">
        <v>120</v>
      </c>
      <c r="O9" s="268">
        <f ca="1">Resultado!D33</f>
        <v>69982352.887938946</v>
      </c>
    </row>
    <row r="10" spans="1:15">
      <c r="B10" s="68" t="s">
        <v>47</v>
      </c>
      <c r="C10" s="80">
        <f ca="1">IFERROR(Encargos!I7*I6,0)</f>
        <v>6145060.8251699973</v>
      </c>
      <c r="D10" s="198"/>
      <c r="E10" s="68" t="s">
        <v>49</v>
      </c>
      <c r="F10" s="116">
        <f>CAPA!D48</f>
        <v>0</v>
      </c>
      <c r="H10" s="1371" t="s">
        <v>1335</v>
      </c>
      <c r="I10" s="1372">
        <f ca="1">FornecimentoE_A1+Calc_Mercado!C10+Calc_Mercado!C11+Calc_Mercado!C114+Calc_Mercado!C115</f>
        <v>0</v>
      </c>
      <c r="K10" s="517" t="s">
        <v>1336</v>
      </c>
      <c r="L10" s="422">
        <f ca="1">SUM(L6:L7)</f>
        <v>490608.10653987282</v>
      </c>
      <c r="N10" s="203" t="s">
        <v>1337</v>
      </c>
      <c r="O10" s="204">
        <f>Resultado!D39</f>
        <v>98760388.681823671</v>
      </c>
    </row>
    <row r="11" spans="1:15">
      <c r="B11" s="68" t="s">
        <v>1338</v>
      </c>
      <c r="C11" s="80">
        <v>1E-4</v>
      </c>
      <c r="D11" s="198"/>
      <c r="E11" s="822" t="s">
        <v>2177</v>
      </c>
      <c r="F11" s="1240">
        <f>CAPA!D47</f>
        <v>6350526.4092792096</v>
      </c>
      <c r="H11" s="201" t="s">
        <v>1339</v>
      </c>
      <c r="I11" s="141">
        <f ca="1">Calc_Mercado!C12+Calc_Mercado!C13+Calc_Mercado!C14+Calc_Mercado!C116+Calc_Mercado!C117</f>
        <v>162565.34500000006</v>
      </c>
      <c r="K11" s="517" t="s">
        <v>1340</v>
      </c>
      <c r="L11" s="422">
        <f>BD!C32</f>
        <v>0.74494971512358932</v>
      </c>
      <c r="N11" s="203" t="s">
        <v>1341</v>
      </c>
      <c r="O11" s="205">
        <f ca="1">IF(O6=0,0,O6*(SUM(O7:O10)-Q7))</f>
        <v>2.0522882299195688E-6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2" t="str">
        <f>"Encargos "&amp;YEAR(CAPA!C14)-1</f>
        <v>Encargos 2020</v>
      </c>
      <c r="F12" s="822"/>
      <c r="H12" s="201" t="s">
        <v>1342</v>
      </c>
      <c r="I12" s="141">
        <f ca="1">FornecimentoE_BT-Calc_Mercado!C16+Calc_Mercado!C119+Calc_Mercado!C118</f>
        <v>272329.26399999968</v>
      </c>
      <c r="K12" s="517" t="s">
        <v>1343</v>
      </c>
      <c r="L12" s="45">
        <v>4.0000000000000001E-3</v>
      </c>
      <c r="N12" s="203" t="s">
        <v>1344</v>
      </c>
      <c r="O12" s="205">
        <f ca="1">Financeiros!D7</f>
        <v>-14556315.698918642</v>
      </c>
    </row>
    <row r="13" spans="1:15">
      <c r="B13" s="1373" t="s">
        <v>846</v>
      </c>
      <c r="C13" s="1374">
        <f ca="1">SUM(C6:C12)</f>
        <v>53548938.012407601</v>
      </c>
      <c r="D13" s="198"/>
      <c r="E13" s="1324" t="s">
        <v>72</v>
      </c>
      <c r="F13" s="1324" t="s">
        <v>1324</v>
      </c>
      <c r="H13" s="1375" t="s">
        <v>1345</v>
      </c>
      <c r="I13" s="1376">
        <v>23.38</v>
      </c>
      <c r="K13" s="1377" t="s">
        <v>1346</v>
      </c>
      <c r="L13" s="1378">
        <f ca="1">LnkTXTIParcelaBcomSub+Energia!F18</f>
        <v>103076999.64533314</v>
      </c>
      <c r="N13" s="1379" t="s">
        <v>1347</v>
      </c>
      <c r="O13" s="1380">
        <f ca="1">O12*O6+O11</f>
        <v>1.9067250729303825E-6</v>
      </c>
    </row>
    <row r="14" spans="1:15">
      <c r="E14" s="68" t="s">
        <v>40</v>
      </c>
      <c r="F14" s="1381">
        <f>BD!C37</f>
        <v>398265.05981255218</v>
      </c>
      <c r="H14" s="262" t="s">
        <v>1348</v>
      </c>
      <c r="I14" s="856">
        <v>31.67</v>
      </c>
      <c r="K14" s="1382" t="s">
        <v>40</v>
      </c>
      <c r="L14" s="1383">
        <f ca="1">L12*1/L11*L9/L10*L13</f>
        <v>493851.78355056606</v>
      </c>
    </row>
    <row r="15" spans="1:15">
      <c r="E15" s="68" t="s">
        <v>41</v>
      </c>
      <c r="F15" s="80">
        <f>BD!C35</f>
        <v>23063716.398600005</v>
      </c>
      <c r="H15" s="1384" t="s">
        <v>1349</v>
      </c>
      <c r="I15" s="1385">
        <v>37.700000000000003</v>
      </c>
    </row>
    <row r="16" spans="1:15">
      <c r="E16" s="68" t="s">
        <v>126</v>
      </c>
      <c r="F16" s="80">
        <v>0</v>
      </c>
      <c r="H16" s="1274" t="s">
        <v>1350</v>
      </c>
      <c r="I16" s="1376">
        <v>55.4</v>
      </c>
      <c r="K16" s="1831" t="s">
        <v>845</v>
      </c>
      <c r="L16" s="1831"/>
    </row>
    <row r="17" spans="2:14">
      <c r="E17" s="68" t="s">
        <v>845</v>
      </c>
      <c r="F17" s="80">
        <v>0</v>
      </c>
      <c r="H17" s="68" t="s">
        <v>1351</v>
      </c>
      <c r="I17" s="856">
        <v>75.06</v>
      </c>
      <c r="K17" s="1371" t="s">
        <v>2197</v>
      </c>
      <c r="L17" s="1372">
        <f>IFERROR(VLOOKUP("EER",TabEncargosBancoConsolidados[],2,FALSE),0)</f>
        <v>10326227.057756007</v>
      </c>
    </row>
    <row r="18" spans="2:14">
      <c r="C18" s="108"/>
      <c r="D18" s="108"/>
      <c r="E18" s="68" t="s">
        <v>47</v>
      </c>
      <c r="F18" s="80">
        <f>BD!C36</f>
        <v>3114828.2051100009</v>
      </c>
      <c r="G18" s="108"/>
      <c r="H18" s="822" t="s">
        <v>1352</v>
      </c>
      <c r="I18" s="1385">
        <v>89.35</v>
      </c>
      <c r="K18" s="201" t="s">
        <v>2201</v>
      </c>
      <c r="L18" s="141">
        <f>C9-L17</f>
        <v>183497.40245185047</v>
      </c>
    </row>
    <row r="19" spans="2:14">
      <c r="C19" s="108"/>
      <c r="D19" s="108"/>
      <c r="E19" s="822" t="s">
        <v>49</v>
      </c>
      <c r="F19" s="1386">
        <v>0</v>
      </c>
      <c r="G19" s="108"/>
      <c r="H19" s="68" t="s">
        <v>1353</v>
      </c>
      <c r="I19" s="69">
        <f ca="1">IF(CAPA!C10="S/SE/CO",Encargos!I10*Encargos!I16+Encargos!I11*Encargos!I17+Encargos!I12*Encargos!I18,Encargos!I10*Encargos!I13+Encargos!I11*Encargos!I14+Encargos!I12*Encargos!I15)</f>
        <v>36534774.534099974</v>
      </c>
      <c r="K19" s="1324" t="s">
        <v>846</v>
      </c>
      <c r="L19" s="1608">
        <f>SUM(L17:L18)</f>
        <v>10509724.460207857</v>
      </c>
    </row>
    <row r="20" spans="2:14">
      <c r="C20" s="108"/>
      <c r="D20" s="108"/>
      <c r="F20" s="80"/>
      <c r="G20" s="108"/>
      <c r="H20" s="1387" t="s">
        <v>1354</v>
      </c>
      <c r="I20" s="1388">
        <f>IFERROR(VLOOKUP("CDE Covid",TabEncargosBancoConsolidados[],2,FALSE),0)</f>
        <v>6350526.4092792068</v>
      </c>
    </row>
    <row r="21" spans="2:14">
      <c r="C21" s="108"/>
      <c r="D21" s="108"/>
      <c r="F21" s="80"/>
      <c r="G21" s="108"/>
      <c r="H21" s="68" t="s">
        <v>2198</v>
      </c>
      <c r="I21" s="69">
        <f>IFERROR(VLOOKUP("CDE Eletrobras",TabEncargosBancoConsolidados[],2,FALSE),0)</f>
        <v>-6485000</v>
      </c>
    </row>
    <row r="22" spans="2:14">
      <c r="C22" s="108"/>
      <c r="D22" s="108"/>
      <c r="F22" s="80"/>
      <c r="G22" s="108"/>
      <c r="H22" s="1324" t="s">
        <v>2202</v>
      </c>
      <c r="I22" s="1608">
        <f ca="1">I19+I20+I21</f>
        <v>36400300.943379179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12" t="s">
        <v>1355</v>
      </c>
      <c r="C27" s="822"/>
      <c r="D27" s="822"/>
      <c r="E27" s="822"/>
      <c r="F27" s="822"/>
      <c r="G27" s="822"/>
      <c r="J27" s="822"/>
      <c r="K27" s="822"/>
      <c r="L27" s="822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1356</v>
      </c>
      <c r="E29" s="198"/>
      <c r="F29" s="198"/>
      <c r="G29" s="198"/>
      <c r="L29" s="193"/>
      <c r="M29" s="194"/>
    </row>
    <row r="30" spans="2:14" ht="16.5" customHeight="1">
      <c r="C30" s="1324" t="s">
        <v>2231</v>
      </c>
      <c r="D30" s="1324" t="s">
        <v>46</v>
      </c>
      <c r="E30" s="1324" t="s">
        <v>40</v>
      </c>
      <c r="F30" s="1324" t="s">
        <v>41</v>
      </c>
      <c r="G30" s="1324" t="s">
        <v>47</v>
      </c>
      <c r="H30" s="1615" t="s">
        <v>2234</v>
      </c>
      <c r="I30" s="1615" t="s">
        <v>2264</v>
      </c>
      <c r="J30" s="1324" t="s">
        <v>1357</v>
      </c>
      <c r="L30" s="1830" t="s">
        <v>1358</v>
      </c>
      <c r="M30" s="1830"/>
      <c r="N30" s="273"/>
    </row>
    <row r="31" spans="2:14">
      <c r="B31" s="272">
        <f>Indexador!B68</f>
        <v>44378</v>
      </c>
      <c r="C31" s="1231">
        <f ca="1">IF(CAPA!$C$113="Não",C47-C62,IF(Indexador!$B68&lt;CAPA!$C$114,0,C47-C62))</f>
        <v>15860.51250454539</v>
      </c>
      <c r="D31" s="1231">
        <f ca="1">IF(CAPA!$C$113="Não",D47-D62,IF(Indexador!$B68&lt;CAPA!$C$114,0,D47-D62))</f>
        <v>7069.1821010426356</v>
      </c>
      <c r="E31" s="1231">
        <f ca="1">IF(CAPA!$C$113="Não",E47-E62,IF(Indexador!$B68&lt;CAPA!$C$114,0,E47-E62))</f>
        <v>1123.652428216119</v>
      </c>
      <c r="F31" s="1231">
        <f ca="1">IF(CAPA!$C$113="Não",F47-F62,IF(Indexador!$B68&lt;CAPA!$C$114,0,F47-F62))</f>
        <v>62105.012341144495</v>
      </c>
      <c r="G31" s="1231">
        <f ca="1">IF(CAPA!$C$113="Não",G47-G62,IF(Indexador!$B68&lt;CAPA!$C$114,0,G47-G62))</f>
        <v>9982.5199197616894</v>
      </c>
      <c r="H31" s="1231">
        <f ca="1">IF(CAPA!$C$113="Não",H47-H62,IF(Indexador!$B68&lt;CAPA!$C$114,0,H47-H62))</f>
        <v>-9148.9731279189</v>
      </c>
      <c r="I31" s="1231">
        <f ca="1">IFERROR(IF(CAPA!$C$113="Não",I47-I62,IF(Indexador!$B68&lt;CAPA!$C$114,0,I47-I62)),0)</f>
        <v>0</v>
      </c>
      <c r="J31" s="1231">
        <f ca="1">IF(CAPA!$C$113="Não",J47-J62,IF(Indexador!$B68&lt;CAPA!$C$114,0,J47-J62))</f>
        <v>96140.879294710699</v>
      </c>
      <c r="L31" s="68" t="s">
        <v>40</v>
      </c>
      <c r="M31" s="116">
        <f ca="1">Indexador!H80</f>
        <v>-4085.6766435756399</v>
      </c>
      <c r="N31" s="80"/>
    </row>
    <row r="32" spans="2:14">
      <c r="B32" s="272">
        <f>Indexador!B69</f>
        <v>44409</v>
      </c>
      <c r="C32" s="116">
        <f ca="1">IF(CAPA!$C$113="Não",C48-C63,IF(Indexador!B69&lt;CAPA!$C$114,0,C48-C63))</f>
        <v>12100.646480286086</v>
      </c>
      <c r="D32" s="116">
        <f ca="1">IF(CAPA!$C$113="Não",D48-D63,IF(Indexador!$B69&lt;CAPA!$C$114,0,D48-D63))</f>
        <v>6318.0313066943781</v>
      </c>
      <c r="E32" s="116">
        <f ca="1">IF(CAPA!$C$113="Não",E48-E63,IF(Indexador!$B69&lt;CAPA!$C$114,0,E48-E63))</f>
        <v>960.28751971841848</v>
      </c>
      <c r="F32" s="116">
        <f ca="1">IF(CAPA!$C$113="Não",F48-F63,IF(Indexador!$B69&lt;CAPA!$C$114,0,F48-F63))</f>
        <v>47382.504113824572</v>
      </c>
      <c r="G32" s="116">
        <f ca="1">IF(CAPA!$C$113="Não",G48-G63,IF(Indexador!$B69&lt;CAPA!$C$114,0,G48-G63))</f>
        <v>7088.3319710427895</v>
      </c>
      <c r="H32" s="116">
        <f ca="1">IF(CAPA!$C$113="Não",H48-H63,IF(Indexador!$B69&lt;CAPA!$C$114,0,H48-H63))</f>
        <v>-11130.321509187925</v>
      </c>
      <c r="I32" s="116">
        <f ca="1">IFERROR(IF(CAPA!$C$113="Não",I48-I63,IF(Indexador!$B69&lt;CAPA!$C$114,0,I48-I63)),0)</f>
        <v>0</v>
      </c>
      <c r="J32" s="116">
        <f ca="1">IF(CAPA!$C$113="Não",J48-J63,IF(Indexador!$B69&lt;CAPA!$C$114,0,J48-J63))</f>
        <v>73849.801391566638</v>
      </c>
      <c r="L32" s="68" t="s">
        <v>1359</v>
      </c>
      <c r="M32" s="116">
        <f ca="1">Indexador!J80+Indexador!L80</f>
        <v>-75171.829173659964</v>
      </c>
      <c r="N32" s="80"/>
    </row>
    <row r="33" spans="2:14">
      <c r="B33" s="272">
        <f>Indexador!B70</f>
        <v>44440</v>
      </c>
      <c r="C33" s="116">
        <f ca="1">IF(CAPA!$C$113="Não",C49-C64,IF(Indexador!B70&lt;CAPA!$C$114,0,C49-C64))</f>
        <v>24274.94850648375</v>
      </c>
      <c r="D33" s="116">
        <f ca="1">IF(CAPA!$C$113="Não",D49-D64,IF(Indexador!$B70&lt;CAPA!$C$114,0,D49-D64))</f>
        <v>15765.498328456131</v>
      </c>
      <c r="E33" s="116">
        <f ca="1">IF(CAPA!$C$113="Não",E49-E64,IF(Indexador!$B70&lt;CAPA!$C$114,0,E49-E64))</f>
        <v>1763.1621428942599</v>
      </c>
      <c r="F33" s="116">
        <f ca="1">IF(CAPA!$C$113="Não",F49-F64,IF(Indexador!$B70&lt;CAPA!$C$114,0,F49-F64))</f>
        <v>95053.421265158337</v>
      </c>
      <c r="G33" s="116">
        <f ca="1">IF(CAPA!$C$113="Não",G49-G64,IF(Indexador!$B70&lt;CAPA!$C$114,0,G49-G64))</f>
        <v>15126.520659520058</v>
      </c>
      <c r="H33" s="116">
        <f ca="1">IF(CAPA!$C$113="Não",H49-H64,IF(Indexador!$B70&lt;CAPA!$C$114,0,H49-H64))</f>
        <v>-18410.357512385061</v>
      </c>
      <c r="I33" s="116">
        <f ca="1">IFERROR(IF(CAPA!$C$113="Não",I49-I64,IF(Indexador!$B70&lt;CAPA!$C$114,0,I49-I64)),0)</f>
        <v>0</v>
      </c>
      <c r="J33" s="116">
        <f ca="1">IF(CAPA!$C$113="Não",J49-J64,IF(Indexador!$B70&lt;CAPA!$C$114,0,J49-J64))</f>
        <v>151983.55090251286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IF(CAPA!$C$113="Não",C50-C65,IF(Indexador!B71&lt;CAPA!$C$114,0,C50-C65))</f>
        <v>35590.274595794734</v>
      </c>
      <c r="D34" s="116">
        <f ca="1">IF(CAPA!$C$113="Não",D50-D65,IF(Indexador!$B71&lt;CAPA!$C$114,0,D50-D65))</f>
        <v>17865.417237604386</v>
      </c>
      <c r="E34" s="116">
        <f ca="1">IF(CAPA!$C$113="Não",E50-E65,IF(Indexador!$B71&lt;CAPA!$C$114,0,E50-E65))</f>
        <v>2695.4129864240313</v>
      </c>
      <c r="F34" s="116">
        <f ca="1">IF(CAPA!$C$113="Não",F50-F65,IF(Indexador!$B71&lt;CAPA!$C$114,0,F50-F65))</f>
        <v>139360.84614940314</v>
      </c>
      <c r="G34" s="116">
        <f ca="1">IF(CAPA!$C$113="Não",G50-G65,IF(Indexador!$B71&lt;CAPA!$C$114,0,G50-G65))</f>
        <v>21709.739281584858</v>
      </c>
      <c r="H34" s="116">
        <f ca="1">IF(CAPA!$C$113="Não",H50-H65,IF(Indexador!$B71&lt;CAPA!$C$114,0,H50-H65))</f>
        <v>-33791.759163191193</v>
      </c>
      <c r="I34" s="116">
        <f ca="1">IFERROR(IF(CAPA!$C$113="Não",I50-I65,IF(Indexador!$B71&lt;CAPA!$C$114,0,I50-I65)),0)</f>
        <v>0</v>
      </c>
      <c r="J34" s="116">
        <f ca="1">IF(CAPA!$C$113="Não",J50-J65,IF(Indexador!$B71&lt;CAPA!$C$114,0,J50-J65))</f>
        <v>217221.69025081117</v>
      </c>
      <c r="L34" s="68" t="s">
        <v>46</v>
      </c>
      <c r="M34" s="116">
        <f ca="1">Indexador!F80</f>
        <v>120012.62057348438</v>
      </c>
      <c r="N34" s="80"/>
    </row>
    <row r="35" spans="2:14">
      <c r="B35" s="272">
        <f>Indexador!B72</f>
        <v>44501</v>
      </c>
      <c r="C35" s="116">
        <f ca="1">IF(CAPA!$C$113="Não",C51-C66,IF(Indexador!B72&lt;CAPA!$C$114,0,C51-C66))</f>
        <v>9253.497498601093</v>
      </c>
      <c r="D35" s="116">
        <f ca="1">IF(CAPA!$C$113="Não",D51-D66,IF(Indexador!$B72&lt;CAPA!$C$114,0,D51-D66))</f>
        <v>13292.68325587461</v>
      </c>
      <c r="E35" s="116">
        <f ca="1">IF(CAPA!$C$113="Não",E51-E66,IF(Indexador!$B72&lt;CAPA!$C$114,0,E51-E66))</f>
        <v>638.73139262067707</v>
      </c>
      <c r="F35" s="116">
        <f ca="1">IF(CAPA!$C$113="Não",F51-F66,IF(Indexador!$B72&lt;CAPA!$C$114,0,F51-F66))</f>
        <v>36233.922213085229</v>
      </c>
      <c r="G35" s="116">
        <f ca="1">IF(CAPA!$C$113="Não",G51-G66,IF(Indexador!$B72&lt;CAPA!$C$114,0,G51-G66))</f>
        <v>5837.2416946460726</v>
      </c>
      <c r="H35" s="116">
        <f ca="1">IF(CAPA!$C$113="Não",H51-H66,IF(Indexador!$B72&lt;CAPA!$C$114,0,H51-H66))</f>
        <v>-4414.4974062931142</v>
      </c>
      <c r="I35" s="116">
        <f ca="1">IFERROR(IF(CAPA!$C$113="Não",I51-I66,IF(Indexador!$B72&lt;CAPA!$C$114,0,I51-I66)),0)</f>
        <v>0</v>
      </c>
      <c r="J35" s="116">
        <f ca="1">IF(CAPA!$C$113="Não",J51-J66,IF(Indexador!$B72&lt;CAPA!$C$114,0,J51-J66))</f>
        <v>65256.076054828241</v>
      </c>
      <c r="L35" s="68" t="s">
        <v>47</v>
      </c>
      <c r="M35" s="116">
        <f ca="1">Indexador!N80</f>
        <v>-6370.2280368324864</v>
      </c>
      <c r="N35" s="80"/>
    </row>
    <row r="36" spans="2:14">
      <c r="B36" s="272">
        <f>Indexador!B73</f>
        <v>44531</v>
      </c>
      <c r="C36" s="116">
        <f ca="1">IF(CAPA!$C$113="Não",C52-C67,IF(Indexador!B73&lt;CAPA!$C$114,0,C52-C67))</f>
        <v>6669.9713065808755</v>
      </c>
      <c r="D36" s="116">
        <f ca="1">IF(CAPA!$C$113="Não",D52-D67,IF(Indexador!$B73&lt;CAPA!$C$114,0,D52-D67))</f>
        <v>12272.299669453423</v>
      </c>
      <c r="E36" s="116">
        <f ca="1">IF(CAPA!$C$113="Não",E52-E67,IF(Indexador!$B73&lt;CAPA!$C$114,0,E52-E67))</f>
        <v>382.43325320992153</v>
      </c>
      <c r="F36" s="116">
        <f ca="1">IF(CAPA!$C$113="Não",F52-F67,IF(Indexador!$B73&lt;CAPA!$C$114,0,F52-F67))</f>
        <v>26117.608128461288</v>
      </c>
      <c r="G36" s="116">
        <f ca="1">IF(CAPA!$C$113="Não",G52-G67,IF(Indexador!$B73&lt;CAPA!$C$114,0,G52-G67))</f>
        <v>4561.0637436685502</v>
      </c>
      <c r="H36" s="116">
        <f ca="1">IF(CAPA!$C$113="Não",H52-H67,IF(Indexador!$B73&lt;CAPA!$C$114,0,H52-H67))</f>
        <v>4089.4439227813273</v>
      </c>
      <c r="I36" s="116">
        <f ca="1">IFERROR(IF(CAPA!$C$113="Não",I52-I67,IF(Indexador!$B73&lt;CAPA!$C$114,0,I52-I67)),0)</f>
        <v>0</v>
      </c>
      <c r="J36" s="116">
        <f ca="1">IF(CAPA!$C$113="Não",J52-J67,IF(Indexador!$B73&lt;CAPA!$C$114,0,J52-J67))</f>
        <v>50003.37610137416</v>
      </c>
      <c r="L36" s="68" t="s">
        <v>2231</v>
      </c>
      <c r="M36" s="116">
        <f ca="1">Indexador!D80</f>
        <v>-19197.544475939561</v>
      </c>
      <c r="N36" s="80"/>
    </row>
    <row r="37" spans="2:14">
      <c r="B37" s="272">
        <f>Indexador!B74</f>
        <v>44562</v>
      </c>
      <c r="C37" s="116">
        <f ca="1">IF(CAPA!$C$113="Não",C53-C68,IF(Indexador!B74&lt;CAPA!$C$114,0,C53-C68))</f>
        <v>-102237.17939203326</v>
      </c>
      <c r="D37" s="116">
        <f ca="1">IF(CAPA!$C$113="Não",D53-D68,IF(Indexador!$B74&lt;CAPA!$C$114,0,D53-D68))</f>
        <v>-7710.4393225746462</v>
      </c>
      <c r="E37" s="116">
        <f ca="1">IF(CAPA!$C$113="Não",E53-E68,IF(Indexador!$B74&lt;CAPA!$C$114,0,E53-E68))</f>
        <v>-7939.1244023000472</v>
      </c>
      <c r="F37" s="116">
        <f ca="1">IF(CAPA!$C$113="Não",F53-F68,IF(Indexador!$B74&lt;CAPA!$C$114,0,F53-F68))</f>
        <v>-400330.1460811391</v>
      </c>
      <c r="G37" s="116">
        <f ca="1">IF(CAPA!$C$113="Não",G53-G68,IF(Indexador!$B74&lt;CAPA!$C$114,0,G53-G68))</f>
        <v>-61922.501035457884</v>
      </c>
      <c r="H37" s="116">
        <f ca="1">IF(CAPA!$C$113="Não",H53-H68,IF(Indexador!$B74&lt;CAPA!$C$114,0,H53-H68))</f>
        <v>111620.12012165604</v>
      </c>
      <c r="I37" s="116">
        <f ca="1">IFERROR(IF(CAPA!$C$113="Não",I53-I68,IF(Indexador!$B74&lt;CAPA!$C$114,0,I53-I68)),0)</f>
        <v>0</v>
      </c>
      <c r="J37" s="116">
        <f ca="1">IF(CAPA!$C$113="Não",J53-J68,IF(Indexador!$B74&lt;CAPA!$C$114,0,J53-J68))</f>
        <v>-580139.39023350459</v>
      </c>
      <c r="L37" s="822" t="s">
        <v>48</v>
      </c>
      <c r="M37" s="1271">
        <f ca="1">Indexador!L80</f>
        <v>0</v>
      </c>
      <c r="N37" s="80"/>
    </row>
    <row r="38" spans="2:14">
      <c r="B38" s="272">
        <f>Indexador!B75</f>
        <v>44593</v>
      </c>
      <c r="C38" s="116">
        <f ca="1">IF(CAPA!$C$113="Não",C54-C69,IF(Indexador!B75&lt;CAPA!$C$114,0,C54-C69))</f>
        <v>-90162.723680894589</v>
      </c>
      <c r="D38" s="116">
        <f ca="1">IF(CAPA!$C$113="Não",D54-D69,IF(Indexador!$B75&lt;CAPA!$C$114,0,D54-D69))</f>
        <v>-6711.7138991475804</v>
      </c>
      <c r="E38" s="116">
        <f ca="1">IF(CAPA!$C$113="Não",E54-E69,IF(Indexador!$B75&lt;CAPA!$C$114,0,E54-E69))</f>
        <v>-7446.7022266774875</v>
      </c>
      <c r="F38" s="116">
        <f ca="1">IF(CAPA!$C$113="Não",F54-F69,IF(Indexador!$B75&lt;CAPA!$C$114,0,F54-F69))</f>
        <v>-353050.19716788526</v>
      </c>
      <c r="G38" s="116">
        <f ca="1">IF(CAPA!$C$113="Não",G54-G69,IF(Indexador!$B75&lt;CAPA!$C$114,0,G54-G69))</f>
        <v>-53684.902276647103</v>
      </c>
      <c r="H38" s="116">
        <f ca="1">IF(CAPA!$C$113="Não",H54-H69,IF(Indexador!$B75&lt;CAPA!$C$114,0,H54-H69))</f>
        <v>113741.11972928321</v>
      </c>
      <c r="I38" s="116">
        <f ca="1">IFERROR(IF(CAPA!$C$113="Não",I54-I69,IF(Indexador!$B75&lt;CAPA!$C$114,0,I54-I69)),0)</f>
        <v>0</v>
      </c>
      <c r="J38" s="116">
        <f ca="1">IF(CAPA!$C$113="Não",J54-J69,IF(Indexador!$B75&lt;CAPA!$C$114,0,J54-J69))</f>
        <v>-511056.23925125133</v>
      </c>
      <c r="L38" s="71" t="s">
        <v>837</v>
      </c>
      <c r="M38" s="274">
        <f ca="1">SUM(M31:M36)</f>
        <v>15187.342243476727</v>
      </c>
      <c r="N38" s="80"/>
    </row>
    <row r="39" spans="2:14">
      <c r="B39" s="272">
        <f>Indexador!B76</f>
        <v>44621</v>
      </c>
      <c r="C39" s="116">
        <f ca="1">IF(CAPA!$C$113="Não",C55-C70,IF(Indexador!B76&lt;CAPA!$C$114,0,C55-C70))</f>
        <v>-39718.154923608527</v>
      </c>
      <c r="D39" s="116">
        <f ca="1">IF(CAPA!$C$113="Não",D55-D70,IF(Indexador!$B76&lt;CAPA!$C$114,0,D55-D70))</f>
        <v>3246.074215036002</v>
      </c>
      <c r="E39" s="116">
        <f ca="1">IF(CAPA!$C$113="Não",E55-E70,IF(Indexador!$B76&lt;CAPA!$C$114,0,E55-E70))</f>
        <v>-3207.8503189931434</v>
      </c>
      <c r="F39" s="116">
        <f ca="1">IF(CAPA!$C$113="Não",F55-F70,IF(Indexador!$B76&lt;CAPA!$C$114,0,F55-F70))</f>
        <v>-155524.38806699519</v>
      </c>
      <c r="G39" s="116">
        <f ca="1">IF(CAPA!$C$113="Não",G55-G70,IF(Indexador!$B76&lt;CAPA!$C$114,0,G55-G70))</f>
        <v>-24663.745528585161</v>
      </c>
      <c r="H39" s="116">
        <f ca="1">IF(CAPA!$C$113="Não",H55-H70,IF(Indexador!$B76&lt;CAPA!$C$114,0,H55-H70))</f>
        <v>44966.03894356027</v>
      </c>
      <c r="I39" s="116">
        <f ca="1">IFERROR(IF(CAPA!$C$113="Não",I55-I70,IF(Indexador!$B76&lt;CAPA!$C$114,0,I55-I70)),0)</f>
        <v>0</v>
      </c>
      <c r="J39" s="116">
        <f ca="1">IF(CAPA!$C$113="Não",J55-J70,IF(Indexador!$B76&lt;CAPA!$C$114,0,J55-J70))</f>
        <v>-219868.06462314539</v>
      </c>
      <c r="N39" s="80"/>
    </row>
    <row r="40" spans="2:14">
      <c r="B40" s="272">
        <f>Indexador!B77</f>
        <v>44652</v>
      </c>
      <c r="C40" s="116">
        <f ca="1">IF(CAPA!$C$113="Não",C56-C71,IF(Indexador!B77&lt;CAPA!$C$114,0,C56-C71))</f>
        <v>45038.802587168058</v>
      </c>
      <c r="D40" s="116">
        <f ca="1">IF(CAPA!$C$113="Não",D56-D71,IF(Indexador!$B77&lt;CAPA!$C$114,0,D56-D71))</f>
        <v>18840.977388175001</v>
      </c>
      <c r="E40" s="116">
        <f ca="1">IF(CAPA!$C$113="Não",E56-E71,IF(Indexador!$B77&lt;CAPA!$C$114,0,E56-E71))</f>
        <v>2902.8826803284392</v>
      </c>
      <c r="F40" s="116">
        <f ca="1">IF(CAPA!$C$113="Não",F56-F71,IF(Indexador!$B77&lt;CAPA!$C$114,0,F56-F71))</f>
        <v>176358.44930640981</v>
      </c>
      <c r="G40" s="116">
        <f ca="1">IF(CAPA!$C$113="Não",G56-G71,IF(Indexador!$B77&lt;CAPA!$C$114,0,G56-G71))</f>
        <v>28847.255919317889</v>
      </c>
      <c r="H40" s="116">
        <f ca="1">IF(CAPA!$C$113="Não",H56-H71,IF(Indexador!$B77&lt;CAPA!$C$114,0,H56-H71))</f>
        <v>-21992.742872737464</v>
      </c>
      <c r="I40" s="116">
        <f ca="1">IFERROR(IF(CAPA!$C$113="Não",I56-I71,IF(Indexador!$B77&lt;CAPA!$C$114,0,I56-I71)),0)</f>
        <v>0</v>
      </c>
      <c r="J40" s="116">
        <f ca="1">IF(CAPA!$C$113="Não",J56-J71,IF(Indexador!$B77&lt;CAPA!$C$114,0,J56-J71))</f>
        <v>271988.36788139958</v>
      </c>
      <c r="L40" s="1830" t="s">
        <v>2263</v>
      </c>
      <c r="M40" s="1830"/>
      <c r="N40" s="80"/>
    </row>
    <row r="41" spans="2:14">
      <c r="B41" s="272">
        <f>Indexador!B78</f>
        <v>44682</v>
      </c>
      <c r="C41" s="116">
        <f ca="1">IF(CAPA!$C$113="Não",C57-C72,IF(Indexador!B78&lt;CAPA!$C$114,0,C57-C72))</f>
        <v>51160.378632558277</v>
      </c>
      <c r="D41" s="116">
        <f ca="1">IF(CAPA!$C$113="Não",D57-D72,IF(Indexador!$B78&lt;CAPA!$C$114,0,D57-D72))</f>
        <v>19814.096770835153</v>
      </c>
      <c r="E41" s="116">
        <f ca="1">IF(CAPA!$C$113="Não",E57-E72,IF(Indexador!$B78&lt;CAPA!$C$114,0,E57-E72))</f>
        <v>3503.5668362786819</v>
      </c>
      <c r="F41" s="116">
        <f ca="1">IF(CAPA!$C$113="Não",F57-F72,IF(Indexador!$B78&lt;CAPA!$C$114,0,F57-F72))</f>
        <v>200328.70598867536</v>
      </c>
      <c r="G41" s="116">
        <f ca="1">IF(CAPA!$C$113="Não",G57-G72,IF(Indexador!$B78&lt;CAPA!$C$114,0,G57-G72))</f>
        <v>31931.143792102695</v>
      </c>
      <c r="H41" s="116">
        <f ca="1">IF(CAPA!$C$113="Não",H57-H72,IF(Indexador!$B78&lt;CAPA!$C$114,0,H57-H72))</f>
        <v>-33928.31539747701</v>
      </c>
      <c r="I41" s="116">
        <f ca="1">IFERROR(IF(CAPA!$C$113="Não",I57-I72,IF(Indexador!$B78&lt;CAPA!$C$114,0,I57-I72)),0)</f>
        <v>0</v>
      </c>
      <c r="J41" s="116">
        <f ca="1">IF(CAPA!$C$113="Não",J57-J72,IF(Indexador!$B78&lt;CAPA!$C$114,0,J57-J72))</f>
        <v>306737.8920204509</v>
      </c>
      <c r="L41" s="68" t="str">
        <f>H30</f>
        <v>Financeiro Covid</v>
      </c>
      <c r="M41" s="69">
        <f ca="1">Indexador!P80</f>
        <v>147614.52816902971</v>
      </c>
      <c r="N41" s="80"/>
    </row>
    <row r="42" spans="2:14">
      <c r="B42" s="272">
        <f>Indexador!B79</f>
        <v>44713</v>
      </c>
      <c r="C42" s="1240">
        <f ca="1">IF(CAPA!$C$113="Não",C58-C73,IF(Indexador!B79&lt;CAPA!$C$114,0,C58-C73))</f>
        <v>13141.252919405815</v>
      </c>
      <c r="D42" s="1240">
        <f ca="1">IF(CAPA!$C$113="Não",D58-D73,IF(Indexador!$B79&lt;CAPA!$C$114,0,D58-D73))</f>
        <v>13492.585941689787</v>
      </c>
      <c r="E42" s="1240">
        <f ca="1">IF(CAPA!$C$113="Não",E58-E73,IF(Indexador!$B79&lt;CAPA!$C$114,0,E58-E73))</f>
        <v>641.61012261184806</v>
      </c>
      <c r="F42" s="1240">
        <f ca="1">IF(CAPA!$C$113="Não",F58-F73,IF(Indexador!$B79&lt;CAPA!$C$114,0,F58-F73))</f>
        <v>51457.20697889966</v>
      </c>
      <c r="G42" s="1240">
        <f ca="1">IF(CAPA!$C$113="Não",G58-G73,IF(Indexador!$B79&lt;CAPA!$C$114,0,G58-G73))</f>
        <v>8724.0734575421666</v>
      </c>
      <c r="H42" s="1240">
        <f ca="1">IF(CAPA!$C$113="Não",H58-H73,IF(Indexador!$B79&lt;CAPA!$C$114,0,H58-H73))</f>
        <v>506.69090317521477</v>
      </c>
      <c r="I42" s="1240">
        <f ca="1">IFERROR(IF(CAPA!$C$113="Não",I58-I73,IF(Indexador!$B79&lt;CAPA!$C$114,0,I58-I73)),0)</f>
        <v>0</v>
      </c>
      <c r="J42" s="1240">
        <f ca="1">IF(CAPA!$C$113="Não",J58-J73,IF(Indexador!$B79&lt;CAPA!$C$114,0,J58-J73))</f>
        <v>87456.729420149699</v>
      </c>
      <c r="L42" s="822" t="str">
        <f>I30</f>
        <v>Crédito Pis Cofins</v>
      </c>
      <c r="M42" s="1271">
        <f ca="1">Indexador!R80</f>
        <v>0</v>
      </c>
      <c r="N42" s="80"/>
    </row>
    <row r="43" spans="2:14">
      <c r="L43" s="71" t="s">
        <v>846</v>
      </c>
      <c r="M43" s="274">
        <f ca="1">SUM(M41:M42)</f>
        <v>147614.52816902971</v>
      </c>
    </row>
    <row r="44" spans="2:14">
      <c r="K44" s="142"/>
    </row>
    <row r="45" spans="2:14">
      <c r="C45" s="198" t="s">
        <v>1324</v>
      </c>
      <c r="D45" s="198"/>
      <c r="E45" s="198"/>
      <c r="F45" s="198"/>
      <c r="K45" s="142"/>
    </row>
    <row r="46" spans="2:14" ht="28.5">
      <c r="C46" s="1324" t="s">
        <v>2231</v>
      </c>
      <c r="D46" s="1324" t="s">
        <v>46</v>
      </c>
      <c r="E46" s="1324" t="s">
        <v>40</v>
      </c>
      <c r="F46" s="1324" t="s">
        <v>41</v>
      </c>
      <c r="G46" s="1324" t="s">
        <v>47</v>
      </c>
      <c r="H46" s="1615" t="s">
        <v>2234</v>
      </c>
      <c r="I46" s="1615" t="s">
        <v>2260</v>
      </c>
      <c r="J46" s="1324" t="s">
        <v>1360</v>
      </c>
      <c r="K46" s="142"/>
    </row>
    <row r="47" spans="2:14">
      <c r="B47" s="272">
        <f>Indexador!B37</f>
        <v>44378</v>
      </c>
      <c r="C47" s="1574">
        <f>$F$11/12</f>
        <v>529210.5341066008</v>
      </c>
      <c r="D47" s="1389">
        <f>$F$8/12</f>
        <v>103156.38166666667</v>
      </c>
      <c r="E47" s="1231">
        <f t="shared" ref="E47:E58" si="0">$F$5/12</f>
        <v>37360.022527740752</v>
      </c>
      <c r="F47" s="116">
        <f t="shared" ref="F47:F58" si="1">$F$6/12</f>
        <v>2072229.8060883333</v>
      </c>
      <c r="G47" s="116">
        <f t="shared" ref="G47:G58" si="2">$F$9/12</f>
        <v>337336.87885666668</v>
      </c>
      <c r="H47" s="116">
        <f>VLOOKUP("Parcela B",TabFinanCovid[],4,FALSE)/12</f>
        <v>-499080.24732421752</v>
      </c>
      <c r="I47" s="116" t="e">
        <f>VLOOKUP("Créditos de Pis/Cofins",TabFinanNeutralidade[[#All],[Detalhe_Grupo_TARIFA]:[valor]],2,FALSE)/12</f>
        <v>#N/A</v>
      </c>
      <c r="J47" s="1390">
        <f>SUM(C47:G47)</f>
        <v>3079293.6232460085</v>
      </c>
      <c r="K47" s="142"/>
    </row>
    <row r="48" spans="2:14">
      <c r="B48" s="272">
        <f>Indexador!B38</f>
        <v>44409</v>
      </c>
      <c r="C48" s="116">
        <f t="shared" ref="C48:C58" si="3">$F$11/12</f>
        <v>529210.5341066008</v>
      </c>
      <c r="D48" s="142">
        <f t="shared" ref="D48:D58" si="4">$F$8/12</f>
        <v>103156.38166666667</v>
      </c>
      <c r="E48" s="116">
        <f t="shared" si="0"/>
        <v>37360.022527740752</v>
      </c>
      <c r="F48" s="116">
        <f t="shared" si="1"/>
        <v>2072229.8060883333</v>
      </c>
      <c r="G48" s="116">
        <f t="shared" si="2"/>
        <v>337336.87885666668</v>
      </c>
      <c r="H48" s="116">
        <f>VLOOKUP("Parcela B",TabFinanCovid[],4,FALSE)/12</f>
        <v>-499080.24732421752</v>
      </c>
      <c r="I48" s="116" t="e">
        <f>VLOOKUP("Créditos de Pis/Cofins",TabFinanNeutralidade[[#All],[Detalhe_Grupo_TARIFA]:[valor]],2,FALSE)/12</f>
        <v>#N/A</v>
      </c>
      <c r="J48" s="144">
        <f t="shared" ref="J48:J58" si="5">SUM(C48:G48)</f>
        <v>3079293.6232460085</v>
      </c>
      <c r="K48" s="142"/>
    </row>
    <row r="49" spans="2:12">
      <c r="B49" s="272">
        <f>Indexador!B39</f>
        <v>44440</v>
      </c>
      <c r="C49" s="116">
        <f t="shared" si="3"/>
        <v>529210.5341066008</v>
      </c>
      <c r="D49" s="142">
        <f t="shared" si="4"/>
        <v>103156.38166666667</v>
      </c>
      <c r="E49" s="116">
        <f t="shared" si="0"/>
        <v>37360.022527740752</v>
      </c>
      <c r="F49" s="116">
        <f t="shared" si="1"/>
        <v>2072229.8060883333</v>
      </c>
      <c r="G49" s="116">
        <f t="shared" si="2"/>
        <v>337336.87885666668</v>
      </c>
      <c r="H49" s="116">
        <f>VLOOKUP("Parcela B",TabFinanCovid[],4,FALSE)/12</f>
        <v>-499080.24732421752</v>
      </c>
      <c r="I49" s="116" t="e">
        <f>VLOOKUP("Créditos de Pis/Cofins",TabFinanNeutralidade[[#All],[Detalhe_Grupo_TARIFA]:[valor]],2,FALSE)/12</f>
        <v>#N/A</v>
      </c>
      <c r="J49" s="144">
        <f t="shared" si="5"/>
        <v>3079293.6232460085</v>
      </c>
      <c r="K49" s="142"/>
    </row>
    <row r="50" spans="2:12">
      <c r="B50" s="272">
        <f>Indexador!B40</f>
        <v>44470</v>
      </c>
      <c r="C50" s="116">
        <f t="shared" si="3"/>
        <v>529210.5341066008</v>
      </c>
      <c r="D50" s="142">
        <f t="shared" si="4"/>
        <v>103156.38166666667</v>
      </c>
      <c r="E50" s="116">
        <f t="shared" si="0"/>
        <v>37360.022527740752</v>
      </c>
      <c r="F50" s="116">
        <f t="shared" si="1"/>
        <v>2072229.8060883333</v>
      </c>
      <c r="G50" s="116">
        <f t="shared" si="2"/>
        <v>337336.87885666668</v>
      </c>
      <c r="H50" s="116">
        <f>VLOOKUP("Parcela B",TabFinanCovid[],4,FALSE)/12</f>
        <v>-499080.24732421752</v>
      </c>
      <c r="I50" s="116" t="e">
        <f>VLOOKUP("Créditos de Pis/Cofins",TabFinanNeutralidade[[#All],[Detalhe_Grupo_TARIFA]:[valor]],2,FALSE)/12</f>
        <v>#N/A</v>
      </c>
      <c r="J50" s="144">
        <f t="shared" si="5"/>
        <v>3079293.6232460085</v>
      </c>
      <c r="K50" s="142"/>
    </row>
    <row r="51" spans="2:12">
      <c r="B51" s="272">
        <f>Indexador!B41</f>
        <v>44501</v>
      </c>
      <c r="C51" s="116">
        <f t="shared" si="3"/>
        <v>529210.5341066008</v>
      </c>
      <c r="D51" s="142">
        <f t="shared" si="4"/>
        <v>103156.38166666667</v>
      </c>
      <c r="E51" s="116">
        <f t="shared" si="0"/>
        <v>37360.022527740752</v>
      </c>
      <c r="F51" s="116">
        <f t="shared" si="1"/>
        <v>2072229.8060883333</v>
      </c>
      <c r="G51" s="116">
        <f t="shared" si="2"/>
        <v>337336.87885666668</v>
      </c>
      <c r="H51" s="116">
        <f>VLOOKUP("Parcela B",TabFinanCovid[],4,FALSE)/12</f>
        <v>-499080.24732421752</v>
      </c>
      <c r="I51" s="116" t="e">
        <f>VLOOKUP("Créditos de Pis/Cofins",TabFinanNeutralidade[[#All],[Detalhe_Grupo_TARIFA]:[valor]],2,FALSE)/12</f>
        <v>#N/A</v>
      </c>
      <c r="J51" s="144">
        <f t="shared" si="5"/>
        <v>3079293.6232460085</v>
      </c>
    </row>
    <row r="52" spans="2:12">
      <c r="B52" s="272">
        <f>Indexador!B42</f>
        <v>44531</v>
      </c>
      <c r="C52" s="116">
        <f t="shared" si="3"/>
        <v>529210.5341066008</v>
      </c>
      <c r="D52" s="142">
        <f t="shared" si="4"/>
        <v>103156.38166666667</v>
      </c>
      <c r="E52" s="116">
        <f t="shared" si="0"/>
        <v>37360.022527740752</v>
      </c>
      <c r="F52" s="116">
        <f t="shared" si="1"/>
        <v>2072229.8060883333</v>
      </c>
      <c r="G52" s="116">
        <f t="shared" si="2"/>
        <v>337336.87885666668</v>
      </c>
      <c r="H52" s="116">
        <f>VLOOKUP("Parcela B",TabFinanCovid[],4,FALSE)/12</f>
        <v>-499080.24732421752</v>
      </c>
      <c r="I52" s="116" t="e">
        <f>VLOOKUP("Créditos de Pis/Cofins",TabFinanNeutralidade[[#All],[Detalhe_Grupo_TARIFA]:[valor]],2,FALSE)/12</f>
        <v>#N/A</v>
      </c>
      <c r="J52" s="144">
        <f t="shared" si="5"/>
        <v>3079293.6232460085</v>
      </c>
    </row>
    <row r="53" spans="2:12">
      <c r="B53" s="272">
        <f>Indexador!B43</f>
        <v>44562</v>
      </c>
      <c r="C53" s="116">
        <f t="shared" si="3"/>
        <v>529210.5341066008</v>
      </c>
      <c r="D53" s="142">
        <f t="shared" si="4"/>
        <v>103156.38166666667</v>
      </c>
      <c r="E53" s="116">
        <f t="shared" si="0"/>
        <v>37360.022527740752</v>
      </c>
      <c r="F53" s="116">
        <f t="shared" si="1"/>
        <v>2072229.8060883333</v>
      </c>
      <c r="G53" s="116">
        <f t="shared" si="2"/>
        <v>337336.87885666668</v>
      </c>
      <c r="H53" s="116">
        <f>VLOOKUP("Parcela B",TabFinanCovid[],4,FALSE)/12</f>
        <v>-499080.24732421752</v>
      </c>
      <c r="I53" s="116" t="e">
        <f>VLOOKUP("Créditos de Pis/Cofins",TabFinanNeutralidade[[#All],[Detalhe_Grupo_TARIFA]:[valor]],2,FALSE)/12</f>
        <v>#N/A</v>
      </c>
      <c r="J53" s="144">
        <f t="shared" si="5"/>
        <v>3079293.6232460085</v>
      </c>
    </row>
    <row r="54" spans="2:12">
      <c r="B54" s="272">
        <f>Indexador!B44</f>
        <v>44593</v>
      </c>
      <c r="C54" s="116">
        <f t="shared" si="3"/>
        <v>529210.5341066008</v>
      </c>
      <c r="D54" s="142">
        <f t="shared" si="4"/>
        <v>103156.38166666667</v>
      </c>
      <c r="E54" s="116">
        <f t="shared" si="0"/>
        <v>37360.022527740752</v>
      </c>
      <c r="F54" s="116">
        <f t="shared" si="1"/>
        <v>2072229.8060883333</v>
      </c>
      <c r="G54" s="116">
        <f t="shared" si="2"/>
        <v>337336.87885666668</v>
      </c>
      <c r="H54" s="116">
        <f>VLOOKUP("Parcela B",TabFinanCovid[],4,FALSE)/12</f>
        <v>-499080.24732421752</v>
      </c>
      <c r="I54" s="116" t="e">
        <f>VLOOKUP("Créditos de Pis/Cofins",TabFinanNeutralidade[[#All],[Detalhe_Grupo_TARIFA]:[valor]],2,FALSE)/12</f>
        <v>#N/A</v>
      </c>
      <c r="J54" s="144">
        <f t="shared" si="5"/>
        <v>3079293.6232460085</v>
      </c>
    </row>
    <row r="55" spans="2:12">
      <c r="B55" s="272">
        <f>Indexador!B45</f>
        <v>44621</v>
      </c>
      <c r="C55" s="116">
        <f t="shared" si="3"/>
        <v>529210.5341066008</v>
      </c>
      <c r="D55" s="142">
        <f t="shared" si="4"/>
        <v>103156.38166666667</v>
      </c>
      <c r="E55" s="116">
        <f t="shared" si="0"/>
        <v>37360.022527740752</v>
      </c>
      <c r="F55" s="116">
        <f t="shared" si="1"/>
        <v>2072229.8060883333</v>
      </c>
      <c r="G55" s="116">
        <f t="shared" si="2"/>
        <v>337336.87885666668</v>
      </c>
      <c r="H55" s="116">
        <f>VLOOKUP("Parcela B",TabFinanCovid[],4,FALSE)/12</f>
        <v>-499080.24732421752</v>
      </c>
      <c r="I55" s="116" t="e">
        <f>VLOOKUP("Créditos de Pis/Cofins",TabFinanNeutralidade[[#All],[Detalhe_Grupo_TARIFA]:[valor]],2,FALSE)/12</f>
        <v>#N/A</v>
      </c>
      <c r="J55" s="144">
        <f t="shared" si="5"/>
        <v>3079293.6232460085</v>
      </c>
    </row>
    <row r="56" spans="2:12">
      <c r="B56" s="272">
        <f>Indexador!B46</f>
        <v>44652</v>
      </c>
      <c r="C56" s="116">
        <f t="shared" si="3"/>
        <v>529210.5341066008</v>
      </c>
      <c r="D56" s="142">
        <f t="shared" si="4"/>
        <v>103156.38166666667</v>
      </c>
      <c r="E56" s="116">
        <f t="shared" si="0"/>
        <v>37360.022527740752</v>
      </c>
      <c r="F56" s="116">
        <f t="shared" si="1"/>
        <v>2072229.8060883333</v>
      </c>
      <c r="G56" s="116">
        <f t="shared" si="2"/>
        <v>337336.87885666668</v>
      </c>
      <c r="H56" s="116">
        <f>VLOOKUP("Parcela B",TabFinanCovid[],4,FALSE)/12</f>
        <v>-499080.24732421752</v>
      </c>
      <c r="I56" s="116" t="e">
        <f>VLOOKUP("Créditos de Pis/Cofins",TabFinanNeutralidade[[#All],[Detalhe_Grupo_TARIFA]:[valor]],2,FALSE)/12</f>
        <v>#N/A</v>
      </c>
      <c r="J56" s="144">
        <f t="shared" si="5"/>
        <v>3079293.6232460085</v>
      </c>
    </row>
    <row r="57" spans="2:12">
      <c r="B57" s="272">
        <f>Indexador!B47</f>
        <v>44682</v>
      </c>
      <c r="C57" s="116">
        <f t="shared" si="3"/>
        <v>529210.5341066008</v>
      </c>
      <c r="D57" s="142">
        <f t="shared" si="4"/>
        <v>103156.38166666667</v>
      </c>
      <c r="E57" s="116">
        <f t="shared" si="0"/>
        <v>37360.022527740752</v>
      </c>
      <c r="F57" s="116">
        <f t="shared" si="1"/>
        <v>2072229.8060883333</v>
      </c>
      <c r="G57" s="116">
        <f t="shared" si="2"/>
        <v>337336.87885666668</v>
      </c>
      <c r="H57" s="116">
        <f>VLOOKUP("Parcela B",TabFinanCovid[],4,FALSE)/12</f>
        <v>-499080.24732421752</v>
      </c>
      <c r="I57" s="116" t="e">
        <f>VLOOKUP("Créditos de Pis/Cofins",TabFinanNeutralidade[[#All],[Detalhe_Grupo_TARIFA]:[valor]],2,FALSE)/12</f>
        <v>#N/A</v>
      </c>
      <c r="J57" s="144">
        <f t="shared" si="5"/>
        <v>3079293.6232460085</v>
      </c>
    </row>
    <row r="58" spans="2:12">
      <c r="B58" s="272">
        <f>Indexador!B48</f>
        <v>44713</v>
      </c>
      <c r="C58" s="1240">
        <f t="shared" si="3"/>
        <v>529210.5341066008</v>
      </c>
      <c r="D58" s="1391">
        <f t="shared" si="4"/>
        <v>103156.38166666667</v>
      </c>
      <c r="E58" s="1240">
        <f t="shared" si="0"/>
        <v>37360.022527740752</v>
      </c>
      <c r="F58" s="1240">
        <f t="shared" si="1"/>
        <v>2072229.8060883333</v>
      </c>
      <c r="G58" s="1240">
        <f t="shared" si="2"/>
        <v>337336.87885666668</v>
      </c>
      <c r="H58" s="1240">
        <f>VLOOKUP("Parcela B",TabFinanCovid[],4,FALSE)/12</f>
        <v>-499080.24732421752</v>
      </c>
      <c r="I58" s="1240" t="e">
        <f>VLOOKUP("Créditos de Pis/Cofins",TabFinanNeutralidade[[#All],[Detalhe_Grupo_TARIFA]:[valor]],2,FALSE)/12</f>
        <v>#N/A</v>
      </c>
      <c r="J58" s="1392">
        <f t="shared" si="5"/>
        <v>3079293.6232460085</v>
      </c>
    </row>
    <row r="60" spans="2:12">
      <c r="C60" s="68" t="s">
        <v>1361</v>
      </c>
      <c r="L60" s="198">
        <v>42491</v>
      </c>
    </row>
    <row r="61" spans="2:12" ht="28.5">
      <c r="C61" s="1575" t="s">
        <v>2231</v>
      </c>
      <c r="D61" s="1324" t="s">
        <v>46</v>
      </c>
      <c r="E61" s="1324" t="s">
        <v>40</v>
      </c>
      <c r="F61" s="1324" t="s">
        <v>41</v>
      </c>
      <c r="G61" s="1324" t="s">
        <v>47</v>
      </c>
      <c r="H61" s="1615" t="s">
        <v>2234</v>
      </c>
      <c r="I61" s="1615" t="s">
        <v>2258</v>
      </c>
      <c r="J61" s="1324" t="s">
        <v>1360</v>
      </c>
      <c r="L61" s="1324" t="s">
        <v>48</v>
      </c>
    </row>
    <row r="62" spans="2:12">
      <c r="B62" s="272">
        <f t="shared" ref="B62:B73" si="6">B47</f>
        <v>44378</v>
      </c>
      <c r="C62" s="1393">
        <f ca="1">Calc_Mercado!S63</f>
        <v>513350.02160205541</v>
      </c>
      <c r="D62" s="1393">
        <f ca="1">Calc_Mercado!F63</f>
        <v>96087.199565624032</v>
      </c>
      <c r="E62" s="1231">
        <f ca="1">Calc_Mercado!I63</f>
        <v>36236.370099524633</v>
      </c>
      <c r="F62" s="1381">
        <f ca="1">Calc_Mercado!H63</f>
        <v>2010124.7937471888</v>
      </c>
      <c r="G62" s="1381">
        <f ca="1">Calc_Mercado!G63</f>
        <v>327354.35893690499</v>
      </c>
      <c r="H62" s="1616">
        <f ca="1">VLOOKUP("Parcela B",TabFinanCovid[],4,FALSE)/VLOOKUP("Parcela B",TabFinanNeutralidade[],3,FALSE)*Calc_Mercado!T63</f>
        <v>-489931.27419629862</v>
      </c>
      <c r="I62" s="1616">
        <f ca="1">Calc_Mercado!U63</f>
        <v>0</v>
      </c>
      <c r="J62" s="1390">
        <f t="shared" ref="J62:J73" ca="1" si="7">SUM(C62:G62)</f>
        <v>2983152.7439512978</v>
      </c>
      <c r="L62" s="1393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517109.88762631471</v>
      </c>
      <c r="D63" s="143">
        <f ca="1">Calc_Mercado!F64</f>
        <v>96838.35035997229</v>
      </c>
      <c r="E63" s="116">
        <f ca="1">Calc_Mercado!I64</f>
        <v>36399.735008022333</v>
      </c>
      <c r="F63" s="80">
        <f ca="1">Calc_Mercado!H64</f>
        <v>2024847.3019745087</v>
      </c>
      <c r="G63" s="80">
        <f ca="1">Calc_Mercado!G64</f>
        <v>330248.54688562389</v>
      </c>
      <c r="H63" s="80">
        <f ca="1">VLOOKUP("Parcela B",TabFinanCovid[],4,FALSE)/VLOOKUP("Parcela B",TabFinanNeutralidade[],3,FALSE)*Calc_Mercado!T64</f>
        <v>-487949.92581502959</v>
      </c>
      <c r="I63" s="80">
        <f ca="1">Calc_Mercado!U64</f>
        <v>0</v>
      </c>
      <c r="J63" s="144">
        <f t="shared" ca="1" si="7"/>
        <v>3005443.8218544419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504935.58560011705</v>
      </c>
      <c r="D64" s="143">
        <f ca="1">Calc_Mercado!F65</f>
        <v>87390.883338210537</v>
      </c>
      <c r="E64" s="116">
        <f ca="1">Calc_Mercado!I65</f>
        <v>35596.860384846492</v>
      </c>
      <c r="F64" s="80">
        <f ca="1">Calc_Mercado!H65</f>
        <v>1977176.3848231749</v>
      </c>
      <c r="G64" s="80">
        <f ca="1">Calc_Mercado!G65</f>
        <v>322210.35819714662</v>
      </c>
      <c r="H64" s="80">
        <f ca="1">VLOOKUP("Parcela B",TabFinanCovid[],4,FALSE)/VLOOKUP("Parcela B",TabFinanNeutralidade[],3,FALSE)*Calc_Mercado!T65</f>
        <v>-480669.88981183246</v>
      </c>
      <c r="I64" s="80">
        <f ca="1">Calc_Mercado!U65</f>
        <v>0</v>
      </c>
      <c r="J64" s="144">
        <f t="shared" ca="1" si="7"/>
        <v>2927310.0723434957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493620.25951080606</v>
      </c>
      <c r="D65" s="143">
        <f ca="1">Calc_Mercado!F66</f>
        <v>85290.964429062282</v>
      </c>
      <c r="E65" s="116">
        <f ca="1">Calc_Mercado!I66</f>
        <v>34664.60954131672</v>
      </c>
      <c r="F65" s="80">
        <f ca="1">Calc_Mercado!H66</f>
        <v>1932868.9599389301</v>
      </c>
      <c r="G65" s="80">
        <f ca="1">Calc_Mercado!G66</f>
        <v>315627.13957508182</v>
      </c>
      <c r="H65" s="80">
        <f ca="1">VLOOKUP("Parcela B",TabFinanCovid[],4,FALSE)/VLOOKUP("Parcela B",TabFinanNeutralidade[],3,FALSE)*Calc_Mercado!T66</f>
        <v>-465288.48816102633</v>
      </c>
      <c r="I65" s="80">
        <f ca="1">Calc_Mercado!U66</f>
        <v>0</v>
      </c>
      <c r="J65" s="144">
        <f t="shared" ca="1" si="7"/>
        <v>2862071.9329951974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519957.0366079997</v>
      </c>
      <c r="D66" s="143">
        <f ca="1">Calc_Mercado!F67</f>
        <v>89863.698410792058</v>
      </c>
      <c r="E66" s="116">
        <f ca="1">Calc_Mercado!I67</f>
        <v>36721.291135120075</v>
      </c>
      <c r="F66" s="80">
        <f ca="1">Calc_Mercado!H67</f>
        <v>2035995.883875248</v>
      </c>
      <c r="G66" s="80">
        <f ca="1">Calc_Mercado!G67</f>
        <v>331499.6371620206</v>
      </c>
      <c r="H66" s="80">
        <f ca="1">VLOOKUP("Parcela B",TabFinanCovid[],4,FALSE)/VLOOKUP("Parcela B",TabFinanNeutralidade[],3,FALSE)*Calc_Mercado!T67</f>
        <v>-494665.7499179244</v>
      </c>
      <c r="I66" s="80">
        <f ca="1">Calc_Mercado!U67</f>
        <v>0</v>
      </c>
      <c r="J66" s="144">
        <f t="shared" ca="1" si="7"/>
        <v>3014037.5471911803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522540.56280001992</v>
      </c>
      <c r="D67" s="143">
        <f ca="1">Calc_Mercado!F68</f>
        <v>90884.081997213245</v>
      </c>
      <c r="E67" s="116">
        <f ca="1">Calc_Mercado!I68</f>
        <v>36977.58927453083</v>
      </c>
      <c r="F67" s="80">
        <f ca="1">Calc_Mercado!H68</f>
        <v>2046112.197959872</v>
      </c>
      <c r="G67" s="80">
        <f ca="1">Calc_Mercado!G68</f>
        <v>332775.81511299813</v>
      </c>
      <c r="H67" s="80">
        <f ca="1">VLOOKUP("Parcela B",TabFinanCovid[],4,FALSE)/VLOOKUP("Parcela B",TabFinanNeutralidade[],3,FALSE)*Calc_Mercado!T68</f>
        <v>-503169.69124699885</v>
      </c>
      <c r="I67" s="80">
        <f ca="1">Calc_Mercado!U68</f>
        <v>0</v>
      </c>
      <c r="J67" s="144">
        <f t="shared" ca="1" si="7"/>
        <v>3029290.2471446344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631447.71349863405</v>
      </c>
      <c r="D68" s="143">
        <f ca="1">Calc_Mercado!F69</f>
        <v>110866.82098924131</v>
      </c>
      <c r="E68" s="116">
        <f ca="1">Calc_Mercado!I69</f>
        <v>45299.146930040799</v>
      </c>
      <c r="F68" s="80">
        <f ca="1">Calc_Mercado!H69</f>
        <v>2472559.9521694724</v>
      </c>
      <c r="G68" s="80">
        <f ca="1">Calc_Mercado!G69</f>
        <v>399259.37989212456</v>
      </c>
      <c r="H68" s="80">
        <f ca="1">VLOOKUP("Parcela B",TabFinanCovid[],4,FALSE)/VLOOKUP("Parcela B",TabFinanNeutralidade[],3,FALSE)*Calc_Mercado!T69</f>
        <v>-610700.36744587356</v>
      </c>
      <c r="I68" s="80">
        <f ca="1">Calc_Mercado!U69</f>
        <v>0</v>
      </c>
      <c r="J68" s="144">
        <f t="shared" ca="1" si="7"/>
        <v>3659433.0134795131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619373.25778749539</v>
      </c>
      <c r="D69" s="143">
        <f ca="1">Calc_Mercado!F70</f>
        <v>109868.09556581425</v>
      </c>
      <c r="E69" s="116">
        <f ca="1">Calc_Mercado!I70</f>
        <v>44806.724754418239</v>
      </c>
      <c r="F69" s="80">
        <f ca="1">Calc_Mercado!H70</f>
        <v>2425280.0032562185</v>
      </c>
      <c r="G69" s="80">
        <f ca="1">Calc_Mercado!G70</f>
        <v>391021.78113331378</v>
      </c>
      <c r="H69" s="80">
        <f ca="1">VLOOKUP("Parcela B",TabFinanCovid[],4,FALSE)/VLOOKUP("Parcela B",TabFinanNeutralidade[],3,FALSE)*Calc_Mercado!T70</f>
        <v>-612821.36705350073</v>
      </c>
      <c r="I69" s="80">
        <f ca="1">Calc_Mercado!U70</f>
        <v>0</v>
      </c>
      <c r="J69" s="144">
        <f t="shared" ca="1" si="7"/>
        <v>3590349.8624972599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568928.68903020932</v>
      </c>
      <c r="D70" s="143">
        <f ca="1">Calc_Mercado!F71</f>
        <v>99910.307451630666</v>
      </c>
      <c r="E70" s="116">
        <f ca="1">Calc_Mercado!I71</f>
        <v>40567.872846733895</v>
      </c>
      <c r="F70" s="80">
        <f ca="1">Calc_Mercado!H71</f>
        <v>2227754.1941553284</v>
      </c>
      <c r="G70" s="80">
        <f ca="1">Calc_Mercado!G71</f>
        <v>362000.62438525184</v>
      </c>
      <c r="H70" s="80">
        <f ca="1">VLOOKUP("Parcela B",TabFinanCovid[],4,FALSE)/VLOOKUP("Parcela B",TabFinanNeutralidade[],3,FALSE)*Calc_Mercado!T71</f>
        <v>-544046.28626777779</v>
      </c>
      <c r="I70" s="80">
        <f ca="1">Calc_Mercado!U71</f>
        <v>0</v>
      </c>
      <c r="J70" s="144">
        <f t="shared" ca="1" si="7"/>
        <v>3299161.6878691539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484171.73151943274</v>
      </c>
      <c r="D71" s="143">
        <f ca="1">Calc_Mercado!F72</f>
        <v>84315.404278491667</v>
      </c>
      <c r="E71" s="116">
        <f ca="1">Calc_Mercado!I72</f>
        <v>34457.139847412313</v>
      </c>
      <c r="F71" s="80">
        <f ca="1">Calc_Mercado!H72</f>
        <v>1895871.3567819234</v>
      </c>
      <c r="G71" s="80">
        <f ca="1">Calc_Mercado!G72</f>
        <v>308489.62293734879</v>
      </c>
      <c r="H71" s="80">
        <f ca="1">VLOOKUP("Parcela B",TabFinanCovid[],4,FALSE)/VLOOKUP("Parcela B",TabFinanNeutralidade[],3,FALSE)*Calc_Mercado!T72</f>
        <v>-477087.50445148005</v>
      </c>
      <c r="I71" s="80">
        <f ca="1">Calc_Mercado!U72</f>
        <v>0</v>
      </c>
      <c r="J71" s="144">
        <f t="shared" ca="1" si="7"/>
        <v>2807305.255364609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478050.15547404252</v>
      </c>
      <c r="D72" s="143">
        <f ca="1">Calc_Mercado!F73</f>
        <v>83342.284895831515</v>
      </c>
      <c r="E72" s="116">
        <f ca="1">Calc_Mercado!I73</f>
        <v>33856.45569146207</v>
      </c>
      <c r="F72" s="80">
        <f ca="1">Calc_Mercado!H73</f>
        <v>1871901.1000996579</v>
      </c>
      <c r="G72" s="80">
        <f ca="1">Calc_Mercado!G73</f>
        <v>305405.73506456398</v>
      </c>
      <c r="H72" s="80">
        <f ca="1">VLOOKUP("Parcela B",TabFinanCovid[],4,FALSE)/VLOOKUP("Parcela B",TabFinanNeutralidade[],3,FALSE)*Calc_Mercado!T73</f>
        <v>-465151.93192674051</v>
      </c>
      <c r="I72" s="80">
        <f ca="1">Calc_Mercado!U73</f>
        <v>0</v>
      </c>
      <c r="J72" s="144">
        <f t="shared" ca="1" si="7"/>
        <v>2772555.7312255576</v>
      </c>
      <c r="L72" s="143">
        <f ca="1">IF(B72&lt;$L$60,0,Calc_Mercado!D73)</f>
        <v>0</v>
      </c>
    </row>
    <row r="73" spans="2:12">
      <c r="B73" s="272">
        <f t="shared" si="6"/>
        <v>44713</v>
      </c>
      <c r="C73" s="1394">
        <f ca="1">Calc_Mercado!S74</f>
        <v>516069.28118719498</v>
      </c>
      <c r="D73" s="1394">
        <f ca="1">Calc_Mercado!F74</f>
        <v>89663.795724976881</v>
      </c>
      <c r="E73" s="1240">
        <f ca="1">Calc_Mercado!I74</f>
        <v>36718.412405128904</v>
      </c>
      <c r="F73" s="1386">
        <f ca="1">Calc_Mercado!H74</f>
        <v>2020772.5991094336</v>
      </c>
      <c r="G73" s="1386">
        <f ca="1">Calc_Mercado!G74</f>
        <v>328612.80539912451</v>
      </c>
      <c r="H73" s="1386">
        <f ca="1">VLOOKUP("Parcela B",TabFinanCovid[],4,FALSE)/VLOOKUP("Parcela B",TabFinanNeutralidade[],3,FALSE)*Calc_Mercado!T74</f>
        <v>-499586.93822739273</v>
      </c>
      <c r="I73" s="1386">
        <f ca="1">Calc_Mercado!U74</f>
        <v>0</v>
      </c>
      <c r="J73" s="1392">
        <f t="shared" ca="1" si="7"/>
        <v>2991836.8938258588</v>
      </c>
      <c r="L73" s="1394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B1:W83"/>
  <sheetViews>
    <sheetView showGridLines="0" zoomScale="85" zoomScaleNormal="85" workbookViewId="0">
      <selection activeCell="D18" sqref="D18:D20"/>
    </sheetView>
  </sheetViews>
  <sheetFormatPr defaultColWidth="9.140625" defaultRowHeight="14.25"/>
  <cols>
    <col min="1" max="1" width="1.7109375" style="68" customWidth="1"/>
    <col min="2" max="2" width="5.7109375" style="68" bestFit="1" customWidth="1"/>
    <col min="3" max="3" width="102" style="68" customWidth="1"/>
    <col min="4" max="4" width="22.140625" style="108" bestFit="1" customWidth="1"/>
    <col min="5" max="5" width="16.28515625" style="974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08" t="s">
        <v>801</v>
      </c>
      <c r="D1" s="1395"/>
      <c r="E1" s="1396"/>
      <c r="F1" s="822"/>
      <c r="G1" s="1218" t="s">
        <v>953</v>
      </c>
      <c r="H1" s="1219">
        <f ca="1">LnkTXTIRTEco</f>
        <v>0.14499999999999999</v>
      </c>
    </row>
    <row r="2" spans="3:19" ht="16.5">
      <c r="C2" s="636" t="str">
        <f>CAPA!B2</f>
        <v>Certel</v>
      </c>
      <c r="D2" s="638"/>
      <c r="E2" s="968"/>
      <c r="F2" s="639"/>
      <c r="G2" s="640" t="s">
        <v>957</v>
      </c>
      <c r="H2" s="641">
        <f ca="1">LnkTXTIRTTotal</f>
        <v>7.5999999999999998E-2</v>
      </c>
      <c r="I2" s="639"/>
      <c r="J2" s="639"/>
      <c r="K2" s="639"/>
      <c r="L2" s="639"/>
      <c r="M2" s="639"/>
      <c r="N2" s="639"/>
      <c r="O2" s="639"/>
      <c r="P2" s="639"/>
      <c r="Q2" s="639"/>
      <c r="R2" s="639"/>
    </row>
    <row r="3" spans="3:19" ht="16.5">
      <c r="C3" s="642"/>
      <c r="D3" s="638"/>
      <c r="E3" s="968"/>
      <c r="F3" s="640"/>
      <c r="G3" s="641"/>
      <c r="H3" s="639"/>
      <c r="I3" s="639"/>
      <c r="J3" s="68" t="s">
        <v>1051</v>
      </c>
      <c r="K3" s="68" t="s">
        <v>830</v>
      </c>
      <c r="L3" s="639"/>
      <c r="M3" s="639"/>
      <c r="N3" s="639"/>
      <c r="O3" s="639"/>
      <c r="P3" s="639"/>
      <c r="Q3" s="639"/>
      <c r="R3" s="639"/>
    </row>
    <row r="4" spans="3:19" ht="16.5">
      <c r="C4" s="1397" t="s">
        <v>1362</v>
      </c>
      <c r="D4" s="1398">
        <f ca="1">LnkTXTRA0</f>
        <v>211021808.17335004</v>
      </c>
      <c r="E4" s="969"/>
      <c r="F4" s="639"/>
      <c r="G4" s="639"/>
      <c r="H4" s="639"/>
      <c r="I4" s="639"/>
      <c r="J4" s="68">
        <v>0.97545303717798348</v>
      </c>
      <c r="K4" s="68">
        <v>2.4546962822016516E-2</v>
      </c>
      <c r="L4" s="639"/>
      <c r="M4" s="639"/>
      <c r="N4" s="639"/>
      <c r="O4" s="639"/>
      <c r="P4" s="639"/>
      <c r="Q4" s="639"/>
      <c r="R4" s="639"/>
    </row>
    <row r="5" spans="3:19" ht="16.5">
      <c r="C5" s="1399" t="s">
        <v>1363</v>
      </c>
      <c r="D5" s="1400">
        <f ca="1">IF(CAPA!P1="VERDADEIRO",D7,IFERROR(D7/(1+IF(Calc_Mercado!J15&gt;0,Calc_Mercado!J15,0)),0))</f>
        <v>-14556315.698918642</v>
      </c>
      <c r="E5" s="970"/>
      <c r="F5" s="734"/>
      <c r="G5" s="639"/>
      <c r="H5" s="639"/>
      <c r="I5" s="639"/>
      <c r="J5" s="643"/>
      <c r="K5" s="639"/>
      <c r="L5" s="639"/>
      <c r="M5" s="639"/>
      <c r="N5" s="639"/>
      <c r="O5" s="639"/>
      <c r="P5" s="639"/>
      <c r="Q5" s="639"/>
      <c r="R5" s="639"/>
    </row>
    <row r="6" spans="3:19" ht="16.5">
      <c r="C6" s="639"/>
      <c r="D6" s="1401"/>
      <c r="E6" s="971"/>
      <c r="F6" s="639"/>
      <c r="G6" s="639"/>
      <c r="H6" s="643"/>
      <c r="I6" s="644"/>
      <c r="J6" s="639"/>
      <c r="K6" s="639"/>
      <c r="L6" s="639"/>
      <c r="M6" s="639"/>
      <c r="N6" s="639"/>
      <c r="O6" s="639"/>
      <c r="P6" s="639"/>
      <c r="Q6" s="639"/>
      <c r="R6" s="639"/>
    </row>
    <row r="7" spans="3:19" ht="16.5">
      <c r="C7" s="1402" t="s">
        <v>1364</v>
      </c>
      <c r="D7" s="1403">
        <f ca="1">SUM(D10:D82)-LnkTxTAjusteCUST-D31</f>
        <v>-14556315.698918642</v>
      </c>
      <c r="E7" s="1404">
        <f ca="1">SUM(E10:E82)-E26-E31</f>
        <v>-6.898014866293313E-2</v>
      </c>
      <c r="F7" s="645" t="s">
        <v>1365</v>
      </c>
      <c r="G7" s="639"/>
      <c r="H7" s="639"/>
      <c r="I7" s="639"/>
      <c r="J7" s="639"/>
      <c r="K7" s="639"/>
      <c r="L7" s="639"/>
      <c r="M7" s="639"/>
      <c r="N7" s="639"/>
      <c r="O7" s="639"/>
      <c r="P7" s="639"/>
      <c r="Q7" s="639"/>
      <c r="R7" s="639"/>
    </row>
    <row r="8" spans="3:19" ht="16.5">
      <c r="C8" s="1405" t="s">
        <v>1366</v>
      </c>
      <c r="D8" s="1406" t="s">
        <v>37</v>
      </c>
      <c r="E8" s="1407" t="s">
        <v>1367</v>
      </c>
      <c r="F8" s="1405" t="s">
        <v>1368</v>
      </c>
      <c r="G8" s="1405" t="s">
        <v>1369</v>
      </c>
      <c r="H8" s="1405" t="s">
        <v>1370</v>
      </c>
      <c r="I8" s="1405" t="s">
        <v>1371</v>
      </c>
      <c r="J8" s="1405" t="s">
        <v>1372</v>
      </c>
      <c r="K8" s="1405" t="s">
        <v>1373</v>
      </c>
      <c r="L8" s="1405" t="s">
        <v>803</v>
      </c>
      <c r="M8" s="639"/>
      <c r="N8" s="639"/>
      <c r="O8" s="639"/>
      <c r="P8" s="639"/>
      <c r="Q8" s="639"/>
      <c r="R8" s="639"/>
    </row>
    <row r="9" spans="3:19" ht="16.5">
      <c r="C9" s="646" t="s">
        <v>1374</v>
      </c>
      <c r="D9" s="647">
        <f>ABS(Indexador!D49)</f>
        <v>3591606.678375944</v>
      </c>
      <c r="E9" s="972">
        <f t="shared" ref="E9:E76" ca="1" si="0">IF(ISERROR(D9/$D$4),0,D9/$D$4)</f>
        <v>1.7020073467598731E-2</v>
      </c>
      <c r="F9" s="646"/>
      <c r="G9" s="646"/>
      <c r="H9" s="646"/>
      <c r="I9" s="646"/>
      <c r="J9" s="646"/>
      <c r="K9" s="646"/>
      <c r="L9" s="639"/>
      <c r="M9" s="639"/>
      <c r="N9" s="639"/>
      <c r="O9" s="639"/>
      <c r="P9" s="639"/>
      <c r="Q9" s="639"/>
      <c r="R9" s="639"/>
      <c r="S9" s="398"/>
    </row>
    <row r="10" spans="3:19" ht="16.5">
      <c r="C10" s="639" t="s">
        <v>1375</v>
      </c>
      <c r="D10" s="869">
        <f>LnkTXTPISCOFINS*K4</f>
        <v>88163.035605400524</v>
      </c>
      <c r="E10" s="973">
        <f ca="1">IF(ISERROR(D10/$D$4),0,D10/$D$4)</f>
        <v>4.1779111063713578E-4</v>
      </c>
      <c r="F10" s="639">
        <v>22</v>
      </c>
      <c r="G10" s="639">
        <v>60</v>
      </c>
      <c r="H10" s="639">
        <v>999</v>
      </c>
      <c r="I10" s="639">
        <v>1</v>
      </c>
      <c r="J10" s="639">
        <v>7</v>
      </c>
      <c r="K10" s="639">
        <v>9</v>
      </c>
      <c r="L10" s="639"/>
      <c r="M10" s="639"/>
      <c r="N10" s="639"/>
      <c r="O10" s="639"/>
      <c r="P10" s="639"/>
      <c r="Q10" s="794"/>
      <c r="R10" s="639"/>
    </row>
    <row r="11" spans="3:19" ht="16.5">
      <c r="C11" s="639" t="s">
        <v>1376</v>
      </c>
      <c r="D11" s="869">
        <f>LnkTXTPISCOFINS*J4</f>
        <v>3503443.6427705437</v>
      </c>
      <c r="E11" s="973">
        <f ca="1">IF(ISERROR(D11/$D$4),0,D11/$D$4)</f>
        <v>1.6602282356961595E-2</v>
      </c>
      <c r="F11" s="639">
        <v>22</v>
      </c>
      <c r="G11" s="639">
        <v>60</v>
      </c>
      <c r="H11" s="639">
        <v>999</v>
      </c>
      <c r="I11" s="639">
        <v>2</v>
      </c>
      <c r="J11" s="639">
        <v>30</v>
      </c>
      <c r="K11" s="639">
        <v>9</v>
      </c>
      <c r="L11" s="639"/>
      <c r="M11" s="648" t="s">
        <v>22</v>
      </c>
      <c r="N11" s="648" t="s">
        <v>1377</v>
      </c>
      <c r="O11" s="648" t="s">
        <v>37</v>
      </c>
      <c r="P11" s="649" t="s">
        <v>1367</v>
      </c>
      <c r="Q11" s="794"/>
      <c r="R11" s="639"/>
    </row>
    <row r="12" spans="3:19" ht="16.5">
      <c r="C12" s="639" t="str">
        <f>"(Neutralidade) "&amp;Encargos!E5</f>
        <v>(Neutralidade) TFSEE</v>
      </c>
      <c r="D12" s="869">
        <f ca="1">Encargos!M31</f>
        <v>-4085.6766435756399</v>
      </c>
      <c r="E12" s="973">
        <f t="shared" ca="1" si="0"/>
        <v>-1.9361395293416032E-5</v>
      </c>
      <c r="F12" s="639">
        <v>20</v>
      </c>
      <c r="G12" s="639">
        <v>60</v>
      </c>
      <c r="H12" s="639">
        <v>20</v>
      </c>
      <c r="I12" s="639">
        <v>3</v>
      </c>
      <c r="J12" s="639">
        <v>14</v>
      </c>
      <c r="K12" s="639">
        <v>9</v>
      </c>
      <c r="L12" s="639"/>
      <c r="M12" s="639" t="str">
        <f t="shared" ref="M12:M27" ca="1" si="1">IF(O12=0,,"CVA")</f>
        <v>CVA</v>
      </c>
      <c r="N12" s="639" t="str">
        <f ca="1">IF(Tabela1[[#This Row],[Percentual]]=0,,Tabela1[[#This Row],[Nome do Financeiro]])</f>
        <v>(Neutralidade) TFSEE</v>
      </c>
      <c r="O12" s="639">
        <f ca="1">IF(ISNUMBER(Tabela1[[#This Row],[Valor]]),Tabela1[[#This Row],[Valor]],)</f>
        <v>-4085.6766435756399</v>
      </c>
      <c r="P12" s="639">
        <f ca="1">IF(Tabela1[[#This Row],[Percentual]]=0,,Tabela1[[#This Row],[Percentual]])</f>
        <v>-1.9361395293416032E-5</v>
      </c>
      <c r="Q12" s="643"/>
      <c r="R12" s="639"/>
    </row>
    <row r="13" spans="3:19" ht="16.5">
      <c r="C13" s="639" t="str">
        <f>"(Neutralidade) "&amp;Encargos!E6&amp;""</f>
        <v>(Neutralidade) CDE</v>
      </c>
      <c r="D13" s="869">
        <f ca="1">IFERROR(Encargos!M32,0)</f>
        <v>-75171.829173659964</v>
      </c>
      <c r="E13" s="973">
        <f ca="1">IF(ISERROR(D13/$D$4),0,D13/$D$4)</f>
        <v>-3.5622777486537253E-4</v>
      </c>
      <c r="F13" s="639">
        <v>20</v>
      </c>
      <c r="G13" s="639">
        <v>60</v>
      </c>
      <c r="H13" s="639">
        <v>20</v>
      </c>
      <c r="I13" s="639">
        <v>3</v>
      </c>
      <c r="J13" s="639">
        <v>15</v>
      </c>
      <c r="K13" s="639">
        <v>9</v>
      </c>
      <c r="L13" s="639"/>
      <c r="M13" s="639" t="str">
        <f t="shared" ca="1" si="1"/>
        <v>CVA</v>
      </c>
      <c r="N13" s="639" t="str">
        <f ca="1">IF(Tabela1[[#This Row],[Percentual]]=0,,Tabela1[[#This Row],[Nome do Financeiro]])</f>
        <v>(Neutralidade) CDE</v>
      </c>
      <c r="O13" s="639">
        <f ca="1">IF(ISNUMBER(Tabela1[[#This Row],[Valor]]),Tabela1[[#This Row],[Valor]],)</f>
        <v>-75171.829173659964</v>
      </c>
      <c r="P13" s="639">
        <f ca="1">IF(Tabela1[[#This Row],[Percentual]]=0,,Tabela1[[#This Row],[Percentual]])</f>
        <v>-3.5622777486537253E-4</v>
      </c>
      <c r="Q13" s="643"/>
      <c r="R13" s="639"/>
    </row>
    <row r="14" spans="3:19" ht="16.5">
      <c r="C14" s="639" t="str">
        <f>"(Neutralidade) "&amp;Encargos!E7</f>
        <v>(Neutralidade) CFURH</v>
      </c>
      <c r="D14" s="869">
        <f>Encargos!M33</f>
        <v>0</v>
      </c>
      <c r="E14" s="973">
        <f t="shared" ca="1" si="0"/>
        <v>0</v>
      </c>
      <c r="F14" s="639">
        <v>20</v>
      </c>
      <c r="G14" s="639">
        <v>60</v>
      </c>
      <c r="H14" s="639">
        <v>20</v>
      </c>
      <c r="I14" s="639">
        <v>3</v>
      </c>
      <c r="J14" s="639">
        <v>16</v>
      </c>
      <c r="K14" s="639">
        <v>9</v>
      </c>
      <c r="L14" s="639"/>
      <c r="M14" s="639">
        <f t="shared" si="1"/>
        <v>0</v>
      </c>
      <c r="N14" s="639">
        <f ca="1">IF(Tabela1[[#This Row],[Percentual]]=0,,Tabela1[[#This Row],[Nome do Financeiro]])</f>
        <v>0</v>
      </c>
      <c r="O14" s="639">
        <f>IF(ISNUMBER(Tabela1[[#This Row],[Valor]]),Tabela1[[#This Row],[Valor]],)</f>
        <v>0</v>
      </c>
      <c r="P14" s="639">
        <f ca="1">IF(Tabela1[[#This Row],[Percentual]]=0,,Tabela1[[#This Row],[Percentual]])</f>
        <v>0</v>
      </c>
      <c r="Q14" s="643"/>
      <c r="R14" s="639"/>
    </row>
    <row r="15" spans="3:19" ht="16.5">
      <c r="C15" s="639" t="str">
        <f>"(Neutralidade) "&amp;Encargos!E8</f>
        <v>(Neutralidade) ESS/EER</v>
      </c>
      <c r="D15" s="869">
        <f ca="1">Encargos!M34</f>
        <v>120012.62057348438</v>
      </c>
      <c r="E15" s="973">
        <f t="shared" ca="1" si="0"/>
        <v>5.6872141136662285E-4</v>
      </c>
      <c r="F15" s="639">
        <v>20</v>
      </c>
      <c r="G15" s="639">
        <v>60</v>
      </c>
      <c r="H15" s="639">
        <v>20</v>
      </c>
      <c r="I15" s="639">
        <v>3</v>
      </c>
      <c r="J15" s="639">
        <v>17</v>
      </c>
      <c r="K15" s="639">
        <v>9</v>
      </c>
      <c r="L15" s="639"/>
      <c r="M15" s="639" t="str">
        <f t="shared" ca="1" si="1"/>
        <v>CVA</v>
      </c>
      <c r="N15" s="639" t="str">
        <f ca="1">IF(Tabela1[[#This Row],[Percentual]]=0,,Tabela1[[#This Row],[Nome do Financeiro]])</f>
        <v>(Neutralidade) ESS/EER</v>
      </c>
      <c r="O15" s="639">
        <f ca="1">IF(ISNUMBER(Tabela1[[#This Row],[Valor]]),Tabela1[[#This Row],[Valor]],)</f>
        <v>120012.62057348438</v>
      </c>
      <c r="P15" s="639">
        <f ca="1">IF(Tabela1[[#This Row],[Percentual]]=0,,Tabela1[[#This Row],[Percentual]])</f>
        <v>5.6872141136662285E-4</v>
      </c>
      <c r="Q15" s="643"/>
      <c r="R15" s="639"/>
    </row>
    <row r="16" spans="3:19" ht="16.5">
      <c r="C16" s="639" t="str">
        <f>"(Neutralidade) "&amp;Encargos!E9</f>
        <v>(Neutralidade) PROINFA</v>
      </c>
      <c r="D16" s="869">
        <f ca="1">Encargos!M35</f>
        <v>-6370.2280368324864</v>
      </c>
      <c r="E16" s="973">
        <f t="shared" ca="1" si="0"/>
        <v>-3.0187534132014813E-5</v>
      </c>
      <c r="F16" s="639">
        <v>20</v>
      </c>
      <c r="G16" s="639">
        <v>60</v>
      </c>
      <c r="H16" s="639">
        <v>20</v>
      </c>
      <c r="I16" s="639">
        <v>3</v>
      </c>
      <c r="J16" s="639">
        <v>18</v>
      </c>
      <c r="K16" s="639">
        <v>9</v>
      </c>
      <c r="L16" s="639"/>
      <c r="M16" s="639" t="str">
        <f t="shared" ca="1" si="1"/>
        <v>CVA</v>
      </c>
      <c r="N16" s="639" t="str">
        <f ca="1">IF(Tabela1[[#This Row],[Percentual]]=0,,Tabela1[[#This Row],[Nome do Financeiro]])</f>
        <v>(Neutralidade) PROINFA</v>
      </c>
      <c r="O16" s="639">
        <f ca="1">IF(ISNUMBER(Tabela1[[#This Row],[Valor]]),Tabela1[[#This Row],[Valor]],)</f>
        <v>-6370.2280368324864</v>
      </c>
      <c r="P16" s="639">
        <f ca="1">IF(Tabela1[[#This Row],[Percentual]]=0,,Tabela1[[#This Row],[Percentual]])</f>
        <v>-3.0187534132014813E-5</v>
      </c>
      <c r="Q16" s="643"/>
      <c r="R16" s="639"/>
    </row>
    <row r="17" spans="3:23" ht="16.5">
      <c r="C17" s="639" t="str">
        <f>"(Neutralidade) "&amp;Encargos!B11</f>
        <v>(Neutralidade) P&amp;D e PEE</v>
      </c>
      <c r="D17" s="869"/>
      <c r="E17" s="973">
        <f t="shared" ca="1" si="0"/>
        <v>0</v>
      </c>
      <c r="F17" s="639">
        <v>20</v>
      </c>
      <c r="G17" s="639">
        <v>60</v>
      </c>
      <c r="H17" s="639">
        <v>20</v>
      </c>
      <c r="I17" s="639">
        <v>3</v>
      </c>
      <c r="J17" s="639">
        <v>19</v>
      </c>
      <c r="K17" s="639">
        <v>9</v>
      </c>
      <c r="L17" s="639"/>
      <c r="M17" s="639">
        <f t="shared" si="1"/>
        <v>0</v>
      </c>
      <c r="N17" s="639">
        <f ca="1">IF(Tabela1[[#This Row],[Percentual]]=0,,Tabela1[[#This Row],[Nome do Financeiro]])</f>
        <v>0</v>
      </c>
      <c r="O17" s="639">
        <f>IF(ISNUMBER(Tabela1[[#This Row],[Valor]]),Tabela1[[#This Row],[Valor]],)</f>
        <v>0</v>
      </c>
      <c r="P17" s="639">
        <f ca="1">IF(Tabela1[[#This Row],[Percentual]]=0,,Tabela1[[#This Row],[Percentual]])</f>
        <v>0</v>
      </c>
      <c r="Q17" s="643"/>
      <c r="R17" s="639"/>
    </row>
    <row r="18" spans="3:23" ht="16.5">
      <c r="C18" s="639" t="str">
        <f>"(Neutralidade) "&amp; "CDE conta covid-19"</f>
        <v>(Neutralidade) CDE conta covid-19</v>
      </c>
      <c r="D18" s="869">
        <f ca="1">Encargos!M36</f>
        <v>-19197.544475939561</v>
      </c>
      <c r="E18" s="973">
        <f t="shared" ca="1" si="0"/>
        <v>-9.0974220352472651E-5</v>
      </c>
      <c r="F18" s="639">
        <v>20</v>
      </c>
      <c r="G18" s="639">
        <v>60</v>
      </c>
      <c r="H18" s="639">
        <v>73</v>
      </c>
      <c r="I18" s="639">
        <v>3</v>
      </c>
      <c r="J18" s="639">
        <v>12</v>
      </c>
      <c r="K18" s="639">
        <v>9</v>
      </c>
      <c r="L18" s="639"/>
      <c r="M18" s="639" t="str">
        <f t="shared" ca="1" si="1"/>
        <v>CVA</v>
      </c>
      <c r="N18" s="639" t="str">
        <f ca="1">IF(Tabela1[[#This Row],[Percentual]]=0,,Tabela1[[#This Row],[Nome do Financeiro]])</f>
        <v>(Neutralidade) CDE conta covid-19</v>
      </c>
      <c r="O18" s="639">
        <f ca="1">IF(ISNUMBER(Tabela1[[#This Row],[Valor]]),Tabela1[[#This Row],[Valor]],)</f>
        <v>-19197.544475939561</v>
      </c>
      <c r="P18" s="639">
        <f ca="1">IF(Tabela1[[#This Row],[Percentual]]=0,,Tabela1[[#This Row],[Percentual]])</f>
        <v>-9.0974220352472651E-5</v>
      </c>
      <c r="Q18" s="643"/>
      <c r="R18" s="639"/>
      <c r="S18" s="398"/>
    </row>
    <row r="19" spans="3:23" ht="16.5">
      <c r="C19" s="639" t="str">
        <f>"(Neutralidade)" &amp; Encargos!L41</f>
        <v>(Neutralidade)Financeiro Covid</v>
      </c>
      <c r="D19" s="869">
        <f ca="1">Encargos!M41</f>
        <v>147614.52816902971</v>
      </c>
      <c r="E19" s="973">
        <f t="shared" ca="1" si="0"/>
        <v>6.9952262018230574E-4</v>
      </c>
      <c r="F19" s="639">
        <v>20</v>
      </c>
      <c r="G19" s="639">
        <v>60</v>
      </c>
      <c r="H19" s="639">
        <v>235</v>
      </c>
      <c r="I19" s="639">
        <v>4</v>
      </c>
      <c r="J19" s="639">
        <v>999</v>
      </c>
      <c r="K19" s="639">
        <v>9</v>
      </c>
      <c r="L19" s="639"/>
      <c r="M19" s="639"/>
      <c r="N19" s="639"/>
      <c r="O19" s="639"/>
      <c r="P19" s="639"/>
      <c r="Q19" s="643"/>
      <c r="R19" s="639"/>
      <c r="S19" s="398"/>
    </row>
    <row r="20" spans="3:23" ht="16.5">
      <c r="C20" s="639" t="str">
        <f>"(Neutralidade)" &amp; Encargos!L42</f>
        <v>(Neutralidade)Crédito Pis Cofins</v>
      </c>
      <c r="D20" s="869">
        <f ca="1">Encargos!M42</f>
        <v>0</v>
      </c>
      <c r="E20" s="973">
        <f t="shared" ca="1" si="0"/>
        <v>0</v>
      </c>
      <c r="F20" s="639">
        <v>20</v>
      </c>
      <c r="G20" s="639">
        <v>60</v>
      </c>
      <c r="H20" s="639">
        <v>179</v>
      </c>
      <c r="I20" s="639">
        <v>99</v>
      </c>
      <c r="J20" s="639">
        <v>999</v>
      </c>
      <c r="K20" s="639">
        <v>3</v>
      </c>
      <c r="L20" s="639"/>
      <c r="M20" s="639"/>
      <c r="N20" s="639"/>
      <c r="O20" s="639"/>
      <c r="P20" s="639"/>
      <c r="Q20" s="643"/>
      <c r="R20" s="639"/>
      <c r="S20" s="398"/>
    </row>
    <row r="21" spans="3:23" ht="16.5">
      <c r="C21" s="639" t="s">
        <v>1378</v>
      </c>
      <c r="D21" s="869">
        <f>IFERROR(LnkTxTAjusteCUST*Resultado!D25/(Resultado!D25+Resultado!D26),0)</f>
        <v>991901.85867752158</v>
      </c>
      <c r="E21" s="973">
        <f ca="1">IF(ISERROR(D21/$D$4),0,D21/$D$4)</f>
        <v>4.7004708530537032E-3</v>
      </c>
      <c r="F21" s="639">
        <v>22</v>
      </c>
      <c r="G21" s="639">
        <v>60</v>
      </c>
      <c r="H21" s="639">
        <v>999</v>
      </c>
      <c r="I21" s="639">
        <v>1</v>
      </c>
      <c r="J21" s="639">
        <v>1</v>
      </c>
      <c r="K21" s="639">
        <v>9</v>
      </c>
      <c r="L21" s="639"/>
      <c r="M21" s="639" t="str">
        <f t="shared" si="1"/>
        <v>CVA</v>
      </c>
      <c r="N21" s="639" t="str">
        <f ca="1">IF(Tabela1[[#This Row],[Percentual]]=0,,Tabela1[[#This Row],[Nome do Financeiro]])</f>
        <v>Ajuste CUST RB + PIS Cofins RB</v>
      </c>
      <c r="O21" s="639">
        <f>IF(ISNUMBER(Tabela1[[#This Row],[Valor]]),Tabela1[[#This Row],[Valor]],)</f>
        <v>991901.85867752158</v>
      </c>
      <c r="P21" s="639">
        <f ca="1">IF(Tabela1[[#This Row],[Percentual]]=0,,Tabela1[[#This Row],[Percentual]])</f>
        <v>4.7004708530537032E-3</v>
      </c>
      <c r="Q21" s="643"/>
      <c r="R21" s="639"/>
    </row>
    <row r="22" spans="3:23" ht="16.5">
      <c r="C22" s="639" t="s">
        <v>1379</v>
      </c>
      <c r="D22" s="869">
        <f>IFERROR(LnkTxTAjusteCUST*Resultado!D26/(Resultado!D25+Resultado!D26),0)</f>
        <v>168161.06917926212</v>
      </c>
      <c r="E22" s="973">
        <f ca="1">IF(ISERROR(D22/$D$4),0,D22/$D$4)</f>
        <v>7.9688952831416028E-4</v>
      </c>
      <c r="F22" s="639">
        <v>22</v>
      </c>
      <c r="G22" s="639">
        <v>60</v>
      </c>
      <c r="H22" s="639">
        <v>999</v>
      </c>
      <c r="I22" s="639">
        <v>1</v>
      </c>
      <c r="J22" s="639">
        <v>2</v>
      </c>
      <c r="K22" s="639">
        <v>9</v>
      </c>
      <c r="L22" s="639"/>
      <c r="M22" s="639" t="str">
        <f t="shared" si="1"/>
        <v>CVA</v>
      </c>
      <c r="N22" s="639" t="str">
        <f ca="1">IF(Tabela1[[#This Row],[Percentual]]=0,,Tabela1[[#This Row],[Nome do Financeiro]])</f>
        <v>Ajuste CUST RB Fronteira + PIS Cofins RB Fronteira</v>
      </c>
      <c r="O22" s="639">
        <f>IF(ISNUMBER(Tabela1[[#This Row],[Valor]]),Tabela1[[#This Row],[Valor]],)</f>
        <v>168161.06917926212</v>
      </c>
      <c r="P22" s="639">
        <f ca="1">IF(Tabela1[[#This Row],[Percentual]]=0,,Tabela1[[#This Row],[Percentual]])</f>
        <v>7.9688952831416028E-4</v>
      </c>
      <c r="Q22" s="643"/>
      <c r="R22" s="639"/>
      <c r="S22" s="143"/>
    </row>
    <row r="23" spans="3:23" ht="16.5">
      <c r="C23" s="639" t="s">
        <v>1380</v>
      </c>
      <c r="D23" s="869">
        <v>0</v>
      </c>
      <c r="E23" s="973">
        <f t="shared" ca="1" si="0"/>
        <v>0</v>
      </c>
      <c r="F23" s="639">
        <v>22</v>
      </c>
      <c r="G23" s="639">
        <v>60</v>
      </c>
      <c r="H23" s="639">
        <v>167</v>
      </c>
      <c r="I23" s="639">
        <v>4</v>
      </c>
      <c r="J23" s="639">
        <v>999</v>
      </c>
      <c r="K23" s="639">
        <v>9</v>
      </c>
      <c r="L23" s="639"/>
      <c r="M23" s="639">
        <f t="shared" si="1"/>
        <v>0</v>
      </c>
      <c r="N23" s="639">
        <f ca="1">IF(Tabela1[[#This Row],[Percentual]]=0,,Tabela1[[#This Row],[Nome do Financeiro]])</f>
        <v>0</v>
      </c>
      <c r="O23" s="639">
        <f>IF(ISNUMBER(Tabela1[[#This Row],[Valor]]),Tabela1[[#This Row],[Valor]],)</f>
        <v>0</v>
      </c>
      <c r="P23" s="639">
        <f ca="1">IF(Tabela1[[#This Row],[Percentual]]=0,,Tabela1[[#This Row],[Percentual]])</f>
        <v>0</v>
      </c>
      <c r="Q23" s="643"/>
      <c r="R23" s="639"/>
    </row>
    <row r="24" spans="3:23" ht="16.5">
      <c r="C24" s="639" t="s">
        <v>2213</v>
      </c>
      <c r="D24" s="869"/>
      <c r="E24" s="973">
        <f t="shared" ca="1" si="0"/>
        <v>0</v>
      </c>
      <c r="F24" s="639">
        <v>22</v>
      </c>
      <c r="G24" s="639">
        <v>60</v>
      </c>
      <c r="H24" s="639">
        <v>999</v>
      </c>
      <c r="I24" s="639">
        <v>3</v>
      </c>
      <c r="J24" s="639">
        <v>28</v>
      </c>
      <c r="K24" s="639">
        <v>9</v>
      </c>
      <c r="L24" s="639"/>
      <c r="M24" s="639">
        <f t="shared" si="1"/>
        <v>0</v>
      </c>
      <c r="N24" s="639">
        <f ca="1">IF(Tabela1[[#This Row],[Percentual]]=0,,Tabela1[[#This Row],[Nome do Financeiro]])</f>
        <v>0</v>
      </c>
      <c r="O24" s="639">
        <f>IF(ISNUMBER(Tabela1[[#This Row],[Valor]]),Tabela1[[#This Row],[Valor]],)</f>
        <v>0</v>
      </c>
      <c r="P24" s="639">
        <f ca="1">IF(Tabela1[[#This Row],[Percentual]]=0,,Tabela1[[#This Row],[Percentual]])</f>
        <v>0</v>
      </c>
      <c r="Q24" s="643"/>
      <c r="R24" s="639"/>
      <c r="S24" s="292"/>
    </row>
    <row r="25" spans="3:23" ht="16.5">
      <c r="C25" s="1573" t="s">
        <v>2362</v>
      </c>
      <c r="D25" s="1572">
        <f>Indexador!G17</f>
        <v>3724908.0816122931</v>
      </c>
      <c r="E25" s="973">
        <f ca="1">IF(ISERROR(D25/$D$4),0,D25/$D$4)</f>
        <v>1.765176838287898E-2</v>
      </c>
      <c r="F25" s="639">
        <v>22</v>
      </c>
      <c r="G25" s="639">
        <v>60</v>
      </c>
      <c r="H25" s="639">
        <v>999</v>
      </c>
      <c r="I25" s="639">
        <v>2</v>
      </c>
      <c r="J25" s="639">
        <v>30</v>
      </c>
      <c r="K25" s="639">
        <v>9</v>
      </c>
      <c r="L25" s="650"/>
      <c r="M25" s="639">
        <f t="shared" si="1"/>
        <v>0</v>
      </c>
      <c r="N25" s="639" t="e">
        <v>#REF!</v>
      </c>
      <c r="O25" s="639">
        <v>0</v>
      </c>
      <c r="P25" s="639" t="e">
        <v>#REF!</v>
      </c>
      <c r="Q25" s="643"/>
      <c r="R25" s="639"/>
    </row>
    <row r="26" spans="3:23" ht="16.5">
      <c r="C26" s="651" t="s">
        <v>1381</v>
      </c>
      <c r="D26" s="870">
        <f>Indexador!J49+Indexador!P49</f>
        <v>1160062.9278567836</v>
      </c>
      <c r="E26" s="972">
        <f t="shared" ca="1" si="0"/>
        <v>5.4973603813678633E-3</v>
      </c>
      <c r="F26" s="646"/>
      <c r="G26" s="646"/>
      <c r="H26" s="646"/>
      <c r="I26" s="646"/>
      <c r="J26" s="646"/>
      <c r="K26" s="646"/>
      <c r="L26" s="639"/>
      <c r="M26" s="639" t="str">
        <f t="shared" si="1"/>
        <v>CVA</v>
      </c>
      <c r="N26" s="639" t="str">
        <f ca="1">IF(Tabela1[[#This Row],[Percentual]]=0,,Tabela1[[#This Row],[Nome do Financeiro]])</f>
        <v>Ajuste CUST + PISCONFINS Transmissão</v>
      </c>
      <c r="O26" s="639">
        <f>IF(ISNUMBER(Tabela1[[#This Row],[Valor]]),Tabela1[[#This Row],[Valor]],)</f>
        <v>1160062.9278567836</v>
      </c>
      <c r="P26" s="639">
        <f ca="1">IF(Tabela1[[#This Row],[Percentual]]=0,,Tabela1[[#This Row],[Percentual]])</f>
        <v>5.4973603813678633E-3</v>
      </c>
      <c r="Q26" s="643"/>
      <c r="R26" s="639"/>
      <c r="S26" s="142"/>
      <c r="V26" s="117"/>
    </row>
    <row r="27" spans="3:23" ht="16.5">
      <c r="C27" s="639" t="s">
        <v>1382</v>
      </c>
      <c r="D27" s="869">
        <f>(Indexador!H49)</f>
        <v>-36242.696487839901</v>
      </c>
      <c r="E27" s="973">
        <f t="shared" ca="1" si="0"/>
        <v>-1.7174858277238948E-4</v>
      </c>
      <c r="F27" s="639">
        <v>22</v>
      </c>
      <c r="G27" s="639">
        <v>60</v>
      </c>
      <c r="H27" s="639">
        <v>178</v>
      </c>
      <c r="I27" s="639">
        <v>1</v>
      </c>
      <c r="J27" s="639">
        <v>7</v>
      </c>
      <c r="K27" s="639">
        <v>9</v>
      </c>
      <c r="L27" s="639"/>
      <c r="M27" s="639" t="str">
        <f t="shared" si="1"/>
        <v>CVA</v>
      </c>
      <c r="N27" s="639" t="str">
        <f ca="1">IF(Tabela1[[#This Row],[Percentual]]=0,,Tabela1[[#This Row],[Nome do Financeiro]])</f>
        <v>Compensação DIC FIC</v>
      </c>
      <c r="O27" s="639">
        <f>IF(ISNUMBER(Tabela1[[#This Row],[Valor]]),Tabela1[[#This Row],[Valor]],)</f>
        <v>-36242.696487839901</v>
      </c>
      <c r="P27" s="639">
        <f ca="1">IF(Tabela1[[#This Row],[Percentual]]=0,,Tabela1[[#This Row],[Percentual]])</f>
        <v>-1.7174858277238948E-4</v>
      </c>
      <c r="Q27" s="639"/>
      <c r="R27" s="639"/>
    </row>
    <row r="28" spans="3:23" ht="16.5">
      <c r="C28" s="639" t="s">
        <v>1383</v>
      </c>
      <c r="D28" s="869">
        <f ca="1">-LnkTXTISubvencaoPB</f>
        <v>-17782212.48699066</v>
      </c>
      <c r="E28" s="973">
        <f ca="1">IF(ISERROR(D28/$D$4),0,D28/$D$4)</f>
        <v>-8.4267179022477823E-2</v>
      </c>
      <c r="F28" s="639">
        <v>22</v>
      </c>
      <c r="G28" s="639">
        <v>60</v>
      </c>
      <c r="H28" s="639">
        <v>999</v>
      </c>
      <c r="I28" s="639">
        <v>4</v>
      </c>
      <c r="J28" s="639">
        <v>999</v>
      </c>
      <c r="K28" s="639">
        <v>9</v>
      </c>
      <c r="L28" s="639"/>
      <c r="M28" s="639"/>
      <c r="N28" s="639"/>
      <c r="O28" s="639"/>
      <c r="P28" s="639"/>
      <c r="Q28" s="639"/>
      <c r="R28" s="639"/>
    </row>
    <row r="29" spans="3:23" ht="16.5">
      <c r="C29" s="478" t="s">
        <v>1384</v>
      </c>
      <c r="D29" s="869">
        <f>IFERROR(-ABS(Indexador!L49),0)</f>
        <v>0</v>
      </c>
      <c r="E29" s="973">
        <f t="shared" ca="1" si="0"/>
        <v>0</v>
      </c>
      <c r="F29" s="639">
        <v>22</v>
      </c>
      <c r="G29" s="639">
        <v>60</v>
      </c>
      <c r="H29" s="639">
        <v>999</v>
      </c>
      <c r="I29" s="639">
        <v>2</v>
      </c>
      <c r="J29" s="639">
        <v>30</v>
      </c>
      <c r="K29" s="639">
        <v>9</v>
      </c>
      <c r="L29" s="639"/>
      <c r="M29" s="639"/>
      <c r="N29" s="639"/>
      <c r="O29" s="639"/>
      <c r="P29" s="639"/>
      <c r="Q29" s="639"/>
      <c r="R29" s="639"/>
    </row>
    <row r="30" spans="3:23" ht="16.5">
      <c r="C30" s="478" t="s">
        <v>1385</v>
      </c>
      <c r="D30" s="869"/>
      <c r="E30" s="973">
        <f t="shared" ca="1" si="0"/>
        <v>0</v>
      </c>
      <c r="F30" s="639">
        <v>22</v>
      </c>
      <c r="G30" s="639">
        <v>60</v>
      </c>
      <c r="H30" s="639">
        <v>120</v>
      </c>
      <c r="I30" s="639">
        <v>4</v>
      </c>
      <c r="J30" s="639">
        <v>999</v>
      </c>
      <c r="K30" s="639">
        <v>9</v>
      </c>
      <c r="L30" s="639"/>
      <c r="M30" s="639"/>
      <c r="N30" s="639"/>
      <c r="O30" s="639"/>
      <c r="P30" s="639"/>
      <c r="Q30" s="639"/>
      <c r="R30" s="639"/>
    </row>
    <row r="31" spans="3:23" ht="16.5">
      <c r="C31" s="646" t="s">
        <v>1386</v>
      </c>
      <c r="D31" s="870">
        <f>ICMS!E12</f>
        <v>0</v>
      </c>
      <c r="E31" s="972">
        <f ca="1">IFERROR(Tabela1[[#This Row],[Valor]]/D4,0)</f>
        <v>0</v>
      </c>
      <c r="F31" s="646"/>
      <c r="G31" s="646"/>
      <c r="H31" s="646"/>
      <c r="I31" s="646"/>
      <c r="J31" s="646"/>
      <c r="K31" s="646"/>
      <c r="L31" s="639"/>
      <c r="M31" s="639"/>
      <c r="N31" s="639"/>
      <c r="O31" s="639"/>
      <c r="P31" s="639"/>
      <c r="Q31" s="639"/>
      <c r="R31" s="639"/>
      <c r="T31" s="93"/>
      <c r="U31" s="93"/>
      <c r="V31" s="93"/>
      <c r="W31" s="93"/>
    </row>
    <row r="32" spans="3:23" ht="16.5">
      <c r="C32" s="639" t="s">
        <v>1387</v>
      </c>
      <c r="D32" s="869">
        <f ca="1">ICMS!E13</f>
        <v>0</v>
      </c>
      <c r="E32" s="973">
        <f ca="1">IF(ISERROR(D32/$D$4),0,D32/$D$4)</f>
        <v>0</v>
      </c>
      <c r="F32" s="639">
        <v>22</v>
      </c>
      <c r="G32" s="639">
        <v>60</v>
      </c>
      <c r="H32" s="639">
        <v>999</v>
      </c>
      <c r="I32" s="639">
        <v>1</v>
      </c>
      <c r="J32" s="639">
        <v>7</v>
      </c>
      <c r="K32" s="639">
        <v>9</v>
      </c>
      <c r="L32" s="639"/>
      <c r="M32" s="639"/>
      <c r="N32" s="639"/>
      <c r="O32" s="639"/>
      <c r="P32" s="639"/>
      <c r="Q32" s="639"/>
      <c r="R32" s="734"/>
      <c r="T32" s="93"/>
      <c r="V32" s="93"/>
      <c r="W32" s="93"/>
    </row>
    <row r="33" spans="2:23" ht="16.5">
      <c r="C33" s="639" t="s">
        <v>1388</v>
      </c>
      <c r="D33" s="869">
        <f ca="1">ICMS!E14</f>
        <v>0</v>
      </c>
      <c r="E33" s="973">
        <f ca="1">IF(ISERROR(D33/$D$4),0,D33/$D$4)</f>
        <v>0</v>
      </c>
      <c r="F33" s="639">
        <v>22</v>
      </c>
      <c r="G33" s="639">
        <v>60</v>
      </c>
      <c r="H33" s="639">
        <v>999</v>
      </c>
      <c r="I33" s="639">
        <v>2</v>
      </c>
      <c r="J33" s="639">
        <v>30</v>
      </c>
      <c r="K33" s="639">
        <v>9</v>
      </c>
      <c r="L33" s="639"/>
      <c r="M33" s="639"/>
      <c r="N33" s="639"/>
      <c r="O33" s="639"/>
      <c r="P33" s="639"/>
      <c r="Q33" s="639"/>
      <c r="R33" s="639"/>
      <c r="T33" s="93"/>
      <c r="V33" s="93"/>
      <c r="W33" s="93"/>
    </row>
    <row r="34" spans="2:23" ht="16.5">
      <c r="C34" s="639" t="s">
        <v>1389</v>
      </c>
      <c r="D34" s="886"/>
      <c r="E34" s="973">
        <f t="shared" ref="E34:E49" ca="1" si="2">IF(ISERROR(D34/$D$4),0,D34/$D$4)</f>
        <v>0</v>
      </c>
      <c r="F34" s="639">
        <v>22</v>
      </c>
      <c r="G34" s="639">
        <v>60</v>
      </c>
      <c r="H34" s="639">
        <v>231</v>
      </c>
      <c r="I34" s="639">
        <v>3</v>
      </c>
      <c r="J34" s="639">
        <v>19</v>
      </c>
      <c r="K34" s="639">
        <v>9</v>
      </c>
      <c r="L34" s="639"/>
      <c r="M34" s="639"/>
      <c r="N34" s="639"/>
      <c r="O34" s="639"/>
      <c r="P34" s="639"/>
      <c r="Q34" s="795"/>
      <c r="R34" s="639"/>
    </row>
    <row r="35" spans="2:23" ht="16.5">
      <c r="C35" s="639" t="s">
        <v>1390</v>
      </c>
      <c r="D35" s="891">
        <f>-'Conta covid'!J17</f>
        <v>-6504386.7004942941</v>
      </c>
      <c r="E35" s="973">
        <f t="shared" ca="1" si="2"/>
        <v>-3.0823291473036168E-2</v>
      </c>
      <c r="F35" s="639">
        <v>22</v>
      </c>
      <c r="G35" s="639">
        <v>60</v>
      </c>
      <c r="H35" s="639">
        <v>235</v>
      </c>
      <c r="I35" s="639">
        <v>4</v>
      </c>
      <c r="J35" s="639">
        <v>999</v>
      </c>
      <c r="K35" s="639">
        <v>9</v>
      </c>
      <c r="L35" s="639"/>
      <c r="M35" s="639"/>
      <c r="N35" s="639"/>
      <c r="O35" s="639"/>
      <c r="P35" s="639"/>
      <c r="Q35" s="643"/>
      <c r="R35" s="639"/>
    </row>
    <row r="36" spans="2:23" ht="16.5">
      <c r="C36" s="639" t="s">
        <v>1391</v>
      </c>
      <c r="D36" s="1699">
        <f>Energia!K66</f>
        <v>6029479.2269557174</v>
      </c>
      <c r="E36" s="973">
        <f t="shared" ca="1" si="2"/>
        <v>2.8572777757655387E-2</v>
      </c>
      <c r="F36" s="639">
        <v>22</v>
      </c>
      <c r="G36" s="639">
        <v>60</v>
      </c>
      <c r="H36" s="639">
        <v>220</v>
      </c>
      <c r="I36" s="639">
        <v>2</v>
      </c>
      <c r="J36" s="639">
        <v>30</v>
      </c>
      <c r="K36" s="639">
        <v>9</v>
      </c>
      <c r="L36" s="639"/>
      <c r="M36" s="639"/>
      <c r="N36" s="639"/>
      <c r="O36" s="639"/>
      <c r="P36" s="639"/>
      <c r="Q36" s="639"/>
      <c r="R36" s="639"/>
      <c r="T36" s="292"/>
      <c r="U36" s="142"/>
      <c r="V36" s="142"/>
    </row>
    <row r="37" spans="2:23" ht="16.5">
      <c r="C37" s="652" t="s">
        <v>1392</v>
      </c>
      <c r="D37" s="653"/>
      <c r="E37" s="973">
        <f t="shared" ca="1" si="2"/>
        <v>0</v>
      </c>
      <c r="F37" s="652">
        <v>22</v>
      </c>
      <c r="G37" s="652">
        <v>60</v>
      </c>
      <c r="H37" s="652">
        <v>999</v>
      </c>
      <c r="I37" s="652">
        <v>2</v>
      </c>
      <c r="J37" s="652">
        <v>30</v>
      </c>
      <c r="K37" s="652">
        <v>9</v>
      </c>
      <c r="L37" s="639"/>
      <c r="M37" s="639"/>
      <c r="N37" s="639"/>
      <c r="O37" s="639"/>
      <c r="P37" s="639"/>
      <c r="Q37" s="639"/>
      <c r="R37" s="869"/>
    </row>
    <row r="38" spans="2:23" ht="16.5">
      <c r="C38" s="652" t="s">
        <v>1393</v>
      </c>
      <c r="D38" s="653">
        <f>'Financeiros Mitigação'!D12</f>
        <v>0</v>
      </c>
      <c r="E38" s="973">
        <f t="shared" ca="1" si="2"/>
        <v>0</v>
      </c>
      <c r="F38" s="652">
        <v>22</v>
      </c>
      <c r="G38" s="652">
        <v>60</v>
      </c>
      <c r="H38" s="652">
        <v>179</v>
      </c>
      <c r="I38" s="652">
        <v>99</v>
      </c>
      <c r="J38" s="652">
        <v>999</v>
      </c>
      <c r="K38" s="652">
        <v>3</v>
      </c>
      <c r="L38" s="639"/>
      <c r="M38" s="639"/>
      <c r="N38" s="639"/>
      <c r="O38" s="639"/>
      <c r="P38" s="639"/>
      <c r="Q38" s="639"/>
      <c r="R38" s="869"/>
      <c r="T38" s="292"/>
      <c r="U38" s="142"/>
    </row>
    <row r="39" spans="2:23" ht="16.5">
      <c r="C39" s="652" t="s">
        <v>1394</v>
      </c>
      <c r="D39" s="653"/>
      <c r="E39" s="973">
        <f t="shared" ca="1" si="2"/>
        <v>0</v>
      </c>
      <c r="F39" s="639">
        <v>22</v>
      </c>
      <c r="G39" s="639">
        <v>60</v>
      </c>
      <c r="H39" s="639">
        <v>999</v>
      </c>
      <c r="I39" s="639">
        <v>1</v>
      </c>
      <c r="J39" s="639">
        <v>7</v>
      </c>
      <c r="K39" s="639">
        <v>9</v>
      </c>
      <c r="L39" s="639"/>
      <c r="M39" s="639"/>
      <c r="N39" s="639"/>
      <c r="O39" s="639"/>
      <c r="P39" s="639"/>
      <c r="Q39" s="639"/>
      <c r="R39" s="639"/>
      <c r="U39" s="142"/>
    </row>
    <row r="40" spans="2:23" ht="16.5">
      <c r="C40" s="652" t="s">
        <v>1395</v>
      </c>
      <c r="D40" s="653"/>
      <c r="E40" s="973">
        <f t="shared" ca="1" si="2"/>
        <v>0</v>
      </c>
      <c r="F40" s="639">
        <v>22</v>
      </c>
      <c r="G40" s="639">
        <v>60</v>
      </c>
      <c r="H40" s="639">
        <v>999</v>
      </c>
      <c r="I40" s="639">
        <v>2</v>
      </c>
      <c r="J40" s="639">
        <v>30</v>
      </c>
      <c r="K40" s="639">
        <v>9</v>
      </c>
      <c r="L40" s="639"/>
      <c r="M40" s="639"/>
      <c r="N40" s="639"/>
      <c r="O40" s="639"/>
      <c r="P40" s="639"/>
      <c r="Q40" s="639"/>
      <c r="R40" s="639"/>
    </row>
    <row r="41" spans="2:23" ht="16.5">
      <c r="C41" s="652" t="s">
        <v>1396</v>
      </c>
      <c r="D41" s="653">
        <f>'Financeiros Mitigação'!G26</f>
        <v>0</v>
      </c>
      <c r="E41" s="973">
        <f t="shared" ca="1" si="2"/>
        <v>0</v>
      </c>
      <c r="F41" s="652">
        <v>22</v>
      </c>
      <c r="G41" s="652">
        <v>60</v>
      </c>
      <c r="H41" s="652">
        <v>999</v>
      </c>
      <c r="I41" s="652">
        <v>2</v>
      </c>
      <c r="J41" s="652">
        <v>30</v>
      </c>
      <c r="K41" s="652">
        <v>9</v>
      </c>
      <c r="L41" s="639"/>
      <c r="M41" s="639"/>
      <c r="N41" s="639"/>
      <c r="O41" s="639"/>
      <c r="P41" s="639"/>
      <c r="Q41" s="639"/>
      <c r="R41" s="639"/>
    </row>
    <row r="42" spans="2:23" ht="16.5">
      <c r="B42" s="68" t="s">
        <v>830</v>
      </c>
      <c r="C42" s="652" t="s">
        <v>2334</v>
      </c>
      <c r="D42" s="1661">
        <f>'Financeiros Mitigação'!D10</f>
        <v>-625769.9</v>
      </c>
      <c r="E42" s="973">
        <f t="shared" ca="1" si="2"/>
        <v>-2.965427627678856E-3</v>
      </c>
      <c r="F42" s="652">
        <v>22</v>
      </c>
      <c r="G42" s="652">
        <v>60</v>
      </c>
      <c r="H42" s="652">
        <v>235</v>
      </c>
      <c r="I42" s="652">
        <v>4</v>
      </c>
      <c r="J42" s="652">
        <v>999</v>
      </c>
      <c r="K42" s="652">
        <v>9</v>
      </c>
      <c r="L42" s="639"/>
      <c r="M42" s="639"/>
      <c r="N42" s="639"/>
      <c r="O42" s="639"/>
      <c r="P42" s="639"/>
      <c r="Q42" s="639"/>
      <c r="R42" s="639"/>
    </row>
    <row r="43" spans="2:23" ht="16.5">
      <c r="C43" s="652"/>
      <c r="D43" s="1661"/>
      <c r="E43" s="973">
        <f t="shared" ca="1" si="2"/>
        <v>0</v>
      </c>
      <c r="F43" s="652">
        <v>22</v>
      </c>
      <c r="G43" s="652">
        <v>60</v>
      </c>
      <c r="H43" s="652">
        <v>235</v>
      </c>
      <c r="I43" s="652">
        <v>4</v>
      </c>
      <c r="J43" s="652">
        <v>999</v>
      </c>
      <c r="K43" s="652">
        <v>9</v>
      </c>
      <c r="L43" s="639"/>
      <c r="M43" s="639"/>
      <c r="N43" s="639"/>
      <c r="O43" s="639"/>
      <c r="P43" s="639"/>
      <c r="Q43" s="639"/>
      <c r="R43" s="639"/>
    </row>
    <row r="44" spans="2:23" ht="16.5">
      <c r="C44" s="652" t="s">
        <v>2365</v>
      </c>
      <c r="D44" s="1661">
        <f>-(Indexador!H17+Indexador!I17)</f>
        <v>-41834.775229867715</v>
      </c>
      <c r="E44" s="973">
        <f t="shared" ca="1" si="2"/>
        <v>-1.9824858668399483E-4</v>
      </c>
      <c r="F44" s="652">
        <v>22</v>
      </c>
      <c r="G44" s="652">
        <v>60</v>
      </c>
      <c r="H44" s="652">
        <v>127</v>
      </c>
      <c r="I44" s="652">
        <v>1</v>
      </c>
      <c r="J44" s="652">
        <v>3</v>
      </c>
      <c r="K44" s="652">
        <v>9</v>
      </c>
      <c r="L44" s="639"/>
      <c r="M44" s="639"/>
      <c r="N44" s="639"/>
      <c r="O44" s="639"/>
      <c r="P44" s="639"/>
      <c r="Q44" s="639"/>
      <c r="R44" s="639"/>
    </row>
    <row r="45" spans="2:23" ht="16.5">
      <c r="C45" s="652"/>
      <c r="D45" s="653"/>
      <c r="E45" s="973">
        <f t="shared" ca="1" si="2"/>
        <v>0</v>
      </c>
      <c r="F45" s="652">
        <v>22</v>
      </c>
      <c r="G45" s="652">
        <v>60</v>
      </c>
      <c r="H45" s="652">
        <v>999</v>
      </c>
      <c r="I45" s="652">
        <v>99</v>
      </c>
      <c r="J45" s="652">
        <v>999</v>
      </c>
      <c r="K45" s="652">
        <v>9</v>
      </c>
      <c r="L45" s="639"/>
      <c r="M45" s="639"/>
      <c r="N45" s="639"/>
      <c r="O45" s="639"/>
      <c r="P45" s="639"/>
      <c r="Q45" s="639"/>
      <c r="R45" s="639"/>
    </row>
    <row r="46" spans="2:23" ht="16.5">
      <c r="C46" s="652"/>
      <c r="D46" s="653"/>
      <c r="E46" s="973">
        <f t="shared" ca="1" si="2"/>
        <v>0</v>
      </c>
      <c r="F46" s="652">
        <v>22</v>
      </c>
      <c r="G46" s="652">
        <v>60</v>
      </c>
      <c r="H46" s="652">
        <v>999</v>
      </c>
      <c r="I46" s="652">
        <v>99</v>
      </c>
      <c r="J46" s="652">
        <v>999</v>
      </c>
      <c r="K46" s="652">
        <v>9</v>
      </c>
      <c r="L46" s="639"/>
      <c r="M46" s="639"/>
      <c r="N46" s="639"/>
      <c r="O46" s="639"/>
      <c r="P46" s="639"/>
      <c r="Q46" s="639"/>
      <c r="R46" s="639"/>
    </row>
    <row r="47" spans="2:23" ht="16.5">
      <c r="C47" s="652"/>
      <c r="D47" s="654"/>
      <c r="E47" s="973">
        <f t="shared" ca="1" si="2"/>
        <v>0</v>
      </c>
      <c r="F47" s="652">
        <v>22</v>
      </c>
      <c r="G47" s="652">
        <v>60</v>
      </c>
      <c r="H47" s="652">
        <v>999</v>
      </c>
      <c r="I47" s="652">
        <v>99</v>
      </c>
      <c r="J47" s="652">
        <v>999</v>
      </c>
      <c r="K47" s="652">
        <v>9</v>
      </c>
      <c r="L47" s="639"/>
      <c r="M47" s="639"/>
      <c r="N47" s="639"/>
      <c r="O47" s="639"/>
      <c r="P47" s="639"/>
      <c r="Q47" s="639"/>
      <c r="R47" s="639"/>
    </row>
    <row r="48" spans="2:23" ht="16.5">
      <c r="C48" s="975" t="s">
        <v>2277</v>
      </c>
      <c r="D48" s="975">
        <f>CVE!$E$9</f>
        <v>0</v>
      </c>
      <c r="E48" s="973">
        <f t="shared" ca="1" si="2"/>
        <v>0</v>
      </c>
      <c r="F48" s="966">
        <v>22</v>
      </c>
      <c r="G48" s="966">
        <v>60</v>
      </c>
      <c r="H48" s="966">
        <v>241</v>
      </c>
      <c r="I48" s="966">
        <v>3</v>
      </c>
      <c r="J48" s="966">
        <v>13</v>
      </c>
      <c r="K48" s="966">
        <v>9</v>
      </c>
      <c r="L48" s="639"/>
      <c r="M48" s="639"/>
      <c r="N48" s="639"/>
      <c r="O48" s="639"/>
      <c r="P48" s="639"/>
      <c r="Q48" s="639"/>
      <c r="R48" s="639"/>
    </row>
    <row r="49" spans="3:12" ht="16.5">
      <c r="C49" s="975" t="s">
        <v>2278</v>
      </c>
      <c r="D49" s="975">
        <f>CVE!$E$10</f>
        <v>0</v>
      </c>
      <c r="E49" s="973">
        <f t="shared" ca="1" si="2"/>
        <v>0</v>
      </c>
      <c r="F49" s="966">
        <v>22</v>
      </c>
      <c r="G49" s="966">
        <v>60</v>
      </c>
      <c r="H49" s="966">
        <v>241</v>
      </c>
      <c r="I49" s="966">
        <v>3</v>
      </c>
      <c r="J49" s="966">
        <v>15</v>
      </c>
      <c r="K49" s="966">
        <v>9</v>
      </c>
      <c r="L49" s="639"/>
    </row>
    <row r="50" spans="3:12" ht="16.5">
      <c r="C50" s="975" t="s">
        <v>2279</v>
      </c>
      <c r="D50" s="975">
        <f>CVE!$E$11</f>
        <v>0</v>
      </c>
      <c r="E50" s="973">
        <f t="shared" ca="1" si="0"/>
        <v>0</v>
      </c>
      <c r="F50" s="966">
        <v>22</v>
      </c>
      <c r="G50" s="966">
        <v>60</v>
      </c>
      <c r="H50" s="966">
        <v>241</v>
      </c>
      <c r="I50" s="966">
        <v>3</v>
      </c>
      <c r="J50" s="966">
        <v>25</v>
      </c>
      <c r="K50" s="966">
        <v>9</v>
      </c>
      <c r="L50" s="639"/>
    </row>
    <row r="51" spans="3:12" ht="16.5">
      <c r="C51" s="975" t="s">
        <v>2280</v>
      </c>
      <c r="D51" s="975">
        <f>IFERROR(CVE!$E$12*Resultado!D25/SUM(Resultado!$D$25:$D$29),0)</f>
        <v>0</v>
      </c>
      <c r="E51" s="973">
        <f t="shared" ca="1" si="0"/>
        <v>0</v>
      </c>
      <c r="F51" s="966">
        <v>22</v>
      </c>
      <c r="G51" s="966">
        <v>60</v>
      </c>
      <c r="H51" s="966">
        <v>241</v>
      </c>
      <c r="I51" s="966">
        <v>1</v>
      </c>
      <c r="J51" s="966">
        <v>1</v>
      </c>
      <c r="K51" s="967">
        <v>9</v>
      </c>
      <c r="L51" s="639"/>
    </row>
    <row r="52" spans="3:12" ht="16.5">
      <c r="C52" s="975" t="s">
        <v>2281</v>
      </c>
      <c r="D52" s="975">
        <f>IFERROR(CVE!$E$12*Resultado!D26/SUM(Resultado!$D$25:$D$29),0)</f>
        <v>0</v>
      </c>
      <c r="E52" s="973">
        <f t="shared" ca="1" si="0"/>
        <v>0</v>
      </c>
      <c r="F52" s="966">
        <v>22</v>
      </c>
      <c r="G52" s="966">
        <v>60</v>
      </c>
      <c r="H52" s="966">
        <v>241</v>
      </c>
      <c r="I52" s="966">
        <v>1</v>
      </c>
      <c r="J52" s="966">
        <v>1</v>
      </c>
      <c r="K52" s="967">
        <v>9</v>
      </c>
      <c r="L52" s="639"/>
    </row>
    <row r="53" spans="3:12" ht="16.5">
      <c r="C53" s="975" t="s">
        <v>2282</v>
      </c>
      <c r="D53" s="975">
        <f>IFERROR(CVE!$E$12*Resultado!D28/SUM(Resultado!$D$25:$D$29),0)</f>
        <v>0</v>
      </c>
      <c r="E53" s="973">
        <f t="shared" ca="1" si="0"/>
        <v>0</v>
      </c>
      <c r="F53" s="966">
        <v>22</v>
      </c>
      <c r="G53" s="966">
        <v>60</v>
      </c>
      <c r="H53" s="966">
        <v>241</v>
      </c>
      <c r="I53" s="966">
        <v>1</v>
      </c>
      <c r="J53" s="966">
        <v>1</v>
      </c>
      <c r="K53" s="967">
        <v>9</v>
      </c>
      <c r="L53" s="639"/>
    </row>
    <row r="54" spans="3:12" ht="16.5">
      <c r="C54" s="975" t="s">
        <v>2283</v>
      </c>
      <c r="D54" s="975">
        <f>IFERROR(CVE!$E$12*Resultado!D27/SUM(Resultado!$D$25:$D$29),0)</f>
        <v>0</v>
      </c>
      <c r="E54" s="973">
        <f t="shared" ca="1" si="0"/>
        <v>0</v>
      </c>
      <c r="F54" s="966">
        <v>22</v>
      </c>
      <c r="G54" s="966">
        <v>60</v>
      </c>
      <c r="H54" s="966">
        <v>241</v>
      </c>
      <c r="I54" s="966">
        <v>1</v>
      </c>
      <c r="J54" s="966">
        <v>1</v>
      </c>
      <c r="K54" s="967">
        <v>9</v>
      </c>
      <c r="L54" s="639"/>
    </row>
    <row r="55" spans="3:12" ht="16.5">
      <c r="C55" s="975" t="s">
        <v>2284</v>
      </c>
      <c r="D55" s="975">
        <f>IFERROR(CVE!$E$12*Resultado!D29/SUM(Resultado!$D$25:$D$29),0)</f>
        <v>0</v>
      </c>
      <c r="E55" s="973">
        <f t="shared" ca="1" si="0"/>
        <v>0</v>
      </c>
      <c r="F55" s="966">
        <v>22</v>
      </c>
      <c r="G55" s="966">
        <v>60</v>
      </c>
      <c r="H55" s="966">
        <v>241</v>
      </c>
      <c r="I55" s="966">
        <v>1</v>
      </c>
      <c r="J55" s="966">
        <v>1</v>
      </c>
      <c r="K55" s="967">
        <v>9</v>
      </c>
      <c r="L55" s="639"/>
    </row>
    <row r="56" spans="3:12" ht="16.5">
      <c r="C56" s="975" t="s">
        <v>2285</v>
      </c>
      <c r="D56" s="975">
        <f>CVE!E15</f>
        <v>0</v>
      </c>
      <c r="E56" s="973">
        <f t="shared" ca="1" si="0"/>
        <v>0</v>
      </c>
      <c r="F56" s="966">
        <v>22</v>
      </c>
      <c r="G56" s="966">
        <v>60</v>
      </c>
      <c r="H56" s="966">
        <v>241</v>
      </c>
      <c r="I56" s="966">
        <v>1</v>
      </c>
      <c r="J56" s="966">
        <v>21</v>
      </c>
      <c r="K56" s="967">
        <v>9</v>
      </c>
      <c r="L56" s="639"/>
    </row>
    <row r="57" spans="3:12" ht="16.5">
      <c r="C57" s="975" t="s">
        <v>2286</v>
      </c>
      <c r="D57" s="975">
        <f ca="1">IFERROR(CVE!$D$13*Energia!C6/Energia!$C$5,0)</f>
        <v>-318463.24383891874</v>
      </c>
      <c r="E57" s="973">
        <f t="shared" ca="1" si="0"/>
        <v>-1.5091484932083787E-3</v>
      </c>
      <c r="F57" s="966">
        <v>22</v>
      </c>
      <c r="G57" s="966">
        <v>60</v>
      </c>
      <c r="H57" s="966">
        <v>241</v>
      </c>
      <c r="I57" s="966">
        <v>2</v>
      </c>
      <c r="J57" s="966">
        <v>11</v>
      </c>
      <c r="K57" s="967">
        <v>9</v>
      </c>
      <c r="L57" s="639"/>
    </row>
    <row r="58" spans="3:12" ht="16.5">
      <c r="C58" s="975" t="s">
        <v>2287</v>
      </c>
      <c r="D58" s="975">
        <f ca="1">IFERROR(CVE!$D$13*Energia!N16/Energia!$C$5,0)</f>
        <v>0</v>
      </c>
      <c r="E58" s="973">
        <f t="shared" ca="1" si="0"/>
        <v>0</v>
      </c>
      <c r="F58" s="966">
        <v>22</v>
      </c>
      <c r="G58" s="966">
        <v>60</v>
      </c>
      <c r="H58" s="966">
        <v>241</v>
      </c>
      <c r="I58" s="966">
        <v>2</v>
      </c>
      <c r="J58" s="966">
        <v>9</v>
      </c>
      <c r="K58" s="966">
        <v>9</v>
      </c>
      <c r="L58" s="639"/>
    </row>
    <row r="59" spans="3:12" ht="16.5">
      <c r="C59" s="975" t="s">
        <v>2288</v>
      </c>
      <c r="D59" s="975">
        <f ca="1">IFERROR(CVE!$D$13*Energia!N17/Energia!$C$5,0)</f>
        <v>-30002.938280480252</v>
      </c>
      <c r="E59" s="973">
        <f t="shared" ca="1" si="0"/>
        <v>-1.4217932516166036E-4</v>
      </c>
      <c r="F59" s="966">
        <v>22</v>
      </c>
      <c r="G59" s="966">
        <v>60</v>
      </c>
      <c r="H59" s="966">
        <v>241</v>
      </c>
      <c r="I59" s="966">
        <v>2</v>
      </c>
      <c r="J59" s="966">
        <v>8</v>
      </c>
      <c r="K59" s="966">
        <v>9</v>
      </c>
      <c r="L59" s="639"/>
    </row>
    <row r="60" spans="3:12" ht="16.5">
      <c r="C60" s="975" t="s">
        <v>2289</v>
      </c>
      <c r="D60" s="975">
        <f ca="1">IFERROR(CVE!$D$13*Energia!C11/Energia!$C$5,0)</f>
        <v>-1083.0173894497427</v>
      </c>
      <c r="E60" s="973">
        <f t="shared" ca="1" si="0"/>
        <v>-5.1322533856788221E-6</v>
      </c>
      <c r="F60" s="966">
        <v>22</v>
      </c>
      <c r="G60" s="966">
        <v>60</v>
      </c>
      <c r="H60" s="966">
        <v>241</v>
      </c>
      <c r="I60" s="966">
        <v>2</v>
      </c>
      <c r="J60" s="966">
        <v>10</v>
      </c>
      <c r="K60" s="966">
        <v>9</v>
      </c>
      <c r="L60" s="639"/>
    </row>
    <row r="61" spans="3:12" ht="16.5">
      <c r="C61" s="975" t="s">
        <v>2290</v>
      </c>
      <c r="D61" s="975">
        <f ca="1">IFERROR(CVE!$D$13*Energia!C12/Energia!$C$5,0)</f>
        <v>-11495.581791151219</v>
      </c>
      <c r="E61" s="973">
        <f t="shared" ca="1" si="0"/>
        <v>-5.4475799874237818E-5</v>
      </c>
      <c r="F61" s="966">
        <v>22</v>
      </c>
      <c r="G61" s="966">
        <v>60</v>
      </c>
      <c r="H61" s="966">
        <v>241</v>
      </c>
      <c r="I61" s="966">
        <v>2</v>
      </c>
      <c r="J61" s="966">
        <v>24</v>
      </c>
      <c r="K61" s="966">
        <v>9</v>
      </c>
      <c r="L61" s="639"/>
    </row>
    <row r="62" spans="3:12" ht="16.5">
      <c r="C62" s="975" t="s">
        <v>2291</v>
      </c>
      <c r="D62" s="975">
        <f ca="1">IFERROR(CVE!$E$13*Energia!C11/Energia!$C$5,0)</f>
        <v>0</v>
      </c>
      <c r="E62" s="973">
        <f t="shared" ca="1" si="0"/>
        <v>0</v>
      </c>
      <c r="F62" s="966">
        <v>22</v>
      </c>
      <c r="G62" s="966">
        <v>60</v>
      </c>
      <c r="H62" s="966">
        <v>241</v>
      </c>
      <c r="I62" s="966">
        <v>3</v>
      </c>
      <c r="J62" s="966">
        <v>18</v>
      </c>
      <c r="K62" s="966">
        <v>9</v>
      </c>
      <c r="L62" s="639"/>
    </row>
    <row r="63" spans="3:12" ht="16.5">
      <c r="C63" s="975" t="s">
        <v>2292</v>
      </c>
      <c r="D63" s="975">
        <f>CVE!E14</f>
        <v>0</v>
      </c>
      <c r="E63" s="973">
        <f t="shared" ca="1" si="0"/>
        <v>0</v>
      </c>
      <c r="F63" s="966">
        <v>22</v>
      </c>
      <c r="G63" s="966">
        <v>60</v>
      </c>
      <c r="H63" s="966">
        <v>241</v>
      </c>
      <c r="I63" s="966">
        <v>3</v>
      </c>
      <c r="J63" s="966">
        <v>16</v>
      </c>
      <c r="K63" s="967">
        <v>9</v>
      </c>
      <c r="L63" s="639"/>
    </row>
    <row r="64" spans="3:12" ht="16.5">
      <c r="C64" s="975" t="s">
        <v>2293</v>
      </c>
      <c r="D64" s="975">
        <f>CVE!D17</f>
        <v>2907185.43</v>
      </c>
      <c r="E64" s="973">
        <f t="shared" ca="1" si="0"/>
        <v>1.3776706091020732E-2</v>
      </c>
      <c r="F64" s="966">
        <v>22</v>
      </c>
      <c r="G64" s="966">
        <v>60</v>
      </c>
      <c r="H64" s="966">
        <v>241</v>
      </c>
      <c r="I64" s="966">
        <v>3</v>
      </c>
      <c r="J64" s="966">
        <v>17</v>
      </c>
      <c r="K64" s="967">
        <v>9</v>
      </c>
      <c r="L64" s="639"/>
    </row>
    <row r="65" spans="3:12" ht="16.5">
      <c r="C65" s="1617" t="s">
        <v>2265</v>
      </c>
      <c r="D65" s="1617">
        <f ca="1">IFERROR('Financeiros Mitigação'!$D$5*Energia!C6/Energia!$C$5,0)</f>
        <v>0</v>
      </c>
      <c r="E65" s="973">
        <f t="shared" ca="1" si="0"/>
        <v>0</v>
      </c>
      <c r="F65" s="966">
        <v>22</v>
      </c>
      <c r="G65" s="966">
        <v>60</v>
      </c>
      <c r="H65" s="966">
        <v>240</v>
      </c>
      <c r="I65" s="966">
        <v>2</v>
      </c>
      <c r="J65" s="966">
        <v>11</v>
      </c>
      <c r="K65" s="967">
        <v>9</v>
      </c>
      <c r="L65" s="639"/>
    </row>
    <row r="66" spans="3:12" ht="16.5">
      <c r="C66" s="1617" t="s">
        <v>2266</v>
      </c>
      <c r="D66" s="1617">
        <f ca="1">IFERROR('Financeiros Mitigação'!$D$5*Energia!N16/Energia!$C$5,0)</f>
        <v>0</v>
      </c>
      <c r="E66" s="973">
        <f t="shared" ca="1" si="0"/>
        <v>0</v>
      </c>
      <c r="F66" s="966">
        <v>22</v>
      </c>
      <c r="G66" s="966">
        <v>60</v>
      </c>
      <c r="H66" s="966">
        <v>240</v>
      </c>
      <c r="I66" s="966">
        <v>2</v>
      </c>
      <c r="J66" s="966">
        <v>9</v>
      </c>
      <c r="K66" s="967">
        <v>9</v>
      </c>
      <c r="L66" s="639"/>
    </row>
    <row r="67" spans="3:12" ht="16.5">
      <c r="C67" s="1617" t="s">
        <v>2267</v>
      </c>
      <c r="D67" s="1617">
        <f ca="1">IFERROR('Financeiros Mitigação'!$D$5*Energia!N17/Energia!$C$5,0)</f>
        <v>0</v>
      </c>
      <c r="E67" s="973">
        <f t="shared" ca="1" si="0"/>
        <v>0</v>
      </c>
      <c r="F67" s="966">
        <v>22</v>
      </c>
      <c r="G67" s="966">
        <v>60</v>
      </c>
      <c r="H67" s="966">
        <v>240</v>
      </c>
      <c r="I67" s="966">
        <v>2</v>
      </c>
      <c r="J67" s="966">
        <v>8</v>
      </c>
      <c r="K67" s="967">
        <v>9</v>
      </c>
      <c r="L67" s="639"/>
    </row>
    <row r="68" spans="3:12" ht="16.5">
      <c r="C68" s="1617" t="s">
        <v>2268</v>
      </c>
      <c r="D68" s="1617">
        <f ca="1">IFERROR('Financeiros Mitigação'!$D$5*Energia!C11/Energia!$C$5,0)</f>
        <v>0</v>
      </c>
      <c r="E68" s="973">
        <f t="shared" ca="1" si="0"/>
        <v>0</v>
      </c>
      <c r="F68" s="966">
        <v>22</v>
      </c>
      <c r="G68" s="966">
        <v>60</v>
      </c>
      <c r="H68" s="966">
        <v>240</v>
      </c>
      <c r="I68" s="966">
        <v>2</v>
      </c>
      <c r="J68" s="966">
        <v>10</v>
      </c>
      <c r="K68" s="967">
        <v>9</v>
      </c>
      <c r="L68" s="639"/>
    </row>
    <row r="69" spans="3:12" ht="16.5">
      <c r="C69" s="1617" t="s">
        <v>2269</v>
      </c>
      <c r="D69" s="1617">
        <f ca="1">IFERROR('Financeiros Mitigação'!$D$5*Energia!C12/Energia!$C$5,0)</f>
        <v>0</v>
      </c>
      <c r="E69" s="973">
        <f t="shared" ca="1" si="0"/>
        <v>0</v>
      </c>
      <c r="F69" s="966">
        <v>22</v>
      </c>
      <c r="G69" s="966">
        <v>60</v>
      </c>
      <c r="H69" s="966">
        <v>240</v>
      </c>
      <c r="I69" s="966">
        <v>2</v>
      </c>
      <c r="J69" s="966">
        <v>24</v>
      </c>
      <c r="K69" s="967">
        <v>9</v>
      </c>
      <c r="L69" s="639"/>
    </row>
    <row r="70" spans="3:12" ht="16.5">
      <c r="C70" s="1617" t="s">
        <v>2270</v>
      </c>
      <c r="D70" s="1617">
        <f>'Financeiros Mitigação'!D6</f>
        <v>-2357071.1438916875</v>
      </c>
      <c r="E70" s="973">
        <f t="shared" ca="1" si="0"/>
        <v>-1.116979881982341E-2</v>
      </c>
      <c r="F70" s="966">
        <v>22</v>
      </c>
      <c r="G70" s="966">
        <v>60</v>
      </c>
      <c r="H70" s="966">
        <v>240</v>
      </c>
      <c r="I70" s="966">
        <v>3</v>
      </c>
      <c r="J70" s="966">
        <v>17</v>
      </c>
      <c r="K70" s="967">
        <v>9</v>
      </c>
      <c r="L70" s="639"/>
    </row>
    <row r="71" spans="3:12" ht="16.5">
      <c r="C71" s="1617" t="s">
        <v>2271</v>
      </c>
      <c r="D71" s="1617">
        <f ca="1">IFERROR('Financeiros Mitigação'!$D$7*Energia!C6/Energia!$C$5,0)</f>
        <v>0</v>
      </c>
      <c r="E71" s="973">
        <f t="shared" ca="1" si="0"/>
        <v>0</v>
      </c>
      <c r="F71" s="966">
        <v>22</v>
      </c>
      <c r="G71" s="966">
        <v>60</v>
      </c>
      <c r="H71" s="966">
        <v>240</v>
      </c>
      <c r="I71" s="966">
        <v>2</v>
      </c>
      <c r="J71" s="966">
        <v>11</v>
      </c>
      <c r="K71" s="967">
        <v>9</v>
      </c>
      <c r="L71" s="639"/>
    </row>
    <row r="72" spans="3:12" ht="16.5">
      <c r="C72" s="1617" t="s">
        <v>2272</v>
      </c>
      <c r="D72" s="1617">
        <f ca="1">IFERROR('Financeiros Mitigação'!$D$7*Energia!N16/Energia!$C$5,0)</f>
        <v>0</v>
      </c>
      <c r="E72" s="973">
        <f t="shared" ca="1" si="0"/>
        <v>0</v>
      </c>
      <c r="F72" s="966">
        <v>22</v>
      </c>
      <c r="G72" s="966">
        <v>60</v>
      </c>
      <c r="H72" s="966">
        <v>240</v>
      </c>
      <c r="I72" s="966">
        <v>2</v>
      </c>
      <c r="J72" s="966">
        <v>9</v>
      </c>
      <c r="K72" s="967">
        <v>9</v>
      </c>
      <c r="L72" s="639"/>
    </row>
    <row r="73" spans="3:12" ht="16.5">
      <c r="C73" s="1617" t="s">
        <v>2273</v>
      </c>
      <c r="D73" s="1617">
        <f ca="1">IFERROR('Financeiros Mitigação'!$D$7*Energia!N17/Energia!$C$5,0)</f>
        <v>0</v>
      </c>
      <c r="E73" s="973">
        <f t="shared" ca="1" si="0"/>
        <v>0</v>
      </c>
      <c r="F73" s="966">
        <v>22</v>
      </c>
      <c r="G73" s="966">
        <v>60</v>
      </c>
      <c r="H73" s="966">
        <v>240</v>
      </c>
      <c r="I73" s="966">
        <v>2</v>
      </c>
      <c r="J73" s="966">
        <v>8</v>
      </c>
      <c r="K73" s="967">
        <v>9</v>
      </c>
      <c r="L73" s="639"/>
    </row>
    <row r="74" spans="3:12" ht="16.5">
      <c r="C74" s="1617" t="s">
        <v>2274</v>
      </c>
      <c r="D74" s="1617">
        <f ca="1">IFERROR('Financeiros Mitigação'!$D$7*Energia!C11/Energia!$C$5,0)</f>
        <v>0</v>
      </c>
      <c r="E74" s="973">
        <f t="shared" ca="1" si="0"/>
        <v>0</v>
      </c>
      <c r="F74" s="966">
        <v>22</v>
      </c>
      <c r="G74" s="966">
        <v>60</v>
      </c>
      <c r="H74" s="966">
        <v>240</v>
      </c>
      <c r="I74" s="966">
        <v>2</v>
      </c>
      <c r="J74" s="966">
        <v>10</v>
      </c>
      <c r="K74" s="967">
        <v>9</v>
      </c>
      <c r="L74" s="639"/>
    </row>
    <row r="75" spans="3:12" ht="16.5">
      <c r="C75" s="1617" t="s">
        <v>2275</v>
      </c>
      <c r="D75" s="1617">
        <f ca="1">IFERROR('Financeiros Mitigação'!$D$7*Energia!C12/Energia!$C$5,0)</f>
        <v>0</v>
      </c>
      <c r="E75" s="973">
        <f t="shared" ca="1" si="0"/>
        <v>0</v>
      </c>
      <c r="F75" s="966">
        <v>22</v>
      </c>
      <c r="G75" s="966">
        <v>60</v>
      </c>
      <c r="H75" s="966">
        <v>240</v>
      </c>
      <c r="I75" s="966">
        <v>2</v>
      </c>
      <c r="J75" s="966">
        <v>24</v>
      </c>
      <c r="K75" s="967">
        <v>9</v>
      </c>
      <c r="L75" s="639"/>
    </row>
    <row r="76" spans="3:12" ht="16.5">
      <c r="C76" s="1617" t="s">
        <v>2380</v>
      </c>
      <c r="D76" s="1617">
        <f ca="1">CVE!$I$9*LnkTXTEV/LnkTXTER</f>
        <v>-55096.796922042129</v>
      </c>
      <c r="E76" s="973">
        <f t="shared" ca="1" si="0"/>
        <v>-2.6109527445988546E-4</v>
      </c>
      <c r="F76" s="966">
        <v>22</v>
      </c>
      <c r="G76" s="966">
        <v>60</v>
      </c>
      <c r="H76" s="966">
        <v>106</v>
      </c>
      <c r="I76" s="966">
        <v>2</v>
      </c>
      <c r="J76" s="966">
        <v>11</v>
      </c>
      <c r="K76" s="967">
        <v>9</v>
      </c>
      <c r="L76" s="639"/>
    </row>
    <row r="77" spans="3:12" ht="16.5">
      <c r="C77" s="1617" t="s">
        <v>2381</v>
      </c>
      <c r="D77" s="1617">
        <f ca="1">CVE!$I$9*Energia!N16/LnkTXTER</f>
        <v>0</v>
      </c>
      <c r="E77" s="973">
        <f t="shared" ref="E77:E80" ca="1" si="3">IF(ISERROR(D77/$D$4),0,D77/$D$4)</f>
        <v>0</v>
      </c>
      <c r="F77" s="966">
        <v>22</v>
      </c>
      <c r="G77" s="966">
        <v>60</v>
      </c>
      <c r="H77" s="966">
        <v>106</v>
      </c>
      <c r="I77" s="966">
        <v>2</v>
      </c>
      <c r="J77" s="966">
        <v>9</v>
      </c>
      <c r="K77" s="967">
        <v>9</v>
      </c>
      <c r="L77" s="639"/>
    </row>
    <row r="78" spans="3:12" ht="16.5">
      <c r="C78" s="1617" t="s">
        <v>2382</v>
      </c>
      <c r="D78" s="1617">
        <f ca="1">CVE!$I$9*Energia!N17/LnkTXTER</f>
        <v>-5190.7585238952042</v>
      </c>
      <c r="E78" s="973">
        <f t="shared" ca="1" si="3"/>
        <v>-2.4598208918914694E-5</v>
      </c>
      <c r="F78" s="966">
        <v>22</v>
      </c>
      <c r="G78" s="966">
        <v>60</v>
      </c>
      <c r="H78" s="966">
        <v>106</v>
      </c>
      <c r="I78" s="966">
        <v>2</v>
      </c>
      <c r="J78" s="966">
        <v>8</v>
      </c>
      <c r="K78" s="967">
        <v>9</v>
      </c>
      <c r="L78" s="639"/>
    </row>
    <row r="79" spans="3:12" ht="16.5">
      <c r="C79" s="1617" t="s">
        <v>2383</v>
      </c>
      <c r="D79" s="1617">
        <f ca="1">CVE!$I$9*Energia!N18/LnkTXTER</f>
        <v>-187.37103990479557</v>
      </c>
      <c r="E79" s="973">
        <f t="shared" ca="1" si="3"/>
        <v>-8.8792263475855607E-7</v>
      </c>
      <c r="F79" s="966">
        <v>22</v>
      </c>
      <c r="G79" s="966">
        <v>60</v>
      </c>
      <c r="H79" s="966">
        <v>106</v>
      </c>
      <c r="I79" s="966">
        <v>2</v>
      </c>
      <c r="J79" s="966">
        <v>10</v>
      </c>
      <c r="K79" s="967">
        <v>9</v>
      </c>
      <c r="L79" s="639"/>
    </row>
    <row r="80" spans="3:12" ht="16.5">
      <c r="C80" s="1617" t="s">
        <v>2384</v>
      </c>
      <c r="D80" s="1617">
        <f ca="1">CVE!$I$9*Energia!N19/LnkTXTER</f>
        <v>-1988.8315141578707</v>
      </c>
      <c r="E80" s="973">
        <f t="shared" ca="1" si="3"/>
        <v>-9.424767664411666E-6</v>
      </c>
      <c r="F80" s="967">
        <v>22</v>
      </c>
      <c r="G80" s="967">
        <v>60</v>
      </c>
      <c r="H80" s="967">
        <v>106</v>
      </c>
      <c r="I80" s="967">
        <v>2</v>
      </c>
      <c r="J80" s="967">
        <v>24</v>
      </c>
      <c r="K80" s="967">
        <v>9</v>
      </c>
      <c r="L80" s="639"/>
    </row>
    <row r="81" spans="3:12" ht="16.5">
      <c r="C81" s="1617"/>
      <c r="D81" s="1617"/>
      <c r="E81" s="973"/>
      <c r="F81" s="967"/>
      <c r="G81" s="967"/>
      <c r="H81" s="967"/>
      <c r="I81" s="967"/>
      <c r="J81" s="967"/>
      <c r="K81" s="967"/>
      <c r="L81" s="639"/>
    </row>
    <row r="82" spans="3:12" ht="16.5">
      <c r="C82" s="975" t="s">
        <v>1398</v>
      </c>
      <c r="D82" s="975">
        <f>IFERROR(CVE!$I$15,0)</f>
        <v>-4361333.6717375368</v>
      </c>
      <c r="E82" s="1409">
        <f ca="1">IF(ISERROR(D82/$D$4),0,D82/$D$4)</f>
        <v>-2.0667691692579905E-2</v>
      </c>
      <c r="F82" s="1410">
        <v>22</v>
      </c>
      <c r="G82" s="1410">
        <v>62</v>
      </c>
      <c r="H82" s="1410">
        <v>220</v>
      </c>
      <c r="I82" s="1410">
        <v>2</v>
      </c>
      <c r="J82" s="1410">
        <v>30</v>
      </c>
      <c r="K82" s="1410">
        <v>9</v>
      </c>
      <c r="L82" s="639"/>
    </row>
    <row r="83" spans="3:12" ht="16.5">
      <c r="C83" s="976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29 D26:D27 E32:E35 D35:D36 D12:D18 E30 E21 E22" calculatedColumn="1"/>
  </ignoredErrors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D7" sqref="D7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2" t="s">
        <v>2187</v>
      </c>
    </row>
    <row r="4" spans="1:5">
      <c r="B4" t="s">
        <v>2188</v>
      </c>
    </row>
    <row r="7" spans="1:5">
      <c r="A7" s="754"/>
      <c r="B7" s="754" t="s">
        <v>2182</v>
      </c>
    </row>
    <row r="8" spans="1:5">
      <c r="A8" s="754" t="s">
        <v>1032</v>
      </c>
      <c r="B8" s="1567"/>
    </row>
    <row r="9" spans="1:5">
      <c r="A9" s="754" t="s">
        <v>1051</v>
      </c>
      <c r="B9" s="1567"/>
    </row>
    <row r="11" spans="1:5" ht="47.25">
      <c r="A11" s="1569"/>
      <c r="B11" s="1570" t="s">
        <v>2189</v>
      </c>
      <c r="C11" s="1571" t="s">
        <v>2183</v>
      </c>
      <c r="D11" s="1571" t="s">
        <v>2184</v>
      </c>
      <c r="E11" s="1571" t="s">
        <v>846</v>
      </c>
    </row>
    <row r="12" spans="1:5">
      <c r="A12" s="889" t="s">
        <v>846</v>
      </c>
      <c r="B12" s="1568">
        <f>B13+B14</f>
        <v>0</v>
      </c>
      <c r="C12" s="1568">
        <f>Indexador!R49</f>
        <v>0</v>
      </c>
      <c r="D12" s="1568">
        <f>C12*85%</f>
        <v>0</v>
      </c>
      <c r="E12" s="1568">
        <f>SUM(B12:D12)</f>
        <v>0</v>
      </c>
    </row>
    <row r="13" spans="1:5">
      <c r="A13" s="754" t="s">
        <v>1032</v>
      </c>
      <c r="B13" s="1568">
        <f>Indexador!V49</f>
        <v>0</v>
      </c>
      <c r="C13" s="1568">
        <f ca="1">IFERROR($C$12*(Resultado!D32/(Resultado!$D$32+Resultado!$D$33)),0)</f>
        <v>0</v>
      </c>
      <c r="D13" s="1568">
        <f t="shared" ref="D13:D14" ca="1" si="0">C13*85%</f>
        <v>0</v>
      </c>
      <c r="E13" s="1568">
        <f t="shared" ref="E13:E14" ca="1" si="1">SUM(B13:D13)</f>
        <v>0</v>
      </c>
    </row>
    <row r="14" spans="1:5">
      <c r="A14" s="754" t="s">
        <v>1051</v>
      </c>
      <c r="B14" s="1568">
        <f>Indexador!T49</f>
        <v>0</v>
      </c>
      <c r="C14" s="1568">
        <f ca="1">IFERROR($C$12*(Resultado!D33/(Resultado!$D$32+Resultado!$D$33)),0)</f>
        <v>0</v>
      </c>
      <c r="D14" s="1568">
        <f t="shared" ca="1" si="0"/>
        <v>0</v>
      </c>
      <c r="E14" s="1568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9">
    <tabColor rgb="FFFFFF00"/>
  </sheetPr>
  <dimension ref="A1:O101"/>
  <sheetViews>
    <sheetView topLeftCell="B1" workbookViewId="0">
      <selection activeCell="E13" sqref="E13"/>
    </sheetView>
  </sheetViews>
  <sheetFormatPr defaultRowHeight="15.75"/>
  <cols>
    <col min="1" max="1" width="0" hidden="1" customWidth="1"/>
    <col min="2" max="2" width="51.710937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42" t="s">
        <v>2307</v>
      </c>
    </row>
    <row r="4" spans="1:15">
      <c r="B4" s="1634" t="s">
        <v>2295</v>
      </c>
      <c r="C4" s="1636" t="s">
        <v>2296</v>
      </c>
      <c r="D4" s="1635" t="s">
        <v>2297</v>
      </c>
      <c r="E4" s="1640"/>
      <c r="F4" s="1640"/>
      <c r="G4" s="1640"/>
      <c r="N4" t="s">
        <v>34</v>
      </c>
      <c r="O4" t="s">
        <v>2298</v>
      </c>
    </row>
    <row r="5" spans="1:15">
      <c r="A5" s="834" t="s">
        <v>2221</v>
      </c>
      <c r="B5" s="902" t="s">
        <v>2305</v>
      </c>
      <c r="C5" s="1643">
        <f>VLOOKUP(A5,Escassez[#All],2,FALSE)</f>
        <v>0</v>
      </c>
      <c r="D5" s="907">
        <f>C5/$C$8*$O$87</f>
        <v>0</v>
      </c>
      <c r="E5" s="1641"/>
      <c r="F5" s="1639"/>
      <c r="G5" s="1630"/>
      <c r="N5" s="8">
        <v>44690</v>
      </c>
      <c r="O5" s="234">
        <f>C8</f>
        <v>-2292080.11</v>
      </c>
    </row>
    <row r="6" spans="1:15">
      <c r="A6" s="1618" t="s">
        <v>2222</v>
      </c>
      <c r="B6" s="902" t="s">
        <v>2306</v>
      </c>
      <c r="C6" s="1643">
        <f>VLOOKUP(A6,Escassez[#All],2,FALSE)</f>
        <v>-2292080.11</v>
      </c>
      <c r="D6" s="907">
        <f>C6/$C$8*$O$87</f>
        <v>-2357071.1438916875</v>
      </c>
      <c r="E6" s="1628"/>
      <c r="F6" s="1639">
        <f>C6*IFERROR(VLOOKUP(CAPA!$C$14,Índices!$K$6:$N$3000,4,FALSE)/(VLOOKUP(E25,Índices!$K$6:$N$3000,4,FALSE)),0)</f>
        <v>0</v>
      </c>
      <c r="G6" s="1630"/>
      <c r="N6" s="8">
        <f>N5+1</f>
        <v>44691</v>
      </c>
      <c r="O6" s="234">
        <f>O5*VLOOKUP(N6,[21]Índices!$K$6:$N$3249,4,FALSE)/VLOOKUP(N5,[21]Índices!$K$6:$N$3249,4,FALSE)</f>
        <v>-2293163.7825552067</v>
      </c>
    </row>
    <row r="7" spans="1:15">
      <c r="A7" s="1618" t="s">
        <v>2223</v>
      </c>
      <c r="B7" s="902" t="s">
        <v>111</v>
      </c>
      <c r="C7" s="1643">
        <f>VLOOKUP(A7,Escassez[#All],2,FALSE)</f>
        <v>0</v>
      </c>
      <c r="D7" s="907">
        <f>C7/$C$8*$O$87</f>
        <v>0</v>
      </c>
      <c r="E7" s="1628"/>
      <c r="F7" s="1639"/>
      <c r="G7" s="1630"/>
      <c r="N7" s="8">
        <f t="shared" ref="N7:N70" si="0">N6+1</f>
        <v>44692</v>
      </c>
      <c r="O7" s="234">
        <f>O6*VLOOKUP(N7,[21]Índices!$K$6:$N$3249,4,FALSE)/VLOOKUP(N6,[21]Índices!$K$6:$N$3249,4,FALSE)</f>
        <v>-2294247.9674599608</v>
      </c>
    </row>
    <row r="8" spans="1:15">
      <c r="B8" s="1637"/>
      <c r="C8" s="1644">
        <f>SUM(C5:C7)</f>
        <v>-2292080.11</v>
      </c>
      <c r="D8" s="1666">
        <f>SUM(D5:D7)</f>
        <v>-2357071.1438916875</v>
      </c>
      <c r="E8" s="1628"/>
      <c r="F8" s="1631"/>
      <c r="G8" s="1631"/>
      <c r="N8" s="8">
        <f t="shared" si="0"/>
        <v>44693</v>
      </c>
      <c r="O8" s="234">
        <f>O7*VLOOKUP(N8,[21]Índices!$K$6:$N$3249,4,FALSE)/VLOOKUP(N7,[21]Índices!$K$6:$N$3249,4,FALSE)</f>
        <v>-2295332.6649564956</v>
      </c>
    </row>
    <row r="9" spans="1:15">
      <c r="E9" s="1628"/>
      <c r="N9" s="8">
        <f t="shared" si="0"/>
        <v>44694</v>
      </c>
      <c r="O9" s="234">
        <f>O8*VLOOKUP(N9,[21]Índices!$K$6:$N$3249,4,FALSE)/VLOOKUP(N8,[21]Índices!$K$6:$N$3249,4,FALSE)</f>
        <v>-2296417.8752871603</v>
      </c>
    </row>
    <row r="10" spans="1:15" ht="16.5" thickBot="1">
      <c r="B10" s="1664" t="s">
        <v>2334</v>
      </c>
      <c r="C10" s="1638"/>
      <c r="D10" s="1665">
        <v>-625769.9</v>
      </c>
      <c r="E10" s="1628"/>
      <c r="L10" s="8">
        <f>N9+1</f>
        <v>44695</v>
      </c>
      <c r="M10" s="234"/>
      <c r="N10" s="8">
        <f t="shared" si="0"/>
        <v>44695</v>
      </c>
      <c r="O10" s="234">
        <f>O9*VLOOKUP(N10,[21]Índices!$K$6:$N$3249,4,FALSE)/VLOOKUP(N9,[21]Índices!$K$6:$N$3249,4,FALSE)</f>
        <v>-2296417.8752871603</v>
      </c>
    </row>
    <row r="11" spans="1:15">
      <c r="E11" s="1628"/>
      <c r="N11" s="8">
        <f>L10+1</f>
        <v>44696</v>
      </c>
      <c r="O11" s="234">
        <f>O10*VLOOKUP(N11,[21]Índices!$K$6:$N$3249,4,FALSE)/VLOOKUP(N10,[21]Índices!$K$6:$N$3249,4,FALSE)</f>
        <v>-2296417.8752871603</v>
      </c>
    </row>
    <row r="12" spans="1:15" ht="16.5" thickBot="1">
      <c r="B12" s="1664" t="s">
        <v>2338</v>
      </c>
      <c r="C12" s="1638"/>
      <c r="D12" s="1665">
        <f>-PIS_COFINS!R4</f>
        <v>0</v>
      </c>
      <c r="E12" s="1628"/>
      <c r="F12" s="1628"/>
      <c r="G12" s="1628"/>
      <c r="H12" s="1628"/>
      <c r="I12" s="1628"/>
      <c r="J12" s="1628"/>
      <c r="K12" s="1628"/>
      <c r="L12" s="1628"/>
      <c r="N12" s="8">
        <f t="shared" si="0"/>
        <v>44697</v>
      </c>
      <c r="O12" s="234">
        <f>O11*VLOOKUP(N12,[21]Índices!$K$6:$N$3249,4,FALSE)/VLOOKUP(N11,[21]Índices!$K$6:$N$3249,4,FALSE)</f>
        <v>-2297503.5986944172</v>
      </c>
    </row>
    <row r="13" spans="1:15">
      <c r="B13" s="1645"/>
      <c r="C13" s="1629"/>
      <c r="D13" s="1629"/>
      <c r="E13" s="1629"/>
      <c r="F13" s="1629"/>
      <c r="G13" s="1629"/>
      <c r="H13" s="1629"/>
      <c r="I13" s="1629"/>
      <c r="J13" s="1629"/>
      <c r="K13" s="1629"/>
      <c r="L13" s="1629"/>
      <c r="N13" s="8">
        <f t="shared" si="0"/>
        <v>44698</v>
      </c>
      <c r="O13" s="234">
        <f>O12*VLOOKUP(N13,[21]Índices!$K$6:$N$3249,4,FALSE)/VLOOKUP(N12,[21]Índices!$K$6:$N$3249,4,FALSE)</f>
        <v>-2298589.8354208437</v>
      </c>
    </row>
    <row r="14" spans="1:15">
      <c r="B14" s="1646"/>
      <c r="C14" s="1647"/>
      <c r="D14" s="1647"/>
      <c r="E14" s="1648"/>
      <c r="F14" s="1649"/>
      <c r="G14" s="1630"/>
      <c r="H14" s="1630"/>
      <c r="I14" s="1630"/>
      <c r="J14" s="1630"/>
      <c r="K14" s="1630"/>
      <c r="L14" s="1630"/>
      <c r="N14" s="8">
        <f t="shared" si="0"/>
        <v>44699</v>
      </c>
      <c r="O14" s="234">
        <f>O13*VLOOKUP(N14,[21]Índices!$K$6:$N$3249,4,FALSE)/VLOOKUP(N13,[21]Índices!$K$6:$N$3249,4,FALSE)</f>
        <v>-2299676.5857091318</v>
      </c>
    </row>
    <row r="15" spans="1:15">
      <c r="B15" s="1646"/>
      <c r="C15" s="1647"/>
      <c r="D15" s="1647"/>
      <c r="E15" s="1648"/>
      <c r="F15" s="1649"/>
      <c r="G15" s="1630"/>
      <c r="H15" s="1630"/>
      <c r="I15" s="1630"/>
      <c r="J15" s="1630"/>
      <c r="K15" s="1630"/>
      <c r="L15" s="1630"/>
      <c r="N15" s="8">
        <f t="shared" si="0"/>
        <v>44700</v>
      </c>
      <c r="O15" s="234">
        <f>O14*VLOOKUP(N15,[21]Índices!$K$6:$N$3249,4,FALSE)/VLOOKUP(N14,[21]Índices!$K$6:$N$3249,4,FALSE)</f>
        <v>-2300763.8498020894</v>
      </c>
    </row>
    <row r="16" spans="1:15">
      <c r="B16" s="1646"/>
      <c r="C16" s="1647"/>
      <c r="D16" s="1647"/>
      <c r="E16" s="1648"/>
      <c r="F16" s="1649"/>
      <c r="G16" s="1630"/>
      <c r="H16" s="1630"/>
      <c r="I16" s="1630"/>
      <c r="J16" s="1630"/>
      <c r="K16" s="1630"/>
      <c r="L16" s="1630"/>
      <c r="N16" s="8">
        <f t="shared" si="0"/>
        <v>44701</v>
      </c>
      <c r="O16" s="234">
        <f>O15*VLOOKUP(N16,[21]Índices!$K$6:$N$3249,4,FALSE)/VLOOKUP(N15,[21]Índices!$K$6:$N$3249,4,FALSE)</f>
        <v>-2301851.6279426371</v>
      </c>
    </row>
    <row r="17" spans="2:15">
      <c r="B17" s="1646"/>
      <c r="C17" s="1647"/>
      <c r="D17" s="1647"/>
      <c r="E17" s="1648"/>
      <c r="F17" s="1649"/>
      <c r="G17" s="1630"/>
      <c r="H17" s="1630"/>
      <c r="I17" s="1630"/>
      <c r="J17" s="1630"/>
      <c r="K17" s="1630"/>
      <c r="L17" s="1630"/>
      <c r="N17" s="8">
        <f t="shared" si="0"/>
        <v>44702</v>
      </c>
      <c r="O17" s="234">
        <f>O16*VLOOKUP(N17,[21]Índices!$K$6:$N$3249,4,FALSE)/VLOOKUP(N16,[21]Índices!$K$6:$N$3249,4,FALSE)</f>
        <v>-2301851.6279426371</v>
      </c>
    </row>
    <row r="18" spans="2:15">
      <c r="B18" s="1646"/>
      <c r="C18" s="1647"/>
      <c r="D18" s="1647"/>
      <c r="E18" s="1648"/>
      <c r="F18" s="1649"/>
      <c r="G18" s="1630"/>
      <c r="H18" s="1630"/>
      <c r="I18" s="1630"/>
      <c r="J18" s="1630"/>
      <c r="K18" s="1630"/>
      <c r="L18" s="1630"/>
      <c r="N18" s="8">
        <f t="shared" si="0"/>
        <v>44703</v>
      </c>
      <c r="O18" s="234">
        <f>O17*VLOOKUP(N18,[21]Índices!$K$6:$N$3249,4,FALSE)/VLOOKUP(N17,[21]Índices!$K$6:$N$3249,4,FALSE)</f>
        <v>-2301851.6279426371</v>
      </c>
    </row>
    <row r="19" spans="2:15">
      <c r="B19" s="1646"/>
      <c r="C19" s="1647"/>
      <c r="D19" s="1647"/>
      <c r="E19" s="1647"/>
      <c r="F19" s="1649"/>
      <c r="G19" s="1630"/>
      <c r="H19" s="1630"/>
      <c r="I19" s="1630"/>
      <c r="J19" s="1630"/>
      <c r="K19" s="1630"/>
      <c r="L19" s="1630"/>
      <c r="N19" s="8">
        <f t="shared" si="0"/>
        <v>44704</v>
      </c>
      <c r="O19" s="234">
        <f>O18*VLOOKUP(N19,[21]Índices!$K$6:$N$3249,4,FALSE)/VLOOKUP(N18,[21]Índices!$K$6:$N$3249,4,FALSE)</f>
        <v>-2302939.9203738119</v>
      </c>
    </row>
    <row r="20" spans="2:15">
      <c r="B20" s="1646"/>
      <c r="C20" s="1647"/>
      <c r="D20" s="1647"/>
      <c r="E20" s="1647"/>
      <c r="F20" s="1649"/>
      <c r="G20" s="1630"/>
      <c r="H20" s="1630"/>
      <c r="I20" s="1630"/>
      <c r="J20" s="1630"/>
      <c r="K20" s="1630"/>
      <c r="L20" s="1630"/>
      <c r="N20" s="8">
        <f t="shared" si="0"/>
        <v>44705</v>
      </c>
      <c r="O20" s="234">
        <f>O19*VLOOKUP(N20,[21]Índices!$K$6:$N$3249,4,FALSE)/VLOOKUP(N19,[21]Índices!$K$6:$N$3249,4,FALSE)</f>
        <v>-2304028.7273387653</v>
      </c>
    </row>
    <row r="21" spans="2:15">
      <c r="B21" s="1646"/>
      <c r="C21" s="1647"/>
      <c r="D21" s="1647"/>
      <c r="E21" s="1647"/>
      <c r="F21" s="1649"/>
      <c r="G21" s="1630"/>
      <c r="H21" s="1630"/>
      <c r="I21" s="1630"/>
      <c r="J21" s="1630"/>
      <c r="K21" s="1630"/>
      <c r="L21" s="1630"/>
      <c r="N21" s="8">
        <f t="shared" si="0"/>
        <v>44706</v>
      </c>
      <c r="O21" s="234">
        <f>O20*VLOOKUP(N21,[21]Índices!$K$6:$N$3249,4,FALSE)/VLOOKUP(N20,[21]Índices!$K$6:$N$3249,4,FALSE)</f>
        <v>-2305118.0490807635</v>
      </c>
    </row>
    <row r="22" spans="2:15">
      <c r="B22" s="1646"/>
      <c r="C22" s="1647"/>
      <c r="D22" s="1647"/>
      <c r="E22" s="1647"/>
      <c r="F22" s="1649"/>
      <c r="G22" s="1630"/>
      <c r="H22" s="1630"/>
      <c r="I22" s="1630"/>
      <c r="J22" s="1630"/>
      <c r="K22" s="1630"/>
      <c r="L22" s="1630"/>
      <c r="N22" s="8">
        <f t="shared" si="0"/>
        <v>44707</v>
      </c>
      <c r="O22" s="234">
        <f>O21*VLOOKUP(N22,[21]Índices!$K$6:$N$3249,4,FALSE)/VLOOKUP(N21,[21]Índices!$K$6:$N$3249,4,FALSE)</f>
        <v>-2306207.885843188</v>
      </c>
    </row>
    <row r="23" spans="2:15">
      <c r="B23" s="1646"/>
      <c r="C23" s="1647"/>
      <c r="D23" s="1647"/>
      <c r="E23" s="1647"/>
      <c r="F23" s="1649"/>
      <c r="G23" s="1630"/>
      <c r="H23" s="1630"/>
      <c r="I23" s="1630"/>
      <c r="J23" s="1630"/>
      <c r="K23" s="1630"/>
      <c r="L23" s="1630"/>
      <c r="N23" s="8">
        <f t="shared" si="0"/>
        <v>44708</v>
      </c>
      <c r="O23" s="234">
        <f>O22*VLOOKUP(N23,[21]Índices!$K$6:$N$3249,4,FALSE)/VLOOKUP(N22,[21]Índices!$K$6:$N$3249,4,FALSE)</f>
        <v>-2307298.2378695356</v>
      </c>
    </row>
    <row r="24" spans="2:15">
      <c r="B24" s="1646"/>
      <c r="C24" s="1647"/>
      <c r="D24" s="1647"/>
      <c r="E24" s="1647"/>
      <c r="F24" s="1649"/>
      <c r="G24" s="1630"/>
      <c r="H24" s="1630"/>
      <c r="I24" s="1630"/>
      <c r="J24" s="1630"/>
      <c r="K24" s="1630"/>
      <c r="L24" s="1630"/>
      <c r="N24" s="8">
        <f t="shared" si="0"/>
        <v>44709</v>
      </c>
      <c r="O24" s="234">
        <f>O23*VLOOKUP(N24,[21]Índices!$K$6:$N$3249,4,FALSE)/VLOOKUP(N23,[21]Índices!$K$6:$N$3249,4,FALSE)</f>
        <v>-2307298.2378695356</v>
      </c>
    </row>
    <row r="25" spans="2:15">
      <c r="B25" s="1650"/>
      <c r="C25" s="1647"/>
      <c r="D25" s="1647"/>
      <c r="E25" s="1651"/>
      <c r="F25" s="1649"/>
      <c r="G25" s="1630"/>
      <c r="H25" s="1630"/>
      <c r="I25" s="1630"/>
      <c r="J25" s="1630"/>
      <c r="K25" s="1630"/>
      <c r="L25" s="1630"/>
      <c r="N25" s="8">
        <f t="shared" si="0"/>
        <v>44710</v>
      </c>
      <c r="O25" s="234">
        <f>O24*VLOOKUP(N25,[21]Índices!$K$6:$N$3249,4,FALSE)/VLOOKUP(N24,[21]Índices!$K$6:$N$3249,4,FALSE)</f>
        <v>-2307298.2378695356</v>
      </c>
    </row>
    <row r="26" spans="2:15">
      <c r="B26" s="1652"/>
      <c r="C26" s="902"/>
      <c r="D26" s="902"/>
      <c r="E26" s="902"/>
      <c r="F26" s="1631"/>
      <c r="G26" s="1631"/>
      <c r="H26" s="1631"/>
      <c r="I26" s="1631"/>
      <c r="J26" s="1631"/>
      <c r="K26" s="1631"/>
      <c r="L26" s="1631"/>
      <c r="N26" s="8">
        <f t="shared" si="0"/>
        <v>44711</v>
      </c>
      <c r="O26" s="234">
        <f>O25*VLOOKUP(N26,[21]Índices!$K$6:$N$3249,4,FALSE)/VLOOKUP(N25,[21]Índices!$K$6:$N$3249,4,FALSE)</f>
        <v>-2308389.1054034177</v>
      </c>
    </row>
    <row r="27" spans="2:15">
      <c r="N27" s="8">
        <f t="shared" si="0"/>
        <v>44712</v>
      </c>
      <c r="O27" s="234">
        <f>O26*VLOOKUP(N27,[21]Índices!$K$6:$N$3249,4,FALSE)/VLOOKUP(N26,[21]Índices!$K$6:$N$3249,4,FALSE)</f>
        <v>-2309480.4886885611</v>
      </c>
    </row>
    <row r="28" spans="2:15">
      <c r="N28" s="8">
        <f t="shared" si="0"/>
        <v>44713</v>
      </c>
      <c r="O28" s="234">
        <f>O27*VLOOKUP(N28,[21]Índices!$K$6:$N$3249,4,FALSE)/VLOOKUP(N27,[21]Índices!$K$6:$N$3249,4,FALSE)</f>
        <v>-2310572.3879688079</v>
      </c>
    </row>
    <row r="29" spans="2:15">
      <c r="N29" s="8">
        <f t="shared" si="0"/>
        <v>44714</v>
      </c>
      <c r="O29" s="234">
        <f>O28*VLOOKUP(N29,[21]Índices!$K$6:$N$3249,4,FALSE)/VLOOKUP(N28,[21]Índices!$K$6:$N$3249,4,FALSE)</f>
        <v>-2311664.8034881158</v>
      </c>
    </row>
    <row r="30" spans="2:15">
      <c r="N30" s="8">
        <f t="shared" si="0"/>
        <v>44715</v>
      </c>
      <c r="O30" s="234">
        <f>O29*VLOOKUP(N30,[21]Índices!$K$6:$N$3249,4,FALSE)/VLOOKUP(N29,[21]Índices!$K$6:$N$3249,4,FALSE)</f>
        <v>-2312757.7354905563</v>
      </c>
    </row>
    <row r="31" spans="2:15">
      <c r="N31" s="8">
        <f t="shared" si="0"/>
        <v>44716</v>
      </c>
      <c r="O31" s="234">
        <f>O30*VLOOKUP(N31,[21]Índices!$K$6:$N$3249,4,FALSE)/VLOOKUP(N30,[21]Índices!$K$6:$N$3249,4,FALSE)</f>
        <v>-2312757.7354905563</v>
      </c>
    </row>
    <row r="32" spans="2:15">
      <c r="N32" s="8">
        <f t="shared" si="0"/>
        <v>44717</v>
      </c>
      <c r="O32" s="234">
        <f>O31*VLOOKUP(N32,[21]Índices!$K$6:$N$3249,4,FALSE)/VLOOKUP(N31,[21]Índices!$K$6:$N$3249,4,FALSE)</f>
        <v>-2312757.7354905563</v>
      </c>
    </row>
    <row r="33" spans="14:15">
      <c r="N33" s="8">
        <f t="shared" si="0"/>
        <v>44718</v>
      </c>
      <c r="O33" s="234">
        <f>O32*VLOOKUP(N33,[21]Índices!$K$6:$N$3249,4,FALSE)/VLOOKUP(N32,[21]Índices!$K$6:$N$3249,4,FALSE)</f>
        <v>-2313851.1842203187</v>
      </c>
    </row>
    <row r="34" spans="14:15">
      <c r="N34" s="8">
        <f t="shared" si="0"/>
        <v>44719</v>
      </c>
      <c r="O34" s="234">
        <f>O33*VLOOKUP(N34,[21]Índices!$K$6:$N$3249,4,FALSE)/VLOOKUP(N33,[21]Índices!$K$6:$N$3249,4,FALSE)</f>
        <v>-2314945.1499217055</v>
      </c>
    </row>
    <row r="35" spans="14:15">
      <c r="N35" s="8">
        <f t="shared" si="0"/>
        <v>44720</v>
      </c>
      <c r="O35" s="234">
        <f>O34*VLOOKUP(N35,[21]Índices!$K$6:$N$3249,4,FALSE)/VLOOKUP(N34,[21]Índices!$K$6:$N$3249,4,FALSE)</f>
        <v>-2316039.6328391368</v>
      </c>
    </row>
    <row r="36" spans="14:15">
      <c r="N36" s="8">
        <f t="shared" si="0"/>
        <v>44721</v>
      </c>
      <c r="O36" s="234">
        <f>O35*VLOOKUP(N36,[21]Índices!$K$6:$N$3249,4,FALSE)/VLOOKUP(N35,[21]Índices!$K$6:$N$3249,4,FALSE)</f>
        <v>-2317134.6332171466</v>
      </c>
    </row>
    <row r="37" spans="14:15">
      <c r="N37" s="8">
        <f t="shared" si="0"/>
        <v>44722</v>
      </c>
      <c r="O37" s="234">
        <f>O36*VLOOKUP(N37,[21]Índices!$K$6:$N$3249,4,FALSE)/VLOOKUP(N36,[21]Índices!$K$6:$N$3249,4,FALSE)</f>
        <v>-2318230.1513003851</v>
      </c>
    </row>
    <row r="38" spans="14:15">
      <c r="N38" s="8">
        <f t="shared" si="0"/>
        <v>44723</v>
      </c>
      <c r="O38" s="234">
        <f>O37*VLOOKUP(N38,[21]Índices!$K$6:$N$3249,4,FALSE)/VLOOKUP(N37,[21]Índices!$K$6:$N$3249,4,FALSE)</f>
        <v>-2318230.1513003851</v>
      </c>
    </row>
    <row r="39" spans="14:15">
      <c r="N39" s="8">
        <f t="shared" si="0"/>
        <v>44724</v>
      </c>
      <c r="O39" s="234">
        <f>O38*VLOOKUP(N39,[21]Índices!$K$6:$N$3249,4,FALSE)/VLOOKUP(N38,[21]Índices!$K$6:$N$3249,4,FALSE)</f>
        <v>-2318230.1513003851</v>
      </c>
    </row>
    <row r="40" spans="14:15">
      <c r="N40" s="8">
        <f t="shared" si="0"/>
        <v>44725</v>
      </c>
      <c r="O40" s="234">
        <f>O39*VLOOKUP(N40,[21]Índices!$K$6:$N$3249,4,FALSE)/VLOOKUP(N39,[21]Índices!$K$6:$N$3249,4,FALSE)</f>
        <v>-2319326.1873336183</v>
      </c>
    </row>
    <row r="41" spans="14:15">
      <c r="N41" s="8">
        <f t="shared" si="0"/>
        <v>44726</v>
      </c>
      <c r="O41" s="234">
        <f>O40*VLOOKUP(N41,[21]Índices!$K$6:$N$3249,4,FALSE)/VLOOKUP(N40,[21]Índices!$K$6:$N$3249,4,FALSE)</f>
        <v>-2320422.7415617271</v>
      </c>
    </row>
    <row r="42" spans="14:15">
      <c r="N42" s="8">
        <f t="shared" si="0"/>
        <v>44727</v>
      </c>
      <c r="O42" s="234">
        <f>O41*VLOOKUP(N42,[21]Índices!$K$6:$N$3249,4,FALSE)/VLOOKUP(N41,[21]Índices!$K$6:$N$3249,4,FALSE)</f>
        <v>-2321519.8142297096</v>
      </c>
    </row>
    <row r="43" spans="14:15">
      <c r="N43" s="8">
        <f t="shared" si="0"/>
        <v>44728</v>
      </c>
      <c r="O43" s="234">
        <f>O42*VLOOKUP(N43,[21]Índices!$K$6:$N$3249,4,FALSE)/VLOOKUP(N42,[21]Índices!$K$6:$N$3249,4,FALSE)</f>
        <v>-2321519.8142297096</v>
      </c>
    </row>
    <row r="44" spans="14:15">
      <c r="N44" s="8">
        <f t="shared" si="0"/>
        <v>44729</v>
      </c>
      <c r="O44" s="234">
        <f>O43*VLOOKUP(N44,[21]Índices!$K$6:$N$3249,4,FALSE)/VLOOKUP(N43,[21]Índices!$K$6:$N$3249,4,FALSE)</f>
        <v>-2322658.2179010133</v>
      </c>
    </row>
    <row r="45" spans="14:15">
      <c r="N45" s="8">
        <f t="shared" si="0"/>
        <v>44730</v>
      </c>
      <c r="O45" s="234">
        <f>O44*VLOOKUP(N45,[21]Índices!$K$6:$N$3249,4,FALSE)/VLOOKUP(N44,[21]Índices!$K$6:$N$3249,4,FALSE)</f>
        <v>-2322658.2179010133</v>
      </c>
    </row>
    <row r="46" spans="14:15">
      <c r="N46" s="8">
        <f t="shared" si="0"/>
        <v>44731</v>
      </c>
      <c r="O46" s="234">
        <f>O45*VLOOKUP(N46,[21]Índices!$K$6:$N$3249,4,FALSE)/VLOOKUP(N45,[21]Índices!$K$6:$N$3249,4,FALSE)</f>
        <v>-2322658.2179010133</v>
      </c>
    </row>
    <row r="47" spans="14:15">
      <c r="N47" s="8">
        <f t="shared" si="0"/>
        <v>44732</v>
      </c>
      <c r="O47" s="234">
        <f>O46*VLOOKUP(N47,[21]Índices!$K$6:$N$3249,4,FALSE)/VLOOKUP(N46,[21]Índices!$K$6:$N$3249,4,FALSE)</f>
        <v>-2323797.1798113254</v>
      </c>
    </row>
    <row r="48" spans="14:15">
      <c r="N48" s="8">
        <f t="shared" si="0"/>
        <v>44733</v>
      </c>
      <c r="O48" s="234">
        <f>O47*VLOOKUP(N48,[21]Índices!$K$6:$N$3249,4,FALSE)/VLOOKUP(N47,[21]Índices!$K$6:$N$3249,4,FALSE)</f>
        <v>-2324936.7002343894</v>
      </c>
    </row>
    <row r="49" spans="14:15">
      <c r="N49" s="8">
        <f t="shared" si="0"/>
        <v>44734</v>
      </c>
      <c r="O49" s="234">
        <f>O48*VLOOKUP(N49,[21]Índices!$K$6:$N$3249,4,FALSE)/VLOOKUP(N48,[21]Índices!$K$6:$N$3249,4,FALSE)</f>
        <v>-2326076.7794440836</v>
      </c>
    </row>
    <row r="50" spans="14:15">
      <c r="N50" s="8">
        <f t="shared" si="0"/>
        <v>44735</v>
      </c>
      <c r="O50" s="234">
        <f>O49*VLOOKUP(N50,[21]Índices!$K$6:$N$3249,4,FALSE)/VLOOKUP(N49,[21]Índices!$K$6:$N$3249,4,FALSE)</f>
        <v>-2327217.4177144198</v>
      </c>
    </row>
    <row r="51" spans="14:15">
      <c r="N51" s="8">
        <f t="shared" si="0"/>
        <v>44736</v>
      </c>
      <c r="O51" s="234">
        <f>O50*VLOOKUP(N51,[21]Índices!$K$6:$N$3249,4,FALSE)/VLOOKUP(N50,[21]Índices!$K$6:$N$3249,4,FALSE)</f>
        <v>-2328358.6153195444</v>
      </c>
    </row>
    <row r="52" spans="14:15">
      <c r="N52" s="8">
        <f t="shared" si="0"/>
        <v>44737</v>
      </c>
      <c r="O52" s="234">
        <f>O51*VLOOKUP(N52,[21]Índices!$K$6:$N$3249,4,FALSE)/VLOOKUP(N51,[21]Índices!$K$6:$N$3249,4,FALSE)</f>
        <v>-2328358.6153195444</v>
      </c>
    </row>
    <row r="53" spans="14:15">
      <c r="N53" s="8">
        <f t="shared" si="0"/>
        <v>44738</v>
      </c>
      <c r="O53" s="234">
        <f>O52*VLOOKUP(N53,[21]Índices!$K$6:$N$3249,4,FALSE)/VLOOKUP(N52,[21]Índices!$K$6:$N$3249,4,FALSE)</f>
        <v>-2328358.6153195444</v>
      </c>
    </row>
    <row r="54" spans="14:15">
      <c r="N54" s="8">
        <f t="shared" si="0"/>
        <v>44739</v>
      </c>
      <c r="O54" s="234">
        <f>O53*VLOOKUP(N54,[21]Índices!$K$6:$N$3249,4,FALSE)/VLOOKUP(N53,[21]Índices!$K$6:$N$3249,4,FALSE)</f>
        <v>-2329500.3725337391</v>
      </c>
    </row>
    <row r="55" spans="14:15">
      <c r="N55" s="8">
        <f t="shared" si="0"/>
        <v>44740</v>
      </c>
      <c r="O55" s="234">
        <f>O54*VLOOKUP(N55,[21]Índices!$K$6:$N$3249,4,FALSE)/VLOOKUP(N54,[21]Índices!$K$6:$N$3249,4,FALSE)</f>
        <v>-2330642.6896314183</v>
      </c>
    </row>
    <row r="56" spans="14:15">
      <c r="N56" s="8">
        <f t="shared" si="0"/>
        <v>44741</v>
      </c>
      <c r="O56" s="234">
        <f>O55*VLOOKUP(N56,[21]Índices!$K$6:$N$3249,4,FALSE)/VLOOKUP(N55,[21]Índices!$K$6:$N$3249,4,FALSE)</f>
        <v>-2331785.5668871333</v>
      </c>
    </row>
    <row r="57" spans="14:15">
      <c r="N57" s="8">
        <f t="shared" si="0"/>
        <v>44742</v>
      </c>
      <c r="O57" s="234">
        <f>O56*VLOOKUP(N57,[21]Índices!$K$6:$N$3249,4,FALSE)/VLOOKUP(N56,[21]Índices!$K$6:$N$3249,4,FALSE)</f>
        <v>-2332929.0045755678</v>
      </c>
    </row>
    <row r="58" spans="14:15">
      <c r="N58" s="8">
        <f t="shared" si="0"/>
        <v>44743</v>
      </c>
      <c r="O58" s="234">
        <f>O57*VLOOKUP(N58,[21]Índices!$K$6:$N$3249,4,FALSE)/VLOOKUP(N57,[21]Índices!$K$6:$N$3249,4,FALSE)</f>
        <v>-2334073.0029715416</v>
      </c>
    </row>
    <row r="59" spans="14:15">
      <c r="N59" s="8">
        <f t="shared" si="0"/>
        <v>44744</v>
      </c>
      <c r="O59" s="234">
        <f>O58*VLOOKUP(N59,[21]Índices!$K$6:$N$3249,4,FALSE)/VLOOKUP(N58,[21]Índices!$K$6:$N$3249,4,FALSE)</f>
        <v>-2334073.0029715416</v>
      </c>
    </row>
    <row r="60" spans="14:15">
      <c r="N60" s="8">
        <f t="shared" si="0"/>
        <v>44745</v>
      </c>
      <c r="O60" s="234">
        <f>O59*VLOOKUP(N60,[21]Índices!$K$6:$N$3249,4,FALSE)/VLOOKUP(N59,[21]Índices!$K$6:$N$3249,4,FALSE)</f>
        <v>-2334073.0029715416</v>
      </c>
    </row>
    <row r="61" spans="14:15">
      <c r="N61" s="8">
        <f t="shared" si="0"/>
        <v>44746</v>
      </c>
      <c r="O61" s="234">
        <f>O60*VLOOKUP(N61,[21]Índices!$K$6:$N$3249,4,FALSE)/VLOOKUP(N60,[21]Índices!$K$6:$N$3249,4,FALSE)</f>
        <v>-2335217.5623500091</v>
      </c>
    </row>
    <row r="62" spans="14:15">
      <c r="N62" s="8">
        <f t="shared" si="0"/>
        <v>44747</v>
      </c>
      <c r="O62" s="234">
        <f>O61*VLOOKUP(N62,[21]Índices!$K$6:$N$3249,4,FALSE)/VLOOKUP(N61,[21]Índices!$K$6:$N$3249,4,FALSE)</f>
        <v>-2336362.6829860588</v>
      </c>
    </row>
    <row r="63" spans="14:15">
      <c r="N63" s="8">
        <f t="shared" si="0"/>
        <v>44748</v>
      </c>
      <c r="O63" s="234">
        <f>O62*VLOOKUP(N63,[21]Índices!$K$6:$N$3249,4,FALSE)/VLOOKUP(N62,[21]Índices!$K$6:$N$3249,4,FALSE)</f>
        <v>-2337508.365154915</v>
      </c>
    </row>
    <row r="64" spans="14:15">
      <c r="N64" s="8">
        <f t="shared" si="0"/>
        <v>44749</v>
      </c>
      <c r="O64" s="234">
        <f>O63*VLOOKUP(N64,[21]Índices!$K$6:$N$3249,4,FALSE)/VLOOKUP(N63,[21]Índices!$K$6:$N$3249,4,FALSE)</f>
        <v>-2338654.609131936</v>
      </c>
    </row>
    <row r="65" spans="14:15">
      <c r="N65" s="8">
        <f t="shared" si="0"/>
        <v>44750</v>
      </c>
      <c r="O65" s="234">
        <f>O64*VLOOKUP(N65,[21]Índices!$K$6:$N$3249,4,FALSE)/VLOOKUP(N64,[21]Índices!$K$6:$N$3249,4,FALSE)</f>
        <v>-2339801.4151926162</v>
      </c>
    </row>
    <row r="66" spans="14:15">
      <c r="N66" s="8">
        <f t="shared" si="0"/>
        <v>44751</v>
      </c>
      <c r="O66" s="234">
        <f>O65*VLOOKUP(N66,[21]Índices!$K$6:$N$3249,4,FALSE)/VLOOKUP(N65,[21]Índices!$K$6:$N$3249,4,FALSE)</f>
        <v>-2339801.4151926162</v>
      </c>
    </row>
    <row r="67" spans="14:15">
      <c r="N67" s="8">
        <f t="shared" si="0"/>
        <v>44752</v>
      </c>
      <c r="O67" s="234">
        <f>O66*VLOOKUP(N67,[21]Índices!$K$6:$N$3249,4,FALSE)/VLOOKUP(N66,[21]Índices!$K$6:$N$3249,4,FALSE)</f>
        <v>-2339801.4151926162</v>
      </c>
    </row>
    <row r="68" spans="14:15">
      <c r="N68" s="8">
        <f t="shared" si="0"/>
        <v>44753</v>
      </c>
      <c r="O68" s="234">
        <f>O67*VLOOKUP(N68,[21]Índices!$K$6:$N$3249,4,FALSE)/VLOOKUP(N67,[21]Índices!$K$6:$N$3249,4,FALSE)</f>
        <v>-2340948.7836125842</v>
      </c>
    </row>
    <row r="69" spans="14:15">
      <c r="N69" s="8">
        <f t="shared" si="0"/>
        <v>44754</v>
      </c>
      <c r="O69" s="234">
        <f>O68*VLOOKUP(N69,[21]Índices!$K$6:$N$3249,4,FALSE)/VLOOKUP(N68,[21]Índices!$K$6:$N$3249,4,FALSE)</f>
        <v>-2342096.7146676043</v>
      </c>
    </row>
    <row r="70" spans="14:15">
      <c r="N70" s="8">
        <f t="shared" si="0"/>
        <v>44755</v>
      </c>
      <c r="O70" s="234">
        <f>O69*VLOOKUP(N70,[21]Índices!$K$6:$N$3249,4,FALSE)/VLOOKUP(N69,[21]Índices!$K$6:$N$3249,4,FALSE)</f>
        <v>-2343245.2086335761</v>
      </c>
    </row>
    <row r="71" spans="14:15">
      <c r="N71" s="8">
        <f t="shared" ref="N71:N87" si="1">N70+1</f>
        <v>44756</v>
      </c>
      <c r="O71" s="234">
        <f>O70*VLOOKUP(N71,[21]Índices!$K$6:$N$3249,4,FALSE)/VLOOKUP(N70,[21]Índices!$K$6:$N$3249,4,FALSE)</f>
        <v>-2344394.2657865337</v>
      </c>
    </row>
    <row r="72" spans="14:15">
      <c r="N72" s="8">
        <f t="shared" si="1"/>
        <v>44757</v>
      </c>
      <c r="O72" s="234">
        <f>O71*VLOOKUP(N72,[21]Índices!$K$6:$N$3249,4,FALSE)/VLOOKUP(N71,[21]Índices!$K$6:$N$3249,4,FALSE)</f>
        <v>-2345543.8864026475</v>
      </c>
    </row>
    <row r="73" spans="14:15">
      <c r="N73" s="8">
        <f t="shared" si="1"/>
        <v>44758</v>
      </c>
      <c r="O73" s="234">
        <f>O72*VLOOKUP(N73,[21]Índices!$K$6:$N$3249,4,FALSE)/VLOOKUP(N72,[21]Índices!$K$6:$N$3249,4,FALSE)</f>
        <v>-2345543.8864026475</v>
      </c>
    </row>
    <row r="74" spans="14:15">
      <c r="N74" s="8">
        <f t="shared" si="1"/>
        <v>44759</v>
      </c>
      <c r="O74" s="234">
        <f>O73*VLOOKUP(N74,[21]Índices!$K$6:$N$3249,4,FALSE)/VLOOKUP(N73,[21]Índices!$K$6:$N$3249,4,FALSE)</f>
        <v>-2345543.8864026475</v>
      </c>
    </row>
    <row r="75" spans="14:15">
      <c r="N75" s="8">
        <f t="shared" si="1"/>
        <v>44760</v>
      </c>
      <c r="O75" s="234">
        <f>O74*VLOOKUP(N75,[21]Índices!$K$6:$N$3249,4,FALSE)/VLOOKUP(N74,[21]Índices!$K$6:$N$3249,4,FALSE)</f>
        <v>-2346694.0707582231</v>
      </c>
    </row>
    <row r="76" spans="14:15">
      <c r="N76" s="8">
        <f t="shared" si="1"/>
        <v>44761</v>
      </c>
      <c r="O76" s="234">
        <f>O75*VLOOKUP(N76,[21]Índices!$K$6:$N$3249,4,FALSE)/VLOOKUP(N75,[21]Índices!$K$6:$N$3249,4,FALSE)</f>
        <v>-2347844.8191297008</v>
      </c>
    </row>
    <row r="77" spans="14:15">
      <c r="N77" s="8">
        <f t="shared" si="1"/>
        <v>44762</v>
      </c>
      <c r="O77" s="234">
        <f>O76*VLOOKUP(N77,[21]Índices!$K$6:$N$3249,4,FALSE)/VLOOKUP(N76,[21]Índices!$K$6:$N$3249,4,FALSE)</f>
        <v>-2348996.1317936578</v>
      </c>
    </row>
    <row r="78" spans="14:15">
      <c r="N78" s="8">
        <f t="shared" si="1"/>
        <v>44763</v>
      </c>
      <c r="O78" s="234">
        <f>O77*VLOOKUP(N78,[21]Índices!$K$6:$N$3249,4,FALSE)/VLOOKUP(N77,[21]Índices!$K$6:$N$3249,4,FALSE)</f>
        <v>-2350148.0090268059</v>
      </c>
    </row>
    <row r="79" spans="14:15">
      <c r="N79" s="8">
        <f t="shared" si="1"/>
        <v>44764</v>
      </c>
      <c r="O79" s="234">
        <f>O78*VLOOKUP(N79,[21]Índices!$K$6:$N$3249,4,FALSE)/VLOOKUP(N78,[21]Índices!$K$6:$N$3249,4,FALSE)</f>
        <v>-2351300.4511059923</v>
      </c>
    </row>
    <row r="80" spans="14:15">
      <c r="N80" s="8">
        <f t="shared" si="1"/>
        <v>44765</v>
      </c>
      <c r="O80" s="234">
        <f>O79*VLOOKUP(N80,[21]Índices!$K$6:$N$3249,4,FALSE)/VLOOKUP(N79,[21]Índices!$K$6:$N$3249,4,FALSE)</f>
        <v>-2351300.4511059928</v>
      </c>
    </row>
    <row r="81" spans="14:15">
      <c r="N81" s="8">
        <f t="shared" si="1"/>
        <v>44766</v>
      </c>
      <c r="O81" s="234">
        <f>O80*VLOOKUP(N81,[21]Índices!$K$6:$N$3249,4,FALSE)/VLOOKUP(N80,[21]Índices!$K$6:$N$3249,4,FALSE)</f>
        <v>-2351300.4511059928</v>
      </c>
    </row>
    <row r="82" spans="14:15">
      <c r="N82" s="8">
        <f t="shared" si="1"/>
        <v>44767</v>
      </c>
      <c r="O82" s="234">
        <f>O81*VLOOKUP(N82,[21]Índices!$K$6:$N$3249,4,FALSE)/VLOOKUP(N81,[21]Índices!$K$6:$N$3249,4,FALSE)</f>
        <v>-2352453.4583082017</v>
      </c>
    </row>
    <row r="83" spans="14:15">
      <c r="N83" s="8">
        <f t="shared" si="1"/>
        <v>44768</v>
      </c>
      <c r="O83" s="234">
        <f>O82*VLOOKUP(N83,[21]Índices!$K$6:$N$3249,4,FALSE)/VLOOKUP(N82,[21]Índices!$K$6:$N$3249,4,FALSE)</f>
        <v>-2353607.0309105525</v>
      </c>
    </row>
    <row r="84" spans="14:15">
      <c r="N84" s="8">
        <f t="shared" si="1"/>
        <v>44769</v>
      </c>
      <c r="O84" s="234">
        <f>O83*VLOOKUP(N84,[21]Índices!$K$6:$N$3249,4,FALSE)/VLOOKUP(N83,[21]Índices!$K$6:$N$3249,4,FALSE)</f>
        <v>-2354761.1691903002</v>
      </c>
    </row>
    <row r="85" spans="14:15">
      <c r="N85" s="8">
        <f t="shared" si="1"/>
        <v>44770</v>
      </c>
      <c r="O85" s="234">
        <f>O84*VLOOKUP(N85,[21]Índices!$K$6:$N$3249,4,FALSE)/VLOOKUP(N84,[21]Índices!$K$6:$N$3249,4,FALSE)</f>
        <v>-2355915.8734248364</v>
      </c>
    </row>
    <row r="86" spans="14:15">
      <c r="N86" s="8">
        <f t="shared" si="1"/>
        <v>44771</v>
      </c>
      <c r="O86" s="234">
        <f>O85*VLOOKUP(N86,[21]Índices!$K$6:$N$3249,4,FALSE)/VLOOKUP(N85,[21]Índices!$K$6:$N$3249,4,FALSE)</f>
        <v>-2357071.1438916875</v>
      </c>
    </row>
    <row r="87" spans="14:15">
      <c r="N87" s="8">
        <f t="shared" si="1"/>
        <v>44772</v>
      </c>
      <c r="O87" s="234">
        <f>O86*VLOOKUP(N87,[21]Índices!$K$6:$N$3249,4,FALSE)/VLOOKUP(N86,[21]Índices!$K$6:$N$3249,4,FALSE)</f>
        <v>-2357071.1438916875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zoomScale="85" zoomScaleNormal="85" workbookViewId="0">
      <selection activeCell="G15" sqref="G15"/>
    </sheetView>
  </sheetViews>
  <sheetFormatPr defaultColWidth="9.140625" defaultRowHeight="15" customHeight="1"/>
  <cols>
    <col min="1" max="1" width="4.42578125" style="911" customWidth="1"/>
    <col min="2" max="2" width="27.28515625" style="911" customWidth="1"/>
    <col min="3" max="5" width="17.7109375" style="912" customWidth="1"/>
    <col min="6" max="7" width="17.7109375" style="911" customWidth="1"/>
    <col min="8" max="8" width="46.42578125" style="911" customWidth="1"/>
    <col min="9" max="9" width="14.7109375" style="911" customWidth="1"/>
    <col min="10" max="13" width="12.7109375" style="911" customWidth="1"/>
    <col min="14" max="17" width="9.140625" style="911"/>
    <col min="18" max="18" width="17" style="911" customWidth="1"/>
    <col min="19" max="19" width="14.28515625" style="911" customWidth="1"/>
    <col min="20" max="20" width="15.42578125" style="911" customWidth="1"/>
    <col min="21" max="21" width="13.85546875" style="911" customWidth="1"/>
    <col min="22" max="22" width="17.140625" style="911" customWidth="1"/>
    <col min="23" max="23" width="13" style="911" customWidth="1"/>
    <col min="24" max="24" width="14.140625" style="911" customWidth="1"/>
    <col min="25" max="25" width="17.7109375" style="911" customWidth="1"/>
    <col min="26" max="26" width="17" style="911" customWidth="1"/>
    <col min="27" max="27" width="14" style="911" customWidth="1"/>
    <col min="28" max="28" width="14.85546875" style="911" customWidth="1"/>
    <col min="29" max="16384" width="9.140625" style="911"/>
  </cols>
  <sheetData>
    <row r="1" spans="1:18" ht="14.45" customHeight="1"/>
    <row r="2" spans="1:18" ht="14.45" customHeight="1">
      <c r="B2" s="913" t="s">
        <v>2375</v>
      </c>
      <c r="C2" s="914"/>
      <c r="D2" s="914"/>
      <c r="E2" s="914"/>
      <c r="F2" s="915"/>
      <c r="G2" s="915"/>
      <c r="H2" s="916" t="s">
        <v>13</v>
      </c>
      <c r="I2" s="917">
        <f>Resultado!$D$6</f>
        <v>0</v>
      </c>
      <c r="J2" s="918"/>
      <c r="K2" s="918"/>
    </row>
    <row r="3" spans="1:18" ht="14.45" customHeight="1">
      <c r="B3" s="919"/>
      <c r="C3" s="920"/>
      <c r="D3" s="920"/>
      <c r="E3" s="920"/>
      <c r="H3" s="921" t="s">
        <v>14</v>
      </c>
      <c r="I3" s="922">
        <f>Resultado!$D$8</f>
        <v>0</v>
      </c>
      <c r="J3" s="918"/>
      <c r="K3" s="918"/>
    </row>
    <row r="4" spans="1:18" ht="14.45" customHeight="1">
      <c r="B4" s="918"/>
      <c r="C4" s="920"/>
      <c r="D4" s="920"/>
      <c r="E4" s="920"/>
      <c r="F4" s="923"/>
      <c r="G4" s="918"/>
      <c r="H4" s="918"/>
      <c r="I4" s="918"/>
      <c r="J4" s="918"/>
      <c r="K4" s="918"/>
    </row>
    <row r="5" spans="1:18" ht="15" customHeight="1">
      <c r="B5" s="918"/>
      <c r="C5" s="924"/>
      <c r="D5" s="920"/>
      <c r="E5" s="920"/>
      <c r="F5" s="923"/>
      <c r="G5" s="918"/>
      <c r="H5" s="918"/>
      <c r="I5" s="918"/>
      <c r="J5" s="918"/>
      <c r="K5" s="918"/>
      <c r="R5" s="1411" t="s">
        <v>954</v>
      </c>
    </row>
    <row r="6" spans="1:18" s="928" customFormat="1" ht="15" customHeight="1">
      <c r="A6" s="925"/>
      <c r="B6" s="926"/>
      <c r="C6" s="927"/>
      <c r="D6" s="927"/>
      <c r="E6" s="927"/>
      <c r="F6" s="926"/>
      <c r="G6" s="926"/>
      <c r="H6" s="926"/>
      <c r="I6" s="926"/>
      <c r="J6" s="926"/>
      <c r="K6" s="926"/>
      <c r="R6" s="950">
        <f>DATE(YEAR(R8),MONTH(R8)-1,1)</f>
        <v>44378</v>
      </c>
    </row>
    <row r="7" spans="1:18" s="928" customFormat="1" ht="15" customHeight="1">
      <c r="A7" s="925"/>
      <c r="B7" s="929" t="s">
        <v>1399</v>
      </c>
      <c r="C7" s="927"/>
      <c r="D7" s="930"/>
      <c r="E7" s="930"/>
      <c r="F7" s="931"/>
      <c r="G7" s="926"/>
      <c r="H7" s="926"/>
      <c r="I7" s="926"/>
      <c r="J7" s="926"/>
      <c r="K7" s="926"/>
      <c r="R7" s="1411" t="s">
        <v>954</v>
      </c>
    </row>
    <row r="8" spans="1:18" ht="27.95" customHeight="1">
      <c r="B8" s="932" t="s">
        <v>855</v>
      </c>
      <c r="C8" s="932" t="s">
        <v>1400</v>
      </c>
      <c r="D8" s="932" t="s">
        <v>1401</v>
      </c>
      <c r="E8" s="932" t="s">
        <v>1402</v>
      </c>
      <c r="F8" s="918"/>
      <c r="G8" s="918"/>
      <c r="H8" s="918"/>
      <c r="I8" s="933"/>
      <c r="R8" s="950">
        <f>DATE(YEAR(R10),MONTH(R10)-1,1)</f>
        <v>44409</v>
      </c>
    </row>
    <row r="9" spans="1:18" ht="14.45" customHeight="1">
      <c r="B9" s="1412" t="s">
        <v>1403</v>
      </c>
      <c r="C9" s="1413"/>
      <c r="D9" s="1413"/>
      <c r="E9" s="1413"/>
      <c r="F9" s="918"/>
      <c r="G9" s="448"/>
      <c r="H9" s="1414" t="s">
        <v>1404</v>
      </c>
      <c r="I9" s="1415">
        <v>-62463.758000000002</v>
      </c>
      <c r="R9" s="1411" t="s">
        <v>954</v>
      </c>
    </row>
    <row r="10" spans="1:18" ht="14.45" customHeight="1">
      <c r="B10" s="934" t="s">
        <v>41</v>
      </c>
      <c r="C10" s="935"/>
      <c r="D10" s="935"/>
      <c r="E10" s="935"/>
      <c r="F10" s="918"/>
      <c r="G10" s="448"/>
      <c r="H10" s="936" t="s">
        <v>1405</v>
      </c>
      <c r="I10" s="937">
        <f>Indexador!F173</f>
        <v>0</v>
      </c>
      <c r="R10" s="950">
        <f>DATE(YEAR(R12),MONTH(R12)-1,1)</f>
        <v>44440</v>
      </c>
    </row>
    <row r="11" spans="1:18" ht="14.45" customHeight="1">
      <c r="B11" s="934" t="s">
        <v>1406</v>
      </c>
      <c r="C11" s="935"/>
      <c r="D11" s="935"/>
      <c r="E11" s="935"/>
      <c r="F11" s="918"/>
      <c r="G11" s="918"/>
      <c r="H11" s="936" t="s">
        <v>1407</v>
      </c>
      <c r="I11" s="938"/>
      <c r="R11" s="1411" t="s">
        <v>954</v>
      </c>
    </row>
    <row r="12" spans="1:18" ht="14.45" customHeight="1">
      <c r="B12" s="934" t="s">
        <v>705</v>
      </c>
      <c r="C12" s="935"/>
      <c r="D12" s="935"/>
      <c r="E12" s="935"/>
      <c r="F12" s="918"/>
      <c r="G12" s="448"/>
      <c r="H12" s="936" t="s">
        <v>1408</v>
      </c>
      <c r="I12" s="938"/>
      <c r="R12" s="950">
        <f>DATE(YEAR(R14),MONTH(R14)-1,1)</f>
        <v>44470</v>
      </c>
    </row>
    <row r="13" spans="1:18" ht="14.45" customHeight="1">
      <c r="B13" s="934" t="s">
        <v>1409</v>
      </c>
      <c r="C13" s="935">
        <v>-571565.89509999997</v>
      </c>
      <c r="D13" s="935">
        <v>-361044.78129999997</v>
      </c>
      <c r="E13" s="935"/>
      <c r="F13" s="918"/>
      <c r="G13" s="1763"/>
      <c r="H13" s="936" t="s">
        <v>1410</v>
      </c>
      <c r="I13" s="1416"/>
      <c r="R13" s="1411" t="s">
        <v>954</v>
      </c>
    </row>
    <row r="14" spans="1:18" ht="14.45" customHeight="1">
      <c r="B14" s="934" t="s">
        <v>126</v>
      </c>
      <c r="C14" s="935"/>
      <c r="D14" s="935"/>
      <c r="E14" s="935"/>
      <c r="F14" s="918"/>
      <c r="G14" s="1763"/>
      <c r="H14" s="1414" t="s">
        <v>1411</v>
      </c>
      <c r="I14" s="1417">
        <v>4136548.5761438101</v>
      </c>
      <c r="J14" s="918"/>
      <c r="K14" s="918"/>
      <c r="R14" s="950">
        <f>DATE(YEAR(R16),MONTH(R16)-1,1)</f>
        <v>44501</v>
      </c>
    </row>
    <row r="15" spans="1:18" ht="14.45" customHeight="1">
      <c r="B15" s="934" t="s">
        <v>1412</v>
      </c>
      <c r="C15" s="935"/>
      <c r="D15" s="935"/>
      <c r="E15" s="935"/>
      <c r="F15" s="918"/>
      <c r="G15" s="1763"/>
      <c r="H15" s="1418" t="s">
        <v>1413</v>
      </c>
      <c r="I15" s="1419">
        <f>Indexador!N49</f>
        <v>-4361333.6717375368</v>
      </c>
      <c r="J15" s="918"/>
      <c r="K15" s="918"/>
      <c r="R15" s="1411" t="s">
        <v>954</v>
      </c>
    </row>
    <row r="16" spans="1:18" ht="14.45" customHeight="1">
      <c r="B16" s="934" t="s">
        <v>122</v>
      </c>
      <c r="C16" s="935"/>
      <c r="D16" s="935"/>
      <c r="E16" s="935"/>
      <c r="F16" s="919"/>
      <c r="G16" s="1763"/>
      <c r="H16" s="918"/>
      <c r="I16" s="933"/>
      <c r="J16" s="918"/>
      <c r="K16" s="918"/>
      <c r="R16" s="950">
        <f>DATE(YEAR(R18),MONTH(R18)-1,1)</f>
        <v>44531</v>
      </c>
    </row>
    <row r="17" spans="1:18" ht="14.45" customHeight="1">
      <c r="B17" s="934" t="s">
        <v>46</v>
      </c>
      <c r="C17" s="935">
        <v>2813453.1280999999</v>
      </c>
      <c r="D17" s="935">
        <v>2907185.43</v>
      </c>
      <c r="E17" s="935"/>
      <c r="F17" s="918"/>
      <c r="G17" s="1763"/>
      <c r="H17" s="918"/>
      <c r="I17" s="918"/>
      <c r="J17" s="918"/>
      <c r="K17" s="918"/>
      <c r="R17" s="1411" t="s">
        <v>954</v>
      </c>
    </row>
    <row r="18" spans="1:18" ht="14.45" customHeight="1">
      <c r="B18" s="939" t="s">
        <v>846</v>
      </c>
      <c r="C18" s="940">
        <f>SUM(C9:C17)</f>
        <v>2241887.233</v>
      </c>
      <c r="D18" s="940">
        <f t="shared" ref="D18:E18" si="0">SUM(D9:D17)</f>
        <v>2546140.6487000003</v>
      </c>
      <c r="E18" s="940">
        <f t="shared" si="0"/>
        <v>0</v>
      </c>
      <c r="F18" s="918"/>
      <c r="G18" s="1763"/>
      <c r="H18" s="918"/>
      <c r="I18" s="918"/>
      <c r="J18" s="918"/>
      <c r="K18" s="918"/>
      <c r="R18" s="950">
        <f>DATE(YEAR(R20),MONTH(R20)-1,1)</f>
        <v>44562</v>
      </c>
    </row>
    <row r="19" spans="1:18" ht="14.45" hidden="1" customHeight="1">
      <c r="B19" s="918"/>
      <c r="C19" s="920"/>
      <c r="D19" s="920"/>
      <c r="E19" s="920"/>
      <c r="F19" s="918"/>
      <c r="G19" s="918"/>
      <c r="R19" s="1411" t="s">
        <v>954</v>
      </c>
    </row>
    <row r="20" spans="1:18" ht="14.45" customHeight="1">
      <c r="B20" s="918"/>
      <c r="C20" s="920"/>
      <c r="D20" s="920"/>
      <c r="E20" s="920"/>
      <c r="F20" s="918"/>
      <c r="G20" s="918"/>
      <c r="R20" s="950">
        <f>DATE(YEAR(R22),MONTH(R22)-1,1)</f>
        <v>44593</v>
      </c>
    </row>
    <row r="21" spans="1:18" s="928" customFormat="1" ht="14.45" customHeight="1">
      <c r="A21" s="1714"/>
      <c r="B21" s="1715"/>
      <c r="C21" s="1716"/>
      <c r="D21" s="1716"/>
      <c r="E21" s="1716"/>
      <c r="F21" s="1715"/>
      <c r="G21" s="1715"/>
      <c r="H21" s="1717"/>
      <c r="I21" s="1717"/>
      <c r="R21" s="1411" t="s">
        <v>954</v>
      </c>
    </row>
    <row r="22" spans="1:18" ht="14.45" customHeight="1">
      <c r="A22" s="1718"/>
      <c r="B22" s="1719" t="s">
        <v>1414</v>
      </c>
      <c r="C22" s="1720"/>
      <c r="D22" s="1720"/>
      <c r="E22" s="1720"/>
      <c r="F22" s="1721"/>
      <c r="G22" s="1721"/>
      <c r="H22" s="1718"/>
      <c r="I22" s="1718"/>
      <c r="R22" s="950">
        <f>DATE(YEAR(R24),MONTH(R24)-1,1)</f>
        <v>44621</v>
      </c>
    </row>
    <row r="23" spans="1:18" ht="42" customHeight="1">
      <c r="A23" s="1718"/>
      <c r="B23" s="1722" t="s">
        <v>855</v>
      </c>
      <c r="C23" s="1722" t="s">
        <v>1415</v>
      </c>
      <c r="D23" s="1722" t="s">
        <v>1416</v>
      </c>
      <c r="E23" s="1722" t="s">
        <v>1417</v>
      </c>
      <c r="F23" s="1722" t="s">
        <v>1418</v>
      </c>
      <c r="G23" s="1722" t="s">
        <v>1419</v>
      </c>
      <c r="H23" s="1718"/>
      <c r="I23" s="1718"/>
      <c r="R23" s="1411" t="s">
        <v>954</v>
      </c>
    </row>
    <row r="24" spans="1:18" ht="14.45" customHeight="1">
      <c r="A24" s="1718"/>
      <c r="B24" s="1723" t="s">
        <v>1403</v>
      </c>
      <c r="C24" s="1724">
        <f>BD!AM7</f>
        <v>0</v>
      </c>
      <c r="D24" s="1725"/>
      <c r="E24" s="1726">
        <f t="shared" ref="E24:E32" si="1">D24-C24</f>
        <v>0</v>
      </c>
      <c r="F24" s="1727"/>
      <c r="G24" s="1727"/>
      <c r="H24" s="1728"/>
      <c r="I24" s="1729"/>
      <c r="J24" s="941"/>
      <c r="K24" s="952"/>
      <c r="R24" s="950">
        <f>DATE(YEAR(R26),MONTH(R26)-1,1)</f>
        <v>44652</v>
      </c>
    </row>
    <row r="25" spans="1:18" ht="14.45" customHeight="1">
      <c r="A25" s="1718"/>
      <c r="B25" s="1730" t="s">
        <v>41</v>
      </c>
      <c r="C25" s="1731">
        <f>BD!AM8</f>
        <v>0</v>
      </c>
      <c r="D25" s="1732"/>
      <c r="E25" s="1733">
        <f t="shared" si="1"/>
        <v>0</v>
      </c>
      <c r="F25" s="1729">
        <f ca="1">M66</f>
        <v>0</v>
      </c>
      <c r="G25" s="1734" t="e">
        <f ca="1">(D25+D39)/$D$33*Indexador!$X$80-M67</f>
        <v>#DIV/0!</v>
      </c>
      <c r="H25" s="1728"/>
      <c r="I25" s="1729"/>
      <c r="J25" s="941"/>
      <c r="K25" s="933"/>
      <c r="R25" s="1411" t="s">
        <v>954</v>
      </c>
    </row>
    <row r="26" spans="1:18" ht="14.45" customHeight="1">
      <c r="A26" s="1718"/>
      <c r="B26" s="1730" t="s">
        <v>1406</v>
      </c>
      <c r="C26" s="1731">
        <f>BD!AM14</f>
        <v>0</v>
      </c>
      <c r="D26" s="1732"/>
      <c r="E26" s="1733">
        <f t="shared" si="1"/>
        <v>0</v>
      </c>
      <c r="F26" s="1729">
        <f ca="1">X66</f>
        <v>0</v>
      </c>
      <c r="G26" s="1734" t="e">
        <f ca="1">(D26+D40)/$D$33*Indexador!$X$80-X67</f>
        <v>#DIV/0!</v>
      </c>
      <c r="H26" s="1728"/>
      <c r="I26" s="1729"/>
      <c r="J26" s="941"/>
      <c r="K26" s="933"/>
      <c r="R26" s="950">
        <f>DATE(YEAR(R28),MONTH(R28)-1,1)</f>
        <v>44682</v>
      </c>
    </row>
    <row r="27" spans="1:18" ht="14.45" customHeight="1">
      <c r="A27" s="1718"/>
      <c r="B27" s="1730" t="s">
        <v>705</v>
      </c>
      <c r="C27" s="1731">
        <f>BD!AM6</f>
        <v>0</v>
      </c>
      <c r="D27" s="1732"/>
      <c r="E27" s="1735">
        <f t="shared" si="1"/>
        <v>0</v>
      </c>
      <c r="F27" s="1736">
        <f ca="1">L66</f>
        <v>0</v>
      </c>
      <c r="G27" s="1737" t="e">
        <f ca="1">D27/$D$33*Indexador!$X$80-L67</f>
        <v>#DIV/0!</v>
      </c>
      <c r="H27" s="1728"/>
      <c r="I27" s="1736"/>
      <c r="J27" s="942"/>
      <c r="K27" s="933"/>
      <c r="R27" s="1411" t="s">
        <v>954</v>
      </c>
    </row>
    <row r="28" spans="1:18" ht="14.45" customHeight="1">
      <c r="A28" s="1718"/>
      <c r="B28" s="1730" t="s">
        <v>1409</v>
      </c>
      <c r="C28" s="1731">
        <f>BD!AM13</f>
        <v>0</v>
      </c>
      <c r="D28" s="1732"/>
      <c r="E28" s="1735">
        <f t="shared" si="1"/>
        <v>0</v>
      </c>
      <c r="F28" s="1736">
        <f ca="1">K66</f>
        <v>0</v>
      </c>
      <c r="G28" s="1737" t="e">
        <f ca="1">(IF(C42=0,D28,C42)+D42)/$D$33*Indexador!$X$80-K67</f>
        <v>#DIV/0!</v>
      </c>
      <c r="H28" s="1728"/>
      <c r="I28" s="1736"/>
      <c r="J28" s="942"/>
      <c r="K28" s="933"/>
      <c r="R28" s="950">
        <f>B65</f>
        <v>44713</v>
      </c>
    </row>
    <row r="29" spans="1:18" ht="14.45" customHeight="1">
      <c r="A29" s="1718"/>
      <c r="B29" s="1730" t="s">
        <v>126</v>
      </c>
      <c r="C29" s="1731">
        <f>BD!AM9</f>
        <v>0</v>
      </c>
      <c r="D29" s="1732"/>
      <c r="E29" s="1735">
        <f t="shared" si="1"/>
        <v>0</v>
      </c>
      <c r="F29" s="1736">
        <f ca="1">N66</f>
        <v>0</v>
      </c>
      <c r="G29" s="1737" t="e">
        <f ca="1">D29/$D$33*Indexador!$X$80-N67</f>
        <v>#DIV/0!</v>
      </c>
      <c r="H29" s="1728"/>
      <c r="I29" s="1736"/>
      <c r="J29" s="942"/>
      <c r="K29" s="933"/>
    </row>
    <row r="30" spans="1:18" ht="14.45" customHeight="1">
      <c r="A30" s="1718"/>
      <c r="B30" s="1730" t="s">
        <v>1412</v>
      </c>
      <c r="C30" s="1731">
        <f>BD!AM12</f>
        <v>0</v>
      </c>
      <c r="D30" s="1732"/>
      <c r="E30" s="1735">
        <f t="shared" si="1"/>
        <v>0</v>
      </c>
      <c r="F30" s="1736">
        <f ca="1">O66</f>
        <v>0</v>
      </c>
      <c r="G30" s="1737" t="e">
        <f ca="1">D30/$D$33*Indexador!$X$80-O67</f>
        <v>#DIV/0!</v>
      </c>
      <c r="H30" s="1721"/>
      <c r="I30" s="1736"/>
      <c r="J30" s="942"/>
      <c r="K30" s="933"/>
    </row>
    <row r="31" spans="1:18" ht="14.45" customHeight="1">
      <c r="A31" s="1718"/>
      <c r="B31" s="1730" t="s">
        <v>122</v>
      </c>
      <c r="C31" s="1731">
        <f>BD!AM11</f>
        <v>0</v>
      </c>
      <c r="D31" s="1732"/>
      <c r="E31" s="1735">
        <f t="shared" si="1"/>
        <v>0</v>
      </c>
      <c r="F31" s="1736">
        <f ca="1">Q66</f>
        <v>0</v>
      </c>
      <c r="G31" s="1737" t="e">
        <f ca="1">D31/$D$33*Indexador!$X$80-Q67</f>
        <v>#DIV/0!</v>
      </c>
      <c r="H31" s="1718"/>
      <c r="I31" s="1736"/>
      <c r="J31" s="942"/>
      <c r="K31" s="918"/>
    </row>
    <row r="32" spans="1:18" ht="14.45" customHeight="1">
      <c r="A32" s="1718"/>
      <c r="B32" s="1738" t="s">
        <v>46</v>
      </c>
      <c r="C32" s="1739">
        <f>BD!AM10</f>
        <v>0</v>
      </c>
      <c r="D32" s="1732"/>
      <c r="E32" s="1740">
        <f t="shared" si="1"/>
        <v>0</v>
      </c>
      <c r="F32" s="1741">
        <f ca="1">P66</f>
        <v>0</v>
      </c>
      <c r="G32" s="1742" t="e">
        <f ca="1">IF(C46=0,D32,C46)/$D$33*Indexador!$X$80-P67</f>
        <v>#DIV/0!</v>
      </c>
      <c r="H32" s="1718"/>
      <c r="I32" s="1736"/>
      <c r="J32" s="942"/>
      <c r="K32" s="918"/>
    </row>
    <row r="33" spans="1:11" ht="14.45" customHeight="1">
      <c r="A33" s="1718"/>
      <c r="B33" s="1743" t="s">
        <v>846</v>
      </c>
      <c r="C33" s="1744">
        <f>SUM(C24:C32)</f>
        <v>0</v>
      </c>
      <c r="D33" s="1745">
        <f>SUM(D24:D32)</f>
        <v>0</v>
      </c>
      <c r="E33" s="1744">
        <f>SUM(E24:E32)</f>
        <v>0</v>
      </c>
      <c r="F33" s="1746">
        <f ca="1">SUM(F24:F32)</f>
        <v>0</v>
      </c>
      <c r="G33" s="1746" t="e">
        <f ca="1">SUM(G24:G32)</f>
        <v>#DIV/0!</v>
      </c>
      <c r="H33" s="1718"/>
      <c r="I33" s="1747"/>
      <c r="J33" s="951"/>
      <c r="K33" s="918"/>
    </row>
    <row r="34" spans="1:11" ht="14.45" customHeight="1">
      <c r="A34" s="1718"/>
      <c r="B34" s="1721"/>
      <c r="C34" s="1748"/>
      <c r="D34" s="1720"/>
      <c r="E34" s="1720"/>
      <c r="F34" s="1721"/>
      <c r="G34" s="1721"/>
      <c r="H34" s="1718"/>
      <c r="I34" s="1718"/>
      <c r="K34" s="918"/>
    </row>
    <row r="35" spans="1:11" ht="14.45" customHeight="1">
      <c r="A35" s="1718"/>
      <c r="B35" s="1721"/>
      <c r="C35" s="1720"/>
      <c r="D35" s="1720"/>
      <c r="E35" s="1720"/>
      <c r="F35" s="1749"/>
      <c r="G35" s="1721"/>
      <c r="H35" s="1718"/>
      <c r="I35" s="1718"/>
      <c r="K35" s="918"/>
    </row>
    <row r="36" spans="1:11" ht="14.45" customHeight="1">
      <c r="A36" s="1718"/>
      <c r="B36" s="1719" t="s">
        <v>1420</v>
      </c>
      <c r="C36" s="1748"/>
      <c r="D36" s="1720"/>
      <c r="E36" s="1720"/>
      <c r="F36" s="1721"/>
      <c r="G36" s="1750"/>
      <c r="H36" s="1718"/>
      <c r="I36" s="1718"/>
      <c r="K36" s="918"/>
    </row>
    <row r="37" spans="1:11" ht="43.5" customHeight="1">
      <c r="A37" s="1718"/>
      <c r="B37" s="1751" t="s">
        <v>855</v>
      </c>
      <c r="C37" s="1751" t="s">
        <v>1421</v>
      </c>
      <c r="D37" s="1751" t="s">
        <v>1422</v>
      </c>
      <c r="E37" s="1752"/>
      <c r="F37" s="1749"/>
      <c r="G37" s="1721"/>
      <c r="H37" s="1721"/>
      <c r="I37" s="1721"/>
      <c r="J37" s="918"/>
      <c r="K37" s="918"/>
    </row>
    <row r="38" spans="1:11" ht="14.45" customHeight="1">
      <c r="A38" s="1718"/>
      <c r="B38" s="1753" t="s">
        <v>1403</v>
      </c>
      <c r="C38" s="1754"/>
      <c r="D38" s="1755"/>
      <c r="E38" s="1752"/>
      <c r="F38" s="1749"/>
      <c r="G38" s="1721"/>
      <c r="H38" s="1721"/>
      <c r="I38" s="1721"/>
      <c r="J38" s="918"/>
      <c r="K38" s="918"/>
    </row>
    <row r="39" spans="1:11" ht="14.45" customHeight="1">
      <c r="A39" s="1718"/>
      <c r="B39" s="1756" t="s">
        <v>41</v>
      </c>
      <c r="C39" s="1720"/>
      <c r="D39" s="1757">
        <v>0</v>
      </c>
      <c r="E39" s="1752"/>
      <c r="F39" s="1749"/>
      <c r="G39" s="1749"/>
      <c r="H39" s="1721"/>
      <c r="I39" s="1721"/>
      <c r="J39" s="918"/>
      <c r="K39" s="918"/>
    </row>
    <row r="40" spans="1:11" ht="14.45" customHeight="1">
      <c r="A40" s="1718"/>
      <c r="B40" s="1756" t="s">
        <v>1406</v>
      </c>
      <c r="C40" s="1752"/>
      <c r="D40" s="1757">
        <v>0</v>
      </c>
      <c r="E40" s="1752"/>
      <c r="F40" s="1749"/>
      <c r="G40" s="1721"/>
      <c r="H40" s="1721"/>
      <c r="I40" s="1721"/>
      <c r="J40" s="918"/>
      <c r="K40" s="918"/>
    </row>
    <row r="41" spans="1:11" ht="14.45" customHeight="1">
      <c r="A41" s="1718"/>
      <c r="B41" s="1756" t="s">
        <v>705</v>
      </c>
      <c r="C41" s="1752"/>
      <c r="D41" s="1758"/>
      <c r="E41" s="1752"/>
      <c r="F41" s="1749"/>
      <c r="G41" s="1721"/>
      <c r="H41" s="1721"/>
      <c r="I41" s="1721"/>
      <c r="J41" s="918"/>
      <c r="K41" s="918"/>
    </row>
    <row r="42" spans="1:11" ht="14.45" customHeight="1">
      <c r="A42" s="1718"/>
      <c r="B42" s="1756" t="s">
        <v>1409</v>
      </c>
      <c r="C42" s="1759"/>
      <c r="D42" s="1757">
        <v>0</v>
      </c>
      <c r="E42" s="1752"/>
      <c r="F42" s="1749"/>
      <c r="G42" s="1721"/>
      <c r="H42" s="1721"/>
      <c r="I42" s="1721"/>
      <c r="J42" s="918"/>
      <c r="K42" s="918"/>
    </row>
    <row r="43" spans="1:11" ht="14.45" customHeight="1">
      <c r="A43" s="1718"/>
      <c r="B43" s="1756" t="s">
        <v>126</v>
      </c>
      <c r="C43" s="1760"/>
      <c r="D43" s="1755"/>
      <c r="E43" s="1752"/>
      <c r="F43" s="1749"/>
      <c r="G43" s="1721"/>
      <c r="H43" s="1721"/>
      <c r="I43" s="1721"/>
      <c r="J43" s="918"/>
      <c r="K43" s="918"/>
    </row>
    <row r="44" spans="1:11" ht="14.45" customHeight="1">
      <c r="A44" s="1718"/>
      <c r="B44" s="1756" t="s">
        <v>1412</v>
      </c>
      <c r="C44" s="1760"/>
      <c r="D44" s="1755"/>
      <c r="E44" s="1752"/>
      <c r="F44" s="1749"/>
      <c r="G44" s="1721"/>
      <c r="H44" s="1721"/>
      <c r="I44" s="1721"/>
      <c r="J44" s="918"/>
      <c r="K44" s="918"/>
    </row>
    <row r="45" spans="1:11" ht="14.45" customHeight="1">
      <c r="A45" s="1718"/>
      <c r="B45" s="1756" t="s">
        <v>122</v>
      </c>
      <c r="C45" s="1760"/>
      <c r="D45" s="1755"/>
      <c r="E45" s="1752"/>
      <c r="F45" s="1749"/>
      <c r="G45" s="1721"/>
      <c r="H45" s="1721"/>
      <c r="I45" s="1721"/>
      <c r="J45" s="918"/>
      <c r="K45" s="918"/>
    </row>
    <row r="46" spans="1:11" ht="14.45" customHeight="1">
      <c r="A46" s="1718"/>
      <c r="B46" s="1738" t="s">
        <v>46</v>
      </c>
      <c r="C46" s="1761"/>
      <c r="D46" s="1762"/>
      <c r="E46" s="1752"/>
      <c r="F46" s="1749"/>
      <c r="G46" s="1721"/>
      <c r="H46" s="1721"/>
      <c r="I46" s="1721"/>
      <c r="J46" s="918"/>
      <c r="K46" s="918"/>
    </row>
    <row r="47" spans="1:11" ht="14.45" customHeight="1">
      <c r="A47" s="1718"/>
      <c r="B47" s="1749"/>
      <c r="C47" s="1752"/>
      <c r="D47" s="1752"/>
      <c r="E47" s="1752"/>
      <c r="F47" s="1749"/>
      <c r="G47" s="1721"/>
      <c r="H47" s="1721"/>
      <c r="I47" s="1721"/>
      <c r="J47" s="918"/>
      <c r="K47" s="918"/>
    </row>
    <row r="48" spans="1:11" ht="14.45" customHeight="1">
      <c r="B48" s="65"/>
      <c r="C48" s="943"/>
      <c r="D48" s="943"/>
      <c r="E48" s="943"/>
      <c r="F48" s="65"/>
    </row>
    <row r="49" spans="2:28" ht="14.45" customHeight="1">
      <c r="B49" s="65"/>
      <c r="C49" s="943"/>
      <c r="D49" s="943"/>
      <c r="E49" s="943"/>
      <c r="F49" s="65"/>
    </row>
    <row r="50" spans="2:28" ht="14.45" customHeight="1"/>
    <row r="52" spans="2:28" ht="15" customHeight="1">
      <c r="B52" s="902" t="s">
        <v>1004</v>
      </c>
      <c r="C52" s="902"/>
      <c r="D52" s="902"/>
      <c r="E52" s="902"/>
      <c r="F52" s="902"/>
      <c r="G52" s="902"/>
      <c r="H52" s="902"/>
      <c r="I52" s="902"/>
      <c r="J52" s="902"/>
      <c r="K52" s="944"/>
      <c r="L52" s="944"/>
      <c r="M52" s="944"/>
      <c r="N52" s="944"/>
      <c r="O52" s="944"/>
      <c r="P52" s="944"/>
      <c r="Q52" s="944"/>
      <c r="R52" s="944"/>
      <c r="S52" s="944"/>
      <c r="T52" s="944"/>
      <c r="U52" s="944"/>
      <c r="V52" s="944"/>
      <c r="W52" s="944"/>
      <c r="X52" s="944"/>
      <c r="Y52" s="944"/>
      <c r="Z52" s="944"/>
      <c r="AA52" s="944"/>
      <c r="AB52" s="944"/>
    </row>
    <row r="53" spans="2:28" ht="15" customHeight="1">
      <c r="B53" s="1420" t="s">
        <v>1005</v>
      </c>
      <c r="C53" s="1420"/>
      <c r="D53" s="945" t="s">
        <v>968</v>
      </c>
      <c r="E53" s="945" t="s">
        <v>49</v>
      </c>
      <c r="F53" s="945" t="s">
        <v>971</v>
      </c>
      <c r="G53" s="945" t="s">
        <v>47</v>
      </c>
      <c r="H53" s="945" t="s">
        <v>41</v>
      </c>
      <c r="I53" s="945" t="s">
        <v>40</v>
      </c>
      <c r="J53" s="945" t="s">
        <v>126</v>
      </c>
      <c r="K53" s="945" t="s">
        <v>1063</v>
      </c>
      <c r="L53" s="945" t="s">
        <v>1064</v>
      </c>
      <c r="M53" s="945" t="s">
        <v>1057</v>
      </c>
      <c r="N53" s="945" t="s">
        <v>1061</v>
      </c>
      <c r="O53" s="945" t="s">
        <v>1059</v>
      </c>
      <c r="P53" s="945" t="s">
        <v>1060</v>
      </c>
      <c r="Q53" s="945" t="s">
        <v>1058</v>
      </c>
      <c r="R53" s="1421" t="s">
        <v>1423</v>
      </c>
      <c r="S53" s="945" t="s">
        <v>1077</v>
      </c>
      <c r="T53" s="945" t="s">
        <v>1078</v>
      </c>
      <c r="U53" s="945" t="s">
        <v>1079</v>
      </c>
      <c r="V53" s="945" t="s">
        <v>1076</v>
      </c>
      <c r="W53" s="945" t="s">
        <v>1080</v>
      </c>
      <c r="X53" s="945" t="s">
        <v>1062</v>
      </c>
      <c r="Y53" s="945" t="s">
        <v>1056</v>
      </c>
      <c r="Z53" s="945" t="s">
        <v>1033</v>
      </c>
      <c r="AA53" s="945" t="s">
        <v>1424</v>
      </c>
      <c r="AB53" s="945" t="s">
        <v>1092</v>
      </c>
    </row>
    <row r="54" spans="2:28" ht="15" customHeight="1">
      <c r="B54" s="946">
        <f t="shared" ref="B54:B64" si="2">DATE(YEAR(B55),MONTH(B55)-1,1)</f>
        <v>44378</v>
      </c>
      <c r="C54" s="947"/>
      <c r="D54" s="1422" cm="1">
        <f t="array" aca="1" ref="D54" ca="1">DSUM(MercadoBase1,D$53,INDIRECT("r"&amp;5+2*(ROW()-54)&amp;":r"&amp;6+2*(ROW()-54)))</f>
        <v>0</v>
      </c>
      <c r="E54" s="1422" cm="1">
        <f t="array" aca="1" ref="E54" ca="1">DSUM(MercadoBase1,E$53,INDIRECT("r"&amp;5+2*(ROW()-54)&amp;":r"&amp;6+2*(ROW()-54)))</f>
        <v>0</v>
      </c>
      <c r="F54" s="1422" cm="1">
        <f t="array" aca="1" ref="F54" ca="1">DSUM(MercadoBase1,F$53,INDIRECT("r"&amp;5+2*(ROW()-54)&amp;":r"&amp;6+2*(ROW()-54)))</f>
        <v>96087.199565624032</v>
      </c>
      <c r="G54" s="1422" cm="1">
        <f t="array" aca="1" ref="G54" ca="1">DSUM(MercadoBase1,G$53,INDIRECT("r"&amp;5+2*(ROW()-54)&amp;":r"&amp;6+2*(ROW()-54)))</f>
        <v>327354.35893690499</v>
      </c>
      <c r="H54" s="1422" cm="1">
        <f t="array" aca="1" ref="H54" ca="1">DSUM(MercadoBase1,H$53,INDIRECT("r"&amp;5+2*(ROW()-54)&amp;":r"&amp;6+2*(ROW()-54)))</f>
        <v>2010124.7937471888</v>
      </c>
      <c r="I54" s="1422" cm="1">
        <f t="array" aca="1" ref="I54" ca="1">DSUM(MercadoBase1,I$53,INDIRECT("r"&amp;5+2*(ROW()-54)&amp;":r"&amp;6+2*(ROW()-54)))</f>
        <v>36236.370099524633</v>
      </c>
      <c r="J54" s="1422" cm="1">
        <f t="array" aca="1" ref="J54" ca="1">DSUM(MercadoBase1,J$53,INDIRECT("r"&amp;5+2*(ROW()-54)&amp;":r"&amp;6+2*(ROW()-54)))</f>
        <v>0</v>
      </c>
      <c r="K54" s="1422" cm="1">
        <f t="array" aca="1" ref="K54" ca="1">DSUM(MercadoBase1,K$53,INDIRECT("r"&amp;5+2*(ROW()-54)&amp;":r"&amp;6+2*(ROW()-54)))</f>
        <v>0</v>
      </c>
      <c r="L54" s="1422" cm="1">
        <f t="array" aca="1" ref="L54" ca="1">DSUM(MercadoBase1,L$53,INDIRECT("r"&amp;5+2*(ROW()-54)&amp;":r"&amp;6+2*(ROW()-54)))</f>
        <v>0</v>
      </c>
      <c r="M54" s="1422" cm="1">
        <f t="array" aca="1" ref="M54" ca="1">DSUM(MercadoBase1,M$53,INDIRECT("r"&amp;5+2*(ROW()-54)&amp;":r"&amp;6+2*(ROW()-54)))</f>
        <v>0</v>
      </c>
      <c r="N54" s="1422" cm="1">
        <f t="array" aca="1" ref="N54" ca="1">DSUM(MercadoBase1,N$53,INDIRECT("r"&amp;5+2*(ROW()-54)&amp;":r"&amp;6+2*(ROW()-54)))</f>
        <v>0</v>
      </c>
      <c r="O54" s="1422" cm="1">
        <f t="array" aca="1" ref="O54" ca="1">DSUM(MercadoBase1,O$53,INDIRECT("r"&amp;5+2*(ROW()-54)&amp;":r"&amp;6+2*(ROW()-54)))</f>
        <v>0</v>
      </c>
      <c r="P54" s="1422" cm="1">
        <f t="array" aca="1" ref="P54" ca="1">DSUM(MercadoBase1,P$53,INDIRECT("r"&amp;5+2*(ROW()-54)&amp;":r"&amp;6+2*(ROW()-54)))</f>
        <v>0</v>
      </c>
      <c r="Q54" s="1423" cm="1">
        <f t="array" aca="1" ref="Q54" ca="1">DSUM(MercadoBase1,Q$53,INDIRECT("r"&amp;5+2*(ROW()-54)&amp;":r"&amp;6+2*(ROW()-54)))</f>
        <v>0</v>
      </c>
      <c r="R54" s="1424">
        <f>VLOOKUP(CAPA!$C$17,Índices!B:F,5,FALSE)/VLOOKUP(DATE(YEAR(B54),MONTH(B54),1),Índices!B:F,5,FALSE)</f>
        <v>1.0830593980554473</v>
      </c>
      <c r="S54" s="1425" cm="1">
        <f t="array" aca="1" ref="S54" ca="1">DSUM(MercadoBase1,S$53,INDIRECT("r"&amp;5+2*(ROW()-54)&amp;":r"&amp;6+2*(ROW()-54)))</f>
        <v>0</v>
      </c>
      <c r="T54" s="1422" cm="1">
        <f t="array" aca="1" ref="T54" ca="1">DSUM(MercadoBase1,T$53,INDIRECT("r"&amp;5+2*(ROW()-54)&amp;":r"&amp;6+2*(ROW()-54)))</f>
        <v>0</v>
      </c>
      <c r="U54" s="1422" cm="1">
        <f t="array" aca="1" ref="U54" ca="1">DSUM(MercadoBase1,U$53,INDIRECT("r"&amp;5+2*(ROW()-54)&amp;":r"&amp;6+2*(ROW()-54)))</f>
        <v>0</v>
      </c>
      <c r="V54" s="1422" cm="1">
        <f t="array" aca="1" ref="V54" ca="1">DSUM(MercadoBase1,V$53,INDIRECT("r"&amp;5+2*(ROW()-54)&amp;":r"&amp;6+2*(ROW()-54)))</f>
        <v>0</v>
      </c>
      <c r="W54" s="1422" cm="1">
        <f t="array" aca="1" ref="W54" ca="1">DSUM(MercadoBase1,W$53,INDIRECT("r"&amp;5+2*(ROW()-54)&amp;":r"&amp;6+2*(ROW()-54)))</f>
        <v>0</v>
      </c>
      <c r="X54" s="1422" cm="1">
        <f t="array" aca="1" ref="X54" ca="1">DSUM(MercadoBase1,X$53,INDIRECT("r"&amp;5+2*(ROW()-54)&amp;":r"&amp;6+2*(ROW()-54)))</f>
        <v>0</v>
      </c>
      <c r="Y54" s="1422" cm="1">
        <f t="array" aca="1" ref="Y54" ca="1">DSUM(MercadoBase1,Y$53,INDIRECT("r"&amp;5+2*(ROW()-54)&amp;":r"&amp;6+2*(ROW()-54)))</f>
        <v>0</v>
      </c>
      <c r="Z54" s="1422" cm="1">
        <f t="array" aca="1" ref="Z54" ca="1">DSUM(MercadoBase1,Z$53,INDIRECT("r"&amp;5+2*(ROW()-54)&amp;":r"&amp;6+2*(ROW()-54)))</f>
        <v>7168259.0482107084</v>
      </c>
      <c r="AA54" s="1422" cm="1">
        <f t="array" aca="1" ref="AA54" ca="1">DSUM(MercadoBase1,AA$53,INDIRECT("r"&amp;5+2*(ROW()-54)&amp;":r"&amp;6+2*(ROW()-54)))</f>
        <v>0</v>
      </c>
      <c r="AB54" s="1422" cm="1">
        <f t="array" aca="1" ref="AB54" ca="1">DSUM(MercadoBase1,AB$53,INDIRECT("r"&amp;5+2*(ROW()-54)&amp;":r"&amp;6+2*(ROW()-54)))</f>
        <v>0</v>
      </c>
    </row>
    <row r="55" spans="2:28" ht="15" customHeight="1">
      <c r="B55" s="946">
        <f t="shared" si="2"/>
        <v>44409</v>
      </c>
      <c r="C55" s="947"/>
      <c r="D55" s="948" cm="1">
        <f t="array" aca="1" ref="D55" ca="1">DSUM(MercadoBase1,D$53,INDIRECT("r"&amp;5+2*(ROW()-54)&amp;":r"&amp;6+2*(ROW()-54)))</f>
        <v>0</v>
      </c>
      <c r="E55" s="948" cm="1">
        <f t="array" aca="1" ref="E55" ca="1">DSUM(MercadoBase1,E$53,INDIRECT("r"&amp;5+2*(ROW()-54)&amp;":r"&amp;6+2*(ROW()-54)))</f>
        <v>0</v>
      </c>
      <c r="F55" s="948" cm="1">
        <f t="array" aca="1" ref="F55" ca="1">DSUM(MercadoBase1,F$53,INDIRECT("r"&amp;5+2*(ROW()-54)&amp;":r"&amp;6+2*(ROW()-54)))</f>
        <v>96838.35035997229</v>
      </c>
      <c r="G55" s="948" cm="1">
        <f t="array" aca="1" ref="G55" ca="1">DSUM(MercadoBase1,G$53,INDIRECT("r"&amp;5+2*(ROW()-54)&amp;":r"&amp;6+2*(ROW()-54)))</f>
        <v>330248.54688562389</v>
      </c>
      <c r="H55" s="948" cm="1">
        <f t="array" aca="1" ref="H55" ca="1">DSUM(MercadoBase1,H$53,INDIRECT("r"&amp;5+2*(ROW()-54)&amp;":r"&amp;6+2*(ROW()-54)))</f>
        <v>2024847.3019745087</v>
      </c>
      <c r="I55" s="948" cm="1">
        <f t="array" aca="1" ref="I55" ca="1">DSUM(MercadoBase1,I$53,INDIRECT("r"&amp;5+2*(ROW()-54)&amp;":r"&amp;6+2*(ROW()-54)))</f>
        <v>36399.735008022333</v>
      </c>
      <c r="J55" s="948" cm="1">
        <f t="array" aca="1" ref="J55" ca="1">DSUM(MercadoBase1,J$53,INDIRECT("r"&amp;5+2*(ROW()-54)&amp;":r"&amp;6+2*(ROW()-54)))</f>
        <v>0</v>
      </c>
      <c r="K55" s="948" cm="1">
        <f t="array" aca="1" ref="K55" ca="1">DSUM(MercadoBase1,K$53,INDIRECT("r"&amp;5+2*(ROW()-54)&amp;":r"&amp;6+2*(ROW()-54)))</f>
        <v>0</v>
      </c>
      <c r="L55" s="948" cm="1">
        <f t="array" aca="1" ref="L55" ca="1">DSUM(MercadoBase1,L$53,INDIRECT("r"&amp;5+2*(ROW()-54)&amp;":r"&amp;6+2*(ROW()-54)))</f>
        <v>0</v>
      </c>
      <c r="M55" s="948" cm="1">
        <f t="array" aca="1" ref="M55" ca="1">DSUM(MercadoBase1,M$53,INDIRECT("r"&amp;5+2*(ROW()-54)&amp;":r"&amp;6+2*(ROW()-54)))</f>
        <v>0</v>
      </c>
      <c r="N55" s="948" cm="1">
        <f t="array" aca="1" ref="N55" ca="1">DSUM(MercadoBase1,N$53,INDIRECT("r"&amp;5+2*(ROW()-54)&amp;":r"&amp;6+2*(ROW()-54)))</f>
        <v>0</v>
      </c>
      <c r="O55" s="948" cm="1">
        <f t="array" aca="1" ref="O55" ca="1">DSUM(MercadoBase1,O$53,INDIRECT("r"&amp;5+2*(ROW()-54)&amp;":r"&amp;6+2*(ROW()-54)))</f>
        <v>0</v>
      </c>
      <c r="P55" s="948" cm="1">
        <f t="array" aca="1" ref="P55" ca="1">DSUM(MercadoBase1,P$53,INDIRECT("r"&amp;5+2*(ROW()-54)&amp;":r"&amp;6+2*(ROW()-54)))</f>
        <v>0</v>
      </c>
      <c r="Q55" s="953" cm="1">
        <f t="array" aca="1" ref="Q55" ca="1">DSUM(MercadoBase1,Q$53,INDIRECT("r"&amp;5+2*(ROW()-54)&amp;":r"&amp;6+2*(ROW()-54)))</f>
        <v>0</v>
      </c>
      <c r="R55" s="949">
        <f>VLOOKUP(CAPA!$C$17,Índices!B:F,5,FALSE)/VLOOKUP(DATE(YEAR(B55),MONTH(B55),1),Índices!B:F,5,FALSE)</f>
        <v>1.0784441695152505</v>
      </c>
      <c r="S55" s="955" cm="1">
        <f t="array" aca="1" ref="S55" ca="1">DSUM(MercadoBase1,S$53,INDIRECT("r"&amp;5+2*(ROW()-54)&amp;":r"&amp;6+2*(ROW()-54)))</f>
        <v>0</v>
      </c>
      <c r="T55" s="948" cm="1">
        <f t="array" aca="1" ref="T55" ca="1">DSUM(MercadoBase1,T$53,INDIRECT("r"&amp;5+2*(ROW()-54)&amp;":r"&amp;6+2*(ROW()-54)))</f>
        <v>0</v>
      </c>
      <c r="U55" s="948" cm="1">
        <f t="array" aca="1" ref="U55" ca="1">DSUM(MercadoBase1,U$53,INDIRECT("r"&amp;5+2*(ROW()-54)&amp;":r"&amp;6+2*(ROW()-54)))</f>
        <v>0</v>
      </c>
      <c r="V55" s="948" cm="1">
        <f t="array" aca="1" ref="V55" ca="1">DSUM(MercadoBase1,V$53,INDIRECT("r"&amp;5+2*(ROW()-54)&amp;":r"&amp;6+2*(ROW()-54)))</f>
        <v>0</v>
      </c>
      <c r="W55" s="948" cm="1">
        <f t="array" aca="1" ref="W55" ca="1">DSUM(MercadoBase1,W$53,INDIRECT("r"&amp;5+2*(ROW()-54)&amp;":r"&amp;6+2*(ROW()-54)))</f>
        <v>0</v>
      </c>
      <c r="X55" s="948" cm="1">
        <f t="array" aca="1" ref="X55" ca="1">DSUM(MercadoBase1,X$53,INDIRECT("r"&amp;5+2*(ROW()-54)&amp;":r"&amp;6+2*(ROW()-54)))</f>
        <v>0</v>
      </c>
      <c r="Y55" s="948" cm="1">
        <f t="array" aca="1" ref="Y55" ca="1">DSUM(MercadoBase1,Y$53,INDIRECT("r"&amp;5+2*(ROW()-54)&amp;":r"&amp;6+2*(ROW()-54)))</f>
        <v>0</v>
      </c>
      <c r="Z55" s="948" cm="1">
        <f t="array" aca="1" ref="Z55" ca="1">DSUM(MercadoBase1,Z$53,INDIRECT("r"&amp;5+2*(ROW()-54)&amp;":r"&amp;6+2*(ROW()-54)))</f>
        <v>7139269.6384511655</v>
      </c>
      <c r="AA55" s="948" cm="1">
        <f t="array" aca="1" ref="AA55" ca="1">DSUM(MercadoBase1,AA$53,INDIRECT("r"&amp;5+2*(ROW()-54)&amp;":r"&amp;6+2*(ROW()-54)))</f>
        <v>0</v>
      </c>
      <c r="AB55" s="948" cm="1">
        <f t="array" aca="1" ref="AB55" ca="1">DSUM(MercadoBase1,AB$53,INDIRECT("r"&amp;5+2*(ROW()-54)&amp;":r"&amp;6+2*(ROW()-54)))</f>
        <v>0</v>
      </c>
    </row>
    <row r="56" spans="2:28" ht="15" customHeight="1">
      <c r="B56" s="946">
        <f t="shared" si="2"/>
        <v>44440</v>
      </c>
      <c r="C56" s="947"/>
      <c r="D56" s="948" cm="1">
        <f t="array" aca="1" ref="D56" ca="1">DSUM(MercadoBase1,D$53,INDIRECT("r"&amp;5+2*(ROW()-54)&amp;":r"&amp;6+2*(ROW()-54)))</f>
        <v>0</v>
      </c>
      <c r="E56" s="948" cm="1">
        <f t="array" aca="1" ref="E56" ca="1">DSUM(MercadoBase1,E$53,INDIRECT("r"&amp;5+2*(ROW()-54)&amp;":r"&amp;6+2*(ROW()-54)))</f>
        <v>0</v>
      </c>
      <c r="F56" s="948" cm="1">
        <f t="array" aca="1" ref="F56" ca="1">DSUM(MercadoBase1,F$53,INDIRECT("r"&amp;5+2*(ROW()-54)&amp;":r"&amp;6+2*(ROW()-54)))</f>
        <v>87390.883338210537</v>
      </c>
      <c r="G56" s="948" cm="1">
        <f t="array" aca="1" ref="G56" ca="1">DSUM(MercadoBase1,G$53,INDIRECT("r"&amp;5+2*(ROW()-54)&amp;":r"&amp;6+2*(ROW()-54)))</f>
        <v>322210.35819714662</v>
      </c>
      <c r="H56" s="948" cm="1">
        <f t="array" aca="1" ref="H56" ca="1">DSUM(MercadoBase1,H$53,INDIRECT("r"&amp;5+2*(ROW()-54)&amp;":r"&amp;6+2*(ROW()-54)))</f>
        <v>1977176.3848231749</v>
      </c>
      <c r="I56" s="948" cm="1">
        <f t="array" aca="1" ref="I56" ca="1">DSUM(MercadoBase1,I$53,INDIRECT("r"&amp;5+2*(ROW()-54)&amp;":r"&amp;6+2*(ROW()-54)))</f>
        <v>35596.860384846492</v>
      </c>
      <c r="J56" s="948" cm="1">
        <f t="array" aca="1" ref="J56" ca="1">DSUM(MercadoBase1,J$53,INDIRECT("r"&amp;5+2*(ROW()-54)&amp;":r"&amp;6+2*(ROW()-54)))</f>
        <v>0</v>
      </c>
      <c r="K56" s="948" cm="1">
        <f t="array" aca="1" ref="K56" ca="1">DSUM(MercadoBase1,K$53,INDIRECT("r"&amp;5+2*(ROW()-54)&amp;":r"&amp;6+2*(ROW()-54)))</f>
        <v>0</v>
      </c>
      <c r="L56" s="948" cm="1">
        <f t="array" aca="1" ref="L56" ca="1">DSUM(MercadoBase1,L$53,INDIRECT("r"&amp;5+2*(ROW()-54)&amp;":r"&amp;6+2*(ROW()-54)))</f>
        <v>0</v>
      </c>
      <c r="M56" s="948" cm="1">
        <f t="array" aca="1" ref="M56" ca="1">DSUM(MercadoBase1,M$53,INDIRECT("r"&amp;5+2*(ROW()-54)&amp;":r"&amp;6+2*(ROW()-54)))</f>
        <v>0</v>
      </c>
      <c r="N56" s="948" cm="1">
        <f t="array" aca="1" ref="N56" ca="1">DSUM(MercadoBase1,N$53,INDIRECT("r"&amp;5+2*(ROW()-54)&amp;":r"&amp;6+2*(ROW()-54)))</f>
        <v>0</v>
      </c>
      <c r="O56" s="948" cm="1">
        <f t="array" aca="1" ref="O56" ca="1">DSUM(MercadoBase1,O$53,INDIRECT("r"&amp;5+2*(ROW()-54)&amp;":r"&amp;6+2*(ROW()-54)))</f>
        <v>0</v>
      </c>
      <c r="P56" s="948" cm="1">
        <f t="array" aca="1" ref="P56" ca="1">DSUM(MercadoBase1,P$53,INDIRECT("r"&amp;5+2*(ROW()-54)&amp;":r"&amp;6+2*(ROW()-54)))</f>
        <v>0</v>
      </c>
      <c r="Q56" s="953" cm="1">
        <f t="array" aca="1" ref="Q56" ca="1">DSUM(MercadoBase1,Q$53,INDIRECT("r"&amp;5+2*(ROW()-54)&amp;":r"&amp;6+2*(ROW()-54)))</f>
        <v>0</v>
      </c>
      <c r="R56" s="949">
        <f>VLOOKUP(CAPA!$C$17,Índices!B:F,5,FALSE)/VLOOKUP(DATE(YEAR(B56),MONTH(B56),1),Índices!B:F,5,FALSE)</f>
        <v>1.073698429626083</v>
      </c>
      <c r="S56" s="955" cm="1">
        <f t="array" aca="1" ref="S56" ca="1">DSUM(MercadoBase1,S$53,INDIRECT("r"&amp;5+2*(ROW()-54)&amp;":r"&amp;6+2*(ROW()-54)))</f>
        <v>0</v>
      </c>
      <c r="T56" s="948" cm="1">
        <f t="array" aca="1" ref="T56" ca="1">DSUM(MercadoBase1,T$53,INDIRECT("r"&amp;5+2*(ROW()-54)&amp;":r"&amp;6+2*(ROW()-54)))</f>
        <v>0</v>
      </c>
      <c r="U56" s="948" cm="1">
        <f t="array" aca="1" ref="U56" ca="1">DSUM(MercadoBase1,U$53,INDIRECT("r"&amp;5+2*(ROW()-54)&amp;":r"&amp;6+2*(ROW()-54)))</f>
        <v>0</v>
      </c>
      <c r="V56" s="948" cm="1">
        <f t="array" aca="1" ref="V56" ca="1">DSUM(MercadoBase1,V$53,INDIRECT("r"&amp;5+2*(ROW()-54)&amp;":r"&amp;6+2*(ROW()-54)))</f>
        <v>0</v>
      </c>
      <c r="W56" s="948" cm="1">
        <f t="array" aca="1" ref="W56" ca="1">DSUM(MercadoBase1,W$53,INDIRECT("r"&amp;5+2*(ROW()-54)&amp;":r"&amp;6+2*(ROW()-54)))</f>
        <v>0</v>
      </c>
      <c r="X56" s="948" cm="1">
        <f t="array" aca="1" ref="X56" ca="1">DSUM(MercadoBase1,X$53,INDIRECT("r"&amp;5+2*(ROW()-54)&amp;":r"&amp;6+2*(ROW()-54)))</f>
        <v>0</v>
      </c>
      <c r="Y56" s="948" cm="1">
        <f t="array" aca="1" ref="Y56" ca="1">DSUM(MercadoBase1,Y$53,INDIRECT("r"&amp;5+2*(ROW()-54)&amp;":r"&amp;6+2*(ROW()-54)))</f>
        <v>0</v>
      </c>
      <c r="Z56" s="948" cm="1">
        <f t="array" aca="1" ref="Z56" ca="1">DSUM(MercadoBase1,Z$53,INDIRECT("r"&amp;5+2*(ROW()-54)&amp;":r"&amp;6+2*(ROW()-54)))</f>
        <v>7032754.3235494485</v>
      </c>
      <c r="AA56" s="948" cm="1">
        <f t="array" aca="1" ref="AA56" ca="1">DSUM(MercadoBase1,AA$53,INDIRECT("r"&amp;5+2*(ROW()-54)&amp;":r"&amp;6+2*(ROW()-54)))</f>
        <v>0</v>
      </c>
      <c r="AB56" s="948" cm="1">
        <f t="array" aca="1" ref="AB56" ca="1">DSUM(MercadoBase1,AB$53,INDIRECT("r"&amp;5+2*(ROW()-54)&amp;":r"&amp;6+2*(ROW()-54)))</f>
        <v>0</v>
      </c>
    </row>
    <row r="57" spans="2:28" ht="15" customHeight="1">
      <c r="B57" s="946">
        <f t="shared" si="2"/>
        <v>44470</v>
      </c>
      <c r="C57" s="947"/>
      <c r="D57" s="948" cm="1">
        <f t="array" aca="1" ref="D57" ca="1">DSUM(MercadoBase1,D$53,INDIRECT("r"&amp;5+2*(ROW()-54)&amp;":r"&amp;6+2*(ROW()-54)))</f>
        <v>0</v>
      </c>
      <c r="E57" s="948" cm="1">
        <f t="array" aca="1" ref="E57" ca="1">DSUM(MercadoBase1,E$53,INDIRECT("r"&amp;5+2*(ROW()-54)&amp;":r"&amp;6+2*(ROW()-54)))</f>
        <v>0</v>
      </c>
      <c r="F57" s="948" cm="1">
        <f t="array" aca="1" ref="F57" ca="1">DSUM(MercadoBase1,F$53,INDIRECT("r"&amp;5+2*(ROW()-54)&amp;":r"&amp;6+2*(ROW()-54)))</f>
        <v>85290.964429062282</v>
      </c>
      <c r="G57" s="948" cm="1">
        <f t="array" aca="1" ref="G57" ca="1">DSUM(MercadoBase1,G$53,INDIRECT("r"&amp;5+2*(ROW()-54)&amp;":r"&amp;6+2*(ROW()-54)))</f>
        <v>315627.13957508182</v>
      </c>
      <c r="H57" s="948" cm="1">
        <f t="array" aca="1" ref="H57" ca="1">DSUM(MercadoBase1,H$53,INDIRECT("r"&amp;5+2*(ROW()-54)&amp;":r"&amp;6+2*(ROW()-54)))</f>
        <v>1932868.9599389301</v>
      </c>
      <c r="I57" s="948" cm="1">
        <f t="array" aca="1" ref="I57" ca="1">DSUM(MercadoBase1,I$53,INDIRECT("r"&amp;5+2*(ROW()-54)&amp;":r"&amp;6+2*(ROW()-54)))</f>
        <v>34664.60954131672</v>
      </c>
      <c r="J57" s="948" cm="1">
        <f t="array" aca="1" ref="J57" ca="1">DSUM(MercadoBase1,J$53,INDIRECT("r"&amp;5+2*(ROW()-54)&amp;":r"&amp;6+2*(ROW()-54)))</f>
        <v>0</v>
      </c>
      <c r="K57" s="948" cm="1">
        <f t="array" aca="1" ref="K57" ca="1">DSUM(MercadoBase1,K$53,INDIRECT("r"&amp;5+2*(ROW()-54)&amp;":r"&amp;6+2*(ROW()-54)))</f>
        <v>0</v>
      </c>
      <c r="L57" s="948" cm="1">
        <f t="array" aca="1" ref="L57" ca="1">DSUM(MercadoBase1,L$53,INDIRECT("r"&amp;5+2*(ROW()-54)&amp;":r"&amp;6+2*(ROW()-54)))</f>
        <v>0</v>
      </c>
      <c r="M57" s="948" cm="1">
        <f t="array" aca="1" ref="M57" ca="1">DSUM(MercadoBase1,M$53,INDIRECT("r"&amp;5+2*(ROW()-54)&amp;":r"&amp;6+2*(ROW()-54)))</f>
        <v>0</v>
      </c>
      <c r="N57" s="948" cm="1">
        <f t="array" aca="1" ref="N57" ca="1">DSUM(MercadoBase1,N$53,INDIRECT("r"&amp;5+2*(ROW()-54)&amp;":r"&amp;6+2*(ROW()-54)))</f>
        <v>0</v>
      </c>
      <c r="O57" s="948" cm="1">
        <f t="array" aca="1" ref="O57" ca="1">DSUM(MercadoBase1,O$53,INDIRECT("r"&amp;5+2*(ROW()-54)&amp;":r"&amp;6+2*(ROW()-54)))</f>
        <v>0</v>
      </c>
      <c r="P57" s="948" cm="1">
        <f t="array" aca="1" ref="P57" ca="1">DSUM(MercadoBase1,P$53,INDIRECT("r"&amp;5+2*(ROW()-54)&amp;":r"&amp;6+2*(ROW()-54)))</f>
        <v>0</v>
      </c>
      <c r="Q57" s="953" cm="1">
        <f t="array" aca="1" ref="Q57" ca="1">DSUM(MercadoBase1,Q$53,INDIRECT("r"&amp;5+2*(ROW()-54)&amp;":r"&amp;6+2*(ROW()-54)))</f>
        <v>0</v>
      </c>
      <c r="R57" s="949">
        <f>VLOOKUP(CAPA!$C$17,Índices!B:F,5,FALSE)/VLOOKUP(DATE(YEAR(B57),MONTH(B57),1),Índices!B:F,5,FALSE)</f>
        <v>1.0685055343738492</v>
      </c>
      <c r="S57" s="955" cm="1">
        <f t="array" aca="1" ref="S57" ca="1">DSUM(MercadoBase1,S$53,INDIRECT("r"&amp;5+2*(ROW()-54)&amp;":r"&amp;6+2*(ROW()-54)))</f>
        <v>0</v>
      </c>
      <c r="T57" s="948" cm="1">
        <f t="array" aca="1" ref="T57" ca="1">DSUM(MercadoBase1,T$53,INDIRECT("r"&amp;5+2*(ROW()-54)&amp;":r"&amp;6+2*(ROW()-54)))</f>
        <v>0</v>
      </c>
      <c r="U57" s="948" cm="1">
        <f t="array" aca="1" ref="U57" ca="1">DSUM(MercadoBase1,U$53,INDIRECT("r"&amp;5+2*(ROW()-54)&amp;":r"&amp;6+2*(ROW()-54)))</f>
        <v>0</v>
      </c>
      <c r="V57" s="948" cm="1">
        <f t="array" aca="1" ref="V57" ca="1">DSUM(MercadoBase1,V$53,INDIRECT("r"&amp;5+2*(ROW()-54)&amp;":r"&amp;6+2*(ROW()-54)))</f>
        <v>0</v>
      </c>
      <c r="W57" s="948" cm="1">
        <f t="array" aca="1" ref="W57" ca="1">DSUM(MercadoBase1,W$53,INDIRECT("r"&amp;5+2*(ROW()-54)&amp;":r"&amp;6+2*(ROW()-54)))</f>
        <v>0</v>
      </c>
      <c r="X57" s="948" cm="1">
        <f t="array" aca="1" ref="X57" ca="1">DSUM(MercadoBase1,X$53,INDIRECT("r"&amp;5+2*(ROW()-54)&amp;":r"&amp;6+2*(ROW()-54)))</f>
        <v>0</v>
      </c>
      <c r="Y57" s="948" cm="1">
        <f t="array" aca="1" ref="Y57" ca="1">DSUM(MercadoBase1,Y$53,INDIRECT("r"&amp;5+2*(ROW()-54)&amp;":r"&amp;6+2*(ROW()-54)))</f>
        <v>0</v>
      </c>
      <c r="Z57" s="948" cm="1">
        <f t="array" aca="1" ref="Z57" ca="1">DSUM(MercadoBase1,Z$53,INDIRECT("r"&amp;5+2*(ROW()-54)&amp;":r"&amp;6+2*(ROW()-54)))</f>
        <v>6807706.6946990024</v>
      </c>
      <c r="AA57" s="948" cm="1">
        <f t="array" aca="1" ref="AA57" ca="1">DSUM(MercadoBase1,AA$53,INDIRECT("r"&amp;5+2*(ROW()-54)&amp;":r"&amp;6+2*(ROW()-54)))</f>
        <v>0</v>
      </c>
      <c r="AB57" s="948" cm="1">
        <f t="array" aca="1" ref="AB57" ca="1">DSUM(MercadoBase1,AB$53,INDIRECT("r"&amp;5+2*(ROW()-54)&amp;":r"&amp;6+2*(ROW()-54)))</f>
        <v>0</v>
      </c>
    </row>
    <row r="58" spans="2:28" ht="15" customHeight="1">
      <c r="B58" s="946">
        <f t="shared" si="2"/>
        <v>44501</v>
      </c>
      <c r="C58" s="947"/>
      <c r="D58" s="948" cm="1">
        <f t="array" aca="1" ref="D58" ca="1">DSUM(MercadoBase1,D$53,INDIRECT("r"&amp;5+2*(ROW()-54)&amp;":r"&amp;6+2*(ROW()-54)))</f>
        <v>0</v>
      </c>
      <c r="E58" s="948" cm="1">
        <f t="array" aca="1" ref="E58" ca="1">DSUM(MercadoBase1,E$53,INDIRECT("r"&amp;5+2*(ROW()-54)&amp;":r"&amp;6+2*(ROW()-54)))</f>
        <v>0</v>
      </c>
      <c r="F58" s="948" cm="1">
        <f t="array" aca="1" ref="F58" ca="1">DSUM(MercadoBase1,F$53,INDIRECT("r"&amp;5+2*(ROW()-54)&amp;":r"&amp;6+2*(ROW()-54)))</f>
        <v>89863.698410792058</v>
      </c>
      <c r="G58" s="948" cm="1">
        <f t="array" aca="1" ref="G58" ca="1">DSUM(MercadoBase1,G$53,INDIRECT("r"&amp;5+2*(ROW()-54)&amp;":r"&amp;6+2*(ROW()-54)))</f>
        <v>331499.6371620206</v>
      </c>
      <c r="H58" s="948" cm="1">
        <f t="array" aca="1" ref="H58" ca="1">DSUM(MercadoBase1,H$53,INDIRECT("r"&amp;5+2*(ROW()-54)&amp;":r"&amp;6+2*(ROW()-54)))</f>
        <v>2035995.883875248</v>
      </c>
      <c r="I58" s="948" cm="1">
        <f t="array" aca="1" ref="I58" ca="1">DSUM(MercadoBase1,I$53,INDIRECT("r"&amp;5+2*(ROW()-54)&amp;":r"&amp;6+2*(ROW()-54)))</f>
        <v>36721.291135120075</v>
      </c>
      <c r="J58" s="948" cm="1">
        <f t="array" aca="1" ref="J58" ca="1">DSUM(MercadoBase1,J$53,INDIRECT("r"&amp;5+2*(ROW()-54)&amp;":r"&amp;6+2*(ROW()-54)))</f>
        <v>0</v>
      </c>
      <c r="K58" s="948" cm="1">
        <f t="array" aca="1" ref="K58" ca="1">DSUM(MercadoBase1,K$53,INDIRECT("r"&amp;5+2*(ROW()-54)&amp;":r"&amp;6+2*(ROW()-54)))</f>
        <v>0</v>
      </c>
      <c r="L58" s="948" cm="1">
        <f t="array" aca="1" ref="L58" ca="1">DSUM(MercadoBase1,L$53,INDIRECT("r"&amp;5+2*(ROW()-54)&amp;":r"&amp;6+2*(ROW()-54)))</f>
        <v>0</v>
      </c>
      <c r="M58" s="948" cm="1">
        <f t="array" aca="1" ref="M58" ca="1">DSUM(MercadoBase1,M$53,INDIRECT("r"&amp;5+2*(ROW()-54)&amp;":r"&amp;6+2*(ROW()-54)))</f>
        <v>0</v>
      </c>
      <c r="N58" s="948" cm="1">
        <f t="array" aca="1" ref="N58" ca="1">DSUM(MercadoBase1,N$53,INDIRECT("r"&amp;5+2*(ROW()-54)&amp;":r"&amp;6+2*(ROW()-54)))</f>
        <v>0</v>
      </c>
      <c r="O58" s="948" cm="1">
        <f t="array" aca="1" ref="O58" ca="1">DSUM(MercadoBase1,O$53,INDIRECT("r"&amp;5+2*(ROW()-54)&amp;":r"&amp;6+2*(ROW()-54)))</f>
        <v>0</v>
      </c>
      <c r="P58" s="948" cm="1">
        <f t="array" aca="1" ref="P58" ca="1">DSUM(MercadoBase1,P$53,INDIRECT("r"&amp;5+2*(ROW()-54)&amp;":r"&amp;6+2*(ROW()-54)))</f>
        <v>0</v>
      </c>
      <c r="Q58" s="953" cm="1">
        <f t="array" aca="1" ref="Q58" ca="1">DSUM(MercadoBase1,Q$53,INDIRECT("r"&amp;5+2*(ROW()-54)&amp;":r"&amp;6+2*(ROW()-54)))</f>
        <v>0</v>
      </c>
      <c r="R58" s="949">
        <f>VLOOKUP(CAPA!$C$17,Índices!B:F,5,FALSE)/VLOOKUP(DATE(YEAR(B58),MONTH(B58),1),Índices!B:F,5,FALSE)</f>
        <v>1.0622726591714087</v>
      </c>
      <c r="S58" s="955" cm="1">
        <f t="array" aca="1" ref="S58" ca="1">DSUM(MercadoBase1,S$53,INDIRECT("r"&amp;5+2*(ROW()-54)&amp;":r"&amp;6+2*(ROW()-54)))</f>
        <v>0</v>
      </c>
      <c r="T58" s="948" cm="1">
        <f t="array" aca="1" ref="T58" ca="1">DSUM(MercadoBase1,T$53,INDIRECT("r"&amp;5+2*(ROW()-54)&amp;":r"&amp;6+2*(ROW()-54)))</f>
        <v>0</v>
      </c>
      <c r="U58" s="948" cm="1">
        <f t="array" aca="1" ref="U58" ca="1">DSUM(MercadoBase1,U$53,INDIRECT("r"&amp;5+2*(ROW()-54)&amp;":r"&amp;6+2*(ROW()-54)))</f>
        <v>0</v>
      </c>
      <c r="V58" s="948" cm="1">
        <f t="array" aca="1" ref="V58" ca="1">DSUM(MercadoBase1,V$53,INDIRECT("r"&amp;5+2*(ROW()-54)&amp;":r"&amp;6+2*(ROW()-54)))</f>
        <v>0</v>
      </c>
      <c r="W58" s="948" cm="1">
        <f t="array" aca="1" ref="W58" ca="1">DSUM(MercadoBase1,W$53,INDIRECT("r"&amp;5+2*(ROW()-54)&amp;":r"&amp;6+2*(ROW()-54)))</f>
        <v>0</v>
      </c>
      <c r="X58" s="948" cm="1">
        <f t="array" aca="1" ref="X58" ca="1">DSUM(MercadoBase1,X$53,INDIRECT("r"&amp;5+2*(ROW()-54)&amp;":r"&amp;6+2*(ROW()-54)))</f>
        <v>0</v>
      </c>
      <c r="Y58" s="948" cm="1">
        <f t="array" aca="1" ref="Y58" ca="1">DSUM(MercadoBase1,Y$53,INDIRECT("r"&amp;5+2*(ROW()-54)&amp;":r"&amp;6+2*(ROW()-54)))</f>
        <v>0</v>
      </c>
      <c r="Z58" s="948" cm="1">
        <f t="array" aca="1" ref="Z58" ca="1">DSUM(MercadoBase1,Z$53,INDIRECT("r"&amp;5+2*(ROW()-54)&amp;":r"&amp;6+2*(ROW()-54)))</f>
        <v>7237529.8831573986</v>
      </c>
      <c r="AA58" s="948" cm="1">
        <f t="array" aca="1" ref="AA58" ca="1">DSUM(MercadoBase1,AA$53,INDIRECT("r"&amp;5+2*(ROW()-54)&amp;":r"&amp;6+2*(ROW()-54)))</f>
        <v>0</v>
      </c>
      <c r="AB58" s="948" cm="1">
        <f t="array" aca="1" ref="AB58" ca="1">DSUM(MercadoBase1,AB$53,INDIRECT("r"&amp;5+2*(ROW()-54)&amp;":r"&amp;6+2*(ROW()-54)))</f>
        <v>0</v>
      </c>
    </row>
    <row r="59" spans="2:28" ht="15" customHeight="1">
      <c r="B59" s="946">
        <f t="shared" si="2"/>
        <v>44531</v>
      </c>
      <c r="C59" s="947"/>
      <c r="D59" s="948" cm="1">
        <f t="array" aca="1" ref="D59" ca="1">DSUM(MercadoBase1,D$53,INDIRECT("r"&amp;5+2*(ROW()-54)&amp;":r"&amp;6+2*(ROW()-54)))</f>
        <v>0</v>
      </c>
      <c r="E59" s="948" cm="1">
        <f t="array" aca="1" ref="E59" ca="1">DSUM(MercadoBase1,E$53,INDIRECT("r"&amp;5+2*(ROW()-54)&amp;":r"&amp;6+2*(ROW()-54)))</f>
        <v>0</v>
      </c>
      <c r="F59" s="948" cm="1">
        <f t="array" aca="1" ref="F59" ca="1">DSUM(MercadoBase1,F$53,INDIRECT("r"&amp;5+2*(ROW()-54)&amp;":r"&amp;6+2*(ROW()-54)))</f>
        <v>90884.081997213245</v>
      </c>
      <c r="G59" s="948" cm="1">
        <f t="array" aca="1" ref="G59" ca="1">DSUM(MercadoBase1,G$53,INDIRECT("r"&amp;5+2*(ROW()-54)&amp;":r"&amp;6+2*(ROW()-54)))</f>
        <v>332775.81511299813</v>
      </c>
      <c r="H59" s="948" cm="1">
        <f t="array" aca="1" ref="H59" ca="1">DSUM(MercadoBase1,H$53,INDIRECT("r"&amp;5+2*(ROW()-54)&amp;":r"&amp;6+2*(ROW()-54)))</f>
        <v>2046112.197959872</v>
      </c>
      <c r="I59" s="948" cm="1">
        <f t="array" aca="1" ref="I59" ca="1">DSUM(MercadoBase1,I$53,INDIRECT("r"&amp;5+2*(ROW()-54)&amp;":r"&amp;6+2*(ROW()-54)))</f>
        <v>36977.58927453083</v>
      </c>
      <c r="J59" s="948" cm="1">
        <f t="array" aca="1" ref="J59" ca="1">DSUM(MercadoBase1,J$53,INDIRECT("r"&amp;5+2*(ROW()-54)&amp;":r"&amp;6+2*(ROW()-54)))</f>
        <v>0</v>
      </c>
      <c r="K59" s="948" cm="1">
        <f t="array" aca="1" ref="K59" ca="1">DSUM(MercadoBase1,K$53,INDIRECT("r"&amp;5+2*(ROW()-54)&amp;":r"&amp;6+2*(ROW()-54)))</f>
        <v>0</v>
      </c>
      <c r="L59" s="948" cm="1">
        <f t="array" aca="1" ref="L59" ca="1">DSUM(MercadoBase1,L$53,INDIRECT("r"&amp;5+2*(ROW()-54)&amp;":r"&amp;6+2*(ROW()-54)))</f>
        <v>0</v>
      </c>
      <c r="M59" s="948" cm="1">
        <f t="array" aca="1" ref="M59" ca="1">DSUM(MercadoBase1,M$53,INDIRECT("r"&amp;5+2*(ROW()-54)&amp;":r"&amp;6+2*(ROW()-54)))</f>
        <v>0</v>
      </c>
      <c r="N59" s="948" cm="1">
        <f t="array" aca="1" ref="N59" ca="1">DSUM(MercadoBase1,N$53,INDIRECT("r"&amp;5+2*(ROW()-54)&amp;":r"&amp;6+2*(ROW()-54)))</f>
        <v>0</v>
      </c>
      <c r="O59" s="948" cm="1">
        <f t="array" aca="1" ref="O59" ca="1">DSUM(MercadoBase1,O$53,INDIRECT("r"&amp;5+2*(ROW()-54)&amp;":r"&amp;6+2*(ROW()-54)))</f>
        <v>0</v>
      </c>
      <c r="P59" s="948" cm="1">
        <f t="array" aca="1" ref="P59" ca="1">DSUM(MercadoBase1,P$53,INDIRECT("r"&amp;5+2*(ROW()-54)&amp;":r"&amp;6+2*(ROW()-54)))</f>
        <v>0</v>
      </c>
      <c r="Q59" s="953" cm="1">
        <f t="array" aca="1" ref="Q59" ca="1">DSUM(MercadoBase1,Q$53,INDIRECT("r"&amp;5+2*(ROW()-54)&amp;":r"&amp;6+2*(ROW()-54)))</f>
        <v>0</v>
      </c>
      <c r="R59" s="949">
        <f>VLOOKUP(CAPA!$C$17,Índices!B:F,5,FALSE)/VLOOKUP(DATE(YEAR(B59),MONTH(B59),1),Índices!B:F,5,FALSE)</f>
        <v>1.0541652525590945</v>
      </c>
      <c r="S59" s="955" cm="1">
        <f t="array" aca="1" ref="S59" ca="1">DSUM(MercadoBase1,S$53,INDIRECT("r"&amp;5+2*(ROW()-54)&amp;":r"&amp;6+2*(ROW()-54)))</f>
        <v>0</v>
      </c>
      <c r="T59" s="948" cm="1">
        <f t="array" aca="1" ref="T59" ca="1">DSUM(MercadoBase1,T$53,INDIRECT("r"&amp;5+2*(ROW()-54)&amp;":r"&amp;6+2*(ROW()-54)))</f>
        <v>0</v>
      </c>
      <c r="U59" s="948" cm="1">
        <f t="array" aca="1" ref="U59" ca="1">DSUM(MercadoBase1,U$53,INDIRECT("r"&amp;5+2*(ROW()-54)&amp;":r"&amp;6+2*(ROW()-54)))</f>
        <v>0</v>
      </c>
      <c r="V59" s="948" cm="1">
        <f t="array" aca="1" ref="V59" ca="1">DSUM(MercadoBase1,V$53,INDIRECT("r"&amp;5+2*(ROW()-54)&amp;":r"&amp;6+2*(ROW()-54)))</f>
        <v>0</v>
      </c>
      <c r="W59" s="948" cm="1">
        <f t="array" aca="1" ref="W59" ca="1">DSUM(MercadoBase1,W$53,INDIRECT("r"&amp;5+2*(ROW()-54)&amp;":r"&amp;6+2*(ROW()-54)))</f>
        <v>0</v>
      </c>
      <c r="X59" s="948" cm="1">
        <f t="array" aca="1" ref="X59" ca="1">DSUM(MercadoBase1,X$53,INDIRECT("r"&amp;5+2*(ROW()-54)&amp;":r"&amp;6+2*(ROW()-54)))</f>
        <v>0</v>
      </c>
      <c r="Y59" s="948" cm="1">
        <f t="array" aca="1" ref="Y59" ca="1">DSUM(MercadoBase1,Y$53,INDIRECT("r"&amp;5+2*(ROW()-54)&amp;":r"&amp;6+2*(ROW()-54)))</f>
        <v>0</v>
      </c>
      <c r="Z59" s="948" cm="1">
        <f t="array" aca="1" ref="Z59" ca="1">DSUM(MercadoBase1,Z$53,INDIRECT("r"&amp;5+2*(ROW()-54)&amp;":r"&amp;6+2*(ROW()-54)))</f>
        <v>7361952.3431801666</v>
      </c>
      <c r="AA59" s="948" cm="1">
        <f t="array" aca="1" ref="AA59" ca="1">DSUM(MercadoBase1,AA$53,INDIRECT("r"&amp;5+2*(ROW()-54)&amp;":r"&amp;6+2*(ROW()-54)))</f>
        <v>0</v>
      </c>
      <c r="AB59" s="948" cm="1">
        <f t="array" aca="1" ref="AB59" ca="1">DSUM(MercadoBase1,AB$53,INDIRECT("r"&amp;5+2*(ROW()-54)&amp;":r"&amp;6+2*(ROW()-54)))</f>
        <v>0</v>
      </c>
    </row>
    <row r="60" spans="2:28" ht="15" customHeight="1">
      <c r="B60" s="946">
        <f t="shared" si="2"/>
        <v>44562</v>
      </c>
      <c r="C60" s="947"/>
      <c r="D60" s="948" cm="1">
        <f t="array" aca="1" ref="D60" ca="1">DSUM(MercadoBase1,D$53,INDIRECT("r"&amp;5+2*(ROW()-54)&amp;":r"&amp;6+2*(ROW()-54)))</f>
        <v>0</v>
      </c>
      <c r="E60" s="948" cm="1">
        <f t="array" aca="1" ref="E60" ca="1">DSUM(MercadoBase1,E$53,INDIRECT("r"&amp;5+2*(ROW()-54)&amp;":r"&amp;6+2*(ROW()-54)))</f>
        <v>0</v>
      </c>
      <c r="F60" s="948" cm="1">
        <f t="array" aca="1" ref="F60" ca="1">DSUM(MercadoBase1,F$53,INDIRECT("r"&amp;5+2*(ROW()-54)&amp;":r"&amp;6+2*(ROW()-54)))</f>
        <v>110866.82098924131</v>
      </c>
      <c r="G60" s="948" cm="1">
        <f t="array" aca="1" ref="G60" ca="1">DSUM(MercadoBase1,G$53,INDIRECT("r"&amp;5+2*(ROW()-54)&amp;":r"&amp;6+2*(ROW()-54)))</f>
        <v>399259.37989212456</v>
      </c>
      <c r="H60" s="948" cm="1">
        <f t="array" aca="1" ref="H60" ca="1">DSUM(MercadoBase1,H$53,INDIRECT("r"&amp;5+2*(ROW()-54)&amp;":r"&amp;6+2*(ROW()-54)))</f>
        <v>2472559.9521694724</v>
      </c>
      <c r="I60" s="948" cm="1">
        <f t="array" aca="1" ref="I60" ca="1">DSUM(MercadoBase1,I$53,INDIRECT("r"&amp;5+2*(ROW()-54)&amp;":r"&amp;6+2*(ROW()-54)))</f>
        <v>45299.146930040799</v>
      </c>
      <c r="J60" s="948" cm="1">
        <f t="array" aca="1" ref="J60" ca="1">DSUM(MercadoBase1,J$53,INDIRECT("r"&amp;5+2*(ROW()-54)&amp;":r"&amp;6+2*(ROW()-54)))</f>
        <v>0</v>
      </c>
      <c r="K60" s="948" cm="1">
        <f t="array" aca="1" ref="K60" ca="1">DSUM(MercadoBase1,K$53,INDIRECT("r"&amp;5+2*(ROW()-54)&amp;":r"&amp;6+2*(ROW()-54)))</f>
        <v>0</v>
      </c>
      <c r="L60" s="948" cm="1">
        <f t="array" aca="1" ref="L60" ca="1">DSUM(MercadoBase1,L$53,INDIRECT("r"&amp;5+2*(ROW()-54)&amp;":r"&amp;6+2*(ROW()-54)))</f>
        <v>0</v>
      </c>
      <c r="M60" s="948" cm="1">
        <f t="array" aca="1" ref="M60" ca="1">DSUM(MercadoBase1,M$53,INDIRECT("r"&amp;5+2*(ROW()-54)&amp;":r"&amp;6+2*(ROW()-54)))</f>
        <v>0</v>
      </c>
      <c r="N60" s="948" cm="1">
        <f t="array" aca="1" ref="N60" ca="1">DSUM(MercadoBase1,N$53,INDIRECT("r"&amp;5+2*(ROW()-54)&amp;":r"&amp;6+2*(ROW()-54)))</f>
        <v>0</v>
      </c>
      <c r="O60" s="948" cm="1">
        <f t="array" aca="1" ref="O60" ca="1">DSUM(MercadoBase1,O$53,INDIRECT("r"&amp;5+2*(ROW()-54)&amp;":r"&amp;6+2*(ROW()-54)))</f>
        <v>0</v>
      </c>
      <c r="P60" s="948" cm="1">
        <f t="array" aca="1" ref="P60" ca="1">DSUM(MercadoBase1,P$53,INDIRECT("r"&amp;5+2*(ROW()-54)&amp;":r"&amp;6+2*(ROW()-54)))</f>
        <v>0</v>
      </c>
      <c r="Q60" s="953" cm="1">
        <f t="array" aca="1" ref="Q60" ca="1">DSUM(MercadoBase1,Q$53,INDIRECT("r"&amp;5+2*(ROW()-54)&amp;":r"&amp;6+2*(ROW()-54)))</f>
        <v>0</v>
      </c>
      <c r="R60" s="949">
        <f>VLOOKUP(CAPA!$C$17,Índices!B:F,5,FALSE)/VLOOKUP(DATE(YEAR(B60),MONTH(B60),1),Índices!B:F,5,FALSE)</f>
        <v>1.0465020287560824</v>
      </c>
      <c r="S60" s="955" cm="1">
        <f t="array" aca="1" ref="S60" ca="1">DSUM(MercadoBase1,S$53,INDIRECT("r"&amp;5+2*(ROW()-54)&amp;":r"&amp;6+2*(ROW()-54)))</f>
        <v>0</v>
      </c>
      <c r="T60" s="948" cm="1">
        <f t="array" aca="1" ref="T60" ca="1">DSUM(MercadoBase1,T$53,INDIRECT("r"&amp;5+2*(ROW()-54)&amp;":r"&amp;6+2*(ROW()-54)))</f>
        <v>0</v>
      </c>
      <c r="U60" s="948" cm="1">
        <f t="array" aca="1" ref="U60" ca="1">DSUM(MercadoBase1,U$53,INDIRECT("r"&amp;5+2*(ROW()-54)&amp;":r"&amp;6+2*(ROW()-54)))</f>
        <v>0</v>
      </c>
      <c r="V60" s="948" cm="1">
        <f t="array" aca="1" ref="V60" ca="1">DSUM(MercadoBase1,V$53,INDIRECT("r"&amp;5+2*(ROW()-54)&amp;":r"&amp;6+2*(ROW()-54)))</f>
        <v>0</v>
      </c>
      <c r="W60" s="948" cm="1">
        <f t="array" aca="1" ref="W60" ca="1">DSUM(MercadoBase1,W$53,INDIRECT("r"&amp;5+2*(ROW()-54)&amp;":r"&amp;6+2*(ROW()-54)))</f>
        <v>0</v>
      </c>
      <c r="X60" s="948" cm="1">
        <f t="array" aca="1" ref="X60" ca="1">DSUM(MercadoBase1,X$53,INDIRECT("r"&amp;5+2*(ROW()-54)&amp;":r"&amp;6+2*(ROW()-54)))</f>
        <v>0</v>
      </c>
      <c r="Y60" s="948" cm="1">
        <f t="array" aca="1" ref="Y60" ca="1">DSUM(MercadoBase1,Y$53,INDIRECT("r"&amp;5+2*(ROW()-54)&amp;":r"&amp;6+2*(ROW()-54)))</f>
        <v>0</v>
      </c>
      <c r="Z60" s="948" cm="1">
        <f t="array" aca="1" ref="Z60" ca="1">DSUM(MercadoBase1,Z$53,INDIRECT("r"&amp;5+2*(ROW()-54)&amp;":r"&amp;6+2*(ROW()-54)))</f>
        <v>8935250.0345497541</v>
      </c>
      <c r="AA60" s="948" cm="1">
        <f t="array" aca="1" ref="AA60" ca="1">DSUM(MercadoBase1,AA$53,INDIRECT("r"&amp;5+2*(ROW()-54)&amp;":r"&amp;6+2*(ROW()-54)))</f>
        <v>0</v>
      </c>
      <c r="AB60" s="948" cm="1">
        <f t="array" aca="1" ref="AB60" ca="1">DSUM(MercadoBase1,AB$53,INDIRECT("r"&amp;5+2*(ROW()-54)&amp;":r"&amp;6+2*(ROW()-54)))</f>
        <v>0</v>
      </c>
    </row>
    <row r="61" spans="2:28" ht="15" customHeight="1">
      <c r="B61" s="946">
        <f t="shared" si="2"/>
        <v>44593</v>
      </c>
      <c r="C61" s="947"/>
      <c r="D61" s="948" cm="1">
        <f t="array" aca="1" ref="D61" ca="1">DSUM(MercadoBase1,D$53,INDIRECT("r"&amp;5+2*(ROW()-54)&amp;":r"&amp;6+2*(ROW()-54)))</f>
        <v>0</v>
      </c>
      <c r="E61" s="948" cm="1">
        <f t="array" aca="1" ref="E61" ca="1">DSUM(MercadoBase1,E$53,INDIRECT("r"&amp;5+2*(ROW()-54)&amp;":r"&amp;6+2*(ROW()-54)))</f>
        <v>0</v>
      </c>
      <c r="F61" s="948" cm="1">
        <f t="array" aca="1" ref="F61" ca="1">DSUM(MercadoBase1,F$53,INDIRECT("r"&amp;5+2*(ROW()-54)&amp;":r"&amp;6+2*(ROW()-54)))</f>
        <v>109868.09556581425</v>
      </c>
      <c r="G61" s="948" cm="1">
        <f t="array" aca="1" ref="G61" ca="1">DSUM(MercadoBase1,G$53,INDIRECT("r"&amp;5+2*(ROW()-54)&amp;":r"&amp;6+2*(ROW()-54)))</f>
        <v>391021.78113331378</v>
      </c>
      <c r="H61" s="948" cm="1">
        <f t="array" aca="1" ref="H61" ca="1">DSUM(MercadoBase1,H$53,INDIRECT("r"&amp;5+2*(ROW()-54)&amp;":r"&amp;6+2*(ROW()-54)))</f>
        <v>2425280.0032562185</v>
      </c>
      <c r="I61" s="948" cm="1">
        <f t="array" aca="1" ref="I61" ca="1">DSUM(MercadoBase1,I$53,INDIRECT("r"&amp;5+2*(ROW()-54)&amp;":r"&amp;6+2*(ROW()-54)))</f>
        <v>44806.724754418239</v>
      </c>
      <c r="J61" s="948" cm="1">
        <f t="array" aca="1" ref="J61" ca="1">DSUM(MercadoBase1,J$53,INDIRECT("r"&amp;5+2*(ROW()-54)&amp;":r"&amp;6+2*(ROW()-54)))</f>
        <v>0</v>
      </c>
      <c r="K61" s="948" cm="1">
        <f t="array" aca="1" ref="K61" ca="1">DSUM(MercadoBase1,K$53,INDIRECT("r"&amp;5+2*(ROW()-54)&amp;":r"&amp;6+2*(ROW()-54)))</f>
        <v>0</v>
      </c>
      <c r="L61" s="948" cm="1">
        <f t="array" aca="1" ref="L61" ca="1">DSUM(MercadoBase1,L$53,INDIRECT("r"&amp;5+2*(ROW()-54)&amp;":r"&amp;6+2*(ROW()-54)))</f>
        <v>0</v>
      </c>
      <c r="M61" s="948" cm="1">
        <f t="array" aca="1" ref="M61" ca="1">DSUM(MercadoBase1,M$53,INDIRECT("r"&amp;5+2*(ROW()-54)&amp;":r"&amp;6+2*(ROW()-54)))</f>
        <v>0</v>
      </c>
      <c r="N61" s="948" cm="1">
        <f t="array" aca="1" ref="N61" ca="1">DSUM(MercadoBase1,N$53,INDIRECT("r"&amp;5+2*(ROW()-54)&amp;":r"&amp;6+2*(ROW()-54)))</f>
        <v>0</v>
      </c>
      <c r="O61" s="948" cm="1">
        <f t="array" aca="1" ref="O61" ca="1">DSUM(MercadoBase1,O$53,INDIRECT("r"&amp;5+2*(ROW()-54)&amp;":r"&amp;6+2*(ROW()-54)))</f>
        <v>0</v>
      </c>
      <c r="P61" s="948" cm="1">
        <f t="array" aca="1" ref="P61" ca="1">DSUM(MercadoBase1,P$53,INDIRECT("r"&amp;5+2*(ROW()-54)&amp;":r"&amp;6+2*(ROW()-54)))</f>
        <v>0</v>
      </c>
      <c r="Q61" s="953" cm="1">
        <f t="array" aca="1" ref="Q61" ca="1">DSUM(MercadoBase1,Q$53,INDIRECT("r"&amp;5+2*(ROW()-54)&amp;":r"&amp;6+2*(ROW()-54)))</f>
        <v>0</v>
      </c>
      <c r="R61" s="949">
        <f>VLOOKUP(CAPA!$C$17,Índices!B:F,5,FALSE)/VLOOKUP(DATE(YEAR(B61),MONTH(B61),1),Índices!B:F,5,FALSE)</f>
        <v>1.038659722138076</v>
      </c>
      <c r="S61" s="955" cm="1">
        <f t="array" aca="1" ref="S61" ca="1">DSUM(MercadoBase1,S$53,INDIRECT("r"&amp;5+2*(ROW()-54)&amp;":r"&amp;6+2*(ROW()-54)))</f>
        <v>0</v>
      </c>
      <c r="T61" s="948" cm="1">
        <f t="array" aca="1" ref="T61" ca="1">DSUM(MercadoBase1,T$53,INDIRECT("r"&amp;5+2*(ROW()-54)&amp;":r"&amp;6+2*(ROW()-54)))</f>
        <v>0</v>
      </c>
      <c r="U61" s="948" cm="1">
        <f t="array" aca="1" ref="U61" ca="1">DSUM(MercadoBase1,U$53,INDIRECT("r"&amp;5+2*(ROW()-54)&amp;":r"&amp;6+2*(ROW()-54)))</f>
        <v>0</v>
      </c>
      <c r="V61" s="948" cm="1">
        <f t="array" aca="1" ref="V61" ca="1">DSUM(MercadoBase1,V$53,INDIRECT("r"&amp;5+2*(ROW()-54)&amp;":r"&amp;6+2*(ROW()-54)))</f>
        <v>0</v>
      </c>
      <c r="W61" s="948" cm="1">
        <f t="array" aca="1" ref="W61" ca="1">DSUM(MercadoBase1,W$53,INDIRECT("r"&amp;5+2*(ROW()-54)&amp;":r"&amp;6+2*(ROW()-54)))</f>
        <v>0</v>
      </c>
      <c r="X61" s="948" cm="1">
        <f t="array" aca="1" ref="X61" ca="1">DSUM(MercadoBase1,X$53,INDIRECT("r"&amp;5+2*(ROW()-54)&amp;":r"&amp;6+2*(ROW()-54)))</f>
        <v>0</v>
      </c>
      <c r="Y61" s="948" cm="1">
        <f t="array" aca="1" ref="Y61" ca="1">DSUM(MercadoBase1,Y$53,INDIRECT("r"&amp;5+2*(ROW()-54)&amp;":r"&amp;6+2*(ROW()-54)))</f>
        <v>0</v>
      </c>
      <c r="Z61" s="948" cm="1">
        <f t="array" aca="1" ref="Z61" ca="1">DSUM(MercadoBase1,Z$53,INDIRECT("r"&amp;5+2*(ROW()-54)&amp;":r"&amp;6+2*(ROW()-54)))</f>
        <v>8966282.7026593033</v>
      </c>
      <c r="AA61" s="948" cm="1">
        <f t="array" aca="1" ref="AA61" ca="1">DSUM(MercadoBase1,AA$53,INDIRECT("r"&amp;5+2*(ROW()-54)&amp;":r"&amp;6+2*(ROW()-54)))</f>
        <v>0</v>
      </c>
      <c r="AB61" s="948" cm="1">
        <f t="array" aca="1" ref="AB61" ca="1">DSUM(MercadoBase1,AB$53,INDIRECT("r"&amp;5+2*(ROW()-54)&amp;":r"&amp;6+2*(ROW()-54)))</f>
        <v>0</v>
      </c>
    </row>
    <row r="62" spans="2:28" ht="15" customHeight="1">
      <c r="B62" s="946">
        <f t="shared" si="2"/>
        <v>44621</v>
      </c>
      <c r="C62" s="947"/>
      <c r="D62" s="948" cm="1">
        <f t="array" aca="1" ref="D62" ca="1">DSUM(MercadoBase1,D$53,INDIRECT("r"&amp;5+2*(ROW()-54)&amp;":r"&amp;6+2*(ROW()-54)))</f>
        <v>0</v>
      </c>
      <c r="E62" s="948" cm="1">
        <f t="array" aca="1" ref="E62" ca="1">DSUM(MercadoBase1,E$53,INDIRECT("r"&amp;5+2*(ROW()-54)&amp;":r"&amp;6+2*(ROW()-54)))</f>
        <v>0</v>
      </c>
      <c r="F62" s="948" cm="1">
        <f t="array" aca="1" ref="F62" ca="1">DSUM(MercadoBase1,F$53,INDIRECT("r"&amp;5+2*(ROW()-54)&amp;":r"&amp;6+2*(ROW()-54)))</f>
        <v>99910.307451630666</v>
      </c>
      <c r="G62" s="948" cm="1">
        <f t="array" aca="1" ref="G62" ca="1">DSUM(MercadoBase1,G$53,INDIRECT("r"&amp;5+2*(ROW()-54)&amp;":r"&amp;6+2*(ROW()-54)))</f>
        <v>362000.62438525184</v>
      </c>
      <c r="H62" s="948" cm="1">
        <f t="array" aca="1" ref="H62" ca="1">DSUM(MercadoBase1,H$53,INDIRECT("r"&amp;5+2*(ROW()-54)&amp;":r"&amp;6+2*(ROW()-54)))</f>
        <v>2227754.1941553284</v>
      </c>
      <c r="I62" s="948" cm="1">
        <f t="array" aca="1" ref="I62" ca="1">DSUM(MercadoBase1,I$53,INDIRECT("r"&amp;5+2*(ROW()-54)&amp;":r"&amp;6+2*(ROW()-54)))</f>
        <v>40567.872846733895</v>
      </c>
      <c r="J62" s="948" cm="1">
        <f t="array" aca="1" ref="J62" ca="1">DSUM(MercadoBase1,J$53,INDIRECT("r"&amp;5+2*(ROW()-54)&amp;":r"&amp;6+2*(ROW()-54)))</f>
        <v>0</v>
      </c>
      <c r="K62" s="948" cm="1">
        <f t="array" aca="1" ref="K62" ca="1">DSUM(MercadoBase1,K$53,INDIRECT("r"&amp;5+2*(ROW()-54)&amp;":r"&amp;6+2*(ROW()-54)))</f>
        <v>0</v>
      </c>
      <c r="L62" s="948" cm="1">
        <f t="array" aca="1" ref="L62" ca="1">DSUM(MercadoBase1,L$53,INDIRECT("r"&amp;5+2*(ROW()-54)&amp;":r"&amp;6+2*(ROW()-54)))</f>
        <v>0</v>
      </c>
      <c r="M62" s="948" cm="1">
        <f t="array" aca="1" ref="M62" ca="1">DSUM(MercadoBase1,M$53,INDIRECT("r"&amp;5+2*(ROW()-54)&amp;":r"&amp;6+2*(ROW()-54)))</f>
        <v>0</v>
      </c>
      <c r="N62" s="948" cm="1">
        <f t="array" aca="1" ref="N62" ca="1">DSUM(MercadoBase1,N$53,INDIRECT("r"&amp;5+2*(ROW()-54)&amp;":r"&amp;6+2*(ROW()-54)))</f>
        <v>0</v>
      </c>
      <c r="O62" s="948" cm="1">
        <f t="array" aca="1" ref="O62" ca="1">DSUM(MercadoBase1,O$53,INDIRECT("r"&amp;5+2*(ROW()-54)&amp;":r"&amp;6+2*(ROW()-54)))</f>
        <v>0</v>
      </c>
      <c r="P62" s="948" cm="1">
        <f t="array" aca="1" ref="P62" ca="1">DSUM(MercadoBase1,P$53,INDIRECT("r"&amp;5+2*(ROW()-54)&amp;":r"&amp;6+2*(ROW()-54)))</f>
        <v>0</v>
      </c>
      <c r="Q62" s="953" cm="1">
        <f t="array" aca="1" ref="Q62" ca="1">DSUM(MercadoBase1,Q$53,INDIRECT("r"&amp;5+2*(ROW()-54)&amp;":r"&amp;6+2*(ROW()-54)))</f>
        <v>0</v>
      </c>
      <c r="R62" s="949">
        <f>VLOOKUP(CAPA!$C$17,Índices!B:F,5,FALSE)/VLOOKUP(DATE(YEAR(B62),MONTH(B62),1),Índices!B:F,5,FALSE)</f>
        <v>1.0291192325390464</v>
      </c>
      <c r="S62" s="955" cm="1">
        <f t="array" aca="1" ref="S62" ca="1">DSUM(MercadoBase1,S$53,INDIRECT("r"&amp;5+2*(ROW()-54)&amp;":r"&amp;6+2*(ROW()-54)))</f>
        <v>0</v>
      </c>
      <c r="T62" s="948" cm="1">
        <f t="array" aca="1" ref="T62" ca="1">DSUM(MercadoBase1,T$53,INDIRECT("r"&amp;5+2*(ROW()-54)&amp;":r"&amp;6+2*(ROW()-54)))</f>
        <v>0</v>
      </c>
      <c r="U62" s="948" cm="1">
        <f t="array" aca="1" ref="U62" ca="1">DSUM(MercadoBase1,U$53,INDIRECT("r"&amp;5+2*(ROW()-54)&amp;":r"&amp;6+2*(ROW()-54)))</f>
        <v>0</v>
      </c>
      <c r="V62" s="948" cm="1">
        <f t="array" aca="1" ref="V62" ca="1">DSUM(MercadoBase1,V$53,INDIRECT("r"&amp;5+2*(ROW()-54)&amp;":r"&amp;6+2*(ROW()-54)))</f>
        <v>0</v>
      </c>
      <c r="W62" s="948" cm="1">
        <f t="array" aca="1" ref="W62" ca="1">DSUM(MercadoBase1,W$53,INDIRECT("r"&amp;5+2*(ROW()-54)&amp;":r"&amp;6+2*(ROW()-54)))</f>
        <v>0</v>
      </c>
      <c r="X62" s="948" cm="1">
        <f t="array" aca="1" ref="X62" ca="1">DSUM(MercadoBase1,X$53,INDIRECT("r"&amp;5+2*(ROW()-54)&amp;":r"&amp;6+2*(ROW()-54)))</f>
        <v>0</v>
      </c>
      <c r="Y62" s="948" cm="1">
        <f t="array" aca="1" ref="Y62" ca="1">DSUM(MercadoBase1,Y$53,INDIRECT("r"&amp;5+2*(ROW()-54)&amp;":r"&amp;6+2*(ROW()-54)))</f>
        <v>0</v>
      </c>
      <c r="Z62" s="948" cm="1">
        <f t="array" aca="1" ref="Z62" ca="1">DSUM(MercadoBase1,Z$53,INDIRECT("r"&amp;5+2*(ROW()-54)&amp;":r"&amp;6+2*(ROW()-54)))</f>
        <v>7960024.0270064594</v>
      </c>
      <c r="AA62" s="948" cm="1">
        <f t="array" aca="1" ref="AA62" ca="1">DSUM(MercadoBase1,AA$53,INDIRECT("r"&amp;5+2*(ROW()-54)&amp;":r"&amp;6+2*(ROW()-54)))</f>
        <v>0</v>
      </c>
      <c r="AB62" s="948" cm="1">
        <f t="array" aca="1" ref="AB62" ca="1">DSUM(MercadoBase1,AB$53,INDIRECT("r"&amp;5+2*(ROW()-54)&amp;":r"&amp;6+2*(ROW()-54)))</f>
        <v>0</v>
      </c>
    </row>
    <row r="63" spans="2:28" ht="15" customHeight="1">
      <c r="B63" s="946">
        <f t="shared" si="2"/>
        <v>44652</v>
      </c>
      <c r="C63" s="947"/>
      <c r="D63" s="948" cm="1">
        <f t="array" aca="1" ref="D63" ca="1">DSUM(MercadoBase1,D$53,INDIRECT("r"&amp;5+2*(ROW()-54)&amp;":r"&amp;6+2*(ROW()-54)))</f>
        <v>0</v>
      </c>
      <c r="E63" s="948" cm="1">
        <f t="array" aca="1" ref="E63" ca="1">DSUM(MercadoBase1,E$53,INDIRECT("r"&amp;5+2*(ROW()-54)&amp;":r"&amp;6+2*(ROW()-54)))</f>
        <v>0</v>
      </c>
      <c r="F63" s="948" cm="1">
        <f t="array" aca="1" ref="F63" ca="1">DSUM(MercadoBase1,F$53,INDIRECT("r"&amp;5+2*(ROW()-54)&amp;":r"&amp;6+2*(ROW()-54)))</f>
        <v>84315.404278491667</v>
      </c>
      <c r="G63" s="948" cm="1">
        <f t="array" aca="1" ref="G63" ca="1">DSUM(MercadoBase1,G$53,INDIRECT("r"&amp;5+2*(ROW()-54)&amp;":r"&amp;6+2*(ROW()-54)))</f>
        <v>308489.62293734879</v>
      </c>
      <c r="H63" s="948" cm="1">
        <f t="array" aca="1" ref="H63" ca="1">DSUM(MercadoBase1,H$53,INDIRECT("r"&amp;5+2*(ROW()-54)&amp;":r"&amp;6+2*(ROW()-54)))</f>
        <v>1895871.3567819234</v>
      </c>
      <c r="I63" s="948" cm="1">
        <f t="array" aca="1" ref="I63" ca="1">DSUM(MercadoBase1,I$53,INDIRECT("r"&amp;5+2*(ROW()-54)&amp;":r"&amp;6+2*(ROW()-54)))</f>
        <v>34457.139847412313</v>
      </c>
      <c r="J63" s="948" cm="1">
        <f t="array" aca="1" ref="J63" ca="1">DSUM(MercadoBase1,J$53,INDIRECT("r"&amp;5+2*(ROW()-54)&amp;":r"&amp;6+2*(ROW()-54)))</f>
        <v>0</v>
      </c>
      <c r="K63" s="948" cm="1">
        <f t="array" aca="1" ref="K63" ca="1">DSUM(MercadoBase1,K$53,INDIRECT("r"&amp;5+2*(ROW()-54)&amp;":r"&amp;6+2*(ROW()-54)))</f>
        <v>0</v>
      </c>
      <c r="L63" s="948" cm="1">
        <f t="array" aca="1" ref="L63" ca="1">DSUM(MercadoBase1,L$53,INDIRECT("r"&amp;5+2*(ROW()-54)&amp;":r"&amp;6+2*(ROW()-54)))</f>
        <v>0</v>
      </c>
      <c r="M63" s="948" cm="1">
        <f t="array" aca="1" ref="M63" ca="1">DSUM(MercadoBase1,M$53,INDIRECT("r"&amp;5+2*(ROW()-54)&amp;":r"&amp;6+2*(ROW()-54)))</f>
        <v>0</v>
      </c>
      <c r="N63" s="948" cm="1">
        <f t="array" aca="1" ref="N63" ca="1">DSUM(MercadoBase1,N$53,INDIRECT("r"&amp;5+2*(ROW()-54)&amp;":r"&amp;6+2*(ROW()-54)))</f>
        <v>0</v>
      </c>
      <c r="O63" s="948" cm="1">
        <f t="array" aca="1" ref="O63" ca="1">DSUM(MercadoBase1,O$53,INDIRECT("r"&amp;5+2*(ROW()-54)&amp;":r"&amp;6+2*(ROW()-54)))</f>
        <v>0</v>
      </c>
      <c r="P63" s="948" cm="1">
        <f t="array" aca="1" ref="P63" ca="1">DSUM(MercadoBase1,P$53,INDIRECT("r"&amp;5+2*(ROW()-54)&amp;":r"&amp;6+2*(ROW()-54)))</f>
        <v>0</v>
      </c>
      <c r="Q63" s="953" cm="1">
        <f t="array" aca="1" ref="Q63" ca="1">DSUM(MercadoBase1,Q$53,INDIRECT("r"&amp;5+2*(ROW()-54)&amp;":r"&amp;6+2*(ROW()-54)))</f>
        <v>0</v>
      </c>
      <c r="R63" s="949">
        <f>VLOOKUP(CAPA!$C$17,Índices!B:F,5,FALSE)/VLOOKUP(DATE(YEAR(B63),MONTH(B63),1),Índices!B:F,5,FALSE)</f>
        <v>1.0206041228759459</v>
      </c>
      <c r="S63" s="955" cm="1">
        <f t="array" aca="1" ref="S63" ca="1">DSUM(MercadoBase1,S$53,INDIRECT("r"&amp;5+2*(ROW()-54)&amp;":r"&amp;6+2*(ROW()-54)))</f>
        <v>0</v>
      </c>
      <c r="T63" s="948" cm="1">
        <f t="array" aca="1" ref="T63" ca="1">DSUM(MercadoBase1,T$53,INDIRECT("r"&amp;5+2*(ROW()-54)&amp;":r"&amp;6+2*(ROW()-54)))</f>
        <v>0</v>
      </c>
      <c r="U63" s="948" cm="1">
        <f t="array" aca="1" ref="U63" ca="1">DSUM(MercadoBase1,U$53,INDIRECT("r"&amp;5+2*(ROW()-54)&amp;":r"&amp;6+2*(ROW()-54)))</f>
        <v>0</v>
      </c>
      <c r="V63" s="948" cm="1">
        <f t="array" aca="1" ref="V63" ca="1">DSUM(MercadoBase1,V$53,INDIRECT("r"&amp;5+2*(ROW()-54)&amp;":r"&amp;6+2*(ROW()-54)))</f>
        <v>0</v>
      </c>
      <c r="W63" s="948" cm="1">
        <f t="array" aca="1" ref="W63" ca="1">DSUM(MercadoBase1,W$53,INDIRECT("r"&amp;5+2*(ROW()-54)&amp;":r"&amp;6+2*(ROW()-54)))</f>
        <v>0</v>
      </c>
      <c r="X63" s="948" cm="1">
        <f t="array" aca="1" ref="X63" ca="1">DSUM(MercadoBase1,X$53,INDIRECT("r"&amp;5+2*(ROW()-54)&amp;":r"&amp;6+2*(ROW()-54)))</f>
        <v>0</v>
      </c>
      <c r="Y63" s="948" cm="1">
        <f t="array" aca="1" ref="Y63" ca="1">DSUM(MercadoBase1,Y$53,INDIRECT("r"&amp;5+2*(ROW()-54)&amp;":r"&amp;6+2*(ROW()-54)))</f>
        <v>0</v>
      </c>
      <c r="Z63" s="948" cm="1">
        <f t="array" aca="1" ref="Z63" ca="1">DSUM(MercadoBase1,Z$53,INDIRECT("r"&amp;5+2*(ROW()-54)&amp;":r"&amp;6+2*(ROW()-54)))</f>
        <v>6980339.8980452809</v>
      </c>
      <c r="AA63" s="948" cm="1">
        <f t="array" aca="1" ref="AA63" ca="1">DSUM(MercadoBase1,AA$53,INDIRECT("r"&amp;5+2*(ROW()-54)&amp;":r"&amp;6+2*(ROW()-54)))</f>
        <v>0</v>
      </c>
      <c r="AB63" s="948" cm="1">
        <f t="array" aca="1" ref="AB63" ca="1">DSUM(MercadoBase1,AB$53,INDIRECT("r"&amp;5+2*(ROW()-54)&amp;":r"&amp;6+2*(ROW()-54)))</f>
        <v>0</v>
      </c>
    </row>
    <row r="64" spans="2:28" ht="15" customHeight="1">
      <c r="B64" s="946">
        <f t="shared" si="2"/>
        <v>44682</v>
      </c>
      <c r="C64" s="947"/>
      <c r="D64" s="948" cm="1">
        <f t="array" aca="1" ref="D64" ca="1">DSUM(MercadoBase1,D$53,INDIRECT("r"&amp;5+2*(ROW()-54)&amp;":r"&amp;6+2*(ROW()-54)))</f>
        <v>0</v>
      </c>
      <c r="E64" s="948" cm="1">
        <f t="array" aca="1" ref="E64" ca="1">DSUM(MercadoBase1,E$53,INDIRECT("r"&amp;5+2*(ROW()-54)&amp;":r"&amp;6+2*(ROW()-54)))</f>
        <v>0</v>
      </c>
      <c r="F64" s="948" cm="1">
        <f t="array" aca="1" ref="F64" ca="1">DSUM(MercadoBase1,F$53,INDIRECT("r"&amp;5+2*(ROW()-54)&amp;":r"&amp;6+2*(ROW()-54)))</f>
        <v>83342.284895831515</v>
      </c>
      <c r="G64" s="948" cm="1">
        <f t="array" aca="1" ref="G64" ca="1">DSUM(MercadoBase1,G$53,INDIRECT("r"&amp;5+2*(ROW()-54)&amp;":r"&amp;6+2*(ROW()-54)))</f>
        <v>305405.73506456398</v>
      </c>
      <c r="H64" s="948" cm="1">
        <f t="array" aca="1" ref="H64" ca="1">DSUM(MercadoBase1,H$53,INDIRECT("r"&amp;5+2*(ROW()-54)&amp;":r"&amp;6+2*(ROW()-54)))</f>
        <v>1871901.1000996579</v>
      </c>
      <c r="I64" s="948" cm="1">
        <f t="array" aca="1" ref="I64" ca="1">DSUM(MercadoBase1,I$53,INDIRECT("r"&amp;5+2*(ROW()-54)&amp;":r"&amp;6+2*(ROW()-54)))</f>
        <v>33856.45569146207</v>
      </c>
      <c r="J64" s="948" cm="1">
        <f t="array" aca="1" ref="J64" ca="1">DSUM(MercadoBase1,J$53,INDIRECT("r"&amp;5+2*(ROW()-54)&amp;":r"&amp;6+2*(ROW()-54)))</f>
        <v>0</v>
      </c>
      <c r="K64" s="948" cm="1">
        <f t="array" aca="1" ref="K64" ca="1">DSUM(MercadoBase1,K$53,INDIRECT("r"&amp;5+2*(ROW()-54)&amp;":r"&amp;6+2*(ROW()-54)))</f>
        <v>0</v>
      </c>
      <c r="L64" s="948" cm="1">
        <f t="array" aca="1" ref="L64" ca="1">DSUM(MercadoBase1,L$53,INDIRECT("r"&amp;5+2*(ROW()-54)&amp;":r"&amp;6+2*(ROW()-54)))</f>
        <v>0</v>
      </c>
      <c r="M64" s="948" cm="1">
        <f t="array" aca="1" ref="M64" ca="1">DSUM(MercadoBase1,M$53,INDIRECT("r"&amp;5+2*(ROW()-54)&amp;":r"&amp;6+2*(ROW()-54)))</f>
        <v>0</v>
      </c>
      <c r="N64" s="948" cm="1">
        <f t="array" aca="1" ref="N64" ca="1">DSUM(MercadoBase1,N$53,INDIRECT("r"&amp;5+2*(ROW()-54)&amp;":r"&amp;6+2*(ROW()-54)))</f>
        <v>0</v>
      </c>
      <c r="O64" s="948" cm="1">
        <f t="array" aca="1" ref="O64" ca="1">DSUM(MercadoBase1,O$53,INDIRECT("r"&amp;5+2*(ROW()-54)&amp;":r"&amp;6+2*(ROW()-54)))</f>
        <v>0</v>
      </c>
      <c r="P64" s="948" cm="1">
        <f t="array" aca="1" ref="P64" ca="1">DSUM(MercadoBase1,P$53,INDIRECT("r"&amp;5+2*(ROW()-54)&amp;":r"&amp;6+2*(ROW()-54)))</f>
        <v>0</v>
      </c>
      <c r="Q64" s="953" cm="1">
        <f t="array" aca="1" ref="Q64" ca="1">DSUM(MercadoBase1,Q$53,INDIRECT("r"&amp;5+2*(ROW()-54)&amp;":r"&amp;6+2*(ROW()-54)))</f>
        <v>0</v>
      </c>
      <c r="R64" s="949">
        <f>VLOOKUP(CAPA!$C$17,Índices!B:F,5,FALSE)/VLOOKUP(DATE(YEAR(B64),MONTH(B64),1),Índices!B:F,5,FALSE)</f>
        <v>1.0101531560893695</v>
      </c>
      <c r="S64" s="955" cm="1">
        <f t="array" aca="1" ref="S64" ca="1">DSUM(MercadoBase1,S$53,INDIRECT("r"&amp;5+2*(ROW()-54)&amp;":r"&amp;6+2*(ROW()-54)))</f>
        <v>0</v>
      </c>
      <c r="T64" s="948" cm="1">
        <f t="array" aca="1" ref="T64" ca="1">DSUM(MercadoBase1,T$53,INDIRECT("r"&amp;5+2*(ROW()-54)&amp;":r"&amp;6+2*(ROW()-54)))</f>
        <v>0</v>
      </c>
      <c r="U64" s="948" cm="1">
        <f t="array" aca="1" ref="U64" ca="1">DSUM(MercadoBase1,U$53,INDIRECT("r"&amp;5+2*(ROW()-54)&amp;":r"&amp;6+2*(ROW()-54)))</f>
        <v>0</v>
      </c>
      <c r="V64" s="948" cm="1">
        <f t="array" aca="1" ref="V64" ca="1">DSUM(MercadoBase1,V$53,INDIRECT("r"&amp;5+2*(ROW()-54)&amp;":r"&amp;6+2*(ROW()-54)))</f>
        <v>0</v>
      </c>
      <c r="W64" s="948" cm="1">
        <f t="array" aca="1" ref="W64" ca="1">DSUM(MercadoBase1,W$53,INDIRECT("r"&amp;5+2*(ROW()-54)&amp;":r"&amp;6+2*(ROW()-54)))</f>
        <v>0</v>
      </c>
      <c r="X64" s="948" cm="1">
        <f t="array" aca="1" ref="X64" ca="1">DSUM(MercadoBase1,X$53,INDIRECT("r"&amp;5+2*(ROW()-54)&amp;":r"&amp;6+2*(ROW()-54)))</f>
        <v>0</v>
      </c>
      <c r="Y64" s="948" cm="1">
        <f t="array" aca="1" ref="Y64" ca="1">DSUM(MercadoBase1,Y$53,INDIRECT("r"&amp;5+2*(ROW()-54)&amp;":r"&amp;6+2*(ROW()-54)))</f>
        <v>0</v>
      </c>
      <c r="Z64" s="948" cm="1">
        <f t="array" aca="1" ref="Z64" ca="1">DSUM(MercadoBase1,Z$53,INDIRECT("r"&amp;5+2*(ROW()-54)&amp;":r"&amp;6+2*(ROW()-54)))</f>
        <v>6805708.7196491128</v>
      </c>
      <c r="AA64" s="948" cm="1">
        <f t="array" aca="1" ref="AA64" ca="1">DSUM(MercadoBase1,AA$53,INDIRECT("r"&amp;5+2*(ROW()-54)&amp;":r"&amp;6+2*(ROW()-54)))</f>
        <v>0</v>
      </c>
      <c r="AB64" s="948" cm="1">
        <f t="array" aca="1" ref="AB64" ca="1">DSUM(MercadoBase1,AB$53,INDIRECT("r"&amp;5+2*(ROW()-54)&amp;":r"&amp;6+2*(ROW()-54)))</f>
        <v>0</v>
      </c>
    </row>
    <row r="65" spans="2:28" ht="15" customHeight="1">
      <c r="B65" s="946">
        <f>DATE(YEAR(CAPA!$C$15),MONTH(CAPA!$C$15)-1,1)</f>
        <v>44713</v>
      </c>
      <c r="C65" s="947"/>
      <c r="D65" s="1426" cm="1">
        <f t="array" aca="1" ref="D65" ca="1">DSUM(MercadoBase1,D$53,INDIRECT("r"&amp;5+2*(ROW()-54)&amp;":r"&amp;6+2*(ROW()-54)))</f>
        <v>0</v>
      </c>
      <c r="E65" s="1426" cm="1">
        <f t="array" aca="1" ref="E65" ca="1">DSUM(MercadoBase1,E$53,INDIRECT("r"&amp;5+2*(ROW()-54)&amp;":r"&amp;6+2*(ROW()-54)))</f>
        <v>0</v>
      </c>
      <c r="F65" s="948" cm="1">
        <f t="array" aca="1" ref="F65" ca="1">DSUM(MercadoBase1,F$53,INDIRECT("r"&amp;5+2*(ROW()-54)&amp;":r"&amp;6+2*(ROW()-54)))</f>
        <v>89663.795724976881</v>
      </c>
      <c r="G65" s="1426" cm="1">
        <f t="array" aca="1" ref="G65" ca="1">DSUM(MercadoBase1,G$53,INDIRECT("r"&amp;5+2*(ROW()-54)&amp;":r"&amp;6+2*(ROW()-54)))</f>
        <v>328612.80539912451</v>
      </c>
      <c r="H65" s="1426" cm="1">
        <f t="array" aca="1" ref="H65" ca="1">DSUM(MercadoBase1,H$53,INDIRECT("r"&amp;5+2*(ROW()-54)&amp;":r"&amp;6+2*(ROW()-54)))</f>
        <v>2020772.5991094336</v>
      </c>
      <c r="I65" s="948" cm="1">
        <f t="array" aca="1" ref="I65" ca="1">DSUM(MercadoBase1,I$53,INDIRECT("r"&amp;5+2*(ROW()-54)&amp;":r"&amp;6+2*(ROW()-54)))</f>
        <v>36718.412405128904</v>
      </c>
      <c r="J65" s="1426" cm="1">
        <f t="array" aca="1" ref="J65" ca="1">DSUM(MercadoBase1,J$53,INDIRECT("r"&amp;5+2*(ROW()-54)&amp;":r"&amp;6+2*(ROW()-54)))</f>
        <v>0</v>
      </c>
      <c r="K65" s="1426" cm="1">
        <f t="array" aca="1" ref="K65" ca="1">DSUM(MercadoBase1,K$53,INDIRECT("r"&amp;5+2*(ROW()-54)&amp;":r"&amp;6+2*(ROW()-54)))</f>
        <v>0</v>
      </c>
      <c r="L65" s="948" cm="1">
        <f t="array" aca="1" ref="L65" ca="1">DSUM(MercadoBase1,L$53,INDIRECT("r"&amp;5+2*(ROW()-54)&amp;":r"&amp;6+2*(ROW()-54)))</f>
        <v>0</v>
      </c>
      <c r="M65" s="1426" cm="1">
        <f t="array" aca="1" ref="M65" ca="1">DSUM(MercadoBase1,M$53,INDIRECT("r"&amp;5+2*(ROW()-54)&amp;":r"&amp;6+2*(ROW()-54)))</f>
        <v>0</v>
      </c>
      <c r="N65" s="1426" cm="1">
        <f t="array" aca="1" ref="N65" ca="1">DSUM(MercadoBase1,N$53,INDIRECT("r"&amp;5+2*(ROW()-54)&amp;":r"&amp;6+2*(ROW()-54)))</f>
        <v>0</v>
      </c>
      <c r="O65" s="948" cm="1">
        <f t="array" aca="1" ref="O65" ca="1">DSUM(MercadoBase1,O$53,INDIRECT("r"&amp;5+2*(ROW()-54)&amp;":r"&amp;6+2*(ROW()-54)))</f>
        <v>0</v>
      </c>
      <c r="P65" s="1426" cm="1">
        <f t="array" aca="1" ref="P65" ca="1">DSUM(MercadoBase1,P$53,INDIRECT("r"&amp;5+2*(ROW()-54)&amp;":r"&amp;6+2*(ROW()-54)))</f>
        <v>0</v>
      </c>
      <c r="Q65" s="954" cm="1">
        <f t="array" aca="1" ref="Q65" ca="1">DSUM(MercadoBase1,Q$53,INDIRECT("r"&amp;5+2*(ROW()-54)&amp;":r"&amp;6+2*(ROW()-54)))</f>
        <v>0</v>
      </c>
      <c r="R65" s="1427">
        <f>VLOOKUP(CAPA!$C$17,Índices!B:F,5,FALSE)/VLOOKUP(DATE(YEAR(B65),MONTH(B65),1),Índices!B:F,5,FALSE)</f>
        <v>1</v>
      </c>
      <c r="S65" s="955" cm="1">
        <f t="array" aca="1" ref="S65" ca="1">DSUM(MercadoBase1,S$53,INDIRECT("r"&amp;5+2*(ROW()-54)&amp;":r"&amp;6+2*(ROW()-54)))</f>
        <v>0</v>
      </c>
      <c r="T65" s="1426" cm="1">
        <f t="array" aca="1" ref="T65" ca="1">DSUM(MercadoBase1,T$53,INDIRECT("r"&amp;5+2*(ROW()-54)&amp;":r"&amp;6+2*(ROW()-54)))</f>
        <v>0</v>
      </c>
      <c r="U65" s="1426" cm="1">
        <f t="array" aca="1" ref="U65" ca="1">DSUM(MercadoBase1,U$53,INDIRECT("r"&amp;5+2*(ROW()-54)&amp;":r"&amp;6+2*(ROW()-54)))</f>
        <v>0</v>
      </c>
      <c r="V65" s="948" cm="1">
        <f t="array" aca="1" ref="V65" ca="1">DSUM(MercadoBase1,V$53,INDIRECT("r"&amp;5+2*(ROW()-54)&amp;":r"&amp;6+2*(ROW()-54)))</f>
        <v>0</v>
      </c>
      <c r="W65" s="1426" cm="1">
        <f t="array" aca="1" ref="W65" ca="1">DSUM(MercadoBase1,W$53,INDIRECT("r"&amp;5+2*(ROW()-54)&amp;":r"&amp;6+2*(ROW()-54)))</f>
        <v>0</v>
      </c>
      <c r="X65" s="1426" cm="1">
        <f t="array" aca="1" ref="X65" ca="1">DSUM(MercadoBase1,X$53,INDIRECT("r"&amp;5+2*(ROW()-54)&amp;":r"&amp;6+2*(ROW()-54)))</f>
        <v>0</v>
      </c>
      <c r="Y65" s="948" cm="1">
        <f t="array" aca="1" ref="Y65" ca="1">DSUM(MercadoBase1,Y$53,INDIRECT("r"&amp;5+2*(ROW()-54)&amp;":r"&amp;6+2*(ROW()-54)))</f>
        <v>0</v>
      </c>
      <c r="Z65" s="1426" cm="1">
        <f t="array" aca="1" ref="Z65" ca="1">DSUM(MercadoBase1,Z$53,INDIRECT("r"&amp;5+2*(ROW()-54)&amp;":r"&amp;6+2*(ROW()-54)))</f>
        <v>7309532.5383974938</v>
      </c>
      <c r="AA65" s="1426" cm="1">
        <f t="array" aca="1" ref="AA65" ca="1">DSUM(MercadoBase1,AA$53,INDIRECT("r"&amp;5+2*(ROW()-54)&amp;":r"&amp;6+2*(ROW()-54)))</f>
        <v>0</v>
      </c>
      <c r="AB65" s="948" cm="1">
        <f t="array" aca="1" ref="AB65" ca="1">DSUM(MercadoBase1,AB$53,INDIRECT("r"&amp;5+2*(ROW()-54)&amp;":r"&amp;6+2*(ROW()-54)))</f>
        <v>0</v>
      </c>
    </row>
    <row r="66" spans="2:28" ht="15" customHeight="1">
      <c r="B66" s="1428" t="s">
        <v>1014</v>
      </c>
      <c r="C66" s="1429"/>
      <c r="D66" s="1430">
        <f ca="1">SUM(D54:D65)</f>
        <v>0</v>
      </c>
      <c r="E66" s="1430">
        <f t="shared" ref="E66:Q66" ca="1" si="3">SUM(E54:E65)</f>
        <v>0</v>
      </c>
      <c r="F66" s="1430">
        <f t="shared" ca="1" si="3"/>
        <v>1124321.8870068607</v>
      </c>
      <c r="G66" s="1430">
        <f ca="1">SUM(G54:G65)</f>
        <v>4054505.8046815027</v>
      </c>
      <c r="H66" s="1430">
        <f t="shared" ca="1" si="3"/>
        <v>24941264.727890957</v>
      </c>
      <c r="I66" s="1430">
        <f t="shared" ca="1" si="3"/>
        <v>452302.20791855728</v>
      </c>
      <c r="J66" s="1430">
        <f t="shared" ca="1" si="3"/>
        <v>0</v>
      </c>
      <c r="K66" s="1430">
        <f t="shared" ca="1" si="3"/>
        <v>0</v>
      </c>
      <c r="L66" s="1430">
        <f t="shared" ca="1" si="3"/>
        <v>0</v>
      </c>
      <c r="M66" s="1430">
        <f t="shared" ca="1" si="3"/>
        <v>0</v>
      </c>
      <c r="N66" s="1430">
        <f t="shared" ca="1" si="3"/>
        <v>0</v>
      </c>
      <c r="O66" s="1430">
        <f t="shared" ca="1" si="3"/>
        <v>0</v>
      </c>
      <c r="P66" s="1430">
        <f t="shared" ca="1" si="3"/>
        <v>0</v>
      </c>
      <c r="Q66" s="1430">
        <f t="shared" ca="1" si="3"/>
        <v>0</v>
      </c>
      <c r="R66" s="1426"/>
      <c r="S66" s="1430">
        <f t="shared" ref="S66:AB66" ca="1" si="4">SUM(S54:S65)</f>
        <v>0</v>
      </c>
      <c r="T66" s="1430">
        <f t="shared" ca="1" si="4"/>
        <v>0</v>
      </c>
      <c r="U66" s="1430">
        <f t="shared" ca="1" si="4"/>
        <v>0</v>
      </c>
      <c r="V66" s="1430">
        <f t="shared" ca="1" si="4"/>
        <v>0</v>
      </c>
      <c r="W66" s="1430">
        <f t="shared" ca="1" si="4"/>
        <v>0</v>
      </c>
      <c r="X66" s="1430">
        <f t="shared" ca="1" si="4"/>
        <v>0</v>
      </c>
      <c r="Y66" s="1430">
        <f t="shared" ca="1" si="4"/>
        <v>0</v>
      </c>
      <c r="Z66" s="1430">
        <f t="shared" ca="1" si="4"/>
        <v>89704609.851555288</v>
      </c>
      <c r="AA66" s="1430">
        <f t="shared" ca="1" si="4"/>
        <v>0</v>
      </c>
      <c r="AB66" s="1430">
        <f t="shared" ca="1" si="4"/>
        <v>0</v>
      </c>
    </row>
    <row r="67" spans="2:28" ht="15" customHeight="1">
      <c r="B67" s="1431" t="s">
        <v>1425</v>
      </c>
      <c r="C67" s="1432"/>
      <c r="D67" s="1433">
        <f t="shared" ref="D67:AB67" ca="1" si="5">SUMPRODUCT(D54:D65,$R$54:$R$65)</f>
        <v>0</v>
      </c>
      <c r="E67" s="1434">
        <f t="shared" ca="1" si="5"/>
        <v>0</v>
      </c>
      <c r="F67" s="1435">
        <f t="shared" ca="1" si="5"/>
        <v>1177597.266411328</v>
      </c>
      <c r="G67" s="1434">
        <f t="shared" ca="1" si="5"/>
        <v>4245319.922068987</v>
      </c>
      <c r="H67" s="1434">
        <f t="shared" ca="1" si="5"/>
        <v>26114482.693517275</v>
      </c>
      <c r="I67" s="1435">
        <f t="shared" ca="1" si="5"/>
        <v>473528.84131752769</v>
      </c>
      <c r="J67" s="1433">
        <f t="shared" ca="1" si="5"/>
        <v>0</v>
      </c>
      <c r="K67" s="1434">
        <f t="shared" ca="1" si="5"/>
        <v>0</v>
      </c>
      <c r="L67" s="1435">
        <f t="shared" ca="1" si="5"/>
        <v>0</v>
      </c>
      <c r="M67" s="1434">
        <f t="shared" ca="1" si="5"/>
        <v>0</v>
      </c>
      <c r="N67" s="1434">
        <f t="shared" ca="1" si="5"/>
        <v>0</v>
      </c>
      <c r="O67" s="1435">
        <f t="shared" ca="1" si="5"/>
        <v>0</v>
      </c>
      <c r="P67" s="1433">
        <f t="shared" ca="1" si="5"/>
        <v>0</v>
      </c>
      <c r="Q67" s="1433">
        <f t="shared" ca="1" si="5"/>
        <v>0</v>
      </c>
      <c r="R67" s="1434">
        <f t="shared" si="5"/>
        <v>13.165388547125795</v>
      </c>
      <c r="S67" s="1435">
        <f t="shared" ca="1" si="5"/>
        <v>0</v>
      </c>
      <c r="T67" s="1434">
        <f t="shared" ca="1" si="5"/>
        <v>0</v>
      </c>
      <c r="U67" s="1434">
        <f t="shared" ca="1" si="5"/>
        <v>0</v>
      </c>
      <c r="V67" s="1435">
        <f t="shared" ca="1" si="5"/>
        <v>0</v>
      </c>
      <c r="W67" s="1433">
        <f t="shared" ca="1" si="5"/>
        <v>0</v>
      </c>
      <c r="X67" s="1434">
        <f t="shared" ca="1" si="5"/>
        <v>0</v>
      </c>
      <c r="Y67" s="1435">
        <f t="shared" ca="1" si="5"/>
        <v>0</v>
      </c>
      <c r="Z67" s="1434">
        <f t="shared" ca="1" si="5"/>
        <v>93901020.231673509</v>
      </c>
      <c r="AA67" s="1434">
        <f t="shared" ca="1" si="5"/>
        <v>0</v>
      </c>
      <c r="AB67" s="1435">
        <f t="shared" ca="1" si="5"/>
        <v>0</v>
      </c>
    </row>
    <row r="71" spans="2:28" ht="15" customHeight="1">
      <c r="H71" s="956"/>
      <c r="J71" s="956"/>
    </row>
    <row r="72" spans="2:28" ht="15" customHeight="1">
      <c r="H72" s="956"/>
      <c r="J72" s="956"/>
    </row>
    <row r="73" spans="2:28" ht="15" customHeight="1">
      <c r="H73" s="956"/>
      <c r="J73" s="956"/>
    </row>
    <row r="74" spans="2:28" ht="15" customHeight="1">
      <c r="H74" s="956"/>
      <c r="J74" s="956"/>
    </row>
    <row r="75" spans="2:28" ht="15" customHeight="1">
      <c r="H75" s="956"/>
      <c r="J75" s="956"/>
    </row>
    <row r="76" spans="2:28" ht="15" customHeight="1">
      <c r="H76" s="956"/>
      <c r="J76" s="956"/>
    </row>
    <row r="77" spans="2:28" ht="15" customHeight="1">
      <c r="H77" s="956"/>
      <c r="J77" s="956"/>
    </row>
    <row r="78" spans="2:28" ht="15" customHeight="1">
      <c r="H78" s="956"/>
      <c r="J78" s="956"/>
    </row>
    <row r="79" spans="2:28" ht="15" customHeight="1">
      <c r="H79" s="956"/>
      <c r="J79" s="956"/>
    </row>
    <row r="80" spans="2:28" ht="15" customHeight="1">
      <c r="H80" s="956"/>
      <c r="J80" s="956"/>
    </row>
    <row r="81" spans="8:10" ht="15" customHeight="1">
      <c r="H81" s="956"/>
      <c r="J81" s="956"/>
    </row>
    <row r="82" spans="8:10" ht="15" customHeight="1">
      <c r="H82" s="956"/>
      <c r="J82" s="956"/>
    </row>
  </sheetData>
  <phoneticPr fontId="111" type="noConversion"/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C20" sqref="C20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79" t="str">
        <f>CAPA!C9</f>
        <v>Certel</v>
      </c>
    </row>
    <row r="3" spans="1:14">
      <c r="A3" s="879" t="s">
        <v>1426</v>
      </c>
      <c r="B3" s="880">
        <v>1</v>
      </c>
    </row>
    <row r="7" spans="1:14">
      <c r="A7" s="881"/>
      <c r="B7" s="1832" t="s">
        <v>1427</v>
      </c>
      <c r="C7" s="1832"/>
      <c r="D7" s="1832"/>
      <c r="E7" s="881"/>
      <c r="F7" s="1832" t="s">
        <v>1428</v>
      </c>
      <c r="G7" s="1832"/>
      <c r="H7" s="1832"/>
      <c r="I7" s="881"/>
      <c r="J7" s="1832" t="s">
        <v>1429</v>
      </c>
      <c r="K7" s="1832"/>
      <c r="L7" s="1832"/>
    </row>
    <row r="8" spans="1:14">
      <c r="A8" s="1436" t="s">
        <v>1430</v>
      </c>
      <c r="B8" s="1436" t="s">
        <v>1431</v>
      </c>
      <c r="C8" s="1436" t="s">
        <v>110</v>
      </c>
      <c r="D8" s="1436" t="s">
        <v>1432</v>
      </c>
      <c r="E8" s="1436"/>
      <c r="F8" s="1436" t="s">
        <v>1431</v>
      </c>
      <c r="G8" s="1436" t="s">
        <v>1433</v>
      </c>
      <c r="H8" s="1436" t="s">
        <v>1434</v>
      </c>
      <c r="I8" s="1436"/>
      <c r="J8" s="1436" t="s">
        <v>1431</v>
      </c>
      <c r="K8" s="1436" t="s">
        <v>1433</v>
      </c>
      <c r="L8" s="1436" t="s">
        <v>1435</v>
      </c>
    </row>
    <row r="9" spans="1:14">
      <c r="A9" s="1437">
        <v>44013</v>
      </c>
      <c r="B9" s="1438">
        <f>SUMIFS(BDCOVID!F:F,BDCOVID!$C:$C,'Conta covid'!$A$1,BDCOVID!$AH:$AH,'Conta covid'!$A9)</f>
        <v>2357142.8571428601</v>
      </c>
      <c r="C9" s="1438">
        <f>-SUMIFS(BDCOVID!G:G,BDCOVID!$C:$C,'Conta covid'!$A$1,BDCOVID!$AH:$AH,'Conta covid'!$A9)</f>
        <v>4714285.71</v>
      </c>
      <c r="D9" s="1439">
        <f>B9-C9</f>
        <v>-2357142.8528571399</v>
      </c>
      <c r="E9" s="1438"/>
      <c r="F9" s="1440">
        <f>B9*VLOOKUP(SAS_RA0_DataFim,Índices!$B$6:$F$405,5,FALSE)/VLOOKUP(EDATE('Conta covid'!$A9,-1),Índices!$B$6:$F$405,5,FALSE)</f>
        <v>2620324.2907982166</v>
      </c>
      <c r="G9" s="1440">
        <f>C9*VLOOKUP(SAS_RA0_DataFim,Índices!$B$6:$F$405,5,FALSE)/VLOOKUP(EDATE('Conta covid'!$A9,-1),Índices!$B$6:$F$405,5,FALSE)</f>
        <v>5240648.5768322004</v>
      </c>
      <c r="H9" s="1440">
        <f>F9-G9</f>
        <v>-2620324.2860339838</v>
      </c>
      <c r="I9" s="1438"/>
      <c r="J9" s="1440">
        <f>IFERROR(IF($C$19,H9*$B$3,0),0)</f>
        <v>-2620324.2860339838</v>
      </c>
      <c r="K9" s="1440"/>
      <c r="L9" s="1440"/>
    </row>
    <row r="10" spans="1:14">
      <c r="A10" s="1437">
        <v>44044</v>
      </c>
      <c r="B10" s="1438">
        <f>SUMIFS(BDCOVID!F:F,BDCOVID!$C:$C,'Conta covid'!$A$1,BDCOVID!$AH:$AH,'Conta covid'!$A10)</f>
        <v>2357142.8571428601</v>
      </c>
      <c r="C10" s="1438">
        <f>SUMIFS(BDCOVID!G:G,BDCOVID!$C:$C,'Conta covid'!$A$1,BDCOVID!$AH:$AH,'Conta covid'!$A10)</f>
        <v>0</v>
      </c>
      <c r="D10" s="1439">
        <f t="shared" ref="D10:D15" si="0">B10-C10</f>
        <v>2357142.8571428601</v>
      </c>
      <c r="E10" s="1438"/>
      <c r="F10" s="1440">
        <f>B10*VLOOKUP(SAS_RA0_DataFim,Índices!$B$6:$F$405,5,FALSE)/VLOOKUP(EDATE('Conta covid'!$A10,-1),Índices!$B$6:$F$405,5,FALSE)</f>
        <v>2615241.6624353025</v>
      </c>
      <c r="G10" s="1440">
        <f>C10*VLOOKUP(SAS_RA0_DataFim,Índices!$B$6:$F$405,5,FALSE)/VLOOKUP(EDATE('Conta covid'!$A10,-1),Índices!$B$6:$F$405,5,FALSE)</f>
        <v>0</v>
      </c>
      <c r="H10" s="1440">
        <f t="shared" ref="H10:H16" si="1">F10-G10</f>
        <v>2615241.6624353025</v>
      </c>
      <c r="I10" s="1438"/>
      <c r="J10" s="1440">
        <f t="shared" ref="J10:J16" si="2">IFERROR(IF($C$19,H10*$B$3,0),0)</f>
        <v>2615241.6624353025</v>
      </c>
      <c r="K10" s="1440"/>
      <c r="L10" s="1440"/>
    </row>
    <row r="11" spans="1:14">
      <c r="A11" s="1437">
        <v>44075</v>
      </c>
      <c r="B11" s="1438">
        <f>SUMIFS(BDCOVID!F:F,BDCOVID!$C:$C,'Conta covid'!$A$1,BDCOVID!$AH:$AH,'Conta covid'!$A11)</f>
        <v>2357142.8571428601</v>
      </c>
      <c r="C11" s="1438">
        <f>SUMIFS(BDCOVID!G:G,BDCOVID!$C:$C,'Conta covid'!$A$1,BDCOVID!$AH:$AH,'Conta covid'!$A11)</f>
        <v>0</v>
      </c>
      <c r="D11" s="1439">
        <f t="shared" si="0"/>
        <v>2357142.8571428601</v>
      </c>
      <c r="E11" s="1438"/>
      <c r="F11" s="1440">
        <f>B11*VLOOKUP(SAS_RA0_DataFim,Índices!$B$6:$F$405,5,FALSE)/VLOOKUP(EDATE('Conta covid'!$A11,-1),Índices!$B$6:$F$405,5,FALSE)</f>
        <v>2611066.8381670411</v>
      </c>
      <c r="G11" s="1440">
        <f>C11*VLOOKUP(SAS_RA0_DataFim,Índices!$B$6:$F$405,5,FALSE)/VLOOKUP(EDATE('Conta covid'!$A11,-1),Índices!$B$6:$F$405,5,FALSE)</f>
        <v>0</v>
      </c>
      <c r="H11" s="1440">
        <f t="shared" si="1"/>
        <v>2611066.8381670411</v>
      </c>
      <c r="I11" s="1438"/>
      <c r="J11" s="1440">
        <f t="shared" si="2"/>
        <v>2611066.8381670411</v>
      </c>
      <c r="K11" s="1440"/>
      <c r="L11" s="1440"/>
    </row>
    <row r="12" spans="1:14">
      <c r="A12" s="1437">
        <v>44105</v>
      </c>
      <c r="B12" s="1438">
        <f>SUMIFS(BDCOVID!F:F,BDCOVID!$C:$C,'Conta covid'!$A$1,BDCOVID!$AH:$AH,'Conta covid'!$A12)</f>
        <v>2357142.8571428601</v>
      </c>
      <c r="C12" s="1438">
        <f>SUMIFS(BDCOVID!G:G,BDCOVID!$C:$C,'Conta covid'!$A$1,BDCOVID!$AH:$AH,'Conta covid'!$A12)</f>
        <v>0</v>
      </c>
      <c r="D12" s="1439">
        <f t="shared" si="0"/>
        <v>2357142.8571428601</v>
      </c>
      <c r="E12" s="1438"/>
      <c r="F12" s="1440">
        <f>B12*VLOOKUP(SAS_RA0_DataFim,Índices!$B$6:$F$405,5,FALSE)/VLOOKUP(EDATE('Conta covid'!$A12,-1),Índices!$B$6:$F$405,5,FALSE)</f>
        <v>2606974.7687823297</v>
      </c>
      <c r="G12" s="1440">
        <f>C12*VLOOKUP(SAS_RA0_DataFim,Índices!$B$6:$F$405,5,FALSE)/VLOOKUP(EDATE('Conta covid'!$A12,-1),Índices!$B$6:$F$405,5,FALSE)</f>
        <v>0</v>
      </c>
      <c r="H12" s="1440">
        <f t="shared" si="1"/>
        <v>2606974.7687823297</v>
      </c>
      <c r="I12" s="1438"/>
      <c r="J12" s="1440">
        <f t="shared" si="2"/>
        <v>2606974.7687823297</v>
      </c>
      <c r="K12" s="1440"/>
      <c r="L12" s="1440"/>
    </row>
    <row r="13" spans="1:14">
      <c r="A13" s="1437">
        <v>44136</v>
      </c>
      <c r="B13" s="1438">
        <f>SUMIFS(BDCOVID!F:F,BDCOVID!$C:$C,'Conta covid'!$A$1,BDCOVID!$AH:$AH,'Conta covid'!$A13)</f>
        <v>2357142.8571428601</v>
      </c>
      <c r="C13" s="1438">
        <f>SUMIFS(BDCOVID!G:G,BDCOVID!$C:$C,'Conta covid'!$A$1,BDCOVID!$AH:$AH,'Conta covid'!$A13)</f>
        <v>0</v>
      </c>
      <c r="D13" s="1439">
        <f t="shared" si="0"/>
        <v>2357142.8571428601</v>
      </c>
      <c r="E13" s="1438"/>
      <c r="F13" s="1440">
        <f>B13*VLOOKUP(SAS_RA0_DataFim,Índices!$B$6:$F$405,5,FALSE)/VLOOKUP(EDATE('Conta covid'!$A13,-1),Índices!$B$6:$F$405,5,FALSE)</f>
        <v>2602889.1124972794</v>
      </c>
      <c r="G13" s="1440">
        <f>C13*VLOOKUP(SAS_RA0_DataFim,Índices!$B$6:$F$405,5,FALSE)/VLOOKUP(EDATE('Conta covid'!$A13,-1),Índices!$B$6:$F$405,5,FALSE)</f>
        <v>0</v>
      </c>
      <c r="H13" s="1440">
        <f t="shared" si="1"/>
        <v>2602889.1124972794</v>
      </c>
      <c r="I13" s="1438"/>
      <c r="J13" s="1440">
        <f t="shared" si="2"/>
        <v>2602889.1124972794</v>
      </c>
      <c r="K13" s="1440"/>
      <c r="L13" s="1440"/>
      <c r="M13" s="882">
        <f t="shared" ref="M13:N13" si="3">SUM(M5:M12)</f>
        <v>0</v>
      </c>
      <c r="N13" s="882">
        <f t="shared" si="3"/>
        <v>0</v>
      </c>
    </row>
    <row r="14" spans="1:14">
      <c r="A14" s="1437">
        <v>44166</v>
      </c>
      <c r="B14" s="1438">
        <f>SUMIFS(BDCOVID!F:F,BDCOVID!$C:$C,'Conta covid'!$A$1,BDCOVID!$AH:$AH,'Conta covid'!$A14)</f>
        <v>4714285.7142857201</v>
      </c>
      <c r="C14" s="1438">
        <f>SUMIFS(BDCOVID!G:G,BDCOVID!$C:$C,'Conta covid'!$A$1,BDCOVID!$AH:$AH,'Conta covid'!$A14)</f>
        <v>0</v>
      </c>
      <c r="D14" s="1439">
        <f t="shared" si="0"/>
        <v>4714285.7142857201</v>
      </c>
      <c r="E14" s="1438"/>
      <c r="F14" s="1440">
        <f>B14*VLOOKUP(SAS_RA0_DataFim,Índices!$B$6:$F$405,5,FALSE)/VLOOKUP(EDATE('Conta covid'!$A14,-1),Índices!$B$6:$F$405,5,FALSE)</f>
        <v>5198007.9287392991</v>
      </c>
      <c r="G14" s="1440">
        <f>C14*VLOOKUP(SAS_RA0_DataFim,Índices!$B$6:$F$405,5,FALSE)/VLOOKUP(EDATE('Conta covid'!$A14,-1),Índices!$B$6:$F$405,5,FALSE)</f>
        <v>0</v>
      </c>
      <c r="H14" s="1440">
        <f t="shared" si="1"/>
        <v>5198007.9287392991</v>
      </c>
      <c r="I14" s="1438"/>
      <c r="J14" s="1440">
        <f t="shared" si="2"/>
        <v>5198007.9287392991</v>
      </c>
      <c r="K14" s="1440"/>
      <c r="L14" s="1440"/>
    </row>
    <row r="15" spans="1:14">
      <c r="A15" s="1437">
        <v>44197</v>
      </c>
      <c r="B15" s="1438">
        <f>SUMIFS(BDCOVID!F:F,BDCOVID!$C:$C,'Conta covid'!$A$1,BDCOVID!$AH:$AH,'Conta covid'!$A15)</f>
        <v>0</v>
      </c>
      <c r="C15" s="1438">
        <f>SUMIFS(BDCOVID!G:G,BDCOVID!$C:$C,'Conta covid'!$A$1,BDCOVID!$AH:$AH,'Conta covid'!$A15)</f>
        <v>0</v>
      </c>
      <c r="D15" s="1439">
        <f t="shared" si="0"/>
        <v>0</v>
      </c>
      <c r="E15" s="1438"/>
      <c r="F15" s="1440">
        <f>B15*VLOOKUP(SAS_RA0_DataFim,Índices!$B$6:$F$405,5,FALSE)/VLOOKUP(EDATE('Conta covid'!$A15,-1),Índices!$B$6:$F$405,5,FALSE)</f>
        <v>0</v>
      </c>
      <c r="G15" s="1440">
        <f>C15*VLOOKUP(SAS_RA0_DataFim,Índices!$B$6:$F$405,5,FALSE)/VLOOKUP(EDATE('Conta covid'!$A15,-1),Índices!$B$6:$F$405,5,FALSE)</f>
        <v>0</v>
      </c>
      <c r="H15" s="1440">
        <f t="shared" si="1"/>
        <v>0</v>
      </c>
      <c r="I15" s="1438"/>
      <c r="J15" s="1440">
        <f t="shared" si="2"/>
        <v>0</v>
      </c>
      <c r="K15" s="1440"/>
      <c r="L15" s="1440"/>
    </row>
    <row r="16" spans="1:14">
      <c r="A16" s="1437">
        <v>44378</v>
      </c>
      <c r="B16" s="1438">
        <f>SUMIFS(BDCOVID!F:F,BDCOVID!$C:$C,'Conta covid'!$A$1,BDCOVID!$AH:$AH,'Conta covid'!$A16)</f>
        <v>0</v>
      </c>
      <c r="C16" s="1438">
        <f>-SUMIFS(BDCOVID!G:G,BDCOVID!$C:$C,'Conta covid'!$A$1,BDCOVID!$AH:$AH,'Conta covid'!$A16)</f>
        <v>5988962.9678906118</v>
      </c>
      <c r="D16" s="1439">
        <f t="shared" ref="D16" si="4">B16-C16</f>
        <v>-5988962.9678906118</v>
      </c>
      <c r="E16" s="1438"/>
      <c r="F16" s="1440">
        <f>B16*VLOOKUP(SAS_RA0_DataFim,Índices!$B$6:$F$405,5,FALSE)/VLOOKUP(EDATE('Conta covid'!$A16,-1),Índices!$B$6:$F$405,5,FALSE)</f>
        <v>0</v>
      </c>
      <c r="G16" s="1440">
        <f>C16*VLOOKUP(SAS_RA0_DataFim,Índices!$B$6:$F$405,5,FALSE)/VLOOKUP(EDATE('Conta covid'!$A16,-1),Índices!$B$6:$F$405,5,FALSE)</f>
        <v>6509469.324092974</v>
      </c>
      <c r="H16" s="1440">
        <f t="shared" si="1"/>
        <v>-6509469.324092974</v>
      </c>
      <c r="I16" s="1438"/>
      <c r="J16" s="1440">
        <f t="shared" si="2"/>
        <v>-6509469.324092974</v>
      </c>
      <c r="K16" s="1438"/>
      <c r="L16" s="1438"/>
    </row>
    <row r="17" spans="1:12">
      <c r="A17" s="1441" t="s">
        <v>846</v>
      </c>
      <c r="B17" s="1442">
        <f>SUM(B9:B16)</f>
        <v>16500000.00000002</v>
      </c>
      <c r="C17" s="1442">
        <f t="shared" ref="C17:L17" si="5">SUM(C9:C16)</f>
        <v>10703248.677890612</v>
      </c>
      <c r="D17" s="1442">
        <f t="shared" si="5"/>
        <v>5796751.3221094096</v>
      </c>
      <c r="E17" s="1442">
        <f t="shared" si="5"/>
        <v>0</v>
      </c>
      <c r="F17" s="1442">
        <f t="shared" si="5"/>
        <v>18254504.601419471</v>
      </c>
      <c r="G17" s="1442">
        <f t="shared" si="5"/>
        <v>11750117.900925174</v>
      </c>
      <c r="H17" s="1442">
        <f>SUM(H9:H16)</f>
        <v>6504386.7004942941</v>
      </c>
      <c r="I17" s="1442">
        <f t="shared" si="5"/>
        <v>0</v>
      </c>
      <c r="J17" s="1442">
        <f t="shared" si="5"/>
        <v>6504386.7004942941</v>
      </c>
      <c r="K17" s="1442">
        <f t="shared" si="5"/>
        <v>0</v>
      </c>
      <c r="L17" s="1442">
        <f t="shared" si="5"/>
        <v>0</v>
      </c>
    </row>
    <row r="19" spans="1:12">
      <c r="C19" s="1764" t="b">
        <f>B17/(C17)&gt;1</f>
        <v>1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5" t="s">
        <v>1436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4"/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358"/>
      <c r="P2" s="358"/>
      <c r="Q2" s="358"/>
      <c r="R2" s="9"/>
      <c r="S2" s="9"/>
      <c r="T2" s="9"/>
      <c r="U2" s="9"/>
      <c r="V2" s="9"/>
    </row>
    <row r="3" spans="1:22">
      <c r="A3" s="696" t="s">
        <v>1437</v>
      </c>
      <c r="B3" s="65"/>
      <c r="C3" s="65"/>
      <c r="D3" s="65"/>
      <c r="E3" s="65"/>
      <c r="F3" s="694"/>
      <c r="G3" s="358"/>
      <c r="H3" s="358"/>
      <c r="I3" s="696" t="s">
        <v>1438</v>
      </c>
      <c r="J3" s="358"/>
      <c r="K3" s="697"/>
      <c r="L3" s="9"/>
      <c r="M3" s="9"/>
      <c r="N3" s="694"/>
      <c r="O3" s="358"/>
      <c r="P3" s="358"/>
      <c r="Q3" s="358"/>
      <c r="R3" s="9"/>
      <c r="S3" s="9"/>
      <c r="T3" s="9"/>
      <c r="U3" s="9"/>
      <c r="V3" s="9"/>
    </row>
    <row r="4" spans="1:22" ht="25.5">
      <c r="A4" s="1443" t="s">
        <v>22</v>
      </c>
      <c r="B4" s="1444"/>
      <c r="C4" s="698" t="s">
        <v>930</v>
      </c>
      <c r="D4" s="698" t="s">
        <v>1439</v>
      </c>
      <c r="E4" s="698" t="s">
        <v>1440</v>
      </c>
      <c r="F4" s="698" t="s">
        <v>8</v>
      </c>
      <c r="G4" s="699" t="s">
        <v>1441</v>
      </c>
      <c r="H4" s="358"/>
      <c r="I4" s="1443" t="s">
        <v>22</v>
      </c>
      <c r="J4" s="1443"/>
      <c r="K4" s="1443"/>
      <c r="L4" s="698" t="s">
        <v>1440</v>
      </c>
      <c r="M4" s="698" t="s">
        <v>8</v>
      </c>
      <c r="N4" s="699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45" t="s">
        <v>774</v>
      </c>
      <c r="B5" s="1446"/>
      <c r="C5" s="1447">
        <f>SUMPRODUCT(C16:Q16,$C$22:$Q$22)</f>
        <v>3604818.8919566358</v>
      </c>
      <c r="D5" s="703">
        <f>SUMPRODUCT(C28:Q28,$C$34:$Q$34)</f>
        <v>468588.62763152295</v>
      </c>
      <c r="E5" s="1448">
        <f>C5-D5</f>
        <v>3136230.264325113</v>
      </c>
      <c r="F5" s="1449">
        <f>Resultado!M9</f>
        <v>3639189.4347243891</v>
      </c>
      <c r="G5" s="700">
        <f>F5+E5</f>
        <v>6775419.6990495026</v>
      </c>
      <c r="H5" s="358"/>
      <c r="I5" s="1445" t="s">
        <v>774</v>
      </c>
      <c r="J5" s="1445"/>
      <c r="K5" s="1445"/>
      <c r="L5" s="1449">
        <f t="shared" ref="L5:N10" si="0">E5/12</f>
        <v>261352.52202709275</v>
      </c>
      <c r="M5" s="1449">
        <f t="shared" si="0"/>
        <v>303265.78622703243</v>
      </c>
      <c r="N5" s="1447">
        <f t="shared" si="0"/>
        <v>564618.30825412518</v>
      </c>
      <c r="P5" s="358"/>
      <c r="Q5" s="358"/>
      <c r="R5" s="9"/>
      <c r="S5" s="9"/>
      <c r="T5" s="9"/>
      <c r="U5" s="9"/>
      <c r="V5" s="9"/>
    </row>
    <row r="6" spans="1:22">
      <c r="A6" s="65" t="s">
        <v>776</v>
      </c>
      <c r="B6" s="701"/>
      <c r="C6" s="702">
        <f t="shared" ref="C6:C10" si="1">SUMPRODUCT(C17:Q17,$C$22:$Q$22)</f>
        <v>256678.24314325539</v>
      </c>
      <c r="D6" s="703">
        <f t="shared" ref="D6:D10" si="2">SUMPRODUCT(C29:Q29,$C$34:$Q$34)</f>
        <v>171223.58964196386</v>
      </c>
      <c r="E6" s="721">
        <f t="shared" ref="E6:E10" si="3">C6-D6</f>
        <v>85454.653501291526</v>
      </c>
      <c r="F6" s="703">
        <f>Resultado!M10</f>
        <v>252333.72190015638</v>
      </c>
      <c r="G6" s="700">
        <f t="shared" ref="G6:G10" si="4">F6+E6</f>
        <v>337788.37540144788</v>
      </c>
      <c r="H6" s="358"/>
      <c r="I6" s="65" t="s">
        <v>776</v>
      </c>
      <c r="J6" s="65"/>
      <c r="K6" s="65"/>
      <c r="L6" s="703">
        <f t="shared" si="0"/>
        <v>7121.2211251076269</v>
      </c>
      <c r="M6" s="703">
        <f t="shared" si="0"/>
        <v>21027.810158346365</v>
      </c>
      <c r="N6" s="702">
        <f t="shared" si="0"/>
        <v>28149.031283453991</v>
      </c>
      <c r="P6" s="358"/>
      <c r="Q6" s="358"/>
      <c r="R6" s="9"/>
      <c r="S6" s="9"/>
      <c r="T6" s="9"/>
      <c r="U6" s="9"/>
      <c r="V6" s="9"/>
    </row>
    <row r="7" spans="1:22">
      <c r="A7" s="65" t="s">
        <v>778</v>
      </c>
      <c r="B7" s="701"/>
      <c r="C7" s="702">
        <f t="shared" si="1"/>
        <v>649250.27748199401</v>
      </c>
      <c r="D7" s="703">
        <f t="shared" si="2"/>
        <v>804835.96071641718</v>
      </c>
      <c r="E7" s="721">
        <f t="shared" si="3"/>
        <v>-155585.68323442317</v>
      </c>
      <c r="F7" s="703">
        <f>-Financeiros!D37+Resultado!M11</f>
        <v>0</v>
      </c>
      <c r="G7" s="700">
        <f t="shared" si="4"/>
        <v>-155585.68323442317</v>
      </c>
      <c r="H7" s="358"/>
      <c r="I7" s="65" t="s">
        <v>778</v>
      </c>
      <c r="J7" s="65"/>
      <c r="K7" s="65"/>
      <c r="L7" s="703">
        <f t="shared" si="0"/>
        <v>-12965.473602868597</v>
      </c>
      <c r="M7" s="703">
        <f t="shared" si="0"/>
        <v>0</v>
      </c>
      <c r="N7" s="702">
        <f t="shared" si="0"/>
        <v>-12965.473602868597</v>
      </c>
      <c r="P7" s="358"/>
      <c r="Q7" s="358"/>
      <c r="R7" s="9"/>
      <c r="S7" s="9"/>
      <c r="T7" s="9"/>
      <c r="U7" s="9"/>
      <c r="V7" s="9"/>
    </row>
    <row r="8" spans="1:22">
      <c r="A8" s="65" t="s">
        <v>779</v>
      </c>
      <c r="B8" s="701"/>
      <c r="C8" s="702">
        <f t="shared" si="1"/>
        <v>255858.03474551975</v>
      </c>
      <c r="D8" s="703">
        <f t="shared" si="2"/>
        <v>236551.34726935922</v>
      </c>
      <c r="E8" s="721">
        <f t="shared" si="3"/>
        <v>19306.687476160529</v>
      </c>
      <c r="F8" s="703">
        <f>Resultado!M12</f>
        <v>137181.29800430051</v>
      </c>
      <c r="G8" s="700">
        <f t="shared" si="4"/>
        <v>156487.98548046104</v>
      </c>
      <c r="H8" s="358"/>
      <c r="I8" s="65" t="s">
        <v>779</v>
      </c>
      <c r="J8" s="65"/>
      <c r="K8" s="65"/>
      <c r="L8" s="703">
        <f t="shared" si="0"/>
        <v>1608.8906230133773</v>
      </c>
      <c r="M8" s="703">
        <f t="shared" si="0"/>
        <v>11431.774833691708</v>
      </c>
      <c r="N8" s="702">
        <f t="shared" si="0"/>
        <v>13040.665456705086</v>
      </c>
      <c r="P8" s="358"/>
      <c r="Q8" s="358"/>
      <c r="R8" s="9"/>
      <c r="S8" s="9"/>
      <c r="T8" s="9"/>
      <c r="U8" s="9"/>
      <c r="V8" s="9"/>
    </row>
    <row r="9" spans="1:22">
      <c r="A9" s="65" t="s">
        <v>782</v>
      </c>
      <c r="B9" s="701"/>
      <c r="C9" s="702">
        <f t="shared" si="1"/>
        <v>5246300.8021159358</v>
      </c>
      <c r="D9" s="703">
        <f t="shared" si="2"/>
        <v>5319133.393075292</v>
      </c>
      <c r="E9" s="721">
        <f>C9-D9</f>
        <v>-72832.590959356166</v>
      </c>
      <c r="F9" s="703">
        <f>Resultado!M13</f>
        <v>2814830.7615982434</v>
      </c>
      <c r="G9" s="700">
        <f t="shared" si="4"/>
        <v>2741998.1706388872</v>
      </c>
      <c r="H9" s="358"/>
      <c r="I9" s="65" t="s">
        <v>782</v>
      </c>
      <c r="J9" s="65"/>
      <c r="K9" s="65"/>
      <c r="L9" s="703">
        <f t="shared" si="0"/>
        <v>-6069.3825799463475</v>
      </c>
      <c r="M9" s="703">
        <f t="shared" si="0"/>
        <v>234569.23013318694</v>
      </c>
      <c r="N9" s="702">
        <f t="shared" si="0"/>
        <v>228499.8475532406</v>
      </c>
      <c r="P9" s="358"/>
      <c r="Q9" s="358"/>
      <c r="R9" s="9"/>
      <c r="S9" s="9"/>
      <c r="T9" s="9"/>
      <c r="U9" s="9"/>
      <c r="V9" s="9"/>
    </row>
    <row r="10" spans="1:22">
      <c r="A10" s="1151" t="s">
        <v>784</v>
      </c>
      <c r="B10" s="704"/>
      <c r="C10" s="702">
        <f t="shared" si="1"/>
        <v>2083.6715601053311</v>
      </c>
      <c r="D10" s="703">
        <f t="shared" si="2"/>
        <v>1241.6341437643068</v>
      </c>
      <c r="E10" s="1450">
        <f t="shared" si="3"/>
        <v>842.03741634102425</v>
      </c>
      <c r="F10" s="1451">
        <f>Resultado!M14</f>
        <v>2142.9406071973804</v>
      </c>
      <c r="G10" s="700">
        <f t="shared" si="4"/>
        <v>2984.9780235384046</v>
      </c>
      <c r="H10" s="358"/>
      <c r="I10" s="1151" t="s">
        <v>784</v>
      </c>
      <c r="J10" s="1151"/>
      <c r="K10" s="1151"/>
      <c r="L10" s="1451">
        <f t="shared" si="0"/>
        <v>70.169784695085355</v>
      </c>
      <c r="M10" s="1451">
        <f t="shared" si="0"/>
        <v>178.57838393311502</v>
      </c>
      <c r="N10" s="705">
        <f t="shared" si="0"/>
        <v>248.74816862820037</v>
      </c>
      <c r="P10" s="358"/>
      <c r="Q10" s="358"/>
      <c r="R10" s="9"/>
      <c r="S10" s="9"/>
      <c r="T10" s="9"/>
      <c r="U10" s="9"/>
      <c r="V10" s="9"/>
    </row>
    <row r="11" spans="1:22">
      <c r="A11" s="1452" t="s">
        <v>846</v>
      </c>
      <c r="B11" s="1452"/>
      <c r="C11" s="1453">
        <f>SUM(C5:C10)</f>
        <v>10014989.921003446</v>
      </c>
      <c r="D11" s="1453">
        <f>SUM(D5:D10)</f>
        <v>7001574.552478319</v>
      </c>
      <c r="E11" s="1453">
        <f t="shared" ref="E11" si="5">SUM(E5:E10)</f>
        <v>3013415.3685251269</v>
      </c>
      <c r="F11" s="1453">
        <f>SUM(F5:F10)</f>
        <v>6845678.1568342866</v>
      </c>
      <c r="G11" s="1454">
        <f>SUM(G5:G10)</f>
        <v>9859093.5253594127</v>
      </c>
      <c r="H11" s="358"/>
      <c r="I11" s="1452" t="s">
        <v>846</v>
      </c>
      <c r="J11" s="1452"/>
      <c r="K11" s="1452"/>
      <c r="L11" s="1453">
        <f>SUM(L5:L10)</f>
        <v>251117.94737709389</v>
      </c>
      <c r="M11" s="1453">
        <f>SUM(M5:M10)</f>
        <v>570473.17973619059</v>
      </c>
      <c r="N11" s="1454">
        <f>SUM(N5:N10)</f>
        <v>821591.12711328454</v>
      </c>
      <c r="P11" s="358"/>
      <c r="Q11" s="358"/>
      <c r="R11" s="9"/>
      <c r="S11" s="9"/>
      <c r="T11" s="9"/>
      <c r="U11" s="9"/>
      <c r="V11" s="9"/>
    </row>
    <row r="12" spans="1:22">
      <c r="A12" s="694"/>
      <c r="B12" s="694"/>
      <c r="C12" s="694"/>
      <c r="D12" s="694"/>
      <c r="E12" s="694"/>
      <c r="F12" s="694"/>
      <c r="G12" s="694"/>
      <c r="H12" s="694"/>
      <c r="I12" s="9"/>
      <c r="J12" s="694"/>
      <c r="K12" s="694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6" t="s">
        <v>1442</v>
      </c>
      <c r="B13" s="694"/>
      <c r="C13" s="358"/>
      <c r="D13" s="358"/>
      <c r="E13" s="358"/>
      <c r="F13" s="694"/>
      <c r="G13" s="694"/>
      <c r="H13" s="694"/>
      <c r="I13" s="694"/>
      <c r="J13" s="694"/>
      <c r="K13" s="694"/>
      <c r="L13" s="694"/>
      <c r="M13" s="694"/>
      <c r="N13" s="694"/>
      <c r="O13" s="358"/>
      <c r="P13" s="358"/>
      <c r="Q13" s="358"/>
      <c r="R13" s="9"/>
      <c r="S13" s="9"/>
      <c r="T13" s="9"/>
      <c r="U13" s="9"/>
      <c r="V13" s="9"/>
    </row>
    <row r="14" spans="1:22">
      <c r="A14" s="1833" t="s">
        <v>22</v>
      </c>
      <c r="B14" s="1834" t="s">
        <v>1443</v>
      </c>
      <c r="C14" s="358"/>
      <c r="D14" s="358"/>
      <c r="E14" s="358"/>
      <c r="F14" s="706" t="s">
        <v>954</v>
      </c>
      <c r="G14" s="706" t="s">
        <v>954</v>
      </c>
      <c r="H14" s="706" t="s">
        <v>954</v>
      </c>
      <c r="I14" s="706" t="s">
        <v>954</v>
      </c>
      <c r="J14" s="706" t="s">
        <v>954</v>
      </c>
      <c r="K14" s="706" t="s">
        <v>954</v>
      </c>
      <c r="L14" s="706" t="s">
        <v>954</v>
      </c>
      <c r="M14" s="706" t="s">
        <v>954</v>
      </c>
      <c r="N14" s="706" t="s">
        <v>954</v>
      </c>
      <c r="O14" s="706" t="s">
        <v>954</v>
      </c>
      <c r="P14" s="706" t="s">
        <v>954</v>
      </c>
      <c r="Q14" s="706" t="s">
        <v>954</v>
      </c>
      <c r="R14" s="9"/>
      <c r="S14" s="9"/>
      <c r="T14" s="9"/>
      <c r="U14" s="9"/>
      <c r="V14" s="9"/>
    </row>
    <row r="15" spans="1:22">
      <c r="A15" s="1833"/>
      <c r="B15" s="1834"/>
      <c r="C15" s="707">
        <f t="shared" ref="C15:P15" si="6">EDATE(D15,-1)</f>
        <v>44287</v>
      </c>
      <c r="D15" s="707">
        <f>EDATE(E15,-1)</f>
        <v>44317</v>
      </c>
      <c r="E15" s="707">
        <f>EDATE(F15,-1)</f>
        <v>44348</v>
      </c>
      <c r="F15" s="708">
        <f>EDATE(G15,-1)</f>
        <v>44378</v>
      </c>
      <c r="G15" s="708">
        <f t="shared" si="6"/>
        <v>44409</v>
      </c>
      <c r="H15" s="708">
        <f t="shared" si="6"/>
        <v>44440</v>
      </c>
      <c r="I15" s="708">
        <f t="shared" si="6"/>
        <v>44470</v>
      </c>
      <c r="J15" s="708">
        <f t="shared" si="6"/>
        <v>44501</v>
      </c>
      <c r="K15" s="708">
        <f t="shared" si="6"/>
        <v>44531</v>
      </c>
      <c r="L15" s="708">
        <f t="shared" si="6"/>
        <v>44562</v>
      </c>
      <c r="M15" s="708">
        <f t="shared" si="6"/>
        <v>44593</v>
      </c>
      <c r="N15" s="708">
        <f t="shared" si="6"/>
        <v>44621</v>
      </c>
      <c r="O15" s="708">
        <f t="shared" si="6"/>
        <v>44652</v>
      </c>
      <c r="P15" s="708">
        <f t="shared" si="6"/>
        <v>44682</v>
      </c>
      <c r="Q15" s="708">
        <f>DATE(YEAR(DataRevRea),MONTH(DataRevRea)-1,1)</f>
        <v>44713</v>
      </c>
      <c r="R15" s="9" t="s">
        <v>1017</v>
      </c>
      <c r="S15" s="9"/>
      <c r="T15" s="9"/>
      <c r="U15" s="9"/>
      <c r="V15" s="9"/>
    </row>
    <row r="16" spans="1:22">
      <c r="A16" s="709" t="s">
        <v>1444</v>
      </c>
      <c r="B16" s="710" t="s">
        <v>1006</v>
      </c>
      <c r="C16" s="711">
        <f>C40</f>
        <v>0</v>
      </c>
      <c r="D16" s="711">
        <f t="shared" ref="D16:E16" si="7">D40</f>
        <v>0</v>
      </c>
      <c r="E16" s="711">
        <f t="shared" si="7"/>
        <v>0</v>
      </c>
      <c r="F16" s="711">
        <f t="shared" ref="F16:Q21" si="8">DSUM(MercadoBase,$B16,F$14:F$15)</f>
        <v>124642.82331752252</v>
      </c>
      <c r="G16" s="711">
        <f t="shared" si="8"/>
        <v>126436.41229635211</v>
      </c>
      <c r="H16" s="711">
        <f t="shared" si="8"/>
        <v>294442.62310069002</v>
      </c>
      <c r="I16" s="711">
        <f t="shared" si="8"/>
        <v>294141.89801523957</v>
      </c>
      <c r="J16" s="711">
        <f t="shared" si="8"/>
        <v>312649.6361956789</v>
      </c>
      <c r="K16" s="711">
        <f t="shared" si="8"/>
        <v>311610.72950306989</v>
      </c>
      <c r="L16" s="711">
        <f t="shared" si="8"/>
        <v>316464.78162763134</v>
      </c>
      <c r="M16" s="711">
        <f t="shared" si="8"/>
        <v>324884.82253227552</v>
      </c>
      <c r="N16" s="711">
        <f t="shared" si="8"/>
        <v>324709.07010957121</v>
      </c>
      <c r="O16" s="711">
        <f t="shared" si="8"/>
        <v>320319.26225456299</v>
      </c>
      <c r="P16" s="711">
        <f t="shared" si="8"/>
        <v>322456.34151584783</v>
      </c>
      <c r="Q16" s="711">
        <f t="shared" si="8"/>
        <v>319868.19295962475</v>
      </c>
      <c r="R16" s="9"/>
      <c r="S16" s="9"/>
      <c r="T16" s="9"/>
      <c r="U16" s="9"/>
      <c r="V16" s="9"/>
    </row>
    <row r="17" spans="1:22">
      <c r="A17" s="709" t="s">
        <v>1445</v>
      </c>
      <c r="B17" s="710" t="s">
        <v>1007</v>
      </c>
      <c r="C17" s="711">
        <f t="shared" ref="C17:E21" si="9">C41</f>
        <v>0</v>
      </c>
      <c r="D17" s="711">
        <f t="shared" si="9"/>
        <v>0</v>
      </c>
      <c r="E17" s="711">
        <f t="shared" si="9"/>
        <v>0</v>
      </c>
      <c r="F17" s="711">
        <f t="shared" si="8"/>
        <v>20042.099999999999</v>
      </c>
      <c r="G17" s="711">
        <f t="shared" si="8"/>
        <v>20042.099999999999</v>
      </c>
      <c r="H17" s="711">
        <f t="shared" si="8"/>
        <v>20042.099999999999</v>
      </c>
      <c r="I17" s="711">
        <f t="shared" si="8"/>
        <v>20042.099999999999</v>
      </c>
      <c r="J17" s="711">
        <f t="shared" si="8"/>
        <v>20042.099999999999</v>
      </c>
      <c r="K17" s="711">
        <f t="shared" si="8"/>
        <v>20042.099999999999</v>
      </c>
      <c r="L17" s="711">
        <f t="shared" si="8"/>
        <v>20042.099999999999</v>
      </c>
      <c r="M17" s="711">
        <f t="shared" si="8"/>
        <v>20042.099999999999</v>
      </c>
      <c r="N17" s="711">
        <f t="shared" si="8"/>
        <v>20042.099999999999</v>
      </c>
      <c r="O17" s="711">
        <f t="shared" si="8"/>
        <v>20042.099999999999</v>
      </c>
      <c r="P17" s="711">
        <f t="shared" si="8"/>
        <v>20042.099999999999</v>
      </c>
      <c r="Q17" s="711">
        <f t="shared" si="8"/>
        <v>20042.099999999999</v>
      </c>
      <c r="R17" s="9"/>
      <c r="S17" s="9"/>
      <c r="T17" s="9"/>
      <c r="U17" s="9"/>
      <c r="V17" s="9"/>
    </row>
    <row r="18" spans="1:22">
      <c r="A18" s="709" t="s">
        <v>1446</v>
      </c>
      <c r="B18" s="710" t="s">
        <v>1008</v>
      </c>
      <c r="C18" s="711">
        <f t="shared" si="9"/>
        <v>0</v>
      </c>
      <c r="D18" s="711">
        <f t="shared" si="9"/>
        <v>0</v>
      </c>
      <c r="E18" s="711">
        <f t="shared" si="9"/>
        <v>0</v>
      </c>
      <c r="F18" s="1006">
        <f t="shared" ref="F18:Q18" si="10">IFERROR(DSUM(MercadoBase,$B18,F$14:F$15)+(DSUM(MercadoBase,$R$15,F$14:F$15)/($D$53/12))*$F$30,0)</f>
        <v>51952.973077031704</v>
      </c>
      <c r="G18" s="1006">
        <f t="shared" si="10"/>
        <v>52359.109556937248</v>
      </c>
      <c r="H18" s="1006">
        <f t="shared" si="10"/>
        <v>47250.999402342539</v>
      </c>
      <c r="I18" s="1006">
        <f t="shared" si="10"/>
        <v>46115.603313746818</v>
      </c>
      <c r="J18" s="1006">
        <f t="shared" si="10"/>
        <v>48588.015107567291</v>
      </c>
      <c r="K18" s="1006">
        <f t="shared" si="10"/>
        <v>49139.721903407262</v>
      </c>
      <c r="L18" s="1006">
        <f t="shared" si="10"/>
        <v>59944.102773610059</v>
      </c>
      <c r="M18" s="1006">
        <f t="shared" si="10"/>
        <v>59404.106236410342</v>
      </c>
      <c r="N18" s="1006">
        <f t="shared" si="10"/>
        <v>54020.072773663356</v>
      </c>
      <c r="O18" s="1006">
        <f t="shared" si="10"/>
        <v>45588.131907911833</v>
      </c>
      <c r="P18" s="1006">
        <f t="shared" si="10"/>
        <v>45061.980190340437</v>
      </c>
      <c r="Q18" s="1006">
        <f t="shared" si="10"/>
        <v>48479.930587452982</v>
      </c>
      <c r="R18" s="9"/>
      <c r="S18" s="9"/>
      <c r="T18" s="9"/>
      <c r="U18" s="9"/>
      <c r="V18" s="9"/>
    </row>
    <row r="19" spans="1:22">
      <c r="A19" s="709" t="s">
        <v>1447</v>
      </c>
      <c r="B19" s="710" t="s">
        <v>1009</v>
      </c>
      <c r="C19" s="711">
        <f t="shared" si="9"/>
        <v>0</v>
      </c>
      <c r="D19" s="711">
        <f t="shared" si="9"/>
        <v>0</v>
      </c>
      <c r="E19" s="711">
        <f t="shared" si="9"/>
        <v>0</v>
      </c>
      <c r="F19" s="711">
        <f t="shared" si="8"/>
        <v>18179.116873200008</v>
      </c>
      <c r="G19" s="711">
        <f t="shared" si="8"/>
        <v>18989.292493200021</v>
      </c>
      <c r="H19" s="711">
        <f t="shared" si="8"/>
        <v>19087.979923199964</v>
      </c>
      <c r="I19" s="711">
        <f t="shared" si="8"/>
        <v>18736.370655600003</v>
      </c>
      <c r="J19" s="711">
        <f t="shared" si="8"/>
        <v>19451.104660199973</v>
      </c>
      <c r="K19" s="711">
        <f t="shared" si="8"/>
        <v>19218.2546004</v>
      </c>
      <c r="L19" s="711">
        <f t="shared" si="8"/>
        <v>23303.089048799982</v>
      </c>
      <c r="M19" s="711">
        <f t="shared" si="8"/>
        <v>21762.78797160001</v>
      </c>
      <c r="N19" s="711">
        <f t="shared" si="8"/>
        <v>20274.097005000014</v>
      </c>
      <c r="O19" s="711">
        <f t="shared" si="8"/>
        <v>20065.52519399998</v>
      </c>
      <c r="P19" s="711">
        <f t="shared" si="8"/>
        <v>20254.595016000014</v>
      </c>
      <c r="Q19" s="711">
        <f t="shared" si="8"/>
        <v>20620.385277599962</v>
      </c>
      <c r="R19" s="9"/>
      <c r="S19" s="9"/>
      <c r="T19" s="9"/>
      <c r="U19" s="9"/>
      <c r="V19" s="9"/>
    </row>
    <row r="20" spans="1:22">
      <c r="A20" s="709" t="s">
        <v>1448</v>
      </c>
      <c r="B20" s="710" t="s">
        <v>1010</v>
      </c>
      <c r="C20" s="711">
        <f t="shared" si="9"/>
        <v>0</v>
      </c>
      <c r="D20" s="711">
        <f t="shared" si="9"/>
        <v>0</v>
      </c>
      <c r="E20" s="711">
        <f t="shared" si="9"/>
        <v>0</v>
      </c>
      <c r="F20" s="711">
        <f t="shared" si="8"/>
        <v>378332.52134039992</v>
      </c>
      <c r="G20" s="711">
        <f t="shared" si="8"/>
        <v>377419.80537999998</v>
      </c>
      <c r="H20" s="711">
        <f t="shared" si="8"/>
        <v>381872.59647560003</v>
      </c>
      <c r="I20" s="711">
        <f t="shared" si="8"/>
        <v>365019.39862680004</v>
      </c>
      <c r="J20" s="711">
        <f t="shared" si="8"/>
        <v>393103.64443120011</v>
      </c>
      <c r="K20" s="711">
        <f t="shared" si="8"/>
        <v>407803.8278952</v>
      </c>
      <c r="L20" s="711">
        <f t="shared" si="8"/>
        <v>529369.50562439999</v>
      </c>
      <c r="M20" s="711">
        <f t="shared" si="8"/>
        <v>549848.03871120012</v>
      </c>
      <c r="N20" s="711">
        <f t="shared" si="8"/>
        <v>445315.91089000012</v>
      </c>
      <c r="O20" s="711">
        <f t="shared" si="8"/>
        <v>364099.55821800011</v>
      </c>
      <c r="P20" s="711">
        <f t="shared" si="8"/>
        <v>350225.41851520003</v>
      </c>
      <c r="Q20" s="711">
        <f t="shared" si="8"/>
        <v>370437.21798680007</v>
      </c>
      <c r="R20" s="9"/>
      <c r="S20" s="9"/>
      <c r="T20" s="9"/>
      <c r="U20" s="9"/>
      <c r="V20" s="9"/>
    </row>
    <row r="21" spans="1:22">
      <c r="A21" s="709" t="s">
        <v>1449</v>
      </c>
      <c r="B21" s="710" t="s">
        <v>1011</v>
      </c>
      <c r="C21" s="711">
        <f t="shared" si="9"/>
        <v>0</v>
      </c>
      <c r="D21" s="711">
        <f t="shared" si="9"/>
        <v>0</v>
      </c>
      <c r="E21" s="711">
        <f t="shared" si="9"/>
        <v>0</v>
      </c>
      <c r="F21" s="711">
        <f t="shared" si="8"/>
        <v>87.715628000000009</v>
      </c>
      <c r="G21" s="711">
        <f t="shared" si="8"/>
        <v>87.715628000000009</v>
      </c>
      <c r="H21" s="711">
        <f t="shared" si="8"/>
        <v>90.683450000000008</v>
      </c>
      <c r="I21" s="711">
        <f t="shared" si="8"/>
        <v>64.302810000000008</v>
      </c>
      <c r="J21" s="711">
        <f t="shared" si="8"/>
        <v>240.06382399999998</v>
      </c>
      <c r="K21" s="711">
        <f t="shared" si="8"/>
        <v>369.65871800000002</v>
      </c>
      <c r="L21" s="711">
        <f t="shared" si="8"/>
        <v>370.64799200000004</v>
      </c>
      <c r="M21" s="711">
        <f t="shared" si="8"/>
        <v>202.80117000000001</v>
      </c>
      <c r="N21" s="711">
        <f t="shared" si="8"/>
        <v>136.519812</v>
      </c>
      <c r="O21" s="711">
        <f t="shared" si="8"/>
        <v>93.651271999999992</v>
      </c>
      <c r="P21" s="711">
        <f>DSUM(MercadoBase,$B21,P$14:P$15)</f>
        <v>99.586916000000002</v>
      </c>
      <c r="Q21" s="711">
        <f t="shared" si="8"/>
        <v>99.25715799999999</v>
      </c>
      <c r="R21" s="9"/>
      <c r="S21" s="9"/>
      <c r="T21" s="9"/>
      <c r="U21" s="9"/>
      <c r="V21" s="9"/>
    </row>
    <row r="22" spans="1:22">
      <c r="A22" s="1455" t="s">
        <v>1450</v>
      </c>
      <c r="B22" s="1456" t="s">
        <v>1277</v>
      </c>
      <c r="C22" s="1457">
        <f>VLOOKUP($Q$15,Índices!$B:$F,2,FALSE)/VLOOKUP(EDATE(C15,-1),Índices!$B:$F,2,FALSE)</f>
        <v>1.1768213386458592</v>
      </c>
      <c r="D22" s="1457">
        <f>VLOOKUP($Q$15,Índices!$B:$F,2,FALSE)/VLOOKUP(EDATE(D15,-1),Índices!$B:$F,2,FALSE)</f>
        <v>1.1593353264324466</v>
      </c>
      <c r="E22" s="1457">
        <f>VLOOKUP($Q$15,Índices!$B:$F,2,FALSE)/VLOOKUP(EDATE(E15,-1),Índices!$B:$F,2,FALSE)</f>
        <v>1.1137138790355088</v>
      </c>
      <c r="F22" s="1457">
        <f>VLOOKUP($Q$15,Índices!$B:$F,2,FALSE)/VLOOKUP(EDATE(F15,-1),Índices!$B:$F,2,FALSE)</f>
        <v>1.1070423608832305</v>
      </c>
      <c r="G22" s="1457">
        <f>VLOOKUP($Q$15,Índices!$B:$F,2,FALSE)/VLOOKUP(EDATE(G15,-1),Índices!$B:$F,2,FALSE)</f>
        <v>1.0985033599453922</v>
      </c>
      <c r="H22" s="1457">
        <f>VLOOKUP($Q$15,Índices!$B:$F,2,FALSE)/VLOOKUP(EDATE(H15,-1),Índices!$B:$F,2,FALSE)</f>
        <v>1.0912608014368317</v>
      </c>
      <c r="I22" s="1457">
        <f>VLOOKUP($Q$15,Índices!$B:$F,2,FALSE)/VLOOKUP(EDATE(I15,-1),Índices!$B:$F,2,FALSE)</f>
        <v>1.0982835198725092</v>
      </c>
      <c r="J22" s="1457">
        <f>VLOOKUP($Q$15,Índices!$B:$F,2,FALSE)/VLOOKUP(EDATE(J15,-1),Índices!$B:$F,2,FALSE)</f>
        <v>1.0912678012944399</v>
      </c>
      <c r="K22" s="1457">
        <f>VLOOKUP($Q$15,Índices!$B:$F,2,FALSE)/VLOOKUP(EDATE(K15,-1),Índices!$B:$F,2,FALSE)</f>
        <v>1.0910678407267911</v>
      </c>
      <c r="L22" s="1457">
        <f>VLOOKUP($Q$15,Índices!$B:$F,2,FALSE)/VLOOKUP(EDATE(L15,-1),Índices!$B:$F,2,FALSE)</f>
        <v>1.0816484829989064</v>
      </c>
      <c r="M22" s="1457">
        <f>VLOOKUP($Q$15,Índices!$B:$F,2,FALSE)/VLOOKUP(EDATE(M15,-1),Índices!$B:$F,2,FALSE)</f>
        <v>1.0623399307225074</v>
      </c>
      <c r="N22" s="1457">
        <f>VLOOKUP($Q$15,Índices!$B:$F,2,FALSE)/VLOOKUP(EDATE(N15,-1),Índices!$B:$F,2,FALSE)</f>
        <v>1.0432185825187947</v>
      </c>
      <c r="O22" s="1457">
        <f>VLOOKUP($Q$15,Índices!$B:$F,2,FALSE)/VLOOKUP(EDATE(O15,-1),Índices!$B:$F,2,FALSE)</f>
        <v>1.0253689885984203</v>
      </c>
      <c r="P22" s="1457">
        <f>VLOOKUP($Q$15,Índices!$B:$F,2,FALSE)/VLOOKUP(EDATE(P15,-1),Índices!$B:$F,2,FALSE)</f>
        <v>1.011099422741718</v>
      </c>
      <c r="Q22" s="1457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58" t="s">
        <v>1451</v>
      </c>
      <c r="B23" s="1459"/>
      <c r="C23" s="1460">
        <f t="shared" ref="C23:Q23" si="11">SUM(C16:C21)*C22</f>
        <v>0</v>
      </c>
      <c r="D23" s="1460">
        <f t="shared" si="11"/>
        <v>0</v>
      </c>
      <c r="E23" s="1460">
        <f t="shared" si="11"/>
        <v>0</v>
      </c>
      <c r="F23" s="1461">
        <f>SUM(F16:F21)*F22</f>
        <v>656738.76606530778</v>
      </c>
      <c r="G23" s="1461">
        <f t="shared" si="11"/>
        <v>653976.87752809946</v>
      </c>
      <c r="H23" s="1461">
        <f t="shared" si="11"/>
        <v>832399.53368684324</v>
      </c>
      <c r="I23" s="1461">
        <f t="shared" si="11"/>
        <v>817254.37413162226</v>
      </c>
      <c r="J23" s="1461">
        <f t="shared" si="11"/>
        <v>866548.00375872268</v>
      </c>
      <c r="K23" s="1461">
        <f t="shared" si="11"/>
        <v>881783.89105829666</v>
      </c>
      <c r="L23" s="1461">
        <f t="shared" si="11"/>
        <v>1027018.9903226354</v>
      </c>
      <c r="M23" s="1461">
        <f t="shared" si="11"/>
        <v>1036997.4468904152</v>
      </c>
      <c r="N23" s="1461">
        <f t="shared" si="11"/>
        <v>901860.13882580271</v>
      </c>
      <c r="O23" s="1461">
        <f t="shared" si="11"/>
        <v>789747.63262249075</v>
      </c>
      <c r="P23" s="1461">
        <f t="shared" si="11"/>
        <v>766554.93875668431</v>
      </c>
      <c r="Q23" s="1461">
        <f t="shared" si="11"/>
        <v>784109.327356525</v>
      </c>
      <c r="R23" s="9"/>
      <c r="S23" s="9"/>
      <c r="T23" s="9"/>
      <c r="U23" s="9"/>
      <c r="V23" s="9"/>
    </row>
    <row r="24" spans="1:22">
      <c r="A24" s="9"/>
      <c r="B24" s="9"/>
      <c r="C24" s="9" t="s">
        <v>1452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6" t="s">
        <v>1453</v>
      </c>
      <c r="B25" s="694"/>
      <c r="C25" s="694"/>
      <c r="D25" s="694"/>
      <c r="E25" s="694"/>
      <c r="F25" s="694"/>
      <c r="G25" s="694"/>
      <c r="H25" s="694"/>
      <c r="I25" s="694"/>
      <c r="J25" s="694"/>
      <c r="K25" s="694"/>
      <c r="L25" s="694"/>
      <c r="M25" s="694"/>
      <c r="N25" s="694"/>
      <c r="O25" s="358"/>
      <c r="P25" s="358"/>
      <c r="Q25" s="358"/>
      <c r="R25" s="9"/>
      <c r="S25" s="9"/>
      <c r="T25" s="9"/>
      <c r="U25" s="9"/>
      <c r="V25" s="9"/>
    </row>
    <row r="26" spans="1:22">
      <c r="A26" s="1833" t="s">
        <v>22</v>
      </c>
      <c r="B26" s="1834" t="s">
        <v>1443</v>
      </c>
      <c r="C26" s="706" t="s">
        <v>954</v>
      </c>
      <c r="D26" s="706" t="s">
        <v>954</v>
      </c>
      <c r="E26" s="706" t="s">
        <v>954</v>
      </c>
      <c r="F26" s="706" t="s">
        <v>954</v>
      </c>
      <c r="G26" s="706" t="s">
        <v>954</v>
      </c>
      <c r="H26" s="706" t="s">
        <v>954</v>
      </c>
      <c r="I26" s="706" t="s">
        <v>954</v>
      </c>
      <c r="J26" s="706" t="s">
        <v>954</v>
      </c>
      <c r="K26" s="706" t="s">
        <v>954</v>
      </c>
      <c r="L26" s="706" t="s">
        <v>954</v>
      </c>
      <c r="M26" s="706" t="s">
        <v>954</v>
      </c>
      <c r="N26" s="706" t="s">
        <v>954</v>
      </c>
      <c r="O26" s="706" t="s">
        <v>954</v>
      </c>
      <c r="P26" s="706" t="s">
        <v>954</v>
      </c>
      <c r="Q26" s="706" t="s">
        <v>954</v>
      </c>
      <c r="R26" s="9"/>
      <c r="S26" s="9"/>
      <c r="T26" s="9"/>
      <c r="U26" s="9"/>
      <c r="V26" s="9"/>
    </row>
    <row r="27" spans="1:22">
      <c r="A27" s="1833"/>
      <c r="B27" s="1834"/>
      <c r="C27" s="707">
        <f t="shared" ref="C27:Q27" si="12">C15</f>
        <v>44287</v>
      </c>
      <c r="D27" s="707">
        <f t="shared" si="12"/>
        <v>44317</v>
      </c>
      <c r="E27" s="707">
        <f t="shared" si="12"/>
        <v>44348</v>
      </c>
      <c r="F27" s="708">
        <f>F15</f>
        <v>44378</v>
      </c>
      <c r="G27" s="708">
        <f t="shared" si="12"/>
        <v>44409</v>
      </c>
      <c r="H27" s="708">
        <f t="shared" si="12"/>
        <v>44440</v>
      </c>
      <c r="I27" s="708">
        <f t="shared" si="12"/>
        <v>44470</v>
      </c>
      <c r="J27" s="708">
        <f t="shared" si="12"/>
        <v>44501</v>
      </c>
      <c r="K27" s="708">
        <f t="shared" si="12"/>
        <v>44531</v>
      </c>
      <c r="L27" s="708">
        <f t="shared" si="12"/>
        <v>44562</v>
      </c>
      <c r="M27" s="708">
        <f t="shared" si="12"/>
        <v>44593</v>
      </c>
      <c r="N27" s="708">
        <f t="shared" si="12"/>
        <v>44621</v>
      </c>
      <c r="O27" s="708">
        <f t="shared" si="12"/>
        <v>44652</v>
      </c>
      <c r="P27" s="708">
        <f t="shared" si="12"/>
        <v>44682</v>
      </c>
      <c r="Q27" s="708">
        <f t="shared" si="12"/>
        <v>44713</v>
      </c>
      <c r="S27" s="9"/>
      <c r="T27" s="9"/>
      <c r="U27" s="9"/>
      <c r="V27" s="9"/>
    </row>
    <row r="28" spans="1:22">
      <c r="A28" s="709" t="s">
        <v>1444</v>
      </c>
      <c r="B28" s="710" t="s">
        <v>774</v>
      </c>
      <c r="C28" s="711">
        <f>IF(C40=0,0,VLOOKUP($B28,BD!$B$61:$C$66,2,FALSE))</f>
        <v>0</v>
      </c>
      <c r="D28" s="711">
        <f>IF(D40=0,0,VLOOKUP($B28,BD!$B$61:$C$66,2,FALSE))</f>
        <v>0</v>
      </c>
      <c r="E28" s="711">
        <f>IF(E40=0,0,VLOOKUP($B28,BD!$B$61:$C$66,2,FALSE))</f>
        <v>0</v>
      </c>
      <c r="F28" s="711">
        <f>VLOOKUP($B28,BD!$B$61:$C$66,2,FALSE)</f>
        <v>36588.61</v>
      </c>
      <c r="G28" s="711">
        <f>VLOOKUP($B28,BD!$B$61:$C$66,2,FALSE)</f>
        <v>36588.61</v>
      </c>
      <c r="H28" s="711">
        <f>VLOOKUP($B28,BD!$B$61:$C$66,2,FALSE)</f>
        <v>36588.61</v>
      </c>
      <c r="I28" s="711">
        <f>VLOOKUP($B28,BD!$B$61:$C$66,2,FALSE)</f>
        <v>36588.61</v>
      </c>
      <c r="J28" s="711">
        <f>VLOOKUP($B28,BD!$B$61:$C$66,2,FALSE)</f>
        <v>36588.61</v>
      </c>
      <c r="K28" s="711">
        <f>VLOOKUP($B28,BD!$B$61:$C$66,2,FALSE)</f>
        <v>36588.61</v>
      </c>
      <c r="L28" s="711">
        <f>VLOOKUP($B28,BD!$B$61:$C$66,2,FALSE)</f>
        <v>36588.61</v>
      </c>
      <c r="M28" s="711">
        <f>VLOOKUP($B28,BD!$B$61:$C$66,2,FALSE)</f>
        <v>36588.61</v>
      </c>
      <c r="N28" s="711">
        <f>VLOOKUP($B28,BD!$B$61:$C$66,2,FALSE)</f>
        <v>36588.61</v>
      </c>
      <c r="O28" s="711">
        <f>VLOOKUP($B28,BD!$B$61:$C$66,2,FALSE)</f>
        <v>36588.61</v>
      </c>
      <c r="P28" s="711">
        <f>VLOOKUP($B28,BD!$B$61:$C$66,2,FALSE)</f>
        <v>36588.61</v>
      </c>
      <c r="Q28" s="711">
        <f>VLOOKUP($B28,BD!$B$61:$C$66,2,FALSE)</f>
        <v>36588.61</v>
      </c>
      <c r="S28" s="9"/>
      <c r="T28" s="9"/>
      <c r="U28" s="9"/>
      <c r="V28" s="9"/>
    </row>
    <row r="29" spans="1:22">
      <c r="A29" s="709" t="s">
        <v>1445</v>
      </c>
      <c r="B29" s="710" t="s">
        <v>776</v>
      </c>
      <c r="C29" s="711">
        <f>IF(C41=0,0,VLOOKUP($B29,BD!$B$61:$C$66,2,FALSE))</f>
        <v>0</v>
      </c>
      <c r="D29" s="711">
        <f>IF(D41=0,0,VLOOKUP($B29,BD!$B$61:$C$66,2,FALSE))</f>
        <v>0</v>
      </c>
      <c r="E29" s="711">
        <f>IF(E41=0,0,VLOOKUP($B29,BD!$B$61:$C$66,2,FALSE))</f>
        <v>0</v>
      </c>
      <c r="F29" s="711">
        <f>VLOOKUP($B29,BD!$B$61:$C$66,2,FALSE)</f>
        <v>13369.58</v>
      </c>
      <c r="G29" s="711">
        <f>VLOOKUP($B29,BD!$B$61:$C$66,2,FALSE)</f>
        <v>13369.58</v>
      </c>
      <c r="H29" s="711">
        <f>VLOOKUP($B29,BD!$B$61:$C$66,2,FALSE)</f>
        <v>13369.58</v>
      </c>
      <c r="I29" s="711">
        <f>VLOOKUP($B29,BD!$B$61:$C$66,2,FALSE)</f>
        <v>13369.58</v>
      </c>
      <c r="J29" s="711">
        <f>VLOOKUP($B29,BD!$B$61:$C$66,2,FALSE)</f>
        <v>13369.58</v>
      </c>
      <c r="K29" s="711">
        <f>VLOOKUP($B29,BD!$B$61:$C$66,2,FALSE)</f>
        <v>13369.58</v>
      </c>
      <c r="L29" s="711">
        <f>VLOOKUP($B29,BD!$B$61:$C$66,2,FALSE)</f>
        <v>13369.58</v>
      </c>
      <c r="M29" s="711">
        <f>VLOOKUP($B29,BD!$B$61:$C$66,2,FALSE)</f>
        <v>13369.58</v>
      </c>
      <c r="N29" s="711">
        <f>VLOOKUP($B29,BD!$B$61:$C$66,2,FALSE)</f>
        <v>13369.58</v>
      </c>
      <c r="O29" s="711">
        <f>VLOOKUP($B29,BD!$B$61:$C$66,2,FALSE)</f>
        <v>13369.58</v>
      </c>
      <c r="P29" s="711">
        <f>VLOOKUP($B29,BD!$B$61:$C$66,2,FALSE)</f>
        <v>13369.58</v>
      </c>
      <c r="Q29" s="711">
        <f>VLOOKUP($B29,BD!$B$61:$C$66,2,FALSE)</f>
        <v>13369.58</v>
      </c>
      <c r="S29" s="9"/>
      <c r="T29" s="9"/>
      <c r="U29" s="9"/>
      <c r="V29" s="9"/>
    </row>
    <row r="30" spans="1:22">
      <c r="A30" s="709" t="s">
        <v>1446</v>
      </c>
      <c r="B30" s="710" t="s">
        <v>778</v>
      </c>
      <c r="C30" s="711">
        <f>IF(C42=0,0,VLOOKUP($B30,BD!$B$61:$C$66,2,FALSE))</f>
        <v>0</v>
      </c>
      <c r="D30" s="711">
        <f>IF(D42=0,0,VLOOKUP($B30,BD!$B$61:$C$66,2,FALSE))</f>
        <v>0</v>
      </c>
      <c r="E30" s="711">
        <f>IF(E42=0,0,VLOOKUP($B30,BD!$B$61:$C$66,2,FALSE))</f>
        <v>0</v>
      </c>
      <c r="F30" s="1006">
        <f>VLOOKUP($B30,BD!$B$61:$C$66,2,FALSE)</f>
        <v>62843.67</v>
      </c>
      <c r="G30" s="1006">
        <f>VLOOKUP($B30,BD!$B$61:$C$66,2,FALSE)</f>
        <v>62843.67</v>
      </c>
      <c r="H30" s="1006">
        <f>VLOOKUP($B30,BD!$B$61:$C$66,2,FALSE)</f>
        <v>62843.67</v>
      </c>
      <c r="I30" s="1006">
        <f>VLOOKUP($B30,BD!$B$61:$C$66,2,FALSE)</f>
        <v>62843.67</v>
      </c>
      <c r="J30" s="1006">
        <f>VLOOKUP($B30,BD!$B$61:$C$66,2,FALSE)</f>
        <v>62843.67</v>
      </c>
      <c r="K30" s="1006">
        <f>VLOOKUP($B30,BD!$B$61:$C$66,2,FALSE)</f>
        <v>62843.67</v>
      </c>
      <c r="L30" s="1006">
        <f>VLOOKUP($B30,BD!$B$61:$C$66,2,FALSE)</f>
        <v>62843.67</v>
      </c>
      <c r="M30" s="1006">
        <f>VLOOKUP($B30,BD!$B$61:$C$66,2,FALSE)</f>
        <v>62843.67</v>
      </c>
      <c r="N30" s="1006">
        <f>VLOOKUP($B30,BD!$B$61:$C$66,2,FALSE)</f>
        <v>62843.67</v>
      </c>
      <c r="O30" s="1006">
        <f>VLOOKUP($B30,BD!$B$61:$C$66,2,FALSE)</f>
        <v>62843.67</v>
      </c>
      <c r="P30" s="1006">
        <f>VLOOKUP($B30,BD!$B$61:$C$66,2,FALSE)</f>
        <v>62843.67</v>
      </c>
      <c r="Q30" s="1006">
        <f>VLOOKUP($B30,BD!$B$61:$C$66,2,FALSE)</f>
        <v>62843.67</v>
      </c>
      <c r="S30" s="9"/>
      <c r="T30" s="9"/>
      <c r="U30" s="9"/>
      <c r="V30" s="9"/>
    </row>
    <row r="31" spans="1:22">
      <c r="A31" s="709" t="s">
        <v>1447</v>
      </c>
      <c r="B31" s="710" t="s">
        <v>779</v>
      </c>
      <c r="C31" s="711">
        <f>IF(C43=0,0,VLOOKUP($B31,BD!$B$61:$C$66,2,FALSE))</f>
        <v>0</v>
      </c>
      <c r="D31" s="711">
        <f>IF(D43=0,0,VLOOKUP($B31,BD!$B$61:$C$66,2,FALSE))</f>
        <v>0</v>
      </c>
      <c r="E31" s="711">
        <f>IF(E43=0,0,VLOOKUP($B31,BD!$B$61:$C$66,2,FALSE))</f>
        <v>0</v>
      </c>
      <c r="F31" s="711">
        <f>VLOOKUP($B31,BD!$B$61:$C$66,2,FALSE)</f>
        <v>18470.54</v>
      </c>
      <c r="G31" s="711">
        <f>VLOOKUP($B31,BD!$B$61:$C$66,2,FALSE)</f>
        <v>18470.54</v>
      </c>
      <c r="H31" s="711">
        <f>VLOOKUP($B31,BD!$B$61:$C$66,2,FALSE)</f>
        <v>18470.54</v>
      </c>
      <c r="I31" s="711">
        <f>VLOOKUP($B31,BD!$B$61:$C$66,2,FALSE)</f>
        <v>18470.54</v>
      </c>
      <c r="J31" s="711">
        <f>VLOOKUP($B31,BD!$B$61:$C$66,2,FALSE)</f>
        <v>18470.54</v>
      </c>
      <c r="K31" s="711">
        <f>VLOOKUP($B31,BD!$B$61:$C$66,2,FALSE)</f>
        <v>18470.54</v>
      </c>
      <c r="L31" s="711">
        <f>VLOOKUP($B31,BD!$B$61:$C$66,2,FALSE)</f>
        <v>18470.54</v>
      </c>
      <c r="M31" s="711">
        <f>VLOOKUP($B31,BD!$B$61:$C$66,2,FALSE)</f>
        <v>18470.54</v>
      </c>
      <c r="N31" s="711">
        <f>VLOOKUP($B31,BD!$B$61:$C$66,2,FALSE)</f>
        <v>18470.54</v>
      </c>
      <c r="O31" s="711">
        <f>VLOOKUP($B31,BD!$B$61:$C$66,2,FALSE)</f>
        <v>18470.54</v>
      </c>
      <c r="P31" s="711">
        <f>VLOOKUP($B31,BD!$B$61:$C$66,2,FALSE)</f>
        <v>18470.54</v>
      </c>
      <c r="Q31" s="711">
        <f>VLOOKUP($B31,BD!$B$61:$C$66,2,FALSE)</f>
        <v>18470.54</v>
      </c>
      <c r="S31" s="9"/>
      <c r="T31" s="9"/>
      <c r="U31" s="9"/>
      <c r="V31" s="9"/>
    </row>
    <row r="32" spans="1:22">
      <c r="A32" s="709" t="s">
        <v>1448</v>
      </c>
      <c r="B32" s="710" t="s">
        <v>782</v>
      </c>
      <c r="C32" s="711">
        <f>IF(C44=0,0,VLOOKUP($B32,BD!$B$61:$C$66,2,FALSE))</f>
        <v>0</v>
      </c>
      <c r="D32" s="711">
        <f>IF(D44=0,0,VLOOKUP($B32,BD!$B$61:$C$66,2,FALSE))</f>
        <v>0</v>
      </c>
      <c r="E32" s="711">
        <f>IF(E44=0,0,VLOOKUP($B32,BD!$B$61:$C$66,2,FALSE))</f>
        <v>0</v>
      </c>
      <c r="F32" s="711">
        <f>VLOOKUP($B32,BD!$B$61:$C$66,2,FALSE)</f>
        <v>415331.67</v>
      </c>
      <c r="G32" s="711">
        <f>VLOOKUP($B32,BD!$B$61:$C$66,2,FALSE)</f>
        <v>415331.67</v>
      </c>
      <c r="H32" s="711">
        <f>VLOOKUP($B32,BD!$B$61:$C$66,2,FALSE)</f>
        <v>415331.67</v>
      </c>
      <c r="I32" s="711">
        <f>VLOOKUP($B32,BD!$B$61:$C$66,2,FALSE)</f>
        <v>415331.67</v>
      </c>
      <c r="J32" s="711">
        <f>VLOOKUP($B32,BD!$B$61:$C$66,2,FALSE)</f>
        <v>415331.67</v>
      </c>
      <c r="K32" s="711">
        <f>VLOOKUP($B32,BD!$B$61:$C$66,2,FALSE)</f>
        <v>415331.67</v>
      </c>
      <c r="L32" s="711">
        <f>VLOOKUP($B32,BD!$B$61:$C$66,2,FALSE)</f>
        <v>415331.67</v>
      </c>
      <c r="M32" s="711">
        <f>VLOOKUP($B32,BD!$B$61:$C$66,2,FALSE)</f>
        <v>415331.67</v>
      </c>
      <c r="N32" s="711">
        <f>VLOOKUP($B32,BD!$B$61:$C$66,2,FALSE)</f>
        <v>415331.67</v>
      </c>
      <c r="O32" s="711">
        <f>VLOOKUP($B32,BD!$B$61:$C$66,2,FALSE)</f>
        <v>415331.67</v>
      </c>
      <c r="P32" s="711">
        <f>VLOOKUP($B32,BD!$B$61:$C$66,2,FALSE)</f>
        <v>415331.67</v>
      </c>
      <c r="Q32" s="711">
        <f>VLOOKUP($B32,BD!$B$61:$C$66,2,FALSE)</f>
        <v>415331.67</v>
      </c>
      <c r="S32" s="9"/>
      <c r="T32" s="9"/>
      <c r="U32" s="9"/>
      <c r="V32" s="9"/>
    </row>
    <row r="33" spans="1:22">
      <c r="A33" s="712" t="s">
        <v>1449</v>
      </c>
      <c r="B33" s="710" t="s">
        <v>784</v>
      </c>
      <c r="C33" s="711">
        <f>IF(C45=0,0,VLOOKUP($B33,BD!$B$61:$C$66,2,FALSE))</f>
        <v>0</v>
      </c>
      <c r="D33" s="711">
        <f>IF(D45=0,0,VLOOKUP($B33,BD!$B$61:$C$66,2,FALSE))</f>
        <v>0</v>
      </c>
      <c r="E33" s="711">
        <f>IF(E45=0,0,VLOOKUP($B33,BD!$B$61:$C$66,2,FALSE))</f>
        <v>0</v>
      </c>
      <c r="F33" s="711">
        <f>VLOOKUP($B33,BD!$B$61:$C$66,2,FALSE)</f>
        <v>96.95</v>
      </c>
      <c r="G33" s="711">
        <f>VLOOKUP($B33,BD!$B$61:$C$66,2,FALSE)</f>
        <v>96.95</v>
      </c>
      <c r="H33" s="711">
        <f>VLOOKUP($B33,BD!$B$61:$C$66,2,FALSE)</f>
        <v>96.95</v>
      </c>
      <c r="I33" s="711">
        <f>VLOOKUP($B33,BD!$B$61:$C$66,2,FALSE)</f>
        <v>96.95</v>
      </c>
      <c r="J33" s="711">
        <f>VLOOKUP($B33,BD!$B$61:$C$66,2,FALSE)</f>
        <v>96.95</v>
      </c>
      <c r="K33" s="711">
        <f>VLOOKUP($B33,BD!$B$61:$C$66,2,FALSE)</f>
        <v>96.95</v>
      </c>
      <c r="L33" s="711">
        <f>VLOOKUP($B33,BD!$B$61:$C$66,2,FALSE)</f>
        <v>96.95</v>
      </c>
      <c r="M33" s="711">
        <f>VLOOKUP($B33,BD!$B$61:$C$66,2,FALSE)</f>
        <v>96.95</v>
      </c>
      <c r="N33" s="711">
        <f>VLOOKUP($B33,BD!$B$61:$C$66,2,FALSE)</f>
        <v>96.95</v>
      </c>
      <c r="O33" s="711">
        <f>VLOOKUP($B33,BD!$B$61:$C$66,2,FALSE)</f>
        <v>96.95</v>
      </c>
      <c r="P33" s="711">
        <f>VLOOKUP($B33,BD!$B$61:$C$66,2,FALSE)</f>
        <v>96.95</v>
      </c>
      <c r="Q33" s="711">
        <f>VLOOKUP($B33,BD!$B$61:$C$66,2,FALSE)</f>
        <v>96.95</v>
      </c>
      <c r="S33" s="9"/>
      <c r="T33" s="9"/>
      <c r="U33" s="9"/>
      <c r="V33" s="9"/>
    </row>
    <row r="34" spans="1:22">
      <c r="A34" s="1455" t="s">
        <v>1450</v>
      </c>
      <c r="B34" s="1456" t="s">
        <v>1277</v>
      </c>
      <c r="C34" s="1462">
        <f t="shared" ref="C34:Q34" si="13">C22</f>
        <v>1.1768213386458592</v>
      </c>
      <c r="D34" s="1462">
        <f t="shared" si="13"/>
        <v>1.1593353264324466</v>
      </c>
      <c r="E34" s="1462">
        <f t="shared" si="13"/>
        <v>1.1137138790355088</v>
      </c>
      <c r="F34" s="1457">
        <f t="shared" si="13"/>
        <v>1.1070423608832305</v>
      </c>
      <c r="G34" s="1457">
        <f t="shared" si="13"/>
        <v>1.0985033599453922</v>
      </c>
      <c r="H34" s="1457">
        <f t="shared" si="13"/>
        <v>1.0912608014368317</v>
      </c>
      <c r="I34" s="1457">
        <f t="shared" si="13"/>
        <v>1.0982835198725092</v>
      </c>
      <c r="J34" s="1457">
        <f t="shared" si="13"/>
        <v>1.0912678012944399</v>
      </c>
      <c r="K34" s="1457">
        <f t="shared" si="13"/>
        <v>1.0910678407267911</v>
      </c>
      <c r="L34" s="1457">
        <f t="shared" si="13"/>
        <v>1.0816484829989064</v>
      </c>
      <c r="M34" s="1457">
        <f t="shared" si="13"/>
        <v>1.0623399307225074</v>
      </c>
      <c r="N34" s="1457">
        <f t="shared" si="13"/>
        <v>1.0432185825187947</v>
      </c>
      <c r="O34" s="1457">
        <f t="shared" si="13"/>
        <v>1.0253689885984203</v>
      </c>
      <c r="P34" s="1457">
        <f t="shared" si="13"/>
        <v>1.011099422741718</v>
      </c>
      <c r="Q34" s="1457">
        <f t="shared" si="13"/>
        <v>1.0058524282636221</v>
      </c>
      <c r="S34" s="9"/>
      <c r="T34" s="9"/>
      <c r="U34" s="9"/>
      <c r="V34" s="9"/>
    </row>
    <row r="35" spans="1:22">
      <c r="A35" s="1458" t="s">
        <v>1451</v>
      </c>
      <c r="B35" s="1459"/>
      <c r="C35" s="1460">
        <f>SUM(C28:C33)*C34</f>
        <v>0</v>
      </c>
      <c r="D35" s="1460">
        <f t="shared" ref="D35:Q35" si="14">SUM(D28:D33)*D34</f>
        <v>0</v>
      </c>
      <c r="E35" s="1460">
        <f t="shared" si="14"/>
        <v>0</v>
      </c>
      <c r="F35" s="1461">
        <f t="shared" si="14"/>
        <v>605221.18787807005</v>
      </c>
      <c r="G35" s="1461">
        <f t="shared" si="14"/>
        <v>600552.90735557291</v>
      </c>
      <c r="H35" s="1461">
        <f t="shared" si="14"/>
        <v>596593.39323153323</v>
      </c>
      <c r="I35" s="1461">
        <f t="shared" si="14"/>
        <v>600432.72056349088</v>
      </c>
      <c r="J35" s="1461">
        <f t="shared" si="14"/>
        <v>596597.22006082756</v>
      </c>
      <c r="K35" s="1461">
        <f t="shared" si="14"/>
        <v>596487.90141453408</v>
      </c>
      <c r="L35" s="1461">
        <f t="shared" si="14"/>
        <v>591338.32893695461</v>
      </c>
      <c r="M35" s="1461">
        <f t="shared" si="14"/>
        <v>580782.32371272403</v>
      </c>
      <c r="N35" s="1461">
        <f t="shared" si="14"/>
        <v>570328.66314597917</v>
      </c>
      <c r="O35" s="1461">
        <f t="shared" si="14"/>
        <v>560570.27194312459</v>
      </c>
      <c r="P35" s="1461">
        <f t="shared" si="14"/>
        <v>552769.08573430835</v>
      </c>
      <c r="Q35" s="1461">
        <f t="shared" si="14"/>
        <v>549900.54850119888</v>
      </c>
      <c r="R35" s="9"/>
      <c r="S35" s="9"/>
      <c r="T35" s="9"/>
      <c r="U35" s="9"/>
      <c r="V35" s="9"/>
    </row>
    <row r="36" spans="1:22">
      <c r="A36" s="1463"/>
      <c r="B36" s="1445"/>
      <c r="C36" s="1463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6" t="s">
        <v>1454</v>
      </c>
      <c r="B37" s="710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3" t="s">
        <v>22</v>
      </c>
      <c r="B38" s="1834" t="s">
        <v>1443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833"/>
      <c r="B39" s="1835"/>
      <c r="C39" s="1464">
        <f>C27</f>
        <v>44287</v>
      </c>
      <c r="D39" s="1464">
        <f t="shared" ref="D39:E39" si="15">D27</f>
        <v>44317</v>
      </c>
      <c r="E39" s="1464">
        <f t="shared" si="15"/>
        <v>44348</v>
      </c>
      <c r="G39" s="894"/>
      <c r="H39" s="894"/>
      <c r="I39" s="894"/>
      <c r="J39" s="894"/>
      <c r="K39" s="894"/>
      <c r="L39" s="897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09" t="s">
        <v>1444</v>
      </c>
      <c r="B40" s="713"/>
      <c r="C40" s="714"/>
      <c r="D40" s="715"/>
      <c r="E40" s="715"/>
      <c r="F40" s="65"/>
      <c r="G40" s="898"/>
      <c r="H40" s="711"/>
      <c r="I40" s="711"/>
      <c r="J40" s="711"/>
      <c r="K40" s="711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09" t="s">
        <v>1445</v>
      </c>
      <c r="B41" s="713"/>
      <c r="C41" s="714"/>
      <c r="D41" s="715"/>
      <c r="E41" s="715"/>
      <c r="F41" s="65"/>
      <c r="G41" s="898"/>
      <c r="H41" s="711"/>
      <c r="I41" s="711"/>
      <c r="J41" s="711"/>
      <c r="K41" s="711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09" t="s">
        <v>1446</v>
      </c>
      <c r="B42" s="713"/>
      <c r="C42" s="714"/>
      <c r="D42" s="715"/>
      <c r="E42" s="715"/>
      <c r="F42" s="65"/>
      <c r="G42" s="898"/>
      <c r="H42" s="711"/>
      <c r="I42" s="711"/>
      <c r="J42" s="711"/>
      <c r="K42" s="711"/>
      <c r="L42" s="899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09" t="s">
        <v>1447</v>
      </c>
      <c r="B43" s="713"/>
      <c r="C43" s="714"/>
      <c r="D43" s="715"/>
      <c r="E43" s="715"/>
      <c r="F43" s="65"/>
      <c r="G43" s="898"/>
      <c r="H43" s="711"/>
      <c r="I43" s="711"/>
      <c r="J43" s="711"/>
      <c r="K43" s="711"/>
      <c r="L43" s="899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09" t="s">
        <v>1448</v>
      </c>
      <c r="B44" s="713"/>
      <c r="C44" s="714"/>
      <c r="D44" s="715"/>
      <c r="E44" s="715"/>
      <c r="F44" s="65"/>
      <c r="G44" s="898"/>
      <c r="H44" s="711"/>
      <c r="I44" s="711"/>
      <c r="J44" s="711"/>
      <c r="K44" s="711"/>
      <c r="L44" s="899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2" t="s">
        <v>1449</v>
      </c>
      <c r="B45" s="713"/>
      <c r="C45" s="716"/>
      <c r="D45" s="896"/>
      <c r="E45" s="896"/>
      <c r="F45" s="65"/>
      <c r="G45" s="898"/>
      <c r="H45" s="711"/>
      <c r="I45" s="711"/>
      <c r="J45" s="711"/>
      <c r="K45" s="711"/>
      <c r="L45" s="899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00"/>
      <c r="L46" s="901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65" t="s">
        <v>8</v>
      </c>
      <c r="B49" s="1466"/>
      <c r="C49" s="1465"/>
      <c r="D49" s="9" t="s">
        <v>1455</v>
      </c>
    </row>
    <row r="50" spans="1:10">
      <c r="A50" s="1466" t="s">
        <v>2</v>
      </c>
      <c r="B50" s="1466"/>
      <c r="C50" s="1440"/>
    </row>
    <row r="51" spans="1:10">
      <c r="A51" s="1466" t="s">
        <v>3</v>
      </c>
      <c r="B51" s="1466"/>
      <c r="C51" s="1440"/>
      <c r="D51" s="234"/>
    </row>
    <row r="52" spans="1:10">
      <c r="A52" s="1466" t="s">
        <v>4</v>
      </c>
      <c r="B52" s="1466"/>
      <c r="C52" s="1440"/>
      <c r="D52" s="234"/>
    </row>
    <row r="53" spans="1:10">
      <c r="A53" s="1466" t="s">
        <v>5</v>
      </c>
      <c r="B53" s="1466"/>
      <c r="C53" s="1440"/>
      <c r="D53" s="234">
        <f>VLOOKUP(idsreag,Subsidio!$A$1:$J$52,10,FALSE)</f>
        <v>81721407.839354143</v>
      </c>
    </row>
    <row r="54" spans="1:10">
      <c r="A54" s="1466" t="s">
        <v>6</v>
      </c>
      <c r="B54" s="1466"/>
      <c r="C54" s="1440"/>
      <c r="D54" s="234"/>
      <c r="H54" s="1467"/>
      <c r="I54" s="1468"/>
      <c r="J54" s="1469"/>
    </row>
    <row r="55" spans="1:10">
      <c r="A55" s="1466" t="s">
        <v>7</v>
      </c>
      <c r="B55" s="1466"/>
      <c r="C55" s="1440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4" activePane="bottomLeft" state="frozen"/>
      <selection activeCell="D36" sqref="D36"/>
      <selection pane="bottomLeft" activeCell="H19" sqref="H19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7" width="19.42578125" style="68" customWidth="1"/>
    <col min="8" max="9" width="24.140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08" t="s">
        <v>1456</v>
      </c>
      <c r="C1" s="263"/>
      <c r="D1" s="263"/>
      <c r="E1" s="206"/>
      <c r="F1" s="1470"/>
      <c r="G1" s="1218" t="s">
        <v>953</v>
      </c>
      <c r="H1" s="1219">
        <f ca="1">LnkTXTIRTEco</f>
        <v>0.14499999999999999</v>
      </c>
    </row>
    <row r="2" spans="2:26" ht="14.25">
      <c r="B2" s="138" t="str">
        <f>CAPA!C9</f>
        <v>Certel</v>
      </c>
      <c r="C2" s="1471"/>
      <c r="D2" s="1471"/>
      <c r="E2" s="1471"/>
      <c r="F2" s="1472"/>
      <c r="G2" s="121" t="s">
        <v>957</v>
      </c>
      <c r="H2" s="122">
        <f ca="1">LnkTXTIRTTotal</f>
        <v>7.5999999999999998E-2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844"/>
      <c r="P4" s="1844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473" t="s">
        <v>1457</v>
      </c>
      <c r="M6" s="1474"/>
      <c r="O6" s="272"/>
      <c r="P6" s="292"/>
      <c r="Z6" s="68"/>
    </row>
    <row r="7" spans="2:26" ht="14.25">
      <c r="C7" s="71"/>
      <c r="L7" s="214" t="s">
        <v>1277</v>
      </c>
      <c r="M7" s="215">
        <v>1</v>
      </c>
      <c r="O7" s="272"/>
      <c r="P7" s="292"/>
      <c r="Z7" s="68"/>
    </row>
    <row r="8" spans="2:26" ht="14.25">
      <c r="L8" s="214" t="s">
        <v>849</v>
      </c>
      <c r="M8" s="215">
        <v>2</v>
      </c>
      <c r="O8" s="272"/>
      <c r="P8" s="292"/>
      <c r="Z8" s="68"/>
    </row>
    <row r="9" spans="2:26" ht="14.25">
      <c r="B9" s="293" t="s">
        <v>1458</v>
      </c>
      <c r="D9" s="294" t="s">
        <v>1459</v>
      </c>
      <c r="L9" s="214" t="s">
        <v>1460</v>
      </c>
      <c r="M9" s="215">
        <v>4</v>
      </c>
      <c r="O9" s="272"/>
      <c r="P9" s="292"/>
      <c r="Z9" s="68"/>
    </row>
    <row r="10" spans="2:26" ht="14.25">
      <c r="L10" s="214" t="s">
        <v>1461</v>
      </c>
      <c r="M10" s="216">
        <f>CAPA!K16</f>
        <v>0.10704236088323049</v>
      </c>
      <c r="O10" s="272"/>
      <c r="P10" s="292"/>
      <c r="Z10" s="68"/>
    </row>
    <row r="11" spans="2:26" ht="14.25">
      <c r="B11" s="1847" t="s">
        <v>1462</v>
      </c>
      <c r="C11" s="1848"/>
      <c r="D11" s="1475" t="s">
        <v>1463</v>
      </c>
      <c r="E11" s="1476" t="s">
        <v>1464</v>
      </c>
      <c r="F11" s="1477" t="s">
        <v>1465</v>
      </c>
      <c r="G11" s="1476" t="s">
        <v>2330</v>
      </c>
      <c r="H11" s="1476" t="s">
        <v>2363</v>
      </c>
      <c r="I11" s="1476" t="s">
        <v>2364</v>
      </c>
      <c r="J11" s="1476"/>
      <c r="L11" s="214" t="s">
        <v>1466</v>
      </c>
      <c r="M11" s="216">
        <f>CAPA!K17</f>
        <v>0.11886869625198027</v>
      </c>
      <c r="O11" s="272"/>
      <c r="P11" s="292"/>
      <c r="Z11" s="68"/>
    </row>
    <row r="12" spans="2:26" ht="14.25">
      <c r="B12" s="1853" t="s">
        <v>1467</v>
      </c>
      <c r="C12" s="1848"/>
      <c r="D12" s="1478" t="s">
        <v>1460</v>
      </c>
      <c r="E12" s="1478" t="s">
        <v>849</v>
      </c>
      <c r="F12" s="1478" t="s">
        <v>849</v>
      </c>
      <c r="G12" s="1478" t="s">
        <v>849</v>
      </c>
      <c r="H12" s="1478" t="s">
        <v>849</v>
      </c>
      <c r="I12" s="1478" t="s">
        <v>849</v>
      </c>
      <c r="J12" s="1478" t="s">
        <v>849</v>
      </c>
      <c r="L12" s="1479" t="s">
        <v>1468</v>
      </c>
      <c r="M12" s="1480">
        <v>41275</v>
      </c>
      <c r="O12" s="272"/>
      <c r="P12" s="292"/>
      <c r="Z12" s="68"/>
    </row>
    <row r="13" spans="2:26" ht="14.25">
      <c r="B13" s="1854" t="s">
        <v>1469</v>
      </c>
      <c r="C13" s="1855"/>
      <c r="D13" s="1481">
        <v>43617</v>
      </c>
      <c r="E13" s="1481">
        <v>43617</v>
      </c>
      <c r="F13" s="1481">
        <v>44713</v>
      </c>
      <c r="G13" s="1481">
        <f t="shared" ref="G13:J14" si="0">F13</f>
        <v>44713</v>
      </c>
      <c r="H13" s="1481">
        <f>G13</f>
        <v>44713</v>
      </c>
      <c r="I13" s="1481">
        <f t="shared" si="0"/>
        <v>44713</v>
      </c>
      <c r="J13" s="1481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845" t="s">
        <v>1470</v>
      </c>
      <c r="C14" s="1846"/>
      <c r="D14" s="1481">
        <v>42887</v>
      </c>
      <c r="E14" s="1481">
        <v>43252</v>
      </c>
      <c r="F14" s="1481">
        <v>44348</v>
      </c>
      <c r="G14" s="1481">
        <f t="shared" si="0"/>
        <v>44348</v>
      </c>
      <c r="H14" s="1481">
        <v>43983</v>
      </c>
      <c r="I14" s="1481">
        <v>44348</v>
      </c>
      <c r="J14" s="1481">
        <f t="shared" si="0"/>
        <v>44348</v>
      </c>
      <c r="L14" s="1482"/>
      <c r="M14" s="1483">
        <v>41334</v>
      </c>
      <c r="O14" s="272"/>
      <c r="P14" s="292"/>
      <c r="Z14" s="68"/>
    </row>
    <row r="15" spans="2:26" ht="14.25">
      <c r="B15" s="1845" t="s">
        <v>1471</v>
      </c>
      <c r="C15" s="1846"/>
      <c r="D15" s="1484">
        <f>VLOOKUP(D13,Índices!$B$6:$F$500,VLOOKUP(D12,$L$7:$M$9,2,FALSE)+1,FALSE)/VLOOKUP(D14,Índices!$B$6:$F$500,VLOOKUP(D12,$L$7:$M$9,2,FALSE)+1,FALSE)</f>
        <v>1.1414978440075982</v>
      </c>
      <c r="E15" s="1484">
        <f>VLOOKUP(E13,Índices!$B$6:$F$500,VLOOKUP(E12,$L$7:$M$9,2,FALSE)+1,FALSE)/VLOOKUP(E14,Índices!$B$6:$F$500,VLOOKUP(E12,$L$7:$M$9,2,FALSE)+1,FALSE)</f>
        <v>1.0336626715248016</v>
      </c>
      <c r="F15" s="1484">
        <f>VLOOKUP(F13,Índices!$B$6:$F$500,VLOOKUP(F12,$L$7:$M$9,2,FALSE)+1,FALSE)/VLOOKUP(F14,Índices!$B$6:$F$500,VLOOKUP(F12,$L$7:$M$9,2,FALSE)+1,FALSE)</f>
        <v>1.1188686962519803</v>
      </c>
      <c r="G15" s="1484">
        <f>VLOOKUP(G13,Índices!$B$6:$F$500,VLOOKUP(G12,$L$7:$M$9,2,FALSE)+1,FALSE)/VLOOKUP(G14,Índices!$B$6:$F$500,VLOOKUP(G12,$L$7:$M$9,2,FALSE)+1,FALSE)</f>
        <v>1.1188686962519803</v>
      </c>
      <c r="H15" s="1484">
        <f>VLOOKUP(H13,Índices!$B$6:$F$500,VLOOKUP(H12,$L$7:$M$9,2,FALSE)+1,FALSE)/VLOOKUP(H14,Índices!$B$6:$F$500,VLOOKUP(H12,$L$7:$M$9,2,FALSE)+1,FALSE)</f>
        <v>1.212261476003951</v>
      </c>
      <c r="I15" s="1484">
        <f>VLOOKUP(I13,Índices!$B$6:$F$500,VLOOKUP(I12,$L$7:$M$9,2,FALSE)+1,FALSE)/VLOOKUP(I14,Índices!$B$6:$F$500,VLOOKUP(I12,$L$7:$M$9,2,FALSE)+1,FALSE)</f>
        <v>1.1188686962519803</v>
      </c>
      <c r="J15" s="1484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845" t="s">
        <v>1472</v>
      </c>
      <c r="C16" s="1846"/>
      <c r="D16" s="1485"/>
      <c r="E16" s="1485"/>
      <c r="F16" s="1485">
        <v>190.52043908800366</v>
      </c>
      <c r="G16" s="1485">
        <f>3329173.56083882</f>
        <v>3329173.5608388199</v>
      </c>
      <c r="H16" s="1485">
        <v>20007.439999999999</v>
      </c>
      <c r="I16" s="1485">
        <v>15712.770000000002</v>
      </c>
      <c r="J16" s="1485"/>
      <c r="O16" s="272"/>
      <c r="P16" s="292"/>
      <c r="Z16" s="68"/>
    </row>
    <row r="17" spans="1:26" ht="14.25">
      <c r="B17" s="1851" t="s">
        <v>1473</v>
      </c>
      <c r="C17" s="1852"/>
      <c r="D17" s="1486">
        <f t="shared" ref="D17:E17" si="1">D16*D15</f>
        <v>0</v>
      </c>
      <c r="E17" s="1486">
        <f t="shared" si="1"/>
        <v>0</v>
      </c>
      <c r="F17" s="1486">
        <f>F16*F15</f>
        <v>213.16735529174946</v>
      </c>
      <c r="G17" s="1486">
        <f>G16*G15</f>
        <v>3724908.0816122931</v>
      </c>
      <c r="H17" s="1486">
        <f>H16*H15</f>
        <v>24254.248745460485</v>
      </c>
      <c r="I17" s="1486">
        <f>I16*I15</f>
        <v>17580.52648440723</v>
      </c>
      <c r="J17" s="1486">
        <f>J16*J15</f>
        <v>0</v>
      </c>
      <c r="O17" s="272"/>
      <c r="P17" s="93"/>
      <c r="Z17" s="68"/>
    </row>
    <row r="18" spans="1:26" ht="14.25">
      <c r="E18" s="295" t="s">
        <v>1474</v>
      </c>
      <c r="F18" s="504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1475</v>
      </c>
      <c r="F19" s="200">
        <f>F17*(1-F18)</f>
        <v>213.16735529174946</v>
      </c>
      <c r="H19" s="68">
        <v>3724908.0816122899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1476</v>
      </c>
      <c r="E20" s="296" t="s">
        <v>1477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487" t="s">
        <v>1462</v>
      </c>
      <c r="C22" s="1849" t="str">
        <f>Financeiros!C9</f>
        <v>Repasse de PIS COFINS</v>
      </c>
      <c r="D22" s="1850"/>
      <c r="E22" s="1838" t="s">
        <v>1478</v>
      </c>
      <c r="F22" s="1839"/>
      <c r="G22" s="1838" t="str">
        <f>Financeiros!C27</f>
        <v>Compensação DIC FIC</v>
      </c>
      <c r="H22" s="1839"/>
      <c r="I22" s="1840" t="s">
        <v>1259</v>
      </c>
      <c r="J22" s="1841"/>
      <c r="K22" s="1856" t="s">
        <v>1479</v>
      </c>
      <c r="L22" s="1857"/>
      <c r="M22" s="1858" t="s">
        <v>2378</v>
      </c>
      <c r="N22" s="1859"/>
      <c r="O22" s="1836" t="s">
        <v>1480</v>
      </c>
      <c r="P22" s="1837"/>
      <c r="Q22" s="1836" t="s">
        <v>233</v>
      </c>
      <c r="R22" s="1837"/>
      <c r="S22" s="1836" t="s">
        <v>2185</v>
      </c>
      <c r="T22" s="1837"/>
      <c r="U22" s="1836" t="s">
        <v>2186</v>
      </c>
      <c r="V22" s="1837"/>
      <c r="Z22" s="68"/>
    </row>
    <row r="23" spans="1:26" ht="14.25">
      <c r="B23" s="1488" t="s">
        <v>1005</v>
      </c>
      <c r="C23" s="1489" t="s">
        <v>1481</v>
      </c>
      <c r="D23" s="1490" t="s">
        <v>849</v>
      </c>
      <c r="E23" s="1489" t="s">
        <v>1481</v>
      </c>
      <c r="F23" s="1490" t="s">
        <v>849</v>
      </c>
      <c r="G23" s="1489" t="s">
        <v>1481</v>
      </c>
      <c r="H23" s="1490" t="s">
        <v>849</v>
      </c>
      <c r="I23" s="1489" t="s">
        <v>1481</v>
      </c>
      <c r="J23" s="1490" t="s">
        <v>849</v>
      </c>
      <c r="K23" s="1489" t="s">
        <v>1481</v>
      </c>
      <c r="L23" s="1490" t="s">
        <v>1460</v>
      </c>
      <c r="M23" s="1491" t="s">
        <v>1481</v>
      </c>
      <c r="N23" s="1492" t="s">
        <v>1460</v>
      </c>
      <c r="O23" s="1491" t="s">
        <v>1481</v>
      </c>
      <c r="P23" s="1492" t="s">
        <v>849</v>
      </c>
      <c r="Q23" s="1491" t="s">
        <v>1481</v>
      </c>
      <c r="R23" s="1492" t="s">
        <v>849</v>
      </c>
      <c r="S23" s="1491" t="s">
        <v>1481</v>
      </c>
      <c r="T23" s="1492" t="s">
        <v>849</v>
      </c>
      <c r="U23" s="1491" t="s">
        <v>1481</v>
      </c>
      <c r="V23" s="1492" t="s">
        <v>849</v>
      </c>
      <c r="Z23" s="68"/>
    </row>
    <row r="24" spans="1:26" ht="14.25">
      <c r="B24" s="1493">
        <f>DATE(YEAR(B25),MONTH(B25)-1,1)</f>
        <v>43983</v>
      </c>
      <c r="C24" s="494"/>
      <c r="D24" s="495"/>
      <c r="E24" s="494"/>
      <c r="F24" s="495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5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5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5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96891.56</v>
      </c>
      <c r="P36" s="100">
        <f>VLOOKUP($B$48,Índices!$B$6:$F$500,VLOOKUP(P$23,$L$7:$M$9,2,FALSE)+1,FALSE)/VLOOKUP(DATE(YEAR($B36),MONTH($B36)-1,1),Índices!$B$6:$F$500,VLOOKUP(P$23,$L$7:$M$9,2,FALSE)+1,FALSE)*O36</f>
        <v>108983.50703294329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5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77" customFormat="1" ht="14.25">
      <c r="A37" s="871"/>
      <c r="B37" s="872">
        <f t="shared" si="2"/>
        <v>44378</v>
      </c>
      <c r="C37" s="873">
        <f>CAPA!C66</f>
        <v>612710.37</v>
      </c>
      <c r="D37" s="874">
        <f>VLOOKUP($B$48,Índices!$B$6:$F$500,VLOOKUP(D$23,$L$7:$M$9,2,FALSE)+1,FALSE)/VLOOKUP(DATE(YEAR($B37),MONTH($B37)-1,1),Índices!$B$6:$F$500,VLOOKUP(D$23,$L$7:$M$9,2,FALSE)+1,FALSE)*C37</f>
        <v>685542.45286196843</v>
      </c>
      <c r="E37" s="875"/>
      <c r="F37" s="874">
        <f>VLOOKUP($B$48,Índices!$B$6:$F$500,VLOOKUP(F$23,$L$7:$M$9,2,FALSE)+1,FALSE)/VLOOKUP(DATE(YEAR($B37),MONTH($B37)-1,1),Índices!$B$6:$F$500,VLOOKUP(H$23,$L$7:$M$9,2,FALSE)+1,FALSE)*E37</f>
        <v>0</v>
      </c>
      <c r="G37" s="875">
        <f>CAPA!E66</f>
        <v>0</v>
      </c>
      <c r="H37" s="874">
        <f>VLOOKUP($B$48,Índices!$B$6:$F$500,VLOOKUP(H$23,$L$7:$M$9,2,FALSE)+1,FALSE)/VLOOKUP(DATE(YEAR($B37),MONTH($B37)-1,1),Índices!$B$6:$F$500,VLOOKUP(H$23,$L$7:$M$9,2,FALSE)+1,FALSE)*G37</f>
        <v>0</v>
      </c>
      <c r="I37" s="876">
        <f>IFERROR(HLOOKUP(B37,'Rede Básica + Ajuste'!$E$70:$P$71,2,FALSE),0)</f>
        <v>0</v>
      </c>
      <c r="J37" s="876">
        <f>VLOOKUP($B$48,Índices!$B$6:$F$500,VLOOKUP(J$23,$L$7:$M$9,2,FALSE)+1,FALSE)/VLOOKUP(DATE(YEAR($B37),MONTH($B37)-1,1),Índices!$B$6:$F$500,VLOOKUP(J$23,$L$7:$M$9,2,FALSE)+1,FALSE)*I37</f>
        <v>0</v>
      </c>
      <c r="K37" s="875">
        <f>CAPA!H66</f>
        <v>0</v>
      </c>
      <c r="L37" s="874">
        <f>VLOOKUP($B$48,Índices!$B$6:$F$500,VLOOKUP(L$23,$L$7:$M$9,2,FALSE)+1,FALSE)/VLOOKUP(DATE(YEAR($B37),MONTH($B37)-1,1),Índices!$B$6:$F$500,VLOOKUP(L$23,$L$7:$M$9,2,FALSE)+1,FALSE)*K37</f>
        <v>0</v>
      </c>
      <c r="M37" s="875">
        <f>-CVE!$I$14/12</f>
        <v>-344712.38134531752</v>
      </c>
      <c r="N37" s="874">
        <f>VLOOKUP($B$48,Índices!$B$6:$F$500,VLOOKUP(N$23,$L$7:$M$9,2,FALSE)+1,FALSE)/VLOOKUP(DATE(YEAR($B37),MONTH($B37)-1,1),Índices!$B$6:$F$500,VLOOKUP(N$23,$L$7:$M$9,2,FALSE)+1,FALSE)*M37</f>
        <v>-374671.65584974579</v>
      </c>
      <c r="O37" s="874">
        <f>CAPA!G66</f>
        <v>84634.48</v>
      </c>
      <c r="P37" s="874">
        <f>VLOOKUP($B$48,Índices!$B$6:$F$500,VLOOKUP(P$23,$L$7:$M$9,2,FALSE)+1,FALSE)/VLOOKUP(DATE(YEAR($B37),MONTH($B37)-1,1),Índices!$B$6:$F$500,VLOOKUP(P$23,$L$7:$M$9,2,FALSE)+1,FALSE)*O37</f>
        <v>94694.870295564295</v>
      </c>
      <c r="Q37" s="875">
        <f>CAPA!D66</f>
        <v>0</v>
      </c>
      <c r="R37" s="874">
        <f>VLOOKUP($B$48,Índices!$B$6:$F$500,VLOOKUP(R$23,$L$7:$M$9,2,FALSE)+1,FALSE)/VLOOKUP(DATE(YEAR($B37),MONTH($B37)-1,1),Índices!$B$6:$F$500,VLOOKUP(R$23,$L$7:$M$9,2,FALSE)+1,FALSE)*Q37</f>
        <v>0</v>
      </c>
      <c r="S37" s="875">
        <f>ICMS!$B$9/12</f>
        <v>0</v>
      </c>
      <c r="T37" s="874">
        <f>VLOOKUP($B$48,Índices!$B$6:$F$500,VLOOKUP(T$23,$L$7:$M$9,2,FALSE)+1,FALSE)/VLOOKUP(DATE(YEAR($B37),MONTH($B37)-1,1),Índices!$B$6:$F$500,VLOOKUP(T$23,$L$7:$M$9,2,FALSE)+1,FALSE)*S37</f>
        <v>0</v>
      </c>
      <c r="U37" s="875">
        <f>ICMS!$B$8/12</f>
        <v>0</v>
      </c>
      <c r="V37" s="874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695483.67</v>
      </c>
      <c r="D38" s="227">
        <f>VLOOKUP($B$48,Índices!$B$6:$F$500,VLOOKUP(D$23,$L$7:$M$9,2,FALSE)+1,FALSE)/VLOOKUP(DATE(YEAR($B38),MONTH($B38)-1,1),Índices!$B$6:$F$500,VLOOKUP(D$23,$L$7:$M$9,2,FALSE)+1,FALSE)*C38</f>
        <v>770755.89206685591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>
        <f>-CVE!$I$14/12</f>
        <v>-344712.38134531752</v>
      </c>
      <c r="N38" s="100">
        <f>VLOOKUP($B$48,Índices!$B$6:$F$500,VLOOKUP(N$23,$L$7:$M$9,2,FALSE)+1,FALSE)/VLOOKUP(DATE(YEAR($B38),MONTH($B38)-1,1),Índices!$B$6:$F$500,VLOOKUP(N$23,$L$7:$M$9,2,FALSE)+1,FALSE)*M38</f>
        <v>-373343.98424211936</v>
      </c>
      <c r="O38" s="416">
        <f>CAPA!G67</f>
        <v>85130.43</v>
      </c>
      <c r="P38" s="100">
        <f>VLOOKUP($B$48,Índices!$B$6:$F$500,VLOOKUP(P$23,$L$7:$M$9,2,FALSE)+1,FALSE)/VLOOKUP(DATE(YEAR($B38),MONTH($B38)-1,1),Índices!$B$6:$F$500,VLOOKUP(P$23,$L$7:$M$9,2,FALSE)+1,FALSE)*O38</f>
        <v>94344.099433254887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5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5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595071.27</v>
      </c>
      <c r="D39" s="227">
        <f>VLOOKUP($B$48,Índices!$B$6:$F$500,VLOOKUP(D$23,$L$7:$M$9,2,FALSE)+1,FALSE)/VLOOKUP(DATE(YEAR($B39),MONTH($B39)-1,1),Índices!$B$6:$F$500,VLOOKUP(D$23,$L$7:$M$9,2,FALSE)+1,FALSE)*C39</f>
        <v>653787.97975332069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>
        <f>-CVE!$I$14/12</f>
        <v>-344712.38134531752</v>
      </c>
      <c r="N39" s="100">
        <f>VLOOKUP($B$48,Índices!$B$6:$F$500,VLOOKUP(N$23,$L$7:$M$9,2,FALSE)+1,FALSE)/VLOOKUP(DATE(YEAR($B39),MONTH($B39)-1,1),Índices!$B$6:$F$500,VLOOKUP(N$23,$L$7:$M$9,2,FALSE)+1,FALSE)*M39</f>
        <v>-371753.05782157526</v>
      </c>
      <c r="O39" s="416">
        <f>CAPA!G68</f>
        <v>84983.35</v>
      </c>
      <c r="P39" s="100">
        <f>VLOOKUP($B$48,Índices!$B$6:$F$500,VLOOKUP(P$23,$L$7:$M$9,2,FALSE)+1,FALSE)/VLOOKUP(DATE(YEAR($B39),MONTH($B39)-1,1),Índices!$B$6:$F$500,VLOOKUP(P$23,$L$7:$M$9,2,FALSE)+1,FALSE)*O39</f>
        <v>93368.803889943083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5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5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559847.02</v>
      </c>
      <c r="D40" s="227">
        <f>VLOOKUP($B$48,Índices!$B$6:$F$500,VLOOKUP(D$23,$L$7:$M$9,2,FALSE)+1,FALSE)/VLOOKUP(DATE(YEAR($B40),MONTH($B40)-1,1),Índices!$B$6:$F$500,VLOOKUP(D$23,$L$7:$M$9,2,FALSE)+1,FALSE)*C40</f>
        <v>608035.11048011424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-7391.46</v>
      </c>
      <c r="H40" s="227">
        <f>VLOOKUP($B$48,Índices!$B$6:$F$500,VLOOKUP(H$23,$L$7:$M$9,2,FALSE)+1,FALSE)/VLOOKUP(DATE(YEAR($B40),MONTH($B40)-1,1),Índices!$B$6:$F$500,VLOOKUP(H$23,$L$7:$M$9,2,FALSE)+1,FALSE)*G40</f>
        <v>-8027.6701262236693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>
        <f>-CVE!$I$14/12</f>
        <v>-344712.38134531752</v>
      </c>
      <c r="N40" s="100">
        <f>VLOOKUP($B$48,Índices!$B$6:$F$500,VLOOKUP(N$23,$L$7:$M$9,2,FALSE)+1,FALSE)/VLOOKUP(DATE(YEAR($B40),MONTH($B40)-1,1),Índices!$B$6:$F$500,VLOOKUP(N$23,$L$7:$M$9,2,FALSE)+1,FALSE)*M40</f>
        <v>-370117.14252313488</v>
      </c>
      <c r="O40" s="416">
        <f>CAPA!G69</f>
        <v>84947.28</v>
      </c>
      <c r="P40" s="100">
        <f>VLOOKUP($B$48,Índices!$B$6:$F$500,VLOOKUP(P$23,$L$7:$M$9,2,FALSE)+1,FALSE)/VLOOKUP(DATE(YEAR($B40),MONTH($B40)-1,1),Índices!$B$6:$F$500,VLOOKUP(P$23,$L$7:$M$9,2,FALSE)+1,FALSE)*O40</f>
        <v>92259.004575544939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5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5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509437.65</v>
      </c>
      <c r="D41" s="227">
        <f>VLOOKUP($B$48,Índices!$B$6:$F$500,VLOOKUP(D$23,$L$7:$M$9,2,FALSE)+1,FALSE)/VLOOKUP(DATE(YEAR($B41),MONTH($B41)-1,1),Índices!$B$6:$F$500,VLOOKUP(D$23,$L$7:$M$9,2,FALSE)+1,FALSE)*C41</f>
        <v>546456.35759556771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-7281</v>
      </c>
      <c r="H41" s="227">
        <f>VLOOKUP($B$48,Índices!$B$6:$F$500,VLOOKUP(H$23,$L$7:$M$9,2,FALSE)+1,FALSE)/VLOOKUP(DATE(YEAR($B41),MONTH($B41)-1,1),Índices!$B$6:$F$500,VLOOKUP(H$23,$L$7:$M$9,2,FALSE)+1,FALSE)*G41</f>
        <v>-7810.0798785745974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>
        <f>-CVE!$I$14/12</f>
        <v>-344712.38134531752</v>
      </c>
      <c r="N41" s="100">
        <f>VLOOKUP($B$48,Índices!$B$6:$F$500,VLOOKUP(N$23,$L$7:$M$9,2,FALSE)+1,FALSE)/VLOOKUP(DATE(YEAR($B41),MONTH($B41)-1,1),Índices!$B$6:$F$500,VLOOKUP(N$23,$L$7:$M$9,2,FALSE)+1,FALSE)*M41</f>
        <v>-368327.08723466058</v>
      </c>
      <c r="O41" s="416">
        <f>CAPA!G70</f>
        <v>85179.49</v>
      </c>
      <c r="P41" s="100">
        <f>VLOOKUP($B$48,Índices!$B$6:$F$500,VLOOKUP(P$23,$L$7:$M$9,2,FALSE)+1,FALSE)/VLOOKUP(DATE(YEAR($B41),MONTH($B41)-1,1),Índices!$B$6:$F$500,VLOOKUP(P$23,$L$7:$M$9,2,FALSE)+1,FALSE)*O41</f>
        <v>91369.127992891939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5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5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288787.59000000003</v>
      </c>
      <c r="D42" s="227">
        <f>VLOOKUP($B$48,Índices!$B$6:$F$500,VLOOKUP(D$23,$L$7:$M$9,2,FALSE)+1,FALSE)/VLOOKUP(DATE(YEAR($B42),MONTH($B42)-1,1),Índices!$B$6:$F$500,VLOOKUP(D$23,$L$7:$M$9,2,FALSE)+1,FALSE)*C42</f>
        <v>306857.22327859065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0</v>
      </c>
      <c r="H42" s="227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>
        <f>-CVE!$I$14/12</f>
        <v>-344712.38134531752</v>
      </c>
      <c r="N42" s="100">
        <f>VLOOKUP($B$48,Índices!$B$6:$F$500,VLOOKUP(N$23,$L$7:$M$9,2,FALSE)+1,FALSE)/VLOOKUP(DATE(YEAR($B42),MONTH($B42)-1,1),Índices!$B$6:$F$500,VLOOKUP(N$23,$L$7:$M$9,2,FALSE)+1,FALSE)*M42</f>
        <v>-366178.53798099916</v>
      </c>
      <c r="O42" s="416">
        <f>CAPA!G71</f>
        <v>81492.41</v>
      </c>
      <c r="P42" s="100">
        <f>VLOOKUP($B$48,Índices!$B$6:$F$500,VLOOKUP(P$23,$L$7:$M$9,2,FALSE)+1,FALSE)/VLOOKUP(DATE(YEAR($B42),MONTH($B42)-1,1),Índices!$B$6:$F$500,VLOOKUP(P$23,$L$7:$M$9,2,FALSE)+1,FALSE)*O42</f>
        <v>86591.444773926924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5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5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210.85999999999999</v>
      </c>
      <c r="D43" s="227">
        <f>VLOOKUP($B$48,Índices!$B$6:$F$500,VLOOKUP(D$23,$L$7:$M$9,2,FALSE)+1,FALSE)/VLOOKUP(DATE(YEAR($B43),MONTH($B43)-1,1),Índices!$B$6:$F$500,VLOOKUP(D$23,$L$7:$M$9,2,FALSE)+1,FALSE)*C43</f>
        <v>222.43000552283971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-12774.44</v>
      </c>
      <c r="H43" s="227">
        <f>VLOOKUP($B$48,Índices!$B$6:$F$500,VLOOKUP(H$23,$L$7:$M$9,2,FALSE)+1,FALSE)/VLOOKUP(DATE(YEAR($B43),MONTH($B43)-1,1),Índices!$B$6:$F$500,VLOOKUP(H$23,$L$7:$M$9,2,FALSE)+1,FALSE)*G43</f>
        <v>-13475.380630518755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>
        <f>-CVE!$I$14/12</f>
        <v>-344712.38134531752</v>
      </c>
      <c r="N43" s="100">
        <f>VLOOKUP($B$48,Índices!$B$6:$F$500,VLOOKUP(N$23,$L$7:$M$9,2,FALSE)+1,FALSE)/VLOOKUP(DATE(YEAR($B43),MONTH($B43)-1,1),Índices!$B$6:$F$500,VLOOKUP(N$23,$L$7:$M$9,2,FALSE)+1,FALSE)*M43</f>
        <v>-363383.81454113359</v>
      </c>
      <c r="O43" s="416">
        <f>CAPA!G72</f>
        <v>81305.89</v>
      </c>
      <c r="P43" s="100">
        <f>VLOOKUP($B$48,Índices!$B$6:$F$500,VLOOKUP(P$23,$L$7:$M$9,2,FALSE)+1,FALSE)/VLOOKUP(DATE(YEAR($B43),MONTH($B43)-1,1),Índices!$B$6:$F$500,VLOOKUP(P$23,$L$7:$M$9,2,FALSE)+1,FALSE)*O43</f>
        <v>85767.189423026648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5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5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1385.72</v>
      </c>
      <c r="D44" s="227">
        <f>VLOOKUP($B$48,Índices!$B$6:$F$500,VLOOKUP(D$23,$L$7:$M$9,2,FALSE)+1,FALSE)/VLOOKUP(DATE(YEAR($B44),MONTH($B44)-1,1),Índices!$B$6:$F$500,VLOOKUP(D$23,$L$7:$M$9,2,FALSE)+1,FALSE)*C44</f>
        <v>1453.9037234950245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-6604.59</v>
      </c>
      <c r="H44" s="227">
        <f>VLOOKUP($B$48,Índices!$B$6:$F$500,VLOOKUP(H$23,$L$7:$M$9,2,FALSE)+1,FALSE)/VLOOKUP(DATE(YEAR($B44),MONTH($B44)-1,1),Índices!$B$6:$F$500,VLOOKUP(H$23,$L$7:$M$9,2,FALSE)+1,FALSE)*G44</f>
        <v>-6929.5658525228791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>
        <f>-CVE!$I$14/12</f>
        <v>-344712.38134531752</v>
      </c>
      <c r="N44" s="100">
        <f>VLOOKUP($B$48,Índices!$B$6:$F$500,VLOOKUP(N$23,$L$7:$M$9,2,FALSE)+1,FALSE)/VLOOKUP(DATE(YEAR($B44),MONTH($B44)-1,1),Índices!$B$6:$F$500,VLOOKUP(N$23,$L$7:$M$9,2,FALSE)+1,FALSE)*M44</f>
        <v>-360742.20641521516</v>
      </c>
      <c r="O44" s="416">
        <f>CAPA!G73</f>
        <v>84653.4</v>
      </c>
      <c r="P44" s="100">
        <f>VLOOKUP($B$48,Índices!$B$6:$F$500,VLOOKUP(P$23,$L$7:$M$9,2,FALSE)+1,FALSE)/VLOOKUP(DATE(YEAR($B44),MONTH($B44)-1,1),Índices!$B$6:$F$500,VLOOKUP(P$23,$L$7:$M$9,2,FALSE)+1,FALSE)*O44</f>
        <v>88818.732115083636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5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5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6244.14</v>
      </c>
      <c r="D45" s="227">
        <f>VLOOKUP($B$48,Índices!$B$6:$F$500,VLOOKUP(D$23,$L$7:$M$9,2,FALSE)+1,FALSE)/VLOOKUP(DATE(YEAR($B45),MONTH($B45)-1,1),Índices!$B$6:$F$500,VLOOKUP(D$23,$L$7:$M$9,2,FALSE)+1,FALSE)*C45</f>
        <v>6485.8688029746245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0</v>
      </c>
      <c r="H45" s="227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>
        <f>-CVE!$I$14/12</f>
        <v>-344712.38134531752</v>
      </c>
      <c r="N45" s="100">
        <f>VLOOKUP($B$48,Índices!$B$6:$F$500,VLOOKUP(N$23,$L$7:$M$9,2,FALSE)+1,FALSE)/VLOOKUP(DATE(YEAR($B45),MONTH($B45)-1,1),Índices!$B$6:$F$500,VLOOKUP(N$23,$L$7:$M$9,2,FALSE)+1,FALSE)*M45</f>
        <v>-358038.86622568197</v>
      </c>
      <c r="O45" s="416">
        <f>CAPA!G74</f>
        <v>140564.63</v>
      </c>
      <c r="P45" s="100">
        <f>VLOOKUP($B$48,Índices!$B$6:$F$500,VLOOKUP(P$23,$L$7:$M$9,2,FALSE)+1,FALSE)/VLOOKUP(DATE(YEAR($B45),MONTH($B45)-1,1),Índices!$B$6:$F$500,VLOOKUP(P$23,$L$7:$M$9,2,FALSE)+1,FALSE)*O45</f>
        <v>146006.29526542823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5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5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6539.3</v>
      </c>
      <c r="D46" s="227">
        <f>VLOOKUP($B$48,Índices!$B$6:$F$500,VLOOKUP(D$23,$L$7:$M$9,2,FALSE)+1,FALSE)/VLOOKUP(DATE(YEAR($B46),MONTH($B46)-1,1),Índices!$B$6:$F$500,VLOOKUP(D$23,$L$7:$M$9,2,FALSE)+1,FALSE)*C46</f>
        <v>6684.1684288774577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0</v>
      </c>
      <c r="H46" s="227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>
        <f>-CVE!$I$14/12</f>
        <v>-344712.38134531752</v>
      </c>
      <c r="N46" s="100">
        <f>VLOOKUP($B$48,Índices!$B$6:$F$500,VLOOKUP(N$23,$L$7:$M$9,2,FALSE)+1,FALSE)/VLOOKUP(DATE(YEAR($B46),MONTH($B46)-1,1),Índices!$B$6:$F$500,VLOOKUP(N$23,$L$7:$M$9,2,FALSE)+1,FALSE)*M46</f>
        <v>-354750.14133680024</v>
      </c>
      <c r="O46" s="416">
        <f>CAPA!G75</f>
        <v>92232.97</v>
      </c>
      <c r="P46" s="100">
        <f>VLOOKUP($B$48,Índices!$B$6:$F$500,VLOOKUP(P$23,$L$7:$M$9,2,FALSE)+1,FALSE)/VLOOKUP(DATE(YEAR($B46),MONTH($B46)-1,1),Índices!$B$6:$F$500,VLOOKUP(P$23,$L$7:$M$9,2,FALSE)+1,FALSE)*O46</f>
        <v>94276.253754316465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5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5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5265.1</v>
      </c>
      <c r="D47" s="227">
        <f>VLOOKUP($B$48,Índices!$B$6:$F$500,VLOOKUP(D$23,$L$7:$M$9,2,FALSE)+1,FALSE)/VLOOKUP(DATE(YEAR($B47),MONTH($B47)-1,1),Índices!$B$6:$F$500,VLOOKUP(D$23,$L$7:$M$9,2,FALSE)+1,FALSE)*C47</f>
        <v>5325.2913786566569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0</v>
      </c>
      <c r="H47" s="227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>
        <f>-CVE!$I$14/12</f>
        <v>-344712.38134531752</v>
      </c>
      <c r="N47" s="100">
        <f>VLOOKUP($B$48,Índices!$B$6:$F$500,VLOOKUP(N$23,$L$7:$M$9,2,FALSE)+1,FALSE)/VLOOKUP(DATE(YEAR($B47),MONTH($B47)-1,1),Índices!$B$6:$F$500,VLOOKUP(N$23,$L$7:$M$9,2,FALSE)+1,FALSE)*M47</f>
        <v>-351814.87760741636</v>
      </c>
      <c r="O47" s="416">
        <f>CAPA!G76</f>
        <v>82638.86</v>
      </c>
      <c r="P47" s="100">
        <f>VLOOKUP($B$48,Índices!$B$6:$F$500,VLOOKUP(P$23,$L$7:$M$9,2,FALSE)+1,FALSE)/VLOOKUP(DATE(YEAR($B47),MONTH($B47)-1,1),Índices!$B$6:$F$500,VLOOKUP(P$23,$L$7:$M$9,2,FALSE)+1,FALSE)*O47</f>
        <v>83583.59930485925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5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5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494">
        <f>DATE(YEAR(CAPA!$C$15),MONTH(CAPA!$C$15)-1,1)</f>
        <v>44713</v>
      </c>
      <c r="C48" s="298">
        <f>CAPA!C77</f>
        <v>0</v>
      </c>
      <c r="D48" s="227">
        <f>VLOOKUP($B$48,Índices!$B$6:$F$500,VLOOKUP(D$23,$L$7:$M$9,2,FALSE)+1,FALSE)/VLOOKUP(DATE(YEAR($B48),MONTH($B48)-1,1),Índices!$B$6:$F$500,VLOOKUP(D$23,$L$7:$M$9,2,FALSE)+1,FALSE)*C48</f>
        <v>0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6">
        <f>-CVE!$I$14/12</f>
        <v>-344712.38134531752</v>
      </c>
      <c r="N48" s="100">
        <f>VLOOKUP($B$48,Índices!$B$6:$F$500,VLOOKUP(N$23,$L$7:$M$9,2,FALSE)+1,FALSE)/VLOOKUP(DATE(YEAR($B48),MONTH($B48)-1,1),Índices!$B$6:$F$500,VLOOKUP(N$23,$L$7:$M$9,2,FALSE)+1,FALSE)*M48</f>
        <v>-348212.2999590548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5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5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95">
        <f t="shared" ref="C49:P49" si="3">SUM(C25:C48)</f>
        <v>3280982.69</v>
      </c>
      <c r="D49" s="1496">
        <f t="shared" si="3"/>
        <v>3591606.678375944</v>
      </c>
      <c r="E49" s="1495">
        <f t="shared" si="3"/>
        <v>0</v>
      </c>
      <c r="F49" s="1496">
        <f t="shared" si="3"/>
        <v>0</v>
      </c>
      <c r="G49" s="1495">
        <f t="shared" si="3"/>
        <v>-34051.490000000005</v>
      </c>
      <c r="H49" s="1496">
        <f t="shared" si="3"/>
        <v>-36242.696487839901</v>
      </c>
      <c r="I49" s="1497">
        <f>SUM(I24:I48)</f>
        <v>0</v>
      </c>
      <c r="J49" s="1497">
        <f>SUM(J24:J48)</f>
        <v>0</v>
      </c>
      <c r="K49" s="1498">
        <f t="shared" si="3"/>
        <v>0</v>
      </c>
      <c r="L49" s="1499">
        <f t="shared" si="3"/>
        <v>0</v>
      </c>
      <c r="M49" s="1500">
        <f t="shared" si="3"/>
        <v>-4136548.576143811</v>
      </c>
      <c r="N49" s="1501">
        <f t="shared" si="3"/>
        <v>-4361333.6717375368</v>
      </c>
      <c r="O49" s="1500">
        <f t="shared" si="3"/>
        <v>1084654.75</v>
      </c>
      <c r="P49" s="1501">
        <f t="shared" si="3"/>
        <v>1160062.9278567836</v>
      </c>
      <c r="Q49" s="1500">
        <f t="shared" ref="Q49:R49" si="4">SUM(Q25:Q48)</f>
        <v>0</v>
      </c>
      <c r="R49" s="1501">
        <f t="shared" si="4"/>
        <v>0</v>
      </c>
      <c r="S49" s="1500">
        <f>-S51</f>
        <v>0</v>
      </c>
      <c r="T49" s="1501">
        <f t="shared" ref="T49:V49" si="5">SUM(T25:T48)</f>
        <v>0</v>
      </c>
      <c r="U49" s="1500">
        <f>-S52</f>
        <v>0</v>
      </c>
      <c r="V49" s="1501">
        <f t="shared" si="5"/>
        <v>0</v>
      </c>
      <c r="Z49" s="68"/>
    </row>
    <row r="50" spans="2:30" ht="14.25">
      <c r="J50" s="68" t="s">
        <v>928</v>
      </c>
      <c r="M50" s="200"/>
      <c r="N50" s="108"/>
      <c r="S50" s="1408"/>
      <c r="T50" s="68" t="s">
        <v>1482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842" t="s">
        <v>2259</v>
      </c>
      <c r="D53" s="1843"/>
      <c r="E53" s="1842" t="s">
        <v>1483</v>
      </c>
      <c r="F53" s="1843"/>
      <c r="G53" s="1842" t="s">
        <v>1484</v>
      </c>
      <c r="H53" s="1843"/>
      <c r="I53" s="1842" t="s">
        <v>1485</v>
      </c>
      <c r="J53" s="1843"/>
      <c r="K53" s="1838" t="s">
        <v>1486</v>
      </c>
      <c r="L53" s="1839"/>
      <c r="M53" s="1842" t="s">
        <v>1487</v>
      </c>
      <c r="N53" s="1843"/>
      <c r="O53" s="1842" t="s">
        <v>2261</v>
      </c>
      <c r="P53" s="1843"/>
      <c r="Q53" s="1842" t="s">
        <v>2262</v>
      </c>
      <c r="R53" s="1843"/>
      <c r="S53" s="1842" t="s">
        <v>1488</v>
      </c>
      <c r="T53" s="1843"/>
      <c r="U53" s="1842" t="s">
        <v>1489</v>
      </c>
      <c r="V53" s="1843"/>
      <c r="W53" s="1842" t="s">
        <v>36</v>
      </c>
      <c r="X53" s="1843"/>
      <c r="Z53" s="68"/>
    </row>
    <row r="54" spans="2:30" ht="14.25">
      <c r="C54" s="1491" t="s">
        <v>1481</v>
      </c>
      <c r="D54" s="1492" t="s">
        <v>849</v>
      </c>
      <c r="E54" s="1491" t="s">
        <v>1481</v>
      </c>
      <c r="F54" s="1492" t="s">
        <v>849</v>
      </c>
      <c r="G54" s="1491" t="s">
        <v>1481</v>
      </c>
      <c r="H54" s="1492" t="s">
        <v>849</v>
      </c>
      <c r="I54" s="1491" t="s">
        <v>1481</v>
      </c>
      <c r="J54" s="1492" t="s">
        <v>849</v>
      </c>
      <c r="K54" s="1489" t="s">
        <v>1481</v>
      </c>
      <c r="L54" s="1490" t="s">
        <v>849</v>
      </c>
      <c r="M54" s="1491" t="s">
        <v>1481</v>
      </c>
      <c r="N54" s="1492" t="s">
        <v>849</v>
      </c>
      <c r="O54" s="1491" t="s">
        <v>1481</v>
      </c>
      <c r="P54" s="1492" t="s">
        <v>849</v>
      </c>
      <c r="Q54" s="1491" t="s">
        <v>1481</v>
      </c>
      <c r="R54" s="1492" t="s">
        <v>849</v>
      </c>
      <c r="S54" s="1491" t="s">
        <v>1481</v>
      </c>
      <c r="T54" s="1492" t="s">
        <v>849</v>
      </c>
      <c r="U54" s="1491" t="s">
        <v>1481</v>
      </c>
      <c r="V54" s="1492" t="s">
        <v>849</v>
      </c>
      <c r="W54" s="1491" t="s">
        <v>1481</v>
      </c>
      <c r="X54" s="1502" t="s">
        <v>1460</v>
      </c>
      <c r="Z54" s="68"/>
    </row>
    <row r="55" spans="2:30" ht="14.25">
      <c r="B55" s="272">
        <f t="shared" ref="B55:B79" si="6">B24</f>
        <v>43983</v>
      </c>
      <c r="C55" s="496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15860.51250454539</v>
      </c>
      <c r="D68" s="100">
        <f ca="1">VLOOKUP($B$79,Índices!$B$6:$F$500,VLOOKUP(D$54,$L$7:$M$9,2,FALSE)+1,FALSE)/VLOOKUP(DATE(YEAR($B68),MONTH($B68)-1,1),Índices!$B$6:$F$500,VLOOKUP(D$54,$L$7:$M$9,2,FALSE)+1,FALSE)*C68</f>
        <v>17745.830947848932</v>
      </c>
      <c r="E68" s="209">
        <f ca="1">Encargos!D31</f>
        <v>7069.1821010426356</v>
      </c>
      <c r="F68" s="100">
        <f ca="1">VLOOKUP($B$79,Índices!$B$6:$F$500,VLOOKUP(F$54,$L$7:$M$9,2,FALSE)+1,FALSE)/VLOOKUP(DATE(YEAR($B68),MONTH($B68)-1,1),Índices!$B$6:$F$500,VLOOKUP(F$54,$L$7:$M$9,2,FALSE)+1,FALSE)*E68</f>
        <v>7909.486560961408</v>
      </c>
      <c r="G68" s="209">
        <f ca="1">Encargos!E31</f>
        <v>1123.652428216119</v>
      </c>
      <c r="H68" s="227">
        <f ca="1">VLOOKUP($B$48,Índices!$B$6:$F$500,VLOOKUP(H$54,$L$7:$M$9,2,FALSE)+1,FALSE)/VLOOKUP(DATE(YEAR($B68),MONTH($B68)-1,1),Índices!$B$6:$F$500,VLOOKUP(H$54,$L$7:$M$9,2,FALSE)+1,FALSE)*G68</f>
        <v>1257.219527398541</v>
      </c>
      <c r="I68" s="209">
        <f ca="1">Encargos!F31</f>
        <v>62105.012341144495</v>
      </c>
      <c r="J68" s="227">
        <f ca="1">VLOOKUP($B$48,Índices!$B$6:$F$500,VLOOKUP(J$54,$L$7:$M$9,2,FALSE)+1,FALSE)/VLOOKUP(DATE(YEAR($B68),MONTH($B68)-1,1),Índices!$B$6:$F$500,VLOOKUP(J$54,$L$7:$M$9,2,FALSE)+1,FALSE)*I68</f>
        <v>69487.35418884948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9982.5199197616894</v>
      </c>
      <c r="N68" s="227">
        <f ca="1">VLOOKUP($B$48,Índices!$B$6:$F$500,VLOOKUP(N$54,$L$7:$M$9,2,FALSE)+1,FALSE)/VLOOKUP(DATE(YEAR($B68),MONTH($B68)-1,1),Índices!$B$6:$F$500,VLOOKUP(N$54,$L$7:$M$9,2,FALSE)+1,FALSE)*M68</f>
        <v>11169.129047933184</v>
      </c>
      <c r="O68" s="209">
        <f ca="1">Encargos!H31</f>
        <v>-9148.9731279189</v>
      </c>
      <c r="P68" s="227">
        <f ca="1">VLOOKUP($B$48,Índices!$B$6:$F$500,VLOOKUP(P$54,$L$7:$M$9,2,FALSE)+1,FALSE)/VLOOKUP(DATE(YEAR($B68),MONTH($B68)-1,1),Índices!$B$6:$F$500,VLOOKUP(P$54,$L$7:$M$9,2,FALSE)+1,FALSE)*O68</f>
        <v>-10236.499635679022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12100.646480286086</v>
      </c>
      <c r="D69" s="100">
        <f ca="1">VLOOKUP($B$79,Índices!$B$6:$F$500,VLOOKUP(D$54,$L$7:$M$9,2,FALSE)+1,FALSE)/VLOOKUP(DATE(YEAR($B69),MONTH($B69)-1,1),Índices!$B$6:$F$500,VLOOKUP(D$54,$L$7:$M$9,2,FALSE)+1,FALSE)*C69</f>
        <v>13410.299874472341</v>
      </c>
      <c r="E69" s="209">
        <f ca="1">Encargos!D32</f>
        <v>6318.0313066943781</v>
      </c>
      <c r="F69" s="100">
        <f ca="1">VLOOKUP($B$79,Índices!$B$6:$F$500,VLOOKUP(F$54,$L$7:$M$9,2,FALSE)+1,FALSE)/VLOOKUP(DATE(YEAR($B69),MONTH($B69)-1,1),Índices!$B$6:$F$500,VLOOKUP(F$54,$L$7:$M$9,2,FALSE)+1,FALSE)*E69</f>
        <v>7001.8320572466473</v>
      </c>
      <c r="G69" s="209">
        <f ca="1">Encargos!E32</f>
        <v>960.28751971841848</v>
      </c>
      <c r="H69" s="227">
        <f ca="1">VLOOKUP($B$48,Índices!$B$6:$F$500,VLOOKUP(H$54,$L$7:$M$9,2,FALSE)+1,FALSE)/VLOOKUP(DATE(YEAR($B69),MONTH($B69)-1,1),Índices!$B$6:$F$500,VLOOKUP(H$54,$L$7:$M$9,2,FALSE)+1,FALSE)*G69</f>
        <v>1064.2194717544382</v>
      </c>
      <c r="I69" s="209">
        <f ca="1">Encargos!F32</f>
        <v>47382.504113824572</v>
      </c>
      <c r="J69" s="227">
        <f ca="1">VLOOKUP($B$48,Índices!$B$6:$F$500,VLOOKUP(J$54,$L$7:$M$9,2,FALSE)+1,FALSE)/VLOOKUP(DATE(YEAR($B69),MONTH($B69)-1,1),Índices!$B$6:$F$500,VLOOKUP(J$54,$L$7:$M$9,2,FALSE)+1,FALSE)*I69</f>
        <v>52510.714200683287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7088.3319710427895</v>
      </c>
      <c r="N69" s="227">
        <f ca="1">VLOOKUP($B$48,Índices!$B$6:$F$500,VLOOKUP(N$54,$L$7:$M$9,2,FALSE)+1,FALSE)/VLOOKUP(DATE(YEAR($B69),MONTH($B69)-1,1),Índices!$B$6:$F$500,VLOOKUP(N$54,$L$7:$M$9,2,FALSE)+1,FALSE)*M69</f>
        <v>7855.5023895918366</v>
      </c>
      <c r="O69" s="209">
        <f ca="1">Encargos!H32</f>
        <v>-11130.321509187925</v>
      </c>
      <c r="P69" s="227">
        <f ca="1">VLOOKUP($B$48,Índices!$B$6:$F$500,VLOOKUP(P$54,$L$7:$M$9,2,FALSE)+1,FALSE)/VLOOKUP(DATE(YEAR($B69),MONTH($B69)-1,1),Índices!$B$6:$F$500,VLOOKUP(P$54,$L$7:$M$9,2,FALSE)+1,FALSE)*O69</f>
        <v>-12334.956597622275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24274.94850648375</v>
      </c>
      <c r="D70" s="100">
        <f ca="1">VLOOKUP($B$79,Índices!$B$6:$F$500,VLOOKUP(D$54,$L$7:$M$9,2,FALSE)+1,FALSE)/VLOOKUP(DATE(YEAR($B70),MONTH($B70)-1,1),Índices!$B$6:$F$500,VLOOKUP(D$54,$L$7:$M$9,2,FALSE)+1,FALSE)*C70</f>
        <v>26670.199592512505</v>
      </c>
      <c r="E70" s="209">
        <f ca="1">Encargos!D33</f>
        <v>15765.498328456131</v>
      </c>
      <c r="F70" s="100">
        <f ca="1">VLOOKUP($B$79,Índices!$B$6:$F$500,VLOOKUP(F$54,$L$7:$M$9,2,FALSE)+1,FALSE)/VLOOKUP(DATE(YEAR($B70),MONTH($B70)-1,1),Índices!$B$6:$F$500,VLOOKUP(F$54,$L$7:$M$9,2,FALSE)+1,FALSE)*E70</f>
        <v>17321.107271681405</v>
      </c>
      <c r="G70" s="209">
        <f ca="1">Encargos!E33</f>
        <v>1763.1621428942599</v>
      </c>
      <c r="H70" s="227">
        <f ca="1">VLOOKUP($B$48,Índices!$B$6:$F$500,VLOOKUP(H$54,$L$7:$M$9,2,FALSE)+1,FALSE)/VLOOKUP(DATE(YEAR($B70),MONTH($B70)-1,1),Índices!$B$6:$F$500,VLOOKUP(H$54,$L$7:$M$9,2,FALSE)+1,FALSE)*G70</f>
        <v>1937.1363960830672</v>
      </c>
      <c r="I70" s="209">
        <f ca="1">Encargos!F33</f>
        <v>95053.421265158337</v>
      </c>
      <c r="J70" s="227">
        <f ca="1">VLOOKUP($B$48,Índices!$B$6:$F$500,VLOOKUP(J$54,$L$7:$M$9,2,FALSE)+1,FALSE)/VLOOKUP(DATE(YEAR($B70),MONTH($B70)-1,1),Índices!$B$6:$F$500,VLOOKUP(J$54,$L$7:$M$9,2,FALSE)+1,FALSE)*I70</f>
        <v>104432.50647538269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15126.520659520058</v>
      </c>
      <c r="N70" s="227">
        <f ca="1">VLOOKUP($B$48,Índices!$B$6:$F$500,VLOOKUP(N$54,$L$7:$M$9,2,FALSE)+1,FALSE)/VLOOKUP(DATE(YEAR($B70),MONTH($B70)-1,1),Índices!$B$6:$F$500,VLOOKUP(N$54,$L$7:$M$9,2,FALSE)+1,FALSE)*M70</f>
        <v>16619.080572793384</v>
      </c>
      <c r="O70" s="209">
        <f ca="1">Encargos!H33</f>
        <v>-18410.357512385061</v>
      </c>
      <c r="P70" s="227">
        <f ca="1">VLOOKUP($B$48,Índices!$B$6:$F$500,VLOOKUP(P$54,$L$7:$M$9,2,FALSE)+1,FALSE)/VLOOKUP(DATE(YEAR($B70),MONTH($B70)-1,1),Índices!$B$6:$F$500,VLOOKUP(P$54,$L$7:$M$9,2,FALSE)+1,FALSE)*O70</f>
        <v>-20226.939278312999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35590.274595794734</v>
      </c>
      <c r="D71" s="100">
        <f ca="1">VLOOKUP($B$79,Índices!$B$6:$F$500,VLOOKUP(D$54,$L$7:$M$9,2,FALSE)+1,FALSE)/VLOOKUP(DATE(YEAR($B71),MONTH($B71)-1,1),Índices!$B$6:$F$500,VLOOKUP(D$54,$L$7:$M$9,2,FALSE)+1,FALSE)*C71</f>
        <v>38653.660326479287</v>
      </c>
      <c r="E71" s="209">
        <f ca="1">Encargos!D34</f>
        <v>17865.417237604386</v>
      </c>
      <c r="F71" s="100">
        <f ca="1">VLOOKUP($B$79,Índices!$B$6:$F$500,VLOOKUP(F$54,$L$7:$M$9,2,FALSE)+1,FALSE)/VLOOKUP(DATE(YEAR($B71),MONTH($B71)-1,1),Índices!$B$6:$F$500,VLOOKUP(F$54,$L$7:$M$9,2,FALSE)+1,FALSE)*E71</f>
        <v>19403.159355639906</v>
      </c>
      <c r="G71" s="209">
        <f ca="1">Encargos!E34</f>
        <v>2695.4129864240313</v>
      </c>
      <c r="H71" s="227">
        <f ca="1">VLOOKUP($B$48,Índices!$B$6:$F$500,VLOOKUP(H$54,$L$7:$M$9,2,FALSE)+1,FALSE)/VLOOKUP(DATE(YEAR($B71),MONTH($B71)-1,1),Índices!$B$6:$F$500,VLOOKUP(H$54,$L$7:$M$9,2,FALSE)+1,FALSE)*G71</f>
        <v>2927.4170879571184</v>
      </c>
      <c r="I71" s="209">
        <f ca="1">Encargos!F34</f>
        <v>139360.84614940314</v>
      </c>
      <c r="J71" s="227">
        <f ca="1">VLOOKUP($B$48,Índices!$B$6:$F$500,VLOOKUP(J$54,$L$7:$M$9,2,FALSE)+1,FALSE)/VLOOKUP(DATE(YEAR($B71),MONTH($B71)-1,1),Índices!$B$6:$F$500,VLOOKUP(J$54,$L$7:$M$9,2,FALSE)+1,FALSE)*I71</f>
        <v>151356.14633628761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21709.739281584858</v>
      </c>
      <c r="N71" s="227">
        <f ca="1">VLOOKUP($B$48,Índices!$B$6:$F$500,VLOOKUP(N$54,$L$7:$M$9,2,FALSE)+1,FALSE)/VLOOKUP(DATE(YEAR($B71),MONTH($B71)-1,1),Índices!$B$6:$F$500,VLOOKUP(N$54,$L$7:$M$9,2,FALSE)+1,FALSE)*M71</f>
        <v>23578.376326041576</v>
      </c>
      <c r="O71" s="209">
        <f ca="1">Encargos!H34</f>
        <v>-33791.759163191193</v>
      </c>
      <c r="P71" s="227">
        <f ca="1">VLOOKUP($B$48,Índices!$B$6:$F$500,VLOOKUP(P$54,$L$7:$M$9,2,FALSE)+1,FALSE)/VLOOKUP(DATE(YEAR($B71),MONTH($B71)-1,1),Índices!$B$6:$F$500,VLOOKUP(P$54,$L$7:$M$9,2,FALSE)+1,FALSE)*O71</f>
        <v>-36700.340060948023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9253.497498601093</v>
      </c>
      <c r="D72" s="100">
        <f ca="1">VLOOKUP($B$79,Índices!$B$6:$F$500,VLOOKUP(D$54,$L$7:$M$9,2,FALSE)+1,FALSE)/VLOOKUP(DATE(YEAR($B72),MONTH($B72)-1,1),Índices!$B$6:$F$500,VLOOKUP(D$54,$L$7:$M$9,2,FALSE)+1,FALSE)*C72</f>
        <v>9925.9105370505113</v>
      </c>
      <c r="E72" s="209">
        <f ca="1">Encargos!D35</f>
        <v>13292.68325587461</v>
      </c>
      <c r="F72" s="100">
        <f ca="1">VLOOKUP($B$79,Índices!$B$6:$F$500,VLOOKUP(F$54,$L$7:$M$9,2,FALSE)+1,FALSE)/VLOOKUP(DATE(YEAR($B72),MONTH($B72)-1,1),Índices!$B$6:$F$500,VLOOKUP(F$54,$L$7:$M$9,2,FALSE)+1,FALSE)*E72</f>
        <v>14258.607063448944</v>
      </c>
      <c r="G72" s="209">
        <f ca="1">Encargos!E35</f>
        <v>638.73139262067707</v>
      </c>
      <c r="H72" s="227">
        <f ca="1">VLOOKUP($B$48,Índices!$B$6:$F$500,VLOOKUP(H$54,$L$7:$M$9,2,FALSE)+1,FALSE)/VLOOKUP(DATE(YEAR($B72),MONTH($B72)-1,1),Índices!$B$6:$F$500,VLOOKUP(H$54,$L$7:$M$9,2,FALSE)+1,FALSE)*G72</f>
        <v>685.14533681097123</v>
      </c>
      <c r="I72" s="209">
        <f ca="1">Encargos!F35</f>
        <v>36233.922213085229</v>
      </c>
      <c r="J72" s="227">
        <f ca="1">VLOOKUP($B$48,Índices!$B$6:$F$500,VLOOKUP(J$54,$L$7:$M$9,2,FALSE)+1,FALSE)/VLOOKUP(DATE(YEAR($B72),MONTH($B72)-1,1),Índices!$B$6:$F$500,VLOOKUP(J$54,$L$7:$M$9,2,FALSE)+1,FALSE)*I72</f>
        <v>38866.890097274292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5837.2416946460726</v>
      </c>
      <c r="N72" s="227">
        <f ca="1">VLOOKUP($B$48,Índices!$B$6:$F$500,VLOOKUP(N$54,$L$7:$M$9,2,FALSE)+1,FALSE)/VLOOKUP(DATE(YEAR($B72),MONTH($B72)-1,1),Índices!$B$6:$F$500,VLOOKUP(N$54,$L$7:$M$9,2,FALSE)+1,FALSE)*M72</f>
        <v>6261.4096835231394</v>
      </c>
      <c r="O72" s="209">
        <f ca="1">Encargos!H35</f>
        <v>-4414.4974062931142</v>
      </c>
      <c r="P72" s="227">
        <f ca="1">VLOOKUP($B$48,Índices!$B$6:$F$500,VLOOKUP(P$54,$L$7:$M$9,2,FALSE)+1,FALSE)/VLOOKUP(DATE(YEAR($B72),MONTH($B72)-1,1),Índices!$B$6:$F$500,VLOOKUP(P$54,$L$7:$M$9,2,FALSE)+1,FALSE)*O72</f>
        <v>-4735.2805063740698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6669.9713065808755</v>
      </c>
      <c r="D73" s="100">
        <f ca="1">VLOOKUP($B$79,Índices!$B$6:$F$500,VLOOKUP(D$54,$L$7:$M$9,2,FALSE)+1,FALSE)/VLOOKUP(DATE(YEAR($B73),MONTH($B73)-1,1),Índices!$B$6:$F$500,VLOOKUP(D$54,$L$7:$M$9,2,FALSE)+1,FALSE)*C73</f>
        <v>7087.315886687792</v>
      </c>
      <c r="E73" s="209">
        <f ca="1">Encargos!D36</f>
        <v>12272.299669453423</v>
      </c>
      <c r="F73" s="100">
        <f ca="1">VLOOKUP($B$79,Índices!$B$6:$F$500,VLOOKUP(F$54,$L$7:$M$9,2,FALSE)+1,FALSE)/VLOOKUP(DATE(YEAR($B73),MONTH($B73)-1,1),Índices!$B$6:$F$500,VLOOKUP(F$54,$L$7:$M$9,2,FALSE)+1,FALSE)*E73</f>
        <v>13040.185694306472</v>
      </c>
      <c r="G73" s="209">
        <f ca="1">Encargos!E36</f>
        <v>382.43325320992153</v>
      </c>
      <c r="H73" s="227">
        <f ca="1">VLOOKUP($B$48,Índices!$B$6:$F$500,VLOOKUP(H$54,$L$7:$M$9,2,FALSE)+1,FALSE)/VLOOKUP(DATE(YEAR($B73),MONTH($B73)-1,1),Índices!$B$6:$F$500,VLOOKUP(H$54,$L$7:$M$9,2,FALSE)+1,FALSE)*G73</f>
        <v>406.36235847044077</v>
      </c>
      <c r="I73" s="209">
        <f ca="1">Encargos!F36</f>
        <v>26117.608128461288</v>
      </c>
      <c r="J73" s="227">
        <f ca="1">VLOOKUP($B$48,Índices!$B$6:$F$500,VLOOKUP(J$54,$L$7:$M$9,2,FALSE)+1,FALSE)/VLOOKUP(DATE(YEAR($B73),MONTH($B73)-1,1),Índices!$B$6:$F$500,VLOOKUP(J$54,$L$7:$M$9,2,FALSE)+1,FALSE)*I73</f>
        <v>27751.804393595925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4561.0637436685502</v>
      </c>
      <c r="N73" s="227">
        <f ca="1">VLOOKUP($B$48,Índices!$B$6:$F$500,VLOOKUP(N$54,$L$7:$M$9,2,FALSE)+1,FALSE)/VLOOKUP(DATE(YEAR($B73),MONTH($B73)-1,1),Índices!$B$6:$F$500,VLOOKUP(N$54,$L$7:$M$9,2,FALSE)+1,FALSE)*M73</f>
        <v>4846.4525625176093</v>
      </c>
      <c r="O73" s="209">
        <f ca="1">Encargos!H36</f>
        <v>4089.4439227813273</v>
      </c>
      <c r="P73" s="227">
        <f ca="1">VLOOKUP($B$48,Índices!$B$6:$F$500,VLOOKUP(P$54,$L$7:$M$9,2,FALSE)+1,FALSE)/VLOOKUP(DATE(YEAR($B73),MONTH($B73)-1,1),Índices!$B$6:$F$500,VLOOKUP(P$54,$L$7:$M$9,2,FALSE)+1,FALSE)*O73</f>
        <v>4345.3231729874033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-102237.17939203326</v>
      </c>
      <c r="D74" s="100">
        <f ca="1">VLOOKUP($B$79,Índices!$B$6:$F$500,VLOOKUP(D$54,$L$7:$M$9,2,FALSE)+1,FALSE)/VLOOKUP(DATE(YEAR($B74),MONTH($B74)-1,1),Índices!$B$6:$F$500,VLOOKUP(D$54,$L$7:$M$9,2,FALSE)+1,FALSE)*C74</f>
        <v>-107846.9903102035</v>
      </c>
      <c r="E74" s="209">
        <f ca="1">Encargos!D37</f>
        <v>-7710.4393225746462</v>
      </c>
      <c r="F74" s="100">
        <f ca="1">VLOOKUP($B$79,Índices!$B$6:$F$500,VLOOKUP(F$54,$L$7:$M$9,2,FALSE)+1,FALSE)/VLOOKUP(DATE(YEAR($B74),MONTH($B74)-1,1),Índices!$B$6:$F$500,VLOOKUP(F$54,$L$7:$M$9,2,FALSE)+1,FALSE)*E74</f>
        <v>-8133.5154183050317</v>
      </c>
      <c r="G74" s="209">
        <f ca="1">Encargos!E37</f>
        <v>-7939.1244023000472</v>
      </c>
      <c r="H74" s="227">
        <f ca="1">VLOOKUP($B$48,Índices!$B$6:$F$500,VLOOKUP(H$54,$L$7:$M$9,2,FALSE)+1,FALSE)/VLOOKUP(DATE(YEAR($B74),MONTH($B74)-1,1),Índices!$B$6:$F$500,VLOOKUP(H$54,$L$7:$M$9,2,FALSE)+1,FALSE)*G74</f>
        <v>-8374.7485755957077</v>
      </c>
      <c r="I74" s="209">
        <f ca="1">Encargos!F37</f>
        <v>-400330.1460811391</v>
      </c>
      <c r="J74" s="227">
        <f ca="1">VLOOKUP($B$48,Índices!$B$6:$F$500,VLOOKUP(J$54,$L$7:$M$9,2,FALSE)+1,FALSE)/VLOOKUP(DATE(YEAR($B74),MONTH($B74)-1,1),Índices!$B$6:$F$500,VLOOKUP(J$54,$L$7:$M$9,2,FALSE)+1,FALSE)*I74</f>
        <v>-422296.48394094186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-61922.501035457884</v>
      </c>
      <c r="N74" s="227">
        <f ca="1">VLOOKUP($B$48,Índices!$B$6:$F$500,VLOOKUP(N$54,$L$7:$M$9,2,FALSE)+1,FALSE)/VLOOKUP(DATE(YEAR($B74),MONTH($B74)-1,1),Índices!$B$6:$F$500,VLOOKUP(N$54,$L$7:$M$9,2,FALSE)+1,FALSE)*M74</f>
        <v>-65320.223121051618</v>
      </c>
      <c r="O74" s="209">
        <f ca="1">Encargos!H37</f>
        <v>111620.12012165604</v>
      </c>
      <c r="P74" s="227">
        <f ca="1">VLOOKUP($B$48,Índices!$B$6:$F$500,VLOOKUP(P$54,$L$7:$M$9,2,FALSE)+1,FALSE)/VLOOKUP(DATE(YEAR($B74),MONTH($B74)-1,1),Índices!$B$6:$F$500,VLOOKUP(P$54,$L$7:$M$9,2,FALSE)+1,FALSE)*O74</f>
        <v>117744.77821834385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-90162.723680894589</v>
      </c>
      <c r="D75" s="100">
        <f ca="1">VLOOKUP($B$79,Índices!$B$6:$F$500,VLOOKUP(D$54,$L$7:$M$9,2,FALSE)+1,FALSE)/VLOOKUP(DATE(YEAR($B75),MONTH($B75)-1,1),Índices!$B$6:$F$500,VLOOKUP(D$54,$L$7:$M$9,2,FALSE)+1,FALSE)*C75</f>
        <v>-94599.139566511032</v>
      </c>
      <c r="E75" s="209">
        <f ca="1">Encargos!D38</f>
        <v>-6711.7138991475804</v>
      </c>
      <c r="F75" s="100">
        <f ca="1">VLOOKUP($B$79,Índices!$B$6:$F$500,VLOOKUP(F$54,$L$7:$M$9,2,FALSE)+1,FALSE)/VLOOKUP(DATE(YEAR($B75),MONTH($B75)-1,1),Índices!$B$6:$F$500,VLOOKUP(F$54,$L$7:$M$9,2,FALSE)+1,FALSE)*E75</f>
        <v>-7041.9607344946862</v>
      </c>
      <c r="G75" s="209">
        <f ca="1">Encargos!E38</f>
        <v>-7446.7022266774875</v>
      </c>
      <c r="H75" s="227">
        <f ca="1">VLOOKUP($B$48,Índices!$B$6:$F$500,VLOOKUP(H$54,$L$7:$M$9,2,FALSE)+1,FALSE)/VLOOKUP(DATE(YEAR($B75),MONTH($B75)-1,1),Índices!$B$6:$F$500,VLOOKUP(H$54,$L$7:$M$9,2,FALSE)+1,FALSE)*G75</f>
        <v>-7813.1138290023155</v>
      </c>
      <c r="I75" s="209">
        <f ca="1">Encargos!F38</f>
        <v>-353050.19716788526</v>
      </c>
      <c r="J75" s="227">
        <f ca="1">VLOOKUP($B$48,Índices!$B$6:$F$500,VLOOKUP(J$54,$L$7:$M$9,2,FALSE)+1,FALSE)/VLOOKUP(DATE(YEAR($B75),MONTH($B75)-1,1),Índices!$B$6:$F$500,VLOOKUP(J$54,$L$7:$M$9,2,FALSE)+1,FALSE)*I75</f>
        <v>-370421.87183777452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-53684.902276647103</v>
      </c>
      <c r="N75" s="227">
        <f ca="1">VLOOKUP($B$48,Índices!$B$6:$F$500,VLOOKUP(N$54,$L$7:$M$9,2,FALSE)+1,FALSE)/VLOOKUP(DATE(YEAR($B75),MONTH($B75)-1,1),Índices!$B$6:$F$500,VLOOKUP(N$54,$L$7:$M$9,2,FALSE)+1,FALSE)*M75</f>
        <v>-56326.443520685083</v>
      </c>
      <c r="O75" s="209">
        <f ca="1">Encargos!H38</f>
        <v>113741.11972928321</v>
      </c>
      <c r="P75" s="227">
        <f ca="1">VLOOKUP($B$48,Índices!$B$6:$F$500,VLOOKUP(P$54,$L$7:$M$9,2,FALSE)+1,FALSE)/VLOOKUP(DATE(YEAR($B75),MONTH($B75)-1,1),Índices!$B$6:$F$500,VLOOKUP(P$54,$L$7:$M$9,2,FALSE)+1,FALSE)*O75</f>
        <v>119337.69988807137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-39718.154923608527</v>
      </c>
      <c r="D76" s="100">
        <f ca="1">VLOOKUP($B$79,Índices!$B$6:$F$500,VLOOKUP(D$54,$L$7:$M$9,2,FALSE)+1,FALSE)/VLOOKUP(DATE(YEAR($B76),MONTH($B76)-1,1),Índices!$B$6:$F$500,VLOOKUP(D$54,$L$7:$M$9,2,FALSE)+1,FALSE)*C76</f>
        <v>-41255.760109598035</v>
      </c>
      <c r="E76" s="209">
        <f ca="1">Encargos!D39</f>
        <v>3246.074215036002</v>
      </c>
      <c r="F76" s="100">
        <f ca="1">VLOOKUP($B$79,Índices!$B$6:$F$500,VLOOKUP(F$54,$L$7:$M$9,2,FALSE)+1,FALSE)/VLOOKUP(DATE(YEAR($B76),MONTH($B76)-1,1),Índices!$B$6:$F$500,VLOOKUP(F$54,$L$7:$M$9,2,FALSE)+1,FALSE)*E76</f>
        <v>3371.739180005949</v>
      </c>
      <c r="G76" s="209">
        <f ca="1">Encargos!E39</f>
        <v>-3207.8503189931434</v>
      </c>
      <c r="H76" s="227">
        <f ca="1">VLOOKUP($B$48,Índices!$B$6:$F$500,VLOOKUP(H$54,$L$7:$M$9,2,FALSE)+1,FALSE)/VLOOKUP(DATE(YEAR($B76),MONTH($B76)-1,1),Índices!$B$6:$F$500,VLOOKUP(H$54,$L$7:$M$9,2,FALSE)+1,FALSE)*G76</f>
        <v>-3332.0355258802374</v>
      </c>
      <c r="I76" s="209">
        <f ca="1">Encargos!F39</f>
        <v>-155524.38806699519</v>
      </c>
      <c r="J76" s="227">
        <f ca="1">VLOOKUP($B$48,Índices!$B$6:$F$500,VLOOKUP(J$54,$L$7:$M$9,2,FALSE)+1,FALSE)/VLOOKUP(DATE(YEAR($B76),MONTH($B76)-1,1),Índices!$B$6:$F$500,VLOOKUP(J$54,$L$7:$M$9,2,FALSE)+1,FALSE)*I76</f>
        <v>-161545.18903571076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-24663.745528585161</v>
      </c>
      <c r="N76" s="227">
        <f ca="1">VLOOKUP($B$48,Índices!$B$6:$F$500,VLOOKUP(N$54,$L$7:$M$9,2,FALSE)+1,FALSE)/VLOOKUP(DATE(YEAR($B76),MONTH($B76)-1,1),Índices!$B$6:$F$500,VLOOKUP(N$54,$L$7:$M$9,2,FALSE)+1,FALSE)*M76</f>
        <v>-25618.550783351329</v>
      </c>
      <c r="O76" s="209">
        <f ca="1">Encargos!H39</f>
        <v>44966.03894356027</v>
      </c>
      <c r="P76" s="227">
        <f ca="1">VLOOKUP($B$48,Índices!$B$6:$F$500,VLOOKUP(P$54,$L$7:$M$9,2,FALSE)+1,FALSE)/VLOOKUP(DATE(YEAR($B76),MONTH($B76)-1,1),Índices!$B$6:$F$500,VLOOKUP(P$54,$L$7:$M$9,2,FALSE)+1,FALSE)*O76</f>
        <v>46706.8049687194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45038.802587168058</v>
      </c>
      <c r="D77" s="100">
        <f ca="1">VLOOKUP($B$79,Índices!$B$6:$F$500,VLOOKUP(D$54,$L$7:$M$9,2,FALSE)+1,FALSE)/VLOOKUP(DATE(YEAR($B77),MONTH($B77)-1,1),Índices!$B$6:$F$500,VLOOKUP(D$54,$L$7:$M$9,2,FALSE)+1,FALSE)*C77</f>
        <v>46036.570019358813</v>
      </c>
      <c r="E77" s="209">
        <f ca="1">Encargos!D40</f>
        <v>18840.977388175001</v>
      </c>
      <c r="F77" s="100">
        <f ca="1">VLOOKUP($B$79,Índices!$B$6:$F$500,VLOOKUP(F$54,$L$7:$M$9,2,FALSE)+1,FALSE)/VLOOKUP(DATE(YEAR($B77),MONTH($B77)-1,1),Índices!$B$6:$F$500,VLOOKUP(F$54,$L$7:$M$9,2,FALSE)+1,FALSE)*E77</f>
        <v>19258.371114222227</v>
      </c>
      <c r="G77" s="209">
        <f ca="1">Encargos!E40</f>
        <v>2902.8826803284392</v>
      </c>
      <c r="H77" s="227">
        <f ca="1">VLOOKUP($B$48,Índices!$B$6:$F$500,VLOOKUP(H$54,$L$7:$M$9,2,FALSE)+1,FALSE)/VLOOKUP(DATE(YEAR($B77),MONTH($B77)-1,1),Índices!$B$6:$F$500,VLOOKUP(H$54,$L$7:$M$9,2,FALSE)+1,FALSE)*G77</f>
        <v>2967.1917123524731</v>
      </c>
      <c r="I77" s="209">
        <f ca="1">Encargos!F40</f>
        <v>176358.44930640981</v>
      </c>
      <c r="J77" s="227">
        <f ca="1">VLOOKUP($B$48,Índices!$B$6:$F$500,VLOOKUP(J$54,$L$7:$M$9,2,FALSE)+1,FALSE)/VLOOKUP(DATE(YEAR($B77),MONTH($B77)-1,1),Índices!$B$6:$F$500,VLOOKUP(J$54,$L$7:$M$9,2,FALSE)+1,FALSE)*I77</f>
        <v>180265.40746252504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28847.255919317889</v>
      </c>
      <c r="N77" s="227">
        <f ca="1">VLOOKUP($B$48,Índices!$B$6:$F$500,VLOOKUP(N$54,$L$7:$M$9,2,FALSE)+1,FALSE)/VLOOKUP(DATE(YEAR($B77),MONTH($B77)-1,1),Índices!$B$6:$F$500,VLOOKUP(N$54,$L$7:$M$9,2,FALSE)+1,FALSE)*M77</f>
        <v>29486.323807693941</v>
      </c>
      <c r="O77" s="209">
        <f ca="1">Encargos!H40</f>
        <v>-21992.742872737464</v>
      </c>
      <c r="P77" s="227">
        <f ca="1">VLOOKUP($B$48,Índices!$B$6:$F$500,VLOOKUP(P$54,$L$7:$M$9,2,FALSE)+1,FALSE)/VLOOKUP(DATE(YEAR($B77),MONTH($B77)-1,1),Índices!$B$6:$F$500,VLOOKUP(P$54,$L$7:$M$9,2,FALSE)+1,FALSE)*O77</f>
        <v>-22479.959257775525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51160.378632558277</v>
      </c>
      <c r="D78" s="100">
        <f ca="1">VLOOKUP($B$79,Índices!$B$6:$F$500,VLOOKUP(D$54,$L$7:$M$9,2,FALSE)+1,FALSE)/VLOOKUP(DATE(YEAR($B78),MONTH($B78)-1,1),Índices!$B$6:$F$500,VLOOKUP(D$54,$L$7:$M$9,2,FALSE)+1,FALSE)*C78</f>
        <v>51745.251421772198</v>
      </c>
      <c r="E78" s="209">
        <f ca="1">Encargos!D41</f>
        <v>19814.096770835153</v>
      </c>
      <c r="F78" s="100">
        <f ca="1">VLOOKUP($B$79,Índices!$B$6:$F$500,VLOOKUP(F$54,$L$7:$M$9,2,FALSE)+1,FALSE)/VLOOKUP(DATE(YEAR($B78),MONTH($B78)-1,1),Índices!$B$6:$F$500,VLOOKUP(F$54,$L$7:$M$9,2,FALSE)+1,FALSE)*E78</f>
        <v>20040.614368121616</v>
      </c>
      <c r="G78" s="209">
        <f ca="1">Encargos!E41</f>
        <v>3503.5668362786819</v>
      </c>
      <c r="H78" s="227">
        <f ca="1">VLOOKUP($B$48,Índices!$B$6:$F$500,VLOOKUP(H$54,$L$7:$M$9,2,FALSE)+1,FALSE)/VLOOKUP(DATE(YEAR($B78),MONTH($B78)-1,1),Índices!$B$6:$F$500,VLOOKUP(H$54,$L$7:$M$9,2,FALSE)+1,FALSE)*G78</f>
        <v>3543.6201150561701</v>
      </c>
      <c r="I78" s="209">
        <f ca="1">Encargos!F41</f>
        <v>200328.70598867536</v>
      </c>
      <c r="J78" s="227">
        <f ca="1">VLOOKUP($B$48,Índices!$B$6:$F$500,VLOOKUP(J$54,$L$7:$M$9,2,FALSE)+1,FALSE)/VLOOKUP(DATE(YEAR($B78),MONTH($B78)-1,1),Índices!$B$6:$F$500,VLOOKUP(J$54,$L$7:$M$9,2,FALSE)+1,FALSE)*I78</f>
        <v>202618.89249946573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31931.143792102695</v>
      </c>
      <c r="N78" s="227">
        <f ca="1">VLOOKUP($B$48,Índices!$B$6:$F$500,VLOOKUP(N$54,$L$7:$M$9,2,FALSE)+1,FALSE)/VLOOKUP(DATE(YEAR($B78),MONTH($B78)-1,1),Índices!$B$6:$F$500,VLOOKUP(N$54,$L$7:$M$9,2,FALSE)+1,FALSE)*M78</f>
        <v>32296.185209536474</v>
      </c>
      <c r="O78" s="209">
        <f ca="1">Encargos!H41</f>
        <v>-33928.31539747701</v>
      </c>
      <c r="P78" s="227">
        <f ca="1">VLOOKUP($B$48,Índices!$B$6:$F$500,VLOOKUP(P$54,$L$7:$M$9,2,FALSE)+1,FALSE)/VLOOKUP(DATE(YEAR($B78),MONTH($B78)-1,1),Índices!$B$6:$F$500,VLOOKUP(P$54,$L$7:$M$9,2,FALSE)+1,FALSE)*O78</f>
        <v>-34316.188767265237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13141.252919405815</v>
      </c>
      <c r="D79" s="100">
        <f ca="1">VLOOKUP($B$79,Índices!$B$6:$F$500,VLOOKUP(D$54,$L$7:$M$9,2,FALSE)+1,FALSE)/VLOOKUP(DATE(YEAR($B79),MONTH($B79)-1,1),Índices!$B$6:$F$500,VLOOKUP(D$54,$L$7:$M$9,2,FALSE)+1,FALSE)*C79</f>
        <v>13229.306904190635</v>
      </c>
      <c r="E79" s="209">
        <f ca="1">Encargos!D42</f>
        <v>13492.585941689787</v>
      </c>
      <c r="F79" s="100">
        <f ca="1">VLOOKUP($B$79,Índices!$B$6:$F$500,VLOOKUP(F$54,$L$7:$M$9,2,FALSE)+1,FALSE)/VLOOKUP(DATE(YEAR($B79),MONTH($B79)-1,1),Índices!$B$6:$F$500,VLOOKUP(F$54,$L$7:$M$9,2,FALSE)+1,FALSE)*E79</f>
        <v>13582.994060649509</v>
      </c>
      <c r="G79" s="209">
        <f ca="1">Encargos!E42</f>
        <v>641.61012261184806</v>
      </c>
      <c r="H79" s="227">
        <f ca="1">VLOOKUP($B$48,Índices!$B$6:$F$500,VLOOKUP(H$54,$L$7:$M$9,2,FALSE)+1,FALSE)/VLOOKUP(DATE(YEAR($B79),MONTH($B79)-1,1),Índices!$B$6:$F$500,VLOOKUP(H$54,$L$7:$M$9,2,FALSE)+1,FALSE)*G79</f>
        <v>645.90928101940153</v>
      </c>
      <c r="I79" s="209">
        <f ca="1">Encargos!F42</f>
        <v>51457.20697889966</v>
      </c>
      <c r="J79" s="227">
        <f ca="1">VLOOKUP($B$48,Índices!$B$6:$F$500,VLOOKUP(J$54,$L$7:$M$9,2,FALSE)+1,FALSE)/VLOOKUP(DATE(YEAR($B79),MONTH($B79)-1,1),Índices!$B$6:$F$500,VLOOKUP(J$54,$L$7:$M$9,2,FALSE)+1,FALSE)*I79</f>
        <v>51801.999986703224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8724.0734575421666</v>
      </c>
      <c r="N79" s="227">
        <f ca="1">VLOOKUP($B$48,Índices!$B$6:$F$500,VLOOKUP(N$54,$L$7:$M$9,2,FALSE)+1,FALSE)/VLOOKUP(DATE(YEAR($B79),MONTH($B79)-1,1),Índices!$B$6:$F$500,VLOOKUP(N$54,$L$7:$M$9,2,FALSE)+1,FALSE)*M79</f>
        <v>8782.5297886243934</v>
      </c>
      <c r="O79" s="209">
        <f ca="1">Encargos!H42</f>
        <v>506.69090317521477</v>
      </c>
      <c r="P79" s="227">
        <f ca="1">VLOOKUP($B$48,Índices!$B$6:$F$500,VLOOKUP(P$54,$L$7:$M$9,2,FALSE)+1,FALSE)/VLOOKUP(DATE(YEAR($B79),MONTH($B79)-1,1),Índices!$B$6:$F$500,VLOOKUP(P$54,$L$7:$M$9,2,FALSE)+1,FALSE)*O79</f>
        <v>510.08602488487395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500">
        <f ca="1">SUM(C56:C79)</f>
        <v>-19027.772965112294</v>
      </c>
      <c r="D80" s="1501">
        <f ca="1">SUM(D56:D79)</f>
        <v>-19197.544475939561</v>
      </c>
      <c r="E80" s="1500">
        <f ca="1">SUM(E56:E79)</f>
        <v>113554.69299313928</v>
      </c>
      <c r="F80" s="1501">
        <f ca="1">SUM(F56:F79)</f>
        <v>120012.62057348438</v>
      </c>
      <c r="G80" s="1500">
        <f ca="1">SUM(G55:G79)</f>
        <v>-3981.9375856682818</v>
      </c>
      <c r="H80" s="1500">
        <f t="shared" ref="H80:N80" ca="1" si="7">SUM(H55:H79)</f>
        <v>-4085.6766435756399</v>
      </c>
      <c r="I80" s="1500">
        <f t="shared" ca="1" si="7"/>
        <v>-74507.05483095767</v>
      </c>
      <c r="J80" s="1500">
        <f t="shared" ca="1" si="7"/>
        <v>-75171.829173659964</v>
      </c>
      <c r="K80" s="1500">
        <f t="shared" ca="1" si="7"/>
        <v>0</v>
      </c>
      <c r="L80" s="1500">
        <f t="shared" ca="1" si="7"/>
        <v>0</v>
      </c>
      <c r="M80" s="1500">
        <f t="shared" ca="1" si="7"/>
        <v>-6463.258401503379</v>
      </c>
      <c r="N80" s="1500">
        <f t="shared" ca="1" si="7"/>
        <v>-6370.2280368324864</v>
      </c>
      <c r="O80" s="1500">
        <f t="shared" ref="O80:R80" ca="1" si="8">SUM(O55:O79)</f>
        <v>142106.4466312654</v>
      </c>
      <c r="P80" s="1500">
        <f t="shared" ca="1" si="8"/>
        <v>147614.52816902971</v>
      </c>
      <c r="Q80" s="1500">
        <f t="shared" ca="1" si="8"/>
        <v>0</v>
      </c>
      <c r="R80" s="1500">
        <f t="shared" ca="1" si="8"/>
        <v>0</v>
      </c>
      <c r="S80" s="1500">
        <f t="shared" ref="S80:X80" si="9">SUM(S55:S79)</f>
        <v>0</v>
      </c>
      <c r="T80" s="1500">
        <f t="shared" si="9"/>
        <v>0</v>
      </c>
      <c r="U80" s="1500">
        <f t="shared" si="9"/>
        <v>0</v>
      </c>
      <c r="V80" s="1503">
        <f t="shared" si="9"/>
        <v>0</v>
      </c>
      <c r="W80" s="1500">
        <f t="shared" si="9"/>
        <v>0</v>
      </c>
      <c r="X80" s="1503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1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D11:E11 G11:J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1490</v>
      </c>
      <c r="C1" s="9" t="s">
        <v>1491</v>
      </c>
      <c r="D1" s="9" t="s">
        <v>1492</v>
      </c>
      <c r="E1" s="235" t="s">
        <v>1493</v>
      </c>
      <c r="F1" s="235" t="s">
        <v>1494</v>
      </c>
      <c r="G1" s="235" t="s">
        <v>1495</v>
      </c>
      <c r="H1" s="235" t="s">
        <v>1496</v>
      </c>
      <c r="I1" s="9" t="s">
        <v>233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1041</v>
      </c>
      <c r="O1" s="9" t="s">
        <v>955</v>
      </c>
      <c r="P1" s="9" t="s">
        <v>1501</v>
      </c>
      <c r="Q1" s="8" t="s">
        <v>949</v>
      </c>
      <c r="R1" s="17" t="s">
        <v>1502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1491</v>
      </c>
      <c r="B1" t="s">
        <v>1040</v>
      </c>
      <c r="C1" t="s">
        <v>1503</v>
      </c>
      <c r="D1" t="s">
        <v>959</v>
      </c>
      <c r="E1" t="s">
        <v>1504</v>
      </c>
      <c r="F1" t="s">
        <v>58</v>
      </c>
      <c r="G1" t="s">
        <v>588</v>
      </c>
      <c r="H1" t="s">
        <v>1041</v>
      </c>
      <c r="I1" t="s">
        <v>120</v>
      </c>
      <c r="J1" t="s">
        <v>1495</v>
      </c>
      <c r="K1" t="s">
        <v>1505</v>
      </c>
      <c r="L1" t="s">
        <v>1506</v>
      </c>
      <c r="M1" t="s">
        <v>1507</v>
      </c>
      <c r="N1" t="s">
        <v>1051</v>
      </c>
      <c r="O1" t="s">
        <v>1508</v>
      </c>
      <c r="P1" t="s">
        <v>1509</v>
      </c>
      <c r="Q1" t="s">
        <v>1510</v>
      </c>
      <c r="R1" t="s">
        <v>1511</v>
      </c>
      <c r="S1" t="s">
        <v>233</v>
      </c>
      <c r="T1" t="s">
        <v>1512</v>
      </c>
      <c r="U1" t="s">
        <v>1513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92" activePane="bottomRight" state="frozen"/>
      <selection pane="topRight" activeCell="B1" sqref="B1"/>
      <selection pane="bottomLeft" activeCell="A7" sqref="A7"/>
      <selection pane="bottomRight" activeCell="H404" sqref="H404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5.7109375" style="1" bestFit="1" customWidth="1"/>
    <col min="9" max="9" width="12.85546875" style="1" bestFit="1" customWidth="1"/>
    <col min="10" max="16384" width="9.140625" style="1"/>
  </cols>
  <sheetData>
    <row r="2" spans="2:15" ht="15">
      <c r="B2" s="1504" t="s">
        <v>1514</v>
      </c>
      <c r="D2" s="3" t="s">
        <v>1515</v>
      </c>
    </row>
    <row r="3" spans="2:15">
      <c r="B3" s="5"/>
    </row>
    <row r="6" spans="2:15">
      <c r="B6" s="1505" t="s">
        <v>1516</v>
      </c>
      <c r="C6" s="1505" t="s">
        <v>1517</v>
      </c>
      <c r="D6" s="1505" t="s">
        <v>849</v>
      </c>
      <c r="E6" s="6" t="s">
        <v>1518</v>
      </c>
      <c r="F6" s="6" t="s">
        <v>1519</v>
      </c>
      <c r="G6" s="1506" t="s">
        <v>1520</v>
      </c>
      <c r="K6" s="1619" t="s">
        <v>2299</v>
      </c>
      <c r="L6" s="1620" t="s">
        <v>37</v>
      </c>
      <c r="M6" s="1621" t="s">
        <v>2300</v>
      </c>
      <c r="N6" s="1620" t="s">
        <v>1423</v>
      </c>
      <c r="O6" s="1622" t="s">
        <v>2301</v>
      </c>
    </row>
    <row r="7" spans="2:15">
      <c r="B7" s="1507">
        <v>32629</v>
      </c>
      <c r="C7" s="1508">
        <v>2.5789999999999999E-5</v>
      </c>
      <c r="D7" s="1508">
        <v>3.4132578959999998E-4</v>
      </c>
      <c r="E7" s="1508">
        <v>0</v>
      </c>
      <c r="F7" s="1508">
        <v>1</v>
      </c>
      <c r="K7" s="1623">
        <v>42064</v>
      </c>
      <c r="L7" s="1624"/>
      <c r="M7" s="1625">
        <v>0</v>
      </c>
      <c r="N7" s="1626">
        <v>1</v>
      </c>
      <c r="O7" s="1626">
        <v>1</v>
      </c>
    </row>
    <row r="8" spans="2:15">
      <c r="B8" s="1507">
        <v>32660</v>
      </c>
      <c r="C8" s="1508">
        <v>3.0859999999999999E-5</v>
      </c>
      <c r="D8" s="1508">
        <v>4.3911559890000003E-4</v>
      </c>
      <c r="E8" s="1508">
        <v>0</v>
      </c>
      <c r="F8" s="1508">
        <v>1</v>
      </c>
      <c r="G8" s="10"/>
      <c r="K8" s="1623">
        <v>42065</v>
      </c>
      <c r="L8" s="1624" t="s">
        <v>2302</v>
      </c>
      <c r="M8" s="1625">
        <v>4.5512999999999998E-2</v>
      </c>
      <c r="N8" s="1626">
        <v>1.00045513</v>
      </c>
      <c r="O8" s="1626">
        <v>1.00045513</v>
      </c>
    </row>
    <row r="9" spans="2:15">
      <c r="B9" s="1507">
        <v>32690</v>
      </c>
      <c r="C9" s="1508">
        <v>4.1940000000000002E-5</v>
      </c>
      <c r="D9" s="1508">
        <v>5.6092617030000002E-4</v>
      </c>
      <c r="E9" s="1508">
        <v>0</v>
      </c>
      <c r="F9" s="1508">
        <v>1</v>
      </c>
      <c r="K9" s="1623">
        <v>42066</v>
      </c>
      <c r="L9" s="1624" t="s">
        <v>2302</v>
      </c>
      <c r="M9" s="1625">
        <v>4.5512999999999998E-2</v>
      </c>
      <c r="N9" s="1626">
        <v>1.0009104671433169</v>
      </c>
      <c r="O9" s="1626">
        <v>1.0009104671433169</v>
      </c>
    </row>
    <row r="10" spans="2:15">
      <c r="B10" s="1507">
        <v>32721</v>
      </c>
      <c r="C10" s="1508">
        <v>5.7429999999999997E-5</v>
      </c>
      <c r="D10" s="1508">
        <v>7.5001448160000002E-4</v>
      </c>
      <c r="E10" s="1508">
        <v>0</v>
      </c>
      <c r="F10" s="1508">
        <v>1</v>
      </c>
      <c r="K10" s="1623">
        <v>42067</v>
      </c>
      <c r="L10" s="1624" t="s">
        <v>2302</v>
      </c>
      <c r="M10" s="1625">
        <v>4.5512999999999998E-2</v>
      </c>
      <c r="N10" s="1626">
        <v>1.0013660115242278</v>
      </c>
      <c r="O10" s="1626">
        <v>1.0013660115242278</v>
      </c>
    </row>
    <row r="11" spans="2:15">
      <c r="B11" s="1507">
        <v>32752</v>
      </c>
      <c r="C11" s="1508">
        <v>8.0350000000000001E-5</v>
      </c>
      <c r="D11" s="1508">
        <v>1.031719911E-3</v>
      </c>
      <c r="E11" s="1508">
        <v>0</v>
      </c>
      <c r="F11" s="1508">
        <v>1</v>
      </c>
      <c r="K11" s="1623">
        <v>42068</v>
      </c>
      <c r="L11" s="1624" t="s">
        <v>2302</v>
      </c>
      <c r="M11" s="1625">
        <v>4.7279000000000002E-2</v>
      </c>
      <c r="N11" s="1626">
        <v>1.0018394473608161</v>
      </c>
      <c r="O11" s="1626">
        <v>1.0018394473608161</v>
      </c>
    </row>
    <row r="12" spans="2:15">
      <c r="B12" s="1507">
        <v>32782</v>
      </c>
      <c r="C12" s="1508">
        <v>1.13E-4</v>
      </c>
      <c r="D12" s="1508">
        <v>1.4420348808E-3</v>
      </c>
      <c r="E12" s="1508">
        <v>0</v>
      </c>
      <c r="F12" s="1508">
        <v>1</v>
      </c>
      <c r="K12" s="1623">
        <v>42069</v>
      </c>
      <c r="L12" s="1624" t="s">
        <v>2302</v>
      </c>
      <c r="M12" s="1625">
        <v>4.7279000000000002E-2</v>
      </c>
      <c r="N12" s="1626">
        <v>1.0023131070331337</v>
      </c>
      <c r="O12" s="1626">
        <v>1.0023131070331337</v>
      </c>
    </row>
    <row r="13" spans="2:15">
      <c r="B13" s="1507">
        <v>32813</v>
      </c>
      <c r="C13" s="1508">
        <v>1.5873999999999999E-4</v>
      </c>
      <c r="D13" s="1508">
        <v>2.1316159802999999E-3</v>
      </c>
      <c r="E13" s="1508">
        <v>0</v>
      </c>
      <c r="F13" s="1508">
        <v>1</v>
      </c>
      <c r="K13" s="1623">
        <v>42070</v>
      </c>
      <c r="L13" s="1624"/>
      <c r="M13" s="1625">
        <v>0</v>
      </c>
      <c r="N13" s="1626">
        <v>1.0023131070331337</v>
      </c>
      <c r="O13" s="1626">
        <v>1.0023131070331337</v>
      </c>
    </row>
    <row r="14" spans="2:15">
      <c r="B14" s="1507">
        <v>32843</v>
      </c>
      <c r="C14" s="1508">
        <v>2.3356000000000001E-4</v>
      </c>
      <c r="D14" s="1508">
        <v>3.2293981927000001E-3</v>
      </c>
      <c r="E14" s="1508">
        <v>0</v>
      </c>
      <c r="F14" s="1508">
        <v>1</v>
      </c>
      <c r="K14" s="1623">
        <v>42071</v>
      </c>
      <c r="L14" s="1624"/>
      <c r="M14" s="1625">
        <v>0</v>
      </c>
      <c r="N14" s="1626">
        <v>1.0023131070331337</v>
      </c>
      <c r="O14" s="1626">
        <v>1.0023131070331337</v>
      </c>
    </row>
    <row r="15" spans="2:15">
      <c r="B15" s="1507">
        <v>32874</v>
      </c>
      <c r="C15" s="1508">
        <v>3.7711E-4</v>
      </c>
      <c r="D15" s="1508">
        <v>5.4108567453999999E-3</v>
      </c>
      <c r="E15" s="1508">
        <v>0</v>
      </c>
      <c r="F15" s="1508">
        <v>1</v>
      </c>
      <c r="K15" s="1623">
        <v>42072</v>
      </c>
      <c r="L15" s="1624" t="s">
        <v>2302</v>
      </c>
      <c r="M15" s="1625">
        <v>4.7279000000000002E-2</v>
      </c>
      <c r="N15" s="1626">
        <v>1.0027869906470077</v>
      </c>
      <c r="O15" s="1626">
        <v>1.0027869906470077</v>
      </c>
    </row>
    <row r="16" spans="2:15">
      <c r="B16" s="1507">
        <v>32905</v>
      </c>
      <c r="C16" s="1508">
        <v>6.8364999999999995E-4</v>
      </c>
      <c r="D16" s="1508">
        <v>9.5084984832999996E-3</v>
      </c>
      <c r="E16" s="1508">
        <v>0</v>
      </c>
      <c r="F16" s="1508">
        <v>1</v>
      </c>
      <c r="K16" s="1623">
        <v>42073</v>
      </c>
      <c r="L16" s="1624" t="s">
        <v>2302</v>
      </c>
      <c r="M16" s="1625">
        <v>4.7279000000000002E-2</v>
      </c>
      <c r="N16" s="1626">
        <v>1.0032610983083157</v>
      </c>
      <c r="O16" s="1626">
        <v>1.0032610983083157</v>
      </c>
    </row>
    <row r="17" spans="2:15">
      <c r="B17" s="1507">
        <v>32933</v>
      </c>
      <c r="C17" s="1508">
        <v>1.2575500000000001E-3</v>
      </c>
      <c r="D17" s="1508">
        <v>1.7342550351000002E-2</v>
      </c>
      <c r="E17" s="1508">
        <v>0</v>
      </c>
      <c r="F17" s="1508">
        <v>1</v>
      </c>
      <c r="K17" s="1623">
        <v>42074</v>
      </c>
      <c r="L17" s="1624" t="s">
        <v>2302</v>
      </c>
      <c r="M17" s="1625">
        <v>4.7279000000000002E-2</v>
      </c>
      <c r="N17" s="1626">
        <v>1.0037354301229848</v>
      </c>
      <c r="O17" s="1626">
        <v>1.0037354301229848</v>
      </c>
    </row>
    <row r="18" spans="2:15">
      <c r="B18" s="1507">
        <v>32964</v>
      </c>
      <c r="C18" s="1508">
        <v>1.61407E-3</v>
      </c>
      <c r="D18" s="1508">
        <v>2.00341140678E-2</v>
      </c>
      <c r="E18" s="1508">
        <v>0</v>
      </c>
      <c r="F18" s="1508">
        <v>1</v>
      </c>
      <c r="K18" s="1623">
        <v>42075</v>
      </c>
      <c r="L18" s="1624" t="s">
        <v>2302</v>
      </c>
      <c r="M18" s="1625">
        <v>4.7279000000000002E-2</v>
      </c>
      <c r="N18" s="1626">
        <v>1.0042099861969926</v>
      </c>
      <c r="O18" s="1626">
        <v>1.0042099861969926</v>
      </c>
    </row>
    <row r="19" spans="2:15">
      <c r="B19" s="1507">
        <v>32994</v>
      </c>
      <c r="C19" s="1508">
        <v>1.70973E-3</v>
      </c>
      <c r="D19" s="1508">
        <v>2.1554703244099999E-2</v>
      </c>
      <c r="E19" s="1508">
        <v>0</v>
      </c>
      <c r="F19" s="1508">
        <v>1</v>
      </c>
      <c r="K19" s="1623">
        <v>42076</v>
      </c>
      <c r="L19" s="1624" t="s">
        <v>2302</v>
      </c>
      <c r="M19" s="1625">
        <v>4.7279000000000002E-2</v>
      </c>
      <c r="N19" s="1626">
        <v>1.0046847666363665</v>
      </c>
      <c r="O19" s="1626">
        <v>1.0046847666363665</v>
      </c>
    </row>
    <row r="20" spans="2:15">
      <c r="B20" s="1507">
        <v>33025</v>
      </c>
      <c r="C20" s="1508">
        <v>1.87962E-3</v>
      </c>
      <c r="D20" s="1508">
        <v>2.4087380951899998E-2</v>
      </c>
      <c r="E20" s="1508">
        <v>0</v>
      </c>
      <c r="F20" s="1508">
        <v>1</v>
      </c>
      <c r="K20" s="1623">
        <v>42077</v>
      </c>
      <c r="L20" s="1624"/>
      <c r="M20" s="1625">
        <v>0</v>
      </c>
      <c r="N20" s="1626">
        <v>1.0046847666363665</v>
      </c>
      <c r="O20" s="1626">
        <v>1.0046847666363665</v>
      </c>
    </row>
    <row r="21" spans="2:15">
      <c r="B21" s="1507">
        <v>33055</v>
      </c>
      <c r="C21" s="1508">
        <v>2.10539E-3</v>
      </c>
      <c r="D21" s="1508">
        <v>2.7199470492E-2</v>
      </c>
      <c r="E21" s="1508">
        <v>0</v>
      </c>
      <c r="F21" s="1508">
        <v>1</v>
      </c>
      <c r="K21" s="1623">
        <v>42078</v>
      </c>
      <c r="L21" s="1624"/>
      <c r="M21" s="1625">
        <v>0</v>
      </c>
      <c r="N21" s="1626">
        <v>1.0046847666363665</v>
      </c>
      <c r="O21" s="1626">
        <v>1.0046847666363665</v>
      </c>
    </row>
    <row r="22" spans="2:15">
      <c r="B22" s="1507">
        <v>33086</v>
      </c>
      <c r="C22" s="1508">
        <v>2.39215E-3</v>
      </c>
      <c r="D22" s="1508">
        <v>3.0702762318699998E-2</v>
      </c>
      <c r="E22" s="1508">
        <v>0</v>
      </c>
      <c r="F22" s="1508">
        <v>1</v>
      </c>
      <c r="K22" s="1623">
        <v>42079</v>
      </c>
      <c r="L22" s="1624" t="s">
        <v>2302</v>
      </c>
      <c r="M22" s="1625">
        <v>4.7279000000000002E-2</v>
      </c>
      <c r="N22" s="1626">
        <v>1.0051597715471845</v>
      </c>
      <c r="O22" s="1626">
        <v>1.0051597715471845</v>
      </c>
    </row>
    <row r="23" spans="2:15">
      <c r="B23" s="1507">
        <v>33117</v>
      </c>
      <c r="C23" s="1508">
        <v>2.6984000000000001E-3</v>
      </c>
      <c r="D23" s="1508">
        <v>3.51270304097E-2</v>
      </c>
      <c r="E23" s="1508">
        <v>0</v>
      </c>
      <c r="F23" s="1508">
        <v>1</v>
      </c>
      <c r="K23" s="1623">
        <v>42080</v>
      </c>
      <c r="L23" s="1624" t="s">
        <v>2302</v>
      </c>
      <c r="M23" s="1625">
        <v>4.7279000000000002E-2</v>
      </c>
      <c r="N23" s="1626">
        <v>1.0056350010355741</v>
      </c>
      <c r="O23" s="1626">
        <v>1.0056350010355741</v>
      </c>
    </row>
    <row r="24" spans="2:15">
      <c r="B24" s="1507">
        <v>33147</v>
      </c>
      <c r="C24" s="1508">
        <v>3.0483699999999999E-3</v>
      </c>
      <c r="D24" s="1508">
        <v>4.0171272055300002E-2</v>
      </c>
      <c r="E24" s="1508">
        <v>0</v>
      </c>
      <c r="F24" s="1508">
        <v>1</v>
      </c>
      <c r="K24" s="1623">
        <v>42081</v>
      </c>
      <c r="L24" s="1624" t="s">
        <v>2302</v>
      </c>
      <c r="M24" s="1625">
        <v>4.7279000000000002E-2</v>
      </c>
      <c r="N24" s="1626">
        <v>1.0061104552077136</v>
      </c>
      <c r="O24" s="1626">
        <v>1.0061104552077136</v>
      </c>
    </row>
    <row r="25" spans="2:15">
      <c r="B25" s="1507">
        <v>33178</v>
      </c>
      <c r="C25" s="1508">
        <v>3.5622900000000001E-3</v>
      </c>
      <c r="D25" s="1508">
        <v>4.6924062784199999E-2</v>
      </c>
      <c r="E25" s="1508">
        <v>0</v>
      </c>
      <c r="F25" s="1508">
        <v>1</v>
      </c>
      <c r="K25" s="1623">
        <v>42082</v>
      </c>
      <c r="L25" s="1624" t="s">
        <v>2302</v>
      </c>
      <c r="M25" s="1625">
        <v>4.7279000000000002E-2</v>
      </c>
      <c r="N25" s="1626">
        <v>1.0065861341698312</v>
      </c>
      <c r="O25" s="1626">
        <v>1.0065861341698312</v>
      </c>
    </row>
    <row r="26" spans="2:15">
      <c r="B26" s="1507">
        <v>33208</v>
      </c>
      <c r="C26" s="1508">
        <v>4.2034799999999999E-3</v>
      </c>
      <c r="D26" s="1508">
        <v>5.5576860018600002E-2</v>
      </c>
      <c r="E26" s="1508">
        <v>0</v>
      </c>
      <c r="F26" s="1508">
        <v>1</v>
      </c>
      <c r="K26" s="1623">
        <v>42083</v>
      </c>
      <c r="L26" s="1624" t="s">
        <v>2302</v>
      </c>
      <c r="M26" s="1625">
        <v>4.7279000000000002E-2</v>
      </c>
      <c r="N26" s="1626">
        <v>1.0070620380282054</v>
      </c>
      <c r="O26" s="1626">
        <v>1.0070620380282054</v>
      </c>
    </row>
    <row r="27" spans="2:15">
      <c r="B27" s="1507">
        <v>33239</v>
      </c>
      <c r="C27" s="1508">
        <v>4.9475200000000004E-3</v>
      </c>
      <c r="D27" s="1508">
        <v>6.7109058472399993E-2</v>
      </c>
      <c r="E27" s="1508">
        <v>0</v>
      </c>
      <c r="F27" s="1508">
        <v>1</v>
      </c>
      <c r="K27" s="1623">
        <v>42084</v>
      </c>
      <c r="L27" s="1624"/>
      <c r="M27" s="1625">
        <v>0</v>
      </c>
      <c r="N27" s="1626">
        <v>1.0070620380282054</v>
      </c>
      <c r="O27" s="1626">
        <v>1.0070620380282054</v>
      </c>
    </row>
    <row r="28" spans="2:15">
      <c r="B28" s="1507">
        <v>33270</v>
      </c>
      <c r="C28" s="1508">
        <v>5.9873900000000004E-3</v>
      </c>
      <c r="D28" s="1508">
        <v>8.1014388849100005E-2</v>
      </c>
      <c r="E28" s="1508">
        <v>0</v>
      </c>
      <c r="F28" s="1508">
        <v>1</v>
      </c>
      <c r="K28" s="1623">
        <v>42085</v>
      </c>
      <c r="L28" s="1624"/>
      <c r="M28" s="1625">
        <v>0</v>
      </c>
      <c r="N28" s="1626">
        <v>1.0070620380282054</v>
      </c>
      <c r="O28" s="1626">
        <v>1.0070620380282054</v>
      </c>
    </row>
    <row r="29" spans="2:15">
      <c r="B29" s="1507">
        <v>33298</v>
      </c>
      <c r="C29" s="1508">
        <v>6.5374099999999996E-3</v>
      </c>
      <c r="D29" s="1508">
        <v>9.0673647120300002E-2</v>
      </c>
      <c r="E29" s="1508">
        <v>0</v>
      </c>
      <c r="F29" s="1508">
        <v>1</v>
      </c>
      <c r="K29" s="1623">
        <v>42086</v>
      </c>
      <c r="L29" s="1624" t="s">
        <v>2302</v>
      </c>
      <c r="M29" s="1625">
        <v>4.7279000000000002E-2</v>
      </c>
      <c r="N29" s="1626">
        <v>1.0075381668891645</v>
      </c>
      <c r="O29" s="1626">
        <v>1.0075381668891645</v>
      </c>
    </row>
    <row r="30" spans="2:15">
      <c r="B30" s="1507">
        <v>33329</v>
      </c>
      <c r="C30" s="1508">
        <v>7.0477600000000001E-3</v>
      </c>
      <c r="D30" s="1508">
        <v>9.5197603525800006E-2</v>
      </c>
      <c r="E30" s="1508">
        <v>0</v>
      </c>
      <c r="F30" s="1508">
        <v>1</v>
      </c>
      <c r="K30" s="1623">
        <v>42087</v>
      </c>
      <c r="L30" s="1624" t="s">
        <v>2302</v>
      </c>
      <c r="M30" s="1625">
        <v>4.7279000000000002E-2</v>
      </c>
      <c r="N30" s="1626">
        <v>1.008014520859088</v>
      </c>
      <c r="O30" s="1626">
        <v>1.008014520859088</v>
      </c>
    </row>
    <row r="31" spans="2:15">
      <c r="B31" s="1507">
        <v>33359</v>
      </c>
      <c r="C31" s="1508">
        <v>7.57502E-3</v>
      </c>
      <c r="D31" s="1508">
        <v>0.10227253780620001</v>
      </c>
      <c r="E31" s="1508">
        <v>0</v>
      </c>
      <c r="F31" s="1508">
        <v>1</v>
      </c>
      <c r="K31" s="1623">
        <v>42088</v>
      </c>
      <c r="L31" s="1624" t="s">
        <v>2302</v>
      </c>
      <c r="M31" s="1625">
        <v>4.7279000000000002E-2</v>
      </c>
      <c r="N31" s="1626">
        <v>1.008491100044405</v>
      </c>
      <c r="O31" s="1626">
        <v>1.008491100044405</v>
      </c>
    </row>
    <row r="32" spans="2:15">
      <c r="B32" s="1507">
        <v>33390</v>
      </c>
      <c r="C32" s="1508">
        <v>8.2174099999999996E-3</v>
      </c>
      <c r="D32" s="1508">
        <v>0.113715813284</v>
      </c>
      <c r="E32" s="1508">
        <v>0</v>
      </c>
      <c r="F32" s="1508">
        <v>1</v>
      </c>
      <c r="K32" s="1623">
        <v>42089</v>
      </c>
      <c r="L32" s="1624" t="s">
        <v>2302</v>
      </c>
      <c r="M32" s="1625">
        <v>4.7279000000000002E-2</v>
      </c>
      <c r="N32" s="1626">
        <v>1.0089679045515949</v>
      </c>
      <c r="O32" s="1626">
        <v>1.0089679045515949</v>
      </c>
    </row>
    <row r="33" spans="2:15">
      <c r="B33" s="1507">
        <v>33420</v>
      </c>
      <c r="C33" s="1508">
        <v>9.3037399999999996E-3</v>
      </c>
      <c r="D33" s="1508">
        <v>0.12782677804270001</v>
      </c>
      <c r="E33" s="1508">
        <v>0</v>
      </c>
      <c r="F33" s="1508">
        <v>1</v>
      </c>
      <c r="K33" s="1623">
        <v>42090</v>
      </c>
      <c r="L33" s="1624" t="s">
        <v>2302</v>
      </c>
      <c r="M33" s="1625">
        <v>4.7279000000000002E-2</v>
      </c>
      <c r="N33" s="1626">
        <v>1.0094449344871876</v>
      </c>
      <c r="O33" s="1626">
        <v>1.0094449344871876</v>
      </c>
    </row>
    <row r="34" spans="2:15">
      <c r="B34" s="1507">
        <v>33451</v>
      </c>
      <c r="C34" s="1508">
        <v>1.072268E-2</v>
      </c>
      <c r="D34" s="1508">
        <v>0.14780665921940001</v>
      </c>
      <c r="E34" s="1509">
        <v>0</v>
      </c>
      <c r="F34" s="1509">
        <v>1</v>
      </c>
      <c r="K34" s="1623">
        <v>42091</v>
      </c>
      <c r="L34" s="1624"/>
      <c r="M34" s="1625">
        <v>0</v>
      </c>
      <c r="N34" s="1626">
        <v>1.0094449344871876</v>
      </c>
      <c r="O34" s="1626">
        <v>1.0094449344871876</v>
      </c>
    </row>
    <row r="35" spans="2:15">
      <c r="B35" s="1507">
        <v>33482</v>
      </c>
      <c r="C35" s="1508">
        <v>1.232337E-2</v>
      </c>
      <c r="D35" s="1508">
        <v>0.17090995992909999</v>
      </c>
      <c r="E35" s="1509">
        <v>0</v>
      </c>
      <c r="F35" s="1509">
        <v>1</v>
      </c>
      <c r="K35" s="1623">
        <v>42092</v>
      </c>
      <c r="L35" s="1624"/>
      <c r="M35" s="1625">
        <v>0</v>
      </c>
      <c r="N35" s="1626">
        <v>1.0094449344871876</v>
      </c>
      <c r="O35" s="1626">
        <v>1.0094449344871876</v>
      </c>
    </row>
    <row r="36" spans="2:15">
      <c r="B36" s="1507">
        <v>33512</v>
      </c>
      <c r="C36" s="1508">
        <v>1.5112230000000001E-2</v>
      </c>
      <c r="D36" s="1508">
        <v>0.20548432454660001</v>
      </c>
      <c r="E36" s="1509">
        <v>0</v>
      </c>
      <c r="F36" s="1509">
        <v>1</v>
      </c>
      <c r="K36" s="1623">
        <v>42093</v>
      </c>
      <c r="L36" s="1624" t="s">
        <v>2302</v>
      </c>
      <c r="M36" s="1625">
        <v>4.7279000000000002E-2</v>
      </c>
      <c r="N36" s="1626">
        <v>1.0099221899577637</v>
      </c>
      <c r="O36" s="1626">
        <v>1.0099221899577637</v>
      </c>
    </row>
    <row r="37" spans="2:15">
      <c r="B37" s="1507">
        <v>33543</v>
      </c>
      <c r="C37" s="1508">
        <v>1.8984250000000001E-2</v>
      </c>
      <c r="D37" s="1508">
        <v>0.2572875157699</v>
      </c>
      <c r="E37" s="1509">
        <v>0</v>
      </c>
      <c r="F37" s="1509">
        <v>1</v>
      </c>
      <c r="K37" s="1623">
        <v>42094</v>
      </c>
      <c r="L37" s="1624" t="s">
        <v>2302</v>
      </c>
      <c r="M37" s="1625">
        <v>4.7279000000000002E-2</v>
      </c>
      <c r="N37" s="1626">
        <v>1.0103996710699537</v>
      </c>
      <c r="O37" s="1626">
        <v>1.0103996710699537</v>
      </c>
    </row>
    <row r="38" spans="2:15">
      <c r="B38" s="1507">
        <v>33573</v>
      </c>
      <c r="C38" s="1508">
        <v>2.347107E-2</v>
      </c>
      <c r="D38" s="1508">
        <v>0.31828867732630001</v>
      </c>
      <c r="E38" s="1509">
        <v>0</v>
      </c>
      <c r="F38" s="1509">
        <v>1</v>
      </c>
      <c r="K38" s="1623">
        <v>42095</v>
      </c>
      <c r="L38" s="1624" t="s">
        <v>2302</v>
      </c>
      <c r="M38" s="1625">
        <v>4.7279000000000002E-2</v>
      </c>
      <c r="N38" s="1626">
        <v>1.0108773779304387</v>
      </c>
      <c r="O38" s="1626">
        <v>1.0108773779304387</v>
      </c>
    </row>
    <row r="39" spans="2:15">
      <c r="B39" s="1507">
        <v>33604</v>
      </c>
      <c r="C39" s="1508">
        <v>2.9000140000000001E-2</v>
      </c>
      <c r="D39" s="1508">
        <v>0.40085366056990002</v>
      </c>
      <c r="E39" s="1509">
        <v>0</v>
      </c>
      <c r="F39" s="1509">
        <v>1</v>
      </c>
      <c r="K39" s="1623">
        <v>42096</v>
      </c>
      <c r="L39" s="1624" t="s">
        <v>2302</v>
      </c>
      <c r="M39" s="1625">
        <v>4.7279000000000002E-2</v>
      </c>
      <c r="N39" s="1626">
        <v>1.0113553106459503</v>
      </c>
      <c r="O39" s="1626">
        <v>1.0113553106459503</v>
      </c>
    </row>
    <row r="40" spans="2:15">
      <c r="B40" s="1507">
        <v>33635</v>
      </c>
      <c r="C40" s="1508">
        <v>3.7078809999999997E-2</v>
      </c>
      <c r="D40" s="1508">
        <v>0.49834103072840003</v>
      </c>
      <c r="E40" s="1509">
        <v>0</v>
      </c>
      <c r="F40" s="1509">
        <v>1</v>
      </c>
      <c r="K40" s="1623">
        <v>42097</v>
      </c>
      <c r="L40" s="1624"/>
      <c r="M40" s="1625">
        <v>0</v>
      </c>
      <c r="N40" s="1626">
        <v>1.0113553106459503</v>
      </c>
      <c r="O40" s="1626">
        <v>1.0113553106459503</v>
      </c>
    </row>
    <row r="41" spans="2:15">
      <c r="B41" s="1507">
        <v>33664</v>
      </c>
      <c r="C41" s="1508">
        <v>4.501144E-2</v>
      </c>
      <c r="D41" s="1508">
        <v>0.60498746741809994</v>
      </c>
      <c r="E41" s="1509">
        <v>0</v>
      </c>
      <c r="F41" s="1509">
        <v>1</v>
      </c>
      <c r="K41" s="1623">
        <v>42098</v>
      </c>
      <c r="L41" s="1624"/>
      <c r="M41" s="1625">
        <v>0</v>
      </c>
      <c r="N41" s="1626">
        <v>1.0113553106459503</v>
      </c>
      <c r="O41" s="1626">
        <v>1.0113553106459503</v>
      </c>
    </row>
    <row r="42" spans="2:15">
      <c r="B42" s="1507">
        <v>33695</v>
      </c>
      <c r="C42" s="1508">
        <v>5.3986060000000002E-2</v>
      </c>
      <c r="D42" s="1508">
        <v>0.72556146522830001</v>
      </c>
      <c r="E42" s="1509">
        <v>0</v>
      </c>
      <c r="F42" s="1509">
        <v>1</v>
      </c>
      <c r="K42" s="1623">
        <v>42099</v>
      </c>
      <c r="L42" s="1624"/>
      <c r="M42" s="1625">
        <v>0</v>
      </c>
      <c r="N42" s="1626">
        <v>1.0113553106459503</v>
      </c>
      <c r="O42" s="1626">
        <v>1.0113553106459503</v>
      </c>
    </row>
    <row r="43" spans="2:15">
      <c r="B43" s="1507">
        <v>33725</v>
      </c>
      <c r="C43" s="1508">
        <v>6.5012799999999996E-2</v>
      </c>
      <c r="D43" s="1508">
        <v>0.90593616441860003</v>
      </c>
      <c r="E43" s="1509">
        <v>0</v>
      </c>
      <c r="F43" s="1509">
        <v>1</v>
      </c>
      <c r="K43" s="1623">
        <v>42100</v>
      </c>
      <c r="L43" s="1624" t="s">
        <v>2302</v>
      </c>
      <c r="M43" s="1625">
        <v>4.7279000000000002E-2</v>
      </c>
      <c r="N43" s="1626">
        <v>1.0118334693232705</v>
      </c>
      <c r="O43" s="1626">
        <v>1.0118334693232705</v>
      </c>
    </row>
    <row r="44" spans="2:15">
      <c r="B44" s="1507">
        <v>33756</v>
      </c>
      <c r="C44" s="1508">
        <v>8.0361459999999996E-2</v>
      </c>
      <c r="D44" s="1508">
        <v>1.0890285720637001</v>
      </c>
      <c r="E44" s="1509">
        <v>0</v>
      </c>
      <c r="F44" s="1509">
        <v>1</v>
      </c>
      <c r="K44" s="1623">
        <v>42101</v>
      </c>
      <c r="L44" s="1624" t="s">
        <v>2302</v>
      </c>
      <c r="M44" s="1625">
        <v>4.7279000000000002E-2</v>
      </c>
      <c r="N44" s="1626">
        <v>1.0123118540692317</v>
      </c>
      <c r="O44" s="1626">
        <v>1.0123118540692317</v>
      </c>
    </row>
    <row r="45" spans="2:15">
      <c r="B45" s="1507">
        <v>33786</v>
      </c>
      <c r="C45" s="1508">
        <v>9.7908469999999997E-2</v>
      </c>
      <c r="D45" s="1508">
        <v>1.3267641484791</v>
      </c>
      <c r="E45" s="1509">
        <v>0</v>
      </c>
      <c r="F45" s="1509">
        <v>1</v>
      </c>
      <c r="K45" s="1623">
        <v>42102</v>
      </c>
      <c r="L45" s="1624" t="s">
        <v>2302</v>
      </c>
      <c r="M45" s="1625">
        <v>4.7279000000000002E-2</v>
      </c>
      <c r="N45" s="1626">
        <v>1.0127904649907171</v>
      </c>
      <c r="O45" s="1626">
        <v>1.0127904649907171</v>
      </c>
    </row>
    <row r="46" spans="2:15">
      <c r="B46" s="1507">
        <v>33817</v>
      </c>
      <c r="C46" s="1508">
        <v>0.12202180999999999</v>
      </c>
      <c r="D46" s="1508">
        <v>1.6205100844213001</v>
      </c>
      <c r="E46" s="1509">
        <v>0</v>
      </c>
      <c r="F46" s="1509">
        <v>1</v>
      </c>
      <c r="K46" s="1623">
        <v>42103</v>
      </c>
      <c r="L46" s="1624" t="s">
        <v>2302</v>
      </c>
      <c r="M46" s="1625">
        <v>4.7279000000000002E-2</v>
      </c>
      <c r="N46" s="1626">
        <v>1.0132693021946599</v>
      </c>
      <c r="O46" s="1626">
        <v>1.0132693021946599</v>
      </c>
    </row>
    <row r="47" spans="2:15">
      <c r="B47" s="1507">
        <v>33848</v>
      </c>
      <c r="C47" s="1508">
        <v>0.15285811999999999</v>
      </c>
      <c r="D47" s="1508">
        <v>2.0196408623306001</v>
      </c>
      <c r="E47" s="1509">
        <v>0</v>
      </c>
      <c r="F47" s="1509">
        <v>1</v>
      </c>
      <c r="K47" s="1623">
        <v>42104</v>
      </c>
      <c r="L47" s="1624" t="s">
        <v>2302</v>
      </c>
      <c r="M47" s="1625">
        <v>4.7279000000000002E-2</v>
      </c>
      <c r="N47" s="1626">
        <v>1.0137483657880444</v>
      </c>
      <c r="O47" s="1626">
        <v>1.0137483657880444</v>
      </c>
    </row>
    <row r="48" spans="2:15">
      <c r="B48" s="1507">
        <v>33878</v>
      </c>
      <c r="C48" s="1508">
        <v>0.19376498</v>
      </c>
      <c r="D48" s="1508">
        <v>2.5293973801068002</v>
      </c>
      <c r="E48" s="1509">
        <v>0</v>
      </c>
      <c r="F48" s="1509">
        <v>1</v>
      </c>
      <c r="K48" s="1623">
        <v>42105</v>
      </c>
      <c r="L48" s="1624"/>
      <c r="M48" s="1625">
        <v>0</v>
      </c>
      <c r="N48" s="1626">
        <v>1.0137483657880444</v>
      </c>
      <c r="O48" s="1626">
        <v>1.0137483657880444</v>
      </c>
    </row>
    <row r="49" spans="2:15">
      <c r="B49" s="1507">
        <v>33909</v>
      </c>
      <c r="C49" s="1508">
        <v>0.23916162999999999</v>
      </c>
      <c r="D49" s="1508">
        <v>3.0982598885127999</v>
      </c>
      <c r="E49" s="1509">
        <v>0</v>
      </c>
      <c r="F49" s="1509">
        <v>1</v>
      </c>
      <c r="K49" s="1623">
        <v>42106</v>
      </c>
      <c r="L49" s="1624"/>
      <c r="M49" s="1625">
        <v>0</v>
      </c>
      <c r="N49" s="1626">
        <v>1.0137483657880444</v>
      </c>
      <c r="O49" s="1626">
        <v>1.0137483657880444</v>
      </c>
    </row>
    <row r="50" spans="2:15">
      <c r="B50" s="1507">
        <v>33939</v>
      </c>
      <c r="C50" s="1508">
        <v>0.29913278999999998</v>
      </c>
      <c r="D50" s="1508">
        <v>3.8802596550900001</v>
      </c>
      <c r="E50" s="1509">
        <v>0</v>
      </c>
      <c r="F50" s="1509">
        <v>1</v>
      </c>
      <c r="K50" s="1623">
        <v>42107</v>
      </c>
      <c r="L50" s="1624" t="s">
        <v>2302</v>
      </c>
      <c r="M50" s="1625">
        <v>4.7279000000000002E-2</v>
      </c>
      <c r="N50" s="1626">
        <v>1.0142276558779053</v>
      </c>
      <c r="O50" s="1626">
        <v>1.0142276558779053</v>
      </c>
    </row>
    <row r="51" spans="2:15">
      <c r="B51" s="1507">
        <v>33970</v>
      </c>
      <c r="C51" s="1508">
        <v>0.37638683000000001</v>
      </c>
      <c r="D51" s="1508">
        <v>5.0579166458253004</v>
      </c>
      <c r="E51" s="1509">
        <v>0</v>
      </c>
      <c r="F51" s="1509">
        <v>1</v>
      </c>
      <c r="K51" s="1623">
        <v>42108</v>
      </c>
      <c r="L51" s="1624" t="s">
        <v>2302</v>
      </c>
      <c r="M51" s="1625">
        <v>4.7279000000000002E-2</v>
      </c>
      <c r="N51" s="1626">
        <v>1.0147071725713277</v>
      </c>
      <c r="O51" s="1626">
        <v>1.0147071725713277</v>
      </c>
    </row>
    <row r="52" spans="2:15">
      <c r="B52" s="1507">
        <v>34001</v>
      </c>
      <c r="C52" s="1508">
        <v>0.48335073000000001</v>
      </c>
      <c r="D52" s="1508">
        <v>6.3213843084293</v>
      </c>
      <c r="E52" s="1509">
        <v>0</v>
      </c>
      <c r="F52" s="1509">
        <v>1</v>
      </c>
      <c r="K52" s="1623">
        <v>42109</v>
      </c>
      <c r="L52" s="1624" t="s">
        <v>2302</v>
      </c>
      <c r="M52" s="1625">
        <v>4.7279000000000002E-2</v>
      </c>
      <c r="N52" s="1626">
        <v>1.0151869159754476</v>
      </c>
      <c r="O52" s="1626">
        <v>1.0151869159754476</v>
      </c>
    </row>
    <row r="53" spans="2:15">
      <c r="B53" s="1507">
        <v>34029</v>
      </c>
      <c r="C53" s="1508">
        <v>0.61023090000000002</v>
      </c>
      <c r="D53" s="1508">
        <v>8.0445948724788998</v>
      </c>
      <c r="E53" s="1509">
        <v>0</v>
      </c>
      <c r="F53" s="1509">
        <v>1</v>
      </c>
      <c r="K53" s="1623">
        <v>42110</v>
      </c>
      <c r="L53" s="1624" t="s">
        <v>2302</v>
      </c>
      <c r="M53" s="1625">
        <v>4.7279000000000002E-2</v>
      </c>
      <c r="N53" s="1626">
        <v>1.0156668861974516</v>
      </c>
      <c r="O53" s="1626">
        <v>1.0156668861974516</v>
      </c>
    </row>
    <row r="54" spans="2:15">
      <c r="B54" s="1507">
        <v>34060</v>
      </c>
      <c r="C54" s="1508">
        <v>0.78617482000000005</v>
      </c>
      <c r="D54" s="1508">
        <v>10.2769672819025</v>
      </c>
      <c r="E54" s="1509">
        <v>0</v>
      </c>
      <c r="F54" s="1509">
        <v>1</v>
      </c>
      <c r="K54" s="1623">
        <v>42111</v>
      </c>
      <c r="L54" s="1624" t="s">
        <v>2302</v>
      </c>
      <c r="M54" s="1625">
        <v>4.7279000000000002E-2</v>
      </c>
      <c r="N54" s="1626">
        <v>1.0161470833445767</v>
      </c>
      <c r="O54" s="1626">
        <v>1.0161470833445767</v>
      </c>
    </row>
    <row r="55" spans="2:15">
      <c r="B55" s="1507">
        <v>34090</v>
      </c>
      <c r="C55" s="1508">
        <v>1.01968087</v>
      </c>
      <c r="D55" s="1508">
        <v>13.1226581300609</v>
      </c>
      <c r="E55" s="1509">
        <v>0</v>
      </c>
      <c r="F55" s="1509">
        <v>1</v>
      </c>
      <c r="K55" s="1623">
        <v>42112</v>
      </c>
      <c r="L55" s="1624"/>
      <c r="M55" s="1625">
        <v>0</v>
      </c>
      <c r="N55" s="1626">
        <v>1.0161470833445767</v>
      </c>
      <c r="O55" s="1626">
        <v>1.0161470833445767</v>
      </c>
    </row>
    <row r="56" spans="2:15">
      <c r="B56" s="1507">
        <v>34121</v>
      </c>
      <c r="C56" s="1508">
        <v>1.3408208699999999</v>
      </c>
      <c r="D56" s="1508">
        <v>17.068642979808899</v>
      </c>
      <c r="E56" s="1509">
        <v>0</v>
      </c>
      <c r="F56" s="1509">
        <v>1</v>
      </c>
      <c r="K56" s="1623">
        <v>42113</v>
      </c>
      <c r="L56" s="1624"/>
      <c r="M56" s="1625">
        <v>0</v>
      </c>
      <c r="N56" s="1626">
        <v>1.0161470833445767</v>
      </c>
      <c r="O56" s="1626">
        <v>1.0161470833445767</v>
      </c>
    </row>
    <row r="57" spans="2:15">
      <c r="B57" s="1507">
        <v>34151</v>
      </c>
      <c r="C57" s="1508">
        <v>1.75984608</v>
      </c>
      <c r="D57" s="1508">
        <v>22.312130761236201</v>
      </c>
      <c r="E57" s="1509">
        <v>0</v>
      </c>
      <c r="F57" s="1509">
        <v>1</v>
      </c>
      <c r="K57" s="1623">
        <v>42114</v>
      </c>
      <c r="L57" s="1624" t="s">
        <v>2302</v>
      </c>
      <c r="M57" s="1625">
        <v>4.7279000000000002E-2</v>
      </c>
      <c r="N57" s="1626">
        <v>1.0166275075241111</v>
      </c>
      <c r="O57" s="1626">
        <v>1.0166275075241111</v>
      </c>
    </row>
    <row r="58" spans="2:15">
      <c r="B58" s="1507">
        <v>34182</v>
      </c>
      <c r="C58" s="1508">
        <v>2.31923637</v>
      </c>
      <c r="D58" s="1508">
        <v>29.666210936414501</v>
      </c>
      <c r="E58" s="1509">
        <v>0</v>
      </c>
      <c r="F58" s="1509">
        <v>1</v>
      </c>
      <c r="K58" s="1623">
        <v>42115</v>
      </c>
      <c r="L58" s="1624"/>
      <c r="M58" s="1625">
        <v>0</v>
      </c>
      <c r="N58" s="1626">
        <v>1.0166275075241111</v>
      </c>
      <c r="O58" s="1626">
        <v>1.0166275075241111</v>
      </c>
    </row>
    <row r="59" spans="2:15">
      <c r="B59" s="1507">
        <v>34213</v>
      </c>
      <c r="C59" s="1508">
        <v>3.1375231000000001</v>
      </c>
      <c r="D59" s="1508">
        <v>40.254080730946797</v>
      </c>
      <c r="E59" s="1509">
        <v>0</v>
      </c>
      <c r="F59" s="1509">
        <v>1</v>
      </c>
      <c r="K59" s="1623">
        <v>42116</v>
      </c>
      <c r="L59" s="1624" t="s">
        <v>2302</v>
      </c>
      <c r="M59" s="1625">
        <v>4.7279000000000002E-2</v>
      </c>
      <c r="N59" s="1626">
        <v>1.0171081588433935</v>
      </c>
      <c r="O59" s="1626">
        <v>1.0171081588433935</v>
      </c>
    </row>
    <row r="60" spans="2:15">
      <c r="B60" s="1507">
        <v>34243</v>
      </c>
      <c r="C60" s="1508">
        <v>4.2367972299999996</v>
      </c>
      <c r="D60" s="1508">
        <v>53.908264834853298</v>
      </c>
      <c r="E60" s="1509">
        <v>0</v>
      </c>
      <c r="F60" s="1509">
        <v>1</v>
      </c>
      <c r="K60" s="1623">
        <v>42117</v>
      </c>
      <c r="L60" s="1624" t="s">
        <v>2302</v>
      </c>
      <c r="M60" s="1625">
        <v>4.7279000000000002E-2</v>
      </c>
      <c r="N60" s="1626">
        <v>1.0175890374098129</v>
      </c>
      <c r="O60" s="1626">
        <v>1.0175890374098129</v>
      </c>
    </row>
    <row r="61" spans="2:15">
      <c r="B61" s="1507">
        <v>34274</v>
      </c>
      <c r="C61" s="1508">
        <v>5.7685216500000003</v>
      </c>
      <c r="D61" s="1508">
        <v>73.078046584524003</v>
      </c>
      <c r="E61" s="1509">
        <v>0</v>
      </c>
      <c r="F61" s="1509">
        <v>1</v>
      </c>
      <c r="K61" s="1623">
        <v>42118</v>
      </c>
      <c r="L61" s="1624" t="s">
        <v>2302</v>
      </c>
      <c r="M61" s="1625">
        <v>4.7279000000000002E-2</v>
      </c>
      <c r="N61" s="1626">
        <v>1.0180701433308097</v>
      </c>
      <c r="O61" s="1626">
        <v>1.0180701433308097</v>
      </c>
    </row>
    <row r="62" spans="2:15">
      <c r="B62" s="1507">
        <v>34304</v>
      </c>
      <c r="C62" s="1508">
        <v>7.9792505900000004</v>
      </c>
      <c r="D62" s="1508">
        <v>100</v>
      </c>
      <c r="E62" s="1509">
        <v>0</v>
      </c>
      <c r="F62" s="1509">
        <v>1</v>
      </c>
      <c r="K62" s="1623">
        <v>42119</v>
      </c>
      <c r="L62" s="1624"/>
      <c r="M62" s="1625">
        <v>0</v>
      </c>
      <c r="N62" s="1626">
        <v>1.0180701433308097</v>
      </c>
      <c r="O62" s="1626">
        <v>1.0180701433308097</v>
      </c>
    </row>
    <row r="63" spans="2:15">
      <c r="B63" s="1507">
        <v>34335</v>
      </c>
      <c r="C63" s="1508">
        <v>11.0967647</v>
      </c>
      <c r="D63" s="1508">
        <v>141.31</v>
      </c>
      <c r="E63" s="1509">
        <v>0</v>
      </c>
      <c r="F63" s="1509">
        <v>1</v>
      </c>
      <c r="K63" s="1623">
        <v>42120</v>
      </c>
      <c r="L63" s="1624"/>
      <c r="M63" s="1625">
        <v>0</v>
      </c>
      <c r="N63" s="1626">
        <v>1.0180701433308097</v>
      </c>
      <c r="O63" s="1626">
        <v>1.0180701433308097</v>
      </c>
    </row>
    <row r="64" spans="2:15">
      <c r="B64" s="1507">
        <v>34366</v>
      </c>
      <c r="C64" s="1508">
        <v>15.62186911</v>
      </c>
      <c r="D64" s="1508">
        <v>198.22</v>
      </c>
      <c r="E64" s="1509">
        <v>0</v>
      </c>
      <c r="F64" s="1509">
        <v>1</v>
      </c>
      <c r="K64" s="1623">
        <v>42121</v>
      </c>
      <c r="L64" s="1624" t="s">
        <v>2302</v>
      </c>
      <c r="M64" s="1625">
        <v>4.7314000000000002E-2</v>
      </c>
      <c r="N64" s="1626">
        <v>1.0185518330384251</v>
      </c>
      <c r="O64" s="1626">
        <v>1.0185518330384251</v>
      </c>
    </row>
    <row r="65" spans="2:15">
      <c r="B65" s="1507">
        <v>34394</v>
      </c>
      <c r="C65" s="1508">
        <v>22.762782099999999</v>
      </c>
      <c r="D65" s="1508">
        <v>282.95999999999998</v>
      </c>
      <c r="E65" s="1509">
        <v>0</v>
      </c>
      <c r="F65" s="1509">
        <v>1</v>
      </c>
      <c r="K65" s="1623">
        <v>42122</v>
      </c>
      <c r="L65" s="1624" t="s">
        <v>2302</v>
      </c>
      <c r="M65" s="1625">
        <v>4.7350000000000003E-2</v>
      </c>
      <c r="N65" s="1626">
        <v>1.0190341173313688</v>
      </c>
      <c r="O65" s="1626">
        <v>1.0190341173313688</v>
      </c>
    </row>
    <row r="66" spans="2:15">
      <c r="B66" s="1507">
        <v>34425</v>
      </c>
      <c r="C66" s="1508">
        <v>32.074938510000003</v>
      </c>
      <c r="D66" s="1508">
        <v>403.73</v>
      </c>
      <c r="E66" s="1509">
        <v>0</v>
      </c>
      <c r="F66" s="1509">
        <v>1</v>
      </c>
      <c r="K66" s="1623">
        <v>42123</v>
      </c>
      <c r="L66" s="1624" t="s">
        <v>2302</v>
      </c>
      <c r="M66" s="1625">
        <v>4.7350000000000003E-2</v>
      </c>
      <c r="N66" s="1626">
        <v>1.0195166299859253</v>
      </c>
      <c r="O66" s="1626">
        <v>1.0195166299859253</v>
      </c>
    </row>
    <row r="67" spans="2:15">
      <c r="B67" s="1507">
        <v>34455</v>
      </c>
      <c r="C67" s="1508">
        <v>45.731576959999998</v>
      </c>
      <c r="D67" s="1508">
        <v>581.49</v>
      </c>
      <c r="E67" s="1509">
        <v>0</v>
      </c>
      <c r="F67" s="1509">
        <v>1</v>
      </c>
      <c r="K67" s="1623">
        <v>42124</v>
      </c>
      <c r="L67" s="1624" t="s">
        <v>2302</v>
      </c>
      <c r="M67" s="1625">
        <v>4.9036999999999997E-2</v>
      </c>
      <c r="N67" s="1626">
        <v>1.0200165703557715</v>
      </c>
      <c r="O67" s="1626">
        <v>1.0200165703557715</v>
      </c>
    </row>
    <row r="68" spans="2:15">
      <c r="B68" s="1507">
        <v>34486</v>
      </c>
      <c r="C68" s="1508">
        <v>66.408212939999999</v>
      </c>
      <c r="D68" s="1508">
        <v>857.29</v>
      </c>
      <c r="E68" s="1509">
        <v>0</v>
      </c>
      <c r="F68" s="1509">
        <v>1</v>
      </c>
      <c r="K68" s="1623">
        <v>42125</v>
      </c>
      <c r="L68" s="1624"/>
      <c r="M68" s="1625">
        <v>0</v>
      </c>
      <c r="N68" s="1626">
        <v>1.0200165703557715</v>
      </c>
      <c r="O68" s="1626">
        <v>1.0200165703557715</v>
      </c>
    </row>
    <row r="69" spans="2:15">
      <c r="B69" s="1507">
        <v>34516</v>
      </c>
      <c r="C69" s="1508">
        <v>92.968426030000003</v>
      </c>
      <c r="D69" s="1508">
        <v>915.93</v>
      </c>
      <c r="E69" s="1509">
        <v>0</v>
      </c>
      <c r="F69" s="1509">
        <v>1</v>
      </c>
      <c r="K69" s="1623">
        <v>42126</v>
      </c>
      <c r="L69" s="1624"/>
      <c r="M69" s="1625">
        <v>0</v>
      </c>
      <c r="N69" s="1626">
        <v>1.0200165703557715</v>
      </c>
      <c r="O69" s="1626">
        <v>1.0200165703557715</v>
      </c>
    </row>
    <row r="70" spans="2:15">
      <c r="B70" s="1507">
        <v>34547</v>
      </c>
      <c r="C70" s="1508">
        <v>100</v>
      </c>
      <c r="D70" s="1508">
        <v>932.97</v>
      </c>
      <c r="E70" s="1509">
        <v>1.0417031360600404</v>
      </c>
      <c r="F70" s="1509">
        <v>1.0417031360600404</v>
      </c>
      <c r="K70" s="1623">
        <v>42127</v>
      </c>
      <c r="L70" s="1624"/>
      <c r="M70" s="1625">
        <v>0</v>
      </c>
      <c r="N70" s="1626">
        <v>1.0200165703557715</v>
      </c>
      <c r="O70" s="1626">
        <v>1.0200165703557715</v>
      </c>
    </row>
    <row r="71" spans="2:15">
      <c r="B71" s="1507">
        <v>34578</v>
      </c>
      <c r="C71" s="1508">
        <v>101.751</v>
      </c>
      <c r="D71" s="1508">
        <v>947.24</v>
      </c>
      <c r="E71" s="1509">
        <v>1.040191380612066</v>
      </c>
      <c r="F71" s="1509">
        <v>1.0835706232862121</v>
      </c>
      <c r="K71" s="1623">
        <v>42128</v>
      </c>
      <c r="L71" s="1624" t="s">
        <v>2302</v>
      </c>
      <c r="M71" s="1625">
        <v>4.9036999999999997E-2</v>
      </c>
      <c r="N71" s="1626">
        <v>1.020516755881377</v>
      </c>
      <c r="O71" s="1626">
        <v>1.020516755881377</v>
      </c>
    </row>
    <row r="72" spans="2:15">
      <c r="B72" s="1507">
        <v>34608</v>
      </c>
      <c r="C72" s="1508">
        <v>103.602</v>
      </c>
      <c r="D72" s="1508">
        <v>972.06</v>
      </c>
      <c r="E72" s="1509">
        <v>1.0400235119965635</v>
      </c>
      <c r="F72" s="1509">
        <v>1.1269389251264317</v>
      </c>
      <c r="K72" s="1623">
        <v>42129</v>
      </c>
      <c r="L72" s="1624" t="s">
        <v>2302</v>
      </c>
      <c r="M72" s="1625">
        <v>4.9036999999999997E-2</v>
      </c>
      <c r="N72" s="1626">
        <v>1.0210171866829587</v>
      </c>
      <c r="O72" s="1626">
        <v>1.0210171866829587</v>
      </c>
    </row>
    <row r="73" spans="2:15">
      <c r="B73" s="1507">
        <v>34639</v>
      </c>
      <c r="C73" s="1508">
        <v>106.553</v>
      </c>
      <c r="D73" s="1508">
        <v>999.37</v>
      </c>
      <c r="E73" s="1509">
        <v>1.0448704061969656</v>
      </c>
      <c r="F73" s="1509">
        <v>1.1775051324560264</v>
      </c>
      <c r="K73" s="1623">
        <v>42130</v>
      </c>
      <c r="L73" s="1624" t="s">
        <v>2302</v>
      </c>
      <c r="M73" s="1625">
        <v>4.9036999999999997E-2</v>
      </c>
      <c r="N73" s="1626">
        <v>1.0215178628807926</v>
      </c>
      <c r="O73" s="1626">
        <v>1.0215178628807926</v>
      </c>
    </row>
    <row r="74" spans="2:15">
      <c r="B74" s="1507">
        <v>34669</v>
      </c>
      <c r="C74" s="1508">
        <v>107.45</v>
      </c>
      <c r="D74" s="1508">
        <v>1016.46</v>
      </c>
      <c r="E74" s="1509">
        <v>1.0379749903132509</v>
      </c>
      <c r="F74" s="1509">
        <v>1.2222208784548472</v>
      </c>
      <c r="K74" s="1623">
        <v>42131</v>
      </c>
      <c r="L74" s="1624" t="s">
        <v>2302</v>
      </c>
      <c r="M74" s="1625">
        <v>4.9036999999999997E-2</v>
      </c>
      <c r="N74" s="1626">
        <v>1.0220187845952136</v>
      </c>
      <c r="O74" s="1626">
        <v>1.0220187845952136</v>
      </c>
    </row>
    <row r="75" spans="2:15">
      <c r="B75" s="1507">
        <v>34700</v>
      </c>
      <c r="C75" s="1508">
        <v>108.44199999999999</v>
      </c>
      <c r="D75" s="1508">
        <v>1033.74</v>
      </c>
      <c r="E75" s="1509">
        <v>1.033745155557255</v>
      </c>
      <c r="F75" s="1509">
        <v>1.2634649121236308</v>
      </c>
      <c r="K75" s="1623">
        <v>42132</v>
      </c>
      <c r="L75" s="1624" t="s">
        <v>2302</v>
      </c>
      <c r="M75" s="1625">
        <v>4.9036999999999997E-2</v>
      </c>
      <c r="N75" s="1626">
        <v>1.0225199519466155</v>
      </c>
      <c r="O75" s="1626">
        <v>1.0225199519466155</v>
      </c>
    </row>
    <row r="76" spans="2:15">
      <c r="B76" s="1507">
        <v>34731</v>
      </c>
      <c r="C76" s="1508">
        <v>109.9455</v>
      </c>
      <c r="D76" s="1508">
        <v>1044.28</v>
      </c>
      <c r="E76" s="1509">
        <v>1.0361946548110796</v>
      </c>
      <c r="F76" s="1509">
        <v>1.3091955884838566</v>
      </c>
      <c r="K76" s="1623">
        <v>42133</v>
      </c>
      <c r="L76" s="1624"/>
      <c r="M76" s="1625">
        <v>0</v>
      </c>
      <c r="N76" s="1626">
        <v>1.0225199519466155</v>
      </c>
      <c r="O76" s="1626">
        <v>1.0225199519466155</v>
      </c>
    </row>
    <row r="77" spans="2:15">
      <c r="B77" s="1507">
        <v>34759</v>
      </c>
      <c r="C77" s="1508">
        <v>111.178</v>
      </c>
      <c r="D77" s="1508">
        <v>1060.47</v>
      </c>
      <c r="E77" s="1509">
        <v>1.0426211014987152</v>
      </c>
      <c r="F77" s="1509">
        <v>1.3649949465422972</v>
      </c>
      <c r="K77" s="1623">
        <v>42134</v>
      </c>
      <c r="L77" s="1624"/>
      <c r="M77" s="1625">
        <v>0</v>
      </c>
      <c r="N77" s="1626">
        <v>1.0225199519466155</v>
      </c>
      <c r="O77" s="1626">
        <v>1.0225199519466155</v>
      </c>
    </row>
    <row r="78" spans="2:15">
      <c r="B78" s="1507">
        <v>34790</v>
      </c>
      <c r="C78" s="1508">
        <v>113.518</v>
      </c>
      <c r="D78" s="1508">
        <v>1086.24</v>
      </c>
      <c r="E78" s="1509">
        <v>1.0502446731743562</v>
      </c>
      <c r="F78" s="1509">
        <v>1.4335786715159629</v>
      </c>
      <c r="K78" s="1623">
        <v>42135</v>
      </c>
      <c r="L78" s="1624" t="s">
        <v>2302</v>
      </c>
      <c r="M78" s="1625">
        <v>4.9036999999999997E-2</v>
      </c>
      <c r="N78" s="1626">
        <v>1.0230213650554516</v>
      </c>
      <c r="O78" s="1626">
        <v>1.0230213650554516</v>
      </c>
    </row>
    <row r="79" spans="2:15">
      <c r="B79" s="1507">
        <v>34820</v>
      </c>
      <c r="C79" s="1508">
        <v>114.17100000000001</v>
      </c>
      <c r="D79" s="1508">
        <v>1115.24</v>
      </c>
      <c r="E79" s="1509">
        <v>1.0450356278102417</v>
      </c>
      <c r="F79" s="1509">
        <v>1.4981407870030565</v>
      </c>
      <c r="K79" s="1623">
        <v>42136</v>
      </c>
      <c r="L79" s="1624" t="s">
        <v>2302</v>
      </c>
      <c r="M79" s="1625">
        <v>4.9036999999999997E-2</v>
      </c>
      <c r="N79" s="1626">
        <v>1.0235230240422339</v>
      </c>
      <c r="O79" s="1626">
        <v>1.0235230240422339</v>
      </c>
    </row>
    <row r="80" spans="2:15">
      <c r="B80" s="1507">
        <v>34851</v>
      </c>
      <c r="C80" s="1508">
        <v>116.98399999999999</v>
      </c>
      <c r="D80" s="1508">
        <v>1140.44</v>
      </c>
      <c r="E80" s="1509">
        <v>1.0423602226147934</v>
      </c>
      <c r="F80" s="1509">
        <v>1.5616023642488079</v>
      </c>
      <c r="K80" s="1623">
        <v>42137</v>
      </c>
      <c r="L80" s="1624" t="s">
        <v>2302</v>
      </c>
      <c r="M80" s="1625">
        <v>4.9036999999999997E-2</v>
      </c>
      <c r="N80" s="1626">
        <v>1.0240249290275336</v>
      </c>
      <c r="O80" s="1626">
        <v>1.0240249290275336</v>
      </c>
    </row>
    <row r="81" spans="2:15">
      <c r="B81" s="1507">
        <v>34881</v>
      </c>
      <c r="C81" s="1508">
        <v>119.114</v>
      </c>
      <c r="D81" s="1508">
        <v>1167.3499999999999</v>
      </c>
      <c r="E81" s="1509">
        <v>1.0402311780170954</v>
      </c>
      <c r="F81" s="1509">
        <v>1.6244274669568188</v>
      </c>
      <c r="K81" s="1623">
        <v>42138</v>
      </c>
      <c r="L81" s="1624" t="s">
        <v>2302</v>
      </c>
      <c r="M81" s="1625">
        <v>4.9036999999999997E-2</v>
      </c>
      <c r="N81" s="1626">
        <v>1.024527080131981</v>
      </c>
      <c r="O81" s="1626">
        <v>1.024527080131981</v>
      </c>
    </row>
    <row r="82" spans="2:15">
      <c r="B82" s="1507">
        <v>34912</v>
      </c>
      <c r="C82" s="1508">
        <v>121.729</v>
      </c>
      <c r="D82" s="1508">
        <v>1178.9100000000001</v>
      </c>
      <c r="E82" s="1508">
        <v>1.0383979241220025</v>
      </c>
      <c r="F82" s="1508">
        <v>1.6868021095747234</v>
      </c>
      <c r="G82" s="7">
        <v>41036.512291666666</v>
      </c>
      <c r="K82" s="1623">
        <v>42139</v>
      </c>
      <c r="L82" s="1624" t="s">
        <v>2302</v>
      </c>
      <c r="M82" s="1625">
        <v>4.9036999999999997E-2</v>
      </c>
      <c r="N82" s="1626">
        <v>1.0250294774762654</v>
      </c>
      <c r="O82" s="1626">
        <v>1.0250294774762654</v>
      </c>
    </row>
    <row r="83" spans="2:15">
      <c r="B83" s="1507">
        <v>34943</v>
      </c>
      <c r="C83" s="1508">
        <v>120.869</v>
      </c>
      <c r="D83" s="1508">
        <v>1190.58</v>
      </c>
      <c r="E83" s="1508">
        <v>1.0349384575781275</v>
      </c>
      <c r="F83" s="1508">
        <v>1.745736373522796</v>
      </c>
      <c r="K83" s="1623">
        <v>42140</v>
      </c>
      <c r="L83" s="1624"/>
      <c r="M83" s="1625">
        <v>0</v>
      </c>
      <c r="N83" s="1626">
        <v>1.0250294774762654</v>
      </c>
      <c r="O83" s="1626">
        <v>1.0250294774762654</v>
      </c>
    </row>
    <row r="84" spans="2:15">
      <c r="B84" s="1507">
        <v>34973</v>
      </c>
      <c r="C84" s="1508">
        <v>121.503</v>
      </c>
      <c r="D84" s="1508">
        <v>1207.3699999999999</v>
      </c>
      <c r="E84" s="1508">
        <v>1.0324041438440343</v>
      </c>
      <c r="F84" s="1508">
        <v>1.8023054660841915</v>
      </c>
      <c r="K84" s="1623">
        <v>42141</v>
      </c>
      <c r="L84" s="1624"/>
      <c r="M84" s="1625">
        <v>0</v>
      </c>
      <c r="N84" s="1626">
        <v>1.0250294774762654</v>
      </c>
      <c r="O84" s="1626">
        <v>1.0250294774762654</v>
      </c>
    </row>
    <row r="85" spans="2:15">
      <c r="B85" s="1507">
        <v>35004</v>
      </c>
      <c r="C85" s="1508">
        <v>122.955</v>
      </c>
      <c r="D85" s="1508">
        <v>1225.1199999999999</v>
      </c>
      <c r="E85" s="1508">
        <v>1.0316999077357936</v>
      </c>
      <c r="F85" s="1508">
        <v>1.8594383830707768</v>
      </c>
      <c r="K85" s="1623">
        <v>42142</v>
      </c>
      <c r="L85" s="1624" t="s">
        <v>2302</v>
      </c>
      <c r="M85" s="1625">
        <v>4.9036999999999997E-2</v>
      </c>
      <c r="N85" s="1626">
        <v>1.0255321211811355</v>
      </c>
      <c r="O85" s="1626">
        <v>1.0255321211811355</v>
      </c>
    </row>
    <row r="86" spans="2:15">
      <c r="B86" s="1507">
        <v>35034</v>
      </c>
      <c r="C86" s="1508">
        <v>123.833</v>
      </c>
      <c r="D86" s="1508">
        <v>1244.23</v>
      </c>
      <c r="E86" s="1508">
        <v>1.0292086837764389</v>
      </c>
      <c r="F86" s="1508">
        <v>1.913750130803664</v>
      </c>
      <c r="K86" s="1623">
        <v>42143</v>
      </c>
      <c r="L86" s="1624" t="s">
        <v>2302</v>
      </c>
      <c r="M86" s="1625">
        <v>4.9036999999999997E-2</v>
      </c>
      <c r="N86" s="1626">
        <v>1.0260350113673991</v>
      </c>
      <c r="O86" s="1626">
        <v>1.0260350113673991</v>
      </c>
    </row>
    <row r="87" spans="2:15">
      <c r="B87" s="1507">
        <v>35065</v>
      </c>
      <c r="C87" s="1508">
        <v>125.977</v>
      </c>
      <c r="D87" s="1508">
        <v>1260.9000000000001</v>
      </c>
      <c r="E87" s="1508">
        <v>1.0271429062533448</v>
      </c>
      <c r="F87" s="1508">
        <v>1.9656948711963942</v>
      </c>
      <c r="K87" s="1623">
        <v>42144</v>
      </c>
      <c r="L87" s="1624" t="s">
        <v>2302</v>
      </c>
      <c r="M87" s="1625">
        <v>4.9036999999999997E-2</v>
      </c>
      <c r="N87" s="1626">
        <v>1.0265381481559233</v>
      </c>
      <c r="O87" s="1626">
        <v>1.0265381481559233</v>
      </c>
    </row>
    <row r="88" spans="2:15">
      <c r="B88" s="1507">
        <v>35096</v>
      </c>
      <c r="C88" s="1508">
        <v>127.202</v>
      </c>
      <c r="D88" s="1508">
        <v>1273.8900000000001</v>
      </c>
      <c r="E88" s="1508">
        <v>1.026088709032714</v>
      </c>
      <c r="F88" s="1508">
        <v>2.0169773127381352</v>
      </c>
      <c r="K88" s="1623">
        <v>42145</v>
      </c>
      <c r="L88" s="1624" t="s">
        <v>2302</v>
      </c>
      <c r="M88" s="1625">
        <v>4.9036999999999997E-2</v>
      </c>
      <c r="N88" s="1626">
        <v>1.0270415316676345</v>
      </c>
      <c r="O88" s="1626">
        <v>1.0270415316676345</v>
      </c>
    </row>
    <row r="89" spans="2:15">
      <c r="B89" s="1507">
        <v>35125</v>
      </c>
      <c r="C89" s="1508">
        <v>127.715</v>
      </c>
      <c r="D89" s="1508">
        <v>1278.3499999999999</v>
      </c>
      <c r="E89" s="1508">
        <v>1.0222082178682002</v>
      </c>
      <c r="F89" s="1508">
        <v>2.0617707843346404</v>
      </c>
      <c r="K89" s="1623">
        <v>42146</v>
      </c>
      <c r="L89" s="1624" t="s">
        <v>2302</v>
      </c>
      <c r="M89" s="1625">
        <v>4.9036999999999997E-2</v>
      </c>
      <c r="N89" s="1626">
        <v>1.0275451620235183</v>
      </c>
      <c r="O89" s="1626">
        <v>1.0275451620235183</v>
      </c>
    </row>
    <row r="90" spans="2:15">
      <c r="B90" s="1507">
        <v>35156</v>
      </c>
      <c r="C90" s="1508">
        <v>128.13</v>
      </c>
      <c r="D90" s="1508">
        <v>1294.46</v>
      </c>
      <c r="E90" s="1508">
        <v>1.0227569082086725</v>
      </c>
      <c r="F90" s="1508">
        <v>2.1086903128210666</v>
      </c>
      <c r="K90" s="1623">
        <v>42147</v>
      </c>
      <c r="L90" s="1624"/>
      <c r="M90" s="1625">
        <v>0</v>
      </c>
      <c r="N90" s="1626">
        <v>1.0275451620235183</v>
      </c>
      <c r="O90" s="1626">
        <v>1.0275451620235183</v>
      </c>
    </row>
    <row r="91" spans="2:15">
      <c r="B91" s="1507">
        <v>35186</v>
      </c>
      <c r="C91" s="1508">
        <v>130.12100000000001</v>
      </c>
      <c r="D91" s="1508">
        <v>1310.25</v>
      </c>
      <c r="E91" s="1508">
        <v>1.0210626514511167</v>
      </c>
      <c r="F91" s="1508">
        <v>2.1531049218983629</v>
      </c>
      <c r="K91" s="1623">
        <v>42148</v>
      </c>
      <c r="L91" s="1624"/>
      <c r="M91" s="1625">
        <v>0</v>
      </c>
      <c r="N91" s="1626">
        <v>1.0275451620235183</v>
      </c>
      <c r="O91" s="1626">
        <v>1.0275451620235183</v>
      </c>
    </row>
    <row r="92" spans="2:15">
      <c r="B92" s="1507">
        <v>35217</v>
      </c>
      <c r="C92" s="1508">
        <v>131.44499999999999</v>
      </c>
      <c r="D92" s="1508">
        <v>1325.84</v>
      </c>
      <c r="E92" s="1508">
        <v>1.020826552130859</v>
      </c>
      <c r="F92" s="1508">
        <v>2.1979466737974884</v>
      </c>
      <c r="K92" s="1623">
        <v>42149</v>
      </c>
      <c r="L92" s="1624" t="s">
        <v>2302</v>
      </c>
      <c r="M92" s="1625">
        <v>4.9036999999999997E-2</v>
      </c>
      <c r="N92" s="1626">
        <v>1.0280490393446198</v>
      </c>
      <c r="O92" s="1626">
        <v>1.0280490393446198</v>
      </c>
    </row>
    <row r="93" spans="2:15">
      <c r="B93" s="1507">
        <v>35247</v>
      </c>
      <c r="C93" s="1508">
        <v>133.21299999999999</v>
      </c>
      <c r="D93" s="1508">
        <v>1340.56</v>
      </c>
      <c r="E93" s="1508">
        <v>1.0192856968560815</v>
      </c>
      <c r="F93" s="1508">
        <v>2.2403356070541793</v>
      </c>
      <c r="K93" s="1623">
        <v>42150</v>
      </c>
      <c r="L93" s="1624" t="s">
        <v>2302</v>
      </c>
      <c r="M93" s="1625">
        <v>4.9036999999999997E-2</v>
      </c>
      <c r="N93" s="1626">
        <v>1.0285531637520433</v>
      </c>
      <c r="O93" s="1626">
        <v>1.0285531637520433</v>
      </c>
    </row>
    <row r="94" spans="2:15">
      <c r="B94" s="1507">
        <v>35278</v>
      </c>
      <c r="C94" s="1508">
        <v>133.58699999999999</v>
      </c>
      <c r="D94" s="1508">
        <v>1346.46</v>
      </c>
      <c r="E94" s="1508">
        <v>1.0196791435025818</v>
      </c>
      <c r="F94" s="1508">
        <v>2.2844234929593421</v>
      </c>
      <c r="K94" s="1623">
        <v>42151</v>
      </c>
      <c r="L94" s="1624" t="s">
        <v>2302</v>
      </c>
      <c r="M94" s="1625">
        <v>4.9036999999999997E-2</v>
      </c>
      <c r="N94" s="1626">
        <v>1.0290575353669524</v>
      </c>
      <c r="O94" s="1626">
        <v>1.0290575353669524</v>
      </c>
    </row>
    <row r="95" spans="2:15">
      <c r="B95" s="1507">
        <v>35309</v>
      </c>
      <c r="C95" s="1508">
        <v>133.72200000000001</v>
      </c>
      <c r="D95" s="1508">
        <v>1348.48</v>
      </c>
      <c r="E95" s="1508">
        <v>1.0190405257020327</v>
      </c>
      <c r="F95" s="1508">
        <v>2.3279201171913617</v>
      </c>
      <c r="K95" s="1623">
        <v>42152</v>
      </c>
      <c r="L95" s="1624" t="s">
        <v>2302</v>
      </c>
      <c r="M95" s="1625">
        <v>4.9036999999999997E-2</v>
      </c>
      <c r="N95" s="1626">
        <v>1.0295621543105704</v>
      </c>
      <c r="O95" s="1626">
        <v>1.0295621543105704</v>
      </c>
    </row>
    <row r="96" spans="2:15">
      <c r="B96" s="1507">
        <v>35339</v>
      </c>
      <c r="C96" s="1508">
        <v>133.97800000000001</v>
      </c>
      <c r="D96" s="1508">
        <v>1352.53</v>
      </c>
      <c r="E96" s="1508">
        <v>1.0194350405573067</v>
      </c>
      <c r="F96" s="1508">
        <v>2.3731633390831459</v>
      </c>
      <c r="K96" s="1623">
        <v>42153</v>
      </c>
      <c r="L96" s="1624" t="s">
        <v>2302</v>
      </c>
      <c r="M96" s="1625">
        <v>4.9036999999999997E-2</v>
      </c>
      <c r="N96" s="1626">
        <v>1.0300670207041798</v>
      </c>
      <c r="O96" s="1626">
        <v>1.0300670207041798</v>
      </c>
    </row>
    <row r="97" spans="2:15">
      <c r="B97" s="1507">
        <v>35370</v>
      </c>
      <c r="C97" s="1508">
        <v>134.24199999999999</v>
      </c>
      <c r="D97" s="1508">
        <v>1356.86</v>
      </c>
      <c r="E97" s="1508">
        <v>1.018952291397875</v>
      </c>
      <c r="F97" s="1508">
        <v>2.4181402222202037</v>
      </c>
      <c r="K97" s="1623">
        <v>42154</v>
      </c>
      <c r="L97" s="1624"/>
      <c r="M97" s="1625">
        <v>0</v>
      </c>
      <c r="N97" s="1626">
        <v>1.0300670207041798</v>
      </c>
      <c r="O97" s="1626">
        <v>1.0300670207041798</v>
      </c>
    </row>
    <row r="98" spans="2:15">
      <c r="B98" s="1507">
        <v>35400</v>
      </c>
      <c r="C98" s="1508">
        <v>135.22499999999999</v>
      </c>
      <c r="D98" s="1508">
        <v>1363.24</v>
      </c>
      <c r="E98" s="1508">
        <v>1.0189221360623306</v>
      </c>
      <c r="F98" s="1508">
        <v>2.4638966005228489</v>
      </c>
      <c r="K98" s="1623">
        <v>42155</v>
      </c>
      <c r="L98" s="1624"/>
      <c r="M98" s="1625">
        <v>0</v>
      </c>
      <c r="N98" s="1626">
        <v>1.0300670207041798</v>
      </c>
      <c r="O98" s="1626">
        <v>1.0300670207041798</v>
      </c>
    </row>
    <row r="99" spans="2:15">
      <c r="B99" s="1507">
        <v>35431</v>
      </c>
      <c r="C99" s="1508">
        <v>137.613</v>
      </c>
      <c r="D99" s="1508">
        <v>1379.33</v>
      </c>
      <c r="E99" s="1508">
        <v>1.0182168360386268</v>
      </c>
      <c r="F99" s="1508">
        <v>2.5087810009107034</v>
      </c>
      <c r="K99" s="1623">
        <v>42156</v>
      </c>
      <c r="L99" s="1624" t="s">
        <v>2302</v>
      </c>
      <c r="M99" s="1625">
        <v>4.9036999999999997E-2</v>
      </c>
      <c r="N99" s="1626">
        <v>1.0305721346691226</v>
      </c>
      <c r="O99" s="1626">
        <v>1.0305721346691226</v>
      </c>
    </row>
    <row r="100" spans="2:15">
      <c r="B100" s="1507">
        <v>35462</v>
      </c>
      <c r="C100" s="1508">
        <v>138.20400000000001</v>
      </c>
      <c r="D100" s="1508">
        <v>1386.23</v>
      </c>
      <c r="E100" s="1508">
        <v>1.018615977536991</v>
      </c>
      <c r="F100" s="1508">
        <v>2.5554844116688868</v>
      </c>
      <c r="K100" s="1623">
        <v>42157</v>
      </c>
      <c r="L100" s="1624" t="s">
        <v>2302</v>
      </c>
      <c r="M100" s="1625">
        <v>4.9036999999999997E-2</v>
      </c>
      <c r="N100" s="1626">
        <v>1.0310774963268003</v>
      </c>
      <c r="O100" s="1626">
        <v>1.0310774963268003</v>
      </c>
    </row>
    <row r="101" spans="2:15">
      <c r="B101" s="1507">
        <v>35490</v>
      </c>
      <c r="C101" s="1508">
        <v>139.79499999999999</v>
      </c>
      <c r="D101" s="1508">
        <v>1393.3</v>
      </c>
      <c r="E101" s="1508">
        <v>1.0181653196053577</v>
      </c>
      <c r="F101" s="1508">
        <v>2.6019056027533618</v>
      </c>
      <c r="K101" s="1623">
        <v>42158</v>
      </c>
      <c r="L101" s="1624" t="s">
        <v>2302</v>
      </c>
      <c r="M101" s="1625">
        <v>4.9036999999999997E-2</v>
      </c>
      <c r="N101" s="1626">
        <v>1.0315831057986742</v>
      </c>
      <c r="O101" s="1626">
        <v>1.0315831057986742</v>
      </c>
    </row>
    <row r="102" spans="2:15">
      <c r="B102" s="1507">
        <v>35521</v>
      </c>
      <c r="C102" s="1508">
        <v>140.74199999999999</v>
      </c>
      <c r="D102" s="1508">
        <v>1405.56</v>
      </c>
      <c r="E102" s="1508">
        <v>1.0174130782041242</v>
      </c>
      <c r="F102" s="1508">
        <v>2.6472127884938548</v>
      </c>
      <c r="K102" s="1623">
        <v>42159</v>
      </c>
      <c r="L102" s="1624"/>
      <c r="M102" s="1625">
        <v>0</v>
      </c>
      <c r="N102" s="1626">
        <v>1.0315831057986742</v>
      </c>
      <c r="O102" s="1626">
        <v>1.0315831057986742</v>
      </c>
    </row>
    <row r="103" spans="2:15">
      <c r="B103" s="1507">
        <v>35551</v>
      </c>
      <c r="C103" s="1508">
        <v>141.04</v>
      </c>
      <c r="D103" s="1508">
        <v>1411.32</v>
      </c>
      <c r="E103" s="1508">
        <v>1.0173859708262292</v>
      </c>
      <c r="F103" s="1508">
        <v>2.6932371528054295</v>
      </c>
      <c r="K103" s="1623">
        <v>42160</v>
      </c>
      <c r="L103" s="1624" t="s">
        <v>2302</v>
      </c>
      <c r="M103" s="1625">
        <v>5.0788E-2</v>
      </c>
      <c r="N103" s="1626">
        <v>1.0321070262264471</v>
      </c>
      <c r="O103" s="1626">
        <v>1.0321070262264471</v>
      </c>
    </row>
    <row r="104" spans="2:15">
      <c r="B104" s="1507">
        <v>35582</v>
      </c>
      <c r="C104" s="1508">
        <v>142.09</v>
      </c>
      <c r="D104" s="1508">
        <v>1418.94</v>
      </c>
      <c r="E104" s="1508">
        <v>1.0160683269749473</v>
      </c>
      <c r="F104" s="1508">
        <v>2.7365129679977831</v>
      </c>
      <c r="K104" s="1623">
        <v>42161</v>
      </c>
      <c r="L104" s="1624"/>
      <c r="M104" s="1625">
        <v>0</v>
      </c>
      <c r="N104" s="1626">
        <v>1.0321070262264471</v>
      </c>
      <c r="O104" s="1626">
        <v>1.0321070262264471</v>
      </c>
    </row>
    <row r="105" spans="2:15">
      <c r="B105" s="1507">
        <v>35612</v>
      </c>
      <c r="C105" s="1508">
        <v>142.221</v>
      </c>
      <c r="D105" s="1508">
        <v>1422.06</v>
      </c>
      <c r="E105" s="1508">
        <v>1.0160384417373229</v>
      </c>
      <c r="F105" s="1508">
        <v>2.7804023717984441</v>
      </c>
      <c r="K105" s="1623">
        <v>42162</v>
      </c>
      <c r="L105" s="1624"/>
      <c r="M105" s="1625">
        <v>0</v>
      </c>
      <c r="N105" s="1626">
        <v>1.0321070262264471</v>
      </c>
      <c r="O105" s="1626">
        <v>1.0321070262264471</v>
      </c>
    </row>
    <row r="106" spans="2:15">
      <c r="B106" s="1507">
        <v>35643</v>
      </c>
      <c r="C106" s="1508">
        <v>142.35300000000001</v>
      </c>
      <c r="D106" s="1508">
        <v>1421.78</v>
      </c>
      <c r="E106" s="1508">
        <v>1.0158585469231169</v>
      </c>
      <c r="F106" s="1508">
        <v>2.8244955132767555</v>
      </c>
      <c r="K106" s="1623">
        <v>42163</v>
      </c>
      <c r="L106" s="1624" t="s">
        <v>2302</v>
      </c>
      <c r="M106" s="1625">
        <v>5.0788E-2</v>
      </c>
      <c r="N106" s="1626">
        <v>1.0326312127429271</v>
      </c>
      <c r="O106" s="1626">
        <v>1.0326312127429271</v>
      </c>
    </row>
    <row r="107" spans="2:15">
      <c r="B107" s="1507">
        <v>35674</v>
      </c>
      <c r="C107" s="1508">
        <v>143.042</v>
      </c>
      <c r="D107" s="1508">
        <v>1422.63</v>
      </c>
      <c r="E107" s="1508">
        <v>1.0159028051900765</v>
      </c>
      <c r="F107" s="1508">
        <v>2.869412915184641</v>
      </c>
      <c r="K107" s="1623">
        <v>42164</v>
      </c>
      <c r="L107" s="1624" t="s">
        <v>2302</v>
      </c>
      <c r="M107" s="1625">
        <v>5.0788E-2</v>
      </c>
      <c r="N107" s="1626">
        <v>1.033155665483255</v>
      </c>
      <c r="O107" s="1626">
        <v>1.033155665483255</v>
      </c>
    </row>
    <row r="108" spans="2:15">
      <c r="B108" s="1507">
        <v>35704</v>
      </c>
      <c r="C108" s="1508">
        <v>143.56700000000001</v>
      </c>
      <c r="D108" s="1508">
        <v>1425.9</v>
      </c>
      <c r="E108" s="1508">
        <v>1.0167288802763557</v>
      </c>
      <c r="F108" s="1508">
        <v>2.9174149803061935</v>
      </c>
      <c r="K108" s="1623">
        <v>42165</v>
      </c>
      <c r="L108" s="1624" t="s">
        <v>2302</v>
      </c>
      <c r="M108" s="1625">
        <v>5.0788E-2</v>
      </c>
      <c r="N108" s="1626">
        <v>1.0336803845826406</v>
      </c>
      <c r="O108" s="1626">
        <v>1.0336803845826406</v>
      </c>
    </row>
    <row r="109" spans="2:15">
      <c r="B109" s="1507">
        <v>35735</v>
      </c>
      <c r="C109" s="1508">
        <v>144.48099999999999</v>
      </c>
      <c r="D109" s="1508">
        <v>1428.32</v>
      </c>
      <c r="E109" s="1508">
        <v>1.0304347964479648</v>
      </c>
      <c r="F109" s="1508">
        <v>3.0062059113860555</v>
      </c>
      <c r="K109" s="1623">
        <v>42166</v>
      </c>
      <c r="L109" s="1624" t="s">
        <v>2302</v>
      </c>
      <c r="M109" s="1625">
        <v>5.0788E-2</v>
      </c>
      <c r="N109" s="1626">
        <v>1.0342053701763625</v>
      </c>
      <c r="O109" s="1626">
        <v>1.0342053701763625</v>
      </c>
    </row>
    <row r="110" spans="2:15">
      <c r="B110" s="1507">
        <v>35765</v>
      </c>
      <c r="C110" s="1508">
        <v>145.69499999999999</v>
      </c>
      <c r="D110" s="1508">
        <v>1434.46</v>
      </c>
      <c r="E110" s="1508">
        <v>1.0311549813439238</v>
      </c>
      <c r="F110" s="1508">
        <v>3.0998642004712815</v>
      </c>
      <c r="K110" s="1623">
        <v>42167</v>
      </c>
      <c r="L110" s="1624" t="s">
        <v>2302</v>
      </c>
      <c r="M110" s="1625">
        <v>5.0788E-2</v>
      </c>
      <c r="N110" s="1626">
        <v>1.0347306223997677</v>
      </c>
      <c r="O110" s="1626">
        <v>1.0347306223997677</v>
      </c>
    </row>
    <row r="111" spans="2:15">
      <c r="B111" s="1507">
        <v>35796</v>
      </c>
      <c r="C111" s="1508">
        <v>147.09100000000001</v>
      </c>
      <c r="D111" s="1508">
        <v>1444.64</v>
      </c>
      <c r="E111" s="1508">
        <v>1.0280960413836384</v>
      </c>
      <c r="F111" s="1508">
        <v>3.1869581133313818</v>
      </c>
      <c r="K111" s="1623">
        <v>42168</v>
      </c>
      <c r="L111" s="1624"/>
      <c r="M111" s="1625">
        <v>0</v>
      </c>
      <c r="N111" s="1626">
        <v>1.0347306223997677</v>
      </c>
      <c r="O111" s="1626">
        <v>1.0347306223997677</v>
      </c>
    </row>
    <row r="112" spans="2:15">
      <c r="B112" s="1507">
        <v>35827</v>
      </c>
      <c r="C112" s="1508">
        <v>147.35599999999999</v>
      </c>
      <c r="D112" s="1508">
        <v>1451.29</v>
      </c>
      <c r="E112" s="1508">
        <v>1.0236711069024262</v>
      </c>
      <c r="F112" s="1508">
        <v>3.2623969395256034</v>
      </c>
      <c r="K112" s="1623">
        <v>42169</v>
      </c>
      <c r="L112" s="1624"/>
      <c r="M112" s="1625">
        <v>0</v>
      </c>
      <c r="N112" s="1626">
        <v>1.0347306223997677</v>
      </c>
      <c r="O112" s="1626">
        <v>1.0347306223997677</v>
      </c>
    </row>
    <row r="113" spans="2:15">
      <c r="B113" s="1507">
        <v>35855</v>
      </c>
      <c r="C113" s="1508">
        <v>147.63499999999999</v>
      </c>
      <c r="D113" s="1508">
        <v>1456.22</v>
      </c>
      <c r="E113" s="1508">
        <v>1.0220072916308196</v>
      </c>
      <c r="F113" s="1508">
        <v>3.3341934603892365</v>
      </c>
      <c r="K113" s="1623">
        <v>42170</v>
      </c>
      <c r="L113" s="1624" t="s">
        <v>2302</v>
      </c>
      <c r="M113" s="1625">
        <v>5.0788E-2</v>
      </c>
      <c r="N113" s="1626">
        <v>1.0352561413882722</v>
      </c>
      <c r="O113" s="1626">
        <v>1.0352561413882722</v>
      </c>
    </row>
    <row r="114" spans="2:15">
      <c r="B114" s="1507">
        <v>35886</v>
      </c>
      <c r="C114" s="1508">
        <v>147.821</v>
      </c>
      <c r="D114" s="1508">
        <v>1459.71</v>
      </c>
      <c r="E114" s="1508">
        <v>1.0199031041694671</v>
      </c>
      <c r="F114" s="1508">
        <v>3.4005542601525192</v>
      </c>
      <c r="K114" s="1623">
        <v>42171</v>
      </c>
      <c r="L114" s="1624" t="s">
        <v>2302</v>
      </c>
      <c r="M114" s="1625">
        <v>5.0788E-2</v>
      </c>
      <c r="N114" s="1626">
        <v>1.0357819272773605</v>
      </c>
      <c r="O114" s="1626">
        <v>1.0357819272773605</v>
      </c>
    </row>
    <row r="115" spans="2:15">
      <c r="B115" s="1507">
        <v>35916</v>
      </c>
      <c r="C115" s="1508">
        <v>148.02099999999999</v>
      </c>
      <c r="D115" s="1508">
        <v>1467.01</v>
      </c>
      <c r="E115" s="1508">
        <v>1.0171306475499944</v>
      </c>
      <c r="F115" s="1508">
        <v>3.4588079566578238</v>
      </c>
      <c r="K115" s="1623">
        <v>42172</v>
      </c>
      <c r="L115" s="1624" t="s">
        <v>2302</v>
      </c>
      <c r="M115" s="1625">
        <v>5.0788E-2</v>
      </c>
      <c r="N115" s="1626">
        <v>1.0363079802025861</v>
      </c>
      <c r="O115" s="1626">
        <v>1.0363079802025861</v>
      </c>
    </row>
    <row r="116" spans="2:15">
      <c r="B116" s="1507">
        <v>35947</v>
      </c>
      <c r="C116" s="1508">
        <v>148.58799999999999</v>
      </c>
      <c r="D116" s="1508">
        <v>1467.3</v>
      </c>
      <c r="E116" s="1508">
        <v>1.0167959651913006</v>
      </c>
      <c r="F116" s="1508">
        <v>3.5169019747012422</v>
      </c>
      <c r="K116" s="1623">
        <v>42173</v>
      </c>
      <c r="L116" s="1624" t="s">
        <v>2302</v>
      </c>
      <c r="M116" s="1625">
        <v>5.0788E-2</v>
      </c>
      <c r="N116" s="1626">
        <v>1.0368343002995715</v>
      </c>
      <c r="O116" s="1626">
        <v>1.0368343002995715</v>
      </c>
    </row>
    <row r="117" spans="2:15">
      <c r="B117" s="1507">
        <v>35977</v>
      </c>
      <c r="C117" s="1508">
        <v>148.339</v>
      </c>
      <c r="D117" s="1508">
        <v>1465.54</v>
      </c>
      <c r="E117" s="1508">
        <v>1.0170373206405035</v>
      </c>
      <c r="F117" s="1508">
        <v>3.5768205613054471</v>
      </c>
      <c r="K117" s="1623">
        <v>42174</v>
      </c>
      <c r="L117" s="1624" t="s">
        <v>2302</v>
      </c>
      <c r="M117" s="1625">
        <v>5.0788E-2</v>
      </c>
      <c r="N117" s="1626">
        <v>1.0373608877040077</v>
      </c>
      <c r="O117" s="1626">
        <v>1.0373608877040077</v>
      </c>
    </row>
    <row r="118" spans="2:15">
      <c r="B118" s="1507">
        <v>36008</v>
      </c>
      <c r="C118" s="1508">
        <v>148.10900000000001</v>
      </c>
      <c r="D118" s="1508">
        <v>1458.07</v>
      </c>
      <c r="E118" s="1508">
        <v>1.0147631694962493</v>
      </c>
      <c r="F118" s="1508">
        <v>3.6296257695096692</v>
      </c>
      <c r="K118" s="1623">
        <v>42175</v>
      </c>
      <c r="L118" s="1624"/>
      <c r="M118" s="1625">
        <v>0</v>
      </c>
      <c r="N118" s="1626">
        <v>1.0373608877040077</v>
      </c>
      <c r="O118" s="1626">
        <v>1.0373608877040077</v>
      </c>
    </row>
    <row r="119" spans="2:15">
      <c r="B119" s="1507">
        <v>36039</v>
      </c>
      <c r="C119" s="1508">
        <v>147.98400000000001</v>
      </c>
      <c r="D119" s="1508">
        <v>1454.86</v>
      </c>
      <c r="E119" s="1508">
        <v>1.0255896332244516</v>
      </c>
      <c r="F119" s="1508">
        <v>3.7225065616934394</v>
      </c>
      <c r="K119" s="1623">
        <v>42176</v>
      </c>
      <c r="L119" s="1624"/>
      <c r="M119" s="1625">
        <v>0</v>
      </c>
      <c r="N119" s="1626">
        <v>1.0373608877040077</v>
      </c>
      <c r="O119" s="1626">
        <v>1.0373608877040077</v>
      </c>
    </row>
    <row r="120" spans="2:15">
      <c r="B120" s="1507">
        <v>36069</v>
      </c>
      <c r="C120" s="1508">
        <v>148.1</v>
      </c>
      <c r="D120" s="1508">
        <v>1455.15</v>
      </c>
      <c r="E120" s="1508">
        <v>1.0308188720930029</v>
      </c>
      <c r="F120" s="1508">
        <v>3.8372300152836338</v>
      </c>
      <c r="K120" s="1623">
        <v>42177</v>
      </c>
      <c r="L120" s="1624" t="s">
        <v>2302</v>
      </c>
      <c r="M120" s="1625">
        <v>5.0788E-2</v>
      </c>
      <c r="N120" s="1626">
        <v>1.0378877425516548</v>
      </c>
      <c r="O120" s="1626">
        <v>1.0378877425516548</v>
      </c>
    </row>
    <row r="121" spans="2:15">
      <c r="B121" s="1507">
        <v>36100</v>
      </c>
      <c r="C121" s="1508">
        <v>147.62799999999999</v>
      </c>
      <c r="D121" s="1508">
        <v>1453.4</v>
      </c>
      <c r="E121" s="1508">
        <v>1.0277678356785036</v>
      </c>
      <c r="F121" s="1508">
        <v>3.9437815878086515</v>
      </c>
      <c r="K121" s="1623">
        <v>42178</v>
      </c>
      <c r="L121" s="1624" t="s">
        <v>2302</v>
      </c>
      <c r="M121" s="1625">
        <v>5.0788E-2</v>
      </c>
      <c r="N121" s="1626">
        <v>1.038414864978342</v>
      </c>
      <c r="O121" s="1626">
        <v>1.038414864978342</v>
      </c>
    </row>
    <row r="122" spans="2:15">
      <c r="B122" s="1507">
        <v>36130</v>
      </c>
      <c r="C122" s="1508">
        <v>148.291</v>
      </c>
      <c r="D122" s="1508">
        <v>1458.2</v>
      </c>
      <c r="E122" s="1508">
        <v>1.025049538167373</v>
      </c>
      <c r="F122" s="1508">
        <v>4.0425714952162473</v>
      </c>
      <c r="K122" s="1623">
        <v>42179</v>
      </c>
      <c r="L122" s="1624" t="s">
        <v>2302</v>
      </c>
      <c r="M122" s="1625">
        <v>5.0788E-2</v>
      </c>
      <c r="N122" s="1626">
        <v>1.0389422551199672</v>
      </c>
      <c r="O122" s="1626">
        <v>1.0389422551199672</v>
      </c>
    </row>
    <row r="123" spans="2:15">
      <c r="B123" s="1507">
        <v>36161</v>
      </c>
      <c r="C123" s="1508">
        <v>149.53299999999999</v>
      </c>
      <c r="D123" s="1508">
        <v>1468.41</v>
      </c>
      <c r="E123" s="1508">
        <v>1.022811290449001</v>
      </c>
      <c r="F123" s="1508">
        <v>4.1347877677544771</v>
      </c>
      <c r="K123" s="1623">
        <v>42180</v>
      </c>
      <c r="L123" s="1624" t="s">
        <v>2302</v>
      </c>
      <c r="M123" s="1625">
        <v>5.0788E-2</v>
      </c>
      <c r="N123" s="1626">
        <v>1.0394699131124976</v>
      </c>
      <c r="O123" s="1626">
        <v>1.0394699131124976</v>
      </c>
    </row>
    <row r="124" spans="2:15">
      <c r="B124" s="1507">
        <v>36192</v>
      </c>
      <c r="C124" s="1508">
        <v>154.93299999999999</v>
      </c>
      <c r="D124" s="1508">
        <v>1483.83</v>
      </c>
      <c r="E124" s="1508">
        <v>1.0264662861429437</v>
      </c>
      <c r="F124" s="1508">
        <v>4.2442202439562102</v>
      </c>
      <c r="K124" s="1623">
        <v>42181</v>
      </c>
      <c r="L124" s="1624" t="s">
        <v>2302</v>
      </c>
      <c r="M124" s="1625">
        <v>5.0788E-2</v>
      </c>
      <c r="N124" s="1626">
        <v>1.0399978390919691</v>
      </c>
      <c r="O124" s="1626">
        <v>1.0399978390919691</v>
      </c>
    </row>
    <row r="125" spans="2:15">
      <c r="B125" s="1507">
        <v>36220</v>
      </c>
      <c r="C125" s="1508">
        <v>159.32499999999999</v>
      </c>
      <c r="D125" s="1508">
        <v>1500.15</v>
      </c>
      <c r="E125" s="1508">
        <v>1.033345195070198</v>
      </c>
      <c r="F125" s="1508">
        <v>4.3857445959118131</v>
      </c>
      <c r="K125" s="1623">
        <v>42182</v>
      </c>
      <c r="L125" s="1624"/>
      <c r="M125" s="1625">
        <v>0</v>
      </c>
      <c r="N125" s="1626">
        <v>1.0399978390919691</v>
      </c>
      <c r="O125" s="1626">
        <v>1.0399978390919691</v>
      </c>
    </row>
    <row r="126" spans="2:15">
      <c r="B126" s="1507">
        <v>36251</v>
      </c>
      <c r="C126" s="1508">
        <v>160.459</v>
      </c>
      <c r="D126" s="1508">
        <v>1508.55</v>
      </c>
      <c r="E126" s="1508">
        <v>1.027563660965396</v>
      </c>
      <c r="F126" s="1508">
        <v>4.5066317730343437</v>
      </c>
      <c r="K126" s="1623">
        <v>42183</v>
      </c>
      <c r="L126" s="1624"/>
      <c r="M126" s="1625">
        <v>0</v>
      </c>
      <c r="N126" s="1626">
        <v>1.0399978390919691</v>
      </c>
      <c r="O126" s="1626">
        <v>1.0399978390919691</v>
      </c>
    </row>
    <row r="127" spans="2:15">
      <c r="B127" s="1507">
        <v>36281</v>
      </c>
      <c r="C127" s="1508">
        <v>159.99600000000001</v>
      </c>
      <c r="D127" s="1508">
        <v>1513.08</v>
      </c>
      <c r="E127" s="1508">
        <v>1.0201883000304468</v>
      </c>
      <c r="F127" s="1508">
        <v>4.5976130073951058</v>
      </c>
      <c r="K127" s="1623">
        <v>42184</v>
      </c>
      <c r="L127" s="1624" t="s">
        <v>2302</v>
      </c>
      <c r="M127" s="1625">
        <v>5.0788E-2</v>
      </c>
      <c r="N127" s="1626">
        <v>1.0405260331944872</v>
      </c>
      <c r="O127" s="1626">
        <v>1.0405260331944872</v>
      </c>
    </row>
    <row r="128" spans="2:15">
      <c r="B128" s="1507">
        <v>36312</v>
      </c>
      <c r="C128" s="1508">
        <v>160.57300000000001</v>
      </c>
      <c r="D128" s="1508">
        <v>1515.95</v>
      </c>
      <c r="E128" s="1508">
        <v>1.0175637707499077</v>
      </c>
      <c r="F128" s="1508">
        <v>4.6783644282537873</v>
      </c>
      <c r="K128" s="1623">
        <v>42185</v>
      </c>
      <c r="L128" s="1624" t="s">
        <v>2302</v>
      </c>
      <c r="M128" s="1625">
        <v>5.0788E-2</v>
      </c>
      <c r="N128" s="1626">
        <v>1.041054495556226</v>
      </c>
      <c r="O128" s="1626">
        <v>1.041054495556226</v>
      </c>
    </row>
    <row r="129" spans="2:15">
      <c r="B129" s="1507">
        <v>36342</v>
      </c>
      <c r="C129" s="1508">
        <v>163.06</v>
      </c>
      <c r="D129" s="1508">
        <v>1532.47</v>
      </c>
      <c r="E129" s="1508">
        <v>1.0165876375704719</v>
      </c>
      <c r="F129" s="1508">
        <v>4.7559674418122491</v>
      </c>
      <c r="K129" s="1623">
        <v>42186</v>
      </c>
      <c r="L129" s="1624" t="s">
        <v>2302</v>
      </c>
      <c r="M129" s="1625">
        <v>5.0788E-2</v>
      </c>
      <c r="N129" s="1626">
        <v>1.041583226313429</v>
      </c>
      <c r="O129" s="1626">
        <v>1.041583226313429</v>
      </c>
    </row>
    <row r="130" spans="2:15">
      <c r="B130" s="1507">
        <v>36373</v>
      </c>
      <c r="C130" s="1508">
        <v>165.60300000000001</v>
      </c>
      <c r="D130" s="1508">
        <v>1541.05</v>
      </c>
      <c r="E130" s="1508">
        <v>1.0156847483880824</v>
      </c>
      <c r="F130" s="1508">
        <v>4.8305635944789866</v>
      </c>
      <c r="K130" s="1623">
        <v>42187</v>
      </c>
      <c r="L130" s="1624" t="s">
        <v>2302</v>
      </c>
      <c r="M130" s="1625">
        <v>5.0788E-2</v>
      </c>
      <c r="N130" s="1626">
        <v>1.0421122256024091</v>
      </c>
      <c r="O130" s="1626">
        <v>1.0421122256024091</v>
      </c>
    </row>
    <row r="131" spans="2:15">
      <c r="B131" s="1507">
        <v>36404</v>
      </c>
      <c r="C131" s="1508">
        <v>167.99700000000001</v>
      </c>
      <c r="D131" s="1508">
        <v>1545.83</v>
      </c>
      <c r="E131" s="1508">
        <v>1.0155901672784533</v>
      </c>
      <c r="F131" s="1508">
        <v>4.9058728889661207</v>
      </c>
      <c r="K131" s="1623">
        <v>42188</v>
      </c>
      <c r="L131" s="1624" t="s">
        <v>2302</v>
      </c>
      <c r="M131" s="1625">
        <v>5.0788E-2</v>
      </c>
      <c r="N131" s="1626">
        <v>1.042641493559548</v>
      </c>
      <c r="O131" s="1626">
        <v>1.042641493559548</v>
      </c>
    </row>
    <row r="132" spans="2:15">
      <c r="B132" s="1507">
        <v>36434</v>
      </c>
      <c r="C132" s="1508">
        <v>170.86099999999999</v>
      </c>
      <c r="D132" s="1508">
        <v>1564.23</v>
      </c>
      <c r="E132" s="1508">
        <v>1.0145370189540868</v>
      </c>
      <c r="F132" s="1508">
        <v>4.9771896561393616</v>
      </c>
      <c r="K132" s="1623">
        <v>42189</v>
      </c>
      <c r="L132" s="1624"/>
      <c r="M132" s="1625">
        <v>0</v>
      </c>
      <c r="N132" s="1626">
        <v>1.042641493559548</v>
      </c>
      <c r="O132" s="1626">
        <v>1.042641493559548</v>
      </c>
    </row>
    <row r="133" spans="2:15">
      <c r="B133" s="1507">
        <v>36465</v>
      </c>
      <c r="C133" s="1508">
        <v>174.93899999999999</v>
      </c>
      <c r="D133" s="1508">
        <v>1579.09</v>
      </c>
      <c r="E133" s="1508">
        <v>1.0152599173733607</v>
      </c>
      <c r="F133" s="1508">
        <v>5.0531411590435944</v>
      </c>
      <c r="K133" s="1623">
        <v>42190</v>
      </c>
      <c r="L133" s="1624"/>
      <c r="M133" s="1625">
        <v>0</v>
      </c>
      <c r="N133" s="1626">
        <v>1.042641493559548</v>
      </c>
      <c r="O133" s="1626">
        <v>1.042641493559548</v>
      </c>
    </row>
    <row r="134" spans="2:15">
      <c r="B134" s="1507">
        <v>36495</v>
      </c>
      <c r="C134" s="1508">
        <v>178.09899999999999</v>
      </c>
      <c r="D134" s="1508">
        <v>1588.56</v>
      </c>
      <c r="E134" s="1508">
        <v>1.0159962861507461</v>
      </c>
      <c r="F134" s="1508">
        <v>5.1339726509837682</v>
      </c>
      <c r="K134" s="1623">
        <v>42191</v>
      </c>
      <c r="L134" s="1624" t="s">
        <v>2302</v>
      </c>
      <c r="M134" s="1625">
        <v>5.0788E-2</v>
      </c>
      <c r="N134" s="1626">
        <v>1.0431710303212971</v>
      </c>
      <c r="O134" s="1626">
        <v>1.0431710303212971</v>
      </c>
    </row>
    <row r="135" spans="2:15">
      <c r="B135" s="1507">
        <v>36526</v>
      </c>
      <c r="C135" s="1508">
        <v>180.30099999999999</v>
      </c>
      <c r="D135" s="1508">
        <v>1598.41</v>
      </c>
      <c r="E135" s="1508">
        <v>1.0145573263269665</v>
      </c>
      <c r="F135" s="1508">
        <v>5.20870956621786</v>
      </c>
      <c r="K135" s="1623">
        <v>42192</v>
      </c>
      <c r="L135" s="1624" t="s">
        <v>2302</v>
      </c>
      <c r="M135" s="1625">
        <v>5.0788E-2</v>
      </c>
      <c r="N135" s="1626">
        <v>1.0437008360241766</v>
      </c>
      <c r="O135" s="1626">
        <v>1.0437008360241766</v>
      </c>
    </row>
    <row r="136" spans="2:15">
      <c r="B136" s="1507">
        <v>36557</v>
      </c>
      <c r="C136" s="1508">
        <v>180.935</v>
      </c>
      <c r="D136" s="1508">
        <v>1600.49</v>
      </c>
      <c r="E136" s="1508">
        <v>1.0145089461247463</v>
      </c>
      <c r="F136" s="1508">
        <v>5.2842824526935654</v>
      </c>
      <c r="K136" s="1623">
        <v>42193</v>
      </c>
      <c r="L136" s="1624" t="s">
        <v>2302</v>
      </c>
      <c r="M136" s="1625">
        <v>5.0788E-2</v>
      </c>
      <c r="N136" s="1626">
        <v>1.0442309108047767</v>
      </c>
      <c r="O136" s="1626">
        <v>1.0442309108047767</v>
      </c>
    </row>
    <row r="137" spans="2:15">
      <c r="B137" s="1507">
        <v>36586</v>
      </c>
      <c r="C137" s="1508">
        <v>181.214</v>
      </c>
      <c r="D137" s="1508">
        <v>1604.01</v>
      </c>
      <c r="E137" s="1508">
        <v>1.0158860407835757</v>
      </c>
      <c r="F137" s="1508">
        <v>5.3682287792489891</v>
      </c>
      <c r="K137" s="1623">
        <v>42194</v>
      </c>
      <c r="L137" s="1624" t="s">
        <v>2302</v>
      </c>
      <c r="M137" s="1625">
        <v>5.0788E-2</v>
      </c>
      <c r="N137" s="1626">
        <v>1.0447612547997562</v>
      </c>
      <c r="O137" s="1626">
        <v>1.0447612547997562</v>
      </c>
    </row>
    <row r="138" spans="2:15">
      <c r="B138" s="1507">
        <v>36617</v>
      </c>
      <c r="C138" s="1508">
        <v>181.63499999999999</v>
      </c>
      <c r="D138" s="1508">
        <v>1610.75</v>
      </c>
      <c r="E138" s="1508">
        <v>1.0136441914221253</v>
      </c>
      <c r="F138" s="1508">
        <v>5.4414739203108242</v>
      </c>
      <c r="K138" s="1623">
        <v>42195</v>
      </c>
      <c r="L138" s="1624" t="s">
        <v>2302</v>
      </c>
      <c r="M138" s="1625">
        <v>5.0788E-2</v>
      </c>
      <c r="N138" s="1626">
        <v>1.0452918681458438</v>
      </c>
      <c r="O138" s="1626">
        <v>1.0452918681458438</v>
      </c>
    </row>
    <row r="139" spans="2:15">
      <c r="B139" s="1507">
        <v>36647</v>
      </c>
      <c r="C139" s="1508">
        <v>182.18899999999999</v>
      </c>
      <c r="D139" s="1508">
        <v>1610.91</v>
      </c>
      <c r="E139" s="1508">
        <v>1.0156265899953318</v>
      </c>
      <c r="F139" s="1508">
        <v>5.5265056022338124</v>
      </c>
      <c r="K139" s="1623">
        <v>42196</v>
      </c>
      <c r="L139" s="1624"/>
      <c r="M139" s="1625">
        <v>0</v>
      </c>
      <c r="N139" s="1626">
        <v>1.0452918681458438</v>
      </c>
      <c r="O139" s="1626">
        <v>1.0452918681458438</v>
      </c>
    </row>
    <row r="140" spans="2:15">
      <c r="B140" s="1507">
        <v>36678</v>
      </c>
      <c r="C140" s="1508">
        <v>183.745</v>
      </c>
      <c r="D140" s="1508">
        <v>1614.62</v>
      </c>
      <c r="E140" s="1508">
        <v>1.0145668910909638</v>
      </c>
      <c r="F140" s="1508">
        <v>5.6070096074551534</v>
      </c>
      <c r="K140" s="1623">
        <v>42197</v>
      </c>
      <c r="L140" s="1624"/>
      <c r="M140" s="1625">
        <v>0</v>
      </c>
      <c r="N140" s="1626">
        <v>1.0452918681458438</v>
      </c>
      <c r="O140" s="1626">
        <v>1.0452918681458438</v>
      </c>
    </row>
    <row r="141" spans="2:15">
      <c r="B141" s="1507">
        <v>36708</v>
      </c>
      <c r="C141" s="1508">
        <v>186.63399999999999</v>
      </c>
      <c r="D141" s="1508">
        <v>1640.62</v>
      </c>
      <c r="E141" s="1508">
        <v>1.0130599958288005</v>
      </c>
      <c r="F141" s="1508">
        <v>5.6802371295405623</v>
      </c>
      <c r="K141" s="1623">
        <v>42198</v>
      </c>
      <c r="L141" s="1624" t="s">
        <v>2302</v>
      </c>
      <c r="M141" s="1625">
        <v>5.0788E-2</v>
      </c>
      <c r="N141" s="1626">
        <v>1.0458227509798377</v>
      </c>
      <c r="O141" s="1626">
        <v>1.0458227509798377</v>
      </c>
    </row>
    <row r="142" spans="2:15">
      <c r="B142" s="1507">
        <v>36739</v>
      </c>
      <c r="C142" s="1508">
        <v>191.08699999999999</v>
      </c>
      <c r="D142" s="1508">
        <v>1662.11</v>
      </c>
      <c r="E142" s="1508">
        <v>1.0140543715890855</v>
      </c>
      <c r="F142" s="1508">
        <v>5.7600692928732462</v>
      </c>
      <c r="K142" s="1623">
        <v>42199</v>
      </c>
      <c r="L142" s="1624" t="s">
        <v>2302</v>
      </c>
      <c r="M142" s="1625">
        <v>5.0788E-2</v>
      </c>
      <c r="N142" s="1626">
        <v>1.0463539034386053</v>
      </c>
      <c r="O142" s="1626">
        <v>1.0463539034386053</v>
      </c>
    </row>
    <row r="143" spans="2:15">
      <c r="B143" s="1507">
        <v>36770</v>
      </c>
      <c r="C143" s="1508">
        <v>193.297</v>
      </c>
      <c r="D143" s="1508">
        <v>1665.93</v>
      </c>
      <c r="E143" s="1508">
        <v>1.0128508890656427</v>
      </c>
      <c r="F143" s="1508">
        <v>5.8340913043663756</v>
      </c>
      <c r="K143" s="1623">
        <v>42200</v>
      </c>
      <c r="L143" s="1624" t="s">
        <v>2302</v>
      </c>
      <c r="M143" s="1625">
        <v>5.0788E-2</v>
      </c>
      <c r="N143" s="1626">
        <v>1.0468853256590838</v>
      </c>
      <c r="O143" s="1626">
        <v>1.0468853256590838</v>
      </c>
    </row>
    <row r="144" spans="2:15">
      <c r="B144" s="1507">
        <v>36800</v>
      </c>
      <c r="C144" s="1508">
        <v>194.04</v>
      </c>
      <c r="D144" s="1508">
        <v>1668.26</v>
      </c>
      <c r="E144" s="1508">
        <v>1.013495295624836</v>
      </c>
      <c r="F144" s="1508">
        <v>5.9128240912210845</v>
      </c>
      <c r="K144" s="1623">
        <v>42201</v>
      </c>
      <c r="L144" s="1624" t="s">
        <v>2302</v>
      </c>
      <c r="M144" s="1625">
        <v>5.0788E-2</v>
      </c>
      <c r="N144" s="1626">
        <v>1.0474170177782796</v>
      </c>
      <c r="O144" s="1626">
        <v>1.0474170177782796</v>
      </c>
    </row>
    <row r="145" spans="2:15">
      <c r="B145" s="1507">
        <v>36831</v>
      </c>
      <c r="C145" s="1508">
        <v>194.59899999999999</v>
      </c>
      <c r="D145" s="1508">
        <v>1673.6</v>
      </c>
      <c r="E145" s="1508">
        <v>1.013431060777086</v>
      </c>
      <c r="F145" s="1508">
        <v>5.992239590954493</v>
      </c>
      <c r="K145" s="1623">
        <v>42202</v>
      </c>
      <c r="L145" s="1624" t="s">
        <v>2302</v>
      </c>
      <c r="M145" s="1625">
        <v>5.0788E-2</v>
      </c>
      <c r="N145" s="1626">
        <v>1.0479489799332689</v>
      </c>
      <c r="O145" s="1626">
        <v>1.0479489799332689</v>
      </c>
    </row>
    <row r="146" spans="2:15">
      <c r="B146" s="1507">
        <v>36861</v>
      </c>
      <c r="C146" s="1508">
        <v>195.827</v>
      </c>
      <c r="D146" s="1508">
        <v>1683.47</v>
      </c>
      <c r="E146" s="1508">
        <v>1.0125716392096709</v>
      </c>
      <c r="F146" s="1508">
        <v>6.0675718651498789</v>
      </c>
      <c r="K146" s="1623">
        <v>42203</v>
      </c>
      <c r="L146" s="1624"/>
      <c r="M146" s="1625">
        <v>0</v>
      </c>
      <c r="N146" s="1626">
        <v>1.0479489799332689</v>
      </c>
      <c r="O146" s="1626">
        <v>1.0479489799332689</v>
      </c>
    </row>
    <row r="147" spans="2:15">
      <c r="B147" s="1507">
        <v>36892</v>
      </c>
      <c r="C147" s="1508">
        <v>197.04499999999999</v>
      </c>
      <c r="D147" s="1508">
        <v>1693.07</v>
      </c>
      <c r="E147" s="1508">
        <v>1.0126506879847863</v>
      </c>
      <c r="F147" s="1508">
        <v>6.144330823641158</v>
      </c>
      <c r="K147" s="1623">
        <v>42204</v>
      </c>
      <c r="L147" s="1624"/>
      <c r="M147" s="1625">
        <v>0</v>
      </c>
      <c r="N147" s="1626">
        <v>1.0479489799332689</v>
      </c>
      <c r="O147" s="1626">
        <v>1.0479489799332689</v>
      </c>
    </row>
    <row r="148" spans="2:15">
      <c r="B148" s="1507">
        <v>36923</v>
      </c>
      <c r="C148" s="1508">
        <v>197.49100000000001</v>
      </c>
      <c r="D148" s="1508">
        <v>1700.86</v>
      </c>
      <c r="E148" s="1508">
        <v>1.0101583510827936</v>
      </c>
      <c r="F148" s="1508">
        <v>6.206747093316535</v>
      </c>
      <c r="K148" s="1623">
        <v>42205</v>
      </c>
      <c r="L148" s="1624" t="s">
        <v>2302</v>
      </c>
      <c r="M148" s="1625">
        <v>5.0788E-2</v>
      </c>
      <c r="N148" s="1626">
        <v>1.0484812122611973</v>
      </c>
      <c r="O148" s="1626">
        <v>1.0484812122611973</v>
      </c>
    </row>
    <row r="149" spans="2:15">
      <c r="B149" s="1507">
        <v>36951</v>
      </c>
      <c r="C149" s="1508">
        <v>198.60599999999999</v>
      </c>
      <c r="D149" s="1508">
        <v>1707.32</v>
      </c>
      <c r="E149" s="1508">
        <v>1.0125785495836725</v>
      </c>
      <c r="F149" s="1508">
        <v>6.2848189693831324</v>
      </c>
      <c r="K149" s="1623">
        <v>42206</v>
      </c>
      <c r="L149" s="1624" t="s">
        <v>2302</v>
      </c>
      <c r="M149" s="1625">
        <v>5.0788E-2</v>
      </c>
      <c r="N149" s="1626">
        <v>1.0490137148992804</v>
      </c>
      <c r="O149" s="1626">
        <v>1.0490137148992804</v>
      </c>
    </row>
    <row r="150" spans="2:15">
      <c r="B150" s="1507">
        <v>36982</v>
      </c>
      <c r="C150" s="1508">
        <v>200.59100000000001</v>
      </c>
      <c r="D150" s="1508">
        <v>1717.22</v>
      </c>
      <c r="E150" s="1508">
        <v>1.0118637336714187</v>
      </c>
      <c r="F150" s="1508">
        <v>6.3593803878089741</v>
      </c>
      <c r="K150" s="1623">
        <v>42207</v>
      </c>
      <c r="L150" s="1624" t="s">
        <v>2302</v>
      </c>
      <c r="M150" s="1625">
        <v>5.0788E-2</v>
      </c>
      <c r="N150" s="1626">
        <v>1.0495464879848035</v>
      </c>
      <c r="O150" s="1626">
        <v>1.0495464879848035</v>
      </c>
    </row>
    <row r="151" spans="2:15">
      <c r="B151" s="1507">
        <v>37012</v>
      </c>
      <c r="C151" s="1508">
        <v>202.32400000000001</v>
      </c>
      <c r="D151" s="1508">
        <v>1724.26</v>
      </c>
      <c r="E151" s="1508">
        <v>1.0133677002760824</v>
      </c>
      <c r="F151" s="1508">
        <v>6.4443906787748011</v>
      </c>
      <c r="K151" s="1623">
        <v>42208</v>
      </c>
      <c r="L151" s="1624" t="s">
        <v>2302</v>
      </c>
      <c r="M151" s="1625">
        <v>5.0788E-2</v>
      </c>
      <c r="N151" s="1626">
        <v>1.0500795316551212</v>
      </c>
      <c r="O151" s="1626">
        <v>1.0500795316551212</v>
      </c>
    </row>
    <row r="152" spans="2:15">
      <c r="B152" s="1507">
        <v>37043</v>
      </c>
      <c r="C152" s="1508">
        <v>204.31</v>
      </c>
      <c r="D152" s="1508">
        <v>1733.23</v>
      </c>
      <c r="E152" s="1508">
        <v>1.0127331554566117</v>
      </c>
      <c r="F152" s="1508">
        <v>6.5264481071107801</v>
      </c>
      <c r="K152" s="1623">
        <v>42209</v>
      </c>
      <c r="L152" s="1624" t="s">
        <v>2302</v>
      </c>
      <c r="M152" s="1625">
        <v>5.0788E-2</v>
      </c>
      <c r="N152" s="1626">
        <v>1.0506128460476583</v>
      </c>
      <c r="O152" s="1626">
        <v>1.0506128460476583</v>
      </c>
    </row>
    <row r="153" spans="2:15">
      <c r="B153" s="1507">
        <v>37073</v>
      </c>
      <c r="C153" s="1508">
        <v>207.34100000000001</v>
      </c>
      <c r="D153" s="1508">
        <v>1756.28</v>
      </c>
      <c r="E153" s="1508">
        <v>1.014979822756394</v>
      </c>
      <c r="F153" s="1508">
        <v>6.6242131429841029</v>
      </c>
      <c r="K153" s="1623">
        <v>42210</v>
      </c>
      <c r="L153" s="1624"/>
      <c r="M153" s="1625">
        <v>0</v>
      </c>
      <c r="N153" s="1626">
        <v>1.0506128460476583</v>
      </c>
      <c r="O153" s="1626">
        <v>1.0506128460476583</v>
      </c>
    </row>
    <row r="154" spans="2:15">
      <c r="B154" s="1507">
        <v>37104</v>
      </c>
      <c r="C154" s="1508">
        <v>210.21100000000001</v>
      </c>
      <c r="D154" s="1508">
        <v>1768.57</v>
      </c>
      <c r="E154" s="1508">
        <v>1.0160000122718875</v>
      </c>
      <c r="F154" s="1508">
        <v>6.7302006345634471</v>
      </c>
      <c r="K154" s="1623">
        <v>42211</v>
      </c>
      <c r="L154" s="1624"/>
      <c r="M154" s="1625">
        <v>0</v>
      </c>
      <c r="N154" s="1626">
        <v>1.0506128460476583</v>
      </c>
      <c r="O154" s="1626">
        <v>1.0506128460476583</v>
      </c>
    </row>
    <row r="155" spans="2:15">
      <c r="B155" s="1507">
        <v>37135</v>
      </c>
      <c r="C155" s="1508">
        <v>210.85300000000001</v>
      </c>
      <c r="D155" s="1508">
        <v>1773.52</v>
      </c>
      <c r="E155" s="1508">
        <v>1.013243107438228</v>
      </c>
      <c r="F155" s="1508">
        <v>6.8193294046478012</v>
      </c>
      <c r="K155" s="1623">
        <v>42212</v>
      </c>
      <c r="L155" s="1624" t="s">
        <v>2302</v>
      </c>
      <c r="M155" s="1625">
        <v>5.0788E-2</v>
      </c>
      <c r="N155" s="1626">
        <v>1.051146431299909</v>
      </c>
      <c r="O155" s="1626">
        <v>1.051146431299909</v>
      </c>
    </row>
    <row r="156" spans="2:15">
      <c r="B156" s="1507">
        <v>37165</v>
      </c>
      <c r="C156" s="1508">
        <v>213.339</v>
      </c>
      <c r="D156" s="1508">
        <v>1788.24</v>
      </c>
      <c r="E156" s="1508">
        <v>1.0153493751182632</v>
      </c>
      <c r="F156" s="1508">
        <v>6.9240018497347426</v>
      </c>
      <c r="K156" s="1623">
        <v>42213</v>
      </c>
      <c r="L156" s="1624" t="s">
        <v>2302</v>
      </c>
      <c r="M156" s="1625">
        <v>5.0788E-2</v>
      </c>
      <c r="N156" s="1626">
        <v>1.0516802875494375</v>
      </c>
      <c r="O156" s="1626">
        <v>1.0516802875494375</v>
      </c>
    </row>
    <row r="157" spans="2:15">
      <c r="B157" s="1507">
        <v>37196</v>
      </c>
      <c r="C157" s="1508">
        <v>215.685</v>
      </c>
      <c r="D157" s="1508">
        <v>1800.94</v>
      </c>
      <c r="E157" s="1508">
        <v>1.0139343824698488</v>
      </c>
      <c r="F157" s="1508">
        <v>7.0204835397308871</v>
      </c>
      <c r="K157" s="1623">
        <v>42214</v>
      </c>
      <c r="L157" s="1624" t="s">
        <v>2302</v>
      </c>
      <c r="M157" s="1625">
        <v>5.0788E-2</v>
      </c>
      <c r="N157" s="1626">
        <v>1.0522144149338781</v>
      </c>
      <c r="O157" s="1626">
        <v>1.0522144149338781</v>
      </c>
    </row>
    <row r="158" spans="2:15">
      <c r="B158" s="1507">
        <v>37226</v>
      </c>
      <c r="C158" s="1508">
        <v>216.16300000000001</v>
      </c>
      <c r="D158" s="1508">
        <v>1812.65</v>
      </c>
      <c r="E158" s="1508">
        <v>1.0139354159682339</v>
      </c>
      <c r="F158" s="1508">
        <v>7.1183168981551761</v>
      </c>
      <c r="K158" s="1623">
        <v>42215</v>
      </c>
      <c r="L158" s="1624" t="s">
        <v>2302</v>
      </c>
      <c r="M158" s="1625">
        <v>5.2531000000000001E-2</v>
      </c>
      <c r="N158" s="1626">
        <v>1.0527671536881871</v>
      </c>
      <c r="O158" s="1626">
        <v>1.0527671536881871</v>
      </c>
    </row>
    <row r="159" spans="2:15">
      <c r="B159" s="1507">
        <v>37257</v>
      </c>
      <c r="C159" s="1508">
        <v>216.94399999999999</v>
      </c>
      <c r="D159" s="1508">
        <v>1822.08</v>
      </c>
      <c r="E159" s="1508">
        <v>1.0153395939759675</v>
      </c>
      <c r="F159" s="1508">
        <v>7.2275089891651447</v>
      </c>
      <c r="K159" s="1623">
        <v>42216</v>
      </c>
      <c r="L159" s="1624" t="s">
        <v>2302</v>
      </c>
      <c r="M159" s="1625">
        <v>5.2531000000000001E-2</v>
      </c>
      <c r="N159" s="1626">
        <v>1.0533201828016909</v>
      </c>
      <c r="O159" s="1626">
        <v>1.0533201828016909</v>
      </c>
    </row>
    <row r="160" spans="2:15">
      <c r="B160" s="1507">
        <v>37288</v>
      </c>
      <c r="C160" s="1508">
        <v>217.07400000000001</v>
      </c>
      <c r="D160" s="1508">
        <v>1828.64</v>
      </c>
      <c r="E160" s="1508">
        <v>1.012482154231837</v>
      </c>
      <c r="F160" s="1508">
        <v>7.3177238710798918</v>
      </c>
      <c r="K160" s="1623">
        <v>42217</v>
      </c>
      <c r="L160" s="1624"/>
      <c r="M160" s="1625">
        <v>0</v>
      </c>
      <c r="N160" s="1626">
        <v>1.0533201828016909</v>
      </c>
      <c r="O160" s="1626">
        <v>1.0533201828016909</v>
      </c>
    </row>
    <row r="161" spans="2:15">
      <c r="B161" s="1507">
        <v>37316</v>
      </c>
      <c r="C161" s="1508">
        <v>217.27600000000001</v>
      </c>
      <c r="D161" s="1508">
        <v>1839.61</v>
      </c>
      <c r="E161" s="1508">
        <v>1.013713327882185</v>
      </c>
      <c r="F161" s="1508">
        <v>7.4180742178753025</v>
      </c>
      <c r="K161" s="1623">
        <v>42218</v>
      </c>
      <c r="L161" s="1624"/>
      <c r="M161" s="1625">
        <v>0</v>
      </c>
      <c r="N161" s="1626">
        <v>1.0533201828016909</v>
      </c>
      <c r="O161" s="1626">
        <v>1.0533201828016909</v>
      </c>
    </row>
    <row r="162" spans="2:15">
      <c r="B162" s="1507">
        <v>37347</v>
      </c>
      <c r="C162" s="1508">
        <v>218.48599999999999</v>
      </c>
      <c r="D162" s="1508">
        <v>1854.33</v>
      </c>
      <c r="E162" s="1508">
        <v>1.0148356719718208</v>
      </c>
      <c r="F162" s="1508">
        <v>7.5281263336343214</v>
      </c>
      <c r="K162" s="1623">
        <v>42219</v>
      </c>
      <c r="L162" s="1624" t="s">
        <v>2302</v>
      </c>
      <c r="M162" s="1625">
        <v>5.2531000000000001E-2</v>
      </c>
      <c r="N162" s="1626">
        <v>1.0538735024269186</v>
      </c>
      <c r="O162" s="1626">
        <v>1.0538735024269186</v>
      </c>
    </row>
    <row r="163" spans="2:15">
      <c r="B163" s="1507">
        <v>37377</v>
      </c>
      <c r="C163" s="1508">
        <v>220.292</v>
      </c>
      <c r="D163" s="1508">
        <v>1858.22</v>
      </c>
      <c r="E163" s="1508">
        <v>1.0141498936566418</v>
      </c>
      <c r="F163" s="1508">
        <v>7.6346485206890113</v>
      </c>
      <c r="K163" s="1623">
        <v>42220</v>
      </c>
      <c r="L163" s="1624" t="s">
        <v>2302</v>
      </c>
      <c r="M163" s="1625">
        <v>5.2531000000000001E-2</v>
      </c>
      <c r="N163" s="1626">
        <v>1.0544271127164784</v>
      </c>
      <c r="O163" s="1626">
        <v>1.0544271127164784</v>
      </c>
    </row>
    <row r="164" spans="2:15">
      <c r="B164" s="1507">
        <v>37408</v>
      </c>
      <c r="C164" s="1508">
        <v>223.68799999999999</v>
      </c>
      <c r="D164" s="1508">
        <v>1866.02</v>
      </c>
      <c r="E164" s="1508">
        <v>1.0132903281280037</v>
      </c>
      <c r="F164" s="1508">
        <v>7.7361155046709458</v>
      </c>
      <c r="K164" s="1623">
        <v>42221</v>
      </c>
      <c r="L164" s="1624" t="s">
        <v>2302</v>
      </c>
      <c r="M164" s="1625">
        <v>5.2531000000000001E-2</v>
      </c>
      <c r="N164" s="1626">
        <v>1.0549810138230595</v>
      </c>
      <c r="O164" s="1626">
        <v>1.0549810138230595</v>
      </c>
    </row>
    <row r="165" spans="2:15">
      <c r="B165" s="1507">
        <v>37438</v>
      </c>
      <c r="C165" s="1508">
        <v>228.05699999999999</v>
      </c>
      <c r="D165" s="1508">
        <v>1888.23</v>
      </c>
      <c r="E165" s="1508">
        <v>1.0153543455443825</v>
      </c>
      <c r="F165" s="1508">
        <v>7.8548984953009189</v>
      </c>
      <c r="K165" s="1623">
        <v>42222</v>
      </c>
      <c r="L165" s="1624" t="s">
        <v>2302</v>
      </c>
      <c r="M165" s="1625">
        <v>5.2531000000000001E-2</v>
      </c>
      <c r="N165" s="1626">
        <v>1.055535205899431</v>
      </c>
      <c r="O165" s="1626">
        <v>1.055535205899431</v>
      </c>
    </row>
    <row r="166" spans="2:15">
      <c r="B166" s="1507">
        <v>37469</v>
      </c>
      <c r="C166" s="1508">
        <v>233.34800000000001</v>
      </c>
      <c r="D166" s="1508">
        <v>1900.5</v>
      </c>
      <c r="E166" s="1508">
        <v>1.0144340404848073</v>
      </c>
      <c r="F166" s="1508">
        <v>7.9682764181861447</v>
      </c>
      <c r="K166" s="1623">
        <v>42223</v>
      </c>
      <c r="L166" s="1624" t="s">
        <v>2302</v>
      </c>
      <c r="M166" s="1625">
        <v>5.2531000000000001E-2</v>
      </c>
      <c r="N166" s="1626">
        <v>1.0560896890984419</v>
      </c>
      <c r="O166" s="1626">
        <v>1.0560896890984419</v>
      </c>
    </row>
    <row r="167" spans="2:15">
      <c r="B167" s="1507">
        <v>37500</v>
      </c>
      <c r="C167" s="1508">
        <v>238.94300000000001</v>
      </c>
      <c r="D167" s="1508">
        <v>1914.18</v>
      </c>
      <c r="E167" s="1508">
        <v>1.0138126637754254</v>
      </c>
      <c r="F167" s="1508">
        <v>8.0783395412202008</v>
      </c>
      <c r="K167" s="1623">
        <v>42224</v>
      </c>
      <c r="L167" s="1624"/>
      <c r="M167" s="1625">
        <v>0</v>
      </c>
      <c r="N167" s="1626">
        <v>1.0560896890984419</v>
      </c>
      <c r="O167" s="1626">
        <v>1.0560896890984419</v>
      </c>
    </row>
    <row r="168" spans="2:15">
      <c r="B168" s="1507">
        <v>37530</v>
      </c>
      <c r="C168" s="1508">
        <v>248.19900000000001</v>
      </c>
      <c r="D168" s="1508">
        <v>1939.26</v>
      </c>
      <c r="E168" s="1508">
        <v>1.0164592520111337</v>
      </c>
      <c r="F168" s="1508">
        <v>8.2113029675606501</v>
      </c>
      <c r="K168" s="1623">
        <v>42225</v>
      </c>
      <c r="L168" s="1624"/>
      <c r="M168" s="1625">
        <v>0</v>
      </c>
      <c r="N168" s="1626">
        <v>1.0560896890984419</v>
      </c>
      <c r="O168" s="1626">
        <v>1.0560896890984419</v>
      </c>
    </row>
    <row r="169" spans="2:15">
      <c r="B169" s="1507">
        <v>37561</v>
      </c>
      <c r="C169" s="1508">
        <v>261.08</v>
      </c>
      <c r="D169" s="1508">
        <v>1997.83</v>
      </c>
      <c r="E169" s="1508">
        <v>1.0154093077816833</v>
      </c>
      <c r="F169" s="1508">
        <v>8.337833462276441</v>
      </c>
      <c r="K169" s="1623">
        <v>42226</v>
      </c>
      <c r="L169" s="1624" t="s">
        <v>2302</v>
      </c>
      <c r="M169" s="1625">
        <v>5.2531000000000001E-2</v>
      </c>
      <c r="N169" s="1626">
        <v>1.0566444635730223</v>
      </c>
      <c r="O169" s="1626">
        <v>1.0566444635730223</v>
      </c>
    </row>
    <row r="170" spans="2:15">
      <c r="B170" s="1507">
        <v>37591</v>
      </c>
      <c r="C170" s="1508">
        <v>270.86700000000002</v>
      </c>
      <c r="D170" s="1508">
        <v>2039.78</v>
      </c>
      <c r="E170" s="1508">
        <v>1.0174244857414556</v>
      </c>
      <c r="F170" s="1508">
        <v>8.483115922554509</v>
      </c>
      <c r="K170" s="1623">
        <v>42227</v>
      </c>
      <c r="L170" s="1624" t="s">
        <v>2302</v>
      </c>
      <c r="M170" s="1625">
        <v>5.2531000000000001E-2</v>
      </c>
      <c r="N170" s="1626">
        <v>1.0571995294761818</v>
      </c>
      <c r="O170" s="1626">
        <v>1.0571995294761818</v>
      </c>
    </row>
    <row r="171" spans="2:15">
      <c r="B171" s="1507">
        <v>37622</v>
      </c>
      <c r="C171" s="1508">
        <v>277.173</v>
      </c>
      <c r="D171" s="1508">
        <v>2085.6799999999998</v>
      </c>
      <c r="E171" s="1508">
        <v>1.0197126646415859</v>
      </c>
      <c r="F171" s="1508">
        <v>8.6503407418515241</v>
      </c>
      <c r="K171" s="1623">
        <v>42228</v>
      </c>
      <c r="L171" s="1624" t="s">
        <v>2302</v>
      </c>
      <c r="M171" s="1625">
        <v>5.2531000000000001E-2</v>
      </c>
      <c r="N171" s="1626">
        <v>1.0577548869610109</v>
      </c>
      <c r="O171" s="1626">
        <v>1.0577548869610109</v>
      </c>
    </row>
    <row r="172" spans="2:15">
      <c r="B172" s="1507">
        <v>37653</v>
      </c>
      <c r="C172" s="1508">
        <v>283.50599999999997</v>
      </c>
      <c r="D172" s="1508">
        <v>2118.4299999999998</v>
      </c>
      <c r="E172" s="1508">
        <v>1.0183037986307939</v>
      </c>
      <c r="F172" s="1508">
        <v>8.8086748368781276</v>
      </c>
      <c r="K172" s="1623">
        <v>42229</v>
      </c>
      <c r="L172" s="1624" t="s">
        <v>2302</v>
      </c>
      <c r="M172" s="1625">
        <v>5.2531000000000001E-2</v>
      </c>
      <c r="N172" s="1626">
        <v>1.0583105361806804</v>
      </c>
      <c r="O172" s="1626">
        <v>1.0583105361806804</v>
      </c>
    </row>
    <row r="173" spans="2:15">
      <c r="B173" s="1507">
        <v>37681</v>
      </c>
      <c r="C173" s="1508">
        <v>287.85500000000002</v>
      </c>
      <c r="D173" s="1508">
        <v>2144.4899999999998</v>
      </c>
      <c r="E173" s="1508">
        <v>1.0177701866474056</v>
      </c>
      <c r="F173" s="1508">
        <v>8.9652066328457565</v>
      </c>
      <c r="K173" s="1623">
        <v>42230</v>
      </c>
      <c r="L173" s="1624" t="s">
        <v>2302</v>
      </c>
      <c r="M173" s="1625">
        <v>5.2531000000000001E-2</v>
      </c>
      <c r="N173" s="1626">
        <v>1.0588664772884415</v>
      </c>
      <c r="O173" s="1626">
        <v>1.0588664772884415</v>
      </c>
    </row>
    <row r="174" spans="2:15">
      <c r="B174" s="1507">
        <v>37712</v>
      </c>
      <c r="C174" s="1508">
        <v>290.512</v>
      </c>
      <c r="D174" s="1508">
        <v>2165.29</v>
      </c>
      <c r="E174" s="1508">
        <v>1.0187159495984839</v>
      </c>
      <c r="F174" s="1508">
        <v>9.1329989883260918</v>
      </c>
      <c r="K174" s="1623">
        <v>42231</v>
      </c>
      <c r="L174" s="1624"/>
      <c r="M174" s="1625">
        <v>0</v>
      </c>
      <c r="N174" s="1626">
        <v>1.0588664772884415</v>
      </c>
      <c r="O174" s="1626">
        <v>1.0588664772884415</v>
      </c>
    </row>
    <row r="175" spans="2:15">
      <c r="B175" s="1507">
        <v>37742</v>
      </c>
      <c r="C175" s="1508">
        <v>289.74700000000001</v>
      </c>
      <c r="D175" s="1508">
        <v>2178.5</v>
      </c>
      <c r="E175" s="1508">
        <v>1.0196535248447016</v>
      </c>
      <c r="F175" s="1508">
        <v>9.312494610849793</v>
      </c>
      <c r="K175" s="1623">
        <v>42232</v>
      </c>
      <c r="L175" s="1624"/>
      <c r="M175" s="1625">
        <v>0</v>
      </c>
      <c r="N175" s="1626">
        <v>1.0588664772884415</v>
      </c>
      <c r="O175" s="1626">
        <v>1.0588664772884415</v>
      </c>
    </row>
    <row r="176" spans="2:15">
      <c r="B176" s="1507">
        <v>37773</v>
      </c>
      <c r="C176" s="1508">
        <v>286.84300000000002</v>
      </c>
      <c r="D176" s="1508">
        <v>2175.23</v>
      </c>
      <c r="E176" s="1508">
        <v>1.0185667947451373</v>
      </c>
      <c r="F176" s="1508">
        <v>9.4853977868546391</v>
      </c>
      <c r="K176" s="1623">
        <v>42233</v>
      </c>
      <c r="L176" s="1624" t="s">
        <v>2302</v>
      </c>
      <c r="M176" s="1625">
        <v>5.2531000000000001E-2</v>
      </c>
      <c r="N176" s="1626">
        <v>1.0594227104376259</v>
      </c>
      <c r="O176" s="1626">
        <v>1.0594227104376259</v>
      </c>
    </row>
    <row r="177" spans="2:15">
      <c r="B177" s="1507">
        <v>37803</v>
      </c>
      <c r="C177" s="1508">
        <v>285.649</v>
      </c>
      <c r="D177" s="1508">
        <v>2179.58</v>
      </c>
      <c r="E177" s="1508">
        <v>1.0208424747911398</v>
      </c>
      <c r="F177" s="1508">
        <v>9.6830969511110894</v>
      </c>
      <c r="K177" s="1623">
        <v>42234</v>
      </c>
      <c r="L177" s="1624" t="s">
        <v>2302</v>
      </c>
      <c r="M177" s="1625">
        <v>5.2531000000000001E-2</v>
      </c>
      <c r="N177" s="1626">
        <v>1.059979235781646</v>
      </c>
      <c r="O177" s="1626">
        <v>1.059979235781646</v>
      </c>
    </row>
    <row r="178" spans="2:15">
      <c r="B178" s="1507">
        <v>37834</v>
      </c>
      <c r="C178" s="1508">
        <v>286.73500000000001</v>
      </c>
      <c r="D178" s="1508">
        <v>2186.9899999999998</v>
      </c>
      <c r="E178" s="1508">
        <v>1.0177426111342931</v>
      </c>
      <c r="F178" s="1508">
        <v>9.8549003748903132</v>
      </c>
      <c r="K178" s="1623">
        <v>42235</v>
      </c>
      <c r="L178" s="1624" t="s">
        <v>2302</v>
      </c>
      <c r="M178" s="1625">
        <v>5.2531000000000001E-2</v>
      </c>
      <c r="N178" s="1626">
        <v>1.0605360534739945</v>
      </c>
      <c r="O178" s="1626">
        <v>1.0605360534739945</v>
      </c>
    </row>
    <row r="179" spans="2:15">
      <c r="B179" s="1507">
        <v>37865</v>
      </c>
      <c r="C179" s="1508">
        <v>290.12700000000001</v>
      </c>
      <c r="D179" s="1508">
        <v>2204.0500000000002</v>
      </c>
      <c r="E179" s="1508">
        <v>1.0167950902831471</v>
      </c>
      <c r="F179" s="1508">
        <v>10.020414316418016</v>
      </c>
      <c r="K179" s="1623">
        <v>42236</v>
      </c>
      <c r="L179" s="1624" t="s">
        <v>2302</v>
      </c>
      <c r="M179" s="1625">
        <v>5.2531000000000001E-2</v>
      </c>
      <c r="N179" s="1626">
        <v>1.061093163668245</v>
      </c>
      <c r="O179" s="1626">
        <v>1.061093163668245</v>
      </c>
    </row>
    <row r="180" spans="2:15">
      <c r="B180" s="1507">
        <v>37895</v>
      </c>
      <c r="C180" s="1508">
        <v>291.22899999999998</v>
      </c>
      <c r="D180" s="1508">
        <v>2210.44</v>
      </c>
      <c r="E180" s="1508">
        <v>1.0164205992977207</v>
      </c>
      <c r="F180" s="1508">
        <v>10.18495552470506</v>
      </c>
      <c r="K180" s="1623">
        <v>42237</v>
      </c>
      <c r="L180" s="1624" t="s">
        <v>2302</v>
      </c>
      <c r="M180" s="1625">
        <v>5.2531000000000001E-2</v>
      </c>
      <c r="N180" s="1626">
        <v>1.0616505665180516</v>
      </c>
      <c r="O180" s="1626">
        <v>1.0616505665180516</v>
      </c>
    </row>
    <row r="181" spans="2:15">
      <c r="B181" s="1507">
        <v>37926</v>
      </c>
      <c r="C181" s="1508">
        <v>292.65699999999998</v>
      </c>
      <c r="D181" s="1508">
        <v>2217.96</v>
      </c>
      <c r="E181" s="1508">
        <v>1.0134353138584866</v>
      </c>
      <c r="F181" s="1508">
        <v>10.3217935988142</v>
      </c>
      <c r="K181" s="1623">
        <v>42238</v>
      </c>
      <c r="L181" s="1624"/>
      <c r="M181" s="1625">
        <v>0</v>
      </c>
      <c r="N181" s="1626">
        <v>1.0616505665180516</v>
      </c>
      <c r="O181" s="1626">
        <v>1.0616505665180516</v>
      </c>
    </row>
    <row r="182" spans="2:15">
      <c r="B182" s="1507">
        <v>37956</v>
      </c>
      <c r="C182" s="1508">
        <v>294.45499999999998</v>
      </c>
      <c r="D182" s="1508">
        <v>2229.4899999999998</v>
      </c>
      <c r="E182" s="1508">
        <v>1.0137325047762002</v>
      </c>
      <c r="F182" s="1508">
        <v>10.463537678708869</v>
      </c>
      <c r="K182" s="1623">
        <v>42239</v>
      </c>
      <c r="L182" s="1624"/>
      <c r="M182" s="1625">
        <v>0</v>
      </c>
      <c r="N182" s="1626">
        <v>1.0616505665180516</v>
      </c>
      <c r="O182" s="1626">
        <v>1.0616505665180516</v>
      </c>
    </row>
    <row r="183" spans="2:15">
      <c r="B183" s="1507">
        <v>37987</v>
      </c>
      <c r="C183" s="1508">
        <v>297.03899999999999</v>
      </c>
      <c r="D183" s="1508">
        <v>2246.4299999999998</v>
      </c>
      <c r="E183" s="1508">
        <v>1.0126755135884871</v>
      </c>
      <c r="F183" s="1508">
        <v>10.59616839273899</v>
      </c>
      <c r="K183" s="1623">
        <v>42240</v>
      </c>
      <c r="L183" s="1624" t="s">
        <v>2302</v>
      </c>
      <c r="M183" s="1625">
        <v>5.2531000000000001E-2</v>
      </c>
      <c r="N183" s="1626">
        <v>1.0622082621771491</v>
      </c>
      <c r="O183" s="1626">
        <v>1.0622082621771491</v>
      </c>
    </row>
    <row r="184" spans="2:15">
      <c r="B184" s="1507">
        <v>38018</v>
      </c>
      <c r="C184" s="1508">
        <v>299.09699999999998</v>
      </c>
      <c r="D184" s="1508">
        <v>2260.13</v>
      </c>
      <c r="E184" s="1508">
        <v>1.0108439419169848</v>
      </c>
      <c r="F184" s="1508">
        <v>10.711072627332442</v>
      </c>
      <c r="K184" s="1623">
        <v>42241</v>
      </c>
      <c r="L184" s="1624" t="s">
        <v>2302</v>
      </c>
      <c r="M184" s="1625">
        <v>5.2531000000000001E-2</v>
      </c>
      <c r="N184" s="1626">
        <v>1.0627662507993534</v>
      </c>
      <c r="O184" s="1626">
        <v>1.0627662507993534</v>
      </c>
    </row>
    <row r="185" spans="2:15">
      <c r="B185" s="1507">
        <v>38047</v>
      </c>
      <c r="C185" s="1508">
        <v>302.48399999999998</v>
      </c>
      <c r="D185" s="1508">
        <v>2270.75</v>
      </c>
      <c r="E185" s="1508">
        <v>1.0137912342986635</v>
      </c>
      <c r="F185" s="1508">
        <v>10.858791539525985</v>
      </c>
      <c r="K185" s="1623">
        <v>42242</v>
      </c>
      <c r="L185" s="1624" t="s">
        <v>2302</v>
      </c>
      <c r="M185" s="1625">
        <v>5.2531000000000001E-2</v>
      </c>
      <c r="N185" s="1626">
        <v>1.0633245325385607</v>
      </c>
      <c r="O185" s="1626">
        <v>1.0633245325385607</v>
      </c>
    </row>
    <row r="186" spans="2:15">
      <c r="B186" s="1507">
        <v>38078</v>
      </c>
      <c r="C186" s="1508">
        <v>306.15100000000001</v>
      </c>
      <c r="D186" s="1508">
        <v>2279.15</v>
      </c>
      <c r="E186" s="1508">
        <v>1.011818501098614</v>
      </c>
      <c r="F186" s="1508">
        <v>10.987126179265493</v>
      </c>
      <c r="K186" s="1623">
        <v>42243</v>
      </c>
      <c r="L186" s="1624" t="s">
        <v>2302</v>
      </c>
      <c r="M186" s="1625">
        <v>5.2531000000000001E-2</v>
      </c>
      <c r="N186" s="1626">
        <v>1.0638831075487485</v>
      </c>
      <c r="O186" s="1626">
        <v>1.0638831075487485</v>
      </c>
    </row>
    <row r="187" spans="2:15">
      <c r="B187" s="1507">
        <v>38108</v>
      </c>
      <c r="C187" s="1508">
        <v>310.15199999999999</v>
      </c>
      <c r="D187" s="1508">
        <v>2290.77</v>
      </c>
      <c r="E187" s="1508">
        <v>1.0122780474663127</v>
      </c>
      <c r="F187" s="1508">
        <v>11.122026636012881</v>
      </c>
      <c r="K187" s="1623">
        <v>42244</v>
      </c>
      <c r="L187" s="1624" t="s">
        <v>2302</v>
      </c>
      <c r="M187" s="1625">
        <v>5.2531000000000001E-2</v>
      </c>
      <c r="N187" s="1626">
        <v>1.0644419759839749</v>
      </c>
      <c r="O187" s="1626">
        <v>1.0644419759839749</v>
      </c>
    </row>
    <row r="188" spans="2:15">
      <c r="B188" s="1507">
        <v>38139</v>
      </c>
      <c r="C188" s="1508">
        <v>314.41899999999998</v>
      </c>
      <c r="D188" s="1508">
        <v>2307.0300000000002</v>
      </c>
      <c r="E188" s="1508">
        <v>1.0122988884857291</v>
      </c>
      <c r="F188" s="1508">
        <v>11.258815201344513</v>
      </c>
      <c r="K188" s="1623">
        <v>42245</v>
      </c>
      <c r="L188" s="1624"/>
      <c r="M188" s="1625">
        <v>0</v>
      </c>
      <c r="N188" s="1626">
        <v>1.0644419759839749</v>
      </c>
      <c r="O188" s="1626">
        <v>1.0644419759839749</v>
      </c>
    </row>
    <row r="189" spans="2:15">
      <c r="B189" s="1507">
        <v>38169</v>
      </c>
      <c r="C189" s="1508">
        <v>318.53199999999998</v>
      </c>
      <c r="D189" s="1508">
        <v>2328.02</v>
      </c>
      <c r="E189" s="1508">
        <v>1.012868893920805</v>
      </c>
      <c r="F189" s="1508">
        <v>11.403703699844563</v>
      </c>
      <c r="K189" s="1623">
        <v>42246</v>
      </c>
      <c r="L189" s="1624"/>
      <c r="M189" s="1625">
        <v>0</v>
      </c>
      <c r="N189" s="1626">
        <v>1.0644419759839749</v>
      </c>
      <c r="O189" s="1626">
        <v>1.0644419759839749</v>
      </c>
    </row>
    <row r="190" spans="2:15">
      <c r="B190" s="1507">
        <v>38200</v>
      </c>
      <c r="C190" s="1508">
        <v>322.41199999999998</v>
      </c>
      <c r="D190" s="1508">
        <v>2344.08</v>
      </c>
      <c r="E190" s="1508">
        <v>1.0129358583775749</v>
      </c>
      <c r="F190" s="1508">
        <v>11.551220395885579</v>
      </c>
      <c r="K190" s="1623">
        <v>42247</v>
      </c>
      <c r="L190" s="1624" t="s">
        <v>2302</v>
      </c>
      <c r="M190" s="1625">
        <v>5.2531000000000001E-2</v>
      </c>
      <c r="N190" s="1626">
        <v>1.065001137998379</v>
      </c>
      <c r="O190" s="1626">
        <v>1.065001137998379</v>
      </c>
    </row>
    <row r="191" spans="2:15">
      <c r="B191" s="1507">
        <v>38231</v>
      </c>
      <c r="C191" s="1508">
        <v>324.65100000000001</v>
      </c>
      <c r="D191" s="1508">
        <v>2351.8200000000002</v>
      </c>
      <c r="E191" s="1508">
        <v>1.0125132709021758</v>
      </c>
      <c r="F191" s="1508">
        <v>11.695763945950034</v>
      </c>
      <c r="K191" s="1623">
        <v>42248</v>
      </c>
      <c r="L191" s="1624" t="s">
        <v>2302</v>
      </c>
      <c r="M191" s="1625">
        <v>5.2531000000000001E-2</v>
      </c>
      <c r="N191" s="1626">
        <v>1.065560593746181</v>
      </c>
      <c r="O191" s="1626">
        <v>1.065560593746181</v>
      </c>
    </row>
    <row r="192" spans="2:15">
      <c r="B192" s="1507">
        <v>38261</v>
      </c>
      <c r="C192" s="1508">
        <v>325.92500000000001</v>
      </c>
      <c r="D192" s="1508">
        <v>2362.17</v>
      </c>
      <c r="E192" s="1508">
        <v>1.0121322386789289</v>
      </c>
      <c r="F192" s="1508">
        <v>11.837659745674712</v>
      </c>
      <c r="K192" s="1623">
        <v>42249</v>
      </c>
      <c r="L192" s="1624" t="s">
        <v>2302</v>
      </c>
      <c r="M192" s="1625">
        <v>5.2531000000000001E-2</v>
      </c>
      <c r="N192" s="1626">
        <v>1.0661203433816817</v>
      </c>
      <c r="O192" s="1626">
        <v>1.0661203433816817</v>
      </c>
    </row>
    <row r="193" spans="2:15">
      <c r="B193" s="1507">
        <v>38292</v>
      </c>
      <c r="C193" s="1508">
        <v>328.58800000000002</v>
      </c>
      <c r="D193" s="1508">
        <v>2378.4699999999998</v>
      </c>
      <c r="E193" s="1508">
        <v>1.0125098562166484</v>
      </c>
      <c r="F193" s="1508">
        <v>11.985747167034708</v>
      </c>
      <c r="K193" s="1623">
        <v>42250</v>
      </c>
      <c r="L193" s="1624" t="s">
        <v>2302</v>
      </c>
      <c r="M193" s="1625">
        <v>5.2531000000000001E-2</v>
      </c>
      <c r="N193" s="1626">
        <v>1.0666803870592636</v>
      </c>
      <c r="O193" s="1626">
        <v>1.0666803870592636</v>
      </c>
    </row>
    <row r="194" spans="2:15">
      <c r="B194" s="1507">
        <v>38322</v>
      </c>
      <c r="C194" s="1508">
        <v>331.005</v>
      </c>
      <c r="D194" s="1508">
        <v>2398.92</v>
      </c>
      <c r="E194" s="1508">
        <v>1.0148282315457626</v>
      </c>
      <c r="F194" s="1508">
        <v>12.163474601276468</v>
      </c>
      <c r="K194" s="1623">
        <v>42251</v>
      </c>
      <c r="L194" s="1624" t="s">
        <v>2302</v>
      </c>
      <c r="M194" s="1625">
        <v>5.2531000000000001E-2</v>
      </c>
      <c r="N194" s="1626">
        <v>1.0672407249333897</v>
      </c>
      <c r="O194" s="1626">
        <v>1.0672407249333897</v>
      </c>
    </row>
    <row r="195" spans="2:15">
      <c r="B195" s="1507">
        <v>38353</v>
      </c>
      <c r="C195" s="1508">
        <v>332.298</v>
      </c>
      <c r="D195" s="1508">
        <v>2412.83</v>
      </c>
      <c r="E195" s="1508">
        <v>1.0138388229391033</v>
      </c>
      <c r="F195" s="1508">
        <v>12.331802772607814</v>
      </c>
      <c r="K195" s="1623">
        <v>42252</v>
      </c>
      <c r="L195" s="1624"/>
      <c r="M195" s="1625">
        <v>0</v>
      </c>
      <c r="N195" s="1626">
        <v>1.0672407249333897</v>
      </c>
      <c r="O195" s="1626">
        <v>1.0672407249333897</v>
      </c>
    </row>
    <row r="196" spans="2:15">
      <c r="B196" s="1507">
        <v>38384</v>
      </c>
      <c r="C196" s="1508">
        <v>333.28800000000001</v>
      </c>
      <c r="D196" s="1508">
        <v>2427.0700000000002</v>
      </c>
      <c r="E196" s="1508">
        <v>1.0121818576713373</v>
      </c>
      <c r="F196" s="1508">
        <v>12.482027038814724</v>
      </c>
      <c r="K196" s="1623">
        <v>42253</v>
      </c>
      <c r="L196" s="1624"/>
      <c r="M196" s="1625">
        <v>0</v>
      </c>
      <c r="N196" s="1626">
        <v>1.0672407249333897</v>
      </c>
      <c r="O196" s="1626">
        <v>1.0672407249333897</v>
      </c>
    </row>
    <row r="197" spans="2:15">
      <c r="B197" s="1507">
        <v>38412</v>
      </c>
      <c r="C197" s="1508">
        <v>336.12299999999999</v>
      </c>
      <c r="D197" s="1508">
        <v>2441.87</v>
      </c>
      <c r="E197" s="1508">
        <v>1.0152817807540921</v>
      </c>
      <c r="F197" s="1508">
        <v>12.672774639388541</v>
      </c>
      <c r="G197" s="67"/>
      <c r="K197" s="1623">
        <v>42254</v>
      </c>
      <c r="L197" s="1624"/>
      <c r="M197" s="1625">
        <v>0</v>
      </c>
      <c r="N197" s="1626">
        <v>1.0672407249333897</v>
      </c>
      <c r="O197" s="1626">
        <v>1.0672407249333897</v>
      </c>
    </row>
    <row r="198" spans="2:15">
      <c r="B198" s="1507">
        <v>38443</v>
      </c>
      <c r="C198" s="1508">
        <v>339.03</v>
      </c>
      <c r="D198" s="1508">
        <v>2463.11</v>
      </c>
      <c r="E198" s="1508">
        <v>1.0141152901477553</v>
      </c>
      <c r="F198" s="1508">
        <v>12.851654530400625</v>
      </c>
      <c r="K198" s="1623">
        <v>42255</v>
      </c>
      <c r="L198" s="1624" t="s">
        <v>2302</v>
      </c>
      <c r="M198" s="1625">
        <v>5.2531000000000001E-2</v>
      </c>
      <c r="N198" s="1626">
        <v>1.0678013571586045</v>
      </c>
      <c r="O198" s="1626">
        <v>1.0678013571586045</v>
      </c>
    </row>
    <row r="199" spans="2:15">
      <c r="B199" s="1507">
        <v>38473</v>
      </c>
      <c r="C199" s="1508">
        <v>338.29899999999998</v>
      </c>
      <c r="D199" s="1508">
        <v>2475.1799999999998</v>
      </c>
      <c r="E199" s="1508">
        <v>1.0150306502044895</v>
      </c>
      <c r="F199" s="1508">
        <v>13.044823254196018</v>
      </c>
      <c r="K199" s="1623">
        <v>42256</v>
      </c>
      <c r="L199" s="1624" t="s">
        <v>2302</v>
      </c>
      <c r="M199" s="1625">
        <v>5.2531000000000001E-2</v>
      </c>
      <c r="N199" s="1626">
        <v>1.0683622838895335</v>
      </c>
      <c r="O199" s="1626">
        <v>1.0683622838895335</v>
      </c>
    </row>
    <row r="200" spans="2:15">
      <c r="B200" s="1507">
        <v>38504</v>
      </c>
      <c r="C200" s="1508">
        <v>336.80099999999999</v>
      </c>
      <c r="D200" s="1508">
        <v>2474.6799999999998</v>
      </c>
      <c r="E200" s="1508">
        <v>1.0158560276185216</v>
      </c>
      <c r="F200" s="1508">
        <v>13.251662331993282</v>
      </c>
      <c r="K200" s="1623">
        <v>42257</v>
      </c>
      <c r="L200" s="1624" t="s">
        <v>2302</v>
      </c>
      <c r="M200" s="1625">
        <v>5.2531000000000001E-2</v>
      </c>
      <c r="N200" s="1626">
        <v>1.0689235052808834</v>
      </c>
      <c r="O200" s="1626">
        <v>1.0689235052808834</v>
      </c>
    </row>
    <row r="201" spans="2:15">
      <c r="B201" s="1507">
        <v>38534</v>
      </c>
      <c r="C201" s="1508">
        <v>335.66300000000001</v>
      </c>
      <c r="D201" s="1508">
        <v>2480.87</v>
      </c>
      <c r="E201" s="1508">
        <v>1.0151134516871545</v>
      </c>
      <c r="F201" s="1508">
        <v>13.451940690422347</v>
      </c>
      <c r="K201" s="1623">
        <v>42258</v>
      </c>
      <c r="L201" s="1624" t="s">
        <v>2302</v>
      </c>
      <c r="M201" s="1625">
        <v>5.2531000000000001E-2</v>
      </c>
      <c r="N201" s="1626">
        <v>1.0694850214874425</v>
      </c>
      <c r="O201" s="1626">
        <v>1.0694850214874425</v>
      </c>
    </row>
    <row r="202" spans="2:15">
      <c r="B202" s="1507">
        <v>38565</v>
      </c>
      <c r="C202" s="1508">
        <v>333.47399999999999</v>
      </c>
      <c r="D202" s="1508">
        <v>2485.09</v>
      </c>
      <c r="E202" s="1508">
        <v>1.0165848332092207</v>
      </c>
      <c r="F202" s="1508">
        <v>13.675038883113331</v>
      </c>
      <c r="K202" s="1623">
        <v>42259</v>
      </c>
      <c r="L202" s="1624"/>
      <c r="M202" s="1625">
        <v>0</v>
      </c>
      <c r="N202" s="1626">
        <v>1.0694850214874425</v>
      </c>
      <c r="O202" s="1626">
        <v>1.0694850214874425</v>
      </c>
    </row>
    <row r="203" spans="2:15">
      <c r="B203" s="1507">
        <v>38596</v>
      </c>
      <c r="C203" s="1508">
        <v>331.69</v>
      </c>
      <c r="D203" s="1508">
        <v>2493.79</v>
      </c>
      <c r="E203" s="1508">
        <v>1.0150313602253485</v>
      </c>
      <c r="F203" s="1508">
        <v>13.880593318661054</v>
      </c>
      <c r="K203" s="1623">
        <v>42260</v>
      </c>
      <c r="L203" s="1624"/>
      <c r="M203" s="1625">
        <v>0</v>
      </c>
      <c r="N203" s="1626">
        <v>1.0694850214874425</v>
      </c>
      <c r="O203" s="1626">
        <v>1.0694850214874425</v>
      </c>
    </row>
    <row r="204" spans="2:15">
      <c r="B204" s="1507">
        <v>38626</v>
      </c>
      <c r="C204" s="1508">
        <v>333.69400000000002</v>
      </c>
      <c r="D204" s="1508">
        <v>2512.4899999999998</v>
      </c>
      <c r="E204" s="1508">
        <v>1.0140716431638075</v>
      </c>
      <c r="F204" s="1508">
        <v>14.075916074743184</v>
      </c>
      <c r="K204" s="1623">
        <v>42261</v>
      </c>
      <c r="L204" s="1624" t="s">
        <v>2302</v>
      </c>
      <c r="M204" s="1625">
        <v>5.2531000000000001E-2</v>
      </c>
      <c r="N204" s="1626">
        <v>1.0700468326640802</v>
      </c>
      <c r="O204" s="1626">
        <v>1.0700468326640802</v>
      </c>
    </row>
    <row r="205" spans="2:15">
      <c r="B205" s="1507">
        <v>38657</v>
      </c>
      <c r="C205" s="1508">
        <v>335.03300000000002</v>
      </c>
      <c r="D205" s="1508">
        <v>2526.31</v>
      </c>
      <c r="E205" s="1508">
        <v>1.0138104099310956</v>
      </c>
      <c r="F205" s="1508">
        <v>14.270310245891086</v>
      </c>
      <c r="K205" s="1623">
        <v>42262</v>
      </c>
      <c r="L205" s="1624" t="s">
        <v>2302</v>
      </c>
      <c r="M205" s="1625">
        <v>5.2531000000000001E-2</v>
      </c>
      <c r="N205" s="1626">
        <v>1.0706089389657469</v>
      </c>
      <c r="O205" s="1626">
        <v>1.0706089389657469</v>
      </c>
    </row>
    <row r="206" spans="2:15">
      <c r="B206" s="1507">
        <v>38687</v>
      </c>
      <c r="C206" s="1508">
        <v>335.00599999999997</v>
      </c>
      <c r="D206" s="1508">
        <v>2535.4</v>
      </c>
      <c r="E206" s="1508">
        <v>1.0147357208231795</v>
      </c>
      <c r="F206" s="1508">
        <v>14.480593553734694</v>
      </c>
      <c r="K206" s="1623">
        <v>42263</v>
      </c>
      <c r="L206" s="1624" t="s">
        <v>2302</v>
      </c>
      <c r="M206" s="1625">
        <v>5.2531000000000001E-2</v>
      </c>
      <c r="N206" s="1626">
        <v>1.071171340547475</v>
      </c>
      <c r="O206" s="1626">
        <v>1.071171340547475</v>
      </c>
    </row>
    <row r="207" spans="2:15">
      <c r="B207" s="1507">
        <v>38718</v>
      </c>
      <c r="C207" s="1508">
        <v>338.08300000000003</v>
      </c>
      <c r="D207" s="1508">
        <v>2550.36</v>
      </c>
      <c r="E207" s="1508">
        <v>1.0142931741687891</v>
      </c>
      <c r="F207" s="1508">
        <v>14.687567199465668</v>
      </c>
      <c r="K207" s="1623">
        <v>42264</v>
      </c>
      <c r="L207" s="1624" t="s">
        <v>2302</v>
      </c>
      <c r="M207" s="1625">
        <v>5.2531000000000001E-2</v>
      </c>
      <c r="N207" s="1626">
        <v>1.071734037564378</v>
      </c>
      <c r="O207" s="1626">
        <v>1.071734037564378</v>
      </c>
    </row>
    <row r="208" spans="2:15">
      <c r="B208" s="1507">
        <v>38749</v>
      </c>
      <c r="C208" s="1508">
        <v>338.12799999999999</v>
      </c>
      <c r="D208" s="1508">
        <v>2560.8200000000002</v>
      </c>
      <c r="E208" s="1508">
        <v>1.0114506306443078</v>
      </c>
      <c r="F208" s="1508">
        <v>14.855749106530201</v>
      </c>
      <c r="K208" s="1623">
        <v>42265</v>
      </c>
      <c r="L208" s="1624" t="s">
        <v>2302</v>
      </c>
      <c r="M208" s="1625">
        <v>5.2531000000000001E-2</v>
      </c>
      <c r="N208" s="1626">
        <v>1.072297030171651</v>
      </c>
      <c r="O208" s="1626">
        <v>1.072297030171651</v>
      </c>
    </row>
    <row r="209" spans="2:15">
      <c r="B209" s="1507">
        <v>38777</v>
      </c>
      <c r="C209" s="1508">
        <v>337.339</v>
      </c>
      <c r="D209" s="1508">
        <v>2571.83</v>
      </c>
      <c r="E209" s="1508">
        <v>1.0142230199009199</v>
      </c>
      <c r="F209" s="1508">
        <v>15.067042721715453</v>
      </c>
      <c r="K209" s="1623">
        <v>42266</v>
      </c>
      <c r="L209" s="1624"/>
      <c r="M209" s="1625">
        <v>0</v>
      </c>
      <c r="N209" s="1626">
        <v>1.072297030171651</v>
      </c>
      <c r="O209" s="1626">
        <v>1.072297030171651</v>
      </c>
    </row>
    <row r="210" spans="2:15">
      <c r="B210" s="1507">
        <v>38808</v>
      </c>
      <c r="C210" s="1508">
        <v>335.92099999999999</v>
      </c>
      <c r="D210" s="1508">
        <v>2577.23</v>
      </c>
      <c r="E210" s="1508">
        <v>1.0107787821533378</v>
      </c>
      <c r="F210" s="1508">
        <v>15.229447092907858</v>
      </c>
      <c r="K210" s="1623">
        <v>42267</v>
      </c>
      <c r="L210" s="1624"/>
      <c r="M210" s="1625">
        <v>0</v>
      </c>
      <c r="N210" s="1626">
        <v>1.072297030171651</v>
      </c>
      <c r="O210" s="1626">
        <v>1.072297030171651</v>
      </c>
    </row>
    <row r="211" spans="2:15">
      <c r="B211" s="1507">
        <v>38838</v>
      </c>
      <c r="C211" s="1508">
        <v>337.185</v>
      </c>
      <c r="D211" s="1508">
        <v>2579.81</v>
      </c>
      <c r="E211" s="1508">
        <v>1.0128136552027243</v>
      </c>
      <c r="F211" s="1508">
        <v>15.424591976884511</v>
      </c>
      <c r="K211" s="1623">
        <v>42268</v>
      </c>
      <c r="L211" s="1624" t="s">
        <v>2302</v>
      </c>
      <c r="M211" s="1625">
        <v>5.2531000000000001E-2</v>
      </c>
      <c r="N211" s="1626">
        <v>1.0728603185245704</v>
      </c>
      <c r="O211" s="1626">
        <v>1.0728603185245704</v>
      </c>
    </row>
    <row r="212" spans="2:15">
      <c r="B212" s="1507">
        <v>38869</v>
      </c>
      <c r="C212" s="1508">
        <v>339.71199999999999</v>
      </c>
      <c r="D212" s="1508">
        <v>2574.39</v>
      </c>
      <c r="E212" s="1508">
        <v>1.0118439390435949</v>
      </c>
      <c r="F212" s="1508">
        <v>15.607279904031055</v>
      </c>
      <c r="K212" s="1623">
        <v>42269</v>
      </c>
      <c r="L212" s="1624" t="s">
        <v>2302</v>
      </c>
      <c r="M212" s="1625">
        <v>5.2531000000000001E-2</v>
      </c>
      <c r="N212" s="1626">
        <v>1.0734239027784946</v>
      </c>
      <c r="O212" s="1626">
        <v>1.0734239027784946</v>
      </c>
    </row>
    <row r="213" spans="2:15">
      <c r="B213" s="1507">
        <v>38899</v>
      </c>
      <c r="C213" s="1508">
        <v>340.31200000000001</v>
      </c>
      <c r="D213" s="1508">
        <v>2579.2800000000002</v>
      </c>
      <c r="E213" s="1508">
        <v>1.0116996590630269</v>
      </c>
      <c r="F213" s="1508">
        <v>15.78987975780945</v>
      </c>
      <c r="K213" s="1623">
        <v>42270</v>
      </c>
      <c r="L213" s="1624" t="s">
        <v>2302</v>
      </c>
      <c r="M213" s="1625">
        <v>5.2531000000000001E-2</v>
      </c>
      <c r="N213" s="1626">
        <v>1.0739877830888631</v>
      </c>
      <c r="O213" s="1626">
        <v>1.0739877830888631</v>
      </c>
    </row>
    <row r="214" spans="2:15">
      <c r="B214" s="1507">
        <v>38930</v>
      </c>
      <c r="C214" s="1508">
        <v>341.57400000000001</v>
      </c>
      <c r="D214" s="1508">
        <v>2580.5700000000002</v>
      </c>
      <c r="E214" s="1508">
        <v>1.012562646303421</v>
      </c>
      <c r="F214" s="1508">
        <v>15.988242432380357</v>
      </c>
      <c r="K214" s="1623">
        <v>42271</v>
      </c>
      <c r="L214" s="1624" t="s">
        <v>2302</v>
      </c>
      <c r="M214" s="1625">
        <v>5.2531000000000001E-2</v>
      </c>
      <c r="N214" s="1626">
        <v>1.0745519596111974</v>
      </c>
      <c r="O214" s="1626">
        <v>1.0745519596111974</v>
      </c>
    </row>
    <row r="215" spans="2:15" ht="13.5" customHeight="1">
      <c r="B215" s="1507">
        <v>38961</v>
      </c>
      <c r="C215" s="1508">
        <v>342.56099999999998</v>
      </c>
      <c r="D215" s="1508">
        <v>2585.9899999999998</v>
      </c>
      <c r="E215" s="1508">
        <v>1.0105730983323107</v>
      </c>
      <c r="F215" s="1508">
        <v>16.157287691778738</v>
      </c>
      <c r="K215" s="1623">
        <v>42272</v>
      </c>
      <c r="L215" s="1624" t="s">
        <v>2302</v>
      </c>
      <c r="M215" s="1625">
        <v>5.2531000000000001E-2</v>
      </c>
      <c r="N215" s="1626">
        <v>1.0751164325011009</v>
      </c>
      <c r="O215" s="1626">
        <v>1.0751164325011009</v>
      </c>
    </row>
    <row r="216" spans="2:15">
      <c r="B216" s="1507">
        <v>38991</v>
      </c>
      <c r="C216" s="1508">
        <v>344.15499999999997</v>
      </c>
      <c r="D216" s="1508">
        <v>2594.52</v>
      </c>
      <c r="E216" s="1508">
        <v>1.0109424441222723</v>
      </c>
      <c r="F216" s="1508">
        <v>16.334087909513503</v>
      </c>
      <c r="K216" s="1623">
        <v>42273</v>
      </c>
      <c r="L216" s="1624"/>
      <c r="M216" s="1625">
        <v>0</v>
      </c>
      <c r="N216" s="1626">
        <v>1.0751164325011009</v>
      </c>
      <c r="O216" s="1626">
        <v>1.0751164325011009</v>
      </c>
    </row>
    <row r="217" spans="2:15">
      <c r="B217" s="1507">
        <v>39022</v>
      </c>
      <c r="C217" s="1508">
        <v>346.74599999999998</v>
      </c>
      <c r="D217" s="1508">
        <v>2602.56</v>
      </c>
      <c r="E217" s="1508">
        <v>1.0102060517349183</v>
      </c>
      <c r="F217" s="1508">
        <v>16.500794455760701</v>
      </c>
      <c r="K217" s="1623">
        <v>42274</v>
      </c>
      <c r="L217" s="1624"/>
      <c r="M217" s="1625">
        <v>0</v>
      </c>
      <c r="N217" s="1626">
        <v>1.0751164325011009</v>
      </c>
      <c r="O217" s="1626">
        <v>1.0751164325011009</v>
      </c>
    </row>
    <row r="218" spans="2:15">
      <c r="B218" s="1507">
        <v>39052</v>
      </c>
      <c r="C218" s="1508">
        <v>347.84199999999998</v>
      </c>
      <c r="D218" s="1508">
        <v>2615.0500000000002</v>
      </c>
      <c r="E218" s="1508">
        <v>1.0098788606332807</v>
      </c>
      <c r="F218" s="1508">
        <v>16.663803504527571</v>
      </c>
      <c r="K218" s="1623">
        <v>42275</v>
      </c>
      <c r="L218" s="1624" t="s">
        <v>2302</v>
      </c>
      <c r="M218" s="1625">
        <v>5.2531000000000001E-2</v>
      </c>
      <c r="N218" s="1626">
        <v>1.0756812019142581</v>
      </c>
      <c r="O218" s="1626">
        <v>1.0756812019142581</v>
      </c>
    </row>
    <row r="219" spans="2:15">
      <c r="B219" s="1507">
        <v>39083</v>
      </c>
      <c r="C219" s="1508">
        <v>349.59300000000002</v>
      </c>
      <c r="D219" s="1508">
        <v>2626.56</v>
      </c>
      <c r="E219" s="1508">
        <v>1.0108280266006449</v>
      </c>
      <c r="F219" s="1508">
        <v>16.844239612142516</v>
      </c>
      <c r="K219" s="1623">
        <v>42276</v>
      </c>
      <c r="L219" s="1624" t="s">
        <v>2302</v>
      </c>
      <c r="M219" s="1625">
        <v>5.2531000000000001E-2</v>
      </c>
      <c r="N219" s="1626">
        <v>1.0762462680064357</v>
      </c>
      <c r="O219" s="1626">
        <v>1.0762462680064357</v>
      </c>
    </row>
    <row r="220" spans="2:15">
      <c r="B220" s="1507">
        <v>39114</v>
      </c>
      <c r="C220" s="1508">
        <v>350.524</v>
      </c>
      <c r="D220" s="1508">
        <v>2638.12</v>
      </c>
      <c r="E220" s="1508">
        <v>1.008724844950982</v>
      </c>
      <c r="F220" s="1508">
        <v>16.991202991075649</v>
      </c>
      <c r="K220" s="1623">
        <v>42277</v>
      </c>
      <c r="L220" s="1624" t="s">
        <v>2302</v>
      </c>
      <c r="M220" s="1625">
        <v>5.2531000000000001E-2</v>
      </c>
      <c r="N220" s="1626">
        <v>1.0768116309334823</v>
      </c>
      <c r="O220" s="1626">
        <v>1.0768116309334823</v>
      </c>
    </row>
    <row r="221" spans="2:15">
      <c r="B221" s="1507">
        <v>39142</v>
      </c>
      <c r="C221" s="1508">
        <v>351.71699999999998</v>
      </c>
      <c r="D221" s="1508">
        <v>2647.88</v>
      </c>
      <c r="E221" s="1508">
        <v>1.0105222327764332</v>
      </c>
      <c r="F221" s="1508">
        <v>17.169988384099376</v>
      </c>
      <c r="K221" s="1623">
        <v>42278</v>
      </c>
      <c r="L221" s="1624" t="s">
        <v>2302</v>
      </c>
      <c r="M221" s="1625">
        <v>5.2531000000000001E-2</v>
      </c>
      <c r="N221" s="1626">
        <v>1.0773772908513279</v>
      </c>
      <c r="O221" s="1626">
        <v>1.0773772908513279</v>
      </c>
    </row>
    <row r="222" spans="2:15">
      <c r="B222" s="1507">
        <v>39173</v>
      </c>
      <c r="C222" s="1508">
        <v>351.86900000000003</v>
      </c>
      <c r="D222" s="1508">
        <v>2654.5</v>
      </c>
      <c r="E222" s="1508">
        <v>1.0094482340398951</v>
      </c>
      <c r="F222" s="1508">
        <v>17.332214452814629</v>
      </c>
      <c r="K222" s="1623">
        <v>42279</v>
      </c>
      <c r="L222" s="1624" t="s">
        <v>2302</v>
      </c>
      <c r="M222" s="1625">
        <v>5.2531000000000001E-2</v>
      </c>
      <c r="N222" s="1626">
        <v>1.0779432479159849</v>
      </c>
      <c r="O222" s="1626">
        <v>1.0779432479159849</v>
      </c>
    </row>
    <row r="223" spans="2:15">
      <c r="B223" s="1507">
        <v>39203</v>
      </c>
      <c r="C223" s="1508">
        <v>352.02</v>
      </c>
      <c r="D223" s="1508">
        <v>2661.93</v>
      </c>
      <c r="E223" s="1508">
        <v>1.0102807696314628</v>
      </c>
      <c r="F223" s="1508">
        <v>17.510402956807127</v>
      </c>
      <c r="K223" s="1623">
        <v>42280</v>
      </c>
      <c r="L223" s="1624"/>
      <c r="M223" s="1625">
        <v>0</v>
      </c>
      <c r="N223" s="1626">
        <v>1.0779432479159849</v>
      </c>
      <c r="O223" s="1626">
        <v>1.0779432479159849</v>
      </c>
    </row>
    <row r="224" spans="2:15">
      <c r="B224" s="1507">
        <v>39234</v>
      </c>
      <c r="C224" s="1508">
        <v>352.93599999999998</v>
      </c>
      <c r="D224" s="1508">
        <v>2669.38</v>
      </c>
      <c r="E224" s="1508">
        <v>1.0090562894719608</v>
      </c>
      <c r="F224" s="1508">
        <v>17.668982234754651</v>
      </c>
      <c r="K224" s="1623">
        <v>42281</v>
      </c>
      <c r="L224" s="1624"/>
      <c r="M224" s="1625">
        <v>0</v>
      </c>
      <c r="N224" s="1626">
        <v>1.0779432479159849</v>
      </c>
      <c r="O224" s="1626">
        <v>1.0779432479159849</v>
      </c>
    </row>
    <row r="225" spans="2:15">
      <c r="B225" s="1507">
        <v>39264</v>
      </c>
      <c r="C225" s="1508">
        <v>353.92</v>
      </c>
      <c r="D225" s="1508">
        <v>2675.79</v>
      </c>
      <c r="E225" s="1508">
        <v>1.0097263257608722</v>
      </c>
      <c r="F225" s="1508">
        <v>17.840836511832936</v>
      </c>
      <c r="K225" s="1623">
        <v>42282</v>
      </c>
      <c r="L225" s="1624" t="s">
        <v>2302</v>
      </c>
      <c r="M225" s="1625">
        <v>5.2531000000000001E-2</v>
      </c>
      <c r="N225" s="1626">
        <v>1.0785095022835478</v>
      </c>
      <c r="O225" s="1626">
        <v>1.0785095022835478</v>
      </c>
    </row>
    <row r="226" spans="2:15">
      <c r="B226" s="1507">
        <v>39295</v>
      </c>
      <c r="C226" s="1508">
        <v>357.404</v>
      </c>
      <c r="D226" s="1508">
        <v>2688.37</v>
      </c>
      <c r="E226" s="1508">
        <v>1.0099263513682912</v>
      </c>
      <c r="F226" s="1508">
        <v>18.017930923753628</v>
      </c>
      <c r="K226" s="1623">
        <v>42283</v>
      </c>
      <c r="L226" s="1624" t="s">
        <v>2302</v>
      </c>
      <c r="M226" s="1625">
        <v>5.2531000000000001E-2</v>
      </c>
      <c r="N226" s="1626">
        <v>1.0790760541101925</v>
      </c>
      <c r="O226" s="1626">
        <v>1.0790760541101925</v>
      </c>
    </row>
    <row r="227" spans="2:15">
      <c r="B227" s="1507">
        <v>39326</v>
      </c>
      <c r="C227" s="1508">
        <v>361.99700000000001</v>
      </c>
      <c r="D227" s="1508">
        <v>2693.21</v>
      </c>
      <c r="E227" s="1508">
        <v>1.0080496134415582</v>
      </c>
      <c r="F227" s="1508">
        <v>18.162968302706542</v>
      </c>
      <c r="K227" s="1623">
        <v>42284</v>
      </c>
      <c r="L227" s="1624" t="s">
        <v>2302</v>
      </c>
      <c r="M227" s="1625">
        <v>5.2531000000000001E-2</v>
      </c>
      <c r="N227" s="1626">
        <v>1.0796429035521771</v>
      </c>
      <c r="O227" s="1626">
        <v>1.0796429035521771</v>
      </c>
    </row>
    <row r="228" spans="2:15">
      <c r="B228" s="1507">
        <v>39356</v>
      </c>
      <c r="C228" s="1508">
        <v>365.79399999999998</v>
      </c>
      <c r="D228" s="1508">
        <v>2701.29</v>
      </c>
      <c r="E228" s="1508">
        <v>1.0092949262855189</v>
      </c>
      <c r="F228" s="1508">
        <v>18.331791754206414</v>
      </c>
      <c r="K228" s="1623">
        <v>42285</v>
      </c>
      <c r="L228" s="1624" t="s">
        <v>2302</v>
      </c>
      <c r="M228" s="1625">
        <v>5.2531000000000001E-2</v>
      </c>
      <c r="N228" s="1626">
        <v>1.0802100507658421</v>
      </c>
      <c r="O228" s="1626">
        <v>1.0802100507658421</v>
      </c>
    </row>
    <row r="229" spans="2:15">
      <c r="B229" s="1507">
        <v>39387</v>
      </c>
      <c r="C229" s="1508">
        <v>368.334</v>
      </c>
      <c r="D229" s="1508">
        <v>2711.55</v>
      </c>
      <c r="E229" s="1508">
        <v>1.0084467048252397</v>
      </c>
      <c r="F229" s="1508">
        <v>18.486634988071959</v>
      </c>
      <c r="K229" s="1623">
        <v>42286</v>
      </c>
      <c r="L229" s="1624" t="s">
        <v>2302</v>
      </c>
      <c r="M229" s="1625">
        <v>5.2531000000000001E-2</v>
      </c>
      <c r="N229" s="1626">
        <v>1.08077749590761</v>
      </c>
      <c r="O229" s="1626">
        <v>1.08077749590761</v>
      </c>
    </row>
    <row r="230" spans="2:15">
      <c r="B230" s="1507">
        <v>39417</v>
      </c>
      <c r="C230" s="1508">
        <v>374.815</v>
      </c>
      <c r="D230" s="1508">
        <v>2731.62</v>
      </c>
      <c r="E230" s="1508">
        <v>1.0084467048252395</v>
      </c>
      <c r="F230" s="1508">
        <v>18.642786137028146</v>
      </c>
      <c r="K230" s="1623">
        <v>42287</v>
      </c>
      <c r="L230" s="1624"/>
      <c r="M230" s="1625">
        <v>0</v>
      </c>
      <c r="N230" s="1626">
        <v>1.08077749590761</v>
      </c>
      <c r="O230" s="1626">
        <v>1.08077749590761</v>
      </c>
    </row>
    <row r="231" spans="2:15">
      <c r="B231" s="1507">
        <v>39448</v>
      </c>
      <c r="C231" s="1508">
        <v>378.9</v>
      </c>
      <c r="D231" s="1508">
        <v>2746.37</v>
      </c>
      <c r="E231" s="1508">
        <v>1.0092938367057227</v>
      </c>
      <c r="F231" s="1508">
        <v>18.816049147125398</v>
      </c>
      <c r="K231" s="1623">
        <v>42288</v>
      </c>
      <c r="L231" s="1624"/>
      <c r="M231" s="1625">
        <v>0</v>
      </c>
      <c r="N231" s="1626">
        <v>1.08077749590761</v>
      </c>
      <c r="O231" s="1626">
        <v>1.08077749590761</v>
      </c>
    </row>
    <row r="232" spans="2:15">
      <c r="B232" s="1507">
        <v>39479</v>
      </c>
      <c r="C232" s="1508">
        <v>380.90600000000001</v>
      </c>
      <c r="D232" s="1508">
        <v>2759.83</v>
      </c>
      <c r="E232" s="1508">
        <v>1.0080223173492819</v>
      </c>
      <c r="F232" s="1508">
        <v>18.966997464643324</v>
      </c>
      <c r="K232" s="1623">
        <v>42289</v>
      </c>
      <c r="L232" s="1624"/>
      <c r="M232" s="1625">
        <v>0</v>
      </c>
      <c r="N232" s="1626">
        <v>1.08077749590761</v>
      </c>
      <c r="O232" s="1626">
        <v>1.08077749590761</v>
      </c>
    </row>
    <row r="233" spans="2:15">
      <c r="B233" s="1507">
        <v>39508</v>
      </c>
      <c r="C233" s="1508">
        <v>383.73099999999999</v>
      </c>
      <c r="D233" s="1508">
        <v>2773.08</v>
      </c>
      <c r="E233" s="1508">
        <v>1.0084459790490408</v>
      </c>
      <c r="F233" s="1508">
        <v>19.12719232785291</v>
      </c>
      <c r="K233" s="1623">
        <v>42290</v>
      </c>
      <c r="L233" s="1624" t="s">
        <v>2302</v>
      </c>
      <c r="M233" s="1625">
        <v>5.2531000000000001E-2</v>
      </c>
      <c r="N233" s="1626">
        <v>1.0813452391339853</v>
      </c>
      <c r="O233" s="1626">
        <v>1.0813452391339853</v>
      </c>
    </row>
    <row r="234" spans="2:15">
      <c r="B234" s="1507">
        <v>39539</v>
      </c>
      <c r="C234" s="1508">
        <v>386.38</v>
      </c>
      <c r="D234" s="1508">
        <v>2788.33</v>
      </c>
      <c r="E234" s="1508">
        <v>1.0090142575644072</v>
      </c>
      <c r="F234" s="1508">
        <v>19.299609765980129</v>
      </c>
      <c r="K234" s="1623">
        <v>42291</v>
      </c>
      <c r="L234" s="1624" t="s">
        <v>2302</v>
      </c>
      <c r="M234" s="1625">
        <v>5.2531000000000001E-2</v>
      </c>
      <c r="N234" s="1626">
        <v>1.0819132806015548</v>
      </c>
      <c r="O234" s="1626">
        <v>1.0819132806015548</v>
      </c>
    </row>
    <row r="235" spans="2:15">
      <c r="B235" s="1507">
        <v>39569</v>
      </c>
      <c r="C235" s="1508">
        <v>392.59199999999998</v>
      </c>
      <c r="D235" s="1508">
        <v>2810.36</v>
      </c>
      <c r="E235" s="1508">
        <v>1.0087678287685495</v>
      </c>
      <c r="F235" s="1508">
        <v>19.46882543970807</v>
      </c>
      <c r="K235" s="1623">
        <v>42292</v>
      </c>
      <c r="L235" s="1624" t="s">
        <v>2302</v>
      </c>
      <c r="M235" s="1625">
        <v>5.2531000000000001E-2</v>
      </c>
      <c r="N235" s="1626">
        <v>1.0824816204669876</v>
      </c>
      <c r="O235" s="1626">
        <v>1.0824816204669876</v>
      </c>
    </row>
    <row r="236" spans="2:15">
      <c r="B236" s="1507">
        <v>39600</v>
      </c>
      <c r="C236" s="1508">
        <v>400.38200000000001</v>
      </c>
      <c r="D236" s="1508">
        <v>2831.16</v>
      </c>
      <c r="E236" s="1508">
        <v>1.0095559246898425</v>
      </c>
      <c r="F236" s="1508">
        <v>19.654868069409609</v>
      </c>
      <c r="K236" s="1623">
        <v>42293</v>
      </c>
      <c r="L236" s="1624" t="s">
        <v>2302</v>
      </c>
      <c r="M236" s="1625">
        <v>5.2531000000000001E-2</v>
      </c>
      <c r="N236" s="1626">
        <v>1.0830502588870352</v>
      </c>
      <c r="O236" s="1626">
        <v>1.0830502588870352</v>
      </c>
    </row>
    <row r="237" spans="2:15">
      <c r="B237" s="1507">
        <v>39630</v>
      </c>
      <c r="C237" s="1508">
        <v>407.44600000000003</v>
      </c>
      <c r="D237" s="1508">
        <v>2846.16</v>
      </c>
      <c r="E237" s="1508">
        <v>1.0106967121371</v>
      </c>
      <c r="F237" s="1508">
        <v>19.865110535240763</v>
      </c>
      <c r="K237" s="1623">
        <v>42294</v>
      </c>
      <c r="L237" s="1624"/>
      <c r="M237" s="1625">
        <v>0</v>
      </c>
      <c r="N237" s="1626">
        <v>1.0830502588870352</v>
      </c>
      <c r="O237" s="1626">
        <v>1.0830502588870352</v>
      </c>
    </row>
    <row r="238" spans="2:15">
      <c r="B238" s="1507">
        <v>39661</v>
      </c>
      <c r="C238" s="1508">
        <v>406.12700000000001</v>
      </c>
      <c r="D238" s="1508">
        <v>2854.13</v>
      </c>
      <c r="E238" s="1508">
        <v>1.0101765713502602</v>
      </c>
      <c r="F238" s="1508">
        <v>20.067269249983447</v>
      </c>
      <c r="K238" s="1623">
        <v>42295</v>
      </c>
      <c r="L238" s="1624"/>
      <c r="M238" s="1625">
        <v>0</v>
      </c>
      <c r="N238" s="1626">
        <v>1.0830502588870352</v>
      </c>
      <c r="O238" s="1626">
        <v>1.0830502588870352</v>
      </c>
    </row>
    <row r="239" spans="2:15">
      <c r="B239" s="1507">
        <v>39692</v>
      </c>
      <c r="C239" s="1508">
        <v>406.55700000000002</v>
      </c>
      <c r="D239" s="1508">
        <v>2861.55</v>
      </c>
      <c r="E239" s="1508">
        <v>1.011030909274969</v>
      </c>
      <c r="F239" s="1508">
        <v>20.288629476476387</v>
      </c>
      <c r="K239" s="1623">
        <v>42296</v>
      </c>
      <c r="L239" s="1624" t="s">
        <v>2302</v>
      </c>
      <c r="M239" s="1625">
        <v>5.2531000000000001E-2</v>
      </c>
      <c r="N239" s="1626">
        <v>1.0836191960185311</v>
      </c>
      <c r="O239" s="1626">
        <v>1.0836191960185311</v>
      </c>
    </row>
    <row r="240" spans="2:15">
      <c r="B240" s="1507">
        <v>39722</v>
      </c>
      <c r="C240" s="1508">
        <v>410.524</v>
      </c>
      <c r="D240" s="1508">
        <v>2874.43</v>
      </c>
      <c r="E240" s="1508">
        <v>1.0117587656900342</v>
      </c>
      <c r="F240" s="1508">
        <v>20.527198716662195</v>
      </c>
      <c r="K240" s="1623">
        <v>42297</v>
      </c>
      <c r="L240" s="1624" t="s">
        <v>2302</v>
      </c>
      <c r="M240" s="1625">
        <v>5.2531000000000001E-2</v>
      </c>
      <c r="N240" s="1626">
        <v>1.0841884320183917</v>
      </c>
      <c r="O240" s="1626">
        <v>1.0841884320183917</v>
      </c>
    </row>
    <row r="241" spans="2:15">
      <c r="B241" s="1507">
        <v>39753</v>
      </c>
      <c r="C241" s="1508">
        <v>412.10399999999998</v>
      </c>
      <c r="D241" s="1508">
        <v>2884.78</v>
      </c>
      <c r="E241" s="1508">
        <v>1.0101996908301405</v>
      </c>
      <c r="F241" s="1508">
        <v>20.736569797181005</v>
      </c>
      <c r="K241" s="1623">
        <v>42298</v>
      </c>
      <c r="L241" s="1624" t="s">
        <v>2302</v>
      </c>
      <c r="M241" s="1625">
        <v>5.2531000000000001E-2</v>
      </c>
      <c r="N241" s="1626">
        <v>1.0847579670436152</v>
      </c>
      <c r="O241" s="1626">
        <v>1.0847579670436152</v>
      </c>
    </row>
    <row r="242" spans="2:15">
      <c r="B242" s="1507">
        <v>39783</v>
      </c>
      <c r="C242" s="1508">
        <v>411.57499999999999</v>
      </c>
      <c r="D242" s="1508">
        <v>2892.86</v>
      </c>
      <c r="E242" s="1508">
        <v>1.0112409294280835</v>
      </c>
      <c r="F242" s="1508">
        <v>20.969668114851643</v>
      </c>
      <c r="K242" s="1623">
        <v>42299</v>
      </c>
      <c r="L242" s="1624" t="s">
        <v>2302</v>
      </c>
      <c r="M242" s="1625">
        <v>5.2531000000000001E-2</v>
      </c>
      <c r="N242" s="1626">
        <v>1.0853278012512828</v>
      </c>
      <c r="O242" s="1626">
        <v>1.0853278012512828</v>
      </c>
    </row>
    <row r="243" spans="2:15">
      <c r="B243" s="1507">
        <v>39814</v>
      </c>
      <c r="C243" s="1508">
        <v>409.78199999999998</v>
      </c>
      <c r="D243" s="1508">
        <v>2906.74</v>
      </c>
      <c r="E243" s="1508">
        <v>1.0104780743150839</v>
      </c>
      <c r="F243" s="1508">
        <v>21.189389855721704</v>
      </c>
      <c r="K243" s="1623">
        <v>42300</v>
      </c>
      <c r="L243" s="1624" t="s">
        <v>2302</v>
      </c>
      <c r="M243" s="1625">
        <v>5.2531000000000001E-2</v>
      </c>
      <c r="N243" s="1626">
        <v>1.0858979347985582</v>
      </c>
      <c r="O243" s="1626">
        <v>1.0858979347985582</v>
      </c>
    </row>
    <row r="244" spans="2:15">
      <c r="B244" s="1507">
        <v>39845</v>
      </c>
      <c r="C244" s="1508">
        <v>410.84899999999999</v>
      </c>
      <c r="D244" s="1508">
        <v>2922.73</v>
      </c>
      <c r="E244" s="1508">
        <v>1.0085508573858042</v>
      </c>
      <c r="F244" s="1508">
        <v>21.370577306470185</v>
      </c>
      <c r="K244" s="1623">
        <v>42301</v>
      </c>
      <c r="L244" s="1624"/>
      <c r="M244" s="1625">
        <v>0</v>
      </c>
      <c r="N244" s="1626">
        <v>1.0858979347985582</v>
      </c>
      <c r="O244" s="1626">
        <v>1.0858979347985582</v>
      </c>
    </row>
    <row r="245" spans="2:15">
      <c r="B245" s="1507">
        <v>39873</v>
      </c>
      <c r="C245" s="1508">
        <v>407.80799999999999</v>
      </c>
      <c r="D245" s="1508">
        <v>2928.57</v>
      </c>
      <c r="E245" s="1508">
        <v>1.0097088387156097</v>
      </c>
      <c r="F245" s="1508">
        <v>21.578060794798173</v>
      </c>
      <c r="K245" s="1623">
        <v>42302</v>
      </c>
      <c r="L245" s="1624"/>
      <c r="M245" s="1625">
        <v>0</v>
      </c>
      <c r="N245" s="1626">
        <v>1.0858979347985582</v>
      </c>
      <c r="O245" s="1626">
        <v>1.0858979347985582</v>
      </c>
    </row>
    <row r="246" spans="2:15">
      <c r="B246" s="1507">
        <v>39904</v>
      </c>
      <c r="C246" s="1508">
        <v>407.18099999999998</v>
      </c>
      <c r="D246" s="1508">
        <v>2942.63</v>
      </c>
      <c r="E246" s="1508">
        <v>1.008395669248594</v>
      </c>
      <c r="F246" s="1508">
        <v>21.759223056257351</v>
      </c>
      <c r="K246" s="1623">
        <v>42303</v>
      </c>
      <c r="L246" s="1624" t="s">
        <v>2302</v>
      </c>
      <c r="M246" s="1625">
        <v>5.2531000000000001E-2</v>
      </c>
      <c r="N246" s="1626">
        <v>1.0864683678426872</v>
      </c>
      <c r="O246" s="1626">
        <v>1.0864683678426872</v>
      </c>
    </row>
    <row r="247" spans="2:15">
      <c r="B247" s="1507">
        <v>39934</v>
      </c>
      <c r="C247" s="1508">
        <v>406.88499999999999</v>
      </c>
      <c r="D247" s="1508">
        <v>2956.46</v>
      </c>
      <c r="E247" s="1508">
        <v>1.0077089274459567</v>
      </c>
      <c r="F247" s="1508">
        <v>21.926963328078429</v>
      </c>
      <c r="K247" s="1623">
        <v>42304</v>
      </c>
      <c r="L247" s="1624" t="s">
        <v>2302</v>
      </c>
      <c r="M247" s="1625">
        <v>5.2531000000000001E-2</v>
      </c>
      <c r="N247" s="1626">
        <v>1.0870391005409987</v>
      </c>
      <c r="O247" s="1626">
        <v>1.0870391005409987</v>
      </c>
    </row>
    <row r="248" spans="2:15">
      <c r="B248" s="1507">
        <v>39965</v>
      </c>
      <c r="C248" s="1508">
        <v>406.48599999999999</v>
      </c>
      <c r="D248" s="1508">
        <v>2967.1</v>
      </c>
      <c r="E248" s="1508">
        <v>1.0076218232644543</v>
      </c>
      <c r="F248" s="1508">
        <v>22.094086767291213</v>
      </c>
      <c r="K248" s="1623">
        <v>42305</v>
      </c>
      <c r="L248" s="1624" t="s">
        <v>2302</v>
      </c>
      <c r="M248" s="1625">
        <v>5.2531000000000001E-2</v>
      </c>
      <c r="N248" s="1626">
        <v>1.0876101330509038</v>
      </c>
      <c r="O248" s="1626">
        <v>1.0876101330509038</v>
      </c>
    </row>
    <row r="249" spans="2:15">
      <c r="B249" s="1507">
        <v>39995</v>
      </c>
      <c r="C249" s="1508">
        <v>404.71800000000002</v>
      </c>
      <c r="D249" s="1508">
        <v>2974.22</v>
      </c>
      <c r="E249" s="1508">
        <v>1.0079014252372847</v>
      </c>
      <c r="F249" s="1508">
        <v>22.268661542069044</v>
      </c>
      <c r="K249" s="1623">
        <v>42306</v>
      </c>
      <c r="L249" s="1624" t="s">
        <v>2302</v>
      </c>
      <c r="M249" s="1625">
        <v>5.2531000000000001E-2</v>
      </c>
      <c r="N249" s="1626">
        <v>1.0881814655298967</v>
      </c>
      <c r="O249" s="1626">
        <v>1.0881814655298967</v>
      </c>
    </row>
    <row r="250" spans="2:15">
      <c r="B250" s="1507">
        <v>40026</v>
      </c>
      <c r="C250" s="1508">
        <v>403.25299999999999</v>
      </c>
      <c r="D250" s="1508">
        <v>2978.68</v>
      </c>
      <c r="E250" s="1508">
        <v>1.0069374854840563</v>
      </c>
      <c r="F250" s="1508">
        <v>22.423150058266511</v>
      </c>
      <c r="K250" s="1623">
        <v>42307</v>
      </c>
      <c r="L250" s="1624" t="s">
        <v>2302</v>
      </c>
      <c r="M250" s="1625">
        <v>5.2531000000000001E-2</v>
      </c>
      <c r="N250" s="1626">
        <v>1.0887530981355542</v>
      </c>
      <c r="O250" s="1626">
        <v>1.0887530981355542</v>
      </c>
    </row>
    <row r="251" spans="2:15">
      <c r="B251" s="1507">
        <v>40057</v>
      </c>
      <c r="C251" s="1508">
        <v>404.94499999999999</v>
      </c>
      <c r="D251" s="1508">
        <v>2985.83</v>
      </c>
      <c r="E251" s="1508">
        <v>1.0069374854840563</v>
      </c>
      <c r="F251" s="1508">
        <v>22.578710336302549</v>
      </c>
      <c r="K251" s="1623">
        <v>42308</v>
      </c>
      <c r="L251" s="1624"/>
      <c r="M251" s="1625">
        <v>0</v>
      </c>
      <c r="N251" s="1626">
        <v>1.0887530981355542</v>
      </c>
      <c r="O251" s="1626">
        <v>1.0887530981355542</v>
      </c>
    </row>
    <row r="252" spans="2:15">
      <c r="B252" s="1507">
        <v>40087</v>
      </c>
      <c r="C252" s="1508">
        <v>405.12900000000002</v>
      </c>
      <c r="D252" s="1508">
        <v>2994.19</v>
      </c>
      <c r="E252" s="1508">
        <v>1.006937485484056</v>
      </c>
      <c r="F252" s="1508">
        <v>22.735349811509355</v>
      </c>
      <c r="K252" s="1623">
        <v>42309</v>
      </c>
      <c r="L252" s="1624"/>
      <c r="M252" s="1625">
        <v>0</v>
      </c>
      <c r="N252" s="1626">
        <v>1.0887530981355542</v>
      </c>
      <c r="O252" s="1626">
        <v>1.0887530981355542</v>
      </c>
    </row>
    <row r="253" spans="2:15">
      <c r="B253" s="1507">
        <v>40118</v>
      </c>
      <c r="C253" s="1508">
        <v>405.548</v>
      </c>
      <c r="D253" s="1508">
        <v>3006.47</v>
      </c>
      <c r="E253" s="1508">
        <v>1.006606040313162</v>
      </c>
      <c r="F253" s="1508">
        <v>22.885540448898027</v>
      </c>
      <c r="K253" s="1623">
        <v>42310</v>
      </c>
      <c r="L253" s="1624"/>
      <c r="M253" s="1625">
        <v>0</v>
      </c>
      <c r="N253" s="1626">
        <v>1.0887530981355542</v>
      </c>
      <c r="O253" s="1626">
        <v>1.0887530981355542</v>
      </c>
    </row>
    <row r="254" spans="2:15">
      <c r="B254" s="1507">
        <v>40148</v>
      </c>
      <c r="C254" s="1508">
        <v>404.49900000000002</v>
      </c>
      <c r="D254" s="1508">
        <v>3017.59</v>
      </c>
      <c r="E254" s="1508">
        <v>1.0072686672230315</v>
      </c>
      <c r="F254" s="1508">
        <v>23.051887826640293</v>
      </c>
      <c r="K254" s="1623">
        <v>42311</v>
      </c>
      <c r="L254" s="1624" t="s">
        <v>2302</v>
      </c>
      <c r="M254" s="1625">
        <v>5.2531000000000001E-2</v>
      </c>
      <c r="N254" s="1626">
        <v>1.0893250310255358</v>
      </c>
      <c r="O254" s="1626">
        <v>1.0893250310255358</v>
      </c>
    </row>
    <row r="255" spans="2:15">
      <c r="B255" s="1507">
        <v>40179</v>
      </c>
      <c r="C255" s="1508">
        <v>407.04899999999998</v>
      </c>
      <c r="D255" s="1508">
        <v>3040.22</v>
      </c>
      <c r="E255" s="1508">
        <v>1.0066056679915218</v>
      </c>
      <c r="F255" s="1508">
        <v>23.204160944200883</v>
      </c>
      <c r="K255" s="1623">
        <v>42312</v>
      </c>
      <c r="L255" s="1624" t="s">
        <v>2302</v>
      </c>
      <c r="M255" s="1625">
        <v>5.2531000000000001E-2</v>
      </c>
      <c r="N255" s="1626">
        <v>1.0898972643575837</v>
      </c>
      <c r="O255" s="1626">
        <v>1.0898972643575837</v>
      </c>
    </row>
    <row r="256" spans="2:15">
      <c r="B256" s="1507">
        <v>40210</v>
      </c>
      <c r="C256" s="1508">
        <v>411.84300000000002</v>
      </c>
      <c r="D256" s="1508">
        <v>3063.93</v>
      </c>
      <c r="E256" s="1508">
        <v>1.0059434772325486</v>
      </c>
      <c r="F256" s="1508">
        <v>23.342074346473133</v>
      </c>
      <c r="K256" s="1623">
        <v>42313</v>
      </c>
      <c r="L256" s="1624" t="s">
        <v>2302</v>
      </c>
      <c r="M256" s="1625">
        <v>5.2531000000000001E-2</v>
      </c>
      <c r="N256" s="1626">
        <v>1.0904697982895235</v>
      </c>
      <c r="O256" s="1626">
        <v>1.0904697982895235</v>
      </c>
    </row>
    <row r="257" spans="2:15">
      <c r="B257" s="1507">
        <v>40238</v>
      </c>
      <c r="C257" s="1508">
        <v>415.73399999999998</v>
      </c>
      <c r="D257" s="1508">
        <v>3079.86</v>
      </c>
      <c r="E257" s="1508">
        <v>1.0076007032666325</v>
      </c>
      <c r="F257" s="1508">
        <v>23.519490527208351</v>
      </c>
      <c r="K257" s="1623">
        <v>42314</v>
      </c>
      <c r="L257" s="1624" t="s">
        <v>2302</v>
      </c>
      <c r="M257" s="1625">
        <v>5.2531000000000001E-2</v>
      </c>
      <c r="N257" s="1626">
        <v>1.0910426329792631</v>
      </c>
      <c r="O257" s="1626">
        <v>1.0910426329792631</v>
      </c>
    </row>
    <row r="258" spans="2:15">
      <c r="B258" s="1507">
        <v>40269</v>
      </c>
      <c r="C258" s="1508">
        <v>418.91699999999997</v>
      </c>
      <c r="D258" s="1508">
        <v>3097.42</v>
      </c>
      <c r="E258" s="1508">
        <v>1.0066591320264642</v>
      </c>
      <c r="F258" s="1508">
        <v>23.676109919824206</v>
      </c>
      <c r="K258" s="1623">
        <v>42315</v>
      </c>
      <c r="L258" s="1624"/>
      <c r="M258" s="1625">
        <v>0</v>
      </c>
      <c r="N258" s="1626">
        <v>1.0910426329792631</v>
      </c>
      <c r="O258" s="1626">
        <v>1.0910426329792631</v>
      </c>
    </row>
    <row r="259" spans="2:15">
      <c r="B259" s="1507">
        <v>40299</v>
      </c>
      <c r="C259" s="1508">
        <v>423.88499999999999</v>
      </c>
      <c r="D259" s="1508">
        <v>3110.74</v>
      </c>
      <c r="E259" s="1508">
        <v>1.0075136425194853</v>
      </c>
      <c r="F259" s="1508">
        <v>23.854003746013806</v>
      </c>
      <c r="K259" s="1623">
        <v>42316</v>
      </c>
      <c r="L259" s="1624"/>
      <c r="M259" s="1625">
        <v>0</v>
      </c>
      <c r="N259" s="1626">
        <v>1.0910426329792631</v>
      </c>
      <c r="O259" s="1626">
        <v>1.0910426329792631</v>
      </c>
    </row>
    <row r="260" spans="2:15">
      <c r="B260" s="1507">
        <v>40330</v>
      </c>
      <c r="C260" s="1508">
        <v>427.48899999999998</v>
      </c>
      <c r="D260" s="1508">
        <v>3110.74</v>
      </c>
      <c r="E260" s="1508">
        <v>1.0079257581819461</v>
      </c>
      <c r="F260" s="1508">
        <v>24.043064811375949</v>
      </c>
      <c r="K260" s="1623">
        <v>42317</v>
      </c>
      <c r="L260" s="1624" t="s">
        <v>2302</v>
      </c>
      <c r="M260" s="1625">
        <v>5.2531000000000001E-2</v>
      </c>
      <c r="N260" s="1626">
        <v>1.0916157685847934</v>
      </c>
      <c r="O260" s="1626">
        <v>1.0916157685847934</v>
      </c>
    </row>
    <row r="261" spans="2:15">
      <c r="B261" s="1507">
        <v>40360</v>
      </c>
      <c r="C261" s="1508">
        <v>428.15</v>
      </c>
      <c r="D261" s="1508">
        <v>3111.05</v>
      </c>
      <c r="E261" s="1508">
        <v>1.0086102956499179</v>
      </c>
      <c r="F261" s="1508">
        <v>24.250082707732034</v>
      </c>
      <c r="K261" s="1623">
        <v>42318</v>
      </c>
      <c r="L261" s="1624" t="s">
        <v>2302</v>
      </c>
      <c r="M261" s="1625">
        <v>5.2531000000000001E-2</v>
      </c>
      <c r="N261" s="1626">
        <v>1.0921892052641886</v>
      </c>
      <c r="O261" s="1626">
        <v>1.0921892052641886</v>
      </c>
    </row>
    <row r="262" spans="2:15">
      <c r="B262" s="1507">
        <v>40391</v>
      </c>
      <c r="C262" s="1508">
        <v>431.44499999999999</v>
      </c>
      <c r="D262" s="1508">
        <v>3112.29</v>
      </c>
      <c r="E262" s="1508">
        <v>1.0088820963555043</v>
      </c>
      <c r="F262" s="1508">
        <v>24.465474278971058</v>
      </c>
      <c r="K262" s="1623">
        <v>42319</v>
      </c>
      <c r="L262" s="1624" t="s">
        <v>2302</v>
      </c>
      <c r="M262" s="1625">
        <v>5.2531000000000001E-2</v>
      </c>
      <c r="N262" s="1626">
        <v>1.0927629431756058</v>
      </c>
      <c r="O262" s="1626">
        <v>1.0927629431756058</v>
      </c>
    </row>
    <row r="263" spans="2:15">
      <c r="B263" s="1507">
        <v>40422</v>
      </c>
      <c r="C263" s="1508">
        <v>436.423</v>
      </c>
      <c r="D263" s="1508">
        <v>3126.29</v>
      </c>
      <c r="E263" s="1508">
        <v>1.0084766584844942</v>
      </c>
      <c r="F263" s="1508">
        <v>24.672859749095071</v>
      </c>
      <c r="K263" s="1623">
        <v>42320</v>
      </c>
      <c r="L263" s="1624" t="s">
        <v>2302</v>
      </c>
      <c r="M263" s="1625">
        <v>5.2531000000000001E-2</v>
      </c>
      <c r="N263" s="1626">
        <v>1.0933369824772854</v>
      </c>
      <c r="O263" s="1626">
        <v>1.0933369824772854</v>
      </c>
    </row>
    <row r="264" spans="2:15">
      <c r="B264" s="1507">
        <v>40452</v>
      </c>
      <c r="C264" s="1508">
        <v>440.82900000000001</v>
      </c>
      <c r="D264" s="1508">
        <v>3149.74</v>
      </c>
      <c r="E264" s="1508">
        <v>1.0080713835461668</v>
      </c>
      <c r="F264" s="1508">
        <v>24.872003863310798</v>
      </c>
      <c r="K264" s="1623">
        <v>42321</v>
      </c>
      <c r="L264" s="1624" t="s">
        <v>2302</v>
      </c>
      <c r="M264" s="1625">
        <v>5.2531000000000001E-2</v>
      </c>
      <c r="N264" s="1626">
        <v>1.0939113233275506</v>
      </c>
      <c r="O264" s="1626">
        <v>1.0939113233275506</v>
      </c>
    </row>
    <row r="265" spans="2:15">
      <c r="B265" s="1507">
        <v>40483</v>
      </c>
      <c r="C265" s="1508">
        <v>447.20600000000002</v>
      </c>
      <c r="D265" s="1508">
        <v>3175.88</v>
      </c>
      <c r="E265" s="1508">
        <v>1.008071383546167</v>
      </c>
      <c r="F265" s="1508">
        <v>25.072755346053327</v>
      </c>
      <c r="K265" s="1623">
        <v>42322</v>
      </c>
      <c r="L265" s="1624"/>
      <c r="M265" s="1625">
        <v>0</v>
      </c>
      <c r="N265" s="1626">
        <v>1.0939113233275506</v>
      </c>
      <c r="O265" s="1626">
        <v>1.0939113233275506</v>
      </c>
    </row>
    <row r="266" spans="2:15">
      <c r="B266" s="1507">
        <v>40513</v>
      </c>
      <c r="C266" s="1508">
        <v>450.30099999999999</v>
      </c>
      <c r="D266" s="1508">
        <v>3195.89</v>
      </c>
      <c r="E266" s="1508">
        <v>1.0092887868177591</v>
      </c>
      <c r="F266" s="1508">
        <v>25.305650825396647</v>
      </c>
      <c r="K266" s="1623">
        <v>42323</v>
      </c>
      <c r="L266" s="1624"/>
      <c r="M266" s="1625">
        <v>0</v>
      </c>
      <c r="N266" s="1626">
        <v>1.0939113233275506</v>
      </c>
      <c r="O266" s="1626">
        <v>1.0939113233275506</v>
      </c>
    </row>
    <row r="267" spans="2:15">
      <c r="B267" s="1507">
        <v>40544</v>
      </c>
      <c r="C267" s="1508">
        <v>453.875</v>
      </c>
      <c r="D267" s="1508">
        <v>3222.42</v>
      </c>
      <c r="E267" s="1508">
        <v>1.0086232010755674</v>
      </c>
      <c r="F267" s="1508">
        <v>25.52386654081214</v>
      </c>
      <c r="K267" s="1623">
        <v>42324</v>
      </c>
      <c r="L267" s="1624" t="s">
        <v>2302</v>
      </c>
      <c r="M267" s="1625">
        <v>5.2531000000000001E-2</v>
      </c>
      <c r="N267" s="1626">
        <v>1.0944859658848078</v>
      </c>
      <c r="O267" s="1626">
        <v>1.0944859658848078</v>
      </c>
    </row>
    <row r="268" spans="2:15">
      <c r="B268" s="1507">
        <v>40575</v>
      </c>
      <c r="C268" s="1508">
        <v>458.39699999999999</v>
      </c>
      <c r="D268" s="1508">
        <v>3248.2</v>
      </c>
      <c r="E268" s="1508">
        <v>1.0084390842010735</v>
      </c>
      <c r="F268" s="1508">
        <v>25.739264599687019</v>
      </c>
      <c r="K268" s="1623">
        <v>42325</v>
      </c>
      <c r="L268" s="1624" t="s">
        <v>2302</v>
      </c>
      <c r="M268" s="1625">
        <v>5.2531000000000001E-2</v>
      </c>
      <c r="N268" s="1626">
        <v>1.0950609103075468</v>
      </c>
      <c r="O268" s="1626">
        <v>1.0950609103075468</v>
      </c>
    </row>
    <row r="269" spans="2:15">
      <c r="B269" s="1507">
        <v>40603</v>
      </c>
      <c r="C269" s="1508">
        <v>461.24900000000002</v>
      </c>
      <c r="D269" s="1508">
        <v>3273.86</v>
      </c>
      <c r="E269" s="1508">
        <v>1.0092045846073012</v>
      </c>
      <c r="F269" s="1508">
        <v>25.97618383842455</v>
      </c>
      <c r="K269" s="1623">
        <v>42326</v>
      </c>
      <c r="L269" s="1624" t="s">
        <v>2302</v>
      </c>
      <c r="M269" s="1625">
        <v>5.2531000000000001E-2</v>
      </c>
      <c r="N269" s="1626">
        <v>1.0956361567543405</v>
      </c>
      <c r="O269" s="1626">
        <v>1.0956361567543405</v>
      </c>
    </row>
    <row r="270" spans="2:15">
      <c r="B270" s="1507">
        <v>40634</v>
      </c>
      <c r="C270" s="1508">
        <v>463.31099999999998</v>
      </c>
      <c r="D270" s="1508">
        <v>3299.07</v>
      </c>
      <c r="E270" s="1508">
        <v>1.0084015541577225</v>
      </c>
      <c r="F270" s="1508">
        <v>26.194424153754028</v>
      </c>
      <c r="K270" s="1623">
        <v>42327</v>
      </c>
      <c r="L270" s="1624" t="s">
        <v>2302</v>
      </c>
      <c r="M270" s="1625">
        <v>5.2531000000000001E-2</v>
      </c>
      <c r="N270" s="1626">
        <v>1.0962117053838452</v>
      </c>
      <c r="O270" s="1626">
        <v>1.0962117053838452</v>
      </c>
    </row>
    <row r="271" spans="2:15">
      <c r="B271" s="1507">
        <v>40664</v>
      </c>
      <c r="C271" s="1508">
        <v>465.31099999999998</v>
      </c>
      <c r="D271" s="1508">
        <v>3314.58</v>
      </c>
      <c r="E271" s="1508">
        <v>1.0098798495673293</v>
      </c>
      <c r="F271" s="1508">
        <v>26.453221123895936</v>
      </c>
      <c r="K271" s="1623">
        <v>42328</v>
      </c>
      <c r="L271" s="1624" t="s">
        <v>2302</v>
      </c>
      <c r="M271" s="1625">
        <v>5.2531000000000001E-2</v>
      </c>
      <c r="N271" s="1626">
        <v>1.0967875563548004</v>
      </c>
      <c r="O271" s="1626">
        <v>1.0967875563548004</v>
      </c>
    </row>
    <row r="272" spans="2:15">
      <c r="B272" s="1507">
        <v>40695</v>
      </c>
      <c r="C272" s="1508">
        <v>464.46300000000002</v>
      </c>
      <c r="D272" s="1508">
        <v>3319.55</v>
      </c>
      <c r="E272" s="1508">
        <v>1.0095627565914342</v>
      </c>
      <c r="F272" s="1508">
        <v>26.706186838563141</v>
      </c>
      <c r="K272" s="1623">
        <v>42329</v>
      </c>
      <c r="L272" s="1624"/>
      <c r="M272" s="1625">
        <v>0</v>
      </c>
      <c r="N272" s="1626">
        <v>1.0967875563548004</v>
      </c>
      <c r="O272" s="1626">
        <v>1.0967875563548004</v>
      </c>
    </row>
    <row r="273" spans="2:15">
      <c r="B273" s="1507">
        <v>40725</v>
      </c>
      <c r="C273" s="1508">
        <v>463.92700000000002</v>
      </c>
      <c r="D273" s="1508">
        <v>3324.86</v>
      </c>
      <c r="E273" s="1508">
        <v>1.0096788504099796</v>
      </c>
      <c r="F273" s="1508">
        <v>26.96467202599456</v>
      </c>
      <c r="K273" s="1623">
        <v>42330</v>
      </c>
      <c r="L273" s="1624"/>
      <c r="M273" s="1625">
        <v>0</v>
      </c>
      <c r="N273" s="1626">
        <v>1.0967875563548004</v>
      </c>
      <c r="O273" s="1626">
        <v>1.0967875563548004</v>
      </c>
    </row>
    <row r="274" spans="2:15">
      <c r="B274" s="1507">
        <v>40756</v>
      </c>
      <c r="C274" s="1508">
        <v>465.96800000000002</v>
      </c>
      <c r="D274" s="1508">
        <v>3337.16</v>
      </c>
      <c r="E274" s="1508">
        <v>1.0107406292787873</v>
      </c>
      <c r="F274" s="1508">
        <v>27.254289571849853</v>
      </c>
      <c r="K274" s="1623">
        <v>42331</v>
      </c>
      <c r="L274" s="1624" t="s">
        <v>2302</v>
      </c>
      <c r="M274" s="1625">
        <v>5.2531000000000001E-2</v>
      </c>
      <c r="N274" s="1626">
        <v>1.0973637098260292</v>
      </c>
      <c r="O274" s="1626">
        <v>1.0973637098260292</v>
      </c>
    </row>
    <row r="275" spans="2:15">
      <c r="B275" s="1507">
        <v>40787</v>
      </c>
      <c r="C275" s="1508">
        <v>468.97500000000002</v>
      </c>
      <c r="D275" s="1508">
        <v>3354.85</v>
      </c>
      <c r="E275" s="1508">
        <v>1.00941760689889</v>
      </c>
      <c r="F275" s="1508">
        <v>27.510959757346054</v>
      </c>
      <c r="K275" s="1623">
        <v>42332</v>
      </c>
      <c r="L275" s="1624" t="s">
        <v>2302</v>
      </c>
      <c r="M275" s="1625">
        <v>5.2531000000000001E-2</v>
      </c>
      <c r="N275" s="1626">
        <v>1.0979401659564378</v>
      </c>
      <c r="O275" s="1626">
        <v>1.0979401659564378</v>
      </c>
    </row>
    <row r="276" spans="2:15">
      <c r="B276" s="1507">
        <v>40817</v>
      </c>
      <c r="C276" s="1508">
        <v>471.46600000000001</v>
      </c>
      <c r="D276" s="1508">
        <v>3369.28</v>
      </c>
      <c r="E276" s="1508">
        <v>1.0088195463919019</v>
      </c>
      <c r="F276" s="1508">
        <v>27.753593943211712</v>
      </c>
      <c r="K276" s="1623">
        <v>42333</v>
      </c>
      <c r="L276" s="1624" t="s">
        <v>2302</v>
      </c>
      <c r="M276" s="1625">
        <v>5.2531000000000001E-2</v>
      </c>
      <c r="N276" s="1626">
        <v>1.0985169249050164</v>
      </c>
      <c r="O276" s="1626">
        <v>1.0985169249050164</v>
      </c>
    </row>
    <row r="277" spans="2:15">
      <c r="B277" s="1507">
        <v>40848</v>
      </c>
      <c r="C277" s="1508">
        <v>473.80799999999999</v>
      </c>
      <c r="D277" s="1508">
        <v>3386.8</v>
      </c>
      <c r="E277" s="1508">
        <v>1.0086047745492386</v>
      </c>
      <c r="F277" s="1508">
        <v>27.992407362024164</v>
      </c>
      <c r="K277" s="1623">
        <v>42334</v>
      </c>
      <c r="L277" s="1624" t="s">
        <v>2302</v>
      </c>
      <c r="M277" s="1625">
        <v>5.2531000000000001E-2</v>
      </c>
      <c r="N277" s="1626">
        <v>1.0990939868308383</v>
      </c>
      <c r="O277" s="1626">
        <v>1.0990939868308383</v>
      </c>
    </row>
    <row r="278" spans="2:15">
      <c r="B278" s="1507">
        <v>40878</v>
      </c>
      <c r="C278" s="1508">
        <v>473.25200000000001</v>
      </c>
      <c r="D278" s="1508">
        <v>3403.73</v>
      </c>
      <c r="E278" s="1508">
        <v>1.0090732804800764</v>
      </c>
      <c r="F278" s="1508">
        <v>28.246390325332364</v>
      </c>
      <c r="K278" s="1623">
        <v>42335</v>
      </c>
      <c r="L278" s="1624" t="s">
        <v>2302</v>
      </c>
      <c r="M278" s="1625">
        <v>5.2531000000000001E-2</v>
      </c>
      <c r="N278" s="1626">
        <v>1.0996713518930603</v>
      </c>
      <c r="O278" s="1626">
        <v>1.0996713518930603</v>
      </c>
    </row>
    <row r="279" spans="2:15">
      <c r="B279" s="1507">
        <v>40909</v>
      </c>
      <c r="C279" s="1508">
        <v>474.42899999999997</v>
      </c>
      <c r="D279" s="1508">
        <v>3422.79</v>
      </c>
      <c r="E279" s="1508">
        <v>1.0089101617717657</v>
      </c>
      <c r="F279" s="1508">
        <v>28.498070232599513</v>
      </c>
      <c r="K279" s="1623">
        <v>42336</v>
      </c>
      <c r="L279" s="1624"/>
      <c r="M279" s="1625">
        <v>0</v>
      </c>
      <c r="N279" s="1626">
        <v>1.0996713518930603</v>
      </c>
      <c r="O279" s="1626">
        <v>1.0996713518930603</v>
      </c>
    </row>
    <row r="280" spans="2:15">
      <c r="B280" s="1507">
        <v>40940</v>
      </c>
      <c r="C280" s="1508">
        <v>474.13799999999998</v>
      </c>
      <c r="D280" s="1508">
        <v>3438.19</v>
      </c>
      <c r="E280" s="1508">
        <v>1.0074877292470876</v>
      </c>
      <c r="F280" s="1508">
        <v>28.711456066565706</v>
      </c>
      <c r="K280" s="1623">
        <v>42337</v>
      </c>
      <c r="L280" s="1624"/>
      <c r="M280" s="1625">
        <v>0</v>
      </c>
      <c r="N280" s="1626">
        <v>1.0996713518930603</v>
      </c>
      <c r="O280" s="1626">
        <v>1.0996713518930603</v>
      </c>
    </row>
    <row r="281" spans="2:15">
      <c r="B281" s="1507">
        <v>40969</v>
      </c>
      <c r="C281" s="1508">
        <v>476.166</v>
      </c>
      <c r="D281" s="1508">
        <v>3445.41</v>
      </c>
      <c r="E281" s="1508">
        <v>1.0082113884808406</v>
      </c>
      <c r="F281" s="1508">
        <v>28.947216986178862</v>
      </c>
      <c r="K281" s="1623">
        <v>42338</v>
      </c>
      <c r="L281" s="1624" t="s">
        <v>2302</v>
      </c>
      <c r="M281" s="1625">
        <v>5.2531000000000001E-2</v>
      </c>
      <c r="N281" s="1626">
        <v>1.1002490202509232</v>
      </c>
      <c r="O281" s="1626">
        <v>1.1002490202509232</v>
      </c>
    </row>
    <row r="282" spans="2:15">
      <c r="B282" s="1507">
        <v>41000</v>
      </c>
      <c r="C282" s="1508">
        <v>480.22899999999998</v>
      </c>
      <c r="D282" s="1508">
        <v>3467.46</v>
      </c>
      <c r="E282" s="1508">
        <v>1.0071187588624242</v>
      </c>
      <c r="F282" s="1508">
        <v>29.15328524364174</v>
      </c>
      <c r="K282" s="1623">
        <v>42339</v>
      </c>
      <c r="L282" s="1624" t="s">
        <v>2302</v>
      </c>
      <c r="M282" s="1625">
        <v>5.2531000000000001E-2</v>
      </c>
      <c r="N282" s="1626">
        <v>1.1008269920637512</v>
      </c>
      <c r="O282" s="1626">
        <v>1.1008269920637512</v>
      </c>
    </row>
    <row r="283" spans="2:15">
      <c r="B283" s="1507">
        <v>41030</v>
      </c>
      <c r="C283" s="1508">
        <v>485.14</v>
      </c>
      <c r="D283" s="1508">
        <v>3479.94</v>
      </c>
      <c r="E283" s="1508">
        <v>1.007447242329657</v>
      </c>
      <c r="F283" s="1508">
        <v>29.370396823556753</v>
      </c>
      <c r="G283" s="11"/>
      <c r="K283" s="1623">
        <v>42340</v>
      </c>
      <c r="L283" s="1624" t="s">
        <v>2302</v>
      </c>
      <c r="M283" s="1625">
        <v>5.2531000000000001E-2</v>
      </c>
      <c r="N283" s="1626">
        <v>1.1014052674909522</v>
      </c>
      <c r="O283" s="1626">
        <v>1.1014052674909522</v>
      </c>
    </row>
    <row r="284" spans="2:15">
      <c r="B284" s="1507">
        <v>41061</v>
      </c>
      <c r="C284" s="1508">
        <v>488.34199999999998</v>
      </c>
      <c r="D284" s="1508">
        <v>3482.72</v>
      </c>
      <c r="E284" s="1508">
        <v>1.0064150263426446</v>
      </c>
      <c r="F284" s="1508">
        <v>29.558808692873793</v>
      </c>
      <c r="K284" s="1623">
        <v>42341</v>
      </c>
      <c r="L284" s="1624" t="s">
        <v>2302</v>
      </c>
      <c r="M284" s="1625">
        <v>5.2531000000000001E-2</v>
      </c>
      <c r="N284" s="1626">
        <v>1.101983846692018</v>
      </c>
      <c r="O284" s="1626">
        <v>1.101983846692018</v>
      </c>
    </row>
    <row r="285" spans="2:15">
      <c r="B285" s="1507">
        <v>41091</v>
      </c>
      <c r="C285" s="1508">
        <v>494.89100000000002</v>
      </c>
      <c r="D285" s="1508">
        <v>3497.7</v>
      </c>
      <c r="E285" s="1508">
        <v>1.0067996486835762</v>
      </c>
      <c r="F285" s="1508">
        <v>29.759798207490373</v>
      </c>
      <c r="K285" s="1623">
        <v>42342</v>
      </c>
      <c r="L285" s="1624" t="s">
        <v>2302</v>
      </c>
      <c r="M285" s="1625">
        <v>5.2531000000000001E-2</v>
      </c>
      <c r="N285" s="1626">
        <v>1.1025627298265237</v>
      </c>
      <c r="O285" s="1626">
        <v>1.1025627298265237</v>
      </c>
    </row>
    <row r="286" spans="2:15">
      <c r="B286" s="1507">
        <v>41122</v>
      </c>
      <c r="C286" s="1508">
        <v>501.95699999999999</v>
      </c>
      <c r="D286" s="1508">
        <v>3512.04</v>
      </c>
      <c r="E286" s="1508">
        <v>1.0069181066014252</v>
      </c>
      <c r="F286" s="1508">
        <v>29.965679663926696</v>
      </c>
      <c r="K286" s="1623">
        <v>42343</v>
      </c>
      <c r="L286" s="1624"/>
      <c r="M286" s="1625">
        <v>0</v>
      </c>
      <c r="N286" s="1626">
        <v>1.1025627298265237</v>
      </c>
      <c r="O286" s="1626">
        <v>1.1025627298265237</v>
      </c>
    </row>
    <row r="287" spans="2:15">
      <c r="B287" s="1507">
        <v>41153</v>
      </c>
      <c r="C287" s="1508">
        <v>506.80399999999997</v>
      </c>
      <c r="D287" s="1508">
        <v>3532.06</v>
      </c>
      <c r="E287" s="1508">
        <v>1.0053899533259578</v>
      </c>
      <c r="F287" s="1508">
        <v>30.127193278695866</v>
      </c>
      <c r="K287" s="1623">
        <v>42344</v>
      </c>
      <c r="L287" s="1624"/>
      <c r="M287" s="1625">
        <v>0</v>
      </c>
      <c r="N287" s="1626">
        <v>1.1025627298265237</v>
      </c>
      <c r="O287" s="1626">
        <v>1.1025627298265237</v>
      </c>
    </row>
    <row r="288" spans="2:15">
      <c r="B288" s="1507">
        <v>41183</v>
      </c>
      <c r="C288" s="1508">
        <v>506.92599999999999</v>
      </c>
      <c r="D288" s="1508">
        <v>3552.9</v>
      </c>
      <c r="E288" s="1508">
        <v>1.0061133864051108</v>
      </c>
      <c r="F288" s="1508">
        <v>30.311372452509993</v>
      </c>
      <c r="K288" s="1623">
        <v>42345</v>
      </c>
      <c r="L288" s="1624" t="s">
        <v>2302</v>
      </c>
      <c r="M288" s="1625">
        <v>5.2531000000000001E-2</v>
      </c>
      <c r="N288" s="1626">
        <v>1.1031419170541288</v>
      </c>
      <c r="O288" s="1626">
        <v>1.1031419170541288</v>
      </c>
    </row>
    <row r="289" spans="2:15">
      <c r="B289" s="1507">
        <v>41214</v>
      </c>
      <c r="C289" s="1508">
        <v>506.79500000000002</v>
      </c>
      <c r="D289" s="1508">
        <v>3574.22</v>
      </c>
      <c r="E289" s="1508">
        <v>1.0054884576647556</v>
      </c>
      <c r="F289" s="1508">
        <v>30.477735136976232</v>
      </c>
      <c r="K289" s="1623">
        <v>42346</v>
      </c>
      <c r="L289" s="1624" t="s">
        <v>2302</v>
      </c>
      <c r="M289" s="1625">
        <v>5.2531000000000001E-2</v>
      </c>
      <c r="N289" s="1626">
        <v>1.1037214085345766</v>
      </c>
      <c r="O289" s="1626">
        <v>1.1037214085345766</v>
      </c>
    </row>
    <row r="290" spans="2:15">
      <c r="B290" s="1507">
        <v>41244</v>
      </c>
      <c r="C290" s="1508">
        <v>510.25200000000001</v>
      </c>
      <c r="D290" s="1508">
        <v>3602.46</v>
      </c>
      <c r="E290" s="1508">
        <v>1.0055015154231364</v>
      </c>
      <c r="F290" s="1508">
        <v>30.645408866894574</v>
      </c>
      <c r="K290" s="1623">
        <v>42347</v>
      </c>
      <c r="L290" s="1624" t="s">
        <v>2302</v>
      </c>
      <c r="M290" s="1625">
        <v>5.2531000000000001E-2</v>
      </c>
      <c r="N290" s="1626">
        <v>1.1043012044276939</v>
      </c>
      <c r="O290" s="1626">
        <v>1.1043012044276939</v>
      </c>
    </row>
    <row r="291" spans="2:15">
      <c r="B291" s="1507">
        <v>41275</v>
      </c>
      <c r="C291" s="1508">
        <v>511.97699999999998</v>
      </c>
      <c r="D291" s="1508">
        <v>3633.44</v>
      </c>
      <c r="E291" s="1508">
        <v>1.0060143970219473</v>
      </c>
      <c r="F291" s="1508">
        <v>30.82972252271998</v>
      </c>
      <c r="K291" s="1623">
        <v>42348</v>
      </c>
      <c r="L291" s="1624" t="s">
        <v>2302</v>
      </c>
      <c r="M291" s="1625">
        <v>5.2531000000000001E-2</v>
      </c>
      <c r="N291" s="1626">
        <v>1.1048813048933919</v>
      </c>
      <c r="O291" s="1626">
        <v>1.1048813048933919</v>
      </c>
    </row>
    <row r="292" spans="2:15">
      <c r="B292" s="1507">
        <v>41306</v>
      </c>
      <c r="C292" s="1508">
        <v>513.46699999999998</v>
      </c>
      <c r="D292" s="1508">
        <v>3655.24</v>
      </c>
      <c r="E292" s="1508">
        <v>1.0049274991744226</v>
      </c>
      <c r="F292" s="1508">
        <v>30.98163595499836</v>
      </c>
      <c r="K292" s="1623">
        <v>42349</v>
      </c>
      <c r="L292" s="1624" t="s">
        <v>2302</v>
      </c>
      <c r="M292" s="1625">
        <v>5.2531000000000001E-2</v>
      </c>
      <c r="N292" s="1626">
        <v>1.1054617100916655</v>
      </c>
      <c r="O292" s="1626">
        <v>1.1054617100916655</v>
      </c>
    </row>
    <row r="293" spans="2:15">
      <c r="B293" s="1507">
        <v>41334</v>
      </c>
      <c r="C293" s="1508">
        <v>514.52599999999995</v>
      </c>
      <c r="D293" s="1508">
        <v>3672.42</v>
      </c>
      <c r="E293" s="1508">
        <v>1.0054940366101026</v>
      </c>
      <c r="F293" s="1508">
        <v>31.151850197175992</v>
      </c>
      <c r="K293" s="1623">
        <v>42350</v>
      </c>
      <c r="L293" s="1624"/>
      <c r="M293" s="1625">
        <v>0</v>
      </c>
      <c r="N293" s="1626">
        <v>1.1054617100916655</v>
      </c>
      <c r="O293" s="1626">
        <v>1.1054617100916655</v>
      </c>
    </row>
    <row r="294" spans="2:15">
      <c r="B294" s="1507">
        <v>41365</v>
      </c>
      <c r="C294" s="1508">
        <v>515.27599999999995</v>
      </c>
      <c r="D294" s="1508">
        <v>3692.62</v>
      </c>
      <c r="E294" s="1508">
        <v>1.0061364605097283</v>
      </c>
      <c r="F294" s="1508">
        <v>31.343012295715933</v>
      </c>
      <c r="K294" s="1623">
        <v>42351</v>
      </c>
      <c r="L294" s="1624"/>
      <c r="M294" s="1625">
        <v>0</v>
      </c>
      <c r="N294" s="1626">
        <v>1.1054617100916655</v>
      </c>
      <c r="O294" s="1626">
        <v>1.1054617100916655</v>
      </c>
    </row>
    <row r="295" spans="2:15">
      <c r="B295" s="1507">
        <v>41395</v>
      </c>
      <c r="C295" s="1508">
        <v>515.29899999999998</v>
      </c>
      <c r="D295" s="1508">
        <v>3706.28</v>
      </c>
      <c r="E295" s="1508">
        <v>1.0059853629993882</v>
      </c>
      <c r="F295" s="1508">
        <v>31.530611601800082</v>
      </c>
      <c r="K295" s="1623">
        <v>42352</v>
      </c>
      <c r="L295" s="1624" t="s">
        <v>2302</v>
      </c>
      <c r="M295" s="1625">
        <v>5.2531000000000001E-2</v>
      </c>
      <c r="N295" s="1626">
        <v>1.1060424201825938</v>
      </c>
      <c r="O295" s="1626">
        <v>1.1060424201825938</v>
      </c>
    </row>
    <row r="296" spans="2:15">
      <c r="B296" s="1507">
        <v>41426</v>
      </c>
      <c r="C296" s="1508">
        <v>519.15300000000002</v>
      </c>
      <c r="D296" s="1508">
        <v>3715.92</v>
      </c>
      <c r="E296" s="1508">
        <v>1.0060527337434972</v>
      </c>
      <c r="F296" s="1508">
        <v>31.721457998595405</v>
      </c>
      <c r="G296" s="66"/>
      <c r="K296" s="1623">
        <v>42353</v>
      </c>
      <c r="L296" s="1624" t="s">
        <v>2302</v>
      </c>
      <c r="M296" s="1625">
        <v>5.2531000000000001E-2</v>
      </c>
      <c r="N296" s="1626">
        <v>1.10662343532634</v>
      </c>
      <c r="O296" s="1626">
        <v>1.10662343532634</v>
      </c>
    </row>
    <row r="297" spans="2:15">
      <c r="B297" s="1507">
        <v>41456</v>
      </c>
      <c r="C297" s="1508">
        <v>520.50800000000004</v>
      </c>
      <c r="D297" s="1508">
        <v>3717.03</v>
      </c>
      <c r="E297" s="1508">
        <v>1.0072409169740031</v>
      </c>
      <c r="F297" s="1508">
        <v>31.951150442257561</v>
      </c>
      <c r="K297" s="1623">
        <v>42354</v>
      </c>
      <c r="L297" s="1624" t="s">
        <v>2302</v>
      </c>
      <c r="M297" s="1625">
        <v>5.2531000000000001E-2</v>
      </c>
      <c r="N297" s="1626">
        <v>1.1072047556831512</v>
      </c>
      <c r="O297" s="1626">
        <v>1.1072047556831512</v>
      </c>
    </row>
    <row r="298" spans="2:15">
      <c r="B298" s="1507">
        <v>41487</v>
      </c>
      <c r="C298" s="1508">
        <v>521.27</v>
      </c>
      <c r="D298" s="1508">
        <v>3725.95</v>
      </c>
      <c r="E298" s="1508">
        <v>1.0071031495053051</v>
      </c>
      <c r="F298" s="1508">
        <v>32.178104240715413</v>
      </c>
      <c r="K298" s="1623">
        <v>42355</v>
      </c>
      <c r="L298" s="1624" t="s">
        <v>2302</v>
      </c>
      <c r="M298" s="1625">
        <v>5.2531000000000001E-2</v>
      </c>
      <c r="N298" s="1626">
        <v>1.1077863814133591</v>
      </c>
      <c r="O298" s="1626">
        <v>1.1077863814133591</v>
      </c>
    </row>
    <row r="299" spans="2:15">
      <c r="B299" s="1507">
        <v>41518</v>
      </c>
      <c r="C299" s="1508">
        <v>529.08500000000004</v>
      </c>
      <c r="D299" s="1508">
        <v>3738.99</v>
      </c>
      <c r="E299" s="1508">
        <v>1.0071302882501354</v>
      </c>
      <c r="F299" s="1508">
        <v>32.407543399294617</v>
      </c>
      <c r="K299" s="1623">
        <v>42356</v>
      </c>
      <c r="L299" s="1624" t="s">
        <v>2302</v>
      </c>
      <c r="M299" s="1625">
        <v>5.2531000000000001E-2</v>
      </c>
      <c r="N299" s="1626">
        <v>1.1083683126773793</v>
      </c>
      <c r="O299" s="1626">
        <v>1.1083683126773793</v>
      </c>
    </row>
    <row r="300" spans="2:15">
      <c r="B300" s="1507">
        <v>41548</v>
      </c>
      <c r="C300" s="1508">
        <v>533.62099999999998</v>
      </c>
      <c r="D300" s="1508">
        <v>3760.3</v>
      </c>
      <c r="E300" s="1508">
        <v>1.0081051023495244</v>
      </c>
      <c r="F300" s="1508">
        <v>32.670209855442558</v>
      </c>
      <c r="G300" s="67"/>
      <c r="K300" s="1623">
        <v>42357</v>
      </c>
      <c r="L300" s="1624"/>
      <c r="M300" s="1625">
        <v>0</v>
      </c>
      <c r="N300" s="1626">
        <v>1.1083683126773793</v>
      </c>
      <c r="O300" s="1626">
        <v>1.1083683126773793</v>
      </c>
    </row>
    <row r="301" spans="2:15">
      <c r="B301" s="1507">
        <v>41579</v>
      </c>
      <c r="C301" s="1508">
        <v>535.16800000000001</v>
      </c>
      <c r="D301" s="1508">
        <v>3780.61</v>
      </c>
      <c r="E301" s="1508">
        <v>1.0071920752752215</v>
      </c>
      <c r="F301" s="1508">
        <v>32.905176463980183</v>
      </c>
      <c r="G301" s="67"/>
      <c r="K301" s="1623">
        <v>42358</v>
      </c>
      <c r="L301" s="1624"/>
      <c r="M301" s="1625">
        <v>0</v>
      </c>
      <c r="N301" s="1626">
        <v>1.1083683126773793</v>
      </c>
      <c r="O301" s="1626">
        <v>1.1083683126773793</v>
      </c>
    </row>
    <row r="302" spans="2:15">
      <c r="B302" s="1507">
        <v>41609</v>
      </c>
      <c r="C302" s="1508">
        <v>538.37</v>
      </c>
      <c r="D302" s="1508">
        <v>3815.39</v>
      </c>
      <c r="E302" s="1508">
        <v>1.0078974581644051</v>
      </c>
      <c r="F302" s="1508">
        <v>33.165043718496833</v>
      </c>
      <c r="G302" s="66"/>
      <c r="K302" s="1623">
        <v>42359</v>
      </c>
      <c r="L302" s="1624" t="s">
        <v>2302</v>
      </c>
      <c r="M302" s="1625">
        <v>5.2531000000000001E-2</v>
      </c>
      <c r="N302" s="1626">
        <v>1.1089505496357119</v>
      </c>
      <c r="O302" s="1626">
        <v>1.1089505496357119</v>
      </c>
    </row>
    <row r="303" spans="2:15">
      <c r="B303" s="1507">
        <v>41640</v>
      </c>
      <c r="C303" s="1508">
        <v>540.95899999999995</v>
      </c>
      <c r="D303" s="1508">
        <v>3836.38</v>
      </c>
      <c r="E303" s="1508">
        <v>1.0084934395272054</v>
      </c>
      <c r="F303" s="1508">
        <v>33.446729011737006</v>
      </c>
      <c r="K303" s="1623">
        <v>42360</v>
      </c>
      <c r="L303" s="1624" t="s">
        <v>2302</v>
      </c>
      <c r="M303" s="1625">
        <v>5.2531000000000001E-2</v>
      </c>
      <c r="N303" s="1626">
        <v>1.109533092448941</v>
      </c>
      <c r="O303" s="1626">
        <v>1.109533092448941</v>
      </c>
    </row>
    <row r="304" spans="2:15">
      <c r="B304" s="1507">
        <v>41671</v>
      </c>
      <c r="C304" s="1508">
        <v>543.03800000000001</v>
      </c>
      <c r="D304" s="1508">
        <v>3862.84</v>
      </c>
      <c r="E304" s="1508">
        <v>1.007901464239193</v>
      </c>
      <c r="F304" s="1508">
        <v>33.711007144941227</v>
      </c>
      <c r="K304" s="1623">
        <v>42361</v>
      </c>
      <c r="L304" s="1624" t="s">
        <v>2302</v>
      </c>
      <c r="M304" s="1625">
        <v>5.2531000000000001E-2</v>
      </c>
      <c r="N304" s="1626">
        <v>1.1101159412777355</v>
      </c>
      <c r="O304" s="1626">
        <v>1.1101159412777355</v>
      </c>
    </row>
    <row r="305" spans="2:15">
      <c r="B305" s="1507">
        <v>41699</v>
      </c>
      <c r="C305" s="1508">
        <v>552.08699999999999</v>
      </c>
      <c r="D305" s="1508">
        <v>3898.38</v>
      </c>
      <c r="E305" s="1508">
        <v>1.0076595732083427</v>
      </c>
      <c r="F305" s="1508">
        <v>33.969219072094866</v>
      </c>
      <c r="K305" s="1623">
        <v>42362</v>
      </c>
      <c r="L305" s="1624" t="s">
        <v>2302</v>
      </c>
      <c r="M305" s="1625">
        <v>5.2531000000000001E-2</v>
      </c>
      <c r="N305" s="1626">
        <v>1.110699096282848</v>
      </c>
      <c r="O305" s="1626">
        <v>1.110699096282848</v>
      </c>
    </row>
    <row r="306" spans="2:15">
      <c r="B306" s="1507">
        <v>41730</v>
      </c>
      <c r="C306" s="1508">
        <v>556.41999999999996</v>
      </c>
      <c r="D306" s="1508">
        <v>3924.5</v>
      </c>
      <c r="E306" s="1508">
        <v>1.0082266762081393</v>
      </c>
      <c r="F306" s="1508">
        <v>34.248672838444342</v>
      </c>
      <c r="K306" s="1623">
        <v>42363</v>
      </c>
      <c r="L306" s="1624"/>
      <c r="M306" s="1625">
        <v>0</v>
      </c>
      <c r="N306" s="1626">
        <v>1.110699096282848</v>
      </c>
      <c r="O306" s="1626">
        <v>1.110699096282848</v>
      </c>
    </row>
    <row r="307" spans="2:15">
      <c r="B307" s="1507">
        <v>41760</v>
      </c>
      <c r="C307" s="1508">
        <v>555.67899999999997</v>
      </c>
      <c r="D307" s="1508">
        <v>3942.55</v>
      </c>
      <c r="E307" s="1508">
        <v>1.0086587318278823</v>
      </c>
      <c r="F307" s="1508">
        <v>34.545222912013308</v>
      </c>
      <c r="K307" s="1623">
        <v>42364</v>
      </c>
      <c r="L307" s="1624"/>
      <c r="M307" s="1625">
        <v>0</v>
      </c>
      <c r="N307" s="1626">
        <v>1.110699096282848</v>
      </c>
      <c r="O307" s="1626">
        <v>1.110699096282848</v>
      </c>
    </row>
    <row r="308" spans="2:15">
      <c r="B308" s="1507">
        <v>41791</v>
      </c>
      <c r="C308" s="1508">
        <v>551.55399999999997</v>
      </c>
      <c r="D308" s="1508">
        <v>3958.32</v>
      </c>
      <c r="E308" s="1508">
        <v>1.0082447163000285</v>
      </c>
      <c r="F308" s="1508">
        <v>34.830038474444102</v>
      </c>
      <c r="K308" s="1623">
        <v>42365</v>
      </c>
      <c r="L308" s="1624"/>
      <c r="M308" s="1625">
        <v>0</v>
      </c>
      <c r="N308" s="1626">
        <v>1.110699096282848</v>
      </c>
      <c r="O308" s="1626">
        <v>1.110699096282848</v>
      </c>
    </row>
    <row r="309" spans="2:15">
      <c r="B309" s="1507">
        <v>41821</v>
      </c>
      <c r="C309" s="1508">
        <v>548.202</v>
      </c>
      <c r="D309" s="1508">
        <v>3958.72</v>
      </c>
      <c r="E309" s="1508">
        <v>1.0094872729749897</v>
      </c>
      <c r="F309" s="1508">
        <v>35.160480557180549</v>
      </c>
      <c r="K309" s="1623">
        <v>42366</v>
      </c>
      <c r="L309" s="1624" t="s">
        <v>2302</v>
      </c>
      <c r="M309" s="1625">
        <v>5.2531000000000001E-2</v>
      </c>
      <c r="N309" s="1626">
        <v>1.1112825576251164</v>
      </c>
      <c r="O309" s="1626">
        <v>1.1112825576251164</v>
      </c>
    </row>
    <row r="310" spans="2:15">
      <c r="B310" s="1507">
        <v>41852</v>
      </c>
      <c r="C310" s="1508">
        <v>546.745</v>
      </c>
      <c r="D310" s="1508">
        <v>3968.62</v>
      </c>
      <c r="E310" s="1508">
        <v>1.0086598207325679</v>
      </c>
      <c r="F310" s="1508">
        <v>35.464964015676671</v>
      </c>
      <c r="K310" s="1623">
        <v>42367</v>
      </c>
      <c r="L310" s="1624" t="s">
        <v>2302</v>
      </c>
      <c r="M310" s="1625">
        <v>5.2531000000000001E-2</v>
      </c>
      <c r="N310" s="1626">
        <v>1.1118663254654624</v>
      </c>
      <c r="O310" s="1626">
        <v>1.1118663254654624</v>
      </c>
    </row>
    <row r="311" spans="2:15">
      <c r="B311" s="1507">
        <v>41883</v>
      </c>
      <c r="C311" s="1508">
        <v>547.83900000000006</v>
      </c>
      <c r="D311" s="1508">
        <v>3991.24</v>
      </c>
      <c r="E311" s="1508">
        <v>1.0090729173629331</v>
      </c>
      <c r="F311" s="1508">
        <v>35.786734703470302</v>
      </c>
      <c r="K311" s="1623">
        <v>42368</v>
      </c>
      <c r="L311" s="1624" t="s">
        <v>2302</v>
      </c>
      <c r="M311" s="1625">
        <v>5.2531000000000001E-2</v>
      </c>
      <c r="N311" s="1626">
        <v>1.1124503999648927</v>
      </c>
      <c r="O311" s="1626">
        <v>1.1124503999648927</v>
      </c>
    </row>
    <row r="312" spans="2:15">
      <c r="B312" s="1507">
        <v>41913</v>
      </c>
      <c r="C312" s="1508">
        <v>549.39599999999996</v>
      </c>
      <c r="D312" s="1508">
        <v>4008</v>
      </c>
      <c r="E312" s="1508">
        <v>1.009505315279368</v>
      </c>
      <c r="F312" s="1508">
        <v>36.126898899645887</v>
      </c>
      <c r="K312" s="1623">
        <v>42369</v>
      </c>
      <c r="L312" s="1624" t="s">
        <v>2302</v>
      </c>
      <c r="M312" s="1625">
        <v>5.2531000000000001E-2</v>
      </c>
      <c r="N312" s="1626">
        <v>1.1130347812844983</v>
      </c>
      <c r="O312" s="1626">
        <v>1.1130347812844983</v>
      </c>
    </row>
    <row r="313" spans="2:15">
      <c r="B313" s="1507">
        <v>41944</v>
      </c>
      <c r="C313" s="1508">
        <v>554.76900000000001</v>
      </c>
      <c r="D313" s="1508">
        <v>4028.44</v>
      </c>
      <c r="E313" s="1508">
        <v>1.0084249317586502</v>
      </c>
      <c r="F313" s="1508">
        <v>36.431265557527063</v>
      </c>
      <c r="K313" s="1623">
        <v>42370</v>
      </c>
      <c r="L313" s="1624"/>
      <c r="M313" s="1625">
        <v>0</v>
      </c>
      <c r="N313" s="1626">
        <v>1.1130347812844983</v>
      </c>
      <c r="O313" s="1626">
        <v>1.1130347812844983</v>
      </c>
    </row>
    <row r="314" spans="2:15">
      <c r="B314" s="1507">
        <v>41974</v>
      </c>
      <c r="C314" s="1508">
        <v>558.21299999999997</v>
      </c>
      <c r="D314" s="1508">
        <v>4059.86</v>
      </c>
      <c r="E314" s="1508">
        <v>1.0096129495106978</v>
      </c>
      <c r="F314" s="1508">
        <v>36.781477473942395</v>
      </c>
      <c r="K314" s="1623">
        <v>42371</v>
      </c>
      <c r="L314" s="1624"/>
      <c r="M314" s="1625">
        <v>0</v>
      </c>
      <c r="N314" s="1626">
        <v>1.1130347812844983</v>
      </c>
      <c r="O314" s="1626">
        <v>1.1130347812844983</v>
      </c>
    </row>
    <row r="315" spans="2:15">
      <c r="B315" s="1507">
        <v>42005</v>
      </c>
      <c r="C315" s="1508">
        <v>562.48199999999997</v>
      </c>
      <c r="D315" s="1508">
        <v>4110.2</v>
      </c>
      <c r="E315" s="1508">
        <v>1.0093507541041149</v>
      </c>
      <c r="F315" s="1508">
        <v>37.12541202538727</v>
      </c>
      <c r="K315" s="1623">
        <v>42372</v>
      </c>
      <c r="L315" s="1624"/>
      <c r="M315" s="1625">
        <v>0</v>
      </c>
      <c r="N315" s="1626">
        <v>1.1130347812844983</v>
      </c>
      <c r="O315" s="1626">
        <v>1.1130347812844983</v>
      </c>
    </row>
    <row r="316" spans="2:15">
      <c r="B316" s="1507">
        <v>42036</v>
      </c>
      <c r="C316" s="1508">
        <v>564.00400000000002</v>
      </c>
      <c r="D316" s="1508">
        <v>4160.34</v>
      </c>
      <c r="E316" s="1508">
        <v>1.0082241099890967</v>
      </c>
      <c r="F316" s="1508">
        <v>37.43073549727459</v>
      </c>
      <c r="K316" s="1623">
        <v>42373</v>
      </c>
      <c r="L316" s="1624" t="s">
        <v>2302</v>
      </c>
      <c r="M316" s="1625">
        <v>5.2531000000000001E-2</v>
      </c>
      <c r="N316" s="1626">
        <v>1.1136194695854549</v>
      </c>
      <c r="O316" s="1626">
        <v>1.1136194695854549</v>
      </c>
    </row>
    <row r="317" spans="2:15">
      <c r="B317" s="1507">
        <v>42064</v>
      </c>
      <c r="C317" s="1508">
        <v>569.53599999999994</v>
      </c>
      <c r="D317" s="1508">
        <v>4215.26</v>
      </c>
      <c r="E317" s="1508">
        <v>1.0103996710699541</v>
      </c>
      <c r="F317" s="1508">
        <v>37.820002834352699</v>
      </c>
      <c r="K317" s="1623">
        <v>42374</v>
      </c>
      <c r="L317" s="1624" t="s">
        <v>2302</v>
      </c>
      <c r="M317" s="1625">
        <v>5.2531000000000001E-2</v>
      </c>
      <c r="N317" s="1626">
        <v>1.1142044650290228</v>
      </c>
      <c r="O317" s="1626">
        <v>1.1142044650290228</v>
      </c>
    </row>
    <row r="318" spans="2:15">
      <c r="B318" s="1507">
        <v>42095</v>
      </c>
      <c r="C318" s="1508">
        <v>576.17499999999995</v>
      </c>
      <c r="D318" s="1508">
        <v>4245.1899999999996</v>
      </c>
      <c r="E318" s="1508">
        <v>1.0095179160892187</v>
      </c>
      <c r="F318" s="1508">
        <v>38.179970447824083</v>
      </c>
      <c r="K318" s="1623">
        <v>42375</v>
      </c>
      <c r="L318" s="1624" t="s">
        <v>2302</v>
      </c>
      <c r="M318" s="1625">
        <v>5.2531000000000001E-2</v>
      </c>
      <c r="N318" s="1626">
        <v>1.1147897677765473</v>
      </c>
      <c r="O318" s="1626">
        <v>1.1147897677765473</v>
      </c>
    </row>
    <row r="319" spans="2:15">
      <c r="B319" s="1507">
        <v>42125</v>
      </c>
      <c r="C319" s="1508">
        <v>578.51599999999996</v>
      </c>
      <c r="D319" s="1508">
        <v>4276.6000000000004</v>
      </c>
      <c r="E319" s="1508">
        <v>1.0098532226245138</v>
      </c>
      <c r="F319" s="1508">
        <v>38.556166196443854</v>
      </c>
      <c r="K319" s="1623">
        <v>42376</v>
      </c>
      <c r="L319" s="1624" t="s">
        <v>2302</v>
      </c>
      <c r="M319" s="1625">
        <v>5.2531000000000001E-2</v>
      </c>
      <c r="N319" s="1626">
        <v>1.115375377989458</v>
      </c>
      <c r="O319" s="1626">
        <v>1.115375377989458</v>
      </c>
    </row>
    <row r="320" spans="2:15">
      <c r="B320" s="1507">
        <v>42156</v>
      </c>
      <c r="C320" s="1508">
        <v>582.40099999999995</v>
      </c>
      <c r="D320" s="1508">
        <v>4310.3900000000003</v>
      </c>
      <c r="E320" s="1508">
        <v>1.0106667572412273</v>
      </c>
      <c r="F320" s="1508">
        <v>38.967435461413736</v>
      </c>
      <c r="K320" s="1623">
        <v>42377</v>
      </c>
      <c r="L320" s="1624" t="s">
        <v>2302</v>
      </c>
      <c r="M320" s="1625">
        <v>5.2531000000000001E-2</v>
      </c>
      <c r="N320" s="1626">
        <v>1.1159612958292695</v>
      </c>
      <c r="O320" s="1626">
        <v>1.1159612958292695</v>
      </c>
    </row>
    <row r="321" spans="2:15">
      <c r="B321" s="1507">
        <v>42186</v>
      </c>
      <c r="C321" s="1508">
        <v>586.42600000000004</v>
      </c>
      <c r="D321" s="1508">
        <v>4337.1099999999997</v>
      </c>
      <c r="E321" s="1508">
        <v>1.0117819838421735</v>
      </c>
      <c r="F321" s="1508">
        <v>39.426549156391054</v>
      </c>
      <c r="K321" s="1623">
        <v>42378</v>
      </c>
      <c r="L321" s="1624"/>
      <c r="M321" s="1625">
        <v>0</v>
      </c>
      <c r="N321" s="1626">
        <v>1.1159612958292695</v>
      </c>
      <c r="O321" s="1626">
        <v>1.1159612958292695</v>
      </c>
    </row>
    <row r="322" spans="2:15">
      <c r="B322" s="1507">
        <v>42217</v>
      </c>
      <c r="C322" s="1508">
        <v>588.04200000000003</v>
      </c>
      <c r="D322" s="1508">
        <v>4346.6499999999996</v>
      </c>
      <c r="E322" s="1508">
        <v>1.0110896528780247</v>
      </c>
      <c r="F322" s="1508">
        <v>39.863775900713804</v>
      </c>
      <c r="K322" s="1623">
        <v>42379</v>
      </c>
      <c r="L322" s="1624"/>
      <c r="M322" s="1625">
        <v>0</v>
      </c>
      <c r="N322" s="1626">
        <v>1.1159612958292695</v>
      </c>
      <c r="O322" s="1626">
        <v>1.1159612958292695</v>
      </c>
    </row>
    <row r="323" spans="2:15">
      <c r="B323" s="1507">
        <v>42248</v>
      </c>
      <c r="C323" s="1508">
        <v>593.60599999999999</v>
      </c>
      <c r="D323" s="1508">
        <v>4370.12</v>
      </c>
      <c r="E323" s="1508">
        <v>1.0110896528780244</v>
      </c>
      <c r="F323" s="1508">
        <v>40.305851337860076</v>
      </c>
      <c r="K323" s="1623">
        <v>42380</v>
      </c>
      <c r="L323" s="1624" t="s">
        <v>2302</v>
      </c>
      <c r="M323" s="1625">
        <v>5.2531000000000001E-2</v>
      </c>
      <c r="N323" s="1626">
        <v>1.1165475214575815</v>
      </c>
      <c r="O323" s="1626">
        <v>1.1165475214575815</v>
      </c>
    </row>
    <row r="324" spans="2:15">
      <c r="B324" s="1507">
        <v>42278</v>
      </c>
      <c r="C324" s="1508">
        <v>604.83199999999999</v>
      </c>
      <c r="D324" s="1508">
        <v>4405.95</v>
      </c>
      <c r="E324" s="1508">
        <v>1.0110896528780242</v>
      </c>
      <c r="F324" s="1508">
        <v>40.752829238150191</v>
      </c>
      <c r="K324" s="1623">
        <v>42381</v>
      </c>
      <c r="L324" s="1624" t="s">
        <v>2302</v>
      </c>
      <c r="M324" s="1625">
        <v>5.2531000000000001E-2</v>
      </c>
      <c r="N324" s="1626">
        <v>1.1171340550360784</v>
      </c>
      <c r="O324" s="1626">
        <v>1.1171340550360784</v>
      </c>
    </row>
    <row r="325" spans="2:15">
      <c r="B325" s="1507">
        <v>42309</v>
      </c>
      <c r="C325" s="1508">
        <v>614.05100000000004</v>
      </c>
      <c r="D325" s="1508">
        <v>4450.45</v>
      </c>
      <c r="E325" s="1508">
        <v>1.0105587962367735</v>
      </c>
      <c r="F325" s="1508">
        <v>41.183130058147846</v>
      </c>
      <c r="K325" s="1623">
        <v>42382</v>
      </c>
      <c r="L325" s="1624" t="s">
        <v>2302</v>
      </c>
      <c r="M325" s="1625">
        <v>5.2531000000000001E-2</v>
      </c>
      <c r="N325" s="1626">
        <v>1.1177208967265295</v>
      </c>
      <c r="O325" s="1626">
        <v>1.1177208967265295</v>
      </c>
    </row>
    <row r="326" spans="2:15">
      <c r="B326" s="1507">
        <v>42339</v>
      </c>
      <c r="C326" s="1508">
        <v>617.04399999999998</v>
      </c>
      <c r="D326" s="1508">
        <v>4493.17</v>
      </c>
      <c r="E326" s="1508">
        <v>1.0116207883835777</v>
      </c>
      <c r="F326" s="1508">
        <v>41.66171049752694</v>
      </c>
      <c r="K326" s="1623">
        <v>42383</v>
      </c>
      <c r="L326" s="1624" t="s">
        <v>2302</v>
      </c>
      <c r="M326" s="1625">
        <v>5.2531000000000001E-2</v>
      </c>
      <c r="N326" s="1626">
        <v>1.1183080466907889</v>
      </c>
      <c r="O326" s="1626">
        <v>1.1183080466907889</v>
      </c>
    </row>
    <row r="327" spans="2:15">
      <c r="B327" s="1507">
        <v>42370</v>
      </c>
      <c r="C327" s="1508">
        <v>624.05999999999995</v>
      </c>
      <c r="D327" s="1508">
        <v>4550.2299999999996</v>
      </c>
      <c r="E327" s="1508">
        <v>1.0105587962367735</v>
      </c>
      <c r="F327" s="1508">
        <v>42.101608009545771</v>
      </c>
      <c r="K327" s="1623">
        <v>42384</v>
      </c>
      <c r="L327" s="1624" t="s">
        <v>2302</v>
      </c>
      <c r="M327" s="1625">
        <v>5.2531000000000001E-2</v>
      </c>
      <c r="N327" s="1626">
        <v>1.118895505090796</v>
      </c>
      <c r="O327" s="1626">
        <v>1.118895505090796</v>
      </c>
    </row>
    <row r="328" spans="2:15">
      <c r="B328" s="1507">
        <v>42401</v>
      </c>
      <c r="C328" s="1508">
        <v>632.11400000000003</v>
      </c>
      <c r="D328" s="1508">
        <v>4591.18</v>
      </c>
      <c r="E328" s="1508">
        <v>1.0100282183134115</v>
      </c>
      <c r="F328" s="1508">
        <v>42.523812126011173</v>
      </c>
      <c r="K328" s="1623">
        <v>42385</v>
      </c>
      <c r="L328" s="1624"/>
      <c r="M328" s="1625">
        <v>0</v>
      </c>
      <c r="N328" s="1626">
        <v>1.118895505090796</v>
      </c>
      <c r="O328" s="1626">
        <v>1.118895505090796</v>
      </c>
    </row>
    <row r="329" spans="2:15">
      <c r="B329" s="1507">
        <v>42430</v>
      </c>
      <c r="C329" s="1508">
        <v>635.34900000000005</v>
      </c>
      <c r="D329" s="1508">
        <v>4610.92</v>
      </c>
      <c r="E329" s="1508">
        <v>1.0116207883835779</v>
      </c>
      <c r="F329" s="1508">
        <v>43.017972347990572</v>
      </c>
      <c r="K329" s="1623">
        <v>42386</v>
      </c>
      <c r="L329" s="1624"/>
      <c r="M329" s="1625">
        <v>0</v>
      </c>
      <c r="N329" s="1626">
        <v>1.118895505090796</v>
      </c>
      <c r="O329" s="1626">
        <v>1.118895505090796</v>
      </c>
    </row>
    <row r="330" spans="2:15">
      <c r="B330" s="1507">
        <v>42461</v>
      </c>
      <c r="C330" s="1508">
        <v>637.43399999999997</v>
      </c>
      <c r="D330" s="1508">
        <v>4639.05</v>
      </c>
      <c r="E330" s="1508">
        <v>1.0105587962367735</v>
      </c>
      <c r="F330" s="1508">
        <v>43.472190352532159</v>
      </c>
      <c r="K330" s="1623">
        <v>42387</v>
      </c>
      <c r="L330" s="1624" t="s">
        <v>2302</v>
      </c>
      <c r="M330" s="1625">
        <v>5.2531000000000001E-2</v>
      </c>
      <c r="N330" s="1626">
        <v>1.1194832720885752</v>
      </c>
      <c r="O330" s="1626">
        <v>1.1194832720885752</v>
      </c>
    </row>
    <row r="331" spans="2:15">
      <c r="B331" s="1507">
        <v>42491</v>
      </c>
      <c r="C331" s="1508">
        <v>642.65099999999995</v>
      </c>
      <c r="D331" s="1508">
        <v>4675.2299999999996</v>
      </c>
      <c r="E331" s="1508">
        <v>1.0110896528780244</v>
      </c>
      <c r="F331" s="1508">
        <v>43.954281853389141</v>
      </c>
      <c r="K331" s="1623">
        <v>42388</v>
      </c>
      <c r="L331" s="1624" t="s">
        <v>2302</v>
      </c>
      <c r="M331" s="1625">
        <v>5.2531000000000001E-2</v>
      </c>
      <c r="N331" s="1626">
        <v>1.1200713478462361</v>
      </c>
      <c r="O331" s="1626">
        <v>1.1200713478462361</v>
      </c>
    </row>
    <row r="332" spans="2:15">
      <c r="B332" s="1507">
        <v>42522</v>
      </c>
      <c r="C332" s="1508">
        <v>653.49599999999998</v>
      </c>
      <c r="D332" s="1508">
        <v>4691.59</v>
      </c>
      <c r="E332" s="1508">
        <v>1.0116207883835777</v>
      </c>
      <c r="F332" s="1508">
        <v>44.465065261359506</v>
      </c>
      <c r="K332" s="1623">
        <v>42389</v>
      </c>
      <c r="L332" s="1624" t="s">
        <v>2302</v>
      </c>
      <c r="M332" s="1625">
        <v>5.2531000000000001E-2</v>
      </c>
      <c r="N332" s="1626">
        <v>1.1206597325259733</v>
      </c>
      <c r="O332" s="1626">
        <v>1.1206597325259733</v>
      </c>
    </row>
    <row r="333" spans="2:15">
      <c r="B333" s="1507">
        <v>42552</v>
      </c>
      <c r="C333" s="1508">
        <v>654.64099999999996</v>
      </c>
      <c r="D333" s="1508">
        <v>4715.99</v>
      </c>
      <c r="E333" s="1508">
        <v>1.0110896528780242</v>
      </c>
      <c r="F333" s="1508">
        <v>44.958167400306678</v>
      </c>
      <c r="K333" s="1623">
        <v>42390</v>
      </c>
      <c r="L333" s="1624" t="s">
        <v>2302</v>
      </c>
      <c r="M333" s="1625">
        <v>5.2531000000000001E-2</v>
      </c>
      <c r="N333" s="1626">
        <v>1.1212484262900666</v>
      </c>
      <c r="O333" s="1626">
        <v>1.1212484262900666</v>
      </c>
    </row>
    <row r="334" spans="2:15">
      <c r="B334" s="1507">
        <v>42583</v>
      </c>
      <c r="C334" s="1508">
        <v>655.60199999999998</v>
      </c>
      <c r="D334" s="1508">
        <v>4736.74</v>
      </c>
      <c r="E334" s="1508">
        <v>1.0121522028999232</v>
      </c>
      <c r="F334" s="1508">
        <v>45.504508172563916</v>
      </c>
      <c r="K334" s="1623">
        <v>42391</v>
      </c>
      <c r="L334" s="1624" t="s">
        <v>2302</v>
      </c>
      <c r="M334" s="1625">
        <v>5.2531000000000001E-2</v>
      </c>
      <c r="N334" s="1626">
        <v>1.121837429300881</v>
      </c>
      <c r="O334" s="1626">
        <v>1.121837429300881</v>
      </c>
    </row>
    <row r="335" spans="2:15">
      <c r="B335" s="1507">
        <v>42614</v>
      </c>
      <c r="C335" s="1508">
        <v>656.89400000000001</v>
      </c>
      <c r="D335" s="1508">
        <v>4740.53</v>
      </c>
      <c r="E335" s="1508">
        <v>1.0110896528780247</v>
      </c>
      <c r="F335" s="1508">
        <v>46.009137372582884</v>
      </c>
      <c r="K335" s="1623">
        <v>42392</v>
      </c>
      <c r="L335" s="1624"/>
      <c r="M335" s="1625">
        <v>0</v>
      </c>
      <c r="N335" s="1626">
        <v>1.121837429300881</v>
      </c>
      <c r="O335" s="1626">
        <v>1.121837429300881</v>
      </c>
    </row>
    <row r="336" spans="2:15">
      <c r="B336" s="1507">
        <v>42644</v>
      </c>
      <c r="C336" s="1508">
        <v>657.92700000000002</v>
      </c>
      <c r="D336" s="1508">
        <v>4752.8599999999997</v>
      </c>
      <c r="E336" s="1508">
        <v>1.0104884196148551</v>
      </c>
      <c r="F336" s="1508">
        <v>46.491700511464046</v>
      </c>
      <c r="K336" s="1623">
        <v>42393</v>
      </c>
      <c r="L336" s="1624"/>
      <c r="M336" s="1625">
        <v>0</v>
      </c>
      <c r="N336" s="1626">
        <v>1.121837429300881</v>
      </c>
      <c r="O336" s="1626">
        <v>1.121837429300881</v>
      </c>
    </row>
    <row r="337" spans="2:15">
      <c r="B337" s="1507">
        <v>42675</v>
      </c>
      <c r="C337" s="1508">
        <v>657.75199999999995</v>
      </c>
      <c r="D337" s="1508">
        <v>4761.42</v>
      </c>
      <c r="E337" s="1508">
        <v>1.0103828638714687</v>
      </c>
      <c r="F337" s="1508">
        <v>46.974417509027667</v>
      </c>
      <c r="K337" s="1623">
        <v>42394</v>
      </c>
      <c r="L337" s="1624" t="s">
        <v>2302</v>
      </c>
      <c r="M337" s="1625">
        <v>5.2531000000000001E-2</v>
      </c>
      <c r="N337" s="1626">
        <v>1.1224267417208671</v>
      </c>
      <c r="O337" s="1626">
        <v>1.1224267417208671</v>
      </c>
    </row>
    <row r="338" spans="2:15">
      <c r="B338" s="1507">
        <v>42705</v>
      </c>
      <c r="C338" s="1508">
        <v>661.30399999999997</v>
      </c>
      <c r="D338" s="1508">
        <v>4775.7</v>
      </c>
      <c r="E338" s="1508">
        <v>1.0112331468569866</v>
      </c>
      <c r="F338" s="1508">
        <v>47.502088039427981</v>
      </c>
      <c r="K338" s="1623">
        <v>42395</v>
      </c>
      <c r="L338" s="1624" t="s">
        <v>2302</v>
      </c>
      <c r="M338" s="1625">
        <v>5.2531000000000001E-2</v>
      </c>
      <c r="N338" s="1626">
        <v>1.1230163637125605</v>
      </c>
      <c r="O338" s="1626">
        <v>1.1230163637125605</v>
      </c>
    </row>
    <row r="339" spans="2:15">
      <c r="B339" s="1507">
        <v>42736</v>
      </c>
      <c r="C339" s="1508">
        <v>665.54200000000003</v>
      </c>
      <c r="D339" s="1508">
        <v>4793.8500000000004</v>
      </c>
      <c r="E339" s="1508">
        <v>1.0108612048503447</v>
      </c>
      <c r="F339" s="1508">
        <v>48.018017948443315</v>
      </c>
      <c r="K339" s="1623">
        <v>42396</v>
      </c>
      <c r="L339" s="1624" t="s">
        <v>2302</v>
      </c>
      <c r="M339" s="1625">
        <v>5.2531000000000001E-2</v>
      </c>
      <c r="N339" s="1626">
        <v>1.1236062954385824</v>
      </c>
      <c r="O339" s="1626">
        <v>1.1236062954385824</v>
      </c>
    </row>
    <row r="340" spans="2:15">
      <c r="B340" s="1507">
        <v>42767</v>
      </c>
      <c r="C340" s="1508">
        <v>666.09900000000005</v>
      </c>
      <c r="D340" s="1508">
        <v>4809.67</v>
      </c>
      <c r="E340" s="1508">
        <v>1.0086508422083289</v>
      </c>
      <c r="F340" s="1508">
        <v>48.433414244872004</v>
      </c>
      <c r="K340" s="1623">
        <v>42397</v>
      </c>
      <c r="L340" s="1624" t="s">
        <v>2302</v>
      </c>
      <c r="M340" s="1625">
        <v>5.2531000000000001E-2</v>
      </c>
      <c r="N340" s="1626">
        <v>1.1241965370616391</v>
      </c>
      <c r="O340" s="1626">
        <v>1.1241965370616391</v>
      </c>
    </row>
    <row r="341" spans="2:15">
      <c r="B341" s="1507">
        <v>42795</v>
      </c>
      <c r="C341" s="1508">
        <v>666.197</v>
      </c>
      <c r="D341" s="1508">
        <v>4821.6899999999996</v>
      </c>
      <c r="E341" s="1508">
        <v>1.0105205646045978</v>
      </c>
      <c r="F341" s="1508">
        <v>48.94296110845643</v>
      </c>
      <c r="K341" s="1623">
        <v>42398</v>
      </c>
      <c r="L341" s="1624" t="s">
        <v>2302</v>
      </c>
      <c r="M341" s="1625">
        <v>5.2531000000000001E-2</v>
      </c>
      <c r="N341" s="1626">
        <v>1.124787088744523</v>
      </c>
      <c r="O341" s="1626">
        <v>1.124787088744523</v>
      </c>
    </row>
    <row r="342" spans="2:15">
      <c r="B342" s="1507">
        <v>42826</v>
      </c>
      <c r="C342" s="1508">
        <v>658.89800000000002</v>
      </c>
      <c r="D342" s="1508">
        <v>4828.4399999999996</v>
      </c>
      <c r="E342" s="1508">
        <v>1.0078658059100756</v>
      </c>
      <c r="F342" s="1508">
        <v>49.327936941199923</v>
      </c>
      <c r="K342" s="1623">
        <v>42399</v>
      </c>
      <c r="L342" s="1624"/>
      <c r="M342" s="1625">
        <v>0</v>
      </c>
      <c r="N342" s="1626">
        <v>1.124787088744523</v>
      </c>
      <c r="O342" s="1626">
        <v>1.124787088744523</v>
      </c>
    </row>
    <row r="343" spans="2:15">
      <c r="B343" s="1507">
        <v>42856</v>
      </c>
      <c r="C343" s="1508">
        <v>652.75800000000004</v>
      </c>
      <c r="D343" s="1508">
        <v>4843.41</v>
      </c>
      <c r="E343" s="1508">
        <v>1.0092713189779878</v>
      </c>
      <c r="F343" s="1508">
        <v>49.785271979107854</v>
      </c>
      <c r="K343" s="1623">
        <v>42400</v>
      </c>
      <c r="L343" s="1624"/>
      <c r="M343" s="1625">
        <v>0</v>
      </c>
      <c r="N343" s="1626">
        <v>1.124787088744523</v>
      </c>
      <c r="O343" s="1626">
        <v>1.124787088744523</v>
      </c>
    </row>
    <row r="344" spans="2:15">
      <c r="B344" s="1507">
        <v>42887</v>
      </c>
      <c r="C344" s="1508">
        <v>648.40899999999999</v>
      </c>
      <c r="D344" s="1508">
        <v>4832.2700000000004</v>
      </c>
      <c r="E344" s="1508">
        <v>1.0080886926571575</v>
      </c>
      <c r="F344" s="1508">
        <v>50.187969742999854</v>
      </c>
      <c r="K344" s="1623">
        <v>42401</v>
      </c>
      <c r="L344" s="1624" t="s">
        <v>2302</v>
      </c>
      <c r="M344" s="1625">
        <v>5.2531000000000001E-2</v>
      </c>
      <c r="N344" s="1626">
        <v>1.1253779506501114</v>
      </c>
      <c r="O344" s="1626">
        <v>1.1253779506501114</v>
      </c>
    </row>
    <row r="345" spans="2:15">
      <c r="B345" s="1507">
        <v>42917</v>
      </c>
      <c r="C345" s="1508">
        <v>643.76599999999996</v>
      </c>
      <c r="D345" s="1508">
        <v>4843.87</v>
      </c>
      <c r="E345" s="1508">
        <v>1.0079792299470567</v>
      </c>
      <c r="F345" s="1508">
        <v>50.588431094155176</v>
      </c>
      <c r="K345" s="1623">
        <v>42402</v>
      </c>
      <c r="L345" s="1624" t="s">
        <v>2302</v>
      </c>
      <c r="M345" s="1625">
        <v>5.2531000000000001E-2</v>
      </c>
      <c r="N345" s="1626">
        <v>1.1259691229413673</v>
      </c>
      <c r="O345" s="1626">
        <v>1.1259691229413673</v>
      </c>
    </row>
    <row r="346" spans="2:15">
      <c r="B346" s="1507">
        <v>42948</v>
      </c>
      <c r="C346" s="1508">
        <v>644.38300000000004</v>
      </c>
      <c r="D346" s="1508">
        <v>4853.07</v>
      </c>
      <c r="E346" s="1508">
        <v>1.0080228940119034</v>
      </c>
      <c r="F346" s="1508">
        <v>50.994296715052059</v>
      </c>
      <c r="K346" s="1623">
        <v>42403</v>
      </c>
      <c r="L346" s="1624" t="s">
        <v>2302</v>
      </c>
      <c r="M346" s="1625">
        <v>5.2531000000000001E-2</v>
      </c>
      <c r="N346" s="1626">
        <v>1.1265606057813395</v>
      </c>
      <c r="O346" s="1626">
        <v>1.1265606057813395</v>
      </c>
    </row>
    <row r="347" spans="2:15">
      <c r="B347" s="1507">
        <v>42979</v>
      </c>
      <c r="C347" s="1508">
        <v>647.4</v>
      </c>
      <c r="D347" s="1508">
        <v>4860.83</v>
      </c>
      <c r="E347" s="1508">
        <v>1.0063846003708505</v>
      </c>
      <c r="F347" s="1508">
        <v>51.319874920770239</v>
      </c>
      <c r="K347" s="1623">
        <v>42404</v>
      </c>
      <c r="L347" s="1624" t="s">
        <v>2302</v>
      </c>
      <c r="M347" s="1625">
        <v>5.2531000000000001E-2</v>
      </c>
      <c r="N347" s="1626">
        <v>1.1271523993331625</v>
      </c>
      <c r="O347" s="1626">
        <v>1.1271523993331625</v>
      </c>
    </row>
    <row r="348" spans="2:15">
      <c r="B348" s="1507">
        <v>43009</v>
      </c>
      <c r="C348" s="1508">
        <v>648.67200000000003</v>
      </c>
      <c r="D348" s="1508">
        <v>4881.25</v>
      </c>
      <c r="E348" s="1508">
        <v>1.0064393014601032</v>
      </c>
      <c r="F348" s="1508">
        <v>51.650339066279869</v>
      </c>
      <c r="K348" s="1623">
        <v>42405</v>
      </c>
      <c r="L348" s="1624" t="s">
        <v>2302</v>
      </c>
      <c r="M348" s="1625">
        <v>5.2531000000000001E-2</v>
      </c>
      <c r="N348" s="1626">
        <v>1.1277445037600562</v>
      </c>
      <c r="O348" s="1626">
        <v>1.1277445037600562</v>
      </c>
    </row>
    <row r="349" spans="2:15">
      <c r="B349" s="1507">
        <v>43040</v>
      </c>
      <c r="C349" s="1508">
        <v>652.07299999999998</v>
      </c>
      <c r="D349" s="1508">
        <v>4894.92</v>
      </c>
      <c r="E349" s="1508">
        <v>1.0056818783789492</v>
      </c>
      <c r="F349" s="1508">
        <v>51.943810011085958</v>
      </c>
      <c r="K349" s="1623">
        <v>42406</v>
      </c>
      <c r="L349" s="1624"/>
      <c r="M349" s="1625">
        <v>0</v>
      </c>
      <c r="N349" s="1626">
        <v>1.1277445037600562</v>
      </c>
      <c r="O349" s="1626">
        <v>1.1277445037600562</v>
      </c>
    </row>
    <row r="350" spans="2:15">
      <c r="B350" s="1507">
        <v>43070</v>
      </c>
      <c r="C350" s="1508">
        <v>657.85900000000004</v>
      </c>
      <c r="D350" s="1508">
        <v>4916.46</v>
      </c>
      <c r="E350" s="1508">
        <v>1.0053840004998948</v>
      </c>
      <c r="F350" s="1508">
        <v>52.223475510152085</v>
      </c>
      <c r="K350" s="1623">
        <v>42407</v>
      </c>
      <c r="L350" s="1624"/>
      <c r="M350" s="1625">
        <v>0</v>
      </c>
      <c r="N350" s="1626">
        <v>1.1277445037600562</v>
      </c>
      <c r="O350" s="1626">
        <v>1.1277445037600562</v>
      </c>
    </row>
    <row r="351" spans="2:15">
      <c r="B351" s="1507">
        <v>43101</v>
      </c>
      <c r="C351" s="1508">
        <v>662.82600000000002</v>
      </c>
      <c r="D351" s="1508">
        <v>4930.72</v>
      </c>
      <c r="E351" s="1508">
        <v>1.0058420473548675</v>
      </c>
      <c r="F351" s="1508">
        <v>52.528567527118156</v>
      </c>
      <c r="K351" s="1623">
        <v>42408</v>
      </c>
      <c r="L351" s="1624"/>
      <c r="M351" s="1625">
        <v>0</v>
      </c>
      <c r="N351" s="1626">
        <v>1.1277445037600562</v>
      </c>
      <c r="O351" s="1626">
        <v>1.1277445037600562</v>
      </c>
    </row>
    <row r="352" spans="2:15">
      <c r="B352" s="1507">
        <v>43132</v>
      </c>
      <c r="C352" s="1508">
        <v>663.31100000000004</v>
      </c>
      <c r="D352" s="1508">
        <v>4946.5</v>
      </c>
      <c r="E352" s="1508">
        <v>1.0046560161193037</v>
      </c>
      <c r="F352" s="1508">
        <v>52.773141384248348</v>
      </c>
      <c r="K352" s="1623">
        <v>42409</v>
      </c>
      <c r="L352" s="1624"/>
      <c r="M352" s="1625">
        <v>0</v>
      </c>
      <c r="N352" s="1626">
        <v>1.1277445037600562</v>
      </c>
      <c r="O352" s="1626">
        <v>1.1277445037600562</v>
      </c>
    </row>
    <row r="353" spans="2:15">
      <c r="B353" s="1507">
        <v>43160</v>
      </c>
      <c r="C353" s="1508">
        <v>667.524</v>
      </c>
      <c r="D353" s="1508">
        <v>4950.95</v>
      </c>
      <c r="E353" s="1508">
        <v>1.0053234480536677</v>
      </c>
      <c r="F353" s="1508">
        <v>53.054076461036253</v>
      </c>
      <c r="K353" s="1623">
        <v>42410</v>
      </c>
      <c r="L353" s="1624" t="s">
        <v>2302</v>
      </c>
      <c r="M353" s="1625">
        <v>5.2531000000000001E-2</v>
      </c>
      <c r="N353" s="1626">
        <v>1.1283369192253263</v>
      </c>
      <c r="O353" s="1626">
        <v>1.1283369192253263</v>
      </c>
    </row>
    <row r="354" spans="2:15">
      <c r="B354" s="1507">
        <v>43191</v>
      </c>
      <c r="C354" s="1508">
        <v>671.327</v>
      </c>
      <c r="D354" s="1508">
        <v>4961.84</v>
      </c>
      <c r="E354" s="1508">
        <v>1.0051829489023658</v>
      </c>
      <c r="F354" s="1508">
        <v>53.329053028396011</v>
      </c>
      <c r="K354" s="1623">
        <v>42411</v>
      </c>
      <c r="L354" s="1624" t="s">
        <v>2302</v>
      </c>
      <c r="M354" s="1625">
        <v>5.2531000000000001E-2</v>
      </c>
      <c r="N354" s="1626">
        <v>1.1289296458923646</v>
      </c>
      <c r="O354" s="1626">
        <v>1.1289296458923646</v>
      </c>
    </row>
    <row r="355" spans="2:15">
      <c r="B355" s="1507">
        <v>43221</v>
      </c>
      <c r="C355" s="1508">
        <v>680.57899999999995</v>
      </c>
      <c r="D355" s="1508">
        <v>4981.6899999999996</v>
      </c>
      <c r="E355" s="1508">
        <v>1.0051829489023656</v>
      </c>
      <c r="F355" s="1508">
        <v>53.605454785253734</v>
      </c>
      <c r="G355" s="503"/>
      <c r="K355" s="1623">
        <v>42412</v>
      </c>
      <c r="L355" s="1624" t="s">
        <v>2302</v>
      </c>
      <c r="M355" s="1625">
        <v>5.2531000000000001E-2</v>
      </c>
      <c r="N355" s="1626">
        <v>1.1295226839246482</v>
      </c>
      <c r="O355" s="1626">
        <v>1.1295226839246482</v>
      </c>
    </row>
    <row r="356" spans="2:15">
      <c r="B356" s="1507">
        <v>43252</v>
      </c>
      <c r="C356" s="1508">
        <v>693.28700000000003</v>
      </c>
      <c r="D356" s="1508">
        <v>5044.46</v>
      </c>
      <c r="E356" s="1508">
        <v>1.0051829489023654</v>
      </c>
      <c r="F356" s="1508">
        <v>53.88328911829376</v>
      </c>
      <c r="G356" s="10"/>
      <c r="I356" s="10"/>
      <c r="K356" s="1623">
        <v>42413</v>
      </c>
      <c r="L356" s="1624"/>
      <c r="M356" s="1625">
        <v>0</v>
      </c>
      <c r="N356" s="1626">
        <v>1.1295226839246482</v>
      </c>
      <c r="O356" s="1626">
        <v>1.1295226839246482</v>
      </c>
    </row>
    <row r="357" spans="2:15">
      <c r="B357" s="1507">
        <v>43282</v>
      </c>
      <c r="C357" s="1508">
        <v>696.8</v>
      </c>
      <c r="D357" s="1508">
        <v>5061.1099999999997</v>
      </c>
      <c r="E357" s="1508">
        <v>1.0054304249443857</v>
      </c>
      <c r="F357" s="1508">
        <v>54.175898275607288</v>
      </c>
      <c r="G357" s="10"/>
      <c r="K357" s="1623">
        <v>42414</v>
      </c>
      <c r="L357" s="1624"/>
      <c r="M357" s="1625">
        <v>0</v>
      </c>
      <c r="N357" s="1626">
        <v>1.1295226839246482</v>
      </c>
      <c r="O357" s="1626">
        <v>1.1295226839246482</v>
      </c>
    </row>
    <row r="358" spans="2:15">
      <c r="B358" s="1507">
        <v>43313</v>
      </c>
      <c r="C358" s="1508">
        <v>701.67700000000002</v>
      </c>
      <c r="D358" s="1508">
        <v>5056.5600000000004</v>
      </c>
      <c r="E358" s="1508">
        <v>1.0056779619150069</v>
      </c>
      <c r="F358" s="1508">
        <v>54.483506962727475</v>
      </c>
      <c r="K358" s="1623">
        <v>42415</v>
      </c>
      <c r="L358" s="1624" t="s">
        <v>2302</v>
      </c>
      <c r="M358" s="1625">
        <v>5.2531000000000001E-2</v>
      </c>
      <c r="N358" s="1626">
        <v>1.1301160334857405</v>
      </c>
      <c r="O358" s="1626">
        <v>1.1301160334857405</v>
      </c>
    </row>
    <row r="359" spans="2:15">
      <c r="B359" s="1507">
        <v>43344</v>
      </c>
      <c r="C359" s="1508">
        <v>712.37300000000005</v>
      </c>
      <c r="D359" s="1508">
        <v>5080.83</v>
      </c>
      <c r="E359" s="1508">
        <v>1.0046881795441467</v>
      </c>
      <c r="F359" s="1508">
        <v>54.738935425563504</v>
      </c>
      <c r="K359" s="1623">
        <v>42416</v>
      </c>
      <c r="L359" s="1624" t="s">
        <v>2302</v>
      </c>
      <c r="M359" s="1625">
        <v>5.2531000000000001E-2</v>
      </c>
      <c r="N359" s="1626">
        <v>1.1307096947392909</v>
      </c>
      <c r="O359" s="1626">
        <v>1.1307096947392909</v>
      </c>
    </row>
    <row r="360" spans="2:15">
      <c r="B360" s="1507">
        <v>43374</v>
      </c>
      <c r="C360" s="1508">
        <v>718.68399999999997</v>
      </c>
      <c r="D360" s="1508">
        <v>5103.6899999999996</v>
      </c>
      <c r="E360" s="1508">
        <v>1.0054304249443855</v>
      </c>
      <c r="F360" s="1508">
        <v>55.036191105927593</v>
      </c>
      <c r="K360" s="1623">
        <v>42417</v>
      </c>
      <c r="L360" s="1624" t="s">
        <v>2302</v>
      </c>
      <c r="M360" s="1625">
        <v>5.2531000000000001E-2</v>
      </c>
      <c r="N360" s="1626">
        <v>1.1313036678490345</v>
      </c>
      <c r="O360" s="1626">
        <v>1.1313036678490345</v>
      </c>
    </row>
    <row r="361" spans="2:15">
      <c r="B361" s="1507">
        <v>43405</v>
      </c>
      <c r="C361" s="1508">
        <v>715.16600000000005</v>
      </c>
      <c r="D361" s="1508">
        <v>5092.97</v>
      </c>
      <c r="E361" s="1508">
        <v>1.0049355337739507</v>
      </c>
      <c r="F361" s="1508">
        <v>55.307824085920508</v>
      </c>
      <c r="K361" s="1623">
        <v>42418</v>
      </c>
      <c r="L361" s="1624" t="s">
        <v>2302</v>
      </c>
      <c r="M361" s="1625">
        <v>5.2531000000000001E-2</v>
      </c>
      <c r="N361" s="1626">
        <v>1.1318979529787923</v>
      </c>
      <c r="O361" s="1626">
        <v>1.1318979529787923</v>
      </c>
    </row>
    <row r="362" spans="2:15">
      <c r="B362" s="1507">
        <v>43435</v>
      </c>
      <c r="C362" s="1508">
        <v>707.44100000000003</v>
      </c>
      <c r="D362" s="1508">
        <v>5100.6099999999997</v>
      </c>
      <c r="E362" s="1508">
        <v>1.0049355337739507</v>
      </c>
      <c r="F362" s="1508">
        <v>55.580797719660296</v>
      </c>
      <c r="K362" s="1623">
        <v>42419</v>
      </c>
      <c r="L362" s="1624" t="s">
        <v>2302</v>
      </c>
      <c r="M362" s="1625">
        <v>5.2531000000000001E-2</v>
      </c>
      <c r="N362" s="1626">
        <v>1.1324925502924716</v>
      </c>
      <c r="O362" s="1626">
        <v>1.1324925502924716</v>
      </c>
    </row>
    <row r="363" spans="2:15">
      <c r="B363" s="1507">
        <v>43466</v>
      </c>
      <c r="C363" s="1508">
        <v>707.48800000000006</v>
      </c>
      <c r="D363" s="1508">
        <v>5116.93</v>
      </c>
      <c r="E363" s="1508">
        <v>1.0054304249443855</v>
      </c>
      <c r="F363" s="1508">
        <v>55.882625070025988</v>
      </c>
      <c r="K363" s="1623">
        <v>42420</v>
      </c>
      <c r="L363" s="1624"/>
      <c r="M363" s="1625">
        <v>0</v>
      </c>
      <c r="N363" s="1626">
        <v>1.1324925502924716</v>
      </c>
      <c r="O363" s="1626">
        <v>1.1324925502924716</v>
      </c>
    </row>
    <row r="364" spans="2:15">
      <c r="B364" s="1507">
        <v>43497</v>
      </c>
      <c r="C364" s="1508">
        <v>713.74699999999996</v>
      </c>
      <c r="D364" s="1508">
        <v>5138.93</v>
      </c>
      <c r="E364" s="1508">
        <v>1.0049355337739507</v>
      </c>
      <c r="F364" s="1508">
        <v>56.158435653436129</v>
      </c>
      <c r="K364" s="1623">
        <v>42421</v>
      </c>
      <c r="L364" s="1624"/>
      <c r="M364" s="1625">
        <v>0</v>
      </c>
      <c r="N364" s="1626">
        <v>1.1324925502924716</v>
      </c>
      <c r="O364" s="1626">
        <v>1.1324925502924716</v>
      </c>
    </row>
    <row r="365" spans="2:15">
      <c r="B365" s="1507">
        <v>43525</v>
      </c>
      <c r="C365" s="1508">
        <v>722.70699999999999</v>
      </c>
      <c r="D365" s="1508">
        <v>5177.47</v>
      </c>
      <c r="E365" s="1508">
        <v>1.0046881795441467</v>
      </c>
      <c r="F365" s="1508">
        <v>56.421716482697846</v>
      </c>
      <c r="K365" s="1623">
        <v>42422</v>
      </c>
      <c r="L365" s="1624" t="s">
        <v>2302</v>
      </c>
      <c r="M365" s="1625">
        <v>5.2531000000000001E-2</v>
      </c>
      <c r="N365" s="1626">
        <v>1.1330874599540657</v>
      </c>
      <c r="O365" s="1626">
        <v>1.1330874599540657</v>
      </c>
    </row>
    <row r="366" spans="2:15">
      <c r="B366" s="1507">
        <v>43556</v>
      </c>
      <c r="C366" s="1508">
        <v>729.346</v>
      </c>
      <c r="D366" s="1508">
        <v>5206.9799999999996</v>
      </c>
      <c r="E366" s="1508">
        <v>1.0051829489023654</v>
      </c>
      <c r="F366" s="1508">
        <v>56.714147356211413</v>
      </c>
      <c r="K366" s="1623">
        <v>42423</v>
      </c>
      <c r="L366" s="1624" t="s">
        <v>2302</v>
      </c>
      <c r="M366" s="1625">
        <v>5.2531000000000001E-2</v>
      </c>
      <c r="N366" s="1626">
        <v>1.1336826821276542</v>
      </c>
      <c r="O366" s="1626">
        <v>1.1336826821276542</v>
      </c>
    </row>
    <row r="367" spans="2:15">
      <c r="B367" s="1507">
        <v>43586</v>
      </c>
      <c r="C367" s="1508">
        <v>732.59500000000003</v>
      </c>
      <c r="D367" s="1508">
        <v>5213.75</v>
      </c>
      <c r="E367" s="1508">
        <v>1.0054304249443855</v>
      </c>
      <c r="F367" s="1508">
        <v>57.022129276714139</v>
      </c>
      <c r="K367" s="1623">
        <v>42424</v>
      </c>
      <c r="L367" s="1624" t="s">
        <v>2302</v>
      </c>
      <c r="M367" s="1625">
        <v>5.2531000000000001E-2</v>
      </c>
      <c r="N367" s="1626">
        <v>1.1342782169774026</v>
      </c>
      <c r="O367" s="1626">
        <v>1.1342782169774026</v>
      </c>
    </row>
    <row r="368" spans="2:15">
      <c r="B368" s="1507">
        <v>43617</v>
      </c>
      <c r="C368" s="1508">
        <v>738.42100000000005</v>
      </c>
      <c r="D368" s="1508">
        <v>5214.2700000000004</v>
      </c>
      <c r="E368" s="1508">
        <v>1.0046881795441465</v>
      </c>
      <c r="F368" s="1508">
        <v>57.289459256752906</v>
      </c>
      <c r="K368" s="1623">
        <v>42425</v>
      </c>
      <c r="L368" s="1624" t="s">
        <v>2302</v>
      </c>
      <c r="M368" s="1625">
        <v>5.2531000000000001E-2</v>
      </c>
      <c r="N368" s="1626">
        <v>1.134874064667563</v>
      </c>
      <c r="O368" s="1626">
        <v>1.134874064667563</v>
      </c>
    </row>
    <row r="369" spans="2:15">
      <c r="B369" s="1507">
        <v>43647</v>
      </c>
      <c r="C369" s="1508">
        <v>741.346</v>
      </c>
      <c r="D369" s="1508">
        <v>5224.18</v>
      </c>
      <c r="E369" s="1508">
        <v>1.0056779619150069</v>
      </c>
      <c r="F369" s="1508">
        <v>57.61474662454409</v>
      </c>
      <c r="K369" s="1623">
        <v>42426</v>
      </c>
      <c r="L369" s="1624" t="s">
        <v>2302</v>
      </c>
      <c r="M369" s="1625">
        <v>5.2531000000000001E-2</v>
      </c>
      <c r="N369" s="1626">
        <v>1.1354702253624736</v>
      </c>
      <c r="O369" s="1626">
        <v>1.1354702253624736</v>
      </c>
    </row>
    <row r="370" spans="2:15">
      <c r="B370" s="1507">
        <v>43678</v>
      </c>
      <c r="C370" s="1508">
        <v>736.40200000000004</v>
      </c>
      <c r="D370" s="1508">
        <v>5229.93</v>
      </c>
      <c r="E370" s="1508">
        <v>1.0050171948996307</v>
      </c>
      <c r="F370" s="1508">
        <v>57.903811037452265</v>
      </c>
      <c r="K370" s="1623">
        <v>42427</v>
      </c>
      <c r="L370" s="1624"/>
      <c r="M370" s="1625">
        <v>0</v>
      </c>
      <c r="N370" s="1626">
        <v>1.1354702253624736</v>
      </c>
      <c r="O370" s="1626">
        <v>1.1354702253624736</v>
      </c>
    </row>
    <row r="371" spans="2:15">
      <c r="B371" s="1507">
        <v>43709</v>
      </c>
      <c r="C371" s="1508">
        <v>736.36199999999997</v>
      </c>
      <c r="D371" s="1508">
        <v>5227.84</v>
      </c>
      <c r="E371" s="1508">
        <v>1.0046375999081099</v>
      </c>
      <c r="F371" s="1508">
        <v>58.172345746198765</v>
      </c>
      <c r="K371" s="1623">
        <v>42428</v>
      </c>
      <c r="L371" s="1624"/>
      <c r="M371" s="1625">
        <v>0</v>
      </c>
      <c r="N371" s="1626">
        <v>1.1354702253624736</v>
      </c>
      <c r="O371" s="1626">
        <v>1.1354702253624736</v>
      </c>
    </row>
    <row r="372" spans="2:15">
      <c r="B372" s="1507">
        <v>43739</v>
      </c>
      <c r="C372" s="1508">
        <v>741.33299999999997</v>
      </c>
      <c r="D372" s="1508">
        <v>5233.07</v>
      </c>
      <c r="E372" s="1508">
        <v>1.0047926409835022</v>
      </c>
      <c r="F372" s="1508">
        <v>58.451144914528456</v>
      </c>
      <c r="K372" s="1623">
        <v>42429</v>
      </c>
      <c r="L372" s="1624" t="s">
        <v>2302</v>
      </c>
      <c r="M372" s="1625">
        <v>5.2531000000000001E-2</v>
      </c>
      <c r="N372" s="1626">
        <v>1.1360666992265587</v>
      </c>
      <c r="O372" s="1626">
        <v>1.1360666992265587</v>
      </c>
    </row>
    <row r="373" spans="2:15">
      <c r="B373" s="1507">
        <v>43770</v>
      </c>
      <c r="C373" s="1508">
        <v>743.55799999999999</v>
      </c>
      <c r="D373" s="1508">
        <v>5259.76</v>
      </c>
      <c r="E373" s="1508">
        <v>1.0038038559813272</v>
      </c>
      <c r="F373" s="1508">
        <v>58.673484651727009</v>
      </c>
      <c r="K373" s="1623">
        <v>42430</v>
      </c>
      <c r="L373" s="1624" t="s">
        <v>2302</v>
      </c>
      <c r="M373" s="1625">
        <v>5.2531000000000001E-2</v>
      </c>
      <c r="N373" s="1626">
        <v>1.1366634864243295</v>
      </c>
      <c r="O373" s="1626">
        <v>1.1366634864243295</v>
      </c>
    </row>
    <row r="374" spans="2:15">
      <c r="B374" s="1507">
        <v>43800</v>
      </c>
      <c r="C374" s="1508">
        <v>759.11199999999997</v>
      </c>
      <c r="D374" s="1508">
        <v>5320.25</v>
      </c>
      <c r="E374" s="1508">
        <v>1.0037470387078873</v>
      </c>
      <c r="F374" s="1508">
        <v>58.893336469843661</v>
      </c>
      <c r="K374" s="1623">
        <v>42431</v>
      </c>
      <c r="L374" s="1624" t="s">
        <v>2302</v>
      </c>
      <c r="M374" s="1625">
        <v>5.2531000000000001E-2</v>
      </c>
      <c r="N374" s="1626">
        <v>1.1372605871203831</v>
      </c>
      <c r="O374" s="1626">
        <v>1.1372605871203831</v>
      </c>
    </row>
    <row r="375" spans="2:15">
      <c r="B375" s="1507">
        <v>43831</v>
      </c>
      <c r="C375" s="1508">
        <v>762.73299999999995</v>
      </c>
      <c r="D375" s="1508">
        <v>5331.42</v>
      </c>
      <c r="E375" s="1508">
        <v>1.00376633367529</v>
      </c>
      <c r="F375" s="1508">
        <v>59.115148426240218</v>
      </c>
      <c r="K375" s="1623">
        <v>42432</v>
      </c>
      <c r="L375" s="1624" t="s">
        <v>2302</v>
      </c>
      <c r="M375" s="1625">
        <v>5.2531000000000001E-2</v>
      </c>
      <c r="N375" s="1626">
        <v>1.1378580014794033</v>
      </c>
      <c r="O375" s="1626">
        <v>1.1378580014794033</v>
      </c>
    </row>
    <row r="376" spans="2:15">
      <c r="B376" s="1507">
        <v>43862</v>
      </c>
      <c r="C376" s="1508">
        <v>762.423</v>
      </c>
      <c r="D376" s="1508">
        <v>5344.75</v>
      </c>
      <c r="E376" s="1508">
        <v>1.0029372863155552</v>
      </c>
      <c r="F376" s="1508">
        <v>59.288786542754629</v>
      </c>
      <c r="K376" s="1623">
        <v>42433</v>
      </c>
      <c r="L376" s="1624" t="s">
        <v>2302</v>
      </c>
      <c r="M376" s="1625">
        <v>5.2531000000000001E-2</v>
      </c>
      <c r="N376" s="1626">
        <v>1.1384557296661604</v>
      </c>
      <c r="O376" s="1626">
        <v>1.1384557296661604</v>
      </c>
    </row>
    <row r="377" spans="2:15">
      <c r="B377" s="1507">
        <v>43891</v>
      </c>
      <c r="C377" s="1508">
        <v>771.90800000000002</v>
      </c>
      <c r="D377" s="1508">
        <v>5348.49</v>
      </c>
      <c r="E377" s="1508">
        <v>1.0033836914846632</v>
      </c>
      <c r="F377" s="1508">
        <v>59.489401504915364</v>
      </c>
      <c r="K377" s="1623">
        <v>42434</v>
      </c>
      <c r="L377" s="1624"/>
      <c r="M377" s="1625">
        <v>0</v>
      </c>
      <c r="N377" s="1626">
        <v>1.1384557296661604</v>
      </c>
      <c r="O377" s="1626">
        <v>1.1384557296661604</v>
      </c>
    </row>
    <row r="378" spans="2:15">
      <c r="B378" s="1507">
        <v>43922</v>
      </c>
      <c r="C378" s="1508">
        <v>778.101</v>
      </c>
      <c r="D378" s="1508">
        <v>5331.91</v>
      </c>
      <c r="E378" s="1508">
        <v>1.0028492490278405</v>
      </c>
      <c r="F378" s="1508">
        <v>59.658901624320052</v>
      </c>
      <c r="K378" s="1623">
        <v>42435</v>
      </c>
      <c r="L378" s="1624"/>
      <c r="M378" s="1625">
        <v>0</v>
      </c>
      <c r="N378" s="1626">
        <v>1.1384557296661604</v>
      </c>
      <c r="O378" s="1626">
        <v>1.1384557296661604</v>
      </c>
    </row>
    <row r="379" spans="2:15">
      <c r="B379" s="1507">
        <v>43952</v>
      </c>
      <c r="C379" s="1508">
        <v>780.28</v>
      </c>
      <c r="D379" s="1508">
        <v>5311.65</v>
      </c>
      <c r="E379" s="1508">
        <v>1.0023580961930716</v>
      </c>
      <c r="F379" s="1508">
        <v>59.799583053123193</v>
      </c>
      <c r="K379" s="1623">
        <v>42436</v>
      </c>
      <c r="L379" s="1624" t="s">
        <v>2302</v>
      </c>
      <c r="M379" s="1625">
        <v>5.2531000000000001E-2</v>
      </c>
      <c r="N379" s="1626">
        <v>1.1390537718455114</v>
      </c>
      <c r="O379" s="1626">
        <v>1.1390537718455114</v>
      </c>
    </row>
    <row r="380" spans="2:15">
      <c r="B380" s="1507">
        <v>43983</v>
      </c>
      <c r="C380" s="1508">
        <v>792.42899999999997</v>
      </c>
      <c r="D380" s="1508">
        <v>5325.46</v>
      </c>
      <c r="E380" s="1508">
        <v>1.0021233217736718</v>
      </c>
      <c r="F380" s="1508">
        <v>59.926556809876388</v>
      </c>
      <c r="K380" s="1623">
        <v>42437</v>
      </c>
      <c r="L380" s="1624" t="s">
        <v>2302</v>
      </c>
      <c r="M380" s="1625">
        <v>5.2531000000000001E-2</v>
      </c>
      <c r="N380" s="1626">
        <v>1.1396521281823995</v>
      </c>
      <c r="O380" s="1626">
        <v>1.1396521281823995</v>
      </c>
    </row>
    <row r="381" spans="2:15">
      <c r="B381" s="1507">
        <v>44013</v>
      </c>
      <c r="C381" s="1508">
        <v>810.08299999999997</v>
      </c>
      <c r="D381" s="1508">
        <v>5344.63</v>
      </c>
      <c r="E381" s="1508">
        <v>1.0019434641302636</v>
      </c>
      <c r="F381" s="1508">
        <v>60.043021923486585</v>
      </c>
      <c r="K381" s="1623">
        <v>42438</v>
      </c>
      <c r="L381" s="1624" t="s">
        <v>2302</v>
      </c>
      <c r="M381" s="1625">
        <v>5.2531000000000001E-2</v>
      </c>
      <c r="N381" s="1626">
        <v>1.1402507988418549</v>
      </c>
      <c r="O381" s="1626">
        <v>1.1402507988418549</v>
      </c>
    </row>
    <row r="382" spans="2:15">
      <c r="B382" s="1507">
        <v>44044</v>
      </c>
      <c r="C382" s="1508">
        <v>832.31299999999999</v>
      </c>
      <c r="D382" s="1508">
        <v>5357.46</v>
      </c>
      <c r="E382" s="1508">
        <v>1.0015988959789295</v>
      </c>
      <c r="F382" s="1508">
        <v>60.13902446980282</v>
      </c>
      <c r="K382" s="1623">
        <v>42439</v>
      </c>
      <c r="L382" s="1624" t="s">
        <v>2302</v>
      </c>
      <c r="M382" s="1625">
        <v>5.2531000000000001E-2</v>
      </c>
      <c r="N382" s="1626">
        <v>1.1408497839889944</v>
      </c>
      <c r="O382" s="1626">
        <v>1.1408497839889944</v>
      </c>
    </row>
    <row r="383" spans="2:15">
      <c r="B383" s="1507">
        <v>44075</v>
      </c>
      <c r="C383" s="1508">
        <v>868.44200000000001</v>
      </c>
      <c r="D383" s="1508">
        <v>5391.75</v>
      </c>
      <c r="E383" s="1508">
        <v>1.0015696620595307</v>
      </c>
      <c r="F383" s="1508">
        <v>60.233422414810256</v>
      </c>
      <c r="K383" s="1623">
        <v>42440</v>
      </c>
      <c r="L383" s="1624" t="s">
        <v>2302</v>
      </c>
      <c r="M383" s="1625">
        <v>5.2531000000000001E-2</v>
      </c>
      <c r="N383" s="1626">
        <v>1.1414490837890217</v>
      </c>
      <c r="O383" s="1626">
        <v>1.1414490837890217</v>
      </c>
    </row>
    <row r="384" spans="2:15">
      <c r="B384" s="1507">
        <v>44105</v>
      </c>
      <c r="C384" s="1508">
        <v>896.505</v>
      </c>
      <c r="D384" s="1508">
        <v>5438.12</v>
      </c>
      <c r="E384" s="1508">
        <v>1.00156966205953</v>
      </c>
      <c r="F384" s="1508">
        <v>60.327968532690427</v>
      </c>
      <c r="K384" s="1623">
        <v>42441</v>
      </c>
      <c r="L384" s="1624"/>
      <c r="M384" s="1625">
        <v>0</v>
      </c>
      <c r="N384" s="1626">
        <v>1.1414490837890217</v>
      </c>
      <c r="O384" s="1626">
        <v>1.1414490837890217</v>
      </c>
    </row>
    <row r="385" spans="2:15">
      <c r="B385" s="1507">
        <v>44136</v>
      </c>
      <c r="C385" s="1508">
        <v>925.88699999999994</v>
      </c>
      <c r="D385" s="1508">
        <v>5486.52</v>
      </c>
      <c r="E385" s="1508">
        <v>1.0014948604084073</v>
      </c>
      <c r="F385" s="1508">
        <v>60.418150424369585</v>
      </c>
      <c r="K385" s="1623">
        <v>42442</v>
      </c>
      <c r="L385" s="1624"/>
      <c r="M385" s="1625">
        <v>0</v>
      </c>
      <c r="N385" s="1626">
        <v>1.1414490837890217</v>
      </c>
      <c r="O385" s="1626">
        <v>1.1414490837890217</v>
      </c>
    </row>
    <row r="386" spans="2:15">
      <c r="B386" s="1507">
        <v>44166</v>
      </c>
      <c r="C386" s="1508">
        <v>934.75800000000004</v>
      </c>
      <c r="D386" s="1508">
        <v>5560.59</v>
      </c>
      <c r="E386" s="1508">
        <v>1.0016444692975899</v>
      </c>
      <c r="F386" s="1508">
        <v>60.517506217759632</v>
      </c>
      <c r="K386" s="1623">
        <v>42443</v>
      </c>
      <c r="L386" s="1624" t="s">
        <v>2302</v>
      </c>
      <c r="M386" s="1625">
        <v>5.2531000000000001E-2</v>
      </c>
      <c r="N386" s="1626">
        <v>1.1420486984072269</v>
      </c>
      <c r="O386" s="1626">
        <v>1.1420486984072269</v>
      </c>
    </row>
    <row r="387" spans="2:15">
      <c r="B387" s="1507">
        <v>44197</v>
      </c>
      <c r="C387" s="1508">
        <v>958.84400000000005</v>
      </c>
      <c r="D387" s="1508">
        <v>5574.49</v>
      </c>
      <c r="E387" s="1508">
        <v>1.0014948604084077</v>
      </c>
      <c r="F387" s="1508">
        <v>60.607971441820126</v>
      </c>
      <c r="K387" s="1623">
        <v>42444</v>
      </c>
      <c r="L387" s="1624" t="s">
        <v>2302</v>
      </c>
      <c r="M387" s="1625">
        <v>5.2531000000000001E-2</v>
      </c>
      <c r="N387" s="1626">
        <v>1.1426486280089871</v>
      </c>
      <c r="O387" s="1626">
        <v>1.1426486280089871</v>
      </c>
    </row>
    <row r="388" spans="2:15">
      <c r="B388" s="1507">
        <v>44228</v>
      </c>
      <c r="C388" s="1508">
        <v>983.06299999999999</v>
      </c>
      <c r="D388" s="1508">
        <v>5622.43</v>
      </c>
      <c r="E388" s="1508">
        <v>1.0013452738652961</v>
      </c>
      <c r="F388" s="1508">
        <v>60.689505761829423</v>
      </c>
      <c r="K388" s="1623">
        <v>42445</v>
      </c>
      <c r="L388" s="1624" t="s">
        <v>2302</v>
      </c>
      <c r="M388" s="1625">
        <v>5.2531000000000001E-2</v>
      </c>
      <c r="N388" s="1626">
        <v>1.1432488727597665</v>
      </c>
      <c r="O388" s="1626">
        <v>1.1432488727597665</v>
      </c>
    </row>
    <row r="389" spans="2:15">
      <c r="B389" s="1507">
        <v>44256</v>
      </c>
      <c r="C389" s="1508">
        <v>1011.948</v>
      </c>
      <c r="D389" s="1508">
        <v>5674.72</v>
      </c>
      <c r="E389" s="1508">
        <v>1.0020107988327946</v>
      </c>
      <c r="F389" s="1508">
        <v>60.811540149178192</v>
      </c>
      <c r="K389" s="1623">
        <v>42446</v>
      </c>
      <c r="L389" s="1624" t="s">
        <v>2302</v>
      </c>
      <c r="M389" s="1625">
        <v>5.2531000000000001E-2</v>
      </c>
      <c r="N389" s="1626">
        <v>1.1438494328251159</v>
      </c>
      <c r="O389" s="1626">
        <v>1.1438494328251159</v>
      </c>
    </row>
    <row r="390" spans="2:15">
      <c r="B390" s="1507">
        <v>44287</v>
      </c>
      <c r="C390" s="1508">
        <v>1027.211</v>
      </c>
      <c r="D390" s="1508">
        <v>5692.31</v>
      </c>
      <c r="E390" s="1508">
        <v>1.0020778480243349</v>
      </c>
      <c r="F390" s="1508">
        <v>60.937897287733925</v>
      </c>
      <c r="K390" s="1623">
        <v>42447</v>
      </c>
      <c r="L390" s="1624" t="s">
        <v>2302</v>
      </c>
      <c r="M390" s="1625">
        <v>5.2531000000000001E-2</v>
      </c>
      <c r="N390" s="1626">
        <v>1.1444503083706732</v>
      </c>
      <c r="O390" s="1626">
        <v>1.1444503083706732</v>
      </c>
    </row>
    <row r="391" spans="2:15">
      <c r="B391" s="1507">
        <v>44317</v>
      </c>
      <c r="C391" s="1508">
        <v>1069.289</v>
      </c>
      <c r="D391" s="1508">
        <v>5739.56</v>
      </c>
      <c r="E391" s="1508">
        <v>1.0027032626398216</v>
      </c>
      <c r="F391" s="1508">
        <v>61.102628428821141</v>
      </c>
      <c r="K391" s="1623">
        <v>42448</v>
      </c>
      <c r="L391" s="1624"/>
      <c r="M391" s="1625">
        <v>0</v>
      </c>
      <c r="N391" s="1626">
        <v>1.1444503083706732</v>
      </c>
      <c r="O391" s="1626">
        <v>1.1444503083706732</v>
      </c>
    </row>
    <row r="392" spans="2:15">
      <c r="B392" s="1507">
        <v>44348</v>
      </c>
      <c r="C392" s="1508">
        <v>1075.7329999999999</v>
      </c>
      <c r="D392" s="1508">
        <v>5769.98</v>
      </c>
      <c r="E392" s="1508">
        <v>1.0030777896833167</v>
      </c>
      <c r="F392" s="1508">
        <v>61.290689468222901</v>
      </c>
      <c r="K392" s="1623">
        <v>42449</v>
      </c>
      <c r="L392" s="1624"/>
      <c r="M392" s="1625">
        <v>0</v>
      </c>
      <c r="N392" s="1626">
        <v>1.1444503083706732</v>
      </c>
      <c r="O392" s="1626">
        <v>1.1444503083706732</v>
      </c>
    </row>
    <row r="393" spans="2:15">
      <c r="B393" s="1507">
        <v>44378</v>
      </c>
      <c r="C393" s="1508">
        <v>1084.095</v>
      </c>
      <c r="D393" s="1508">
        <v>5825.37</v>
      </c>
      <c r="E393" s="1508">
        <v>1.003556161780192</v>
      </c>
      <c r="F393" s="1508">
        <v>61.508649075591414</v>
      </c>
      <c r="K393" s="1623">
        <v>42450</v>
      </c>
      <c r="L393" s="1624" t="s">
        <v>2302</v>
      </c>
      <c r="M393" s="1625">
        <v>5.2531000000000001E-2</v>
      </c>
      <c r="N393" s="1626">
        <v>1.1450514995621635</v>
      </c>
      <c r="O393" s="1626">
        <v>1.1450514995621635</v>
      </c>
    </row>
    <row r="394" spans="2:15">
      <c r="B394" s="1507">
        <v>44409</v>
      </c>
      <c r="C394" s="1508">
        <v>1091.29</v>
      </c>
      <c r="D394" s="1508">
        <v>5876.05</v>
      </c>
      <c r="E394" s="1508">
        <v>1.0042795247734253</v>
      </c>
      <c r="F394" s="1508">
        <v>61.771876863090334</v>
      </c>
      <c r="K394" s="1623">
        <v>42451</v>
      </c>
      <c r="L394" s="1624" t="s">
        <v>2302</v>
      </c>
      <c r="M394" s="1625">
        <v>5.2531000000000001E-2</v>
      </c>
      <c r="N394" s="1626">
        <v>1.1456530065653985</v>
      </c>
      <c r="O394" s="1626">
        <v>1.1456530065653985</v>
      </c>
    </row>
    <row r="395" spans="2:15">
      <c r="B395" s="1507">
        <v>44440</v>
      </c>
      <c r="C395" s="1508">
        <v>1084.3119999999999</v>
      </c>
      <c r="D395" s="1508">
        <v>5944.21</v>
      </c>
      <c r="E395" s="1508">
        <v>1.0044199933223523</v>
      </c>
      <c r="F395" s="1508">
        <v>62.044908146334365</v>
      </c>
      <c r="K395" s="1623">
        <v>42452</v>
      </c>
      <c r="L395" s="1624" t="s">
        <v>2302</v>
      </c>
      <c r="M395" s="1625">
        <v>5.2531000000000001E-2</v>
      </c>
      <c r="N395" s="1626">
        <v>1.1462548295462773</v>
      </c>
      <c r="O395" s="1626">
        <v>1.1462548295462773</v>
      </c>
    </row>
    <row r="396" spans="2:15">
      <c r="B396" s="1507">
        <v>44470</v>
      </c>
      <c r="C396" s="1508">
        <v>1091.2829999999999</v>
      </c>
      <c r="D396" s="1508">
        <v>6018.51</v>
      </c>
      <c r="E396" s="1508">
        <v>1.0048599610251685</v>
      </c>
      <c r="F396" s="1508">
        <v>62.34644398173571</v>
      </c>
      <c r="K396" s="1623">
        <v>42453</v>
      </c>
      <c r="L396" s="1624" t="s">
        <v>2302</v>
      </c>
      <c r="M396" s="1625">
        <v>5.2531000000000001E-2</v>
      </c>
      <c r="N396" s="1626">
        <v>1.1468569686707863</v>
      </c>
      <c r="O396" s="1626">
        <v>1.1468569686707863</v>
      </c>
    </row>
    <row r="397" spans="2:15">
      <c r="B397" s="1507">
        <v>44501</v>
      </c>
      <c r="C397" s="1508">
        <v>1091.4829999999999</v>
      </c>
      <c r="D397" s="1508">
        <v>6075.69</v>
      </c>
      <c r="E397" s="1508">
        <v>1.0058674909390046</v>
      </c>
      <c r="F397" s="1508">
        <v>62.712261176877703</v>
      </c>
      <c r="K397" s="1623">
        <v>42454</v>
      </c>
      <c r="L397" s="1624"/>
      <c r="M397" s="1625">
        <v>0</v>
      </c>
      <c r="N397" s="1626">
        <v>1.1468569686707863</v>
      </c>
      <c r="O397" s="1626">
        <v>1.1468569686707863</v>
      </c>
    </row>
    <row r="398" spans="2:15">
      <c r="B398" s="1507">
        <v>44531</v>
      </c>
      <c r="C398" s="1508">
        <v>1100.9880000000001</v>
      </c>
      <c r="D398" s="1508">
        <v>6120.04</v>
      </c>
      <c r="E398" s="1508">
        <v>1.0076908308186336</v>
      </c>
      <c r="F398" s="1508">
        <v>63.194570567843037</v>
      </c>
      <c r="K398" s="1623">
        <v>42455</v>
      </c>
      <c r="L398" s="1624"/>
      <c r="M398" s="1625">
        <v>0</v>
      </c>
      <c r="N398" s="1626">
        <v>1.1468569686707863</v>
      </c>
      <c r="O398" s="1626">
        <v>1.1468569686707863</v>
      </c>
    </row>
    <row r="399" spans="2:15">
      <c r="B399" s="1507">
        <v>44562</v>
      </c>
      <c r="C399" s="1508">
        <v>1120.999</v>
      </c>
      <c r="D399" s="1508">
        <v>6153.09</v>
      </c>
      <c r="E399" s="1508">
        <v>1.0073227032460901</v>
      </c>
      <c r="F399" s="1508">
        <v>63.65732565487545</v>
      </c>
      <c r="K399" s="1623">
        <v>42456</v>
      </c>
      <c r="L399" s="1624"/>
      <c r="M399" s="1625">
        <v>0</v>
      </c>
      <c r="N399" s="1626">
        <v>1.1468569686707863</v>
      </c>
      <c r="O399" s="1626">
        <v>1.1468569686707863</v>
      </c>
    </row>
    <row r="400" spans="2:15">
      <c r="B400" s="1507">
        <v>44593</v>
      </c>
      <c r="C400" s="1508">
        <v>1141.546</v>
      </c>
      <c r="D400" s="1508">
        <v>6215.24</v>
      </c>
      <c r="E400" s="1508">
        <v>1.0075504098703885</v>
      </c>
      <c r="F400" s="1508">
        <v>64.13796455482256</v>
      </c>
      <c r="K400" s="1623">
        <v>42457</v>
      </c>
      <c r="L400" s="1624" t="s">
        <v>2302</v>
      </c>
      <c r="M400" s="1625">
        <v>5.2531000000000001E-2</v>
      </c>
      <c r="N400" s="1626">
        <v>1.1474594241049989</v>
      </c>
      <c r="O400" s="1626">
        <v>1.1474594241049989</v>
      </c>
    </row>
    <row r="401" spans="2:15">
      <c r="B401" s="1507">
        <v>44621</v>
      </c>
      <c r="C401" s="1508">
        <v>1161.4179999999999</v>
      </c>
      <c r="D401" s="1508">
        <v>6315.93</v>
      </c>
      <c r="E401" s="1508">
        <v>1.0092705386289318</v>
      </c>
      <c r="F401" s="1508">
        <v>64.732558032809095</v>
      </c>
      <c r="K401" s="1623">
        <v>42458</v>
      </c>
      <c r="L401" s="1624" t="s">
        <v>2302</v>
      </c>
      <c r="M401" s="1625">
        <v>5.2531000000000001E-2</v>
      </c>
      <c r="N401" s="1626">
        <v>1.1480621960150754</v>
      </c>
      <c r="O401" s="1626">
        <v>1.1480621960150754</v>
      </c>
    </row>
    <row r="402" spans="2:15">
      <c r="B402" s="1507">
        <v>44652</v>
      </c>
      <c r="C402" s="1508">
        <v>1177.809</v>
      </c>
      <c r="D402" s="1508">
        <v>6382.88</v>
      </c>
      <c r="E402" s="1508">
        <v>1.0083432052372134</v>
      </c>
      <c r="F402" s="1508">
        <v>65.272635050006656</v>
      </c>
      <c r="K402" s="1623">
        <v>42459</v>
      </c>
      <c r="L402" s="1624" t="s">
        <v>2302</v>
      </c>
      <c r="M402" s="1625">
        <v>5.2531000000000001E-2</v>
      </c>
      <c r="N402" s="1626">
        <v>1.148665284567264</v>
      </c>
      <c r="O402" s="1626">
        <v>1.148665284567264</v>
      </c>
    </row>
    <row r="403" spans="2:15">
      <c r="B403" s="1507">
        <v>44682</v>
      </c>
      <c r="C403" s="1508">
        <v>1183.953</v>
      </c>
      <c r="D403" s="1508">
        <v>6412.88</v>
      </c>
      <c r="E403" s="1508">
        <v>1.0103459230153136</v>
      </c>
      <c r="F403" s="1508">
        <v>65.947940707240676</v>
      </c>
      <c r="K403" s="1623">
        <v>42460</v>
      </c>
      <c r="L403" s="1624" t="s">
        <v>2302</v>
      </c>
      <c r="M403" s="1625">
        <v>5.2531000000000001E-2</v>
      </c>
      <c r="N403" s="1626">
        <v>1.1492686899279001</v>
      </c>
      <c r="O403" s="1626">
        <v>1.1492686899279001</v>
      </c>
    </row>
    <row r="404" spans="2:15">
      <c r="B404" s="1507">
        <v>44713</v>
      </c>
      <c r="C404" s="1508">
        <v>1190.8820000000001</v>
      </c>
      <c r="D404" s="1508">
        <v>6455.85</v>
      </c>
      <c r="E404" s="1508">
        <v>1.0101531560893695</v>
      </c>
      <c r="F404" s="1508">
        <v>66.617520443013774</v>
      </c>
      <c r="G404" s="10">
        <f>$D$404/D380</f>
        <v>1.212261476003951</v>
      </c>
      <c r="H404" s="10">
        <f>$D$404/D392</f>
        <v>1.1188686962519803</v>
      </c>
      <c r="K404" s="1623">
        <v>42461</v>
      </c>
      <c r="L404" s="1624" t="s">
        <v>2302</v>
      </c>
      <c r="M404" s="1625">
        <v>5.2531000000000001E-2</v>
      </c>
      <c r="N404" s="1626">
        <v>1.1498724122634061</v>
      </c>
      <c r="O404" s="1626">
        <v>1.1498724122634061</v>
      </c>
    </row>
    <row r="405" spans="2:15">
      <c r="B405" s="1507">
        <v>44743</v>
      </c>
      <c r="C405" s="1508">
        <v>1197.0638684620001</v>
      </c>
      <c r="D405" s="1508">
        <v>6491.3184399000011</v>
      </c>
      <c r="E405" s="1508">
        <v>1.0103484243492924</v>
      </c>
      <c r="F405" s="1508">
        <v>67.306906813655743</v>
      </c>
      <c r="K405" s="1623">
        <v>42462</v>
      </c>
      <c r="L405" s="1624"/>
      <c r="M405" s="1625">
        <v>0</v>
      </c>
      <c r="N405" s="1626">
        <v>1.1498724122634061</v>
      </c>
      <c r="O405" s="1626">
        <v>1.1498724122634061</v>
      </c>
    </row>
    <row r="406" spans="2:15">
      <c r="B406" s="1507">
        <v>44774</v>
      </c>
      <c r="C406" s="1508">
        <v>1203.249097470343</v>
      </c>
      <c r="D406" s="1508">
        <v>6514.7391168311606</v>
      </c>
      <c r="E406" s="1508">
        <v>1.0113395564141356</v>
      </c>
      <c r="F406" s="1508">
        <v>68.070137280530162</v>
      </c>
      <c r="K406" s="1623">
        <v>42463</v>
      </c>
      <c r="L406" s="1624"/>
      <c r="M406" s="1625">
        <v>0</v>
      </c>
      <c r="N406" s="1626">
        <v>1.1498724122634061</v>
      </c>
      <c r="O406" s="1626">
        <v>1.1498724122634061</v>
      </c>
    </row>
    <row r="407" spans="2:15">
      <c r="B407" s="1507">
        <v>44805</v>
      </c>
      <c r="C407" s="1508">
        <v>1210.3554866400029</v>
      </c>
      <c r="D407" s="1508">
        <v>6541.5407535578033</v>
      </c>
      <c r="E407" s="1508">
        <v>1.0103484243492922</v>
      </c>
      <c r="F407" s="1508">
        <v>68.774555946623664</v>
      </c>
      <c r="K407" s="1623">
        <v>42464</v>
      </c>
      <c r="L407" s="1624" t="s">
        <v>2302</v>
      </c>
      <c r="M407" s="1625">
        <v>5.2531000000000001E-2</v>
      </c>
      <c r="N407" s="1626">
        <v>1.1504764517402921</v>
      </c>
      <c r="O407" s="1626">
        <v>1.1504764517402921</v>
      </c>
    </row>
    <row r="408" spans="2:15">
      <c r="B408" s="1507">
        <v>44835</v>
      </c>
      <c r="C408" s="1508">
        <v>1217.5885710281636</v>
      </c>
      <c r="D408" s="1508">
        <v>6571.7430472169799</v>
      </c>
      <c r="E408" s="1508">
        <v>1.0098532226245143</v>
      </c>
      <c r="F408" s="1508">
        <v>69.452206957267862</v>
      </c>
      <c r="K408" s="1623">
        <v>42465</v>
      </c>
      <c r="L408" s="1624" t="s">
        <v>2302</v>
      </c>
      <c r="M408" s="1625">
        <v>5.2531000000000001E-2</v>
      </c>
      <c r="N408" s="1626">
        <v>1.1510808085251558</v>
      </c>
      <c r="O408" s="1626">
        <v>1.1510808085251558</v>
      </c>
    </row>
    <row r="409" spans="2:15">
      <c r="B409" s="1507">
        <v>44866</v>
      </c>
      <c r="C409" s="1508">
        <v>1224.992727128586</v>
      </c>
      <c r="D409" s="1508">
        <v>6602.2359349560666</v>
      </c>
      <c r="E409" s="1508">
        <v>1.0098532226245134</v>
      </c>
      <c r="F409" s="1508">
        <v>70.136535014181604</v>
      </c>
      <c r="K409" s="1623">
        <v>42466</v>
      </c>
      <c r="L409" s="1624" t="s">
        <v>2302</v>
      </c>
      <c r="M409" s="1625">
        <v>5.2531000000000001E-2</v>
      </c>
      <c r="N409" s="1626">
        <v>1.1516854827846821</v>
      </c>
      <c r="O409" s="1626">
        <v>1.1516854827846821</v>
      </c>
    </row>
    <row r="410" spans="2:15">
      <c r="B410" s="1507">
        <v>44896</v>
      </c>
      <c r="C410" s="1508">
        <v>1232.3194086295421</v>
      </c>
      <c r="D410" s="1508">
        <v>6643.9422593571835</v>
      </c>
      <c r="E410" s="1508">
        <v>1.0108438689061403</v>
      </c>
      <c r="F410" s="1508">
        <v>70.897086405406313</v>
      </c>
      <c r="K410" s="1623">
        <v>42467</v>
      </c>
      <c r="L410" s="1624" t="s">
        <v>2302</v>
      </c>
      <c r="M410" s="1625">
        <v>5.2531000000000001E-2</v>
      </c>
      <c r="N410" s="1626">
        <v>1.1522904746856437</v>
      </c>
      <c r="O410" s="1626">
        <v>1.1522904746856437</v>
      </c>
    </row>
    <row r="411" spans="2:15">
      <c r="B411" s="1507">
        <v>44927</v>
      </c>
      <c r="C411" s="1508">
        <v>1238.1470471129512</v>
      </c>
      <c r="D411" s="1508">
        <v>6675.3880380707214</v>
      </c>
      <c r="E411" s="1508">
        <v>1.0108438689061405</v>
      </c>
      <c r="F411" s="1508">
        <v>71.665885116213857</v>
      </c>
      <c r="K411" s="1623">
        <v>42468</v>
      </c>
      <c r="L411" s="1624" t="s">
        <v>2302</v>
      </c>
      <c r="M411" s="1625">
        <v>5.2531000000000001E-2</v>
      </c>
      <c r="N411" s="1626">
        <v>1.1528957843949008</v>
      </c>
      <c r="O411" s="1626">
        <v>1.1528957843949008</v>
      </c>
    </row>
    <row r="412" spans="2:15">
      <c r="B412" s="1507">
        <v>44958</v>
      </c>
      <c r="C412" s="1508">
        <v>1242.8891503033938</v>
      </c>
      <c r="D412" s="1508">
        <v>6708.8651090816456</v>
      </c>
      <c r="E412" s="1508">
        <v>1.0088635471951473</v>
      </c>
      <c r="F412" s="1508">
        <v>72.301099071223419</v>
      </c>
      <c r="K412" s="1623">
        <v>42469</v>
      </c>
      <c r="L412" s="1624"/>
      <c r="M412" s="1625">
        <v>0</v>
      </c>
      <c r="N412" s="1626">
        <v>1.1528957843949008</v>
      </c>
      <c r="O412" s="1626">
        <v>1.1528957843949008</v>
      </c>
    </row>
    <row r="413" spans="2:15">
      <c r="B413" s="1507">
        <v>44986</v>
      </c>
      <c r="C413" s="1508">
        <v>1247.4530392633078</v>
      </c>
      <c r="D413" s="1508">
        <v>6733.7617075014477</v>
      </c>
      <c r="E413" s="1508">
        <v>1.0113395564141363</v>
      </c>
      <c r="F413" s="1508">
        <v>73.120961462945615</v>
      </c>
      <c r="K413" s="1623">
        <v>42470</v>
      </c>
      <c r="L413" s="1624"/>
      <c r="M413" s="1625">
        <v>0</v>
      </c>
      <c r="N413" s="1626">
        <v>1.1528957843949008</v>
      </c>
      <c r="O413" s="1626">
        <v>1.1528957843949008</v>
      </c>
    </row>
    <row r="414" spans="2:15">
      <c r="B414" s="1507">
        <v>45017</v>
      </c>
      <c r="C414" s="1508">
        <v>1251.4698380497357</v>
      </c>
      <c r="D414" s="1508">
        <v>6758.8113010533525</v>
      </c>
      <c r="E414" s="1508">
        <v>1.0088635471951479</v>
      </c>
      <c r="F414" s="1508">
        <v>73.769072555827023</v>
      </c>
      <c r="K414" s="1623">
        <v>42471</v>
      </c>
      <c r="L414" s="1624" t="s">
        <v>2302</v>
      </c>
      <c r="M414" s="1625">
        <v>5.2531000000000001E-2</v>
      </c>
      <c r="N414" s="1626">
        <v>1.1535014120794014</v>
      </c>
      <c r="O414" s="1626">
        <v>1.1535014120794014</v>
      </c>
    </row>
    <row r="415" spans="2:15">
      <c r="B415" s="1507">
        <v>45047</v>
      </c>
      <c r="C415" s="1508">
        <v>1255.0803285325092</v>
      </c>
      <c r="D415" s="1508">
        <v>6776.8505684158645</v>
      </c>
      <c r="E415" s="1508">
        <v>1.0108438689061405</v>
      </c>
      <c r="F415" s="1508">
        <v>74.569014707949975</v>
      </c>
      <c r="K415" s="1623">
        <v>42472</v>
      </c>
      <c r="L415" s="1624" t="s">
        <v>2302</v>
      </c>
      <c r="M415" s="1625">
        <v>5.2531000000000001E-2</v>
      </c>
      <c r="N415" s="1626">
        <v>1.1541073579061809</v>
      </c>
      <c r="O415" s="1626">
        <v>1.1541073579061809</v>
      </c>
    </row>
    <row r="416" spans="2:15">
      <c r="B416" s="1507">
        <v>45078</v>
      </c>
      <c r="C416" s="1508">
        <v>1259.3250102036061</v>
      </c>
      <c r="D416" s="1508">
        <v>6793.2031088374515</v>
      </c>
      <c r="E416" s="1508">
        <v>1.010348424349292</v>
      </c>
      <c r="F416" s="1508">
        <v>75.34068651545644</v>
      </c>
      <c r="K416" s="1623">
        <v>42473</v>
      </c>
      <c r="L416" s="1624" t="s">
        <v>2302</v>
      </c>
      <c r="M416" s="1625">
        <v>5.2531000000000001E-2</v>
      </c>
      <c r="N416" s="1626">
        <v>1.1547136220423626</v>
      </c>
      <c r="O416" s="1626">
        <v>1.1547136220423626</v>
      </c>
    </row>
    <row r="417" spans="2:15">
      <c r="B417" s="1507">
        <v>45108</v>
      </c>
      <c r="C417" s="1508" t="e">
        <v>#N/A</v>
      </c>
      <c r="D417" s="1508" t="e">
        <v>#N/A</v>
      </c>
      <c r="E417" s="1508" t="e">
        <v>#N/A</v>
      </c>
      <c r="F417" s="1508" t="e">
        <f t="shared" ref="F417:F419" si="0">F416*E417</f>
        <v>#N/A</v>
      </c>
      <c r="K417" s="1623">
        <v>42474</v>
      </c>
      <c r="L417" s="1624" t="s">
        <v>2302</v>
      </c>
      <c r="M417" s="1625">
        <v>5.2531000000000001E-2</v>
      </c>
      <c r="N417" s="1626">
        <v>1.1553202046551576</v>
      </c>
      <c r="O417" s="1626">
        <v>1.1553202046551576</v>
      </c>
    </row>
    <row r="418" spans="2:15">
      <c r="B418" s="1507">
        <v>45139</v>
      </c>
      <c r="C418" s="1508" t="e">
        <v>#N/A</v>
      </c>
      <c r="D418" s="1508" t="e">
        <v>#N/A</v>
      </c>
      <c r="E418" s="1508" t="e">
        <v>#N/A</v>
      </c>
      <c r="F418" s="1508" t="e">
        <f t="shared" si="0"/>
        <v>#N/A</v>
      </c>
      <c r="K418" s="1623">
        <v>42475</v>
      </c>
      <c r="L418" s="1624" t="s">
        <v>2302</v>
      </c>
      <c r="M418" s="1625">
        <v>5.2531000000000001E-2</v>
      </c>
      <c r="N418" s="1626">
        <v>1.155927105911865</v>
      </c>
      <c r="O418" s="1626">
        <v>1.155927105911865</v>
      </c>
    </row>
    <row r="419" spans="2:15">
      <c r="B419" s="1507">
        <v>45170</v>
      </c>
      <c r="C419" s="1508" t="e">
        <v>#N/A</v>
      </c>
      <c r="D419" s="1508" t="e">
        <v>#N/A</v>
      </c>
      <c r="E419" s="1508" t="e">
        <v>#N/A</v>
      </c>
      <c r="F419" s="1508" t="e">
        <f t="shared" si="0"/>
        <v>#N/A</v>
      </c>
      <c r="K419" s="1623">
        <v>42476</v>
      </c>
      <c r="L419" s="1624"/>
      <c r="M419" s="1625">
        <v>0</v>
      </c>
      <c r="N419" s="1626">
        <v>1.155927105911865</v>
      </c>
      <c r="O419" s="1626">
        <v>1.155927105911865</v>
      </c>
    </row>
    <row r="420" spans="2:15">
      <c r="B420" s="1507">
        <v>45200</v>
      </c>
      <c r="C420" s="1508" t="e">
        <v>#N/A</v>
      </c>
      <c r="D420" s="1508" t="e">
        <v>#N/A</v>
      </c>
      <c r="E420" s="1508" t="e">
        <v>#N/A</v>
      </c>
      <c r="F420" s="1508" t="e">
        <f t="shared" ref="F420:F483" si="1">F419*E420</f>
        <v>#N/A</v>
      </c>
      <c r="K420" s="1623">
        <v>42477</v>
      </c>
      <c r="L420" s="1624"/>
      <c r="M420" s="1625">
        <v>0</v>
      </c>
      <c r="N420" s="1626">
        <v>1.155927105911865</v>
      </c>
      <c r="O420" s="1626">
        <v>1.155927105911865</v>
      </c>
    </row>
    <row r="421" spans="2:15">
      <c r="B421" s="1507">
        <v>45231</v>
      </c>
      <c r="C421" s="1508" t="e">
        <v>#N/A</v>
      </c>
      <c r="D421" s="1508" t="e">
        <v>#N/A</v>
      </c>
      <c r="E421" s="1508" t="e">
        <v>#N/A</v>
      </c>
      <c r="F421" s="1508" t="e">
        <f t="shared" si="1"/>
        <v>#N/A</v>
      </c>
      <c r="K421" s="1623">
        <v>42478</v>
      </c>
      <c r="L421" s="1624" t="s">
        <v>2302</v>
      </c>
      <c r="M421" s="1625">
        <v>5.2531000000000001E-2</v>
      </c>
      <c r="N421" s="1626">
        <v>1.1565343259798715</v>
      </c>
      <c r="O421" s="1626">
        <v>1.1565343259798715</v>
      </c>
    </row>
    <row r="422" spans="2:15">
      <c r="B422" s="1507">
        <v>45261</v>
      </c>
      <c r="C422" s="1508" t="e">
        <v>#N/A</v>
      </c>
      <c r="D422" s="1508" t="e">
        <v>#N/A</v>
      </c>
      <c r="E422" s="1508" t="e">
        <v>#N/A</v>
      </c>
      <c r="F422" s="1508" t="e">
        <f t="shared" si="1"/>
        <v>#N/A</v>
      </c>
      <c r="K422" s="1623">
        <v>42479</v>
      </c>
      <c r="L422" s="1624" t="s">
        <v>2302</v>
      </c>
      <c r="M422" s="1625">
        <v>5.2531000000000001E-2</v>
      </c>
      <c r="N422" s="1626">
        <v>1.1571418650266521</v>
      </c>
      <c r="O422" s="1626">
        <v>1.1571418650266521</v>
      </c>
    </row>
    <row r="423" spans="2:15">
      <c r="B423" s="1507">
        <v>45292</v>
      </c>
      <c r="C423" s="1508" t="e">
        <v>#N/A</v>
      </c>
      <c r="D423" s="1508" t="e">
        <v>#N/A</v>
      </c>
      <c r="E423" s="1508" t="e">
        <v>#N/A</v>
      </c>
      <c r="F423" s="1508" t="e">
        <f t="shared" si="1"/>
        <v>#N/A</v>
      </c>
      <c r="K423" s="1623">
        <v>42480</v>
      </c>
      <c r="L423" s="1624" t="s">
        <v>2302</v>
      </c>
      <c r="M423" s="1625">
        <v>5.2531000000000001E-2</v>
      </c>
      <c r="N423" s="1626">
        <v>1.1577497232197693</v>
      </c>
      <c r="O423" s="1626">
        <v>1.1577497232197693</v>
      </c>
    </row>
    <row r="424" spans="2:15">
      <c r="B424" s="1507">
        <v>45323</v>
      </c>
      <c r="C424" s="1508" t="e">
        <v>#N/A</v>
      </c>
      <c r="D424" s="1508" t="e">
        <v>#N/A</v>
      </c>
      <c r="E424" s="1508" t="e">
        <v>#N/A</v>
      </c>
      <c r="F424" s="1508" t="e">
        <f t="shared" si="1"/>
        <v>#N/A</v>
      </c>
      <c r="K424" s="1623">
        <v>42481</v>
      </c>
      <c r="L424" s="1624"/>
      <c r="M424" s="1625">
        <v>0</v>
      </c>
      <c r="N424" s="1626">
        <v>1.1577497232197693</v>
      </c>
      <c r="O424" s="1626">
        <v>1.1577497232197693</v>
      </c>
    </row>
    <row r="425" spans="2:15">
      <c r="B425" s="1507">
        <v>45352</v>
      </c>
      <c r="C425" s="1508" t="e">
        <v>#N/A</v>
      </c>
      <c r="D425" s="1508" t="e">
        <v>#N/A</v>
      </c>
      <c r="E425" s="1508" t="e">
        <v>#N/A</v>
      </c>
      <c r="F425" s="1508" t="e">
        <f t="shared" si="1"/>
        <v>#N/A</v>
      </c>
      <c r="K425" s="1623">
        <v>42482</v>
      </c>
      <c r="L425" s="1624" t="s">
        <v>2302</v>
      </c>
      <c r="M425" s="1625">
        <v>5.2531000000000001E-2</v>
      </c>
      <c r="N425" s="1626">
        <v>1.1583579007268738</v>
      </c>
      <c r="O425" s="1626">
        <v>1.1583579007268738</v>
      </c>
    </row>
    <row r="426" spans="2:15">
      <c r="B426" s="1507">
        <v>45383</v>
      </c>
      <c r="C426" s="1508" t="e">
        <v>#N/A</v>
      </c>
      <c r="D426" s="1508" t="e">
        <v>#N/A</v>
      </c>
      <c r="E426" s="1508" t="e">
        <v>#N/A</v>
      </c>
      <c r="F426" s="1508" t="e">
        <f t="shared" si="1"/>
        <v>#N/A</v>
      </c>
      <c r="K426" s="1623">
        <v>42483</v>
      </c>
      <c r="L426" s="1624"/>
      <c r="M426" s="1625">
        <v>0</v>
      </c>
      <c r="N426" s="1626">
        <v>1.1583579007268738</v>
      </c>
      <c r="O426" s="1626">
        <v>1.1583579007268738</v>
      </c>
    </row>
    <row r="427" spans="2:15">
      <c r="B427" s="1507">
        <v>45413</v>
      </c>
      <c r="C427" s="1508" t="e">
        <v>#N/A</v>
      </c>
      <c r="D427" s="1508" t="e">
        <v>#N/A</v>
      </c>
      <c r="E427" s="1508" t="e">
        <v>#N/A</v>
      </c>
      <c r="F427" s="1508" t="e">
        <f t="shared" si="1"/>
        <v>#N/A</v>
      </c>
      <c r="K427" s="1623">
        <v>42484</v>
      </c>
      <c r="L427" s="1624"/>
      <c r="M427" s="1625">
        <v>0</v>
      </c>
      <c r="N427" s="1626">
        <v>1.1583579007268738</v>
      </c>
      <c r="O427" s="1626">
        <v>1.1583579007268738</v>
      </c>
    </row>
    <row r="428" spans="2:15">
      <c r="B428" s="1507">
        <v>45444</v>
      </c>
      <c r="C428" s="1508" t="e">
        <v>#N/A</v>
      </c>
      <c r="D428" s="1508" t="e">
        <v>#N/A</v>
      </c>
      <c r="E428" s="1508" t="e">
        <v>#N/A</v>
      </c>
      <c r="F428" s="1508" t="e">
        <f t="shared" si="1"/>
        <v>#N/A</v>
      </c>
      <c r="K428" s="1623">
        <v>42485</v>
      </c>
      <c r="L428" s="1624" t="s">
        <v>2302</v>
      </c>
      <c r="M428" s="1625">
        <v>5.2531000000000001E-2</v>
      </c>
      <c r="N428" s="1626">
        <v>1.1589663977157048</v>
      </c>
      <c r="O428" s="1626">
        <v>1.1589663977157048</v>
      </c>
    </row>
    <row r="429" spans="2:15">
      <c r="B429" s="1507">
        <v>45474</v>
      </c>
      <c r="C429" s="1508" t="e">
        <v>#N/A</v>
      </c>
      <c r="D429" s="1508" t="e">
        <v>#N/A</v>
      </c>
      <c r="E429" s="1508" t="e">
        <v>#N/A</v>
      </c>
      <c r="F429" s="1508" t="e">
        <f t="shared" si="1"/>
        <v>#N/A</v>
      </c>
      <c r="K429" s="1623">
        <v>42486</v>
      </c>
      <c r="L429" s="1624" t="s">
        <v>2302</v>
      </c>
      <c r="M429" s="1625">
        <v>5.2531000000000001E-2</v>
      </c>
      <c r="N429" s="1626">
        <v>1.1595752143540887</v>
      </c>
      <c r="O429" s="1626">
        <v>1.1595752143540887</v>
      </c>
    </row>
    <row r="430" spans="2:15">
      <c r="B430" s="1507">
        <v>45505</v>
      </c>
      <c r="C430" s="1508" t="e">
        <v>#N/A</v>
      </c>
      <c r="D430" s="1508" t="e">
        <v>#N/A</v>
      </c>
      <c r="E430" s="1508" t="e">
        <v>#N/A</v>
      </c>
      <c r="F430" s="1508" t="e">
        <f t="shared" si="1"/>
        <v>#N/A</v>
      </c>
      <c r="K430" s="1623">
        <v>42487</v>
      </c>
      <c r="L430" s="1624" t="s">
        <v>2302</v>
      </c>
      <c r="M430" s="1625">
        <v>5.2531000000000001E-2</v>
      </c>
      <c r="N430" s="1626">
        <v>1.160184350809941</v>
      </c>
      <c r="O430" s="1626">
        <v>1.160184350809941</v>
      </c>
    </row>
    <row r="431" spans="2:15">
      <c r="B431" s="1507">
        <v>45536</v>
      </c>
      <c r="C431" s="1508" t="e">
        <v>#N/A</v>
      </c>
      <c r="D431" s="1508" t="e">
        <v>#N/A</v>
      </c>
      <c r="E431" s="1508" t="e">
        <v>#N/A</v>
      </c>
      <c r="F431" s="1508" t="e">
        <f t="shared" si="1"/>
        <v>#N/A</v>
      </c>
      <c r="K431" s="1623">
        <v>42488</v>
      </c>
      <c r="L431" s="1624" t="s">
        <v>2302</v>
      </c>
      <c r="M431" s="1625">
        <v>5.2531000000000001E-2</v>
      </c>
      <c r="N431" s="1626">
        <v>1.1607938072512649</v>
      </c>
      <c r="O431" s="1626">
        <v>1.1607938072512649</v>
      </c>
    </row>
    <row r="432" spans="2:15">
      <c r="B432" s="1507">
        <v>45566</v>
      </c>
      <c r="C432" s="1508" t="e">
        <v>#N/A</v>
      </c>
      <c r="D432" s="1508" t="e">
        <v>#N/A</v>
      </c>
      <c r="E432" s="1508" t="e">
        <v>#N/A</v>
      </c>
      <c r="F432" s="1508" t="e">
        <f t="shared" si="1"/>
        <v>#N/A</v>
      </c>
      <c r="K432" s="1623">
        <v>42489</v>
      </c>
      <c r="L432" s="1624" t="s">
        <v>2302</v>
      </c>
      <c r="M432" s="1625">
        <v>5.2531000000000001E-2</v>
      </c>
      <c r="N432" s="1626">
        <v>1.1614035838461521</v>
      </c>
      <c r="O432" s="1626">
        <v>1.1614035838461521</v>
      </c>
    </row>
    <row r="433" spans="2:15">
      <c r="B433" s="1507">
        <v>45597</v>
      </c>
      <c r="C433" s="1508" t="e">
        <v>#N/A</v>
      </c>
      <c r="D433" s="1508" t="e">
        <v>#N/A</v>
      </c>
      <c r="E433" s="1508" t="e">
        <v>#N/A</v>
      </c>
      <c r="F433" s="1508" t="e">
        <f t="shared" si="1"/>
        <v>#N/A</v>
      </c>
      <c r="K433" s="1623">
        <v>42490</v>
      </c>
      <c r="L433" s="1624"/>
      <c r="M433" s="1625">
        <v>0</v>
      </c>
      <c r="N433" s="1626">
        <v>1.1614035838461521</v>
      </c>
      <c r="O433" s="1626">
        <v>1.1614035838461521</v>
      </c>
    </row>
    <row r="434" spans="2:15">
      <c r="B434" s="1507">
        <v>45627</v>
      </c>
      <c r="C434" s="1508" t="e">
        <v>#N/A</v>
      </c>
      <c r="D434" s="1508" t="e">
        <v>#N/A</v>
      </c>
      <c r="E434" s="1508" t="e">
        <v>#N/A</v>
      </c>
      <c r="F434" s="1508" t="e">
        <f t="shared" si="1"/>
        <v>#N/A</v>
      </c>
      <c r="K434" s="1623">
        <v>42491</v>
      </c>
      <c r="L434" s="1624"/>
      <c r="M434" s="1625">
        <v>0</v>
      </c>
      <c r="N434" s="1626">
        <v>1.1614035838461521</v>
      </c>
      <c r="O434" s="1626">
        <v>1.1614035838461521</v>
      </c>
    </row>
    <row r="435" spans="2:15">
      <c r="B435" s="1507">
        <v>45658</v>
      </c>
      <c r="C435" s="1508" t="e">
        <v>#N/A</v>
      </c>
      <c r="D435" s="1508" t="e">
        <v>#N/A</v>
      </c>
      <c r="E435" s="1508" t="e">
        <v>#N/A</v>
      </c>
      <c r="F435" s="1508" t="e">
        <f t="shared" si="1"/>
        <v>#N/A</v>
      </c>
      <c r="K435" s="1623">
        <v>42492</v>
      </c>
      <c r="L435" s="1624" t="s">
        <v>2302</v>
      </c>
      <c r="M435" s="1625">
        <v>5.2531000000000001E-2</v>
      </c>
      <c r="N435" s="1626">
        <v>1.1620136807627823</v>
      </c>
      <c r="O435" s="1626">
        <v>1.1620136807627823</v>
      </c>
    </row>
    <row r="436" spans="2:15">
      <c r="B436" s="1507">
        <v>45689</v>
      </c>
      <c r="C436" s="1508" t="e">
        <v>#N/A</v>
      </c>
      <c r="D436" s="1508" t="e">
        <v>#N/A</v>
      </c>
      <c r="E436" s="1508" t="e">
        <v>#N/A</v>
      </c>
      <c r="F436" s="1508" t="e">
        <f t="shared" si="1"/>
        <v>#N/A</v>
      </c>
      <c r="K436" s="1623">
        <v>42493</v>
      </c>
      <c r="L436" s="1624" t="s">
        <v>2302</v>
      </c>
      <c r="M436" s="1625">
        <v>5.2531000000000001E-2</v>
      </c>
      <c r="N436" s="1626">
        <v>1.1626240981694238</v>
      </c>
      <c r="O436" s="1626">
        <v>1.1626240981694238</v>
      </c>
    </row>
    <row r="437" spans="2:15">
      <c r="B437" s="1507">
        <v>45717</v>
      </c>
      <c r="C437" s="1508" t="e">
        <v>#N/A</v>
      </c>
      <c r="D437" s="1508" t="e">
        <v>#N/A</v>
      </c>
      <c r="E437" s="1508" t="e">
        <v>#N/A</v>
      </c>
      <c r="F437" s="1508" t="e">
        <f t="shared" si="1"/>
        <v>#N/A</v>
      </c>
      <c r="K437" s="1623">
        <v>42494</v>
      </c>
      <c r="L437" s="1624" t="s">
        <v>2302</v>
      </c>
      <c r="M437" s="1625">
        <v>5.2531000000000001E-2</v>
      </c>
      <c r="N437" s="1626">
        <v>1.1632348362344331</v>
      </c>
      <c r="O437" s="1626">
        <v>1.1632348362344331</v>
      </c>
    </row>
    <row r="438" spans="2:15">
      <c r="B438" s="1507">
        <v>45748</v>
      </c>
      <c r="C438" s="1508" t="e">
        <v>#N/A</v>
      </c>
      <c r="D438" s="1508" t="e">
        <v>#N/A</v>
      </c>
      <c r="E438" s="1508" t="e">
        <v>#N/A</v>
      </c>
      <c r="F438" s="1508" t="e">
        <f t="shared" si="1"/>
        <v>#N/A</v>
      </c>
      <c r="K438" s="1623">
        <v>42495</v>
      </c>
      <c r="L438" s="1624" t="s">
        <v>2302</v>
      </c>
      <c r="M438" s="1625">
        <v>5.2531000000000001E-2</v>
      </c>
      <c r="N438" s="1626">
        <v>1.1638458951262554</v>
      </c>
      <c r="O438" s="1626">
        <v>1.1638458951262554</v>
      </c>
    </row>
    <row r="439" spans="2:15">
      <c r="B439" s="1507">
        <v>45778</v>
      </c>
      <c r="C439" s="1508" t="e">
        <v>#N/A</v>
      </c>
      <c r="D439" s="1508" t="e">
        <v>#N/A</v>
      </c>
      <c r="E439" s="1508" t="e">
        <v>#N/A</v>
      </c>
      <c r="F439" s="1508" t="e">
        <f t="shared" si="1"/>
        <v>#N/A</v>
      </c>
      <c r="K439" s="1623">
        <v>42496</v>
      </c>
      <c r="L439" s="1624" t="s">
        <v>2302</v>
      </c>
      <c r="M439" s="1625">
        <v>5.2531000000000001E-2</v>
      </c>
      <c r="N439" s="1626">
        <v>1.1644572750134241</v>
      </c>
      <c r="O439" s="1626">
        <v>1.1644572750134241</v>
      </c>
    </row>
    <row r="440" spans="2:15">
      <c r="B440" s="1507">
        <v>45809</v>
      </c>
      <c r="C440" s="1508" t="e">
        <v>#N/A</v>
      </c>
      <c r="D440" s="1508" t="e">
        <v>#N/A</v>
      </c>
      <c r="E440" s="1508" t="e">
        <v>#N/A</v>
      </c>
      <c r="F440" s="1508" t="e">
        <f t="shared" si="1"/>
        <v>#N/A</v>
      </c>
      <c r="K440" s="1623">
        <v>42497</v>
      </c>
      <c r="L440" s="1624"/>
      <c r="M440" s="1625">
        <v>0</v>
      </c>
      <c r="N440" s="1626">
        <v>1.1644572750134241</v>
      </c>
      <c r="O440" s="1626">
        <v>1.1644572750134241</v>
      </c>
    </row>
    <row r="441" spans="2:15">
      <c r="B441" s="1507">
        <v>45839</v>
      </c>
      <c r="C441" s="1508" t="e">
        <v>#N/A</v>
      </c>
      <c r="D441" s="1508" t="e">
        <v>#N/A</v>
      </c>
      <c r="E441" s="1508" t="e">
        <v>#N/A</v>
      </c>
      <c r="F441" s="1508" t="e">
        <f t="shared" si="1"/>
        <v>#N/A</v>
      </c>
      <c r="K441" s="1623">
        <v>42498</v>
      </c>
      <c r="L441" s="1624"/>
      <c r="M441" s="1625">
        <v>0</v>
      </c>
      <c r="N441" s="1626">
        <v>1.1644572750134241</v>
      </c>
      <c r="O441" s="1626">
        <v>1.1644572750134241</v>
      </c>
    </row>
    <row r="442" spans="2:15">
      <c r="B442" s="1507">
        <v>45870</v>
      </c>
      <c r="C442" s="1508" t="e">
        <v>#N/A</v>
      </c>
      <c r="D442" s="1508" t="e">
        <v>#N/A</v>
      </c>
      <c r="E442" s="1508" t="e">
        <v>#N/A</v>
      </c>
      <c r="F442" s="1508" t="e">
        <f t="shared" si="1"/>
        <v>#N/A</v>
      </c>
      <c r="K442" s="1623">
        <v>42499</v>
      </c>
      <c r="L442" s="1624" t="s">
        <v>2302</v>
      </c>
      <c r="M442" s="1625">
        <v>5.2531000000000001E-2</v>
      </c>
      <c r="N442" s="1626">
        <v>1.1650689760645614</v>
      </c>
      <c r="O442" s="1626">
        <v>1.1650689760645614</v>
      </c>
    </row>
    <row r="443" spans="2:15">
      <c r="B443" s="1507">
        <v>45901</v>
      </c>
      <c r="C443" s="1508" t="e">
        <v>#N/A</v>
      </c>
      <c r="D443" s="1508" t="e">
        <v>#N/A</v>
      </c>
      <c r="E443" s="1508" t="e">
        <v>#N/A</v>
      </c>
      <c r="F443" s="1508" t="e">
        <f t="shared" si="1"/>
        <v>#N/A</v>
      </c>
      <c r="K443" s="1623">
        <v>42500</v>
      </c>
      <c r="L443" s="1624" t="s">
        <v>2302</v>
      </c>
      <c r="M443" s="1625">
        <v>5.2531000000000001E-2</v>
      </c>
      <c r="N443" s="1626">
        <v>1.1656809984483778</v>
      </c>
      <c r="O443" s="1626">
        <v>1.1656809984483778</v>
      </c>
    </row>
    <row r="444" spans="2:15">
      <c r="B444" s="1507">
        <v>45931</v>
      </c>
      <c r="C444" s="1508" t="e">
        <v>#N/A</v>
      </c>
      <c r="D444" s="1508" t="e">
        <v>#N/A</v>
      </c>
      <c r="E444" s="1508" t="e">
        <v>#N/A</v>
      </c>
      <c r="F444" s="1508" t="e">
        <f t="shared" si="1"/>
        <v>#N/A</v>
      </c>
      <c r="K444" s="1623">
        <v>42501</v>
      </c>
      <c r="L444" s="1624" t="s">
        <v>2302</v>
      </c>
      <c r="M444" s="1625">
        <v>5.2531000000000001E-2</v>
      </c>
      <c r="N444" s="1626">
        <v>1.1662933423336728</v>
      </c>
      <c r="O444" s="1626">
        <v>1.1662933423336728</v>
      </c>
    </row>
    <row r="445" spans="2:15">
      <c r="B445" s="1507">
        <v>45962</v>
      </c>
      <c r="C445" s="1508" t="e">
        <v>#N/A</v>
      </c>
      <c r="D445" s="1508" t="e">
        <v>#N/A</v>
      </c>
      <c r="E445" s="1508" t="e">
        <v>#N/A</v>
      </c>
      <c r="F445" s="1508" t="e">
        <f t="shared" si="1"/>
        <v>#N/A</v>
      </c>
      <c r="K445" s="1623">
        <v>42502</v>
      </c>
      <c r="L445" s="1624" t="s">
        <v>2302</v>
      </c>
      <c r="M445" s="1625">
        <v>5.2531000000000001E-2</v>
      </c>
      <c r="N445" s="1626">
        <v>1.1669060078893341</v>
      </c>
      <c r="O445" s="1626">
        <v>1.1669060078893341</v>
      </c>
    </row>
    <row r="446" spans="2:15">
      <c r="B446" s="1507">
        <v>45992</v>
      </c>
      <c r="C446" s="1508" t="e">
        <v>#N/A</v>
      </c>
      <c r="D446" s="1508" t="e">
        <v>#N/A</v>
      </c>
      <c r="E446" s="1508" t="e">
        <v>#N/A</v>
      </c>
      <c r="F446" s="1508" t="e">
        <f t="shared" si="1"/>
        <v>#N/A</v>
      </c>
      <c r="K446" s="1623">
        <v>42503</v>
      </c>
      <c r="L446" s="1624" t="s">
        <v>2302</v>
      </c>
      <c r="M446" s="1625">
        <v>5.2531000000000001E-2</v>
      </c>
      <c r="N446" s="1626">
        <v>1.1675189952843383</v>
      </c>
      <c r="O446" s="1626">
        <v>1.1675189952843383</v>
      </c>
    </row>
    <row r="447" spans="2:15">
      <c r="B447" s="1507">
        <v>46023</v>
      </c>
      <c r="C447" s="1508" t="e">
        <v>#N/A</v>
      </c>
      <c r="D447" s="1508" t="e">
        <v>#N/A</v>
      </c>
      <c r="E447" s="1508" t="e">
        <v>#N/A</v>
      </c>
      <c r="F447" s="1508" t="e">
        <f t="shared" si="1"/>
        <v>#N/A</v>
      </c>
      <c r="K447" s="1623">
        <v>42504</v>
      </c>
      <c r="L447" s="1624"/>
      <c r="M447" s="1625">
        <v>0</v>
      </c>
      <c r="N447" s="1626">
        <v>1.1675189952843383</v>
      </c>
      <c r="O447" s="1626">
        <v>1.1675189952843383</v>
      </c>
    </row>
    <row r="448" spans="2:15">
      <c r="B448" s="1507">
        <v>46054</v>
      </c>
      <c r="C448" s="1508" t="e">
        <v>#N/A</v>
      </c>
      <c r="D448" s="1508" t="e">
        <v>#N/A</v>
      </c>
      <c r="E448" s="1508" t="e">
        <v>#N/A</v>
      </c>
      <c r="F448" s="1508" t="e">
        <f t="shared" si="1"/>
        <v>#N/A</v>
      </c>
      <c r="K448" s="1623">
        <v>42505</v>
      </c>
      <c r="L448" s="1624"/>
      <c r="M448" s="1625">
        <v>0</v>
      </c>
      <c r="N448" s="1626">
        <v>1.1675189952843383</v>
      </c>
      <c r="O448" s="1626">
        <v>1.1675189952843383</v>
      </c>
    </row>
    <row r="449" spans="2:15">
      <c r="B449" s="1507">
        <v>46082</v>
      </c>
      <c r="C449" s="1508" t="e">
        <v>#N/A</v>
      </c>
      <c r="D449" s="1508" t="e">
        <v>#N/A</v>
      </c>
      <c r="E449" s="1508" t="e">
        <v>#N/A</v>
      </c>
      <c r="F449" s="1508" t="e">
        <f t="shared" si="1"/>
        <v>#N/A</v>
      </c>
      <c r="K449" s="1623">
        <v>42506</v>
      </c>
      <c r="L449" s="1624" t="s">
        <v>2302</v>
      </c>
      <c r="M449" s="1625">
        <v>5.2531000000000001E-2</v>
      </c>
      <c r="N449" s="1626">
        <v>1.1681323046877512</v>
      </c>
      <c r="O449" s="1626">
        <v>1.1681323046877512</v>
      </c>
    </row>
    <row r="450" spans="2:15">
      <c r="B450" s="1507">
        <v>46113</v>
      </c>
      <c r="C450" s="1508" t="e">
        <v>#N/A</v>
      </c>
      <c r="D450" s="1508" t="e">
        <v>#N/A</v>
      </c>
      <c r="E450" s="1508" t="e">
        <v>#N/A</v>
      </c>
      <c r="F450" s="1508" t="e">
        <f t="shared" si="1"/>
        <v>#N/A</v>
      </c>
      <c r="K450" s="1623">
        <v>42507</v>
      </c>
      <c r="L450" s="1624" t="s">
        <v>2302</v>
      </c>
      <c r="M450" s="1625">
        <v>5.2531000000000001E-2</v>
      </c>
      <c r="N450" s="1626">
        <v>1.1687459362687267</v>
      </c>
      <c r="O450" s="1626">
        <v>1.1687459362687267</v>
      </c>
    </row>
    <row r="451" spans="2:15">
      <c r="B451" s="1507">
        <v>46143</v>
      </c>
      <c r="C451" s="1508" t="e">
        <v>#N/A</v>
      </c>
      <c r="D451" s="1508" t="e">
        <v>#N/A</v>
      </c>
      <c r="E451" s="1508" t="e">
        <v>#N/A</v>
      </c>
      <c r="F451" s="1508" t="e">
        <f t="shared" si="1"/>
        <v>#N/A</v>
      </c>
      <c r="K451" s="1623">
        <v>42508</v>
      </c>
      <c r="L451" s="1624" t="s">
        <v>2302</v>
      </c>
      <c r="M451" s="1625">
        <v>5.2531000000000001E-2</v>
      </c>
      <c r="N451" s="1626">
        <v>1.1693598901965081</v>
      </c>
      <c r="O451" s="1626">
        <v>1.1693598901965081</v>
      </c>
    </row>
    <row r="452" spans="2:15">
      <c r="B452" s="1507">
        <v>46174</v>
      </c>
      <c r="C452" s="1508" t="e">
        <v>#N/A</v>
      </c>
      <c r="D452" s="1508" t="e">
        <v>#N/A</v>
      </c>
      <c r="E452" s="1508" t="e">
        <v>#N/A</v>
      </c>
      <c r="F452" s="1508" t="e">
        <f t="shared" si="1"/>
        <v>#N/A</v>
      </c>
      <c r="K452" s="1623">
        <v>42509</v>
      </c>
      <c r="L452" s="1624" t="s">
        <v>2302</v>
      </c>
      <c r="M452" s="1625">
        <v>5.2531000000000001E-2</v>
      </c>
      <c r="N452" s="1626">
        <v>1.1699741666404273</v>
      </c>
      <c r="O452" s="1626">
        <v>1.1699741666404273</v>
      </c>
    </row>
    <row r="453" spans="2:15">
      <c r="B453" s="1507">
        <v>46204</v>
      </c>
      <c r="C453" s="1508" t="e">
        <v>#N/A</v>
      </c>
      <c r="D453" s="1508" t="e">
        <v>#N/A</v>
      </c>
      <c r="E453" s="1508" t="e">
        <v>#N/A</v>
      </c>
      <c r="F453" s="1508" t="e">
        <f t="shared" si="1"/>
        <v>#N/A</v>
      </c>
      <c r="K453" s="1623">
        <v>42510</v>
      </c>
      <c r="L453" s="1624" t="s">
        <v>2302</v>
      </c>
      <c r="M453" s="1625">
        <v>5.2531000000000001E-2</v>
      </c>
      <c r="N453" s="1626">
        <v>1.1705887657699052</v>
      </c>
      <c r="O453" s="1626">
        <v>1.1705887657699052</v>
      </c>
    </row>
    <row r="454" spans="2:15">
      <c r="B454" s="1507">
        <v>46235</v>
      </c>
      <c r="C454" s="1508" t="e">
        <v>#N/A</v>
      </c>
      <c r="D454" s="1508" t="e">
        <v>#N/A</v>
      </c>
      <c r="E454" s="1508" t="e">
        <v>#N/A</v>
      </c>
      <c r="F454" s="1508" t="e">
        <f t="shared" si="1"/>
        <v>#N/A</v>
      </c>
      <c r="K454" s="1623">
        <v>42511</v>
      </c>
      <c r="L454" s="1624"/>
      <c r="M454" s="1625">
        <v>0</v>
      </c>
      <c r="N454" s="1626">
        <v>1.1705887657699052</v>
      </c>
      <c r="O454" s="1626">
        <v>1.1705887657699052</v>
      </c>
    </row>
    <row r="455" spans="2:15">
      <c r="B455" s="1507">
        <v>46266</v>
      </c>
      <c r="C455" s="1508" t="e">
        <v>#N/A</v>
      </c>
      <c r="D455" s="1508" t="e">
        <v>#N/A</v>
      </c>
      <c r="E455" s="1508" t="e">
        <v>#N/A</v>
      </c>
      <c r="F455" s="1508" t="e">
        <f t="shared" si="1"/>
        <v>#N/A</v>
      </c>
      <c r="K455" s="1623">
        <v>42512</v>
      </c>
      <c r="L455" s="1624"/>
      <c r="M455" s="1625">
        <v>0</v>
      </c>
      <c r="N455" s="1626">
        <v>1.1705887657699052</v>
      </c>
      <c r="O455" s="1626">
        <v>1.1705887657699052</v>
      </c>
    </row>
    <row r="456" spans="2:15">
      <c r="B456" s="1507">
        <v>46296</v>
      </c>
      <c r="C456" s="1508" t="e">
        <v>#N/A</v>
      </c>
      <c r="D456" s="1508" t="e">
        <v>#N/A</v>
      </c>
      <c r="E456" s="1508" t="e">
        <v>#N/A</v>
      </c>
      <c r="F456" s="1508" t="e">
        <f t="shared" si="1"/>
        <v>#N/A</v>
      </c>
      <c r="K456" s="1623">
        <v>42513</v>
      </c>
      <c r="L456" s="1624" t="s">
        <v>2302</v>
      </c>
      <c r="M456" s="1625">
        <v>5.2531000000000001E-2</v>
      </c>
      <c r="N456" s="1626">
        <v>1.1712036877544518</v>
      </c>
      <c r="O456" s="1626">
        <v>1.1712036877544518</v>
      </c>
    </row>
    <row r="457" spans="2:15">
      <c r="B457" s="1507">
        <v>46327</v>
      </c>
      <c r="C457" s="1508" t="e">
        <v>#N/A</v>
      </c>
      <c r="D457" s="1508" t="e">
        <v>#N/A</v>
      </c>
      <c r="E457" s="1508" t="e">
        <v>#N/A</v>
      </c>
      <c r="F457" s="1508" t="e">
        <f t="shared" si="1"/>
        <v>#N/A</v>
      </c>
      <c r="K457" s="1623">
        <v>42514</v>
      </c>
      <c r="L457" s="1624" t="s">
        <v>2302</v>
      </c>
      <c r="M457" s="1625">
        <v>5.2531000000000001E-2</v>
      </c>
      <c r="N457" s="1626">
        <v>1.1718189327636661</v>
      </c>
      <c r="O457" s="1626">
        <v>1.1718189327636661</v>
      </c>
    </row>
    <row r="458" spans="2:15">
      <c r="B458" s="1507">
        <v>46357</v>
      </c>
      <c r="C458" s="1508" t="e">
        <v>#N/A</v>
      </c>
      <c r="D458" s="1508" t="e">
        <v>#N/A</v>
      </c>
      <c r="E458" s="1508" t="e">
        <v>#N/A</v>
      </c>
      <c r="F458" s="1508" t="e">
        <f t="shared" si="1"/>
        <v>#N/A</v>
      </c>
      <c r="K458" s="1623">
        <v>42515</v>
      </c>
      <c r="L458" s="1624" t="s">
        <v>2302</v>
      </c>
      <c r="M458" s="1625">
        <v>5.2531000000000001E-2</v>
      </c>
      <c r="N458" s="1626">
        <v>1.1724345009672361</v>
      </c>
      <c r="O458" s="1626">
        <v>1.1724345009672361</v>
      </c>
    </row>
    <row r="459" spans="2:15">
      <c r="B459" s="1507">
        <v>46388</v>
      </c>
      <c r="C459" s="1508" t="e">
        <v>#N/A</v>
      </c>
      <c r="D459" s="1508" t="e">
        <v>#N/A</v>
      </c>
      <c r="E459" s="1508" t="e">
        <v>#N/A</v>
      </c>
      <c r="F459" s="1508" t="e">
        <f t="shared" si="1"/>
        <v>#N/A</v>
      </c>
      <c r="K459" s="1623">
        <v>42516</v>
      </c>
      <c r="L459" s="1624"/>
      <c r="M459" s="1625">
        <v>0</v>
      </c>
      <c r="N459" s="1626">
        <v>1.1724345009672361</v>
      </c>
      <c r="O459" s="1626">
        <v>1.1724345009672361</v>
      </c>
    </row>
    <row r="460" spans="2:15">
      <c r="B460" s="1507">
        <v>46419</v>
      </c>
      <c r="C460" s="1508" t="e">
        <v>#N/A</v>
      </c>
      <c r="D460" s="1508" t="e">
        <v>#N/A</v>
      </c>
      <c r="E460" s="1508" t="e">
        <v>#N/A</v>
      </c>
      <c r="F460" s="1508" t="e">
        <f t="shared" si="1"/>
        <v>#N/A</v>
      </c>
      <c r="K460" s="1623">
        <v>42517</v>
      </c>
      <c r="L460" s="1624" t="s">
        <v>2302</v>
      </c>
      <c r="M460" s="1625">
        <v>5.2531000000000001E-2</v>
      </c>
      <c r="N460" s="1626">
        <v>1.1730503925349391</v>
      </c>
      <c r="O460" s="1626">
        <v>1.1730503925349391</v>
      </c>
    </row>
    <row r="461" spans="2:15">
      <c r="B461" s="1507">
        <v>46447</v>
      </c>
      <c r="C461" s="1508" t="e">
        <v>#N/A</v>
      </c>
      <c r="D461" s="1508" t="e">
        <v>#N/A</v>
      </c>
      <c r="E461" s="1508" t="e">
        <v>#N/A</v>
      </c>
      <c r="F461" s="1508" t="e">
        <f t="shared" si="1"/>
        <v>#N/A</v>
      </c>
      <c r="K461" s="1623">
        <v>42518</v>
      </c>
      <c r="L461" s="1624"/>
      <c r="M461" s="1625">
        <v>0</v>
      </c>
      <c r="N461" s="1626">
        <v>1.1730503925349391</v>
      </c>
      <c r="O461" s="1626">
        <v>1.1730503925349391</v>
      </c>
    </row>
    <row r="462" spans="2:15">
      <c r="B462" s="1507">
        <v>46478</v>
      </c>
      <c r="C462" s="1508" t="e">
        <v>#N/A</v>
      </c>
      <c r="D462" s="1508" t="e">
        <v>#N/A</v>
      </c>
      <c r="E462" s="1508" t="e">
        <v>#N/A</v>
      </c>
      <c r="F462" s="1508" t="e">
        <f t="shared" si="1"/>
        <v>#N/A</v>
      </c>
      <c r="K462" s="1623">
        <v>42519</v>
      </c>
      <c r="L462" s="1624"/>
      <c r="M462" s="1625">
        <v>0</v>
      </c>
      <c r="N462" s="1626">
        <v>1.1730503925349391</v>
      </c>
      <c r="O462" s="1626">
        <v>1.1730503925349391</v>
      </c>
    </row>
    <row r="463" spans="2:15">
      <c r="B463" s="1507">
        <v>46508</v>
      </c>
      <c r="C463" s="1508" t="e">
        <v>#N/A</v>
      </c>
      <c r="D463" s="1508" t="e">
        <v>#N/A</v>
      </c>
      <c r="E463" s="1508" t="e">
        <v>#N/A</v>
      </c>
      <c r="F463" s="1508" t="e">
        <f t="shared" si="1"/>
        <v>#N/A</v>
      </c>
      <c r="K463" s="1623">
        <v>42520</v>
      </c>
      <c r="L463" s="1624" t="s">
        <v>2302</v>
      </c>
      <c r="M463" s="1625">
        <v>5.2531000000000001E-2</v>
      </c>
      <c r="N463" s="1626">
        <v>1.1736666076366418</v>
      </c>
      <c r="O463" s="1626">
        <v>1.1736666076366418</v>
      </c>
    </row>
    <row r="464" spans="2:15">
      <c r="B464" s="1507">
        <v>46539</v>
      </c>
      <c r="C464" s="1508" t="e">
        <v>#N/A</v>
      </c>
      <c r="D464" s="1508" t="e">
        <v>#N/A</v>
      </c>
      <c r="E464" s="1508" t="e">
        <v>#N/A</v>
      </c>
      <c r="F464" s="1508" t="e">
        <f t="shared" si="1"/>
        <v>#N/A</v>
      </c>
      <c r="K464" s="1623">
        <v>42521</v>
      </c>
      <c r="L464" s="1624" t="s">
        <v>2302</v>
      </c>
      <c r="M464" s="1625">
        <v>5.2531000000000001E-2</v>
      </c>
      <c r="N464" s="1626">
        <v>1.1742831464422994</v>
      </c>
      <c r="O464" s="1626">
        <v>1.1742831464422994</v>
      </c>
    </row>
    <row r="465" spans="2:15">
      <c r="B465" s="1507">
        <v>46569</v>
      </c>
      <c r="C465" s="1508" t="e">
        <v>#N/A</v>
      </c>
      <c r="D465" s="1508" t="e">
        <v>#N/A</v>
      </c>
      <c r="E465" s="1508" t="e">
        <v>#N/A</v>
      </c>
      <c r="F465" s="1508" t="e">
        <f t="shared" si="1"/>
        <v>#N/A</v>
      </c>
      <c r="K465" s="1623">
        <v>42522</v>
      </c>
      <c r="L465" s="1624" t="s">
        <v>2302</v>
      </c>
      <c r="M465" s="1625">
        <v>5.2531000000000001E-2</v>
      </c>
      <c r="N465" s="1626">
        <v>1.174900009121957</v>
      </c>
      <c r="O465" s="1626">
        <v>1.174900009121957</v>
      </c>
    </row>
    <row r="466" spans="2:15">
      <c r="B466" s="1507">
        <v>46600</v>
      </c>
      <c r="C466" s="1508" t="e">
        <v>#N/A</v>
      </c>
      <c r="D466" s="1508" t="e">
        <v>#N/A</v>
      </c>
      <c r="E466" s="1508" t="e">
        <v>#N/A</v>
      </c>
      <c r="F466" s="1508" t="e">
        <f t="shared" si="1"/>
        <v>#N/A</v>
      </c>
      <c r="K466" s="1623">
        <v>42523</v>
      </c>
      <c r="L466" s="1624" t="s">
        <v>2302</v>
      </c>
      <c r="M466" s="1625">
        <v>5.2531000000000001E-2</v>
      </c>
      <c r="N466" s="1626">
        <v>1.1755171958457489</v>
      </c>
      <c r="O466" s="1626">
        <v>1.1755171958457489</v>
      </c>
    </row>
    <row r="467" spans="2:15">
      <c r="B467" s="1507">
        <v>46631</v>
      </c>
      <c r="C467" s="1508" t="e">
        <v>#N/A</v>
      </c>
      <c r="D467" s="1508" t="e">
        <v>#N/A</v>
      </c>
      <c r="E467" s="1508" t="e">
        <v>#N/A</v>
      </c>
      <c r="F467" s="1508" t="e">
        <f t="shared" si="1"/>
        <v>#N/A</v>
      </c>
      <c r="K467" s="1623">
        <v>42524</v>
      </c>
      <c r="L467" s="1624" t="s">
        <v>2302</v>
      </c>
      <c r="M467" s="1625">
        <v>5.2531000000000001E-2</v>
      </c>
      <c r="N467" s="1626">
        <v>1.1761347067838985</v>
      </c>
      <c r="O467" s="1626">
        <v>1.1761347067838985</v>
      </c>
    </row>
    <row r="468" spans="2:15">
      <c r="B468" s="1507">
        <v>46661</v>
      </c>
      <c r="C468" s="1508" t="e">
        <v>#N/A</v>
      </c>
      <c r="D468" s="1508" t="e">
        <v>#N/A</v>
      </c>
      <c r="E468" s="1508" t="e">
        <v>#N/A</v>
      </c>
      <c r="F468" s="1508" t="e">
        <f t="shared" si="1"/>
        <v>#N/A</v>
      </c>
      <c r="K468" s="1623">
        <v>42525</v>
      </c>
      <c r="L468" s="1624"/>
      <c r="M468" s="1625">
        <v>0</v>
      </c>
      <c r="N468" s="1626">
        <v>1.1761347067838985</v>
      </c>
      <c r="O468" s="1626">
        <v>1.1761347067838985</v>
      </c>
    </row>
    <row r="469" spans="2:15">
      <c r="B469" s="1507">
        <v>46692</v>
      </c>
      <c r="C469" s="1508" t="e">
        <v>#N/A</v>
      </c>
      <c r="D469" s="1508" t="e">
        <v>#N/A</v>
      </c>
      <c r="E469" s="1508" t="e">
        <v>#N/A</v>
      </c>
      <c r="F469" s="1508" t="e">
        <f t="shared" si="1"/>
        <v>#N/A</v>
      </c>
      <c r="K469" s="1623">
        <v>42526</v>
      </c>
      <c r="L469" s="1624"/>
      <c r="M469" s="1625">
        <v>0</v>
      </c>
      <c r="N469" s="1626">
        <v>1.1761347067838985</v>
      </c>
      <c r="O469" s="1626">
        <v>1.1761347067838985</v>
      </c>
    </row>
    <row r="470" spans="2:15">
      <c r="B470" s="1507">
        <v>46722</v>
      </c>
      <c r="C470" s="1508" t="e">
        <v>#N/A</v>
      </c>
      <c r="D470" s="1508" t="e">
        <v>#N/A</v>
      </c>
      <c r="E470" s="1508" t="e">
        <v>#N/A</v>
      </c>
      <c r="F470" s="1508" t="e">
        <f t="shared" si="1"/>
        <v>#N/A</v>
      </c>
      <c r="K470" s="1623">
        <v>42527</v>
      </c>
      <c r="L470" s="1624" t="s">
        <v>2302</v>
      </c>
      <c r="M470" s="1625">
        <v>5.2531000000000001E-2</v>
      </c>
      <c r="N470" s="1626">
        <v>1.1767525421067191</v>
      </c>
      <c r="O470" s="1626">
        <v>1.1767525421067191</v>
      </c>
    </row>
    <row r="471" spans="2:15">
      <c r="B471" s="1507">
        <v>46753</v>
      </c>
      <c r="C471" s="1508" t="e">
        <v>#N/A</v>
      </c>
      <c r="D471" s="1508" t="e">
        <v>#N/A</v>
      </c>
      <c r="E471" s="1508" t="e">
        <v>#N/A</v>
      </c>
      <c r="F471" s="1508" t="e">
        <f t="shared" si="1"/>
        <v>#N/A</v>
      </c>
      <c r="K471" s="1623">
        <v>42528</v>
      </c>
      <c r="L471" s="1624" t="s">
        <v>2302</v>
      </c>
      <c r="M471" s="1625">
        <v>5.2531000000000001E-2</v>
      </c>
      <c r="N471" s="1626">
        <v>1.1773707019846131</v>
      </c>
      <c r="O471" s="1626">
        <v>1.1773707019846131</v>
      </c>
    </row>
    <row r="472" spans="2:15">
      <c r="B472" s="1507">
        <v>46784</v>
      </c>
      <c r="C472" s="1508" t="e">
        <v>#N/A</v>
      </c>
      <c r="D472" s="1508" t="e">
        <v>#N/A</v>
      </c>
      <c r="E472" s="1508" t="e">
        <v>#N/A</v>
      </c>
      <c r="F472" s="1508" t="e">
        <f t="shared" si="1"/>
        <v>#N/A</v>
      </c>
      <c r="K472" s="1623">
        <v>42529</v>
      </c>
      <c r="L472" s="1624" t="s">
        <v>2302</v>
      </c>
      <c r="M472" s="1625">
        <v>5.2531000000000001E-2</v>
      </c>
      <c r="N472" s="1626">
        <v>1.1779891865880727</v>
      </c>
      <c r="O472" s="1626">
        <v>1.1779891865880727</v>
      </c>
    </row>
    <row r="473" spans="2:15">
      <c r="B473" s="1507">
        <v>46813</v>
      </c>
      <c r="C473" s="1508" t="e">
        <v>#N/A</v>
      </c>
      <c r="D473" s="1508" t="e">
        <v>#N/A</v>
      </c>
      <c r="E473" s="1508" t="e">
        <v>#N/A</v>
      </c>
      <c r="F473" s="1508" t="e">
        <f t="shared" si="1"/>
        <v>#N/A</v>
      </c>
      <c r="K473" s="1623">
        <v>42530</v>
      </c>
      <c r="L473" s="1624" t="s">
        <v>2302</v>
      </c>
      <c r="M473" s="1625">
        <v>5.2531000000000001E-2</v>
      </c>
      <c r="N473" s="1626">
        <v>1.1786079960876794</v>
      </c>
      <c r="O473" s="1626">
        <v>1.1786079960876794</v>
      </c>
    </row>
    <row r="474" spans="2:15">
      <c r="B474" s="1507">
        <v>46844</v>
      </c>
      <c r="C474" s="1508" t="e">
        <v>#N/A</v>
      </c>
      <c r="D474" s="1508" t="e">
        <v>#N/A</v>
      </c>
      <c r="E474" s="1508" t="e">
        <v>#N/A</v>
      </c>
      <c r="F474" s="1508" t="e">
        <f t="shared" si="1"/>
        <v>#N/A</v>
      </c>
      <c r="K474" s="1623">
        <v>42531</v>
      </c>
      <c r="L474" s="1624" t="s">
        <v>2302</v>
      </c>
      <c r="M474" s="1625">
        <v>5.2531000000000001E-2</v>
      </c>
      <c r="N474" s="1626">
        <v>1.1792271306541042</v>
      </c>
      <c r="O474" s="1626">
        <v>1.1792271306541042</v>
      </c>
    </row>
    <row r="475" spans="2:15">
      <c r="B475" s="1507">
        <v>46874</v>
      </c>
      <c r="C475" s="1508" t="e">
        <v>#N/A</v>
      </c>
      <c r="D475" s="1508" t="e">
        <v>#N/A</v>
      </c>
      <c r="E475" s="1508" t="e">
        <v>#N/A</v>
      </c>
      <c r="F475" s="1508" t="e">
        <f t="shared" si="1"/>
        <v>#N/A</v>
      </c>
      <c r="K475" s="1623">
        <v>42532</v>
      </c>
      <c r="L475" s="1624"/>
      <c r="M475" s="1625">
        <v>0</v>
      </c>
      <c r="N475" s="1626">
        <v>1.1792271306541042</v>
      </c>
      <c r="O475" s="1626">
        <v>1.1792271306541042</v>
      </c>
    </row>
    <row r="476" spans="2:15">
      <c r="B476" s="1507">
        <v>46905</v>
      </c>
      <c r="C476" s="1508" t="e">
        <v>#N/A</v>
      </c>
      <c r="D476" s="1508" t="e">
        <v>#N/A</v>
      </c>
      <c r="E476" s="1508" t="e">
        <v>#N/A</v>
      </c>
      <c r="F476" s="1508" t="e">
        <f t="shared" si="1"/>
        <v>#N/A</v>
      </c>
      <c r="K476" s="1623">
        <v>42533</v>
      </c>
      <c r="L476" s="1624"/>
      <c r="M476" s="1625">
        <v>0</v>
      </c>
      <c r="N476" s="1626">
        <v>1.1792271306541042</v>
      </c>
      <c r="O476" s="1626">
        <v>1.1792271306541042</v>
      </c>
    </row>
    <row r="477" spans="2:15">
      <c r="B477" s="1507">
        <v>46935</v>
      </c>
      <c r="C477" s="1508" t="e">
        <v>#N/A</v>
      </c>
      <c r="D477" s="1508" t="e">
        <v>#N/A</v>
      </c>
      <c r="E477" s="1508" t="e">
        <v>#N/A</v>
      </c>
      <c r="F477" s="1508" t="e">
        <f t="shared" si="1"/>
        <v>#N/A</v>
      </c>
      <c r="K477" s="1623">
        <v>42534</v>
      </c>
      <c r="L477" s="1624" t="s">
        <v>2302</v>
      </c>
      <c r="M477" s="1625">
        <v>5.2531000000000001E-2</v>
      </c>
      <c r="N477" s="1626">
        <v>1.1798465904581081</v>
      </c>
      <c r="O477" s="1626">
        <v>1.1798465904581081</v>
      </c>
    </row>
    <row r="478" spans="2:15">
      <c r="B478" s="1507">
        <v>46966</v>
      </c>
      <c r="C478" s="1508" t="e">
        <v>#N/A</v>
      </c>
      <c r="D478" s="1508" t="e">
        <v>#N/A</v>
      </c>
      <c r="E478" s="1508" t="e">
        <v>#N/A</v>
      </c>
      <c r="F478" s="1508" t="e">
        <f t="shared" si="1"/>
        <v>#N/A</v>
      </c>
      <c r="K478" s="1623">
        <v>42535</v>
      </c>
      <c r="L478" s="1624" t="s">
        <v>2302</v>
      </c>
      <c r="M478" s="1625">
        <v>5.2531000000000001E-2</v>
      </c>
      <c r="N478" s="1626">
        <v>1.1804663756705416</v>
      </c>
      <c r="O478" s="1626">
        <v>1.1804663756705416</v>
      </c>
    </row>
    <row r="479" spans="2:15">
      <c r="B479" s="1507">
        <v>46997</v>
      </c>
      <c r="C479" s="1508" t="e">
        <v>#N/A</v>
      </c>
      <c r="D479" s="1508" t="e">
        <v>#N/A</v>
      </c>
      <c r="E479" s="1508" t="e">
        <v>#N/A</v>
      </c>
      <c r="F479" s="1508" t="e">
        <f t="shared" si="1"/>
        <v>#N/A</v>
      </c>
      <c r="K479" s="1623">
        <v>42536</v>
      </c>
      <c r="L479" s="1624" t="s">
        <v>2302</v>
      </c>
      <c r="M479" s="1625">
        <v>5.2531000000000001E-2</v>
      </c>
      <c r="N479" s="1626">
        <v>1.1810864864623452</v>
      </c>
      <c r="O479" s="1626">
        <v>1.1810864864623452</v>
      </c>
    </row>
    <row r="480" spans="2:15">
      <c r="B480" s="1507">
        <v>47027</v>
      </c>
      <c r="C480" s="1508" t="e">
        <v>#N/A</v>
      </c>
      <c r="D480" s="1508" t="e">
        <v>#N/A</v>
      </c>
      <c r="E480" s="1508" t="e">
        <v>#N/A</v>
      </c>
      <c r="F480" s="1508" t="e">
        <f t="shared" si="1"/>
        <v>#N/A</v>
      </c>
      <c r="K480" s="1623">
        <v>42537</v>
      </c>
      <c r="L480" s="1624" t="s">
        <v>2302</v>
      </c>
      <c r="M480" s="1625">
        <v>5.2531000000000001E-2</v>
      </c>
      <c r="N480" s="1626">
        <v>1.1817069230045487</v>
      </c>
      <c r="O480" s="1626">
        <v>1.1817069230045487</v>
      </c>
    </row>
    <row r="481" spans="2:15">
      <c r="B481" s="1507">
        <v>47058</v>
      </c>
      <c r="C481" s="1508" t="e">
        <v>#N/A</v>
      </c>
      <c r="D481" s="1508" t="e">
        <v>#N/A</v>
      </c>
      <c r="E481" s="1508" t="e">
        <v>#N/A</v>
      </c>
      <c r="F481" s="1508" t="e">
        <f t="shared" si="1"/>
        <v>#N/A</v>
      </c>
      <c r="K481" s="1623">
        <v>42538</v>
      </c>
      <c r="L481" s="1624" t="s">
        <v>2302</v>
      </c>
      <c r="M481" s="1625">
        <v>5.2531000000000001E-2</v>
      </c>
      <c r="N481" s="1626">
        <v>1.1823276854682723</v>
      </c>
      <c r="O481" s="1626">
        <v>1.1823276854682723</v>
      </c>
    </row>
    <row r="482" spans="2:15">
      <c r="B482" s="1507">
        <v>47088</v>
      </c>
      <c r="C482" s="1508" t="e">
        <v>#N/A</v>
      </c>
      <c r="D482" s="1508" t="e">
        <v>#N/A</v>
      </c>
      <c r="E482" s="1508" t="e">
        <v>#N/A</v>
      </c>
      <c r="F482" s="1508" t="e">
        <f t="shared" si="1"/>
        <v>#N/A</v>
      </c>
      <c r="K482" s="1623">
        <v>42539</v>
      </c>
      <c r="L482" s="1624"/>
      <c r="M482" s="1625">
        <v>0</v>
      </c>
      <c r="N482" s="1626">
        <v>1.1823276854682723</v>
      </c>
      <c r="O482" s="1626">
        <v>1.1823276854682723</v>
      </c>
    </row>
    <row r="483" spans="2:15">
      <c r="B483" s="1507">
        <v>47119</v>
      </c>
      <c r="C483" s="1508" t="e">
        <v>#N/A</v>
      </c>
      <c r="D483" s="1508" t="e">
        <v>#N/A</v>
      </c>
      <c r="E483" s="1508" t="e">
        <v>#N/A</v>
      </c>
      <c r="F483" s="1508" t="e">
        <f t="shared" si="1"/>
        <v>#N/A</v>
      </c>
      <c r="K483" s="1623">
        <v>42540</v>
      </c>
      <c r="L483" s="1624"/>
      <c r="M483" s="1625">
        <v>0</v>
      </c>
      <c r="N483" s="1626">
        <v>1.1823276854682723</v>
      </c>
      <c r="O483" s="1626">
        <v>1.1823276854682723</v>
      </c>
    </row>
    <row r="484" spans="2:15">
      <c r="B484" s="1507">
        <v>47150</v>
      </c>
      <c r="C484" s="1508" t="e">
        <v>#N/A</v>
      </c>
      <c r="D484" s="1508" t="e">
        <v>#N/A</v>
      </c>
      <c r="E484" s="1508" t="e">
        <v>#N/A</v>
      </c>
      <c r="F484" s="1508" t="e">
        <f t="shared" ref="F484:F500" si="2">F483*E484</f>
        <v>#N/A</v>
      </c>
      <c r="K484" s="1623">
        <v>42541</v>
      </c>
      <c r="L484" s="1624" t="s">
        <v>2302</v>
      </c>
      <c r="M484" s="1625">
        <v>5.2531000000000001E-2</v>
      </c>
      <c r="N484" s="1626">
        <v>1.1829487740247255</v>
      </c>
      <c r="O484" s="1626">
        <v>1.1829487740247255</v>
      </c>
    </row>
    <row r="485" spans="2:15">
      <c r="B485" s="1507">
        <v>47178</v>
      </c>
      <c r="C485" s="1508" t="e">
        <v>#N/A</v>
      </c>
      <c r="D485" s="1508" t="e">
        <v>#N/A</v>
      </c>
      <c r="E485" s="1508" t="e">
        <v>#N/A</v>
      </c>
      <c r="F485" s="1508" t="e">
        <f t="shared" si="2"/>
        <v>#N/A</v>
      </c>
      <c r="K485" s="1623">
        <v>42542</v>
      </c>
      <c r="L485" s="1624" t="s">
        <v>2302</v>
      </c>
      <c r="M485" s="1625">
        <v>5.2531000000000001E-2</v>
      </c>
      <c r="N485" s="1626">
        <v>1.1835701888452084</v>
      </c>
      <c r="O485" s="1626">
        <v>1.1835701888452084</v>
      </c>
    </row>
    <row r="486" spans="2:15">
      <c r="B486" s="1507">
        <v>47209</v>
      </c>
      <c r="C486" s="1508" t="e">
        <v>#N/A</v>
      </c>
      <c r="D486" s="1508" t="e">
        <v>#N/A</v>
      </c>
      <c r="E486" s="1508" t="e">
        <v>#N/A</v>
      </c>
      <c r="F486" s="1508" t="e">
        <f t="shared" si="2"/>
        <v>#N/A</v>
      </c>
      <c r="K486" s="1623">
        <v>42543</v>
      </c>
      <c r="L486" s="1624" t="s">
        <v>2302</v>
      </c>
      <c r="M486" s="1625">
        <v>5.2531000000000001E-2</v>
      </c>
      <c r="N486" s="1626">
        <v>1.1841919301011106</v>
      </c>
      <c r="O486" s="1626">
        <v>1.1841919301011106</v>
      </c>
    </row>
    <row r="487" spans="2:15">
      <c r="B487" s="1507">
        <v>47239</v>
      </c>
      <c r="C487" s="1508" t="e">
        <v>#N/A</v>
      </c>
      <c r="D487" s="1508" t="e">
        <v>#N/A</v>
      </c>
      <c r="E487" s="1508" t="e">
        <v>#N/A</v>
      </c>
      <c r="F487" s="1508" t="e">
        <f t="shared" si="2"/>
        <v>#N/A</v>
      </c>
      <c r="K487" s="1623">
        <v>42544</v>
      </c>
      <c r="L487" s="1624" t="s">
        <v>2302</v>
      </c>
      <c r="M487" s="1625">
        <v>5.2531000000000001E-2</v>
      </c>
      <c r="N487" s="1626">
        <v>1.1848139979639121</v>
      </c>
      <c r="O487" s="1626">
        <v>1.1848139979639121</v>
      </c>
    </row>
    <row r="488" spans="2:15">
      <c r="B488" s="1507">
        <v>47270</v>
      </c>
      <c r="C488" s="1508" t="e">
        <v>#N/A</v>
      </c>
      <c r="D488" s="1508" t="e">
        <v>#N/A</v>
      </c>
      <c r="E488" s="1508" t="e">
        <v>#N/A</v>
      </c>
      <c r="F488" s="1508" t="e">
        <f t="shared" si="2"/>
        <v>#N/A</v>
      </c>
      <c r="K488" s="1623">
        <v>42545</v>
      </c>
      <c r="L488" s="1624" t="s">
        <v>2302</v>
      </c>
      <c r="M488" s="1625">
        <v>5.2531000000000001E-2</v>
      </c>
      <c r="N488" s="1626">
        <v>1.1854363926051825</v>
      </c>
      <c r="O488" s="1626">
        <v>1.1854363926051825</v>
      </c>
    </row>
    <row r="489" spans="2:15">
      <c r="B489" s="1507">
        <v>47300</v>
      </c>
      <c r="C489" s="1508" t="e">
        <v>#N/A</v>
      </c>
      <c r="D489" s="1508" t="e">
        <v>#N/A</v>
      </c>
      <c r="E489" s="1508" t="e">
        <v>#N/A</v>
      </c>
      <c r="F489" s="1508" t="e">
        <f t="shared" si="2"/>
        <v>#N/A</v>
      </c>
      <c r="K489" s="1623">
        <v>42546</v>
      </c>
      <c r="L489" s="1624"/>
      <c r="M489" s="1625">
        <v>0</v>
      </c>
      <c r="N489" s="1626">
        <v>1.1854363926051825</v>
      </c>
      <c r="O489" s="1626">
        <v>1.1854363926051825</v>
      </c>
    </row>
    <row r="490" spans="2:15">
      <c r="B490" s="1507">
        <v>47331</v>
      </c>
      <c r="C490" s="1508" t="e">
        <v>#N/A</v>
      </c>
      <c r="D490" s="1508" t="e">
        <v>#N/A</v>
      </c>
      <c r="E490" s="1508" t="e">
        <v>#N/A</v>
      </c>
      <c r="F490" s="1508" t="e">
        <f t="shared" si="2"/>
        <v>#N/A</v>
      </c>
      <c r="K490" s="1623">
        <v>42547</v>
      </c>
      <c r="L490" s="1624"/>
      <c r="M490" s="1625">
        <v>0</v>
      </c>
      <c r="N490" s="1626">
        <v>1.1854363926051825</v>
      </c>
      <c r="O490" s="1626">
        <v>1.1854363926051825</v>
      </c>
    </row>
    <row r="491" spans="2:15">
      <c r="B491" s="1507">
        <v>47362</v>
      </c>
      <c r="C491" s="1508" t="e">
        <v>#N/A</v>
      </c>
      <c r="D491" s="1508" t="e">
        <v>#N/A</v>
      </c>
      <c r="E491" s="1508" t="e">
        <v>#N/A</v>
      </c>
      <c r="F491" s="1508" t="e">
        <f t="shared" si="2"/>
        <v>#N/A</v>
      </c>
      <c r="K491" s="1623">
        <v>42548</v>
      </c>
      <c r="L491" s="1624" t="s">
        <v>2302</v>
      </c>
      <c r="M491" s="1625">
        <v>5.2531000000000001E-2</v>
      </c>
      <c r="N491" s="1626">
        <v>1.1860591141965819</v>
      </c>
      <c r="O491" s="1626">
        <v>1.1860591141965819</v>
      </c>
    </row>
    <row r="492" spans="2:15">
      <c r="B492" s="1507">
        <v>47392</v>
      </c>
      <c r="C492" s="1508" t="e">
        <v>#N/A</v>
      </c>
      <c r="D492" s="1508" t="e">
        <v>#N/A</v>
      </c>
      <c r="E492" s="1508" t="e">
        <v>#N/A</v>
      </c>
      <c r="F492" s="1508" t="e">
        <f t="shared" si="2"/>
        <v>#N/A</v>
      </c>
      <c r="K492" s="1623">
        <v>42549</v>
      </c>
      <c r="L492" s="1624" t="s">
        <v>2302</v>
      </c>
      <c r="M492" s="1625">
        <v>5.2531000000000001E-2</v>
      </c>
      <c r="N492" s="1626">
        <v>1.1866821629098605</v>
      </c>
      <c r="O492" s="1626">
        <v>1.1866821629098605</v>
      </c>
    </row>
    <row r="493" spans="2:15">
      <c r="B493" s="1507">
        <v>47423</v>
      </c>
      <c r="C493" s="1508" t="e">
        <v>#N/A</v>
      </c>
      <c r="D493" s="1508" t="e">
        <v>#N/A</v>
      </c>
      <c r="E493" s="1508" t="e">
        <v>#N/A</v>
      </c>
      <c r="F493" s="1508" t="e">
        <f t="shared" si="2"/>
        <v>#N/A</v>
      </c>
      <c r="K493" s="1623">
        <v>42550</v>
      </c>
      <c r="L493" s="1624" t="s">
        <v>2302</v>
      </c>
      <c r="M493" s="1625">
        <v>5.2531000000000001E-2</v>
      </c>
      <c r="N493" s="1626">
        <v>1.1873055389168587</v>
      </c>
      <c r="O493" s="1626">
        <v>1.1873055389168587</v>
      </c>
    </row>
    <row r="494" spans="2:15">
      <c r="B494" s="1507">
        <v>47453</v>
      </c>
      <c r="C494" s="1508" t="e">
        <v>#N/A</v>
      </c>
      <c r="D494" s="1508" t="e">
        <v>#N/A</v>
      </c>
      <c r="E494" s="1508" t="e">
        <v>#N/A</v>
      </c>
      <c r="F494" s="1508" t="e">
        <f t="shared" si="2"/>
        <v>#N/A</v>
      </c>
      <c r="K494" s="1623">
        <v>42551</v>
      </c>
      <c r="L494" s="1624" t="s">
        <v>2302</v>
      </c>
      <c r="M494" s="1625">
        <v>5.2531000000000001E-2</v>
      </c>
      <c r="N494" s="1626">
        <v>1.1879292423895071</v>
      </c>
      <c r="O494" s="1626">
        <v>1.1879292423895071</v>
      </c>
    </row>
    <row r="495" spans="2:15">
      <c r="B495" s="1507">
        <v>47484</v>
      </c>
      <c r="C495" s="1508" t="e">
        <v>#N/A</v>
      </c>
      <c r="D495" s="1508" t="e">
        <v>#N/A</v>
      </c>
      <c r="E495" s="1508" t="e">
        <v>#N/A</v>
      </c>
      <c r="F495" s="1508" t="e">
        <f t="shared" si="2"/>
        <v>#N/A</v>
      </c>
      <c r="K495" s="1623">
        <v>42552</v>
      </c>
      <c r="L495" s="1624" t="s">
        <v>2302</v>
      </c>
      <c r="M495" s="1625">
        <v>5.2531000000000001E-2</v>
      </c>
      <c r="N495" s="1626">
        <v>1.1885532734998268</v>
      </c>
      <c r="O495" s="1626">
        <v>1.1885532734998268</v>
      </c>
    </row>
    <row r="496" spans="2:15">
      <c r="B496" s="1507">
        <v>47515</v>
      </c>
      <c r="C496" s="1508" t="e">
        <v>#N/A</v>
      </c>
      <c r="D496" s="1508" t="e">
        <v>#N/A</v>
      </c>
      <c r="E496" s="1508" t="e">
        <v>#N/A</v>
      </c>
      <c r="F496" s="1508" t="e">
        <f t="shared" si="2"/>
        <v>#N/A</v>
      </c>
      <c r="K496" s="1623">
        <v>42553</v>
      </c>
      <c r="L496" s="1624"/>
      <c r="M496" s="1625">
        <v>0</v>
      </c>
      <c r="N496" s="1626">
        <v>1.1885532734998268</v>
      </c>
      <c r="O496" s="1626">
        <v>1.1885532734998268</v>
      </c>
    </row>
    <row r="497" spans="2:15">
      <c r="B497" s="1507">
        <v>47543</v>
      </c>
      <c r="C497" s="1508" t="e">
        <v>#N/A</v>
      </c>
      <c r="D497" s="1508" t="e">
        <v>#N/A</v>
      </c>
      <c r="E497" s="1508" t="e">
        <v>#N/A</v>
      </c>
      <c r="F497" s="1508" t="e">
        <f t="shared" si="2"/>
        <v>#N/A</v>
      </c>
      <c r="K497" s="1623">
        <v>42554</v>
      </c>
      <c r="L497" s="1624"/>
      <c r="M497" s="1625">
        <v>0</v>
      </c>
      <c r="N497" s="1626">
        <v>1.1885532734998268</v>
      </c>
      <c r="O497" s="1626">
        <v>1.1885532734998268</v>
      </c>
    </row>
    <row r="498" spans="2:15">
      <c r="B498" s="1507">
        <v>47574</v>
      </c>
      <c r="C498" s="1508" t="e">
        <v>#N/A</v>
      </c>
      <c r="D498" s="1508" t="e">
        <v>#N/A</v>
      </c>
      <c r="E498" s="1508" t="e">
        <v>#N/A</v>
      </c>
      <c r="F498" s="1508" t="e">
        <f t="shared" si="2"/>
        <v>#N/A</v>
      </c>
      <c r="K498" s="1623">
        <v>42555</v>
      </c>
      <c r="L498" s="1624" t="s">
        <v>2302</v>
      </c>
      <c r="M498" s="1625">
        <v>5.2531000000000001E-2</v>
      </c>
      <c r="N498" s="1626">
        <v>1.189177632419929</v>
      </c>
      <c r="O498" s="1626">
        <v>1.189177632419929</v>
      </c>
    </row>
    <row r="499" spans="2:15">
      <c r="B499" s="1507">
        <v>47604</v>
      </c>
      <c r="C499" s="1508" t="e">
        <v>#N/A</v>
      </c>
      <c r="D499" s="1508" t="e">
        <v>#N/A</v>
      </c>
      <c r="E499" s="1508" t="e">
        <v>#N/A</v>
      </c>
      <c r="F499" s="1508" t="e">
        <f t="shared" si="2"/>
        <v>#N/A</v>
      </c>
      <c r="K499" s="1623">
        <v>42556</v>
      </c>
      <c r="L499" s="1624" t="s">
        <v>2302</v>
      </c>
      <c r="M499" s="1625">
        <v>5.2531000000000001E-2</v>
      </c>
      <c r="N499" s="1626">
        <v>1.1898023193220155</v>
      </c>
      <c r="O499" s="1626">
        <v>1.1898023193220155</v>
      </c>
    </row>
    <row r="500" spans="2:15">
      <c r="B500" s="1507">
        <v>47635</v>
      </c>
      <c r="C500" s="1508" t="e">
        <v>#N/A</v>
      </c>
      <c r="D500" s="1508" t="e">
        <v>#N/A</v>
      </c>
      <c r="E500" s="1508" t="e">
        <v>#N/A</v>
      </c>
      <c r="F500" s="1508" t="e">
        <f t="shared" si="2"/>
        <v>#N/A</v>
      </c>
      <c r="K500" s="1623">
        <v>42557</v>
      </c>
      <c r="L500" s="1624" t="s">
        <v>2302</v>
      </c>
      <c r="M500" s="1625">
        <v>5.2531000000000001E-2</v>
      </c>
      <c r="N500" s="1626">
        <v>1.1904273343783787</v>
      </c>
      <c r="O500" s="1626">
        <v>1.1904273343783787</v>
      </c>
    </row>
    <row r="501" spans="2:15">
      <c r="K501" s="1623">
        <v>42558</v>
      </c>
      <c r="L501" s="1624" t="s">
        <v>2302</v>
      </c>
      <c r="M501" s="1625">
        <v>5.2531000000000001E-2</v>
      </c>
      <c r="N501" s="1626">
        <v>1.191052677761401</v>
      </c>
      <c r="O501" s="1626">
        <v>1.191052677761401</v>
      </c>
    </row>
    <row r="502" spans="2:15">
      <c r="K502" s="1623">
        <v>42559</v>
      </c>
      <c r="L502" s="1624" t="s">
        <v>2302</v>
      </c>
      <c r="M502" s="1625">
        <v>5.2531000000000001E-2</v>
      </c>
      <c r="N502" s="1626">
        <v>1.1916783496435559</v>
      </c>
      <c r="O502" s="1626">
        <v>1.1916783496435559</v>
      </c>
    </row>
    <row r="503" spans="2:15">
      <c r="K503" s="1623">
        <v>42560</v>
      </c>
      <c r="L503" s="1624"/>
      <c r="M503" s="1625">
        <v>0</v>
      </c>
      <c r="N503" s="1626">
        <v>1.1916783496435559</v>
      </c>
      <c r="O503" s="1626">
        <v>1.1916783496435559</v>
      </c>
    </row>
    <row r="504" spans="2:15">
      <c r="K504" s="1623">
        <v>42561</v>
      </c>
      <c r="L504" s="1624"/>
      <c r="M504" s="1625">
        <v>0</v>
      </c>
      <c r="N504" s="1626">
        <v>1.1916783496435559</v>
      </c>
      <c r="O504" s="1626">
        <v>1.1916783496435559</v>
      </c>
    </row>
    <row r="505" spans="2:15">
      <c r="K505" s="1623">
        <v>42562</v>
      </c>
      <c r="L505" s="1624" t="s">
        <v>2302</v>
      </c>
      <c r="M505" s="1625">
        <v>5.2531000000000001E-2</v>
      </c>
      <c r="N505" s="1626">
        <v>1.1923043501974071</v>
      </c>
      <c r="O505" s="1626">
        <v>1.1923043501974071</v>
      </c>
    </row>
    <row r="506" spans="2:15">
      <c r="K506" s="1623">
        <v>42563</v>
      </c>
      <c r="L506" s="1624" t="s">
        <v>2302</v>
      </c>
      <c r="M506" s="1625">
        <v>5.2531000000000001E-2</v>
      </c>
      <c r="N506" s="1626">
        <v>1.1929306795956094</v>
      </c>
      <c r="O506" s="1626">
        <v>1.1929306795956094</v>
      </c>
    </row>
    <row r="507" spans="2:15">
      <c r="K507" s="1623">
        <v>42564</v>
      </c>
      <c r="L507" s="1624" t="s">
        <v>2302</v>
      </c>
      <c r="M507" s="1625">
        <v>5.2531000000000001E-2</v>
      </c>
      <c r="N507" s="1626">
        <v>1.1935573380109077</v>
      </c>
      <c r="O507" s="1626">
        <v>1.1935573380109077</v>
      </c>
    </row>
    <row r="508" spans="2:15">
      <c r="K508" s="1623">
        <v>42565</v>
      </c>
      <c r="L508" s="1624" t="s">
        <v>2302</v>
      </c>
      <c r="M508" s="1625">
        <v>5.2531000000000001E-2</v>
      </c>
      <c r="N508" s="1626">
        <v>1.1941843256161382</v>
      </c>
      <c r="O508" s="1626">
        <v>1.1941843256161382</v>
      </c>
    </row>
    <row r="509" spans="2:15">
      <c r="K509" s="1623">
        <v>42566</v>
      </c>
      <c r="L509" s="1624" t="s">
        <v>2302</v>
      </c>
      <c r="M509" s="1625">
        <v>5.2531000000000001E-2</v>
      </c>
      <c r="N509" s="1626">
        <v>1.1948116425842277</v>
      </c>
      <c r="O509" s="1626">
        <v>1.1948116425842277</v>
      </c>
    </row>
    <row r="510" spans="2:15">
      <c r="K510" s="1623">
        <v>42567</v>
      </c>
      <c r="L510" s="1624"/>
      <c r="M510" s="1625">
        <v>0</v>
      </c>
      <c r="N510" s="1626">
        <v>1.1948116425842277</v>
      </c>
      <c r="O510" s="1626">
        <v>1.1948116425842277</v>
      </c>
    </row>
    <row r="511" spans="2:15">
      <c r="K511" s="1623">
        <v>42568</v>
      </c>
      <c r="L511" s="1624"/>
      <c r="M511" s="1625">
        <v>0</v>
      </c>
      <c r="N511" s="1626">
        <v>1.1948116425842277</v>
      </c>
      <c r="O511" s="1626">
        <v>1.1948116425842277</v>
      </c>
    </row>
    <row r="512" spans="2:15">
      <c r="K512" s="1623">
        <v>42569</v>
      </c>
      <c r="L512" s="1624" t="s">
        <v>2302</v>
      </c>
      <c r="M512" s="1625">
        <v>5.2531000000000001E-2</v>
      </c>
      <c r="N512" s="1626">
        <v>1.1954392890881935</v>
      </c>
      <c r="O512" s="1626">
        <v>1.1954392890881935</v>
      </c>
    </row>
    <row r="513" spans="11:15">
      <c r="K513" s="1623">
        <v>42570</v>
      </c>
      <c r="L513" s="1624" t="s">
        <v>2302</v>
      </c>
      <c r="M513" s="1625">
        <v>5.2531000000000001E-2</v>
      </c>
      <c r="N513" s="1626">
        <v>1.1960672653011444</v>
      </c>
      <c r="O513" s="1626">
        <v>1.1960672653011444</v>
      </c>
    </row>
    <row r="514" spans="11:15">
      <c r="K514" s="1623">
        <v>42571</v>
      </c>
      <c r="L514" s="1624" t="s">
        <v>2302</v>
      </c>
      <c r="M514" s="1625">
        <v>5.2531000000000001E-2</v>
      </c>
      <c r="N514" s="1626">
        <v>1.1966955713962797</v>
      </c>
      <c r="O514" s="1626">
        <v>1.1966955713962797</v>
      </c>
    </row>
    <row r="515" spans="11:15">
      <c r="K515" s="1623">
        <v>42572</v>
      </c>
      <c r="L515" s="1624" t="s">
        <v>2302</v>
      </c>
      <c r="M515" s="1625">
        <v>5.2531000000000001E-2</v>
      </c>
      <c r="N515" s="1626">
        <v>1.19732420754689</v>
      </c>
      <c r="O515" s="1626">
        <v>1.19732420754689</v>
      </c>
    </row>
    <row r="516" spans="11:15">
      <c r="K516" s="1623">
        <v>42573</v>
      </c>
      <c r="L516" s="1624" t="s">
        <v>2302</v>
      </c>
      <c r="M516" s="1625">
        <v>5.2531000000000001E-2</v>
      </c>
      <c r="N516" s="1626">
        <v>1.1979531739263565</v>
      </c>
      <c r="O516" s="1626">
        <v>1.1979531739263565</v>
      </c>
    </row>
    <row r="517" spans="11:15">
      <c r="K517" s="1623">
        <v>42574</v>
      </c>
      <c r="L517" s="1624"/>
      <c r="M517" s="1625">
        <v>0</v>
      </c>
      <c r="N517" s="1626">
        <v>1.1979531739263565</v>
      </c>
      <c r="O517" s="1626">
        <v>1.1979531739263565</v>
      </c>
    </row>
    <row r="518" spans="11:15">
      <c r="K518" s="1623">
        <v>42575</v>
      </c>
      <c r="L518" s="1624"/>
      <c r="M518" s="1625">
        <v>0</v>
      </c>
      <c r="N518" s="1626">
        <v>1.1979531739263565</v>
      </c>
      <c r="O518" s="1626">
        <v>1.1979531739263565</v>
      </c>
    </row>
    <row r="519" spans="11:15">
      <c r="K519" s="1623">
        <v>42576</v>
      </c>
      <c r="L519" s="1624" t="s">
        <v>2302</v>
      </c>
      <c r="M519" s="1625">
        <v>5.2531000000000001E-2</v>
      </c>
      <c r="N519" s="1626">
        <v>1.1985824707081518</v>
      </c>
      <c r="O519" s="1626">
        <v>1.1985824707081518</v>
      </c>
    </row>
    <row r="520" spans="11:15">
      <c r="K520" s="1623">
        <v>42577</v>
      </c>
      <c r="L520" s="1624" t="s">
        <v>2302</v>
      </c>
      <c r="M520" s="1625">
        <v>5.2531000000000001E-2</v>
      </c>
      <c r="N520" s="1626">
        <v>1.1992120980658396</v>
      </c>
      <c r="O520" s="1626">
        <v>1.1992120980658396</v>
      </c>
    </row>
    <row r="521" spans="11:15">
      <c r="K521" s="1623">
        <v>42578</v>
      </c>
      <c r="L521" s="1624" t="s">
        <v>2302</v>
      </c>
      <c r="M521" s="1625">
        <v>5.2531000000000001E-2</v>
      </c>
      <c r="N521" s="1626">
        <v>1.1998420561730745</v>
      </c>
      <c r="O521" s="1626">
        <v>1.1998420561730745</v>
      </c>
    </row>
    <row r="522" spans="11:15">
      <c r="K522" s="1623">
        <v>42579</v>
      </c>
      <c r="L522" s="1624" t="s">
        <v>2302</v>
      </c>
      <c r="M522" s="1625">
        <v>5.2531000000000001E-2</v>
      </c>
      <c r="N522" s="1626">
        <v>1.2004723452036028</v>
      </c>
      <c r="O522" s="1626">
        <v>1.2004723452036028</v>
      </c>
    </row>
    <row r="523" spans="11:15">
      <c r="K523" s="1623">
        <v>42580</v>
      </c>
      <c r="L523" s="1624" t="s">
        <v>2302</v>
      </c>
      <c r="M523" s="1625">
        <v>5.2531000000000001E-2</v>
      </c>
      <c r="N523" s="1626">
        <v>1.2011029653312617</v>
      </c>
      <c r="O523" s="1626">
        <v>1.2011029653312617</v>
      </c>
    </row>
    <row r="524" spans="11:15">
      <c r="K524" s="1623">
        <v>42581</v>
      </c>
      <c r="L524" s="1624"/>
      <c r="M524" s="1625">
        <v>0</v>
      </c>
      <c r="N524" s="1626">
        <v>1.2011029653312617</v>
      </c>
      <c r="O524" s="1626">
        <v>1.2011029653312617</v>
      </c>
    </row>
    <row r="525" spans="11:15">
      <c r="K525" s="1623">
        <v>42582</v>
      </c>
      <c r="L525" s="1624"/>
      <c r="M525" s="1625">
        <v>0</v>
      </c>
      <c r="N525" s="1626">
        <v>1.2011029653312617</v>
      </c>
      <c r="O525" s="1626">
        <v>1.2011029653312617</v>
      </c>
    </row>
    <row r="526" spans="11:15">
      <c r="K526" s="1623">
        <v>42583</v>
      </c>
      <c r="L526" s="1624" t="s">
        <v>2302</v>
      </c>
      <c r="M526" s="1625">
        <v>5.2531000000000001E-2</v>
      </c>
      <c r="N526" s="1626">
        <v>1.2017339167299799</v>
      </c>
      <c r="O526" s="1626">
        <v>1.2017339167299799</v>
      </c>
    </row>
    <row r="527" spans="11:15">
      <c r="K527" s="1623">
        <v>42584</v>
      </c>
      <c r="L527" s="1624" t="s">
        <v>2302</v>
      </c>
      <c r="M527" s="1625">
        <v>5.2531000000000001E-2</v>
      </c>
      <c r="N527" s="1626">
        <v>1.2023651995737772</v>
      </c>
      <c r="O527" s="1626">
        <v>1.2023651995737772</v>
      </c>
    </row>
    <row r="528" spans="11:15">
      <c r="K528" s="1623">
        <v>42585</v>
      </c>
      <c r="L528" s="1624" t="s">
        <v>2302</v>
      </c>
      <c r="M528" s="1625">
        <v>5.2531000000000001E-2</v>
      </c>
      <c r="N528" s="1626">
        <v>1.2029968140367653</v>
      </c>
      <c r="O528" s="1626">
        <v>1.2029968140367653</v>
      </c>
    </row>
    <row r="529" spans="11:15">
      <c r="K529" s="1623">
        <v>42586</v>
      </c>
      <c r="L529" s="1624" t="s">
        <v>2302</v>
      </c>
      <c r="M529" s="1625">
        <v>5.2531000000000001E-2</v>
      </c>
      <c r="N529" s="1626">
        <v>1.203628760293147</v>
      </c>
      <c r="O529" s="1626">
        <v>1.203628760293147</v>
      </c>
    </row>
    <row r="530" spans="11:15">
      <c r="K530" s="1623">
        <v>42587</v>
      </c>
      <c r="L530" s="1624" t="s">
        <v>2302</v>
      </c>
      <c r="M530" s="1625">
        <v>5.2531000000000001E-2</v>
      </c>
      <c r="N530" s="1626">
        <v>1.2042610385172166</v>
      </c>
      <c r="O530" s="1626">
        <v>1.2042610385172166</v>
      </c>
    </row>
    <row r="531" spans="11:15">
      <c r="K531" s="1623">
        <v>42588</v>
      </c>
      <c r="L531" s="1624"/>
      <c r="M531" s="1625">
        <v>0</v>
      </c>
      <c r="N531" s="1626">
        <v>1.2042610385172166</v>
      </c>
      <c r="O531" s="1626">
        <v>1.2042610385172166</v>
      </c>
    </row>
    <row r="532" spans="11:15">
      <c r="K532" s="1623">
        <v>42589</v>
      </c>
      <c r="L532" s="1624"/>
      <c r="M532" s="1625">
        <v>0</v>
      </c>
      <c r="N532" s="1626">
        <v>1.2042610385172166</v>
      </c>
      <c r="O532" s="1626">
        <v>1.2042610385172166</v>
      </c>
    </row>
    <row r="533" spans="11:15">
      <c r="K533" s="1623">
        <v>42590</v>
      </c>
      <c r="L533" s="1624" t="s">
        <v>2302</v>
      </c>
      <c r="M533" s="1625">
        <v>5.2531000000000001E-2</v>
      </c>
      <c r="N533" s="1626">
        <v>1.2048936488833599</v>
      </c>
      <c r="O533" s="1626">
        <v>1.2048936488833599</v>
      </c>
    </row>
    <row r="534" spans="11:15">
      <c r="K534" s="1623">
        <v>42591</v>
      </c>
      <c r="L534" s="1624" t="s">
        <v>2302</v>
      </c>
      <c r="M534" s="1625">
        <v>5.2531000000000001E-2</v>
      </c>
      <c r="N534" s="1626">
        <v>1.2055265915660549</v>
      </c>
      <c r="O534" s="1626">
        <v>1.2055265915660549</v>
      </c>
    </row>
    <row r="535" spans="11:15">
      <c r="K535" s="1623">
        <v>42592</v>
      </c>
      <c r="L535" s="1624" t="s">
        <v>2302</v>
      </c>
      <c r="M535" s="1625">
        <v>5.2531000000000001E-2</v>
      </c>
      <c r="N535" s="1626">
        <v>1.2061598667398705</v>
      </c>
      <c r="O535" s="1626">
        <v>1.2061598667398705</v>
      </c>
    </row>
    <row r="536" spans="11:15">
      <c r="K536" s="1623">
        <v>42593</v>
      </c>
      <c r="L536" s="1624" t="s">
        <v>2302</v>
      </c>
      <c r="M536" s="1625">
        <v>5.2531000000000001E-2</v>
      </c>
      <c r="N536" s="1626">
        <v>1.2067934745794677</v>
      </c>
      <c r="O536" s="1626">
        <v>1.2067934745794677</v>
      </c>
    </row>
    <row r="537" spans="11:15">
      <c r="K537" s="1623">
        <v>42594</v>
      </c>
      <c r="L537" s="1624" t="s">
        <v>2302</v>
      </c>
      <c r="M537" s="1625">
        <v>5.2531000000000001E-2</v>
      </c>
      <c r="N537" s="1626">
        <v>1.2074274152595992</v>
      </c>
      <c r="O537" s="1626">
        <v>1.2074274152595992</v>
      </c>
    </row>
    <row r="538" spans="11:15">
      <c r="K538" s="1623">
        <v>42595</v>
      </c>
      <c r="L538" s="1624"/>
      <c r="M538" s="1625">
        <v>0</v>
      </c>
      <c r="N538" s="1626">
        <v>1.2074274152595992</v>
      </c>
      <c r="O538" s="1626">
        <v>1.2074274152595992</v>
      </c>
    </row>
    <row r="539" spans="11:15">
      <c r="K539" s="1623">
        <v>42596</v>
      </c>
      <c r="L539" s="1624"/>
      <c r="M539" s="1625">
        <v>0</v>
      </c>
      <c r="N539" s="1626">
        <v>1.2074274152595992</v>
      </c>
      <c r="O539" s="1626">
        <v>1.2074274152595992</v>
      </c>
    </row>
    <row r="540" spans="11:15">
      <c r="K540" s="1623">
        <v>42597</v>
      </c>
      <c r="L540" s="1624" t="s">
        <v>2302</v>
      </c>
      <c r="M540" s="1625">
        <v>5.2531000000000001E-2</v>
      </c>
      <c r="N540" s="1626">
        <v>1.2080616889551092</v>
      </c>
      <c r="O540" s="1626">
        <v>1.2080616889551092</v>
      </c>
    </row>
    <row r="541" spans="11:15">
      <c r="K541" s="1623">
        <v>42598</v>
      </c>
      <c r="L541" s="1624" t="s">
        <v>2302</v>
      </c>
      <c r="M541" s="1625">
        <v>5.2531000000000001E-2</v>
      </c>
      <c r="N541" s="1626">
        <v>1.2086962958409342</v>
      </c>
      <c r="O541" s="1626">
        <v>1.2086962958409342</v>
      </c>
    </row>
    <row r="542" spans="11:15">
      <c r="K542" s="1623">
        <v>42599</v>
      </c>
      <c r="L542" s="1624" t="s">
        <v>2302</v>
      </c>
      <c r="M542" s="1625">
        <v>5.2531000000000001E-2</v>
      </c>
      <c r="N542" s="1626">
        <v>1.2093312360921025</v>
      </c>
      <c r="O542" s="1626">
        <v>1.2093312360921025</v>
      </c>
    </row>
    <row r="543" spans="11:15">
      <c r="K543" s="1623">
        <v>42600</v>
      </c>
      <c r="L543" s="1624" t="s">
        <v>2302</v>
      </c>
      <c r="M543" s="1625">
        <v>5.2531000000000001E-2</v>
      </c>
      <c r="N543" s="1626">
        <v>1.209966509883734</v>
      </c>
      <c r="O543" s="1626">
        <v>1.209966509883734</v>
      </c>
    </row>
    <row r="544" spans="11:15">
      <c r="K544" s="1623">
        <v>42601</v>
      </c>
      <c r="L544" s="1624" t="s">
        <v>2302</v>
      </c>
      <c r="M544" s="1625">
        <v>5.2531000000000001E-2</v>
      </c>
      <c r="N544" s="1626">
        <v>1.2106021173910411</v>
      </c>
      <c r="O544" s="1626">
        <v>1.2106021173910411</v>
      </c>
    </row>
    <row r="545" spans="11:15">
      <c r="K545" s="1623">
        <v>42602</v>
      </c>
      <c r="L545" s="1624"/>
      <c r="M545" s="1625">
        <v>0</v>
      </c>
      <c r="N545" s="1626">
        <v>1.2106021173910411</v>
      </c>
      <c r="O545" s="1626">
        <v>1.2106021173910411</v>
      </c>
    </row>
    <row r="546" spans="11:15">
      <c r="K546" s="1623">
        <v>42603</v>
      </c>
      <c r="L546" s="1624"/>
      <c r="M546" s="1625">
        <v>0</v>
      </c>
      <c r="N546" s="1626">
        <v>1.2106021173910411</v>
      </c>
      <c r="O546" s="1626">
        <v>1.2106021173910411</v>
      </c>
    </row>
    <row r="547" spans="11:15">
      <c r="K547" s="1623">
        <v>42604</v>
      </c>
      <c r="L547" s="1624" t="s">
        <v>2302</v>
      </c>
      <c r="M547" s="1625">
        <v>5.2531000000000001E-2</v>
      </c>
      <c r="N547" s="1626">
        <v>1.2112380587893277</v>
      </c>
      <c r="O547" s="1626">
        <v>1.2112380587893277</v>
      </c>
    </row>
    <row r="548" spans="11:15">
      <c r="K548" s="1623">
        <v>42605</v>
      </c>
      <c r="L548" s="1624" t="s">
        <v>2302</v>
      </c>
      <c r="M548" s="1625">
        <v>5.2531000000000001E-2</v>
      </c>
      <c r="N548" s="1626">
        <v>1.2118743342539904</v>
      </c>
      <c r="O548" s="1626">
        <v>1.2118743342539904</v>
      </c>
    </row>
    <row r="549" spans="11:15">
      <c r="K549" s="1623">
        <v>42606</v>
      </c>
      <c r="L549" s="1624" t="s">
        <v>2302</v>
      </c>
      <c r="M549" s="1625">
        <v>5.2531000000000001E-2</v>
      </c>
      <c r="N549" s="1626">
        <v>1.2125109439605173</v>
      </c>
      <c r="O549" s="1626">
        <v>1.2125109439605173</v>
      </c>
    </row>
    <row r="550" spans="11:15">
      <c r="K550" s="1623">
        <v>42607</v>
      </c>
      <c r="L550" s="1624" t="s">
        <v>2302</v>
      </c>
      <c r="M550" s="1625">
        <v>5.2531000000000001E-2</v>
      </c>
      <c r="N550" s="1626">
        <v>1.2131478880844893</v>
      </c>
      <c r="O550" s="1626">
        <v>1.2131478880844893</v>
      </c>
    </row>
    <row r="551" spans="11:15">
      <c r="K551" s="1623">
        <v>42608</v>
      </c>
      <c r="L551" s="1624" t="s">
        <v>2302</v>
      </c>
      <c r="M551" s="1625">
        <v>5.2531000000000001E-2</v>
      </c>
      <c r="N551" s="1626">
        <v>1.2137851668015789</v>
      </c>
      <c r="O551" s="1626">
        <v>1.2137851668015789</v>
      </c>
    </row>
    <row r="552" spans="11:15">
      <c r="K552" s="1623">
        <v>42609</v>
      </c>
      <c r="L552" s="1624"/>
      <c r="M552" s="1625">
        <v>0</v>
      </c>
      <c r="N552" s="1626">
        <v>1.2137851668015789</v>
      </c>
      <c r="O552" s="1626">
        <v>1.2137851668015789</v>
      </c>
    </row>
    <row r="553" spans="11:15">
      <c r="K553" s="1623">
        <v>42610</v>
      </c>
      <c r="L553" s="1624"/>
      <c r="M553" s="1625">
        <v>0</v>
      </c>
      <c r="N553" s="1626">
        <v>1.2137851668015789</v>
      </c>
      <c r="O553" s="1626">
        <v>1.2137851668015789</v>
      </c>
    </row>
    <row r="554" spans="11:15">
      <c r="K554" s="1623">
        <v>42611</v>
      </c>
      <c r="L554" s="1624" t="s">
        <v>2302</v>
      </c>
      <c r="M554" s="1625">
        <v>5.2531000000000001E-2</v>
      </c>
      <c r="N554" s="1626">
        <v>1.2144227802875514</v>
      </c>
      <c r="O554" s="1626">
        <v>1.2144227802875514</v>
      </c>
    </row>
    <row r="555" spans="11:15">
      <c r="K555" s="1623">
        <v>42612</v>
      </c>
      <c r="L555" s="1624" t="s">
        <v>2302</v>
      </c>
      <c r="M555" s="1625">
        <v>5.2531000000000001E-2</v>
      </c>
      <c r="N555" s="1626">
        <v>1.2150607287182642</v>
      </c>
      <c r="O555" s="1626">
        <v>1.2150607287182642</v>
      </c>
    </row>
    <row r="556" spans="11:15">
      <c r="K556" s="1623">
        <v>42613</v>
      </c>
      <c r="L556" s="1624" t="s">
        <v>2302</v>
      </c>
      <c r="M556" s="1625">
        <v>5.2531000000000001E-2</v>
      </c>
      <c r="N556" s="1626">
        <v>1.2156990122696671</v>
      </c>
      <c r="O556" s="1626">
        <v>1.2156990122696671</v>
      </c>
    </row>
    <row r="557" spans="11:15">
      <c r="K557" s="1623">
        <v>42614</v>
      </c>
      <c r="L557" s="1624" t="s">
        <v>2302</v>
      </c>
      <c r="M557" s="1625">
        <v>5.2531000000000001E-2</v>
      </c>
      <c r="N557" s="1626">
        <v>1.2163376311178025</v>
      </c>
      <c r="O557" s="1626">
        <v>1.2163376311178025</v>
      </c>
    </row>
    <row r="558" spans="11:15">
      <c r="K558" s="1623">
        <v>42615</v>
      </c>
      <c r="L558" s="1624" t="s">
        <v>2302</v>
      </c>
      <c r="M558" s="1625">
        <v>5.2531000000000001E-2</v>
      </c>
      <c r="N558" s="1626">
        <v>1.216976585438805</v>
      </c>
      <c r="O558" s="1626">
        <v>1.216976585438805</v>
      </c>
    </row>
    <row r="559" spans="11:15">
      <c r="K559" s="1623">
        <v>42616</v>
      </c>
      <c r="L559" s="1624"/>
      <c r="M559" s="1625">
        <v>0</v>
      </c>
      <c r="N559" s="1626">
        <v>1.216976585438805</v>
      </c>
      <c r="O559" s="1626">
        <v>1.216976585438805</v>
      </c>
    </row>
    <row r="560" spans="11:15">
      <c r="K560" s="1623">
        <v>42617</v>
      </c>
      <c r="L560" s="1624"/>
      <c r="M560" s="1625">
        <v>0</v>
      </c>
      <c r="N560" s="1626">
        <v>1.216976585438805</v>
      </c>
      <c r="O560" s="1626">
        <v>1.216976585438805</v>
      </c>
    </row>
    <row r="561" spans="11:15">
      <c r="K561" s="1623">
        <v>42618</v>
      </c>
      <c r="L561" s="1624" t="s">
        <v>2302</v>
      </c>
      <c r="M561" s="1625">
        <v>5.2531000000000001E-2</v>
      </c>
      <c r="N561" s="1626">
        <v>1.2176158754089019</v>
      </c>
      <c r="O561" s="1626">
        <v>1.2176158754089019</v>
      </c>
    </row>
    <row r="562" spans="11:15">
      <c r="K562" s="1623">
        <v>42619</v>
      </c>
      <c r="L562" s="1624" t="s">
        <v>2302</v>
      </c>
      <c r="M562" s="1625">
        <v>5.2531000000000001E-2</v>
      </c>
      <c r="N562" s="1626">
        <v>1.2182555012044129</v>
      </c>
      <c r="O562" s="1626">
        <v>1.2182555012044129</v>
      </c>
    </row>
    <row r="563" spans="11:15">
      <c r="K563" s="1623">
        <v>42620</v>
      </c>
      <c r="L563" s="1624"/>
      <c r="M563" s="1625">
        <v>0</v>
      </c>
      <c r="N563" s="1626">
        <v>1.2182555012044129</v>
      </c>
      <c r="O563" s="1626">
        <v>1.2182555012044129</v>
      </c>
    </row>
    <row r="564" spans="11:15">
      <c r="K564" s="1623">
        <v>42621</v>
      </c>
      <c r="L564" s="1624" t="s">
        <v>2302</v>
      </c>
      <c r="M564" s="1625">
        <v>5.2531000000000001E-2</v>
      </c>
      <c r="N564" s="1626">
        <v>1.2188954630017506</v>
      </c>
      <c r="O564" s="1626">
        <v>1.2188954630017506</v>
      </c>
    </row>
    <row r="565" spans="11:15">
      <c r="K565" s="1623">
        <v>42622</v>
      </c>
      <c r="L565" s="1624" t="s">
        <v>2302</v>
      </c>
      <c r="M565" s="1625">
        <v>5.2531000000000001E-2</v>
      </c>
      <c r="N565" s="1626">
        <v>1.21953576097742</v>
      </c>
      <c r="O565" s="1626">
        <v>1.21953576097742</v>
      </c>
    </row>
    <row r="566" spans="11:15">
      <c r="K566" s="1623">
        <v>42623</v>
      </c>
      <c r="L566" s="1624"/>
      <c r="M566" s="1625">
        <v>0</v>
      </c>
      <c r="N566" s="1626">
        <v>1.21953576097742</v>
      </c>
      <c r="O566" s="1626">
        <v>1.21953576097742</v>
      </c>
    </row>
    <row r="567" spans="11:15">
      <c r="K567" s="1623">
        <v>42624</v>
      </c>
      <c r="L567" s="1624"/>
      <c r="M567" s="1625">
        <v>0</v>
      </c>
      <c r="N567" s="1626">
        <v>1.21953576097742</v>
      </c>
      <c r="O567" s="1626">
        <v>1.21953576097742</v>
      </c>
    </row>
    <row r="568" spans="11:15">
      <c r="K568" s="1623">
        <v>42625</v>
      </c>
      <c r="L568" s="1624" t="s">
        <v>2302</v>
      </c>
      <c r="M568" s="1625">
        <v>5.2531000000000001E-2</v>
      </c>
      <c r="N568" s="1626">
        <v>1.2201763953080191</v>
      </c>
      <c r="O568" s="1626">
        <v>1.2201763953080191</v>
      </c>
    </row>
    <row r="569" spans="11:15">
      <c r="K569" s="1623">
        <v>42626</v>
      </c>
      <c r="L569" s="1624" t="s">
        <v>2302</v>
      </c>
      <c r="M569" s="1625">
        <v>5.2531000000000001E-2</v>
      </c>
      <c r="N569" s="1626">
        <v>1.2208173661702384</v>
      </c>
      <c r="O569" s="1626">
        <v>1.2208173661702384</v>
      </c>
    </row>
    <row r="570" spans="11:15">
      <c r="K570" s="1623">
        <v>42627</v>
      </c>
      <c r="L570" s="1624" t="s">
        <v>2302</v>
      </c>
      <c r="M570" s="1625">
        <v>5.2531000000000001E-2</v>
      </c>
      <c r="N570" s="1626">
        <v>1.2214586737408613</v>
      </c>
      <c r="O570" s="1626">
        <v>1.2214586737408613</v>
      </c>
    </row>
    <row r="571" spans="11:15">
      <c r="K571" s="1623">
        <v>42628</v>
      </c>
      <c r="L571" s="1624" t="s">
        <v>2302</v>
      </c>
      <c r="M571" s="1625">
        <v>5.2531000000000001E-2</v>
      </c>
      <c r="N571" s="1626">
        <v>1.222100318196764</v>
      </c>
      <c r="O571" s="1626">
        <v>1.222100318196764</v>
      </c>
    </row>
    <row r="572" spans="11:15">
      <c r="K572" s="1623">
        <v>42629</v>
      </c>
      <c r="L572" s="1624" t="s">
        <v>2302</v>
      </c>
      <c r="M572" s="1625">
        <v>5.2531000000000001E-2</v>
      </c>
      <c r="N572" s="1626">
        <v>1.222742299714916</v>
      </c>
      <c r="O572" s="1626">
        <v>1.222742299714916</v>
      </c>
    </row>
    <row r="573" spans="11:15">
      <c r="K573" s="1623">
        <v>42630</v>
      </c>
      <c r="L573" s="1624"/>
      <c r="M573" s="1625">
        <v>0</v>
      </c>
      <c r="N573" s="1626">
        <v>1.222742299714916</v>
      </c>
      <c r="O573" s="1626">
        <v>1.222742299714916</v>
      </c>
    </row>
    <row r="574" spans="11:15">
      <c r="K574" s="1623">
        <v>42631</v>
      </c>
      <c r="L574" s="1624"/>
      <c r="M574" s="1625">
        <v>0</v>
      </c>
      <c r="N574" s="1626">
        <v>1.222742299714916</v>
      </c>
      <c r="O574" s="1626">
        <v>1.222742299714916</v>
      </c>
    </row>
    <row r="575" spans="11:15">
      <c r="K575" s="1623">
        <v>42632</v>
      </c>
      <c r="L575" s="1624" t="s">
        <v>2302</v>
      </c>
      <c r="M575" s="1625">
        <v>5.2531000000000001E-2</v>
      </c>
      <c r="N575" s="1626">
        <v>1.2233846184723793</v>
      </c>
      <c r="O575" s="1626">
        <v>1.2233846184723793</v>
      </c>
    </row>
    <row r="576" spans="11:15">
      <c r="K576" s="1623">
        <v>42633</v>
      </c>
      <c r="L576" s="1624" t="s">
        <v>2302</v>
      </c>
      <c r="M576" s="1625">
        <v>5.2531000000000001E-2</v>
      </c>
      <c r="N576" s="1626">
        <v>1.224027274646309</v>
      </c>
      <c r="O576" s="1626">
        <v>1.224027274646309</v>
      </c>
    </row>
    <row r="577" spans="11:15">
      <c r="K577" s="1623">
        <v>42634</v>
      </c>
      <c r="L577" s="1624" t="s">
        <v>2302</v>
      </c>
      <c r="M577" s="1625">
        <v>5.2531000000000001E-2</v>
      </c>
      <c r="N577" s="1626">
        <v>1.2246702684139534</v>
      </c>
      <c r="O577" s="1626">
        <v>1.2246702684139534</v>
      </c>
    </row>
    <row r="578" spans="11:15">
      <c r="K578" s="1623">
        <v>42635</v>
      </c>
      <c r="L578" s="1624" t="s">
        <v>2302</v>
      </c>
      <c r="M578" s="1625">
        <v>5.2531000000000001E-2</v>
      </c>
      <c r="N578" s="1626">
        <v>1.2253135999526539</v>
      </c>
      <c r="O578" s="1626">
        <v>1.2253135999526539</v>
      </c>
    </row>
    <row r="579" spans="11:15">
      <c r="K579" s="1623">
        <v>42636</v>
      </c>
      <c r="L579" s="1624" t="s">
        <v>2302</v>
      </c>
      <c r="M579" s="1625">
        <v>5.2531000000000001E-2</v>
      </c>
      <c r="N579" s="1626">
        <v>1.2259572694398451</v>
      </c>
      <c r="O579" s="1626">
        <v>1.2259572694398451</v>
      </c>
    </row>
    <row r="580" spans="11:15">
      <c r="K580" s="1623">
        <v>42637</v>
      </c>
      <c r="L580" s="1624"/>
      <c r="M580" s="1625">
        <v>0</v>
      </c>
      <c r="N580" s="1626">
        <v>1.2259572694398451</v>
      </c>
      <c r="O580" s="1626">
        <v>1.2259572694398451</v>
      </c>
    </row>
    <row r="581" spans="11:15">
      <c r="K581" s="1623">
        <v>42638</v>
      </c>
      <c r="L581" s="1624"/>
      <c r="M581" s="1625">
        <v>0</v>
      </c>
      <c r="N581" s="1626">
        <v>1.2259572694398451</v>
      </c>
      <c r="O581" s="1626">
        <v>1.2259572694398451</v>
      </c>
    </row>
    <row r="582" spans="11:15">
      <c r="K582" s="1623">
        <v>42639</v>
      </c>
      <c r="L582" s="1624" t="s">
        <v>2302</v>
      </c>
      <c r="M582" s="1625">
        <v>5.2531000000000001E-2</v>
      </c>
      <c r="N582" s="1626">
        <v>1.2266012770530546</v>
      </c>
      <c r="O582" s="1626">
        <v>1.2266012770530546</v>
      </c>
    </row>
    <row r="583" spans="11:15">
      <c r="K583" s="1623">
        <v>42640</v>
      </c>
      <c r="L583" s="1624" t="s">
        <v>2302</v>
      </c>
      <c r="M583" s="1625">
        <v>5.2531000000000001E-2</v>
      </c>
      <c r="N583" s="1626">
        <v>1.2272456229699034</v>
      </c>
      <c r="O583" s="1626">
        <v>1.2272456229699034</v>
      </c>
    </row>
    <row r="584" spans="11:15">
      <c r="K584" s="1623">
        <v>42641</v>
      </c>
      <c r="L584" s="1624" t="s">
        <v>2302</v>
      </c>
      <c r="M584" s="1625">
        <v>5.2531000000000001E-2</v>
      </c>
      <c r="N584" s="1626">
        <v>1.2278903073681058</v>
      </c>
      <c r="O584" s="1626">
        <v>1.2278903073681058</v>
      </c>
    </row>
    <row r="585" spans="11:15">
      <c r="K585" s="1623">
        <v>42642</v>
      </c>
      <c r="L585" s="1624" t="s">
        <v>2302</v>
      </c>
      <c r="M585" s="1625">
        <v>5.2531000000000001E-2</v>
      </c>
      <c r="N585" s="1626">
        <v>1.2285353304254694</v>
      </c>
      <c r="O585" s="1626">
        <v>1.2285353304254694</v>
      </c>
    </row>
    <row r="586" spans="11:15">
      <c r="K586" s="1623">
        <v>42643</v>
      </c>
      <c r="L586" s="1624" t="s">
        <v>2302</v>
      </c>
      <c r="M586" s="1625">
        <v>5.2531000000000001E-2</v>
      </c>
      <c r="N586" s="1626">
        <v>1.2291806923198951</v>
      </c>
      <c r="O586" s="1626">
        <v>1.2291806923198951</v>
      </c>
    </row>
    <row r="587" spans="11:15">
      <c r="K587" s="1623">
        <v>42644</v>
      </c>
      <c r="L587" s="1624"/>
      <c r="M587" s="1625">
        <v>0</v>
      </c>
      <c r="N587" s="1626">
        <v>1.2291806923198951</v>
      </c>
      <c r="O587" s="1626">
        <v>1.2291806923198951</v>
      </c>
    </row>
    <row r="588" spans="11:15">
      <c r="K588" s="1623">
        <v>42645</v>
      </c>
      <c r="L588" s="1624"/>
      <c r="M588" s="1625">
        <v>0</v>
      </c>
      <c r="N588" s="1626">
        <v>1.2291806923198951</v>
      </c>
      <c r="O588" s="1626">
        <v>1.2291806923198951</v>
      </c>
    </row>
    <row r="589" spans="11:15">
      <c r="K589" s="1623">
        <v>42646</v>
      </c>
      <c r="L589" s="1624" t="s">
        <v>2302</v>
      </c>
      <c r="M589" s="1625">
        <v>5.2531000000000001E-2</v>
      </c>
      <c r="N589" s="1626">
        <v>1.2298263932293776</v>
      </c>
      <c r="O589" s="1626">
        <v>1.2298263932293776</v>
      </c>
    </row>
    <row r="590" spans="11:15">
      <c r="K590" s="1623">
        <v>42647</v>
      </c>
      <c r="L590" s="1624" t="s">
        <v>2302</v>
      </c>
      <c r="M590" s="1625">
        <v>5.2531000000000001E-2</v>
      </c>
      <c r="N590" s="1626">
        <v>1.230472433332005</v>
      </c>
      <c r="O590" s="1626">
        <v>1.230472433332005</v>
      </c>
    </row>
    <row r="591" spans="11:15">
      <c r="K591" s="1623">
        <v>42648</v>
      </c>
      <c r="L591" s="1624" t="s">
        <v>2302</v>
      </c>
      <c r="M591" s="1625">
        <v>5.2531000000000001E-2</v>
      </c>
      <c r="N591" s="1626">
        <v>1.2311188128059587</v>
      </c>
      <c r="O591" s="1626">
        <v>1.2311188128059587</v>
      </c>
    </row>
    <row r="592" spans="11:15">
      <c r="K592" s="1623">
        <v>42649</v>
      </c>
      <c r="L592" s="1624" t="s">
        <v>2302</v>
      </c>
      <c r="M592" s="1625">
        <v>5.2531000000000001E-2</v>
      </c>
      <c r="N592" s="1626">
        <v>1.2317655318295138</v>
      </c>
      <c r="O592" s="1626">
        <v>1.2317655318295138</v>
      </c>
    </row>
    <row r="593" spans="11:15">
      <c r="K593" s="1623">
        <v>42650</v>
      </c>
      <c r="L593" s="1624" t="s">
        <v>2302</v>
      </c>
      <c r="M593" s="1625">
        <v>5.2531000000000001E-2</v>
      </c>
      <c r="N593" s="1626">
        <v>1.232412590581039</v>
      </c>
      <c r="O593" s="1626">
        <v>1.232412590581039</v>
      </c>
    </row>
    <row r="594" spans="11:15">
      <c r="K594" s="1623">
        <v>42651</v>
      </c>
      <c r="L594" s="1624"/>
      <c r="M594" s="1625">
        <v>0</v>
      </c>
      <c r="N594" s="1626">
        <v>1.232412590581039</v>
      </c>
      <c r="O594" s="1626">
        <v>1.232412590581039</v>
      </c>
    </row>
    <row r="595" spans="11:15">
      <c r="K595" s="1623">
        <v>42652</v>
      </c>
      <c r="L595" s="1624"/>
      <c r="M595" s="1625">
        <v>0</v>
      </c>
      <c r="N595" s="1626">
        <v>1.232412590581039</v>
      </c>
      <c r="O595" s="1626">
        <v>1.232412590581039</v>
      </c>
    </row>
    <row r="596" spans="11:15">
      <c r="K596" s="1623">
        <v>42653</v>
      </c>
      <c r="L596" s="1624" t="s">
        <v>2302</v>
      </c>
      <c r="M596" s="1625">
        <v>5.2531000000000001E-2</v>
      </c>
      <c r="N596" s="1626">
        <v>1.2330599892389971</v>
      </c>
      <c r="O596" s="1626">
        <v>1.2330599892389971</v>
      </c>
    </row>
    <row r="597" spans="11:15">
      <c r="K597" s="1623">
        <v>42654</v>
      </c>
      <c r="L597" s="1624" t="s">
        <v>2302</v>
      </c>
      <c r="M597" s="1625">
        <v>5.2531000000000001E-2</v>
      </c>
      <c r="N597" s="1626">
        <v>1.2337077279819442</v>
      </c>
      <c r="O597" s="1626">
        <v>1.2337077279819442</v>
      </c>
    </row>
    <row r="598" spans="11:15">
      <c r="K598" s="1623">
        <v>42655</v>
      </c>
      <c r="L598" s="1624"/>
      <c r="M598" s="1625">
        <v>0</v>
      </c>
      <c r="N598" s="1626">
        <v>1.2337077279819442</v>
      </c>
      <c r="O598" s="1626">
        <v>1.2337077279819442</v>
      </c>
    </row>
    <row r="599" spans="11:15">
      <c r="K599" s="1623">
        <v>42656</v>
      </c>
      <c r="L599" s="1624" t="s">
        <v>2302</v>
      </c>
      <c r="M599" s="1625">
        <v>5.2531000000000001E-2</v>
      </c>
      <c r="N599" s="1626">
        <v>1.2343558069885303</v>
      </c>
      <c r="O599" s="1626">
        <v>1.2343558069885303</v>
      </c>
    </row>
    <row r="600" spans="11:15">
      <c r="K600" s="1623">
        <v>42657</v>
      </c>
      <c r="L600" s="1624" t="s">
        <v>2302</v>
      </c>
      <c r="M600" s="1625">
        <v>5.2531000000000001E-2</v>
      </c>
      <c r="N600" s="1626">
        <v>1.2350042264374994</v>
      </c>
      <c r="O600" s="1626">
        <v>1.2350042264374994</v>
      </c>
    </row>
    <row r="601" spans="11:15">
      <c r="K601" s="1623">
        <v>42658</v>
      </c>
      <c r="L601" s="1624"/>
      <c r="M601" s="1625">
        <v>0</v>
      </c>
      <c r="N601" s="1626">
        <v>1.2350042264374994</v>
      </c>
      <c r="O601" s="1626">
        <v>1.2350042264374994</v>
      </c>
    </row>
    <row r="602" spans="11:15">
      <c r="K602" s="1623">
        <v>42659</v>
      </c>
      <c r="L602" s="1624"/>
      <c r="M602" s="1625">
        <v>0</v>
      </c>
      <c r="N602" s="1626">
        <v>1.2350042264374994</v>
      </c>
      <c r="O602" s="1626">
        <v>1.2350042264374994</v>
      </c>
    </row>
    <row r="603" spans="11:15">
      <c r="K603" s="1623">
        <v>42660</v>
      </c>
      <c r="L603" s="1624" t="s">
        <v>2302</v>
      </c>
      <c r="M603" s="1625">
        <v>5.2531000000000001E-2</v>
      </c>
      <c r="N603" s="1626">
        <v>1.2356529865076893</v>
      </c>
      <c r="O603" s="1626">
        <v>1.2356529865076893</v>
      </c>
    </row>
    <row r="604" spans="11:15">
      <c r="K604" s="1623">
        <v>42661</v>
      </c>
      <c r="L604" s="1624" t="s">
        <v>2302</v>
      </c>
      <c r="M604" s="1625">
        <v>5.2531000000000001E-2</v>
      </c>
      <c r="N604" s="1626">
        <v>1.2363020873780317</v>
      </c>
      <c r="O604" s="1626">
        <v>1.2363020873780317</v>
      </c>
    </row>
    <row r="605" spans="11:15">
      <c r="K605" s="1623">
        <v>42662</v>
      </c>
      <c r="L605" s="1624" t="s">
        <v>2302</v>
      </c>
      <c r="M605" s="1625">
        <v>5.2531000000000001E-2</v>
      </c>
      <c r="N605" s="1626">
        <v>1.2369515292275524</v>
      </c>
      <c r="O605" s="1626">
        <v>1.2369515292275524</v>
      </c>
    </row>
    <row r="606" spans="11:15">
      <c r="K606" s="1623">
        <v>42663</v>
      </c>
      <c r="L606" s="1624" t="s">
        <v>2302</v>
      </c>
      <c r="M606" s="1625">
        <v>5.1659999999999998E-2</v>
      </c>
      <c r="N606" s="1626">
        <v>1.2375905383875514</v>
      </c>
      <c r="O606" s="1626">
        <v>1.2376013122353708</v>
      </c>
    </row>
    <row r="607" spans="11:15">
      <c r="K607" s="1623">
        <v>42664</v>
      </c>
      <c r="L607" s="1624" t="s">
        <v>2302</v>
      </c>
      <c r="M607" s="1625">
        <v>5.1659999999999998E-2</v>
      </c>
      <c r="N607" s="1626">
        <v>1.2382298776596825</v>
      </c>
      <c r="O607" s="1626">
        <v>1.2382514365807011</v>
      </c>
    </row>
    <row r="608" spans="11:15">
      <c r="K608" s="1623">
        <v>42665</v>
      </c>
      <c r="L608" s="1624"/>
      <c r="M608" s="1625">
        <v>0</v>
      </c>
      <c r="N608" s="1626">
        <v>1.2382298776596825</v>
      </c>
      <c r="O608" s="1626">
        <v>1.2382514365807011</v>
      </c>
    </row>
    <row r="609" spans="11:15">
      <c r="K609" s="1623">
        <v>42666</v>
      </c>
      <c r="L609" s="1624"/>
      <c r="M609" s="1625">
        <v>0</v>
      </c>
      <c r="N609" s="1626">
        <v>1.2382298776596825</v>
      </c>
      <c r="O609" s="1626">
        <v>1.2382514365807011</v>
      </c>
    </row>
    <row r="610" spans="11:15">
      <c r="K610" s="1623">
        <v>42667</v>
      </c>
      <c r="L610" s="1624" t="s">
        <v>2302</v>
      </c>
      <c r="M610" s="1625">
        <v>5.1659999999999998E-2</v>
      </c>
      <c r="N610" s="1626">
        <v>1.2388695472144815</v>
      </c>
      <c r="O610" s="1626">
        <v>1.2389019024428514</v>
      </c>
    </row>
    <row r="611" spans="11:15">
      <c r="K611" s="1623">
        <v>42668</v>
      </c>
      <c r="L611" s="1624" t="s">
        <v>2302</v>
      </c>
      <c r="M611" s="1625">
        <v>5.1659999999999998E-2</v>
      </c>
      <c r="N611" s="1626">
        <v>1.2395095472225726</v>
      </c>
      <c r="O611" s="1626">
        <v>1.2395527100012236</v>
      </c>
    </row>
    <row r="612" spans="11:15">
      <c r="K612" s="1623">
        <v>42669</v>
      </c>
      <c r="L612" s="1624" t="s">
        <v>2302</v>
      </c>
      <c r="M612" s="1625">
        <v>5.1659999999999998E-2</v>
      </c>
      <c r="N612" s="1626">
        <v>1.2401498778546678</v>
      </c>
      <c r="O612" s="1626">
        <v>1.2402038594353144</v>
      </c>
    </row>
    <row r="613" spans="11:15">
      <c r="K613" s="1623">
        <v>42670</v>
      </c>
      <c r="L613" s="1624" t="s">
        <v>2302</v>
      </c>
      <c r="M613" s="1625">
        <v>5.1659999999999998E-2</v>
      </c>
      <c r="N613" s="1626">
        <v>1.2407905392815677</v>
      </c>
      <c r="O613" s="1626">
        <v>1.2408553509247144</v>
      </c>
    </row>
    <row r="614" spans="11:15">
      <c r="K614" s="1623">
        <v>42671</v>
      </c>
      <c r="L614" s="1624" t="s">
        <v>2302</v>
      </c>
      <c r="M614" s="1625">
        <v>5.1659999999999998E-2</v>
      </c>
      <c r="N614" s="1626">
        <v>1.2414315316741606</v>
      </c>
      <c r="O614" s="1626">
        <v>1.2415071846491088</v>
      </c>
    </row>
    <row r="615" spans="11:15">
      <c r="K615" s="1623">
        <v>42672</v>
      </c>
      <c r="L615" s="1624"/>
      <c r="M615" s="1625">
        <v>0</v>
      </c>
      <c r="N615" s="1626">
        <v>1.2414315316741606</v>
      </c>
      <c r="O615" s="1626">
        <v>1.2415071846491088</v>
      </c>
    </row>
    <row r="616" spans="11:15">
      <c r="K616" s="1623">
        <v>42673</v>
      </c>
      <c r="L616" s="1624"/>
      <c r="M616" s="1625">
        <v>0</v>
      </c>
      <c r="N616" s="1626">
        <v>1.2414315316741606</v>
      </c>
      <c r="O616" s="1626">
        <v>1.2415071846491088</v>
      </c>
    </row>
    <row r="617" spans="11:15">
      <c r="K617" s="1623">
        <v>42674</v>
      </c>
      <c r="L617" s="1624" t="s">
        <v>2302</v>
      </c>
      <c r="M617" s="1625">
        <v>5.1659999999999998E-2</v>
      </c>
      <c r="N617" s="1626">
        <v>1.2420728552034237</v>
      </c>
      <c r="O617" s="1626">
        <v>1.2421593607882768</v>
      </c>
    </row>
    <row r="618" spans="11:15">
      <c r="K618" s="1623">
        <v>42675</v>
      </c>
      <c r="L618" s="1624" t="s">
        <v>2302</v>
      </c>
      <c r="M618" s="1625">
        <v>5.1659999999999998E-2</v>
      </c>
      <c r="N618" s="1626">
        <v>1.242714510040422</v>
      </c>
      <c r="O618" s="1626">
        <v>1.2428118795220926</v>
      </c>
    </row>
    <row r="619" spans="11:15">
      <c r="K619" s="1623">
        <v>42676</v>
      </c>
      <c r="L619" s="1624"/>
      <c r="M619" s="1625">
        <v>0</v>
      </c>
      <c r="N619" s="1626">
        <v>1.242714510040422</v>
      </c>
      <c r="O619" s="1626">
        <v>1.2428118795220926</v>
      </c>
    </row>
    <row r="620" spans="11:15">
      <c r="K620" s="1623">
        <v>42677</v>
      </c>
      <c r="L620" s="1624" t="s">
        <v>2302</v>
      </c>
      <c r="M620" s="1625">
        <v>5.1659999999999998E-2</v>
      </c>
      <c r="N620" s="1626">
        <v>1.2433564963563091</v>
      </c>
      <c r="O620" s="1626">
        <v>1.2434647410305244</v>
      </c>
    </row>
    <row r="621" spans="11:15">
      <c r="K621" s="1623">
        <v>42678</v>
      </c>
      <c r="L621" s="1624" t="s">
        <v>2302</v>
      </c>
      <c r="M621" s="1625">
        <v>5.1659999999999998E-2</v>
      </c>
      <c r="N621" s="1626">
        <v>1.2439988143223268</v>
      </c>
      <c r="O621" s="1626">
        <v>1.2441179454936351</v>
      </c>
    </row>
    <row r="622" spans="11:15">
      <c r="K622" s="1623">
        <v>42679</v>
      </c>
      <c r="L622" s="1624"/>
      <c r="M622" s="1625">
        <v>0</v>
      </c>
      <c r="N622" s="1626">
        <v>1.2439988143223268</v>
      </c>
      <c r="O622" s="1626">
        <v>1.2441179454936351</v>
      </c>
    </row>
    <row r="623" spans="11:15">
      <c r="K623" s="1623">
        <v>42680</v>
      </c>
      <c r="L623" s="1624"/>
      <c r="M623" s="1625">
        <v>0</v>
      </c>
      <c r="N623" s="1626">
        <v>1.2439988143223268</v>
      </c>
      <c r="O623" s="1626">
        <v>1.2441179454936351</v>
      </c>
    </row>
    <row r="624" spans="11:15">
      <c r="K624" s="1623">
        <v>42681</v>
      </c>
      <c r="L624" s="1624" t="s">
        <v>2302</v>
      </c>
      <c r="M624" s="1625">
        <v>5.1659999999999998E-2</v>
      </c>
      <c r="N624" s="1626">
        <v>1.2446414641098058</v>
      </c>
      <c r="O624" s="1626">
        <v>1.2447714930915823</v>
      </c>
    </row>
    <row r="625" spans="11:15">
      <c r="K625" s="1623">
        <v>42682</v>
      </c>
      <c r="L625" s="1624" t="s">
        <v>2302</v>
      </c>
      <c r="M625" s="1625">
        <v>5.1659999999999998E-2</v>
      </c>
      <c r="N625" s="1626">
        <v>1.2452844458901651</v>
      </c>
      <c r="O625" s="1626">
        <v>1.2454253840046183</v>
      </c>
    </row>
    <row r="626" spans="11:15">
      <c r="K626" s="1623">
        <v>42683</v>
      </c>
      <c r="L626" s="1624" t="s">
        <v>2302</v>
      </c>
      <c r="M626" s="1625">
        <v>5.1659999999999998E-2</v>
      </c>
      <c r="N626" s="1626">
        <v>1.2459277598349121</v>
      </c>
      <c r="O626" s="1626">
        <v>1.2460796184130898</v>
      </c>
    </row>
    <row r="627" spans="11:15">
      <c r="K627" s="1623">
        <v>42684</v>
      </c>
      <c r="L627" s="1624" t="s">
        <v>2302</v>
      </c>
      <c r="M627" s="1625">
        <v>5.1659999999999998E-2</v>
      </c>
      <c r="N627" s="1626">
        <v>1.246571406115643</v>
      </c>
      <c r="O627" s="1626">
        <v>1.2467341964974383</v>
      </c>
    </row>
    <row r="628" spans="11:15">
      <c r="K628" s="1623">
        <v>42685</v>
      </c>
      <c r="L628" s="1624" t="s">
        <v>2302</v>
      </c>
      <c r="M628" s="1625">
        <v>5.1659999999999998E-2</v>
      </c>
      <c r="N628" s="1626">
        <v>1.2472153849040424</v>
      </c>
      <c r="O628" s="1626">
        <v>1.2473891184382004</v>
      </c>
    </row>
    <row r="629" spans="11:15">
      <c r="K629" s="1623">
        <v>42686</v>
      </c>
      <c r="L629" s="1624"/>
      <c r="M629" s="1625">
        <v>0</v>
      </c>
      <c r="N629" s="1626">
        <v>1.2472153849040424</v>
      </c>
      <c r="O629" s="1626">
        <v>1.2473891184382004</v>
      </c>
    </row>
    <row r="630" spans="11:15">
      <c r="K630" s="1623">
        <v>42687</v>
      </c>
      <c r="L630" s="1624"/>
      <c r="M630" s="1625">
        <v>0</v>
      </c>
      <c r="N630" s="1626">
        <v>1.2472153849040424</v>
      </c>
      <c r="O630" s="1626">
        <v>1.2473891184382004</v>
      </c>
    </row>
    <row r="631" spans="11:15">
      <c r="K631" s="1623">
        <v>42688</v>
      </c>
      <c r="L631" s="1624" t="s">
        <v>2302</v>
      </c>
      <c r="M631" s="1625">
        <v>5.1659999999999998E-2</v>
      </c>
      <c r="N631" s="1626">
        <v>1.247859696371884</v>
      </c>
      <c r="O631" s="1626">
        <v>1.2480443844160072</v>
      </c>
    </row>
    <row r="632" spans="11:15">
      <c r="K632" s="1623">
        <v>42689</v>
      </c>
      <c r="L632" s="1624"/>
      <c r="M632" s="1625">
        <v>0</v>
      </c>
      <c r="N632" s="1626">
        <v>1.247859696371884</v>
      </c>
      <c r="O632" s="1626">
        <v>1.2480443844160072</v>
      </c>
    </row>
    <row r="633" spans="11:15">
      <c r="K633" s="1623">
        <v>42690</v>
      </c>
      <c r="L633" s="1624" t="s">
        <v>2302</v>
      </c>
      <c r="M633" s="1625">
        <v>5.1659999999999998E-2</v>
      </c>
      <c r="N633" s="1626">
        <v>1.2485043406910299</v>
      </c>
      <c r="O633" s="1626">
        <v>1.2486999946115847</v>
      </c>
    </row>
    <row r="634" spans="11:15">
      <c r="K634" s="1623">
        <v>42691</v>
      </c>
      <c r="L634" s="1624" t="s">
        <v>2302</v>
      </c>
      <c r="M634" s="1625">
        <v>5.1659999999999998E-2</v>
      </c>
      <c r="N634" s="1626">
        <v>1.249149318033431</v>
      </c>
      <c r="O634" s="1626">
        <v>1.249355949205754</v>
      </c>
    </row>
    <row r="635" spans="11:15">
      <c r="K635" s="1623">
        <v>42692</v>
      </c>
      <c r="L635" s="1624" t="s">
        <v>2302</v>
      </c>
      <c r="M635" s="1625">
        <v>5.1659999999999998E-2</v>
      </c>
      <c r="N635" s="1626">
        <v>1.2497946285711272</v>
      </c>
      <c r="O635" s="1626">
        <v>1.2500122483794314</v>
      </c>
    </row>
    <row r="636" spans="11:15">
      <c r="K636" s="1623">
        <v>42693</v>
      </c>
      <c r="L636" s="1624"/>
      <c r="M636" s="1625">
        <v>0</v>
      </c>
      <c r="N636" s="1626">
        <v>1.2497946285711272</v>
      </c>
      <c r="O636" s="1626">
        <v>1.2500122483794314</v>
      </c>
    </row>
    <row r="637" spans="11:15">
      <c r="K637" s="1623">
        <v>42694</v>
      </c>
      <c r="L637" s="1624"/>
      <c r="M637" s="1625">
        <v>0</v>
      </c>
      <c r="N637" s="1626">
        <v>1.2497946285711272</v>
      </c>
      <c r="O637" s="1626">
        <v>1.2500122483794314</v>
      </c>
    </row>
    <row r="638" spans="11:15">
      <c r="K638" s="1623">
        <v>42695</v>
      </c>
      <c r="L638" s="1624" t="s">
        <v>2302</v>
      </c>
      <c r="M638" s="1625">
        <v>5.1659999999999998E-2</v>
      </c>
      <c r="N638" s="1626">
        <v>1.2504402724762471</v>
      </c>
      <c r="O638" s="1626">
        <v>1.2506688923136275</v>
      </c>
    </row>
    <row r="639" spans="11:15">
      <c r="K639" s="1623">
        <v>42696</v>
      </c>
      <c r="L639" s="1624" t="s">
        <v>2302</v>
      </c>
      <c r="M639" s="1625">
        <v>5.1659999999999998E-2</v>
      </c>
      <c r="N639" s="1626">
        <v>1.2510862499210085</v>
      </c>
      <c r="O639" s="1626">
        <v>1.2513258811894488</v>
      </c>
    </row>
    <row r="640" spans="11:15">
      <c r="K640" s="1623">
        <v>42697</v>
      </c>
      <c r="L640" s="1624" t="s">
        <v>2302</v>
      </c>
      <c r="M640" s="1625">
        <v>5.1659999999999998E-2</v>
      </c>
      <c r="N640" s="1626">
        <v>1.2517325610777177</v>
      </c>
      <c r="O640" s="1626">
        <v>1.2519832151880963</v>
      </c>
    </row>
    <row r="641" spans="11:15">
      <c r="K641" s="1623">
        <v>42698</v>
      </c>
      <c r="L641" s="1624" t="s">
        <v>2302</v>
      </c>
      <c r="M641" s="1625">
        <v>5.1659999999999998E-2</v>
      </c>
      <c r="N641" s="1626">
        <v>1.2523792061187706</v>
      </c>
      <c r="O641" s="1626">
        <v>1.2526408944908667</v>
      </c>
    </row>
    <row r="642" spans="11:15">
      <c r="K642" s="1623">
        <v>42699</v>
      </c>
      <c r="L642" s="1624" t="s">
        <v>2302</v>
      </c>
      <c r="M642" s="1625">
        <v>5.1659999999999998E-2</v>
      </c>
      <c r="N642" s="1626">
        <v>1.2530261852166518</v>
      </c>
      <c r="O642" s="1626">
        <v>1.2532989192791517</v>
      </c>
    </row>
    <row r="643" spans="11:15">
      <c r="K643" s="1623">
        <v>42700</v>
      </c>
      <c r="L643" s="1624"/>
      <c r="M643" s="1625">
        <v>0</v>
      </c>
      <c r="N643" s="1626">
        <v>1.2530261852166518</v>
      </c>
      <c r="O643" s="1626">
        <v>1.2532989192791517</v>
      </c>
    </row>
    <row r="644" spans="11:15">
      <c r="K644" s="1623">
        <v>42701</v>
      </c>
      <c r="L644" s="1624"/>
      <c r="M644" s="1625">
        <v>0</v>
      </c>
      <c r="N644" s="1626">
        <v>1.2530261852166518</v>
      </c>
      <c r="O644" s="1626">
        <v>1.2532989192791517</v>
      </c>
    </row>
    <row r="645" spans="11:15">
      <c r="K645" s="1623">
        <v>42702</v>
      </c>
      <c r="L645" s="1624" t="s">
        <v>2302</v>
      </c>
      <c r="M645" s="1625">
        <v>5.1659999999999998E-2</v>
      </c>
      <c r="N645" s="1626">
        <v>1.2536734985439348</v>
      </c>
      <c r="O645" s="1626">
        <v>1.2539572897344382</v>
      </c>
    </row>
    <row r="646" spans="11:15">
      <c r="K646" s="1623">
        <v>42703</v>
      </c>
      <c r="L646" s="1624" t="s">
        <v>2302</v>
      </c>
      <c r="M646" s="1625">
        <v>5.1659999999999998E-2</v>
      </c>
      <c r="N646" s="1626">
        <v>1.2543211462732828</v>
      </c>
      <c r="O646" s="1626">
        <v>1.2546160060383087</v>
      </c>
    </row>
    <row r="647" spans="11:15">
      <c r="K647" s="1623">
        <v>42704</v>
      </c>
      <c r="L647" s="1624" t="s">
        <v>2302</v>
      </c>
      <c r="M647" s="1625">
        <v>5.1659999999999998E-2</v>
      </c>
      <c r="N647" s="1626">
        <v>1.2549691285774478</v>
      </c>
      <c r="O647" s="1626">
        <v>1.2552750683724407</v>
      </c>
    </row>
    <row r="648" spans="11:15">
      <c r="K648" s="1623">
        <v>42705</v>
      </c>
      <c r="L648" s="1624" t="s">
        <v>2302</v>
      </c>
      <c r="M648" s="1625">
        <v>5.0788E-2</v>
      </c>
      <c r="N648" s="1626">
        <v>1.2556065022984697</v>
      </c>
      <c r="O648" s="1626">
        <v>1.2559344769186074</v>
      </c>
    </row>
    <row r="649" spans="11:15">
      <c r="K649" s="1623">
        <v>42706</v>
      </c>
      <c r="L649" s="1624" t="s">
        <v>2302</v>
      </c>
      <c r="M649" s="1625">
        <v>5.0788E-2</v>
      </c>
      <c r="N649" s="1626">
        <v>1.2562441997288571</v>
      </c>
      <c r="O649" s="1626">
        <v>1.2565942318586776</v>
      </c>
    </row>
    <row r="650" spans="11:15">
      <c r="K650" s="1623">
        <v>42707</v>
      </c>
      <c r="L650" s="1624"/>
      <c r="M650" s="1625">
        <v>0</v>
      </c>
      <c r="N650" s="1626">
        <v>1.2562441997288571</v>
      </c>
      <c r="O650" s="1626">
        <v>1.2565942318586776</v>
      </c>
    </row>
    <row r="651" spans="11:15">
      <c r="K651" s="1623">
        <v>42708</v>
      </c>
      <c r="L651" s="1624"/>
      <c r="M651" s="1625">
        <v>0</v>
      </c>
      <c r="N651" s="1626">
        <v>1.2562441997288571</v>
      </c>
      <c r="O651" s="1626">
        <v>1.2565942318586776</v>
      </c>
    </row>
    <row r="652" spans="11:15">
      <c r="K652" s="1623">
        <v>42709</v>
      </c>
      <c r="L652" s="1624" t="s">
        <v>2302</v>
      </c>
      <c r="M652" s="1625">
        <v>5.0788E-2</v>
      </c>
      <c r="N652" s="1626">
        <v>1.2568822210330155</v>
      </c>
      <c r="O652" s="1626">
        <v>1.2572543333746153</v>
      </c>
    </row>
    <row r="653" spans="11:15">
      <c r="K653" s="1623">
        <v>42710</v>
      </c>
      <c r="L653" s="1624" t="s">
        <v>2302</v>
      </c>
      <c r="M653" s="1625">
        <v>5.0788E-2</v>
      </c>
      <c r="N653" s="1626">
        <v>1.2575205663754339</v>
      </c>
      <c r="O653" s="1626">
        <v>1.2579147816484804</v>
      </c>
    </row>
    <row r="654" spans="11:15">
      <c r="K654" s="1623">
        <v>42711</v>
      </c>
      <c r="L654" s="1624" t="s">
        <v>2302</v>
      </c>
      <c r="M654" s="1625">
        <v>5.0788E-2</v>
      </c>
      <c r="N654" s="1626">
        <v>1.2581592359206846</v>
      </c>
      <c r="O654" s="1626">
        <v>1.258575576862428</v>
      </c>
    </row>
    <row r="655" spans="11:15">
      <c r="K655" s="1623">
        <v>42712</v>
      </c>
      <c r="L655" s="1624" t="s">
        <v>2302</v>
      </c>
      <c r="M655" s="1625">
        <v>5.0788E-2</v>
      </c>
      <c r="N655" s="1626">
        <v>1.2587982298334239</v>
      </c>
      <c r="O655" s="1626">
        <v>1.2592367191987097</v>
      </c>
    </row>
    <row r="656" spans="11:15">
      <c r="K656" s="1623">
        <v>42713</v>
      </c>
      <c r="L656" s="1624" t="s">
        <v>2302</v>
      </c>
      <c r="M656" s="1625">
        <v>5.0788E-2</v>
      </c>
      <c r="N656" s="1626">
        <v>1.2594375482783917</v>
      </c>
      <c r="O656" s="1626">
        <v>1.259898208839672</v>
      </c>
    </row>
    <row r="657" spans="11:15">
      <c r="K657" s="1623">
        <v>42714</v>
      </c>
      <c r="L657" s="1624"/>
      <c r="M657" s="1625">
        <v>0</v>
      </c>
      <c r="N657" s="1626">
        <v>1.2594375482783917</v>
      </c>
      <c r="O657" s="1626">
        <v>1.259898208839672</v>
      </c>
    </row>
    <row r="658" spans="11:15">
      <c r="K658" s="1623">
        <v>42715</v>
      </c>
      <c r="L658" s="1624"/>
      <c r="M658" s="1625">
        <v>0</v>
      </c>
      <c r="N658" s="1626">
        <v>1.2594375482783917</v>
      </c>
      <c r="O658" s="1626">
        <v>1.259898208839672</v>
      </c>
    </row>
    <row r="659" spans="11:15">
      <c r="K659" s="1623">
        <v>42716</v>
      </c>
      <c r="L659" s="1624" t="s">
        <v>2302</v>
      </c>
      <c r="M659" s="1625">
        <v>5.0788E-2</v>
      </c>
      <c r="N659" s="1626">
        <v>1.2600771914204114</v>
      </c>
      <c r="O659" s="1626">
        <v>1.2605600459677575</v>
      </c>
    </row>
    <row r="660" spans="11:15">
      <c r="K660" s="1623">
        <v>42717</v>
      </c>
      <c r="L660" s="1624" t="s">
        <v>2302</v>
      </c>
      <c r="M660" s="1625">
        <v>5.0788E-2</v>
      </c>
      <c r="N660" s="1626">
        <v>1.26071715942439</v>
      </c>
      <c r="O660" s="1626">
        <v>1.2612222307655048</v>
      </c>
    </row>
    <row r="661" spans="11:15">
      <c r="K661" s="1623">
        <v>42718</v>
      </c>
      <c r="L661" s="1624" t="s">
        <v>2302</v>
      </c>
      <c r="M661" s="1625">
        <v>5.0788E-2</v>
      </c>
      <c r="N661" s="1626">
        <v>1.2613574524553184</v>
      </c>
      <c r="O661" s="1626">
        <v>1.2618847634155481</v>
      </c>
    </row>
    <row r="662" spans="11:15">
      <c r="K662" s="1623">
        <v>42719</v>
      </c>
      <c r="L662" s="1624" t="s">
        <v>2302</v>
      </c>
      <c r="M662" s="1625">
        <v>5.0788E-2</v>
      </c>
      <c r="N662" s="1626">
        <v>1.2619980706782714</v>
      </c>
      <c r="O662" s="1626">
        <v>1.262547644100618</v>
      </c>
    </row>
    <row r="663" spans="11:15">
      <c r="K663" s="1623">
        <v>42720</v>
      </c>
      <c r="L663" s="1624" t="s">
        <v>2302</v>
      </c>
      <c r="M663" s="1625">
        <v>5.0788E-2</v>
      </c>
      <c r="N663" s="1626">
        <v>1.2626390142584074</v>
      </c>
      <c r="O663" s="1626">
        <v>1.2632108730035405</v>
      </c>
    </row>
    <row r="664" spans="11:15">
      <c r="K664" s="1623">
        <v>42721</v>
      </c>
      <c r="L664" s="1624"/>
      <c r="M664" s="1625">
        <v>0</v>
      </c>
      <c r="N664" s="1626">
        <v>1.2626390142584074</v>
      </c>
      <c r="O664" s="1626">
        <v>1.2632108730035405</v>
      </c>
    </row>
    <row r="665" spans="11:15">
      <c r="K665" s="1623">
        <v>42722</v>
      </c>
      <c r="L665" s="1624"/>
      <c r="M665" s="1625">
        <v>0</v>
      </c>
      <c r="N665" s="1626">
        <v>1.2626390142584074</v>
      </c>
      <c r="O665" s="1626">
        <v>1.2632108730035405</v>
      </c>
    </row>
    <row r="666" spans="11:15">
      <c r="K666" s="1623">
        <v>42723</v>
      </c>
      <c r="L666" s="1624" t="s">
        <v>2302</v>
      </c>
      <c r="M666" s="1625">
        <v>5.0788E-2</v>
      </c>
      <c r="N666" s="1626">
        <v>1.2632802833609691</v>
      </c>
      <c r="O666" s="1626">
        <v>1.2638744503072381</v>
      </c>
    </row>
    <row r="667" spans="11:15">
      <c r="K667" s="1623">
        <v>42724</v>
      </c>
      <c r="L667" s="1624" t="s">
        <v>2302</v>
      </c>
      <c r="M667" s="1625">
        <v>5.0788E-2</v>
      </c>
      <c r="N667" s="1626">
        <v>1.2639218781512824</v>
      </c>
      <c r="O667" s="1626">
        <v>1.2645383761947291</v>
      </c>
    </row>
    <row r="668" spans="11:15">
      <c r="K668" s="1623">
        <v>42725</v>
      </c>
      <c r="L668" s="1624" t="s">
        <v>2302</v>
      </c>
      <c r="M668" s="1625">
        <v>5.0788E-2</v>
      </c>
      <c r="N668" s="1626">
        <v>1.264563798794758</v>
      </c>
      <c r="O668" s="1626">
        <v>1.2652026508491279</v>
      </c>
    </row>
    <row r="669" spans="11:15">
      <c r="K669" s="1623">
        <v>42726</v>
      </c>
      <c r="L669" s="1624" t="s">
        <v>2302</v>
      </c>
      <c r="M669" s="1625">
        <v>5.0788E-2</v>
      </c>
      <c r="N669" s="1626">
        <v>1.2652060454568899</v>
      </c>
      <c r="O669" s="1626">
        <v>1.2658672744536454</v>
      </c>
    </row>
    <row r="670" spans="11:15">
      <c r="K670" s="1623">
        <v>42727</v>
      </c>
      <c r="L670" s="1624" t="s">
        <v>2302</v>
      </c>
      <c r="M670" s="1625">
        <v>5.0788E-2</v>
      </c>
      <c r="N670" s="1626">
        <v>1.2658486183032565</v>
      </c>
      <c r="O670" s="1626">
        <v>1.2665322471915887</v>
      </c>
    </row>
    <row r="671" spans="11:15">
      <c r="K671" s="1623">
        <v>42728</v>
      </c>
      <c r="L671" s="1624"/>
      <c r="M671" s="1625">
        <v>0</v>
      </c>
      <c r="N671" s="1626">
        <v>1.2658486183032565</v>
      </c>
      <c r="O671" s="1626">
        <v>1.2665322471915887</v>
      </c>
    </row>
    <row r="672" spans="11:15">
      <c r="K672" s="1623">
        <v>42729</v>
      </c>
      <c r="L672" s="1624"/>
      <c r="M672" s="1625">
        <v>0</v>
      </c>
      <c r="N672" s="1626">
        <v>1.2658486183032565</v>
      </c>
      <c r="O672" s="1626">
        <v>1.2665322471915887</v>
      </c>
    </row>
    <row r="673" spans="11:15">
      <c r="K673" s="1623">
        <v>42730</v>
      </c>
      <c r="L673" s="1624" t="s">
        <v>2302</v>
      </c>
      <c r="M673" s="1625">
        <v>5.0788E-2</v>
      </c>
      <c r="N673" s="1626">
        <v>1.2664915174995204</v>
      </c>
      <c r="O673" s="1626">
        <v>1.2671975692463611</v>
      </c>
    </row>
    <row r="674" spans="11:15">
      <c r="K674" s="1623">
        <v>42731</v>
      </c>
      <c r="L674" s="1624" t="s">
        <v>2302</v>
      </c>
      <c r="M674" s="1625">
        <v>5.0788E-2</v>
      </c>
      <c r="N674" s="1626">
        <v>1.2671347432114282</v>
      </c>
      <c r="O674" s="1626">
        <v>1.2678632408014618</v>
      </c>
    </row>
    <row r="675" spans="11:15">
      <c r="K675" s="1623">
        <v>42732</v>
      </c>
      <c r="L675" s="1624" t="s">
        <v>2302</v>
      </c>
      <c r="M675" s="1625">
        <v>5.0788E-2</v>
      </c>
      <c r="N675" s="1626">
        <v>1.2677782956048105</v>
      </c>
      <c r="O675" s="1626">
        <v>1.2685292620404873</v>
      </c>
    </row>
    <row r="676" spans="11:15">
      <c r="K676" s="1623">
        <v>42733</v>
      </c>
      <c r="L676" s="1624" t="s">
        <v>2302</v>
      </c>
      <c r="M676" s="1625">
        <v>5.0788E-2</v>
      </c>
      <c r="N676" s="1626">
        <v>1.2684221748455822</v>
      </c>
      <c r="O676" s="1626">
        <v>1.2691956331471299</v>
      </c>
    </row>
    <row r="677" spans="11:15">
      <c r="K677" s="1623">
        <v>42734</v>
      </c>
      <c r="L677" s="1624" t="s">
        <v>2302</v>
      </c>
      <c r="M677" s="1625">
        <v>5.0788E-2</v>
      </c>
      <c r="N677" s="1626">
        <v>1.2690663810997427</v>
      </c>
      <c r="O677" s="1626">
        <v>1.2698623543051784</v>
      </c>
    </row>
    <row r="678" spans="11:15">
      <c r="K678" s="1623">
        <v>42735</v>
      </c>
      <c r="L678" s="1624"/>
      <c r="M678" s="1625">
        <v>0</v>
      </c>
      <c r="N678" s="1626">
        <v>1.2690663810997427</v>
      </c>
      <c r="O678" s="1626">
        <v>1.2698623543051784</v>
      </c>
    </row>
    <row r="679" spans="11:15">
      <c r="K679" s="1623">
        <v>42736</v>
      </c>
      <c r="L679" s="1624"/>
      <c r="M679" s="1625">
        <v>0</v>
      </c>
      <c r="N679" s="1626">
        <v>1.2690663810997427</v>
      </c>
      <c r="O679" s="1626">
        <v>1.2698623543051784</v>
      </c>
    </row>
    <row r="680" spans="11:15">
      <c r="K680" s="1623">
        <v>42737</v>
      </c>
      <c r="L680" s="1624" t="s">
        <v>2302</v>
      </c>
      <c r="M680" s="1625">
        <v>5.0788E-2</v>
      </c>
      <c r="N680" s="1626">
        <v>1.2697109145333756</v>
      </c>
      <c r="O680" s="1626">
        <v>1.2705294256985185</v>
      </c>
    </row>
    <row r="681" spans="11:15">
      <c r="K681" s="1623">
        <v>42738</v>
      </c>
      <c r="L681" s="1624" t="s">
        <v>2302</v>
      </c>
      <c r="M681" s="1625">
        <v>5.0788E-2</v>
      </c>
      <c r="N681" s="1626">
        <v>1.2703557753126489</v>
      </c>
      <c r="O681" s="1626">
        <v>1.2711968475111322</v>
      </c>
    </row>
    <row r="682" spans="11:15">
      <c r="K682" s="1623">
        <v>42739</v>
      </c>
      <c r="L682" s="1624" t="s">
        <v>2302</v>
      </c>
      <c r="M682" s="1625">
        <v>5.0788E-2</v>
      </c>
      <c r="N682" s="1626">
        <v>1.2710009636038146</v>
      </c>
      <c r="O682" s="1626">
        <v>1.2718646199270982</v>
      </c>
    </row>
    <row r="683" spans="11:15">
      <c r="K683" s="1623">
        <v>42740</v>
      </c>
      <c r="L683" s="1624" t="s">
        <v>2302</v>
      </c>
      <c r="M683" s="1625">
        <v>5.0788E-2</v>
      </c>
      <c r="N683" s="1626">
        <v>1.2716464795732099</v>
      </c>
      <c r="O683" s="1626">
        <v>1.2725327431305922</v>
      </c>
    </row>
    <row r="684" spans="11:15">
      <c r="K684" s="1623">
        <v>42741</v>
      </c>
      <c r="L684" s="1624" t="s">
        <v>2302</v>
      </c>
      <c r="M684" s="1625">
        <v>5.0788E-2</v>
      </c>
      <c r="N684" s="1626">
        <v>1.2722923233872556</v>
      </c>
      <c r="O684" s="1626">
        <v>1.2732012173058862</v>
      </c>
    </row>
    <row r="685" spans="11:15">
      <c r="K685" s="1623">
        <v>42742</v>
      </c>
      <c r="L685" s="1624"/>
      <c r="M685" s="1625">
        <v>0</v>
      </c>
      <c r="N685" s="1626">
        <v>1.2722923233872556</v>
      </c>
      <c r="O685" s="1626">
        <v>1.2732012173058862</v>
      </c>
    </row>
    <row r="686" spans="11:15">
      <c r="K686" s="1623">
        <v>42743</v>
      </c>
      <c r="L686" s="1624"/>
      <c r="M686" s="1625">
        <v>0</v>
      </c>
      <c r="N686" s="1626">
        <v>1.2722923233872556</v>
      </c>
      <c r="O686" s="1626">
        <v>1.2732012173058862</v>
      </c>
    </row>
    <row r="687" spans="11:15">
      <c r="K687" s="1623">
        <v>42744</v>
      </c>
      <c r="L687" s="1624" t="s">
        <v>2302</v>
      </c>
      <c r="M687" s="1625">
        <v>5.0788E-2</v>
      </c>
      <c r="N687" s="1626">
        <v>1.2729384952124576</v>
      </c>
      <c r="O687" s="1626">
        <v>1.2738700426373493</v>
      </c>
    </row>
    <row r="688" spans="11:15">
      <c r="K688" s="1623">
        <v>42745</v>
      </c>
      <c r="L688" s="1624" t="s">
        <v>2302</v>
      </c>
      <c r="M688" s="1625">
        <v>5.0788E-2</v>
      </c>
      <c r="N688" s="1626">
        <v>1.2735849952154061</v>
      </c>
      <c r="O688" s="1626">
        <v>1.2745392193094471</v>
      </c>
    </row>
    <row r="689" spans="11:15">
      <c r="K689" s="1623">
        <v>42746</v>
      </c>
      <c r="L689" s="1624" t="s">
        <v>2302</v>
      </c>
      <c r="M689" s="1625">
        <v>5.0788E-2</v>
      </c>
      <c r="N689" s="1626">
        <v>1.2742318235627761</v>
      </c>
      <c r="O689" s="1626">
        <v>1.2752087475067426</v>
      </c>
    </row>
    <row r="690" spans="11:15">
      <c r="K690" s="1623">
        <v>42747</v>
      </c>
      <c r="L690" s="1624" t="s">
        <v>2302</v>
      </c>
      <c r="M690" s="1625">
        <v>4.8159E-2</v>
      </c>
      <c r="N690" s="1626">
        <v>1.2748454808666856</v>
      </c>
      <c r="O690" s="1626">
        <v>1.2758786274138953</v>
      </c>
    </row>
    <row r="691" spans="11:15">
      <c r="K691" s="1623">
        <v>42748</v>
      </c>
      <c r="L691" s="1624" t="s">
        <v>2302</v>
      </c>
      <c r="M691" s="1625">
        <v>4.8159E-2</v>
      </c>
      <c r="N691" s="1626">
        <v>1.2754594337018161</v>
      </c>
      <c r="O691" s="1626">
        <v>1.2765488592156622</v>
      </c>
    </row>
    <row r="692" spans="11:15">
      <c r="K692" s="1623">
        <v>42749</v>
      </c>
      <c r="L692" s="1624"/>
      <c r="M692" s="1625">
        <v>0</v>
      </c>
      <c r="N692" s="1626">
        <v>1.2754594337018161</v>
      </c>
      <c r="O692" s="1626">
        <v>1.2765488592156622</v>
      </c>
    </row>
    <row r="693" spans="11:15">
      <c r="K693" s="1623">
        <v>42750</v>
      </c>
      <c r="L693" s="1624"/>
      <c r="M693" s="1625">
        <v>0</v>
      </c>
      <c r="N693" s="1626">
        <v>1.2754594337018161</v>
      </c>
      <c r="O693" s="1626">
        <v>1.2765488592156622</v>
      </c>
    </row>
    <row r="694" spans="11:15">
      <c r="K694" s="1623">
        <v>42751</v>
      </c>
      <c r="L694" s="1624" t="s">
        <v>2302</v>
      </c>
      <c r="M694" s="1625">
        <v>4.8159E-2</v>
      </c>
      <c r="N694" s="1626">
        <v>1.2760736822104926</v>
      </c>
      <c r="O694" s="1626">
        <v>1.2772194430968968</v>
      </c>
    </row>
    <row r="695" spans="11:15">
      <c r="K695" s="1623">
        <v>42752</v>
      </c>
      <c r="L695" s="1624" t="s">
        <v>2302</v>
      </c>
      <c r="M695" s="1625">
        <v>4.8159E-2</v>
      </c>
      <c r="N695" s="1626">
        <v>1.2766882265351083</v>
      </c>
      <c r="O695" s="1626">
        <v>1.27789037924255</v>
      </c>
    </row>
    <row r="696" spans="11:15">
      <c r="K696" s="1623">
        <v>42753</v>
      </c>
      <c r="L696" s="1624" t="s">
        <v>2302</v>
      </c>
      <c r="M696" s="1625">
        <v>4.8159E-2</v>
      </c>
      <c r="N696" s="1626">
        <v>1.2773030668181251</v>
      </c>
      <c r="O696" s="1626">
        <v>1.2785616678376699</v>
      </c>
    </row>
    <row r="697" spans="11:15">
      <c r="K697" s="1623">
        <v>42754</v>
      </c>
      <c r="L697" s="1624" t="s">
        <v>2302</v>
      </c>
      <c r="M697" s="1625">
        <v>4.8159E-2</v>
      </c>
      <c r="N697" s="1626">
        <v>1.2779182032020739</v>
      </c>
      <c r="O697" s="1626">
        <v>1.2792333090674017</v>
      </c>
    </row>
    <row r="698" spans="11:15">
      <c r="K698" s="1623">
        <v>42755</v>
      </c>
      <c r="L698" s="1624" t="s">
        <v>2302</v>
      </c>
      <c r="M698" s="1625">
        <v>4.8159E-2</v>
      </c>
      <c r="N698" s="1626">
        <v>1.278533635829554</v>
      </c>
      <c r="O698" s="1626">
        <v>1.279905303116988</v>
      </c>
    </row>
    <row r="699" spans="11:15">
      <c r="K699" s="1623">
        <v>42756</v>
      </c>
      <c r="L699" s="1624"/>
      <c r="M699" s="1625">
        <v>0</v>
      </c>
      <c r="N699" s="1626">
        <v>1.278533635829554</v>
      </c>
      <c r="O699" s="1626">
        <v>1.279905303116988</v>
      </c>
    </row>
    <row r="700" spans="11:15">
      <c r="K700" s="1623">
        <v>42757</v>
      </c>
      <c r="L700" s="1624"/>
      <c r="M700" s="1625">
        <v>0</v>
      </c>
      <c r="N700" s="1626">
        <v>1.278533635829554</v>
      </c>
      <c r="O700" s="1626">
        <v>1.279905303116988</v>
      </c>
    </row>
    <row r="701" spans="11:15">
      <c r="K701" s="1623">
        <v>42758</v>
      </c>
      <c r="L701" s="1624" t="s">
        <v>2302</v>
      </c>
      <c r="M701" s="1625">
        <v>4.8159E-2</v>
      </c>
      <c r="N701" s="1626">
        <v>1.279149364843233</v>
      </c>
      <c r="O701" s="1626">
        <v>1.2805776501717685</v>
      </c>
    </row>
    <row r="702" spans="11:15">
      <c r="K702" s="1623">
        <v>42759</v>
      </c>
      <c r="L702" s="1624" t="s">
        <v>2302</v>
      </c>
      <c r="M702" s="1625">
        <v>4.8159E-2</v>
      </c>
      <c r="N702" s="1626">
        <v>1.2797653903858479</v>
      </c>
      <c r="O702" s="1626">
        <v>1.2812503504171802</v>
      </c>
    </row>
    <row r="703" spans="11:15">
      <c r="K703" s="1623">
        <v>42760</v>
      </c>
      <c r="L703" s="1624" t="s">
        <v>2302</v>
      </c>
      <c r="M703" s="1625">
        <v>4.8159E-2</v>
      </c>
      <c r="N703" s="1626">
        <v>1.2803817126002037</v>
      </c>
      <c r="O703" s="1626">
        <v>1.2819234040387577</v>
      </c>
    </row>
    <row r="704" spans="11:15">
      <c r="K704" s="1623">
        <v>42761</v>
      </c>
      <c r="L704" s="1624" t="s">
        <v>2302</v>
      </c>
      <c r="M704" s="1625">
        <v>4.8159E-2</v>
      </c>
      <c r="N704" s="1626">
        <v>1.2809983316291746</v>
      </c>
      <c r="O704" s="1626">
        <v>1.2825968112221333</v>
      </c>
    </row>
    <row r="705" spans="11:15">
      <c r="K705" s="1623">
        <v>42762</v>
      </c>
      <c r="L705" s="1624" t="s">
        <v>2302</v>
      </c>
      <c r="M705" s="1625">
        <v>4.8159E-2</v>
      </c>
      <c r="N705" s="1626">
        <v>1.2816152476157039</v>
      </c>
      <c r="O705" s="1626">
        <v>1.2832705721530364</v>
      </c>
    </row>
    <row r="706" spans="11:15">
      <c r="K706" s="1623">
        <v>42763</v>
      </c>
      <c r="L706" s="1624"/>
      <c r="M706" s="1625">
        <v>0</v>
      </c>
      <c r="N706" s="1626">
        <v>1.2816152476157039</v>
      </c>
      <c r="O706" s="1626">
        <v>1.2832705721530364</v>
      </c>
    </row>
    <row r="707" spans="11:15">
      <c r="K707" s="1623">
        <v>42764</v>
      </c>
      <c r="L707" s="1624"/>
      <c r="M707" s="1625">
        <v>0</v>
      </c>
      <c r="N707" s="1626">
        <v>1.2816152476157039</v>
      </c>
      <c r="O707" s="1626">
        <v>1.2832705721530364</v>
      </c>
    </row>
    <row r="708" spans="11:15">
      <c r="K708" s="1623">
        <v>42765</v>
      </c>
      <c r="L708" s="1624" t="s">
        <v>2302</v>
      </c>
      <c r="M708" s="1625">
        <v>4.8159E-2</v>
      </c>
      <c r="N708" s="1626">
        <v>1.2822324607028031</v>
      </c>
      <c r="O708" s="1626">
        <v>1.2839446870172941</v>
      </c>
    </row>
    <row r="709" spans="11:15">
      <c r="K709" s="1623">
        <v>42766</v>
      </c>
      <c r="L709" s="1624" t="s">
        <v>2302</v>
      </c>
      <c r="M709" s="1625">
        <v>4.8159E-2</v>
      </c>
      <c r="N709" s="1626">
        <v>1.2828499710335528</v>
      </c>
      <c r="O709" s="1626">
        <v>1.2846191560008311</v>
      </c>
    </row>
    <row r="710" spans="11:15">
      <c r="K710" s="1623">
        <v>42767</v>
      </c>
      <c r="L710" s="1624" t="s">
        <v>2302</v>
      </c>
      <c r="M710" s="1625">
        <v>4.8159E-2</v>
      </c>
      <c r="N710" s="1626">
        <v>1.2834677787511029</v>
      </c>
      <c r="O710" s="1626">
        <v>1.2852939792896698</v>
      </c>
    </row>
    <row r="711" spans="11:15">
      <c r="K711" s="1623">
        <v>42768</v>
      </c>
      <c r="L711" s="1624" t="s">
        <v>2302</v>
      </c>
      <c r="M711" s="1625">
        <v>4.8159E-2</v>
      </c>
      <c r="N711" s="1626">
        <v>1.2840858839986715</v>
      </c>
      <c r="O711" s="1626">
        <v>1.2859691570699305</v>
      </c>
    </row>
    <row r="712" spans="11:15">
      <c r="K712" s="1623">
        <v>42769</v>
      </c>
      <c r="L712" s="1624" t="s">
        <v>2302</v>
      </c>
      <c r="M712" s="1625">
        <v>4.8159E-2</v>
      </c>
      <c r="N712" s="1626">
        <v>1.2847042869195464</v>
      </c>
      <c r="O712" s="1626">
        <v>1.286644689527831</v>
      </c>
    </row>
    <row r="713" spans="11:15">
      <c r="K713" s="1623">
        <v>42770</v>
      </c>
      <c r="L713" s="1624"/>
      <c r="M713" s="1625">
        <v>0</v>
      </c>
      <c r="N713" s="1626">
        <v>1.2847042869195464</v>
      </c>
      <c r="O713" s="1626">
        <v>1.286644689527831</v>
      </c>
    </row>
    <row r="714" spans="11:15">
      <c r="K714" s="1623">
        <v>42771</v>
      </c>
      <c r="L714" s="1624"/>
      <c r="M714" s="1625">
        <v>0</v>
      </c>
      <c r="N714" s="1626">
        <v>1.2847042869195464</v>
      </c>
      <c r="O714" s="1626">
        <v>1.286644689527831</v>
      </c>
    </row>
    <row r="715" spans="11:15">
      <c r="K715" s="1623">
        <v>42772</v>
      </c>
      <c r="L715" s="1624" t="s">
        <v>2302</v>
      </c>
      <c r="M715" s="1625">
        <v>4.8159E-2</v>
      </c>
      <c r="N715" s="1626">
        <v>1.285322987657084</v>
      </c>
      <c r="O715" s="1626">
        <v>1.2873205768496869</v>
      </c>
    </row>
    <row r="716" spans="11:15">
      <c r="K716" s="1623">
        <v>42773</v>
      </c>
      <c r="L716" s="1624" t="s">
        <v>2302</v>
      </c>
      <c r="M716" s="1625">
        <v>4.8159E-2</v>
      </c>
      <c r="N716" s="1626">
        <v>1.2859419863547097</v>
      </c>
      <c r="O716" s="1626">
        <v>1.2879968192219118</v>
      </c>
    </row>
    <row r="717" spans="11:15">
      <c r="K717" s="1623">
        <v>42774</v>
      </c>
      <c r="L717" s="1624" t="s">
        <v>2302</v>
      </c>
      <c r="M717" s="1625">
        <v>4.8159E-2</v>
      </c>
      <c r="N717" s="1626">
        <v>1.2865612831559181</v>
      </c>
      <c r="O717" s="1626">
        <v>1.2886734168310172</v>
      </c>
    </row>
    <row r="718" spans="11:15">
      <c r="K718" s="1623">
        <v>42775</v>
      </c>
      <c r="L718" s="1624" t="s">
        <v>2302</v>
      </c>
      <c r="M718" s="1625">
        <v>4.8159E-2</v>
      </c>
      <c r="N718" s="1626">
        <v>1.2871808782042731</v>
      </c>
      <c r="O718" s="1626">
        <v>1.2893503698636126</v>
      </c>
    </row>
    <row r="719" spans="11:15">
      <c r="K719" s="1623">
        <v>42776</v>
      </c>
      <c r="L719" s="1624" t="s">
        <v>2302</v>
      </c>
      <c r="M719" s="1625">
        <v>4.8159E-2</v>
      </c>
      <c r="N719" s="1626">
        <v>1.2878007716434074</v>
      </c>
      <c r="O719" s="1626">
        <v>1.2900276785064058</v>
      </c>
    </row>
    <row r="720" spans="11:15">
      <c r="K720" s="1623">
        <v>42777</v>
      </c>
      <c r="L720" s="1624"/>
      <c r="M720" s="1625">
        <v>0</v>
      </c>
      <c r="N720" s="1626">
        <v>1.2878007716434074</v>
      </c>
      <c r="O720" s="1626">
        <v>1.2900276785064058</v>
      </c>
    </row>
    <row r="721" spans="11:15">
      <c r="K721" s="1623">
        <v>42778</v>
      </c>
      <c r="L721" s="1624"/>
      <c r="M721" s="1625">
        <v>0</v>
      </c>
      <c r="N721" s="1626">
        <v>1.2878007716434074</v>
      </c>
      <c r="O721" s="1626">
        <v>1.2900276785064058</v>
      </c>
    </row>
    <row r="722" spans="11:15">
      <c r="K722" s="1623">
        <v>42779</v>
      </c>
      <c r="L722" s="1624" t="s">
        <v>2302</v>
      </c>
      <c r="M722" s="1625">
        <v>4.8159E-2</v>
      </c>
      <c r="N722" s="1626">
        <v>1.2884209636170232</v>
      </c>
      <c r="O722" s="1626">
        <v>1.2907053429462019</v>
      </c>
    </row>
    <row r="723" spans="11:15">
      <c r="K723" s="1623">
        <v>42780</v>
      </c>
      <c r="L723" s="1624" t="s">
        <v>2302</v>
      </c>
      <c r="M723" s="1625">
        <v>4.8159E-2</v>
      </c>
      <c r="N723" s="1626">
        <v>1.2890414542688915</v>
      </c>
      <c r="O723" s="1626">
        <v>1.291383363369905</v>
      </c>
    </row>
    <row r="724" spans="11:15">
      <c r="K724" s="1623">
        <v>42781</v>
      </c>
      <c r="L724" s="1624" t="s">
        <v>2302</v>
      </c>
      <c r="M724" s="1625">
        <v>4.8159E-2</v>
      </c>
      <c r="N724" s="1626">
        <v>1.2896622437428527</v>
      </c>
      <c r="O724" s="1626">
        <v>1.2920617399645169</v>
      </c>
    </row>
    <row r="725" spans="11:15">
      <c r="K725" s="1623">
        <v>42782</v>
      </c>
      <c r="L725" s="1624" t="s">
        <v>2302</v>
      </c>
      <c r="M725" s="1625">
        <v>4.8159E-2</v>
      </c>
      <c r="N725" s="1626">
        <v>1.2902833321828167</v>
      </c>
      <c r="O725" s="1626">
        <v>1.2927404729171377</v>
      </c>
    </row>
    <row r="726" spans="11:15">
      <c r="K726" s="1623">
        <v>42783</v>
      </c>
      <c r="L726" s="1624" t="s">
        <v>2302</v>
      </c>
      <c r="M726" s="1625">
        <v>4.8159E-2</v>
      </c>
      <c r="N726" s="1626">
        <v>1.2909047197327626</v>
      </c>
      <c r="O726" s="1626">
        <v>1.2934195624149658</v>
      </c>
    </row>
    <row r="727" spans="11:15">
      <c r="K727" s="1623">
        <v>42784</v>
      </c>
      <c r="L727" s="1624"/>
      <c r="M727" s="1625">
        <v>0</v>
      </c>
      <c r="N727" s="1626">
        <v>1.2909047197327626</v>
      </c>
      <c r="O727" s="1626">
        <v>1.2934195624149658</v>
      </c>
    </row>
    <row r="728" spans="11:15">
      <c r="K728" s="1623">
        <v>42785</v>
      </c>
      <c r="L728" s="1624"/>
      <c r="M728" s="1625">
        <v>0</v>
      </c>
      <c r="N728" s="1626">
        <v>1.2909047197327626</v>
      </c>
      <c r="O728" s="1626">
        <v>1.2934195624149658</v>
      </c>
    </row>
    <row r="729" spans="11:15">
      <c r="K729" s="1623">
        <v>42786</v>
      </c>
      <c r="L729" s="1624" t="s">
        <v>2302</v>
      </c>
      <c r="M729" s="1625">
        <v>4.8159E-2</v>
      </c>
      <c r="N729" s="1626">
        <v>1.2915264065367384</v>
      </c>
      <c r="O729" s="1626">
        <v>1.2940990086452979</v>
      </c>
    </row>
    <row r="730" spans="11:15">
      <c r="K730" s="1623">
        <v>42787</v>
      </c>
      <c r="L730" s="1624" t="s">
        <v>2302</v>
      </c>
      <c r="M730" s="1625">
        <v>4.8159E-2</v>
      </c>
      <c r="N730" s="1626">
        <v>1.2921483927388624</v>
      </c>
      <c r="O730" s="1626">
        <v>1.2947788117955294</v>
      </c>
    </row>
    <row r="731" spans="11:15">
      <c r="K731" s="1623">
        <v>42788</v>
      </c>
      <c r="L731" s="1624" t="s">
        <v>2302</v>
      </c>
      <c r="M731" s="1625">
        <v>4.8159E-2</v>
      </c>
      <c r="N731" s="1626">
        <v>1.2927706784833215</v>
      </c>
      <c r="O731" s="1626">
        <v>1.2954589720531537</v>
      </c>
    </row>
    <row r="732" spans="11:15">
      <c r="K732" s="1623">
        <v>42789</v>
      </c>
      <c r="L732" s="1624" t="s">
        <v>2302</v>
      </c>
      <c r="M732" s="1625">
        <v>4.5512999999999998E-2</v>
      </c>
      <c r="N732" s="1626">
        <v>1.2933590572022196</v>
      </c>
      <c r="O732" s="1626">
        <v>1.296139489605763</v>
      </c>
    </row>
    <row r="733" spans="11:15">
      <c r="K733" s="1623">
        <v>42790</v>
      </c>
      <c r="L733" s="1624" t="s">
        <v>2302</v>
      </c>
      <c r="M733" s="1625">
        <v>4.5512999999999998E-2</v>
      </c>
      <c r="N733" s="1626">
        <v>1.2939477037099241</v>
      </c>
      <c r="O733" s="1626">
        <v>1.2968203646410479</v>
      </c>
    </row>
    <row r="734" spans="11:15">
      <c r="K734" s="1623">
        <v>42791</v>
      </c>
      <c r="L734" s="1624"/>
      <c r="M734" s="1625">
        <v>0</v>
      </c>
      <c r="N734" s="1626">
        <v>1.2939477037099241</v>
      </c>
      <c r="O734" s="1626">
        <v>1.2968203646410479</v>
      </c>
    </row>
    <row r="735" spans="11:15">
      <c r="K735" s="1623">
        <v>42792</v>
      </c>
      <c r="L735" s="1624"/>
      <c r="M735" s="1625">
        <v>0</v>
      </c>
      <c r="N735" s="1626">
        <v>1.2939477037099241</v>
      </c>
      <c r="O735" s="1626">
        <v>1.2968203646410479</v>
      </c>
    </row>
    <row r="736" spans="11:15">
      <c r="K736" s="1623">
        <v>42793</v>
      </c>
      <c r="L736" s="1624"/>
      <c r="M736" s="1625">
        <v>0</v>
      </c>
      <c r="N736" s="1626">
        <v>1.2939477037099241</v>
      </c>
      <c r="O736" s="1626">
        <v>1.2968203646410479</v>
      </c>
    </row>
    <row r="737" spans="11:15">
      <c r="K737" s="1623">
        <v>42794</v>
      </c>
      <c r="L737" s="1624"/>
      <c r="M737" s="1625">
        <v>0</v>
      </c>
      <c r="N737" s="1626">
        <v>1.2939477037099241</v>
      </c>
      <c r="O737" s="1626">
        <v>1.2968203646410479</v>
      </c>
    </row>
    <row r="738" spans="11:15">
      <c r="K738" s="1623">
        <v>42795</v>
      </c>
      <c r="L738" s="1624" t="s">
        <v>2302</v>
      </c>
      <c r="M738" s="1625">
        <v>4.5512999999999998E-2</v>
      </c>
      <c r="N738" s="1626">
        <v>1.2945366181283136</v>
      </c>
      <c r="O738" s="1626">
        <v>1.2975015973467974</v>
      </c>
    </row>
    <row r="739" spans="11:15">
      <c r="K739" s="1623">
        <v>42796</v>
      </c>
      <c r="L739" s="1624" t="s">
        <v>2302</v>
      </c>
      <c r="M739" s="1625">
        <v>4.5512999999999998E-2</v>
      </c>
      <c r="N739" s="1626">
        <v>1.2951258005793223</v>
      </c>
      <c r="O739" s="1626">
        <v>1.2981831879108996</v>
      </c>
    </row>
    <row r="740" spans="11:15">
      <c r="K740" s="1623">
        <v>42797</v>
      </c>
      <c r="L740" s="1624" t="s">
        <v>2302</v>
      </c>
      <c r="M740" s="1625">
        <v>4.5512999999999998E-2</v>
      </c>
      <c r="N740" s="1626">
        <v>1.2957152511849399</v>
      </c>
      <c r="O740" s="1626">
        <v>1.2988651365213411</v>
      </c>
    </row>
    <row r="741" spans="11:15">
      <c r="K741" s="1623">
        <v>42798</v>
      </c>
      <c r="L741" s="1624"/>
      <c r="M741" s="1625">
        <v>0</v>
      </c>
      <c r="N741" s="1626">
        <v>1.2957152511849399</v>
      </c>
      <c r="O741" s="1626">
        <v>1.2988651365213411</v>
      </c>
    </row>
    <row r="742" spans="11:15">
      <c r="K742" s="1623">
        <v>42799</v>
      </c>
      <c r="L742" s="1624"/>
      <c r="M742" s="1625">
        <v>0</v>
      </c>
      <c r="N742" s="1626">
        <v>1.2957152511849399</v>
      </c>
      <c r="O742" s="1626">
        <v>1.2988651365213411</v>
      </c>
    </row>
    <row r="743" spans="11:15">
      <c r="K743" s="1623">
        <v>42800</v>
      </c>
      <c r="L743" s="1624" t="s">
        <v>2302</v>
      </c>
      <c r="M743" s="1625">
        <v>4.5512999999999998E-2</v>
      </c>
      <c r="N743" s="1626">
        <v>1.2963049700672116</v>
      </c>
      <c r="O743" s="1626">
        <v>1.2995474433662071</v>
      </c>
    </row>
    <row r="744" spans="11:15">
      <c r="K744" s="1623">
        <v>42801</v>
      </c>
      <c r="L744" s="1624" t="s">
        <v>2302</v>
      </c>
      <c r="M744" s="1625">
        <v>4.5512999999999998E-2</v>
      </c>
      <c r="N744" s="1626">
        <v>1.2968949573482382</v>
      </c>
      <c r="O744" s="1626">
        <v>1.3002301086336818</v>
      </c>
    </row>
    <row r="745" spans="11:15">
      <c r="K745" s="1623">
        <v>42802</v>
      </c>
      <c r="L745" s="1624" t="s">
        <v>2302</v>
      </c>
      <c r="M745" s="1625">
        <v>4.5512999999999998E-2</v>
      </c>
      <c r="N745" s="1626">
        <v>1.2974852131501762</v>
      </c>
      <c r="O745" s="1626">
        <v>1.3009131325120482</v>
      </c>
    </row>
    <row r="746" spans="11:15">
      <c r="K746" s="1623">
        <v>42803</v>
      </c>
      <c r="L746" s="1624" t="s">
        <v>2302</v>
      </c>
      <c r="M746" s="1625">
        <v>4.5512999999999998E-2</v>
      </c>
      <c r="N746" s="1626">
        <v>1.2980757375952372</v>
      </c>
      <c r="O746" s="1626">
        <v>1.3015965151896882</v>
      </c>
    </row>
    <row r="747" spans="11:15">
      <c r="K747" s="1623">
        <v>42804</v>
      </c>
      <c r="L747" s="1624" t="s">
        <v>2302</v>
      </c>
      <c r="M747" s="1625">
        <v>4.5512999999999998E-2</v>
      </c>
      <c r="N747" s="1626">
        <v>1.2986665308056888</v>
      </c>
      <c r="O747" s="1626">
        <v>1.3022802568550824</v>
      </c>
    </row>
    <row r="748" spans="11:15">
      <c r="K748" s="1623">
        <v>42805</v>
      </c>
      <c r="L748" s="1624"/>
      <c r="M748" s="1625">
        <v>0</v>
      </c>
      <c r="N748" s="1626">
        <v>1.2986665308056888</v>
      </c>
      <c r="O748" s="1626">
        <v>1.3022802568550824</v>
      </c>
    </row>
    <row r="749" spans="11:15">
      <c r="K749" s="1623">
        <v>42806</v>
      </c>
      <c r="L749" s="1624"/>
      <c r="M749" s="1625">
        <v>0</v>
      </c>
      <c r="N749" s="1626">
        <v>1.2986665308056888</v>
      </c>
      <c r="O749" s="1626">
        <v>1.3022802568550824</v>
      </c>
    </row>
    <row r="750" spans="11:15">
      <c r="K750" s="1623">
        <v>42807</v>
      </c>
      <c r="L750" s="1624" t="s">
        <v>2302</v>
      </c>
      <c r="M750" s="1625">
        <v>4.5512999999999998E-2</v>
      </c>
      <c r="N750" s="1626">
        <v>1.2992575929038543</v>
      </c>
      <c r="O750" s="1626">
        <v>1.3029643576968111</v>
      </c>
    </row>
    <row r="751" spans="11:15">
      <c r="K751" s="1623">
        <v>42808</v>
      </c>
      <c r="L751" s="1624" t="s">
        <v>2302</v>
      </c>
      <c r="M751" s="1625">
        <v>4.5512999999999998E-2</v>
      </c>
      <c r="N751" s="1626">
        <v>1.2998489240121127</v>
      </c>
      <c r="O751" s="1626">
        <v>1.3036488179035528</v>
      </c>
    </row>
    <row r="752" spans="11:15">
      <c r="K752" s="1623">
        <v>42809</v>
      </c>
      <c r="L752" s="1624" t="s">
        <v>2302</v>
      </c>
      <c r="M752" s="1625">
        <v>4.5512999999999998E-2</v>
      </c>
      <c r="N752" s="1626">
        <v>1.3004405242528982</v>
      </c>
      <c r="O752" s="1626">
        <v>1.3043336376640857</v>
      </c>
    </row>
    <row r="753" spans="11:15">
      <c r="K753" s="1623">
        <v>42810</v>
      </c>
      <c r="L753" s="1624" t="s">
        <v>2302</v>
      </c>
      <c r="M753" s="1625">
        <v>4.5512999999999998E-2</v>
      </c>
      <c r="N753" s="1626">
        <v>1.3010323937487014</v>
      </c>
      <c r="O753" s="1626">
        <v>1.305018817167287</v>
      </c>
    </row>
    <row r="754" spans="11:15">
      <c r="K754" s="1623">
        <v>42811</v>
      </c>
      <c r="L754" s="1624" t="s">
        <v>2302</v>
      </c>
      <c r="M754" s="1625">
        <v>4.5512999999999998E-2</v>
      </c>
      <c r="N754" s="1626">
        <v>1.3016245326220681</v>
      </c>
      <c r="O754" s="1626">
        <v>1.3057043566021331</v>
      </c>
    </row>
    <row r="755" spans="11:15">
      <c r="K755" s="1623">
        <v>42812</v>
      </c>
      <c r="L755" s="1624"/>
      <c r="M755" s="1625">
        <v>0</v>
      </c>
      <c r="N755" s="1626">
        <v>1.3016245326220681</v>
      </c>
      <c r="O755" s="1626">
        <v>1.3057043566021331</v>
      </c>
    </row>
    <row r="756" spans="11:15">
      <c r="K756" s="1623">
        <v>42813</v>
      </c>
      <c r="L756" s="1624"/>
      <c r="M756" s="1625">
        <v>0</v>
      </c>
      <c r="N756" s="1626">
        <v>1.3016245326220681</v>
      </c>
      <c r="O756" s="1626">
        <v>1.3057043566021331</v>
      </c>
    </row>
    <row r="757" spans="11:15">
      <c r="K757" s="1623">
        <v>42814</v>
      </c>
      <c r="L757" s="1624" t="s">
        <v>2302</v>
      </c>
      <c r="M757" s="1625">
        <v>4.5512999999999998E-2</v>
      </c>
      <c r="N757" s="1626">
        <v>1.3022169409956004</v>
      </c>
      <c r="O757" s="1626">
        <v>1.3063902561576999</v>
      </c>
    </row>
    <row r="758" spans="11:15">
      <c r="K758" s="1623">
        <v>42815</v>
      </c>
      <c r="L758" s="1624" t="s">
        <v>2302</v>
      </c>
      <c r="M758" s="1625">
        <v>4.5512999999999998E-2</v>
      </c>
      <c r="N758" s="1626">
        <v>1.3028096189919556</v>
      </c>
      <c r="O758" s="1626">
        <v>1.3070765160231621</v>
      </c>
    </row>
    <row r="759" spans="11:15">
      <c r="K759" s="1623">
        <v>42816</v>
      </c>
      <c r="L759" s="1624" t="s">
        <v>2302</v>
      </c>
      <c r="M759" s="1625">
        <v>4.5512999999999998E-2</v>
      </c>
      <c r="N759" s="1626">
        <v>1.3034025667338474</v>
      </c>
      <c r="O759" s="1626">
        <v>1.3077631363877942</v>
      </c>
    </row>
    <row r="760" spans="11:15">
      <c r="K760" s="1623">
        <v>42817</v>
      </c>
      <c r="L760" s="1624" t="s">
        <v>2302</v>
      </c>
      <c r="M760" s="1625">
        <v>4.5512999999999998E-2</v>
      </c>
      <c r="N760" s="1626">
        <v>1.3039957843440448</v>
      </c>
      <c r="O760" s="1626">
        <v>1.30845011744097</v>
      </c>
    </row>
    <row r="761" spans="11:15">
      <c r="K761" s="1623">
        <v>42818</v>
      </c>
      <c r="L761" s="1624" t="s">
        <v>2302</v>
      </c>
      <c r="M761" s="1625">
        <v>4.5512999999999998E-2</v>
      </c>
      <c r="N761" s="1626">
        <v>1.3045892719453733</v>
      </c>
      <c r="O761" s="1626">
        <v>1.309137459372163</v>
      </c>
    </row>
    <row r="762" spans="11:15">
      <c r="K762" s="1623">
        <v>42819</v>
      </c>
      <c r="L762" s="1624"/>
      <c r="M762" s="1625">
        <v>0</v>
      </c>
      <c r="N762" s="1626">
        <v>1.3045892719453733</v>
      </c>
      <c r="O762" s="1626">
        <v>1.309137459372163</v>
      </c>
    </row>
    <row r="763" spans="11:15">
      <c r="K763" s="1623">
        <v>42820</v>
      </c>
      <c r="L763" s="1624"/>
      <c r="M763" s="1625">
        <v>0</v>
      </c>
      <c r="N763" s="1626">
        <v>1.3045892719453733</v>
      </c>
      <c r="O763" s="1626">
        <v>1.309137459372163</v>
      </c>
    </row>
    <row r="764" spans="11:15">
      <c r="K764" s="1623">
        <v>42821</v>
      </c>
      <c r="L764" s="1624" t="s">
        <v>2302</v>
      </c>
      <c r="M764" s="1625">
        <v>4.5512999999999998E-2</v>
      </c>
      <c r="N764" s="1626">
        <v>1.3051830296607139</v>
      </c>
      <c r="O764" s="1626">
        <v>1.3098251623709458</v>
      </c>
    </row>
    <row r="765" spans="11:15">
      <c r="K765" s="1623">
        <v>42822</v>
      </c>
      <c r="L765" s="1624" t="s">
        <v>2302</v>
      </c>
      <c r="M765" s="1625">
        <v>4.5512999999999998E-2</v>
      </c>
      <c r="N765" s="1626">
        <v>1.3057770576130032</v>
      </c>
      <c r="O765" s="1626">
        <v>1.310513226626991</v>
      </c>
    </row>
    <row r="766" spans="11:15">
      <c r="K766" s="1623">
        <v>42823</v>
      </c>
      <c r="L766" s="1624" t="s">
        <v>2302</v>
      </c>
      <c r="M766" s="1625">
        <v>4.5512999999999998E-2</v>
      </c>
      <c r="N766" s="1626">
        <v>1.3063713559252346</v>
      </c>
      <c r="O766" s="1626">
        <v>1.3112016523300705</v>
      </c>
    </row>
    <row r="767" spans="11:15">
      <c r="K767" s="1623">
        <v>42824</v>
      </c>
      <c r="L767" s="1624" t="s">
        <v>2302</v>
      </c>
      <c r="M767" s="1625">
        <v>4.5512999999999998E-2</v>
      </c>
      <c r="N767" s="1626">
        <v>1.3069659247204568</v>
      </c>
      <c r="O767" s="1626">
        <v>1.3118904396700559</v>
      </c>
    </row>
    <row r="768" spans="11:15">
      <c r="K768" s="1623">
        <v>42825</v>
      </c>
      <c r="L768" s="1624" t="s">
        <v>2302</v>
      </c>
      <c r="M768" s="1625">
        <v>4.5512999999999998E-2</v>
      </c>
      <c r="N768" s="1626">
        <v>1.3075607641217748</v>
      </c>
      <c r="O768" s="1626">
        <v>1.3125795888369189</v>
      </c>
    </row>
    <row r="769" spans="11:15">
      <c r="K769" s="1623">
        <v>42826</v>
      </c>
      <c r="L769" s="1624"/>
      <c r="M769" s="1625">
        <v>0</v>
      </c>
      <c r="N769" s="1626">
        <v>1.3075607641217748</v>
      </c>
      <c r="O769" s="1626">
        <v>1.3125795888369189</v>
      </c>
    </row>
    <row r="770" spans="11:15">
      <c r="K770" s="1623">
        <v>42827</v>
      </c>
      <c r="L770" s="1624"/>
      <c r="M770" s="1625">
        <v>0</v>
      </c>
      <c r="N770" s="1626">
        <v>1.3075607641217748</v>
      </c>
      <c r="O770" s="1626">
        <v>1.3125795888369189</v>
      </c>
    </row>
    <row r="771" spans="11:15">
      <c r="K771" s="1623">
        <v>42828</v>
      </c>
      <c r="L771" s="1624" t="s">
        <v>2302</v>
      </c>
      <c r="M771" s="1625">
        <v>4.5512999999999998E-2</v>
      </c>
      <c r="N771" s="1626">
        <v>1.3081558742523496</v>
      </c>
      <c r="O771" s="1626">
        <v>1.3132691000207308</v>
      </c>
    </row>
    <row r="772" spans="11:15">
      <c r="K772" s="1623">
        <v>42829</v>
      </c>
      <c r="L772" s="1624" t="s">
        <v>2302</v>
      </c>
      <c r="M772" s="1625">
        <v>4.5512999999999998E-2</v>
      </c>
      <c r="N772" s="1626">
        <v>1.3087512552353979</v>
      </c>
      <c r="O772" s="1626">
        <v>1.3139589734116628</v>
      </c>
    </row>
    <row r="773" spans="11:15">
      <c r="K773" s="1623">
        <v>42830</v>
      </c>
      <c r="L773" s="1624" t="s">
        <v>2302</v>
      </c>
      <c r="M773" s="1625">
        <v>4.5512999999999998E-2</v>
      </c>
      <c r="N773" s="1626">
        <v>1.3093469071941932</v>
      </c>
      <c r="O773" s="1626">
        <v>1.3146492091999857</v>
      </c>
    </row>
    <row r="774" spans="11:15">
      <c r="K774" s="1623">
        <v>42831</v>
      </c>
      <c r="L774" s="1624" t="s">
        <v>2302</v>
      </c>
      <c r="M774" s="1625">
        <v>4.5512999999999998E-2</v>
      </c>
      <c r="N774" s="1626">
        <v>1.3099428302520644</v>
      </c>
      <c r="O774" s="1626">
        <v>1.3153398075760705</v>
      </c>
    </row>
    <row r="775" spans="11:15">
      <c r="K775" s="1623">
        <v>42832</v>
      </c>
      <c r="L775" s="1624" t="s">
        <v>2302</v>
      </c>
      <c r="M775" s="1625">
        <v>4.5512999999999998E-2</v>
      </c>
      <c r="N775" s="1626">
        <v>1.3105390245323969</v>
      </c>
      <c r="O775" s="1626">
        <v>1.3160307687303883</v>
      </c>
    </row>
    <row r="776" spans="11:15">
      <c r="K776" s="1623">
        <v>42833</v>
      </c>
      <c r="L776" s="1624"/>
      <c r="M776" s="1625">
        <v>0</v>
      </c>
      <c r="N776" s="1626">
        <v>1.3105390245323969</v>
      </c>
      <c r="O776" s="1626">
        <v>1.3160307687303883</v>
      </c>
    </row>
    <row r="777" spans="11:15">
      <c r="K777" s="1623">
        <v>42834</v>
      </c>
      <c r="L777" s="1624"/>
      <c r="M777" s="1625">
        <v>0</v>
      </c>
      <c r="N777" s="1626">
        <v>1.3105390245323969</v>
      </c>
      <c r="O777" s="1626">
        <v>1.3160307687303883</v>
      </c>
    </row>
    <row r="778" spans="11:15">
      <c r="K778" s="1623">
        <v>42835</v>
      </c>
      <c r="L778" s="1624" t="s">
        <v>2302</v>
      </c>
      <c r="M778" s="1625">
        <v>4.5512999999999998E-2</v>
      </c>
      <c r="N778" s="1626">
        <v>1.3111354901586323</v>
      </c>
      <c r="O778" s="1626">
        <v>1.3167220928535099</v>
      </c>
    </row>
    <row r="779" spans="11:15">
      <c r="K779" s="1623">
        <v>42836</v>
      </c>
      <c r="L779" s="1624" t="s">
        <v>2302</v>
      </c>
      <c r="M779" s="1625">
        <v>4.5512999999999998E-2</v>
      </c>
      <c r="N779" s="1626">
        <v>1.3117322272542682</v>
      </c>
      <c r="O779" s="1626">
        <v>1.3174137801361068</v>
      </c>
    </row>
    <row r="780" spans="11:15">
      <c r="K780" s="1623">
        <v>42837</v>
      </c>
      <c r="L780" s="1624" t="s">
        <v>2302</v>
      </c>
      <c r="M780" s="1625">
        <v>4.5512999999999998E-2</v>
      </c>
      <c r="N780" s="1626">
        <v>1.3123292359428584</v>
      </c>
      <c r="O780" s="1626">
        <v>1.3181058307689502</v>
      </c>
    </row>
    <row r="781" spans="11:15">
      <c r="K781" s="1623">
        <v>42838</v>
      </c>
      <c r="L781" s="1624" t="s">
        <v>2302</v>
      </c>
      <c r="M781" s="1625">
        <v>4.1957000000000001E-2</v>
      </c>
      <c r="N781" s="1626">
        <v>1.3128798499203831</v>
      </c>
      <c r="O781" s="1626">
        <v>1.3187982449429114</v>
      </c>
    </row>
    <row r="782" spans="11:15">
      <c r="K782" s="1623">
        <v>42839</v>
      </c>
      <c r="L782" s="1624"/>
      <c r="M782" s="1625">
        <v>0</v>
      </c>
      <c r="N782" s="1626">
        <v>1.3128798499203831</v>
      </c>
      <c r="O782" s="1626">
        <v>1.3187982449429114</v>
      </c>
    </row>
    <row r="783" spans="11:15">
      <c r="K783" s="1623">
        <v>42840</v>
      </c>
      <c r="L783" s="1624"/>
      <c r="M783" s="1625">
        <v>0</v>
      </c>
      <c r="N783" s="1626">
        <v>1.3128798499203831</v>
      </c>
      <c r="O783" s="1626">
        <v>1.3187982449429114</v>
      </c>
    </row>
    <row r="784" spans="11:15">
      <c r="K784" s="1623">
        <v>42841</v>
      </c>
      <c r="L784" s="1624"/>
      <c r="M784" s="1625">
        <v>0</v>
      </c>
      <c r="N784" s="1626">
        <v>1.3128798499203831</v>
      </c>
      <c r="O784" s="1626">
        <v>1.3187982449429114</v>
      </c>
    </row>
    <row r="785" spans="11:15">
      <c r="K785" s="1623">
        <v>42842</v>
      </c>
      <c r="L785" s="1624" t="s">
        <v>2302</v>
      </c>
      <c r="M785" s="1625">
        <v>4.1957000000000001E-2</v>
      </c>
      <c r="N785" s="1626">
        <v>1.3134306949190142</v>
      </c>
      <c r="O785" s="1626">
        <v>1.3194910228489625</v>
      </c>
    </row>
    <row r="786" spans="11:15">
      <c r="K786" s="1623">
        <v>42843</v>
      </c>
      <c r="L786" s="1624" t="s">
        <v>2302</v>
      </c>
      <c r="M786" s="1625">
        <v>4.1957000000000001E-2</v>
      </c>
      <c r="N786" s="1626">
        <v>1.3139817710356814</v>
      </c>
      <c r="O786" s="1626">
        <v>1.3201841646781753</v>
      </c>
    </row>
    <row r="787" spans="11:15">
      <c r="K787" s="1623">
        <v>42844</v>
      </c>
      <c r="L787" s="1624" t="s">
        <v>2302</v>
      </c>
      <c r="M787" s="1625">
        <v>4.1957000000000001E-2</v>
      </c>
      <c r="N787" s="1626">
        <v>1.3145330783673548</v>
      </c>
      <c r="O787" s="1626">
        <v>1.3208776706217225</v>
      </c>
    </row>
    <row r="788" spans="11:15">
      <c r="K788" s="1623">
        <v>42845</v>
      </c>
      <c r="L788" s="1624" t="s">
        <v>2302</v>
      </c>
      <c r="M788" s="1625">
        <v>4.1957000000000001E-2</v>
      </c>
      <c r="N788" s="1626">
        <v>1.3150846170110455</v>
      </c>
      <c r="O788" s="1626">
        <v>1.3215715408708768</v>
      </c>
    </row>
    <row r="789" spans="11:15">
      <c r="K789" s="1623">
        <v>42846</v>
      </c>
      <c r="L789" s="1624"/>
      <c r="M789" s="1625">
        <v>0</v>
      </c>
      <c r="N789" s="1626">
        <v>1.3150846170110455</v>
      </c>
      <c r="O789" s="1626">
        <v>1.3215715408708768</v>
      </c>
    </row>
    <row r="790" spans="11:15">
      <c r="K790" s="1623">
        <v>42847</v>
      </c>
      <c r="L790" s="1624"/>
      <c r="M790" s="1625">
        <v>0</v>
      </c>
      <c r="N790" s="1626">
        <v>1.3150846170110455</v>
      </c>
      <c r="O790" s="1626">
        <v>1.3215715408708768</v>
      </c>
    </row>
    <row r="791" spans="11:15">
      <c r="K791" s="1623">
        <v>42848</v>
      </c>
      <c r="L791" s="1624"/>
      <c r="M791" s="1625">
        <v>0</v>
      </c>
      <c r="N791" s="1626">
        <v>1.3150846170110455</v>
      </c>
      <c r="O791" s="1626">
        <v>1.3215715408708768</v>
      </c>
    </row>
    <row r="792" spans="11:15">
      <c r="K792" s="1623">
        <v>42849</v>
      </c>
      <c r="L792" s="1624" t="s">
        <v>2302</v>
      </c>
      <c r="M792" s="1625">
        <v>4.1957000000000001E-2</v>
      </c>
      <c r="N792" s="1626">
        <v>1.3156363870638048</v>
      </c>
      <c r="O792" s="1626">
        <v>1.3222657756170118</v>
      </c>
    </row>
    <row r="793" spans="11:15">
      <c r="K793" s="1623">
        <v>42850</v>
      </c>
      <c r="L793" s="1624" t="s">
        <v>2302</v>
      </c>
      <c r="M793" s="1625">
        <v>4.1957000000000001E-2</v>
      </c>
      <c r="N793" s="1626">
        <v>1.3161883886227252</v>
      </c>
      <c r="O793" s="1626">
        <v>1.322960375051601</v>
      </c>
    </row>
    <row r="794" spans="11:15">
      <c r="K794" s="1623">
        <v>42851</v>
      </c>
      <c r="L794" s="1624" t="s">
        <v>2302</v>
      </c>
      <c r="M794" s="1625">
        <v>4.1957000000000001E-2</v>
      </c>
      <c r="N794" s="1626">
        <v>1.3167406217849398</v>
      </c>
      <c r="O794" s="1626">
        <v>1.3236553393662194</v>
      </c>
    </row>
    <row r="795" spans="11:15">
      <c r="K795" s="1623">
        <v>42852</v>
      </c>
      <c r="L795" s="1624" t="s">
        <v>2302</v>
      </c>
      <c r="M795" s="1625">
        <v>4.1957000000000001E-2</v>
      </c>
      <c r="N795" s="1626">
        <v>1.3172930866476222</v>
      </c>
      <c r="O795" s="1626">
        <v>1.3243506687525419</v>
      </c>
    </row>
    <row r="796" spans="11:15">
      <c r="K796" s="1623">
        <v>42853</v>
      </c>
      <c r="L796" s="1624" t="s">
        <v>2302</v>
      </c>
      <c r="M796" s="1625">
        <v>4.1957000000000001E-2</v>
      </c>
      <c r="N796" s="1626">
        <v>1.3178457833079871</v>
      </c>
      <c r="O796" s="1626">
        <v>1.3250463634023444</v>
      </c>
    </row>
    <row r="797" spans="11:15">
      <c r="K797" s="1623">
        <v>42854</v>
      </c>
      <c r="L797" s="1624"/>
      <c r="M797" s="1625">
        <v>0</v>
      </c>
      <c r="N797" s="1626">
        <v>1.3178457833079871</v>
      </c>
      <c r="O797" s="1626">
        <v>1.3250463634023444</v>
      </c>
    </row>
    <row r="798" spans="11:15">
      <c r="K798" s="1623">
        <v>42855</v>
      </c>
      <c r="L798" s="1624"/>
      <c r="M798" s="1625">
        <v>0</v>
      </c>
      <c r="N798" s="1626">
        <v>1.3178457833079871</v>
      </c>
      <c r="O798" s="1626">
        <v>1.3250463634023444</v>
      </c>
    </row>
    <row r="799" spans="11:15">
      <c r="K799" s="1623">
        <v>42856</v>
      </c>
      <c r="L799" s="1624"/>
      <c r="M799" s="1625">
        <v>0</v>
      </c>
      <c r="N799" s="1626">
        <v>1.3178457833079871</v>
      </c>
      <c r="O799" s="1626">
        <v>1.3250463634023444</v>
      </c>
    </row>
    <row r="800" spans="11:15">
      <c r="K800" s="1623">
        <v>42857</v>
      </c>
      <c r="L800" s="1624" t="s">
        <v>2302</v>
      </c>
      <c r="M800" s="1625">
        <v>4.1957000000000001E-2</v>
      </c>
      <c r="N800" s="1626">
        <v>1.3183987118632896</v>
      </c>
      <c r="O800" s="1626">
        <v>1.3257424235075033</v>
      </c>
    </row>
    <row r="801" spans="11:15">
      <c r="K801" s="1623">
        <v>42858</v>
      </c>
      <c r="L801" s="1624" t="s">
        <v>2302</v>
      </c>
      <c r="M801" s="1625">
        <v>4.1957000000000001E-2</v>
      </c>
      <c r="N801" s="1626">
        <v>1.3189518724108262</v>
      </c>
      <c r="O801" s="1626">
        <v>1.3264388492599959</v>
      </c>
    </row>
    <row r="802" spans="11:15">
      <c r="K802" s="1623">
        <v>42859</v>
      </c>
      <c r="L802" s="1624" t="s">
        <v>2302</v>
      </c>
      <c r="M802" s="1625">
        <v>4.1957000000000001E-2</v>
      </c>
      <c r="N802" s="1626">
        <v>1.3195052650479338</v>
      </c>
      <c r="O802" s="1626">
        <v>1.3271356408519006</v>
      </c>
    </row>
    <row r="803" spans="11:15">
      <c r="K803" s="1623">
        <v>42860</v>
      </c>
      <c r="L803" s="1624" t="s">
        <v>2302</v>
      </c>
      <c r="M803" s="1625">
        <v>4.1957000000000001E-2</v>
      </c>
      <c r="N803" s="1626">
        <v>1.32005888987199</v>
      </c>
      <c r="O803" s="1626">
        <v>1.3278327984753966</v>
      </c>
    </row>
    <row r="804" spans="11:15">
      <c r="K804" s="1623">
        <v>42861</v>
      </c>
      <c r="L804" s="1624"/>
      <c r="M804" s="1625">
        <v>0</v>
      </c>
      <c r="N804" s="1626">
        <v>1.32005888987199</v>
      </c>
      <c r="O804" s="1626">
        <v>1.3278327984753966</v>
      </c>
    </row>
    <row r="805" spans="11:15">
      <c r="K805" s="1623">
        <v>42862</v>
      </c>
      <c r="L805" s="1624"/>
      <c r="M805" s="1625">
        <v>0</v>
      </c>
      <c r="N805" s="1626">
        <v>1.32005888987199</v>
      </c>
      <c r="O805" s="1626">
        <v>1.3278327984753966</v>
      </c>
    </row>
    <row r="806" spans="11:15">
      <c r="K806" s="1623">
        <v>42863</v>
      </c>
      <c r="L806" s="1624" t="s">
        <v>2302</v>
      </c>
      <c r="M806" s="1625">
        <v>4.1957000000000001E-2</v>
      </c>
      <c r="N806" s="1626">
        <v>1.3206127469804136</v>
      </c>
      <c r="O806" s="1626">
        <v>1.3285303223227638</v>
      </c>
    </row>
    <row r="807" spans="11:15">
      <c r="K807" s="1623">
        <v>42864</v>
      </c>
      <c r="L807" s="1624" t="s">
        <v>2302</v>
      </c>
      <c r="M807" s="1625">
        <v>4.1957000000000001E-2</v>
      </c>
      <c r="N807" s="1626">
        <v>1.3211668364706644</v>
      </c>
      <c r="O807" s="1626">
        <v>1.3292282125863832</v>
      </c>
    </row>
    <row r="808" spans="11:15">
      <c r="K808" s="1623">
        <v>42865</v>
      </c>
      <c r="L808" s="1624" t="s">
        <v>2302</v>
      </c>
      <c r="M808" s="1625">
        <v>4.1957000000000001E-2</v>
      </c>
      <c r="N808" s="1626">
        <v>1.3217211584402424</v>
      </c>
      <c r="O808" s="1626">
        <v>1.3299264694587369</v>
      </c>
    </row>
    <row r="809" spans="11:15">
      <c r="K809" s="1623">
        <v>42866</v>
      </c>
      <c r="L809" s="1624" t="s">
        <v>2302</v>
      </c>
      <c r="M809" s="1625">
        <v>4.1957000000000001E-2</v>
      </c>
      <c r="N809" s="1626">
        <v>1.3222757129866893</v>
      </c>
      <c r="O809" s="1626">
        <v>1.3306250931324084</v>
      </c>
    </row>
    <row r="810" spans="11:15">
      <c r="K810" s="1623">
        <v>42867</v>
      </c>
      <c r="L810" s="1624" t="s">
        <v>2302</v>
      </c>
      <c r="M810" s="1625">
        <v>4.1957000000000001E-2</v>
      </c>
      <c r="N810" s="1626">
        <v>1.3228305002075873</v>
      </c>
      <c r="O810" s="1626">
        <v>1.3313240838000817</v>
      </c>
    </row>
    <row r="811" spans="11:15">
      <c r="K811" s="1623">
        <v>42868</v>
      </c>
      <c r="L811" s="1624"/>
      <c r="M811" s="1625">
        <v>0</v>
      </c>
      <c r="N811" s="1626">
        <v>1.3228305002075873</v>
      </c>
      <c r="O811" s="1626">
        <v>1.3313240838000817</v>
      </c>
    </row>
    <row r="812" spans="11:15">
      <c r="K812" s="1623">
        <v>42869</v>
      </c>
      <c r="L812" s="1624"/>
      <c r="M812" s="1625">
        <v>0</v>
      </c>
      <c r="N812" s="1626">
        <v>1.3228305002075873</v>
      </c>
      <c r="O812" s="1626">
        <v>1.3313240838000817</v>
      </c>
    </row>
    <row r="813" spans="11:15">
      <c r="K813" s="1623">
        <v>42870</v>
      </c>
      <c r="L813" s="1624" t="s">
        <v>2302</v>
      </c>
      <c r="M813" s="1625">
        <v>4.1957000000000001E-2</v>
      </c>
      <c r="N813" s="1626">
        <v>1.3233855202005596</v>
      </c>
      <c r="O813" s="1626">
        <v>1.3320234416545427</v>
      </c>
    </row>
    <row r="814" spans="11:15">
      <c r="K814" s="1623">
        <v>42871</v>
      </c>
      <c r="L814" s="1624" t="s">
        <v>2302</v>
      </c>
      <c r="M814" s="1625">
        <v>4.1957000000000001E-2</v>
      </c>
      <c r="N814" s="1626">
        <v>1.3239407730632702</v>
      </c>
      <c r="O814" s="1626">
        <v>1.3327231668886783</v>
      </c>
    </row>
    <row r="815" spans="11:15">
      <c r="K815" s="1623">
        <v>42872</v>
      </c>
      <c r="L815" s="1624" t="s">
        <v>2302</v>
      </c>
      <c r="M815" s="1625">
        <v>4.1957000000000001E-2</v>
      </c>
      <c r="N815" s="1626">
        <v>1.3244962588934244</v>
      </c>
      <c r="O815" s="1626">
        <v>1.3334232596954767</v>
      </c>
    </row>
    <row r="816" spans="11:15">
      <c r="K816" s="1623">
        <v>42873</v>
      </c>
      <c r="L816" s="1624" t="s">
        <v>2302</v>
      </c>
      <c r="M816" s="1625">
        <v>4.1957000000000001E-2</v>
      </c>
      <c r="N816" s="1626">
        <v>1.3250519777887684</v>
      </c>
      <c r="O816" s="1626">
        <v>1.3341237202680274</v>
      </c>
    </row>
    <row r="817" spans="11:15">
      <c r="K817" s="1623">
        <v>42874</v>
      </c>
      <c r="L817" s="1624" t="s">
        <v>2302</v>
      </c>
      <c r="M817" s="1625">
        <v>4.1957000000000001E-2</v>
      </c>
      <c r="N817" s="1626">
        <v>1.3256079298470893</v>
      </c>
      <c r="O817" s="1626">
        <v>1.3348245487995214</v>
      </c>
    </row>
    <row r="818" spans="11:15">
      <c r="K818" s="1623">
        <v>42875</v>
      </c>
      <c r="L818" s="1624"/>
      <c r="M818" s="1625">
        <v>0</v>
      </c>
      <c r="N818" s="1626">
        <v>1.3256079298470893</v>
      </c>
      <c r="O818" s="1626">
        <v>1.3348245487995214</v>
      </c>
    </row>
    <row r="819" spans="11:15">
      <c r="K819" s="1623">
        <v>42876</v>
      </c>
      <c r="L819" s="1624"/>
      <c r="M819" s="1625">
        <v>0</v>
      </c>
      <c r="N819" s="1626">
        <v>1.3256079298470893</v>
      </c>
      <c r="O819" s="1626">
        <v>1.3348245487995214</v>
      </c>
    </row>
    <row r="820" spans="11:15">
      <c r="K820" s="1623">
        <v>42877</v>
      </c>
      <c r="L820" s="1624" t="s">
        <v>2302</v>
      </c>
      <c r="M820" s="1625">
        <v>4.1957000000000001E-2</v>
      </c>
      <c r="N820" s="1626">
        <v>1.3261641151662154</v>
      </c>
      <c r="O820" s="1626">
        <v>1.3355257454832512</v>
      </c>
    </row>
    <row r="821" spans="11:15">
      <c r="K821" s="1623">
        <v>42878</v>
      </c>
      <c r="L821" s="1624" t="s">
        <v>2302</v>
      </c>
      <c r="M821" s="1625">
        <v>4.1957000000000001E-2</v>
      </c>
      <c r="N821" s="1626">
        <v>1.3267205338440158</v>
      </c>
      <c r="O821" s="1626">
        <v>1.336227310512611</v>
      </c>
    </row>
    <row r="822" spans="11:15">
      <c r="K822" s="1623">
        <v>42879</v>
      </c>
      <c r="L822" s="1624" t="s">
        <v>2302</v>
      </c>
      <c r="M822" s="1625">
        <v>4.1957000000000001E-2</v>
      </c>
      <c r="N822" s="1626">
        <v>1.3272771859784007</v>
      </c>
      <c r="O822" s="1626">
        <v>1.3369292440810965</v>
      </c>
    </row>
    <row r="823" spans="11:15">
      <c r="K823" s="1623">
        <v>42880</v>
      </c>
      <c r="L823" s="1624" t="s">
        <v>2302</v>
      </c>
      <c r="M823" s="1625">
        <v>4.1957000000000001E-2</v>
      </c>
      <c r="N823" s="1626">
        <v>1.3278340716673218</v>
      </c>
      <c r="O823" s="1626">
        <v>1.3376315463823047</v>
      </c>
    </row>
    <row r="824" spans="11:15">
      <c r="K824" s="1623">
        <v>42881</v>
      </c>
      <c r="L824" s="1624" t="s">
        <v>2302</v>
      </c>
      <c r="M824" s="1625">
        <v>4.1957000000000001E-2</v>
      </c>
      <c r="N824" s="1626">
        <v>1.3283911910087713</v>
      </c>
      <c r="O824" s="1626">
        <v>1.3383342176099349</v>
      </c>
    </row>
    <row r="825" spans="11:15">
      <c r="K825" s="1623">
        <v>42882</v>
      </c>
      <c r="L825" s="1624"/>
      <c r="M825" s="1625">
        <v>0</v>
      </c>
      <c r="N825" s="1626">
        <v>1.3283911910087713</v>
      </c>
      <c r="O825" s="1626">
        <v>1.3383342176099349</v>
      </c>
    </row>
    <row r="826" spans="11:15">
      <c r="K826" s="1623">
        <v>42883</v>
      </c>
      <c r="L826" s="1624"/>
      <c r="M826" s="1625">
        <v>0</v>
      </c>
      <c r="N826" s="1626">
        <v>1.3283911910087713</v>
      </c>
      <c r="O826" s="1626">
        <v>1.3383342176099349</v>
      </c>
    </row>
    <row r="827" spans="11:15">
      <c r="K827" s="1623">
        <v>42884</v>
      </c>
      <c r="L827" s="1624" t="s">
        <v>2302</v>
      </c>
      <c r="M827" s="1625">
        <v>4.1957000000000001E-2</v>
      </c>
      <c r="N827" s="1626">
        <v>1.3289485441007829</v>
      </c>
      <c r="O827" s="1626">
        <v>1.3390372579577876</v>
      </c>
    </row>
    <row r="828" spans="11:15">
      <c r="K828" s="1623">
        <v>42885</v>
      </c>
      <c r="L828" s="1624" t="s">
        <v>2302</v>
      </c>
      <c r="M828" s="1625">
        <v>4.1957000000000001E-2</v>
      </c>
      <c r="N828" s="1626">
        <v>1.3295061310414313</v>
      </c>
      <c r="O828" s="1626">
        <v>1.3397406676197654</v>
      </c>
    </row>
    <row r="829" spans="11:15">
      <c r="K829" s="1623">
        <v>42886</v>
      </c>
      <c r="L829" s="1624" t="s">
        <v>2302</v>
      </c>
      <c r="M829" s="1625">
        <v>4.1957000000000001E-2</v>
      </c>
      <c r="N829" s="1626">
        <v>1.3300639519288324</v>
      </c>
      <c r="O829" s="1626">
        <v>1.3404444467898728</v>
      </c>
    </row>
    <row r="830" spans="11:15">
      <c r="K830" s="1623">
        <v>42887</v>
      </c>
      <c r="L830" s="1624" t="s">
        <v>2302</v>
      </c>
      <c r="M830" s="1625">
        <v>3.8370000000000001E-2</v>
      </c>
      <c r="N830" s="1626">
        <v>1.3305742974671875</v>
      </c>
      <c r="O830" s="1626">
        <v>1.341148595662216</v>
      </c>
    </row>
    <row r="831" spans="11:15">
      <c r="K831" s="1623">
        <v>42888</v>
      </c>
      <c r="L831" s="1624" t="s">
        <v>2302</v>
      </c>
      <c r="M831" s="1625">
        <v>3.8370000000000001E-2</v>
      </c>
      <c r="N831" s="1626">
        <v>1.3310848388251255</v>
      </c>
      <c r="O831" s="1626">
        <v>1.3418531144310033</v>
      </c>
    </row>
    <row r="832" spans="11:15">
      <c r="K832" s="1623">
        <v>42889</v>
      </c>
      <c r="L832" s="1624"/>
      <c r="M832" s="1625">
        <v>0</v>
      </c>
      <c r="N832" s="1626">
        <v>1.3310848388251255</v>
      </c>
      <c r="O832" s="1626">
        <v>1.3418531144310033</v>
      </c>
    </row>
    <row r="833" spans="11:15">
      <c r="K833" s="1623">
        <v>42890</v>
      </c>
      <c r="L833" s="1624"/>
      <c r="M833" s="1625">
        <v>0</v>
      </c>
      <c r="N833" s="1626">
        <v>1.3310848388251255</v>
      </c>
      <c r="O833" s="1626">
        <v>1.3418531144310033</v>
      </c>
    </row>
    <row r="834" spans="11:15">
      <c r="K834" s="1623">
        <v>42891</v>
      </c>
      <c r="L834" s="1624" t="s">
        <v>2302</v>
      </c>
      <c r="M834" s="1625">
        <v>3.8370000000000001E-2</v>
      </c>
      <c r="N834" s="1626">
        <v>1.3315955760777827</v>
      </c>
      <c r="O834" s="1626">
        <v>1.3425580032905451</v>
      </c>
    </row>
    <row r="835" spans="11:15">
      <c r="K835" s="1623">
        <v>42892</v>
      </c>
      <c r="L835" s="1624" t="s">
        <v>2302</v>
      </c>
      <c r="M835" s="1625">
        <v>3.8370000000000001E-2</v>
      </c>
      <c r="N835" s="1626">
        <v>1.3321065093003237</v>
      </c>
      <c r="O835" s="1626">
        <v>1.3432632624352536</v>
      </c>
    </row>
    <row r="836" spans="11:15">
      <c r="K836" s="1623">
        <v>42893</v>
      </c>
      <c r="L836" s="1624" t="s">
        <v>2302</v>
      </c>
      <c r="M836" s="1625">
        <v>3.8370000000000001E-2</v>
      </c>
      <c r="N836" s="1626">
        <v>1.3326176385679422</v>
      </c>
      <c r="O836" s="1626">
        <v>1.3439688920596435</v>
      </c>
    </row>
    <row r="837" spans="11:15">
      <c r="K837" s="1623">
        <v>42894</v>
      </c>
      <c r="L837" s="1624" t="s">
        <v>2302</v>
      </c>
      <c r="M837" s="1625">
        <v>3.8370000000000001E-2</v>
      </c>
      <c r="N837" s="1626">
        <v>1.3331289639558608</v>
      </c>
      <c r="O837" s="1626">
        <v>1.3446748923583314</v>
      </c>
    </row>
    <row r="838" spans="11:15">
      <c r="K838" s="1623">
        <v>42895</v>
      </c>
      <c r="L838" s="1624" t="s">
        <v>2302</v>
      </c>
      <c r="M838" s="1625">
        <v>3.8370000000000001E-2</v>
      </c>
      <c r="N838" s="1626">
        <v>1.3336404855393307</v>
      </c>
      <c r="O838" s="1626">
        <v>1.345381263526036</v>
      </c>
    </row>
    <row r="839" spans="11:15">
      <c r="K839" s="1623">
        <v>42896</v>
      </c>
      <c r="L839" s="1624"/>
      <c r="M839" s="1625">
        <v>0</v>
      </c>
      <c r="N839" s="1626">
        <v>1.3336404855393307</v>
      </c>
      <c r="O839" s="1626">
        <v>1.345381263526036</v>
      </c>
    </row>
    <row r="840" spans="11:15">
      <c r="K840" s="1623">
        <v>42897</v>
      </c>
      <c r="L840" s="1624"/>
      <c r="M840" s="1625">
        <v>0</v>
      </c>
      <c r="N840" s="1626">
        <v>1.3336404855393307</v>
      </c>
      <c r="O840" s="1626">
        <v>1.345381263526036</v>
      </c>
    </row>
    <row r="841" spans="11:15">
      <c r="K841" s="1623">
        <v>42898</v>
      </c>
      <c r="L841" s="1624" t="s">
        <v>2302</v>
      </c>
      <c r="M841" s="1625">
        <v>3.8370000000000001E-2</v>
      </c>
      <c r="N841" s="1626">
        <v>1.3341522033936322</v>
      </c>
      <c r="O841" s="1626">
        <v>1.3460880057575788</v>
      </c>
    </row>
    <row r="842" spans="11:15">
      <c r="K842" s="1623">
        <v>42899</v>
      </c>
      <c r="L842" s="1624" t="s">
        <v>2302</v>
      </c>
      <c r="M842" s="1625">
        <v>3.8370000000000001E-2</v>
      </c>
      <c r="N842" s="1626">
        <v>1.3346641175940743</v>
      </c>
      <c r="O842" s="1626">
        <v>1.3467951192478833</v>
      </c>
    </row>
    <row r="843" spans="11:15">
      <c r="K843" s="1623">
        <v>42900</v>
      </c>
      <c r="L843" s="1624" t="s">
        <v>2302</v>
      </c>
      <c r="M843" s="1625">
        <v>3.8370000000000001E-2</v>
      </c>
      <c r="N843" s="1626">
        <v>1.3351762282159951</v>
      </c>
      <c r="O843" s="1626">
        <v>1.3475026041919753</v>
      </c>
    </row>
    <row r="844" spans="11:15">
      <c r="K844" s="1623">
        <v>42901</v>
      </c>
      <c r="L844" s="1624"/>
      <c r="M844" s="1625">
        <v>0</v>
      </c>
      <c r="N844" s="1626">
        <v>1.3351762282159951</v>
      </c>
      <c r="O844" s="1626">
        <v>1.3475026041919753</v>
      </c>
    </row>
    <row r="845" spans="11:15">
      <c r="K845" s="1623">
        <v>42902</v>
      </c>
      <c r="L845" s="1624" t="s">
        <v>2302</v>
      </c>
      <c r="M845" s="1625">
        <v>3.8370000000000001E-2</v>
      </c>
      <c r="N845" s="1626">
        <v>1.3356885353347616</v>
      </c>
      <c r="O845" s="1626">
        <v>1.3482104607849834</v>
      </c>
    </row>
    <row r="846" spans="11:15">
      <c r="K846" s="1623">
        <v>42903</v>
      </c>
      <c r="L846" s="1624"/>
      <c r="M846" s="1625">
        <v>0</v>
      </c>
      <c r="N846" s="1626">
        <v>1.3356885353347616</v>
      </c>
      <c r="O846" s="1626">
        <v>1.3482104607849834</v>
      </c>
    </row>
    <row r="847" spans="11:15">
      <c r="K847" s="1623">
        <v>42904</v>
      </c>
      <c r="L847" s="1624"/>
      <c r="M847" s="1625">
        <v>0</v>
      </c>
      <c r="N847" s="1626">
        <v>1.3356885353347616</v>
      </c>
      <c r="O847" s="1626">
        <v>1.3482104607849834</v>
      </c>
    </row>
    <row r="848" spans="11:15">
      <c r="K848" s="1623">
        <v>42905</v>
      </c>
      <c r="L848" s="1624" t="s">
        <v>2302</v>
      </c>
      <c r="M848" s="1625">
        <v>3.8370000000000001E-2</v>
      </c>
      <c r="N848" s="1626">
        <v>1.3362010390257695</v>
      </c>
      <c r="O848" s="1626">
        <v>1.3489186892221383</v>
      </c>
    </row>
    <row r="849" spans="11:15">
      <c r="K849" s="1623">
        <v>42906</v>
      </c>
      <c r="L849" s="1624" t="s">
        <v>2302</v>
      </c>
      <c r="M849" s="1625">
        <v>3.8370000000000001E-2</v>
      </c>
      <c r="N849" s="1626">
        <v>1.3367137393644437</v>
      </c>
      <c r="O849" s="1626">
        <v>1.3496272896987735</v>
      </c>
    </row>
    <row r="850" spans="11:15">
      <c r="K850" s="1623">
        <v>42907</v>
      </c>
      <c r="L850" s="1624" t="s">
        <v>2302</v>
      </c>
      <c r="M850" s="1625">
        <v>3.8370000000000001E-2</v>
      </c>
      <c r="N850" s="1626">
        <v>1.3372266364262377</v>
      </c>
      <c r="O850" s="1626">
        <v>1.3503362624103252</v>
      </c>
    </row>
    <row r="851" spans="11:15">
      <c r="K851" s="1623">
        <v>42908</v>
      </c>
      <c r="L851" s="1624" t="s">
        <v>2302</v>
      </c>
      <c r="M851" s="1625">
        <v>3.8370000000000001E-2</v>
      </c>
      <c r="N851" s="1626">
        <v>1.3377397302866345</v>
      </c>
      <c r="O851" s="1626">
        <v>1.3510456075523321</v>
      </c>
    </row>
    <row r="852" spans="11:15">
      <c r="K852" s="1623">
        <v>42909</v>
      </c>
      <c r="L852" s="1624" t="s">
        <v>2302</v>
      </c>
      <c r="M852" s="1625">
        <v>3.8370000000000001E-2</v>
      </c>
      <c r="N852" s="1626">
        <v>1.3382530210211454</v>
      </c>
      <c r="O852" s="1626">
        <v>1.3517553253204353</v>
      </c>
    </row>
    <row r="853" spans="11:15">
      <c r="K853" s="1623">
        <v>42910</v>
      </c>
      <c r="L853" s="1624"/>
      <c r="M853" s="1625">
        <v>0</v>
      </c>
      <c r="N853" s="1626">
        <v>1.3382530210211454</v>
      </c>
      <c r="O853" s="1626">
        <v>1.3517553253204353</v>
      </c>
    </row>
    <row r="854" spans="11:15">
      <c r="K854" s="1623">
        <v>42911</v>
      </c>
      <c r="L854" s="1624"/>
      <c r="M854" s="1625">
        <v>0</v>
      </c>
      <c r="N854" s="1626">
        <v>1.3382530210211454</v>
      </c>
      <c r="O854" s="1626">
        <v>1.3517553253204353</v>
      </c>
    </row>
    <row r="855" spans="11:15">
      <c r="K855" s="1623">
        <v>42912</v>
      </c>
      <c r="L855" s="1624" t="s">
        <v>2302</v>
      </c>
      <c r="M855" s="1625">
        <v>3.8370000000000001E-2</v>
      </c>
      <c r="N855" s="1626">
        <v>1.3387665087053111</v>
      </c>
      <c r="O855" s="1626">
        <v>1.3524654159103793</v>
      </c>
    </row>
    <row r="856" spans="11:15">
      <c r="K856" s="1623">
        <v>42913</v>
      </c>
      <c r="L856" s="1624" t="s">
        <v>2302</v>
      </c>
      <c r="M856" s="1625">
        <v>3.8370000000000001E-2</v>
      </c>
      <c r="N856" s="1626">
        <v>1.3392801934147014</v>
      </c>
      <c r="O856" s="1626">
        <v>1.3531758795180111</v>
      </c>
    </row>
    <row r="857" spans="11:15">
      <c r="K857" s="1623">
        <v>42914</v>
      </c>
      <c r="L857" s="1624" t="s">
        <v>2302</v>
      </c>
      <c r="M857" s="1625">
        <v>3.8370000000000001E-2</v>
      </c>
      <c r="N857" s="1626">
        <v>1.3397940752249147</v>
      </c>
      <c r="O857" s="1626">
        <v>1.3538867163392807</v>
      </c>
    </row>
    <row r="858" spans="11:15">
      <c r="K858" s="1623">
        <v>42915</v>
      </c>
      <c r="L858" s="1624" t="s">
        <v>2302</v>
      </c>
      <c r="M858" s="1625">
        <v>3.8370000000000001E-2</v>
      </c>
      <c r="N858" s="1626">
        <v>1.3403081542115785</v>
      </c>
      <c r="O858" s="1626">
        <v>1.3545979265702408</v>
      </c>
    </row>
    <row r="859" spans="11:15">
      <c r="K859" s="1623">
        <v>42916</v>
      </c>
      <c r="L859" s="1624" t="s">
        <v>2302</v>
      </c>
      <c r="M859" s="1625">
        <v>3.8370000000000001E-2</v>
      </c>
      <c r="N859" s="1626">
        <v>1.3408224304503493</v>
      </c>
      <c r="O859" s="1626">
        <v>1.3553095104070474</v>
      </c>
    </row>
    <row r="860" spans="11:15">
      <c r="K860" s="1623">
        <v>42917</v>
      </c>
      <c r="L860" s="1624"/>
      <c r="M860" s="1625">
        <v>0</v>
      </c>
      <c r="N860" s="1626">
        <v>1.3408224304503493</v>
      </c>
      <c r="O860" s="1626">
        <v>1.3553095104070474</v>
      </c>
    </row>
    <row r="861" spans="11:15">
      <c r="K861" s="1623">
        <v>42918</v>
      </c>
      <c r="L861" s="1624"/>
      <c r="M861" s="1625">
        <v>0</v>
      </c>
      <c r="N861" s="1626">
        <v>1.3408224304503493</v>
      </c>
      <c r="O861" s="1626">
        <v>1.3553095104070474</v>
      </c>
    </row>
    <row r="862" spans="11:15">
      <c r="K862" s="1623">
        <v>42919</v>
      </c>
      <c r="L862" s="1624" t="s">
        <v>2302</v>
      </c>
      <c r="M862" s="1625">
        <v>3.8370000000000001E-2</v>
      </c>
      <c r="N862" s="1626">
        <v>1.3413369040169132</v>
      </c>
      <c r="O862" s="1626">
        <v>1.3560214680459592</v>
      </c>
    </row>
    <row r="863" spans="11:15">
      <c r="K863" s="1623">
        <v>42920</v>
      </c>
      <c r="L863" s="1624" t="s">
        <v>2302</v>
      </c>
      <c r="M863" s="1625">
        <v>3.8370000000000001E-2</v>
      </c>
      <c r="N863" s="1626">
        <v>1.3418515749869844</v>
      </c>
      <c r="O863" s="1626">
        <v>1.3567337996833384</v>
      </c>
    </row>
    <row r="864" spans="11:15">
      <c r="K864" s="1623">
        <v>42921</v>
      </c>
      <c r="L864" s="1624" t="s">
        <v>2302</v>
      </c>
      <c r="M864" s="1625">
        <v>3.8370000000000001E-2</v>
      </c>
      <c r="N864" s="1626">
        <v>1.342366443436307</v>
      </c>
      <c r="O864" s="1626">
        <v>1.3574465055156502</v>
      </c>
    </row>
    <row r="865" spans="11:15">
      <c r="K865" s="1623">
        <v>42922</v>
      </c>
      <c r="L865" s="1624" t="s">
        <v>2302</v>
      </c>
      <c r="M865" s="1625">
        <v>3.8370000000000001E-2</v>
      </c>
      <c r="N865" s="1626">
        <v>1.3428815094406534</v>
      </c>
      <c r="O865" s="1626">
        <v>1.3581595857394626</v>
      </c>
    </row>
    <row r="866" spans="11:15">
      <c r="K866" s="1623">
        <v>42923</v>
      </c>
      <c r="L866" s="1624" t="s">
        <v>2302</v>
      </c>
      <c r="M866" s="1625">
        <v>3.8370000000000001E-2</v>
      </c>
      <c r="N866" s="1626">
        <v>1.3433967730758258</v>
      </c>
      <c r="O866" s="1626">
        <v>1.3588730405514473</v>
      </c>
    </row>
    <row r="867" spans="11:15">
      <c r="K867" s="1623">
        <v>42924</v>
      </c>
      <c r="L867" s="1624"/>
      <c r="M867" s="1625">
        <v>0</v>
      </c>
      <c r="N867" s="1626">
        <v>1.3433967730758258</v>
      </c>
      <c r="O867" s="1626">
        <v>1.3588730405514473</v>
      </c>
    </row>
    <row r="868" spans="11:15">
      <c r="K868" s="1623">
        <v>42925</v>
      </c>
      <c r="L868" s="1624"/>
      <c r="M868" s="1625">
        <v>0</v>
      </c>
      <c r="N868" s="1626">
        <v>1.3433967730758258</v>
      </c>
      <c r="O868" s="1626">
        <v>1.3588730405514473</v>
      </c>
    </row>
    <row r="869" spans="11:15">
      <c r="K869" s="1623">
        <v>42926</v>
      </c>
      <c r="L869" s="1624" t="s">
        <v>2302</v>
      </c>
      <c r="M869" s="1625">
        <v>3.8370000000000001E-2</v>
      </c>
      <c r="N869" s="1626">
        <v>1.3439122344176551</v>
      </c>
      <c r="O869" s="1626">
        <v>1.3595868701483793</v>
      </c>
    </row>
    <row r="870" spans="11:15">
      <c r="K870" s="1623">
        <v>42927</v>
      </c>
      <c r="L870" s="1624" t="s">
        <v>2302</v>
      </c>
      <c r="M870" s="1625">
        <v>3.8370000000000001E-2</v>
      </c>
      <c r="N870" s="1626">
        <v>1.3444278935420011</v>
      </c>
      <c r="O870" s="1626">
        <v>1.3603010747271369</v>
      </c>
    </row>
    <row r="871" spans="11:15">
      <c r="K871" s="1623">
        <v>42928</v>
      </c>
      <c r="L871" s="1624" t="s">
        <v>2302</v>
      </c>
      <c r="M871" s="1625">
        <v>3.8370000000000001E-2</v>
      </c>
      <c r="N871" s="1626">
        <v>1.3449437505247532</v>
      </c>
      <c r="O871" s="1626">
        <v>1.3610156544847019</v>
      </c>
    </row>
    <row r="872" spans="11:15">
      <c r="K872" s="1623">
        <v>42929</v>
      </c>
      <c r="L872" s="1624" t="s">
        <v>2302</v>
      </c>
      <c r="M872" s="1625">
        <v>3.8370000000000001E-2</v>
      </c>
      <c r="N872" s="1626">
        <v>1.3454598054418296</v>
      </c>
      <c r="O872" s="1626">
        <v>1.3617306096181592</v>
      </c>
    </row>
    <row r="873" spans="11:15">
      <c r="K873" s="1623">
        <v>42930</v>
      </c>
      <c r="L873" s="1624" t="s">
        <v>2302</v>
      </c>
      <c r="M873" s="1625">
        <v>3.8370000000000001E-2</v>
      </c>
      <c r="N873" s="1626">
        <v>1.3459760583691776</v>
      </c>
      <c r="O873" s="1626">
        <v>1.3624459403246978</v>
      </c>
    </row>
    <row r="874" spans="11:15">
      <c r="K874" s="1623">
        <v>42931</v>
      </c>
      <c r="L874" s="1624"/>
      <c r="M874" s="1625">
        <v>0</v>
      </c>
      <c r="N874" s="1626">
        <v>1.3459760583691776</v>
      </c>
      <c r="O874" s="1626">
        <v>1.3624459403246978</v>
      </c>
    </row>
    <row r="875" spans="11:15">
      <c r="K875" s="1623">
        <v>42932</v>
      </c>
      <c r="L875" s="1624"/>
      <c r="M875" s="1625">
        <v>0</v>
      </c>
      <c r="N875" s="1626">
        <v>1.3459760583691776</v>
      </c>
      <c r="O875" s="1626">
        <v>1.3624459403246978</v>
      </c>
    </row>
    <row r="876" spans="11:15">
      <c r="K876" s="1623">
        <v>42933</v>
      </c>
      <c r="L876" s="1624" t="s">
        <v>2302</v>
      </c>
      <c r="M876" s="1625">
        <v>3.8370000000000001E-2</v>
      </c>
      <c r="N876" s="1626">
        <v>1.3464925093827738</v>
      </c>
      <c r="O876" s="1626">
        <v>1.3631616468016097</v>
      </c>
    </row>
    <row r="877" spans="11:15">
      <c r="K877" s="1623">
        <v>42934</v>
      </c>
      <c r="L877" s="1624" t="s">
        <v>2302</v>
      </c>
      <c r="M877" s="1625">
        <v>3.8370000000000001E-2</v>
      </c>
      <c r="N877" s="1626">
        <v>1.3470091585586239</v>
      </c>
      <c r="O877" s="1626">
        <v>1.3638777292462911</v>
      </c>
    </row>
    <row r="878" spans="11:15">
      <c r="K878" s="1623">
        <v>42935</v>
      </c>
      <c r="L878" s="1624" t="s">
        <v>2302</v>
      </c>
      <c r="M878" s="1625">
        <v>3.8370000000000001E-2</v>
      </c>
      <c r="N878" s="1626">
        <v>1.3475260059727627</v>
      </c>
      <c r="O878" s="1626">
        <v>1.3645941878562415</v>
      </c>
    </row>
    <row r="879" spans="11:15">
      <c r="K879" s="1623">
        <v>42936</v>
      </c>
      <c r="L879" s="1624" t="s">
        <v>2302</v>
      </c>
      <c r="M879" s="1625">
        <v>3.8370000000000001E-2</v>
      </c>
      <c r="N879" s="1626">
        <v>1.3480430517012545</v>
      </c>
      <c r="O879" s="1626">
        <v>1.3653110228290644</v>
      </c>
    </row>
    <row r="880" spans="11:15">
      <c r="K880" s="1623">
        <v>42937</v>
      </c>
      <c r="L880" s="1624" t="s">
        <v>2302</v>
      </c>
      <c r="M880" s="1625">
        <v>3.8370000000000001E-2</v>
      </c>
      <c r="N880" s="1626">
        <v>1.3485602958201923</v>
      </c>
      <c r="O880" s="1626">
        <v>1.3660282343624668</v>
      </c>
    </row>
    <row r="881" spans="11:15">
      <c r="K881" s="1623">
        <v>42938</v>
      </c>
      <c r="L881" s="1624"/>
      <c r="M881" s="1625">
        <v>0</v>
      </c>
      <c r="N881" s="1626">
        <v>1.3485602958201923</v>
      </c>
      <c r="O881" s="1626">
        <v>1.3660282343624668</v>
      </c>
    </row>
    <row r="882" spans="11:15">
      <c r="K882" s="1623">
        <v>42939</v>
      </c>
      <c r="L882" s="1624"/>
      <c r="M882" s="1625">
        <v>0</v>
      </c>
      <c r="N882" s="1626">
        <v>1.3485602958201923</v>
      </c>
      <c r="O882" s="1626">
        <v>1.3660282343624668</v>
      </c>
    </row>
    <row r="883" spans="11:15">
      <c r="K883" s="1623">
        <v>42940</v>
      </c>
      <c r="L883" s="1624" t="s">
        <v>2302</v>
      </c>
      <c r="M883" s="1625">
        <v>3.8370000000000001E-2</v>
      </c>
      <c r="N883" s="1626">
        <v>1.3490777384056984</v>
      </c>
      <c r="O883" s="1626">
        <v>1.3667458226542597</v>
      </c>
    </row>
    <row r="884" spans="11:15">
      <c r="K884" s="1623">
        <v>42941</v>
      </c>
      <c r="L884" s="1624" t="s">
        <v>2302</v>
      </c>
      <c r="M884" s="1625">
        <v>3.8370000000000001E-2</v>
      </c>
      <c r="N884" s="1626">
        <v>1.3495953795339246</v>
      </c>
      <c r="O884" s="1626">
        <v>1.3674637879023581</v>
      </c>
    </row>
    <row r="885" spans="11:15">
      <c r="K885" s="1623">
        <v>42942</v>
      </c>
      <c r="L885" s="1624" t="s">
        <v>2302</v>
      </c>
      <c r="M885" s="1625">
        <v>3.8370000000000001E-2</v>
      </c>
      <c r="N885" s="1626">
        <v>1.3501132192810517</v>
      </c>
      <c r="O885" s="1626">
        <v>1.3681821303047812</v>
      </c>
    </row>
    <row r="886" spans="11:15">
      <c r="K886" s="1623">
        <v>42943</v>
      </c>
      <c r="L886" s="1624" t="s">
        <v>2302</v>
      </c>
      <c r="M886" s="1625">
        <v>3.4749000000000002E-2</v>
      </c>
      <c r="N886" s="1626">
        <v>1.3505823701236197</v>
      </c>
      <c r="O886" s="1626">
        <v>1.3689008500596516</v>
      </c>
    </row>
    <row r="887" spans="11:15">
      <c r="K887" s="1623">
        <v>42944</v>
      </c>
      <c r="L887" s="1624" t="s">
        <v>2302</v>
      </c>
      <c r="M887" s="1625">
        <v>3.4749000000000002E-2</v>
      </c>
      <c r="N887" s="1626">
        <v>1.351051683991414</v>
      </c>
      <c r="O887" s="1626">
        <v>1.3696199473651964</v>
      </c>
    </row>
    <row r="888" spans="11:15">
      <c r="K888" s="1623">
        <v>42945</v>
      </c>
      <c r="L888" s="1624"/>
      <c r="M888" s="1625">
        <v>0</v>
      </c>
      <c r="N888" s="1626">
        <v>1.351051683991414</v>
      </c>
      <c r="O888" s="1626">
        <v>1.3696199473651964</v>
      </c>
    </row>
    <row r="889" spans="11:15">
      <c r="K889" s="1623">
        <v>42946</v>
      </c>
      <c r="L889" s="1624"/>
      <c r="M889" s="1625">
        <v>0</v>
      </c>
      <c r="N889" s="1626">
        <v>1.351051683991414</v>
      </c>
      <c r="O889" s="1626">
        <v>1.3696199473651964</v>
      </c>
    </row>
    <row r="890" spans="11:15">
      <c r="K890" s="1623">
        <v>42947</v>
      </c>
      <c r="L890" s="1624" t="s">
        <v>2302</v>
      </c>
      <c r="M890" s="1625">
        <v>3.4749000000000002E-2</v>
      </c>
      <c r="N890" s="1626">
        <v>1.3515211609410842</v>
      </c>
      <c r="O890" s="1626">
        <v>1.3703394224197469</v>
      </c>
    </row>
    <row r="891" spans="11:15">
      <c r="K891" s="1623">
        <v>42948</v>
      </c>
      <c r="L891" s="1624" t="s">
        <v>2302</v>
      </c>
      <c r="M891" s="1625">
        <v>3.4749000000000002E-2</v>
      </c>
      <c r="N891" s="1626">
        <v>1.3519908010292996</v>
      </c>
      <c r="O891" s="1626">
        <v>1.3710592754217383</v>
      </c>
    </row>
    <row r="892" spans="11:15">
      <c r="K892" s="1623">
        <v>42949</v>
      </c>
      <c r="L892" s="1624" t="s">
        <v>2302</v>
      </c>
      <c r="M892" s="1625">
        <v>3.4749000000000002E-2</v>
      </c>
      <c r="N892" s="1626">
        <v>1.3524606043127492</v>
      </c>
      <c r="O892" s="1626">
        <v>1.37177950656971</v>
      </c>
    </row>
    <row r="893" spans="11:15">
      <c r="K893" s="1623">
        <v>42950</v>
      </c>
      <c r="L893" s="1624" t="s">
        <v>2302</v>
      </c>
      <c r="M893" s="1625">
        <v>3.4749000000000002E-2</v>
      </c>
      <c r="N893" s="1626">
        <v>1.3529305708481418</v>
      </c>
      <c r="O893" s="1626">
        <v>1.3725001160623063</v>
      </c>
    </row>
    <row r="894" spans="11:15">
      <c r="K894" s="1623">
        <v>42951</v>
      </c>
      <c r="L894" s="1624" t="s">
        <v>2302</v>
      </c>
      <c r="M894" s="1625">
        <v>3.4749000000000002E-2</v>
      </c>
      <c r="N894" s="1626">
        <v>1.353400700692206</v>
      </c>
      <c r="O894" s="1626">
        <v>1.3732211040982749</v>
      </c>
    </row>
    <row r="895" spans="11:15">
      <c r="K895" s="1623">
        <v>42952</v>
      </c>
      <c r="L895" s="1624"/>
      <c r="M895" s="1625">
        <v>0</v>
      </c>
      <c r="N895" s="1626">
        <v>1.353400700692206</v>
      </c>
      <c r="O895" s="1626">
        <v>1.3732211040982749</v>
      </c>
    </row>
    <row r="896" spans="11:15">
      <c r="K896" s="1623">
        <v>42953</v>
      </c>
      <c r="L896" s="1624"/>
      <c r="M896" s="1625">
        <v>0</v>
      </c>
      <c r="N896" s="1626">
        <v>1.353400700692206</v>
      </c>
      <c r="O896" s="1626">
        <v>1.3732211040982749</v>
      </c>
    </row>
    <row r="897" spans="11:15">
      <c r="K897" s="1623">
        <v>42954</v>
      </c>
      <c r="L897" s="1624" t="s">
        <v>2302</v>
      </c>
      <c r="M897" s="1625">
        <v>3.4749000000000002E-2</v>
      </c>
      <c r="N897" s="1626">
        <v>1.3538709939016895</v>
      </c>
      <c r="O897" s="1626">
        <v>1.3739424708764687</v>
      </c>
    </row>
    <row r="898" spans="11:15">
      <c r="K898" s="1623">
        <v>42955</v>
      </c>
      <c r="L898" s="1624" t="s">
        <v>2302</v>
      </c>
      <c r="M898" s="1625">
        <v>3.4749000000000002E-2</v>
      </c>
      <c r="N898" s="1626">
        <v>1.3543414505333604</v>
      </c>
      <c r="O898" s="1626">
        <v>1.3746642165958449</v>
      </c>
    </row>
    <row r="899" spans="11:15">
      <c r="K899" s="1623">
        <v>42956</v>
      </c>
      <c r="L899" s="1624" t="s">
        <v>2302</v>
      </c>
      <c r="M899" s="1625">
        <v>3.4749000000000002E-2</v>
      </c>
      <c r="N899" s="1626">
        <v>1.3548120706440063</v>
      </c>
      <c r="O899" s="1626">
        <v>1.3753863414554648</v>
      </c>
    </row>
    <row r="900" spans="11:15">
      <c r="K900" s="1623">
        <v>42957</v>
      </c>
      <c r="L900" s="1624" t="s">
        <v>2302</v>
      </c>
      <c r="M900" s="1625">
        <v>3.4749000000000002E-2</v>
      </c>
      <c r="N900" s="1626">
        <v>1.3552828542904345</v>
      </c>
      <c r="O900" s="1626">
        <v>1.3761088456544948</v>
      </c>
    </row>
    <row r="901" spans="11:15">
      <c r="K901" s="1623">
        <v>42958</v>
      </c>
      <c r="L901" s="1624" t="s">
        <v>2302</v>
      </c>
      <c r="M901" s="1625">
        <v>3.4749000000000002E-2</v>
      </c>
      <c r="N901" s="1626">
        <v>1.3557538015294719</v>
      </c>
      <c r="O901" s="1626">
        <v>1.3768317293922054</v>
      </c>
    </row>
    <row r="902" spans="11:15">
      <c r="K902" s="1623">
        <v>42959</v>
      </c>
      <c r="L902" s="1624"/>
      <c r="M902" s="1625">
        <v>0</v>
      </c>
      <c r="N902" s="1626">
        <v>1.3557538015294719</v>
      </c>
      <c r="O902" s="1626">
        <v>1.3768317293922054</v>
      </c>
    </row>
    <row r="903" spans="11:15">
      <c r="K903" s="1623">
        <v>42960</v>
      </c>
      <c r="L903" s="1624"/>
      <c r="M903" s="1625">
        <v>0</v>
      </c>
      <c r="N903" s="1626">
        <v>1.3557538015294719</v>
      </c>
      <c r="O903" s="1626">
        <v>1.3768317293922054</v>
      </c>
    </row>
    <row r="904" spans="11:15">
      <c r="K904" s="1623">
        <v>42961</v>
      </c>
      <c r="L904" s="1624" t="s">
        <v>2302</v>
      </c>
      <c r="M904" s="1625">
        <v>3.4749000000000002E-2</v>
      </c>
      <c r="N904" s="1626">
        <v>1.3562249124179653</v>
      </c>
      <c r="O904" s="1626">
        <v>1.3775549928679724</v>
      </c>
    </row>
    <row r="905" spans="11:15">
      <c r="K905" s="1623">
        <v>42962</v>
      </c>
      <c r="L905" s="1624" t="s">
        <v>2302</v>
      </c>
      <c r="M905" s="1625">
        <v>3.4749000000000002E-2</v>
      </c>
      <c r="N905" s="1626">
        <v>1.3566961870127814</v>
      </c>
      <c r="O905" s="1626">
        <v>1.378278636281276</v>
      </c>
    </row>
    <row r="906" spans="11:15">
      <c r="K906" s="1623">
        <v>42963</v>
      </c>
      <c r="L906" s="1624" t="s">
        <v>2302</v>
      </c>
      <c r="M906" s="1625">
        <v>3.4749000000000002E-2</v>
      </c>
      <c r="N906" s="1626">
        <v>1.3571676253708065</v>
      </c>
      <c r="O906" s="1626">
        <v>1.3790026598317009</v>
      </c>
    </row>
    <row r="907" spans="11:15">
      <c r="K907" s="1623">
        <v>42964</v>
      </c>
      <c r="L907" s="1624" t="s">
        <v>2302</v>
      </c>
      <c r="M907" s="1625">
        <v>3.4749000000000002E-2</v>
      </c>
      <c r="N907" s="1626">
        <v>1.3576392275489466</v>
      </c>
      <c r="O907" s="1626">
        <v>1.3797270637189372</v>
      </c>
    </row>
    <row r="908" spans="11:15">
      <c r="K908" s="1623">
        <v>42965</v>
      </c>
      <c r="L908" s="1624" t="s">
        <v>2302</v>
      </c>
      <c r="M908" s="1625">
        <v>3.4749000000000002E-2</v>
      </c>
      <c r="N908" s="1626">
        <v>1.3581109936041276</v>
      </c>
      <c r="O908" s="1626">
        <v>1.3804518481427794</v>
      </c>
    </row>
    <row r="909" spans="11:15">
      <c r="K909" s="1623">
        <v>42966</v>
      </c>
      <c r="L909" s="1624"/>
      <c r="M909" s="1625">
        <v>0</v>
      </c>
      <c r="N909" s="1626">
        <v>1.3581109936041276</v>
      </c>
      <c r="O909" s="1626">
        <v>1.3804518481427794</v>
      </c>
    </row>
    <row r="910" spans="11:15">
      <c r="K910" s="1623">
        <v>42967</v>
      </c>
      <c r="L910" s="1624"/>
      <c r="M910" s="1625">
        <v>0</v>
      </c>
      <c r="N910" s="1626">
        <v>1.3581109936041276</v>
      </c>
      <c r="O910" s="1626">
        <v>1.3804518481427794</v>
      </c>
    </row>
    <row r="911" spans="11:15">
      <c r="K911" s="1623">
        <v>42968</v>
      </c>
      <c r="L911" s="1624" t="s">
        <v>2302</v>
      </c>
      <c r="M911" s="1625">
        <v>3.4749000000000002E-2</v>
      </c>
      <c r="N911" s="1626">
        <v>1.3585829235932951</v>
      </c>
      <c r="O911" s="1626">
        <v>1.3811770133031274</v>
      </c>
    </row>
    <row r="912" spans="11:15">
      <c r="K912" s="1623">
        <v>42969</v>
      </c>
      <c r="L912" s="1624" t="s">
        <v>2302</v>
      </c>
      <c r="M912" s="1625">
        <v>3.4749000000000002E-2</v>
      </c>
      <c r="N912" s="1626">
        <v>1.3590550175734146</v>
      </c>
      <c r="O912" s="1626">
        <v>1.3819025593999856</v>
      </c>
    </row>
    <row r="913" spans="11:15">
      <c r="K913" s="1623">
        <v>42970</v>
      </c>
      <c r="L913" s="1624" t="s">
        <v>2302</v>
      </c>
      <c r="M913" s="1625">
        <v>3.4749000000000002E-2</v>
      </c>
      <c r="N913" s="1626">
        <v>1.3595272756014711</v>
      </c>
      <c r="O913" s="1626">
        <v>1.3826284866334639</v>
      </c>
    </row>
    <row r="914" spans="11:15">
      <c r="K914" s="1623">
        <v>42971</v>
      </c>
      <c r="L914" s="1624" t="s">
        <v>2302</v>
      </c>
      <c r="M914" s="1625">
        <v>3.4749000000000002E-2</v>
      </c>
      <c r="N914" s="1626">
        <v>1.3599996977344699</v>
      </c>
      <c r="O914" s="1626">
        <v>1.3833547952037775</v>
      </c>
    </row>
    <row r="915" spans="11:15">
      <c r="K915" s="1623">
        <v>42972</v>
      </c>
      <c r="L915" s="1624" t="s">
        <v>2302</v>
      </c>
      <c r="M915" s="1625">
        <v>3.4749000000000002E-2</v>
      </c>
      <c r="N915" s="1626">
        <v>1.3604722840294357</v>
      </c>
      <c r="O915" s="1626">
        <v>1.384081485311246</v>
      </c>
    </row>
    <row r="916" spans="11:15">
      <c r="K916" s="1623">
        <v>42973</v>
      </c>
      <c r="L916" s="1624"/>
      <c r="M916" s="1625">
        <v>0</v>
      </c>
      <c r="N916" s="1626">
        <v>1.3604722840294357</v>
      </c>
      <c r="O916" s="1626">
        <v>1.384081485311246</v>
      </c>
    </row>
    <row r="917" spans="11:15">
      <c r="K917" s="1623">
        <v>42974</v>
      </c>
      <c r="L917" s="1624"/>
      <c r="M917" s="1625">
        <v>0</v>
      </c>
      <c r="N917" s="1626">
        <v>1.3604722840294357</v>
      </c>
      <c r="O917" s="1626">
        <v>1.384081485311246</v>
      </c>
    </row>
    <row r="918" spans="11:15">
      <c r="K918" s="1623">
        <v>42975</v>
      </c>
      <c r="L918" s="1624" t="s">
        <v>2302</v>
      </c>
      <c r="M918" s="1625">
        <v>3.4749000000000002E-2</v>
      </c>
      <c r="N918" s="1626">
        <v>1.3609450345434131</v>
      </c>
      <c r="O918" s="1626">
        <v>1.3848085571562949</v>
      </c>
    </row>
    <row r="919" spans="11:15">
      <c r="K919" s="1623">
        <v>42976</v>
      </c>
      <c r="L919" s="1624" t="s">
        <v>2302</v>
      </c>
      <c r="M919" s="1625">
        <v>3.4749000000000002E-2</v>
      </c>
      <c r="N919" s="1626">
        <v>1.3614179493334666</v>
      </c>
      <c r="O919" s="1626">
        <v>1.3855360109394548</v>
      </c>
    </row>
    <row r="920" spans="11:15">
      <c r="K920" s="1623">
        <v>42977</v>
      </c>
      <c r="L920" s="1624" t="s">
        <v>2302</v>
      </c>
      <c r="M920" s="1625">
        <v>3.4749000000000002E-2</v>
      </c>
      <c r="N920" s="1626">
        <v>1.3618910284566805</v>
      </c>
      <c r="O920" s="1626">
        <v>1.3862638468613613</v>
      </c>
    </row>
    <row r="921" spans="11:15">
      <c r="K921" s="1623">
        <v>42978</v>
      </c>
      <c r="L921" s="1624" t="s">
        <v>2302</v>
      </c>
      <c r="M921" s="1625">
        <v>3.4749000000000002E-2</v>
      </c>
      <c r="N921" s="1626">
        <v>1.362364271970159</v>
      </c>
      <c r="O921" s="1626">
        <v>1.3869920651227561</v>
      </c>
    </row>
    <row r="922" spans="11:15">
      <c r="K922" s="1623">
        <v>42979</v>
      </c>
      <c r="L922" s="1624" t="s">
        <v>2302</v>
      </c>
      <c r="M922" s="1625">
        <v>3.4749000000000002E-2</v>
      </c>
      <c r="N922" s="1626">
        <v>1.3628376799310258</v>
      </c>
      <c r="O922" s="1626">
        <v>1.3877206659244856</v>
      </c>
    </row>
    <row r="923" spans="11:15">
      <c r="K923" s="1623">
        <v>42980</v>
      </c>
      <c r="L923" s="1624"/>
      <c r="M923" s="1625">
        <v>0</v>
      </c>
      <c r="N923" s="1626">
        <v>1.3628376799310258</v>
      </c>
      <c r="O923" s="1626">
        <v>1.3877206659244856</v>
      </c>
    </row>
    <row r="924" spans="11:15">
      <c r="K924" s="1623">
        <v>42981</v>
      </c>
      <c r="L924" s="1624"/>
      <c r="M924" s="1625">
        <v>0</v>
      </c>
      <c r="N924" s="1626">
        <v>1.3628376799310258</v>
      </c>
      <c r="O924" s="1626">
        <v>1.3877206659244856</v>
      </c>
    </row>
    <row r="925" spans="11:15">
      <c r="K925" s="1623">
        <v>42982</v>
      </c>
      <c r="L925" s="1624" t="s">
        <v>2302</v>
      </c>
      <c r="M925" s="1625">
        <v>3.4749000000000002E-2</v>
      </c>
      <c r="N925" s="1626">
        <v>1.363311252396425</v>
      </c>
      <c r="O925" s="1626">
        <v>1.3884496494675025</v>
      </c>
    </row>
    <row r="926" spans="11:15">
      <c r="K926" s="1623">
        <v>42983</v>
      </c>
      <c r="L926" s="1624" t="s">
        <v>2302</v>
      </c>
      <c r="M926" s="1625">
        <v>3.4749000000000002E-2</v>
      </c>
      <c r="N926" s="1626">
        <v>1.3637849894235203</v>
      </c>
      <c r="O926" s="1626">
        <v>1.3891790159528643</v>
      </c>
    </row>
    <row r="927" spans="11:15">
      <c r="K927" s="1623">
        <v>42984</v>
      </c>
      <c r="L927" s="1624" t="s">
        <v>2302</v>
      </c>
      <c r="M927" s="1625">
        <v>3.4749000000000002E-2</v>
      </c>
      <c r="N927" s="1626">
        <v>1.364258891069495</v>
      </c>
      <c r="O927" s="1626">
        <v>1.3899087655817346</v>
      </c>
    </row>
    <row r="928" spans="11:15">
      <c r="K928" s="1623">
        <v>42985</v>
      </c>
      <c r="L928" s="1624"/>
      <c r="M928" s="1625">
        <v>0</v>
      </c>
      <c r="N928" s="1626">
        <v>1.364258891069495</v>
      </c>
      <c r="O928" s="1626">
        <v>1.3899087655817346</v>
      </c>
    </row>
    <row r="929" spans="11:15">
      <c r="K929" s="1623">
        <v>42986</v>
      </c>
      <c r="L929" s="1624" t="s">
        <v>2302</v>
      </c>
      <c r="M929" s="1625">
        <v>3.1095999999999999E-2</v>
      </c>
      <c r="N929" s="1626">
        <v>1.364683121014262</v>
      </c>
      <c r="O929" s="1626">
        <v>1.3906388985553824</v>
      </c>
    </row>
    <row r="930" spans="11:15">
      <c r="K930" s="1623">
        <v>42987</v>
      </c>
      <c r="L930" s="1624"/>
      <c r="M930" s="1625">
        <v>0</v>
      </c>
      <c r="N930" s="1626">
        <v>1.364683121014262</v>
      </c>
      <c r="O930" s="1626">
        <v>1.3906388985553824</v>
      </c>
    </row>
    <row r="931" spans="11:15">
      <c r="K931" s="1623">
        <v>42988</v>
      </c>
      <c r="L931" s="1624"/>
      <c r="M931" s="1625">
        <v>0</v>
      </c>
      <c r="N931" s="1626">
        <v>1.364683121014262</v>
      </c>
      <c r="O931" s="1626">
        <v>1.3906388985553824</v>
      </c>
    </row>
    <row r="932" spans="11:15">
      <c r="K932" s="1623">
        <v>42989</v>
      </c>
      <c r="L932" s="1624" t="s">
        <v>2302</v>
      </c>
      <c r="M932" s="1625">
        <v>3.1095999999999999E-2</v>
      </c>
      <c r="N932" s="1626">
        <v>1.3651074828775727</v>
      </c>
      <c r="O932" s="1626">
        <v>1.3913694150751825</v>
      </c>
    </row>
    <row r="933" spans="11:15">
      <c r="K933" s="1623">
        <v>42990</v>
      </c>
      <c r="L933" s="1624" t="s">
        <v>2302</v>
      </c>
      <c r="M933" s="1625">
        <v>3.1095999999999999E-2</v>
      </c>
      <c r="N933" s="1626">
        <v>1.3655319767004481</v>
      </c>
      <c r="O933" s="1626">
        <v>1.3921003153426157</v>
      </c>
    </row>
    <row r="934" spans="11:15">
      <c r="K934" s="1623">
        <v>42991</v>
      </c>
      <c r="L934" s="1624" t="s">
        <v>2302</v>
      </c>
      <c r="M934" s="1625">
        <v>3.1095999999999999E-2</v>
      </c>
      <c r="N934" s="1626">
        <v>1.3659566025239229</v>
      </c>
      <c r="O934" s="1626">
        <v>1.3928315995592684</v>
      </c>
    </row>
    <row r="935" spans="11:15">
      <c r="K935" s="1623">
        <v>42992</v>
      </c>
      <c r="L935" s="1624" t="s">
        <v>2302</v>
      </c>
      <c r="M935" s="1625">
        <v>3.1095999999999999E-2</v>
      </c>
      <c r="N935" s="1626">
        <v>1.3663813603890438</v>
      </c>
      <c r="O935" s="1626">
        <v>1.3935632679268328</v>
      </c>
    </row>
    <row r="936" spans="11:15">
      <c r="K936" s="1623">
        <v>42993</v>
      </c>
      <c r="L936" s="1624" t="s">
        <v>2302</v>
      </c>
      <c r="M936" s="1625">
        <v>3.1095999999999999E-2</v>
      </c>
      <c r="N936" s="1626">
        <v>1.3668062503368703</v>
      </c>
      <c r="O936" s="1626">
        <v>1.3942953206471074</v>
      </c>
    </row>
    <row r="937" spans="11:15">
      <c r="K937" s="1623">
        <v>42994</v>
      </c>
      <c r="L937" s="1624"/>
      <c r="M937" s="1625">
        <v>0</v>
      </c>
      <c r="N937" s="1626">
        <v>1.3668062503368703</v>
      </c>
      <c r="O937" s="1626">
        <v>1.3942953206471074</v>
      </c>
    </row>
    <row r="938" spans="11:15">
      <c r="K938" s="1623">
        <v>42995</v>
      </c>
      <c r="L938" s="1624"/>
      <c r="M938" s="1625">
        <v>0</v>
      </c>
      <c r="N938" s="1626">
        <v>1.3668062503368703</v>
      </c>
      <c r="O938" s="1626">
        <v>1.3942953206471074</v>
      </c>
    </row>
    <row r="939" spans="11:15">
      <c r="K939" s="1623">
        <v>42996</v>
      </c>
      <c r="L939" s="1624" t="s">
        <v>2302</v>
      </c>
      <c r="M939" s="1625">
        <v>3.1095999999999999E-2</v>
      </c>
      <c r="N939" s="1626">
        <v>1.367231272408475</v>
      </c>
      <c r="O939" s="1626">
        <v>1.3950277579219965</v>
      </c>
    </row>
    <row r="940" spans="11:15">
      <c r="K940" s="1623">
        <v>42997</v>
      </c>
      <c r="L940" s="1624" t="s">
        <v>2302</v>
      </c>
      <c r="M940" s="1625">
        <v>3.1095999999999999E-2</v>
      </c>
      <c r="N940" s="1626">
        <v>1.3676564266449431</v>
      </c>
      <c r="O940" s="1626">
        <v>1.3957605799535104</v>
      </c>
    </row>
    <row r="941" spans="11:15">
      <c r="K941" s="1623">
        <v>42998</v>
      </c>
      <c r="L941" s="1624" t="s">
        <v>2302</v>
      </c>
      <c r="M941" s="1625">
        <v>3.1095999999999999E-2</v>
      </c>
      <c r="N941" s="1626">
        <v>1.3680817130873726</v>
      </c>
      <c r="O941" s="1626">
        <v>1.3964937869437659</v>
      </c>
    </row>
    <row r="942" spans="11:15">
      <c r="K942" s="1623">
        <v>42999</v>
      </c>
      <c r="L942" s="1624" t="s">
        <v>2302</v>
      </c>
      <c r="M942" s="1625">
        <v>3.1095999999999999E-2</v>
      </c>
      <c r="N942" s="1626">
        <v>1.3685071317768742</v>
      </c>
      <c r="O942" s="1626">
        <v>1.3972273790949854</v>
      </c>
    </row>
    <row r="943" spans="11:15">
      <c r="K943" s="1623">
        <v>43000</v>
      </c>
      <c r="L943" s="1624" t="s">
        <v>2302</v>
      </c>
      <c r="M943" s="1625">
        <v>3.1095999999999999E-2</v>
      </c>
      <c r="N943" s="1626">
        <v>1.3689326827545716</v>
      </c>
      <c r="O943" s="1626">
        <v>1.3979613566094977</v>
      </c>
    </row>
    <row r="944" spans="11:15">
      <c r="K944" s="1623">
        <v>43001</v>
      </c>
      <c r="L944" s="1624"/>
      <c r="M944" s="1625">
        <v>0</v>
      </c>
      <c r="N944" s="1626">
        <v>1.3689326827545716</v>
      </c>
      <c r="O944" s="1626">
        <v>1.3979613566094977</v>
      </c>
    </row>
    <row r="945" spans="11:15">
      <c r="K945" s="1623">
        <v>43002</v>
      </c>
      <c r="L945" s="1624"/>
      <c r="M945" s="1625">
        <v>0</v>
      </c>
      <c r="N945" s="1626">
        <v>1.3689326827545716</v>
      </c>
      <c r="O945" s="1626">
        <v>1.3979613566094977</v>
      </c>
    </row>
    <row r="946" spans="11:15">
      <c r="K946" s="1623">
        <v>43003</v>
      </c>
      <c r="L946" s="1624" t="s">
        <v>2302</v>
      </c>
      <c r="M946" s="1625">
        <v>3.1095999999999999E-2</v>
      </c>
      <c r="N946" s="1626">
        <v>1.3693583660616009</v>
      </c>
      <c r="O946" s="1626">
        <v>1.3986957196897383</v>
      </c>
    </row>
    <row r="947" spans="11:15">
      <c r="K947" s="1623">
        <v>43004</v>
      </c>
      <c r="L947" s="1624" t="s">
        <v>2302</v>
      </c>
      <c r="M947" s="1625">
        <v>3.1095999999999999E-2</v>
      </c>
      <c r="N947" s="1626">
        <v>1.3697841817391114</v>
      </c>
      <c r="O947" s="1626">
        <v>1.3994304685382486</v>
      </c>
    </row>
    <row r="948" spans="11:15">
      <c r="K948" s="1623">
        <v>43005</v>
      </c>
      <c r="L948" s="1624" t="s">
        <v>2302</v>
      </c>
      <c r="M948" s="1625">
        <v>3.1095999999999999E-2</v>
      </c>
      <c r="N948" s="1626">
        <v>1.370210129828265</v>
      </c>
      <c r="O948" s="1626">
        <v>1.4001656033576764</v>
      </c>
    </row>
    <row r="949" spans="11:15">
      <c r="K949" s="1623">
        <v>43006</v>
      </c>
      <c r="L949" s="1624" t="s">
        <v>2302</v>
      </c>
      <c r="M949" s="1625">
        <v>3.1095999999999999E-2</v>
      </c>
      <c r="N949" s="1626">
        <v>1.3706362103702363</v>
      </c>
      <c r="O949" s="1626">
        <v>1.4009011243507763</v>
      </c>
    </row>
    <row r="950" spans="11:15">
      <c r="K950" s="1623">
        <v>43007</v>
      </c>
      <c r="L950" s="1624" t="s">
        <v>2302</v>
      </c>
      <c r="M950" s="1625">
        <v>3.1095999999999999E-2</v>
      </c>
      <c r="N950" s="1626">
        <v>1.371062423406213</v>
      </c>
      <c r="O950" s="1626">
        <v>1.401637031720409</v>
      </c>
    </row>
    <row r="951" spans="11:15">
      <c r="K951" s="1623">
        <v>43008</v>
      </c>
      <c r="L951" s="1624"/>
      <c r="M951" s="1625">
        <v>0</v>
      </c>
      <c r="N951" s="1626">
        <v>1.371062423406213</v>
      </c>
      <c r="O951" s="1626">
        <v>1.401637031720409</v>
      </c>
    </row>
    <row r="952" spans="11:15">
      <c r="K952" s="1623">
        <v>43009</v>
      </c>
      <c r="L952" s="1624"/>
      <c r="M952" s="1625">
        <v>0</v>
      </c>
      <c r="N952" s="1626">
        <v>1.371062423406213</v>
      </c>
      <c r="O952" s="1626">
        <v>1.401637031720409</v>
      </c>
    </row>
    <row r="953" spans="11:15">
      <c r="K953" s="1623">
        <v>43010</v>
      </c>
      <c r="L953" s="1624" t="s">
        <v>2302</v>
      </c>
      <c r="M953" s="1625">
        <v>3.1095999999999999E-2</v>
      </c>
      <c r="N953" s="1626">
        <v>1.3714887689773954</v>
      </c>
      <c r="O953" s="1626">
        <v>1.4023733256695421</v>
      </c>
    </row>
    <row r="954" spans="11:15">
      <c r="K954" s="1623">
        <v>43011</v>
      </c>
      <c r="L954" s="1624" t="s">
        <v>2302</v>
      </c>
      <c r="M954" s="1625">
        <v>3.1095999999999999E-2</v>
      </c>
      <c r="N954" s="1626">
        <v>1.3719152471249965</v>
      </c>
      <c r="O954" s="1626">
        <v>1.4031100064012496</v>
      </c>
    </row>
    <row r="955" spans="11:15">
      <c r="K955" s="1623">
        <v>43012</v>
      </c>
      <c r="L955" s="1624" t="s">
        <v>2302</v>
      </c>
      <c r="M955" s="1625">
        <v>3.1095999999999999E-2</v>
      </c>
      <c r="N955" s="1626">
        <v>1.3723418578902424</v>
      </c>
      <c r="O955" s="1626">
        <v>1.4038470741187123</v>
      </c>
    </row>
    <row r="956" spans="11:15">
      <c r="K956" s="1623">
        <v>43013</v>
      </c>
      <c r="L956" s="1624" t="s">
        <v>2302</v>
      </c>
      <c r="M956" s="1625">
        <v>3.1095999999999999E-2</v>
      </c>
      <c r="N956" s="1626">
        <v>1.3727686013143718</v>
      </c>
      <c r="O956" s="1626">
        <v>1.4045845290252177</v>
      </c>
    </row>
    <row r="957" spans="11:15">
      <c r="K957" s="1623">
        <v>43014</v>
      </c>
      <c r="L957" s="1624" t="s">
        <v>2302</v>
      </c>
      <c r="M957" s="1625">
        <v>3.1095999999999999E-2</v>
      </c>
      <c r="N957" s="1626">
        <v>1.3731954774386366</v>
      </c>
      <c r="O957" s="1626">
        <v>1.4053223713241598</v>
      </c>
    </row>
    <row r="958" spans="11:15">
      <c r="K958" s="1623">
        <v>43015</v>
      </c>
      <c r="L958" s="1624"/>
      <c r="M958" s="1625">
        <v>0</v>
      </c>
      <c r="N958" s="1626">
        <v>1.3731954774386366</v>
      </c>
      <c r="O958" s="1626">
        <v>1.4053223713241598</v>
      </c>
    </row>
    <row r="959" spans="11:15">
      <c r="K959" s="1623">
        <v>43016</v>
      </c>
      <c r="L959" s="1624"/>
      <c r="M959" s="1625">
        <v>0</v>
      </c>
      <c r="N959" s="1626">
        <v>1.3731954774386366</v>
      </c>
      <c r="O959" s="1626">
        <v>1.4053223713241598</v>
      </c>
    </row>
    <row r="960" spans="11:15">
      <c r="K960" s="1623">
        <v>43017</v>
      </c>
      <c r="L960" s="1624" t="s">
        <v>2302</v>
      </c>
      <c r="M960" s="1625">
        <v>3.1095999999999999E-2</v>
      </c>
      <c r="N960" s="1626">
        <v>1.3736224863043009</v>
      </c>
      <c r="O960" s="1626">
        <v>1.4060606012190402</v>
      </c>
    </row>
    <row r="961" spans="11:15">
      <c r="K961" s="1623">
        <v>43018</v>
      </c>
      <c r="L961" s="1624" t="s">
        <v>2302</v>
      </c>
      <c r="M961" s="1625">
        <v>3.1095999999999999E-2</v>
      </c>
      <c r="N961" s="1626">
        <v>1.3740496279526422</v>
      </c>
      <c r="O961" s="1626">
        <v>1.4067992189134666</v>
      </c>
    </row>
    <row r="962" spans="11:15">
      <c r="K962" s="1623">
        <v>43019</v>
      </c>
      <c r="L962" s="1624" t="s">
        <v>2302</v>
      </c>
      <c r="M962" s="1625">
        <v>3.1095999999999999E-2</v>
      </c>
      <c r="N962" s="1626">
        <v>1.3744769024249504</v>
      </c>
      <c r="O962" s="1626">
        <v>1.4075382246111541</v>
      </c>
    </row>
    <row r="963" spans="11:15">
      <c r="K963" s="1623">
        <v>43020</v>
      </c>
      <c r="L963" s="1624"/>
      <c r="M963" s="1625">
        <v>0</v>
      </c>
      <c r="N963" s="1626">
        <v>1.3744769024249504</v>
      </c>
      <c r="O963" s="1626">
        <v>1.4075382246111541</v>
      </c>
    </row>
    <row r="964" spans="11:15">
      <c r="K964" s="1623">
        <v>43021</v>
      </c>
      <c r="L964" s="1624" t="s">
        <v>2302</v>
      </c>
      <c r="M964" s="1625">
        <v>3.1095999999999999E-2</v>
      </c>
      <c r="N964" s="1626">
        <v>1.3749043097625284</v>
      </c>
      <c r="O964" s="1626">
        <v>1.4082776185159245</v>
      </c>
    </row>
    <row r="965" spans="11:15">
      <c r="K965" s="1623">
        <v>43022</v>
      </c>
      <c r="L965" s="1624"/>
      <c r="M965" s="1625">
        <v>0</v>
      </c>
      <c r="N965" s="1626">
        <v>1.3749043097625284</v>
      </c>
      <c r="O965" s="1626">
        <v>1.4082776185159245</v>
      </c>
    </row>
    <row r="966" spans="11:15">
      <c r="K966" s="1623">
        <v>43023</v>
      </c>
      <c r="L966" s="1624"/>
      <c r="M966" s="1625">
        <v>0</v>
      </c>
      <c r="N966" s="1626">
        <v>1.3749043097625284</v>
      </c>
      <c r="O966" s="1626">
        <v>1.4082776185159245</v>
      </c>
    </row>
    <row r="967" spans="11:15">
      <c r="K967" s="1623">
        <v>43024</v>
      </c>
      <c r="L967" s="1624" t="s">
        <v>2302</v>
      </c>
      <c r="M967" s="1625">
        <v>3.1095999999999999E-2</v>
      </c>
      <c r="N967" s="1626">
        <v>1.3753318500066922</v>
      </c>
      <c r="O967" s="1626">
        <v>1.4090174008317071</v>
      </c>
    </row>
    <row r="968" spans="11:15">
      <c r="K968" s="1623">
        <v>43025</v>
      </c>
      <c r="L968" s="1624" t="s">
        <v>2302</v>
      </c>
      <c r="M968" s="1625">
        <v>3.1095999999999999E-2</v>
      </c>
      <c r="N968" s="1626">
        <v>1.3757595231987703</v>
      </c>
      <c r="O968" s="1626">
        <v>1.4097575717625381</v>
      </c>
    </row>
    <row r="969" spans="11:15">
      <c r="K969" s="1623">
        <v>43026</v>
      </c>
      <c r="L969" s="1624" t="s">
        <v>2302</v>
      </c>
      <c r="M969" s="1625">
        <v>3.1095999999999999E-2</v>
      </c>
      <c r="N969" s="1626">
        <v>1.3761873293801041</v>
      </c>
      <c r="O969" s="1626">
        <v>1.4104981315125606</v>
      </c>
    </row>
    <row r="970" spans="11:15">
      <c r="K970" s="1623">
        <v>43027</v>
      </c>
      <c r="L970" s="1624" t="s">
        <v>2302</v>
      </c>
      <c r="M970" s="1625">
        <v>3.1095999999999999E-2</v>
      </c>
      <c r="N970" s="1626">
        <v>1.3766152685920481</v>
      </c>
      <c r="O970" s="1626">
        <v>1.4112390802860255</v>
      </c>
    </row>
    <row r="971" spans="11:15">
      <c r="K971" s="1623">
        <v>43028</v>
      </c>
      <c r="L971" s="1624" t="s">
        <v>2302</v>
      </c>
      <c r="M971" s="1625">
        <v>3.1095999999999999E-2</v>
      </c>
      <c r="N971" s="1626">
        <v>1.3770433408759695</v>
      </c>
      <c r="O971" s="1626">
        <v>1.4119804182872906</v>
      </c>
    </row>
    <row r="972" spans="11:15">
      <c r="K972" s="1623">
        <v>43029</v>
      </c>
      <c r="L972" s="1624"/>
      <c r="M972" s="1625">
        <v>0</v>
      </c>
      <c r="N972" s="1626">
        <v>1.3770433408759695</v>
      </c>
      <c r="O972" s="1626">
        <v>1.4119804182872906</v>
      </c>
    </row>
    <row r="973" spans="11:15">
      <c r="K973" s="1623">
        <v>43030</v>
      </c>
      <c r="L973" s="1624"/>
      <c r="M973" s="1625">
        <v>0</v>
      </c>
      <c r="N973" s="1626">
        <v>1.3770433408759695</v>
      </c>
      <c r="O973" s="1626">
        <v>1.4119804182872906</v>
      </c>
    </row>
    <row r="974" spans="11:15">
      <c r="K974" s="1623">
        <v>43031</v>
      </c>
      <c r="L974" s="1624" t="s">
        <v>2302</v>
      </c>
      <c r="M974" s="1625">
        <v>3.1095999999999999E-2</v>
      </c>
      <c r="N974" s="1626">
        <v>1.3774715462732483</v>
      </c>
      <c r="O974" s="1626">
        <v>1.412722145720821</v>
      </c>
    </row>
    <row r="975" spans="11:15">
      <c r="K975" s="1623">
        <v>43032</v>
      </c>
      <c r="L975" s="1624" t="s">
        <v>2302</v>
      </c>
      <c r="M975" s="1625">
        <v>3.1095999999999999E-2</v>
      </c>
      <c r="N975" s="1626">
        <v>1.3778998848252775</v>
      </c>
      <c r="O975" s="1626">
        <v>1.4134642627911895</v>
      </c>
    </row>
    <row r="976" spans="11:15">
      <c r="K976" s="1623">
        <v>43033</v>
      </c>
      <c r="L976" s="1624" t="s">
        <v>2302</v>
      </c>
      <c r="M976" s="1625">
        <v>3.1095999999999999E-2</v>
      </c>
      <c r="N976" s="1626">
        <v>1.3783283565734628</v>
      </c>
      <c r="O976" s="1626">
        <v>1.4142067697030765</v>
      </c>
    </row>
    <row r="977" spans="11:15">
      <c r="K977" s="1623">
        <v>43034</v>
      </c>
      <c r="L977" s="1624" t="s">
        <v>2302</v>
      </c>
      <c r="M977" s="1625">
        <v>2.8333000000000001E-2</v>
      </c>
      <c r="N977" s="1626">
        <v>1.3787188783467308</v>
      </c>
      <c r="O977" s="1626">
        <v>1.4149496666612691</v>
      </c>
    </row>
    <row r="978" spans="11:15">
      <c r="K978" s="1623">
        <v>43035</v>
      </c>
      <c r="L978" s="1624" t="s">
        <v>2302</v>
      </c>
      <c r="M978" s="1625">
        <v>2.8333000000000001E-2</v>
      </c>
      <c r="N978" s="1626">
        <v>1.3791095107665328</v>
      </c>
      <c r="O978" s="1626">
        <v>1.4156929538706629</v>
      </c>
    </row>
    <row r="979" spans="11:15">
      <c r="K979" s="1623">
        <v>43036</v>
      </c>
      <c r="L979" s="1624"/>
      <c r="M979" s="1625">
        <v>0</v>
      </c>
      <c r="N979" s="1626">
        <v>1.3791095107665328</v>
      </c>
      <c r="O979" s="1626">
        <v>1.4156929538706629</v>
      </c>
    </row>
    <row r="980" spans="11:15">
      <c r="K980" s="1623">
        <v>43037</v>
      </c>
      <c r="L980" s="1624"/>
      <c r="M980" s="1625">
        <v>0</v>
      </c>
      <c r="N980" s="1626">
        <v>1.3791095107665328</v>
      </c>
      <c r="O980" s="1626">
        <v>1.4156929538706629</v>
      </c>
    </row>
    <row r="981" spans="11:15">
      <c r="K981" s="1623">
        <v>43038</v>
      </c>
      <c r="L981" s="1624" t="s">
        <v>2302</v>
      </c>
      <c r="M981" s="1625">
        <v>2.8333000000000001E-2</v>
      </c>
      <c r="N981" s="1626">
        <v>1.3795002538642183</v>
      </c>
      <c r="O981" s="1626">
        <v>1.4164366315362606</v>
      </c>
    </row>
    <row r="982" spans="11:15">
      <c r="K982" s="1623">
        <v>43039</v>
      </c>
      <c r="L982" s="1624" t="s">
        <v>2302</v>
      </c>
      <c r="M982" s="1625">
        <v>2.8333000000000001E-2</v>
      </c>
      <c r="N982" s="1626">
        <v>1.3798911076711458</v>
      </c>
      <c r="O982" s="1626">
        <v>1.4171806998631729</v>
      </c>
    </row>
    <row r="983" spans="11:15">
      <c r="K983" s="1623">
        <v>43040</v>
      </c>
      <c r="L983" s="1624" t="s">
        <v>2302</v>
      </c>
      <c r="M983" s="1625">
        <v>2.8333000000000001E-2</v>
      </c>
      <c r="N983" s="1626">
        <v>1.3802820722186822</v>
      </c>
      <c r="O983" s="1626">
        <v>1.417925159056618</v>
      </c>
    </row>
    <row r="984" spans="11:15">
      <c r="K984" s="1623">
        <v>43041</v>
      </c>
      <c r="L984" s="1624"/>
      <c r="M984" s="1625">
        <v>0</v>
      </c>
      <c r="N984" s="1626">
        <v>1.3802820722186822</v>
      </c>
      <c r="O984" s="1626">
        <v>1.417925159056618</v>
      </c>
    </row>
    <row r="985" spans="11:15">
      <c r="K985" s="1623">
        <v>43042</v>
      </c>
      <c r="L985" s="1624" t="s">
        <v>2302</v>
      </c>
      <c r="M985" s="1625">
        <v>2.8333000000000001E-2</v>
      </c>
      <c r="N985" s="1626">
        <v>1.3806731475382039</v>
      </c>
      <c r="O985" s="1626">
        <v>1.418670009321922</v>
      </c>
    </row>
    <row r="986" spans="11:15">
      <c r="K986" s="1623">
        <v>43043</v>
      </c>
      <c r="L986" s="1624"/>
      <c r="M986" s="1625">
        <v>0</v>
      </c>
      <c r="N986" s="1626">
        <v>1.3806731475382039</v>
      </c>
      <c r="O986" s="1626">
        <v>1.418670009321922</v>
      </c>
    </row>
    <row r="987" spans="11:15">
      <c r="K987" s="1623">
        <v>43044</v>
      </c>
      <c r="L987" s="1624"/>
      <c r="M987" s="1625">
        <v>0</v>
      </c>
      <c r="N987" s="1626">
        <v>1.3806731475382039</v>
      </c>
      <c r="O987" s="1626">
        <v>1.418670009321922</v>
      </c>
    </row>
    <row r="988" spans="11:15">
      <c r="K988" s="1623">
        <v>43045</v>
      </c>
      <c r="L988" s="1624" t="s">
        <v>2302</v>
      </c>
      <c r="M988" s="1625">
        <v>2.8333000000000001E-2</v>
      </c>
      <c r="N988" s="1626">
        <v>1.3810643336610959</v>
      </c>
      <c r="O988" s="1626">
        <v>1.4194152508645188</v>
      </c>
    </row>
    <row r="989" spans="11:15">
      <c r="K989" s="1623">
        <v>43046</v>
      </c>
      <c r="L989" s="1624" t="s">
        <v>2302</v>
      </c>
      <c r="M989" s="1625">
        <v>2.8333000000000001E-2</v>
      </c>
      <c r="N989" s="1626">
        <v>1.3814556306187522</v>
      </c>
      <c r="O989" s="1626">
        <v>1.4201608838899504</v>
      </c>
    </row>
    <row r="990" spans="11:15">
      <c r="K990" s="1623">
        <v>43047</v>
      </c>
      <c r="L990" s="1624" t="s">
        <v>2302</v>
      </c>
      <c r="M990" s="1625">
        <v>2.8333000000000001E-2</v>
      </c>
      <c r="N990" s="1626">
        <v>1.3818470384425754</v>
      </c>
      <c r="O990" s="1626">
        <v>1.4209069086038666</v>
      </c>
    </row>
    <row r="991" spans="11:15">
      <c r="K991" s="1623">
        <v>43048</v>
      </c>
      <c r="L991" s="1624" t="s">
        <v>2302</v>
      </c>
      <c r="M991" s="1625">
        <v>2.8333000000000001E-2</v>
      </c>
      <c r="N991" s="1626">
        <v>1.3822385571639773</v>
      </c>
      <c r="O991" s="1626">
        <v>1.4216533252120254</v>
      </c>
    </row>
    <row r="992" spans="11:15">
      <c r="K992" s="1623">
        <v>43049</v>
      </c>
      <c r="L992" s="1624" t="s">
        <v>2302</v>
      </c>
      <c r="M992" s="1625">
        <v>2.8333000000000001E-2</v>
      </c>
      <c r="N992" s="1626">
        <v>1.3826301868143787</v>
      </c>
      <c r="O992" s="1626">
        <v>1.4224001339202925</v>
      </c>
    </row>
    <row r="993" spans="11:15">
      <c r="K993" s="1623">
        <v>43050</v>
      </c>
      <c r="L993" s="1624"/>
      <c r="M993" s="1625">
        <v>0</v>
      </c>
      <c r="N993" s="1626">
        <v>1.3826301868143787</v>
      </c>
      <c r="O993" s="1626">
        <v>1.4224001339202925</v>
      </c>
    </row>
    <row r="994" spans="11:15">
      <c r="K994" s="1623">
        <v>43051</v>
      </c>
      <c r="L994" s="1624"/>
      <c r="M994" s="1625">
        <v>0</v>
      </c>
      <c r="N994" s="1626">
        <v>1.3826301868143787</v>
      </c>
      <c r="O994" s="1626">
        <v>1.4224001339202925</v>
      </c>
    </row>
    <row r="995" spans="11:15">
      <c r="K995" s="1623">
        <v>43052</v>
      </c>
      <c r="L995" s="1624" t="s">
        <v>2302</v>
      </c>
      <c r="M995" s="1625">
        <v>2.8333000000000001E-2</v>
      </c>
      <c r="N995" s="1626">
        <v>1.3830219274252089</v>
      </c>
      <c r="O995" s="1626">
        <v>1.4231473349346422</v>
      </c>
    </row>
    <row r="996" spans="11:15">
      <c r="K996" s="1623">
        <v>43053</v>
      </c>
      <c r="L996" s="1624" t="s">
        <v>2302</v>
      </c>
      <c r="M996" s="1625">
        <v>2.8333000000000001E-2</v>
      </c>
      <c r="N996" s="1626">
        <v>1.3834137790279064</v>
      </c>
      <c r="O996" s="1626">
        <v>1.4238949284611566</v>
      </c>
    </row>
    <row r="997" spans="11:15">
      <c r="K997" s="1623">
        <v>43054</v>
      </c>
      <c r="L997" s="1624"/>
      <c r="M997" s="1625">
        <v>0</v>
      </c>
      <c r="N997" s="1626">
        <v>1.3834137790279064</v>
      </c>
      <c r="O997" s="1626">
        <v>1.4238949284611566</v>
      </c>
    </row>
    <row r="998" spans="11:15">
      <c r="K998" s="1623">
        <v>43055</v>
      </c>
      <c r="L998" s="1624" t="s">
        <v>2302</v>
      </c>
      <c r="M998" s="1625">
        <v>2.8333000000000001E-2</v>
      </c>
      <c r="N998" s="1626">
        <v>1.3838057416539185</v>
      </c>
      <c r="O998" s="1626">
        <v>1.4246429147060264</v>
      </c>
    </row>
    <row r="999" spans="11:15">
      <c r="K999" s="1623">
        <v>43056</v>
      </c>
      <c r="L999" s="1624" t="s">
        <v>2302</v>
      </c>
      <c r="M999" s="1625">
        <v>2.8333000000000001E-2</v>
      </c>
      <c r="N999" s="1626">
        <v>1.3841978153347012</v>
      </c>
      <c r="O999" s="1626">
        <v>1.4253912938755506</v>
      </c>
    </row>
    <row r="1000" spans="11:15">
      <c r="K1000" s="1623">
        <v>43057</v>
      </c>
      <c r="L1000" s="1624"/>
      <c r="M1000" s="1625">
        <v>0</v>
      </c>
      <c r="N1000" s="1626">
        <v>1.3841978153347012</v>
      </c>
      <c r="O1000" s="1626">
        <v>1.4253912938755506</v>
      </c>
    </row>
    <row r="1001" spans="11:15">
      <c r="K1001" s="1623">
        <v>43058</v>
      </c>
      <c r="L1001" s="1624"/>
      <c r="M1001" s="1625">
        <v>0</v>
      </c>
      <c r="N1001" s="1626">
        <v>1.3841978153347012</v>
      </c>
      <c r="O1001" s="1626">
        <v>1.4253912938755506</v>
      </c>
    </row>
    <row r="1002" spans="11:15">
      <c r="K1002" s="1623">
        <v>43059</v>
      </c>
      <c r="L1002" s="1624" t="s">
        <v>2302</v>
      </c>
      <c r="M1002" s="1625">
        <v>2.8333000000000001E-2</v>
      </c>
      <c r="N1002" s="1626">
        <v>1.38459000010172</v>
      </c>
      <c r="O1002" s="1626">
        <v>1.4261400661761363</v>
      </c>
    </row>
    <row r="1003" spans="11:15">
      <c r="K1003" s="1623">
        <v>43060</v>
      </c>
      <c r="L1003" s="1624" t="s">
        <v>2302</v>
      </c>
      <c r="M1003" s="1625">
        <v>2.8333000000000001E-2</v>
      </c>
      <c r="N1003" s="1626">
        <v>1.3849822959864488</v>
      </c>
      <c r="O1003" s="1626">
        <v>1.4268892318142994</v>
      </c>
    </row>
    <row r="1004" spans="11:15">
      <c r="K1004" s="1623">
        <v>43061</v>
      </c>
      <c r="L1004" s="1624" t="s">
        <v>2302</v>
      </c>
      <c r="M1004" s="1625">
        <v>2.8333000000000001E-2</v>
      </c>
      <c r="N1004" s="1626">
        <v>1.3853747030203707</v>
      </c>
      <c r="O1004" s="1626">
        <v>1.4276387909966637</v>
      </c>
    </row>
    <row r="1005" spans="11:15">
      <c r="K1005" s="1623">
        <v>43062</v>
      </c>
      <c r="L1005" s="1624" t="s">
        <v>2302</v>
      </c>
      <c r="M1005" s="1625">
        <v>2.8333000000000001E-2</v>
      </c>
      <c r="N1005" s="1626">
        <v>1.3857672212349774</v>
      </c>
      <c r="O1005" s="1626">
        <v>1.4283887439299621</v>
      </c>
    </row>
    <row r="1006" spans="11:15">
      <c r="K1006" s="1623">
        <v>43063</v>
      </c>
      <c r="L1006" s="1624" t="s">
        <v>2302</v>
      </c>
      <c r="M1006" s="1625">
        <v>2.8333000000000001E-2</v>
      </c>
      <c r="N1006" s="1626">
        <v>1.3861598506617701</v>
      </c>
      <c r="O1006" s="1626">
        <v>1.429139090821036</v>
      </c>
    </row>
    <row r="1007" spans="11:15">
      <c r="K1007" s="1623">
        <v>43064</v>
      </c>
      <c r="L1007" s="1624"/>
      <c r="M1007" s="1625">
        <v>0</v>
      </c>
      <c r="N1007" s="1626">
        <v>1.3861598506617701</v>
      </c>
      <c r="O1007" s="1626">
        <v>1.429139090821036</v>
      </c>
    </row>
    <row r="1008" spans="11:15">
      <c r="K1008" s="1623">
        <v>43065</v>
      </c>
      <c r="L1008" s="1624"/>
      <c r="M1008" s="1625">
        <v>0</v>
      </c>
      <c r="N1008" s="1626">
        <v>1.3861598506617701</v>
      </c>
      <c r="O1008" s="1626">
        <v>1.429139090821036</v>
      </c>
    </row>
    <row r="1009" spans="11:15">
      <c r="K1009" s="1623">
        <v>43066</v>
      </c>
      <c r="L1009" s="1624" t="s">
        <v>2302</v>
      </c>
      <c r="M1009" s="1625">
        <v>2.8333000000000001E-2</v>
      </c>
      <c r="N1009" s="1626">
        <v>1.3865525913322581</v>
      </c>
      <c r="O1009" s="1626">
        <v>1.4298898318768352</v>
      </c>
    </row>
    <row r="1010" spans="11:15">
      <c r="K1010" s="1623">
        <v>43067</v>
      </c>
      <c r="L1010" s="1624" t="s">
        <v>2302</v>
      </c>
      <c r="M1010" s="1625">
        <v>2.8333000000000001E-2</v>
      </c>
      <c r="N1010" s="1626">
        <v>1.3869454432779602</v>
      </c>
      <c r="O1010" s="1626">
        <v>1.4306409673044185</v>
      </c>
    </row>
    <row r="1011" spans="11:15">
      <c r="K1011" s="1623">
        <v>43068</v>
      </c>
      <c r="L1011" s="1624" t="s">
        <v>2302</v>
      </c>
      <c r="M1011" s="1625">
        <v>2.8333000000000001E-2</v>
      </c>
      <c r="N1011" s="1626">
        <v>1.3873384065304042</v>
      </c>
      <c r="O1011" s="1626">
        <v>1.4313924973109531</v>
      </c>
    </row>
    <row r="1012" spans="11:15">
      <c r="K1012" s="1623">
        <v>43069</v>
      </c>
      <c r="L1012" s="1624" t="s">
        <v>2302</v>
      </c>
      <c r="M1012" s="1625">
        <v>2.8333000000000001E-2</v>
      </c>
      <c r="N1012" s="1626">
        <v>1.3877314811211265</v>
      </c>
      <c r="O1012" s="1626">
        <v>1.4321444221037154</v>
      </c>
    </row>
    <row r="1013" spans="11:15">
      <c r="K1013" s="1623">
        <v>43070</v>
      </c>
      <c r="L1013" s="1624" t="s">
        <v>2302</v>
      </c>
      <c r="M1013" s="1625">
        <v>2.8333000000000001E-2</v>
      </c>
      <c r="N1013" s="1626">
        <v>1.3881246670816727</v>
      </c>
      <c r="O1013" s="1626">
        <v>1.4328967418900906</v>
      </c>
    </row>
    <row r="1014" spans="11:15">
      <c r="K1014" s="1623">
        <v>43071</v>
      </c>
      <c r="L1014" s="1624"/>
      <c r="M1014" s="1625">
        <v>0</v>
      </c>
      <c r="N1014" s="1626">
        <v>1.3881246670816727</v>
      </c>
      <c r="O1014" s="1626">
        <v>1.4328967418900906</v>
      </c>
    </row>
    <row r="1015" spans="11:15">
      <c r="K1015" s="1623">
        <v>43072</v>
      </c>
      <c r="L1015" s="1624"/>
      <c r="M1015" s="1625">
        <v>0</v>
      </c>
      <c r="N1015" s="1626">
        <v>1.3881246670816727</v>
      </c>
      <c r="O1015" s="1626">
        <v>1.4328967418900906</v>
      </c>
    </row>
    <row r="1016" spans="11:15">
      <c r="K1016" s="1623">
        <v>43073</v>
      </c>
      <c r="L1016" s="1624" t="s">
        <v>2302</v>
      </c>
      <c r="M1016" s="1625">
        <v>2.8333000000000001E-2</v>
      </c>
      <c r="N1016" s="1626">
        <v>1.388517964443597</v>
      </c>
      <c r="O1016" s="1626">
        <v>1.4336494568775728</v>
      </c>
    </row>
    <row r="1017" spans="11:15">
      <c r="K1017" s="1623">
        <v>43074</v>
      </c>
      <c r="L1017" s="1624" t="s">
        <v>2302</v>
      </c>
      <c r="M1017" s="1625">
        <v>2.8333000000000001E-2</v>
      </c>
      <c r="N1017" s="1626">
        <v>1.3889113732384628</v>
      </c>
      <c r="O1017" s="1626">
        <v>1.4344025672737652</v>
      </c>
    </row>
    <row r="1018" spans="11:15">
      <c r="K1018" s="1623">
        <v>43075</v>
      </c>
      <c r="L1018" s="1624" t="s">
        <v>2302</v>
      </c>
      <c r="M1018" s="1625">
        <v>2.8333000000000001E-2</v>
      </c>
      <c r="N1018" s="1626">
        <v>1.3893048934978425</v>
      </c>
      <c r="O1018" s="1626">
        <v>1.4351560732863797</v>
      </c>
    </row>
    <row r="1019" spans="11:15">
      <c r="K1019" s="1623">
        <v>43076</v>
      </c>
      <c r="L1019" s="1624" t="s">
        <v>2302</v>
      </c>
      <c r="M1019" s="1625">
        <v>2.6481000000000001E-2</v>
      </c>
      <c r="N1019" s="1626">
        <v>1.3896727953266896</v>
      </c>
      <c r="O1019" s="1626">
        <v>1.4359099751232378</v>
      </c>
    </row>
    <row r="1020" spans="11:15">
      <c r="K1020" s="1623">
        <v>43077</v>
      </c>
      <c r="L1020" s="1624" t="s">
        <v>2302</v>
      </c>
      <c r="M1020" s="1625">
        <v>2.6481000000000001E-2</v>
      </c>
      <c r="N1020" s="1626">
        <v>1.39004079457962</v>
      </c>
      <c r="O1020" s="1626">
        <v>1.4366642729922698</v>
      </c>
    </row>
    <row r="1021" spans="11:15">
      <c r="K1021" s="1623">
        <v>43078</v>
      </c>
      <c r="L1021" s="1624"/>
      <c r="M1021" s="1625">
        <v>0</v>
      </c>
      <c r="N1021" s="1626">
        <v>1.39004079457962</v>
      </c>
      <c r="O1021" s="1626">
        <v>1.4366642729922698</v>
      </c>
    </row>
    <row r="1022" spans="11:15">
      <c r="K1022" s="1623">
        <v>43079</v>
      </c>
      <c r="L1022" s="1624"/>
      <c r="M1022" s="1625">
        <v>0</v>
      </c>
      <c r="N1022" s="1626">
        <v>1.39004079457962</v>
      </c>
      <c r="O1022" s="1626">
        <v>1.4366642729922698</v>
      </c>
    </row>
    <row r="1023" spans="11:15">
      <c r="K1023" s="1623">
        <v>43080</v>
      </c>
      <c r="L1023" s="1624" t="s">
        <v>2302</v>
      </c>
      <c r="M1023" s="1625">
        <v>2.6481000000000001E-2</v>
      </c>
      <c r="N1023" s="1626">
        <v>1.3904088912824326</v>
      </c>
      <c r="O1023" s="1626">
        <v>1.4374189671015154</v>
      </c>
    </row>
    <row r="1024" spans="11:15">
      <c r="K1024" s="1623">
        <v>43081</v>
      </c>
      <c r="L1024" s="1624" t="s">
        <v>2302</v>
      </c>
      <c r="M1024" s="1625">
        <v>2.6481000000000001E-2</v>
      </c>
      <c r="N1024" s="1626">
        <v>1.3907770854609331</v>
      </c>
      <c r="O1024" s="1626">
        <v>1.4381740576591235</v>
      </c>
    </row>
    <row r="1025" spans="11:15">
      <c r="K1025" s="1623">
        <v>43082</v>
      </c>
      <c r="L1025" s="1624" t="s">
        <v>2302</v>
      </c>
      <c r="M1025" s="1625">
        <v>2.6481000000000001E-2</v>
      </c>
      <c r="N1025" s="1626">
        <v>1.3911453771409341</v>
      </c>
      <c r="O1025" s="1626">
        <v>1.4389295448733526</v>
      </c>
    </row>
    <row r="1026" spans="11:15">
      <c r="K1026" s="1623">
        <v>43083</v>
      </c>
      <c r="L1026" s="1624" t="s">
        <v>2302</v>
      </c>
      <c r="M1026" s="1625">
        <v>2.6481000000000001E-2</v>
      </c>
      <c r="N1026" s="1626">
        <v>1.3915137663482549</v>
      </c>
      <c r="O1026" s="1626">
        <v>1.43968542895257</v>
      </c>
    </row>
    <row r="1027" spans="11:15">
      <c r="K1027" s="1623">
        <v>43084</v>
      </c>
      <c r="L1027" s="1624" t="s">
        <v>2302</v>
      </c>
      <c r="M1027" s="1625">
        <v>2.6481000000000001E-2</v>
      </c>
      <c r="N1027" s="1626">
        <v>1.3918822531087216</v>
      </c>
      <c r="O1027" s="1626">
        <v>1.4404417101052531</v>
      </c>
    </row>
    <row r="1028" spans="11:15">
      <c r="K1028" s="1623">
        <v>43085</v>
      </c>
      <c r="L1028" s="1624"/>
      <c r="M1028" s="1625">
        <v>0</v>
      </c>
      <c r="N1028" s="1626">
        <v>1.3918822531087216</v>
      </c>
      <c r="O1028" s="1626">
        <v>1.4404417101052531</v>
      </c>
    </row>
    <row r="1029" spans="11:15">
      <c r="K1029" s="1623">
        <v>43086</v>
      </c>
      <c r="L1029" s="1624"/>
      <c r="M1029" s="1625">
        <v>0</v>
      </c>
      <c r="N1029" s="1626">
        <v>1.3918822531087216</v>
      </c>
      <c r="O1029" s="1626">
        <v>1.4404417101052531</v>
      </c>
    </row>
    <row r="1030" spans="11:15">
      <c r="K1030" s="1623">
        <v>43087</v>
      </c>
      <c r="L1030" s="1624" t="s">
        <v>2302</v>
      </c>
      <c r="M1030" s="1625">
        <v>2.6481000000000001E-2</v>
      </c>
      <c r="N1030" s="1626">
        <v>1.3922508374481672</v>
      </c>
      <c r="O1030" s="1626">
        <v>1.4411983885399886</v>
      </c>
    </row>
    <row r="1031" spans="11:15">
      <c r="K1031" s="1623">
        <v>43088</v>
      </c>
      <c r="L1031" s="1624" t="s">
        <v>2302</v>
      </c>
      <c r="M1031" s="1625">
        <v>2.6481000000000001E-2</v>
      </c>
      <c r="N1031" s="1626">
        <v>1.392619519392432</v>
      </c>
      <c r="O1031" s="1626">
        <v>1.4419554644654726</v>
      </c>
    </row>
    <row r="1032" spans="11:15">
      <c r="K1032" s="1623">
        <v>43089</v>
      </c>
      <c r="L1032" s="1624" t="s">
        <v>2302</v>
      </c>
      <c r="M1032" s="1625">
        <v>2.6481000000000001E-2</v>
      </c>
      <c r="N1032" s="1626">
        <v>1.3929882989673623</v>
      </c>
      <c r="O1032" s="1626">
        <v>1.442712938090511</v>
      </c>
    </row>
    <row r="1033" spans="11:15">
      <c r="K1033" s="1623">
        <v>43090</v>
      </c>
      <c r="L1033" s="1624" t="s">
        <v>2302</v>
      </c>
      <c r="M1033" s="1625">
        <v>2.6481000000000001E-2</v>
      </c>
      <c r="N1033" s="1626">
        <v>1.3933571761988119</v>
      </c>
      <c r="O1033" s="1626">
        <v>1.4434708096240194</v>
      </c>
    </row>
    <row r="1034" spans="11:15">
      <c r="K1034" s="1623">
        <v>43091</v>
      </c>
      <c r="L1034" s="1624" t="s">
        <v>2302</v>
      </c>
      <c r="M1034" s="1625">
        <v>2.6481000000000001E-2</v>
      </c>
      <c r="N1034" s="1626">
        <v>1.3937261511126411</v>
      </c>
      <c r="O1034" s="1626">
        <v>1.444229079275023</v>
      </c>
    </row>
    <row r="1035" spans="11:15">
      <c r="K1035" s="1623">
        <v>43092</v>
      </c>
      <c r="L1035" s="1624"/>
      <c r="M1035" s="1625">
        <v>0</v>
      </c>
      <c r="N1035" s="1626">
        <v>1.3937261511126411</v>
      </c>
      <c r="O1035" s="1626">
        <v>1.444229079275023</v>
      </c>
    </row>
    <row r="1036" spans="11:15">
      <c r="K1036" s="1623">
        <v>43093</v>
      </c>
      <c r="L1036" s="1624"/>
      <c r="M1036" s="1625">
        <v>0</v>
      </c>
      <c r="N1036" s="1626">
        <v>1.3937261511126411</v>
      </c>
      <c r="O1036" s="1626">
        <v>1.444229079275023</v>
      </c>
    </row>
    <row r="1037" spans="11:15">
      <c r="K1037" s="1623">
        <v>43094</v>
      </c>
      <c r="L1037" s="1624"/>
      <c r="M1037" s="1625">
        <v>0</v>
      </c>
      <c r="N1037" s="1626">
        <v>1.3937261511126411</v>
      </c>
      <c r="O1037" s="1626">
        <v>1.444229079275023</v>
      </c>
    </row>
    <row r="1038" spans="11:15">
      <c r="K1038" s="1623">
        <v>43095</v>
      </c>
      <c r="L1038" s="1624" t="s">
        <v>2302</v>
      </c>
      <c r="M1038" s="1625">
        <v>2.6481000000000001E-2</v>
      </c>
      <c r="N1038" s="1626">
        <v>1.3940952237347173</v>
      </c>
      <c r="O1038" s="1626">
        <v>1.4449877472526569</v>
      </c>
    </row>
    <row r="1039" spans="11:15">
      <c r="K1039" s="1623">
        <v>43096</v>
      </c>
      <c r="L1039" s="1624" t="s">
        <v>2302</v>
      </c>
      <c r="M1039" s="1625">
        <v>2.6481000000000001E-2</v>
      </c>
      <c r="N1039" s="1626">
        <v>1.3944643940909145</v>
      </c>
      <c r="O1039" s="1626">
        <v>1.4457468137661662</v>
      </c>
    </row>
    <row r="1040" spans="11:15">
      <c r="K1040" s="1623">
        <v>43097</v>
      </c>
      <c r="L1040" s="1624" t="s">
        <v>2302</v>
      </c>
      <c r="M1040" s="1625">
        <v>2.6481000000000001E-2</v>
      </c>
      <c r="N1040" s="1626">
        <v>1.3948336622071138</v>
      </c>
      <c r="O1040" s="1626">
        <v>1.4465062790249057</v>
      </c>
    </row>
    <row r="1041" spans="11:15">
      <c r="K1041" s="1623">
        <v>43098</v>
      </c>
      <c r="L1041" s="1624" t="s">
        <v>2302</v>
      </c>
      <c r="M1041" s="1625">
        <v>2.6481000000000001E-2</v>
      </c>
      <c r="N1041" s="1626">
        <v>1.3952030281092029</v>
      </c>
      <c r="O1041" s="1626">
        <v>1.4472661432383402</v>
      </c>
    </row>
    <row r="1042" spans="11:15">
      <c r="K1042" s="1623">
        <v>43099</v>
      </c>
      <c r="L1042" s="1624"/>
      <c r="M1042" s="1625">
        <v>0</v>
      </c>
      <c r="N1042" s="1626">
        <v>1.3952030281092029</v>
      </c>
      <c r="O1042" s="1626">
        <v>1.4472661432383402</v>
      </c>
    </row>
    <row r="1043" spans="11:15">
      <c r="K1043" s="1623">
        <v>43100</v>
      </c>
      <c r="L1043" s="1624"/>
      <c r="M1043" s="1625">
        <v>0</v>
      </c>
      <c r="N1043" s="1626">
        <v>1.3952030281092029</v>
      </c>
      <c r="O1043" s="1626">
        <v>1.4472661432383402</v>
      </c>
    </row>
    <row r="1044" spans="11:15">
      <c r="K1044" s="1623">
        <v>43101</v>
      </c>
      <c r="L1044" s="1624"/>
      <c r="M1044" s="1625">
        <v>0</v>
      </c>
      <c r="N1044" s="1626">
        <v>1.3952030281092029</v>
      </c>
      <c r="O1044" s="1626">
        <v>1.4472661432383402</v>
      </c>
    </row>
    <row r="1045" spans="11:15">
      <c r="K1045" s="1623">
        <v>43102</v>
      </c>
      <c r="L1045" s="1624" t="s">
        <v>2302</v>
      </c>
      <c r="M1045" s="1625">
        <v>2.6481000000000001E-2</v>
      </c>
      <c r="N1045" s="1626">
        <v>1.3955724918230765</v>
      </c>
      <c r="O1045" s="1626"/>
    </row>
    <row r="1046" spans="11:15">
      <c r="K1046" s="1623">
        <v>43103</v>
      </c>
      <c r="L1046" s="1624" t="s">
        <v>2302</v>
      </c>
      <c r="M1046" s="1625">
        <v>2.6481000000000001E-2</v>
      </c>
      <c r="N1046" s="1626">
        <v>1.3959420533746363</v>
      </c>
      <c r="O1046" s="1626"/>
    </row>
    <row r="1047" spans="11:15">
      <c r="K1047" s="1623">
        <v>43104</v>
      </c>
      <c r="L1047" s="1624" t="s">
        <v>2302</v>
      </c>
      <c r="M1047" s="1625">
        <v>2.6481000000000001E-2</v>
      </c>
      <c r="N1047" s="1626">
        <v>1.3963117127897904</v>
      </c>
      <c r="O1047" s="1626"/>
    </row>
    <row r="1048" spans="11:15">
      <c r="K1048" s="1623">
        <v>43105</v>
      </c>
      <c r="L1048" s="1624" t="s">
        <v>2302</v>
      </c>
      <c r="M1048" s="1625">
        <v>2.6481000000000001E-2</v>
      </c>
      <c r="N1048" s="1626">
        <v>1.3966814700944543</v>
      </c>
      <c r="O1048" s="1626"/>
    </row>
    <row r="1049" spans="11:15">
      <c r="K1049" s="1623">
        <v>43106</v>
      </c>
      <c r="L1049" s="1624"/>
      <c r="M1049" s="1625">
        <v>0</v>
      </c>
      <c r="N1049" s="1626">
        <v>1.3966814700944543</v>
      </c>
      <c r="O1049" s="1626"/>
    </row>
    <row r="1050" spans="11:15">
      <c r="K1050" s="1623">
        <v>43107</v>
      </c>
      <c r="L1050" s="1624"/>
      <c r="M1050" s="1625">
        <v>0</v>
      </c>
      <c r="N1050" s="1626">
        <v>1.3966814700944543</v>
      </c>
      <c r="O1050" s="1626"/>
    </row>
    <row r="1051" spans="11:15">
      <c r="K1051" s="1623">
        <v>43108</v>
      </c>
      <c r="L1051" s="1624" t="s">
        <v>2302</v>
      </c>
      <c r="M1051" s="1625">
        <v>2.6481000000000001E-2</v>
      </c>
      <c r="N1051" s="1626">
        <v>1.39705132531455</v>
      </c>
      <c r="O1051" s="1626"/>
    </row>
    <row r="1052" spans="11:15">
      <c r="K1052" s="1623">
        <v>43109</v>
      </c>
      <c r="L1052" s="1624" t="s">
        <v>2302</v>
      </c>
      <c r="M1052" s="1625">
        <v>2.6481000000000001E-2</v>
      </c>
      <c r="N1052" s="1626">
        <v>1.3974212784760065</v>
      </c>
      <c r="O1052" s="1626"/>
    </row>
    <row r="1053" spans="11:15">
      <c r="K1053" s="1623">
        <v>43110</v>
      </c>
      <c r="L1053" s="1624" t="s">
        <v>2302</v>
      </c>
      <c r="M1053" s="1625">
        <v>2.6481000000000001E-2</v>
      </c>
      <c r="N1053" s="1626">
        <v>1.3977913296047597</v>
      </c>
      <c r="O1053" s="1626"/>
    </row>
    <row r="1054" spans="11:15">
      <c r="K1054" s="1623">
        <v>43111</v>
      </c>
      <c r="L1054" s="1624" t="s">
        <v>2302</v>
      </c>
      <c r="M1054" s="1625">
        <v>2.6481000000000001E-2</v>
      </c>
      <c r="N1054" s="1626">
        <v>1.3981614787267524</v>
      </c>
      <c r="O1054" s="1626"/>
    </row>
    <row r="1055" spans="11:15">
      <c r="K1055" s="1623">
        <v>43112</v>
      </c>
      <c r="L1055" s="1624" t="s">
        <v>2302</v>
      </c>
      <c r="M1055" s="1625">
        <v>2.6481000000000001E-2</v>
      </c>
      <c r="N1055" s="1626">
        <v>1.3985317258679342</v>
      </c>
      <c r="O1055" s="1626"/>
    </row>
    <row r="1056" spans="11:15">
      <c r="K1056" s="1623">
        <v>43113</v>
      </c>
      <c r="L1056" s="1624"/>
      <c r="M1056" s="1625">
        <v>0</v>
      </c>
      <c r="N1056" s="1626">
        <v>1.3985317258679342</v>
      </c>
      <c r="O1056" s="1626"/>
    </row>
    <row r="1057" spans="11:15">
      <c r="K1057" s="1623">
        <v>43114</v>
      </c>
      <c r="L1057" s="1624"/>
      <c r="M1057" s="1625">
        <v>0</v>
      </c>
      <c r="N1057" s="1626">
        <v>1.3985317258679342</v>
      </c>
      <c r="O1057" s="1626"/>
    </row>
    <row r="1058" spans="11:15">
      <c r="K1058" s="1623">
        <v>43115</v>
      </c>
      <c r="L1058" s="1624" t="s">
        <v>2302</v>
      </c>
      <c r="M1058" s="1625">
        <v>2.6481000000000001E-2</v>
      </c>
      <c r="N1058" s="1626">
        <v>1.3989020710542612</v>
      </c>
      <c r="O1058" s="1626"/>
    </row>
    <row r="1059" spans="11:15">
      <c r="K1059" s="1623">
        <v>43116</v>
      </c>
      <c r="L1059" s="1624" t="s">
        <v>2302</v>
      </c>
      <c r="M1059" s="1625">
        <v>2.6481000000000001E-2</v>
      </c>
      <c r="N1059" s="1626">
        <v>1.3992725143116971</v>
      </c>
      <c r="O1059" s="1626"/>
    </row>
    <row r="1060" spans="11:15">
      <c r="K1060" s="1623">
        <v>43117</v>
      </c>
      <c r="L1060" s="1624" t="s">
        <v>2302</v>
      </c>
      <c r="M1060" s="1625">
        <v>2.6481000000000001E-2</v>
      </c>
      <c r="N1060" s="1626">
        <v>1.3996430556662121</v>
      </c>
      <c r="O1060" s="1626"/>
    </row>
    <row r="1061" spans="11:15">
      <c r="K1061" s="1623">
        <v>43118</v>
      </c>
      <c r="L1061" s="1624" t="s">
        <v>2302</v>
      </c>
      <c r="M1061" s="1625">
        <v>2.6481000000000001E-2</v>
      </c>
      <c r="N1061" s="1626">
        <v>1.4000136951437829</v>
      </c>
      <c r="O1061" s="1626"/>
    </row>
    <row r="1062" spans="11:15">
      <c r="K1062" s="1623">
        <v>43119</v>
      </c>
      <c r="L1062" s="1624" t="s">
        <v>2302</v>
      </c>
      <c r="M1062" s="1625">
        <v>2.6481000000000001E-2</v>
      </c>
      <c r="N1062" s="1626">
        <v>1.400384432770394</v>
      </c>
      <c r="O1062" s="1626"/>
    </row>
    <row r="1063" spans="11:15">
      <c r="K1063" s="1623">
        <v>43120</v>
      </c>
      <c r="L1063" s="1624"/>
      <c r="M1063" s="1625">
        <v>0</v>
      </c>
      <c r="N1063" s="1626">
        <v>1.400384432770394</v>
      </c>
      <c r="O1063" s="1626"/>
    </row>
    <row r="1064" spans="11:15">
      <c r="K1064" s="1623">
        <v>43121</v>
      </c>
      <c r="L1064" s="1624"/>
      <c r="M1064" s="1625">
        <v>0</v>
      </c>
      <c r="N1064" s="1626">
        <v>1.400384432770394</v>
      </c>
      <c r="O1064" s="1626"/>
    </row>
    <row r="1065" spans="11:15">
      <c r="K1065" s="1623">
        <v>43122</v>
      </c>
      <c r="L1065" s="1624" t="s">
        <v>2302</v>
      </c>
      <c r="M1065" s="1625">
        <v>2.6481000000000001E-2</v>
      </c>
      <c r="N1065" s="1626">
        <v>1.4007552685720359</v>
      </c>
      <c r="O1065" s="1626"/>
    </row>
    <row r="1066" spans="11:15">
      <c r="K1066" s="1623">
        <v>43123</v>
      </c>
      <c r="L1066" s="1624" t="s">
        <v>2302</v>
      </c>
      <c r="M1066" s="1625">
        <v>2.6481000000000001E-2</v>
      </c>
      <c r="N1066" s="1626">
        <v>1.4011262025747064</v>
      </c>
      <c r="O1066" s="1626"/>
    </row>
    <row r="1067" spans="11:15">
      <c r="K1067" s="1623">
        <v>43124</v>
      </c>
      <c r="L1067" s="1624" t="s">
        <v>2302</v>
      </c>
      <c r="M1067" s="1625">
        <v>2.6481000000000001E-2</v>
      </c>
      <c r="N1067" s="1626">
        <v>1.4014972348044104</v>
      </c>
      <c r="O1067" s="1626"/>
    </row>
    <row r="1068" spans="11:15">
      <c r="K1068" s="1623">
        <v>43125</v>
      </c>
      <c r="L1068" s="1624" t="s">
        <v>2302</v>
      </c>
      <c r="M1068" s="1625">
        <v>2.6481000000000001E-2</v>
      </c>
      <c r="N1068" s="1626">
        <v>1.4018683652871589</v>
      </c>
      <c r="O1068" s="1626"/>
    </row>
    <row r="1069" spans="11:15">
      <c r="K1069" s="1623">
        <v>43126</v>
      </c>
      <c r="L1069" s="1624" t="s">
        <v>2302</v>
      </c>
      <c r="M1069" s="1625">
        <v>2.6481000000000001E-2</v>
      </c>
      <c r="N1069" s="1626">
        <v>1.4022395940489705</v>
      </c>
      <c r="O1069" s="1626"/>
    </row>
    <row r="1070" spans="11:15">
      <c r="K1070" s="1623">
        <v>43127</v>
      </c>
      <c r="L1070" s="1624"/>
      <c r="M1070" s="1625">
        <v>0</v>
      </c>
      <c r="N1070" s="1626">
        <v>1.4022395940489705</v>
      </c>
      <c r="O1070" s="1626"/>
    </row>
    <row r="1071" spans="11:15">
      <c r="K1071" s="1623">
        <v>43128</v>
      </c>
      <c r="L1071" s="1624"/>
      <c r="M1071" s="1625">
        <v>0</v>
      </c>
      <c r="N1071" s="1626">
        <v>1.4022395940489705</v>
      </c>
      <c r="O1071" s="1626"/>
    </row>
    <row r="1072" spans="11:15">
      <c r="K1072" s="1623">
        <v>43129</v>
      </c>
      <c r="L1072" s="1624" t="s">
        <v>2302</v>
      </c>
      <c r="M1072" s="1625">
        <v>2.6481000000000001E-2</v>
      </c>
      <c r="N1072" s="1626">
        <v>1.4026109211158706</v>
      </c>
      <c r="O1072" s="1626"/>
    </row>
    <row r="1073" spans="11:15">
      <c r="K1073" s="1623">
        <v>43130</v>
      </c>
      <c r="L1073" s="1624" t="s">
        <v>2302</v>
      </c>
      <c r="M1073" s="1625">
        <v>2.6481000000000001E-2</v>
      </c>
      <c r="N1073" s="1626">
        <v>1.4029823465138913</v>
      </c>
      <c r="O1073" s="1626"/>
    </row>
    <row r="1074" spans="11:15">
      <c r="K1074" s="1623">
        <v>43131</v>
      </c>
      <c r="L1074" s="1624" t="s">
        <v>2302</v>
      </c>
      <c r="M1074" s="1625">
        <v>2.6481000000000001E-2</v>
      </c>
      <c r="N1074" s="1626">
        <v>1.4033538702690718</v>
      </c>
      <c r="O1074" s="1626"/>
    </row>
    <row r="1075" spans="11:15">
      <c r="K1075" s="1623">
        <v>43132</v>
      </c>
      <c r="L1075" s="1624" t="s">
        <v>2302</v>
      </c>
      <c r="M1075" s="1625">
        <v>2.6481000000000001E-2</v>
      </c>
      <c r="N1075" s="1626">
        <v>1.4037254924074578</v>
      </c>
      <c r="O1075" s="1626"/>
    </row>
    <row r="1076" spans="11:15">
      <c r="K1076" s="1623">
        <v>43133</v>
      </c>
      <c r="L1076" s="1624" t="s">
        <v>2302</v>
      </c>
      <c r="M1076" s="1625">
        <v>2.6481000000000001E-2</v>
      </c>
      <c r="N1076" s="1626">
        <v>1.4040972129551021</v>
      </c>
      <c r="O1076" s="1626"/>
    </row>
    <row r="1077" spans="11:15">
      <c r="K1077" s="1623">
        <v>43134</v>
      </c>
      <c r="L1077" s="1624"/>
      <c r="M1077" s="1625">
        <v>0</v>
      </c>
      <c r="N1077" s="1626">
        <v>1.4040972129551021</v>
      </c>
      <c r="O1077" s="1626"/>
    </row>
    <row r="1078" spans="11:15">
      <c r="K1078" s="1623">
        <v>43135</v>
      </c>
      <c r="L1078" s="1624"/>
      <c r="M1078" s="1625">
        <v>0</v>
      </c>
      <c r="N1078" s="1626">
        <v>1.4040972129551021</v>
      </c>
      <c r="O1078" s="1626"/>
    </row>
    <row r="1079" spans="11:15">
      <c r="K1079" s="1623">
        <v>43136</v>
      </c>
      <c r="L1079" s="1624" t="s">
        <v>2302</v>
      </c>
      <c r="M1079" s="1625">
        <v>2.6481000000000001E-2</v>
      </c>
      <c r="N1079" s="1626">
        <v>1.4044690319380648</v>
      </c>
      <c r="O1079" s="1626"/>
    </row>
    <row r="1080" spans="11:15">
      <c r="K1080" s="1623">
        <v>43137</v>
      </c>
      <c r="L1080" s="1624" t="s">
        <v>2302</v>
      </c>
      <c r="M1080" s="1625">
        <v>2.6481000000000001E-2</v>
      </c>
      <c r="N1080" s="1626">
        <v>1.4048409493824123</v>
      </c>
      <c r="O1080" s="1626"/>
    </row>
    <row r="1081" spans="11:15">
      <c r="K1081" s="1623">
        <v>43138</v>
      </c>
      <c r="L1081" s="1624" t="s">
        <v>2302</v>
      </c>
      <c r="M1081" s="1625">
        <v>2.6481000000000001E-2</v>
      </c>
      <c r="N1081" s="1626">
        <v>1.4052129653142182</v>
      </c>
      <c r="O1081" s="1626"/>
    </row>
    <row r="1082" spans="11:15">
      <c r="K1082" s="1623">
        <v>43139</v>
      </c>
      <c r="L1082" s="1624" t="s">
        <v>2302</v>
      </c>
      <c r="M1082" s="1625">
        <v>2.5551999999999998E-2</v>
      </c>
      <c r="N1082" s="1626">
        <v>1.4055720253311155</v>
      </c>
      <c r="O1082" s="1626"/>
    </row>
    <row r="1083" spans="11:15">
      <c r="K1083" s="1623">
        <v>43140</v>
      </c>
      <c r="L1083" s="1624" t="s">
        <v>2302</v>
      </c>
      <c r="M1083" s="1625">
        <v>2.5551999999999998E-2</v>
      </c>
      <c r="N1083" s="1626">
        <v>1.4059311770950282</v>
      </c>
      <c r="O1083" s="1626"/>
    </row>
    <row r="1084" spans="11:15">
      <c r="K1084" s="1623">
        <v>43141</v>
      </c>
      <c r="L1084" s="1624"/>
      <c r="M1084" s="1625">
        <v>0</v>
      </c>
      <c r="N1084" s="1626">
        <v>1.4059311770950282</v>
      </c>
      <c r="O1084" s="1626"/>
    </row>
    <row r="1085" spans="11:15">
      <c r="K1085" s="1623">
        <v>43142</v>
      </c>
      <c r="L1085" s="1624"/>
      <c r="M1085" s="1625">
        <v>0</v>
      </c>
      <c r="N1085" s="1626">
        <v>1.4059311770950282</v>
      </c>
      <c r="O1085" s="1626"/>
    </row>
    <row r="1086" spans="11:15">
      <c r="K1086" s="1623">
        <v>43143</v>
      </c>
      <c r="L1086" s="1624"/>
      <c r="M1086" s="1625">
        <v>0</v>
      </c>
      <c r="N1086" s="1626">
        <v>1.4059311770950282</v>
      </c>
      <c r="O1086" s="1626"/>
    </row>
    <row r="1087" spans="11:15">
      <c r="K1087" s="1623">
        <v>43144</v>
      </c>
      <c r="L1087" s="1624"/>
      <c r="M1087" s="1625">
        <v>0</v>
      </c>
      <c r="N1087" s="1626">
        <v>1.4059311770950282</v>
      </c>
      <c r="O1087" s="1626"/>
    </row>
    <row r="1088" spans="11:15">
      <c r="K1088" s="1623">
        <v>43145</v>
      </c>
      <c r="L1088" s="1624" t="s">
        <v>2302</v>
      </c>
      <c r="M1088" s="1625">
        <v>2.5551999999999998E-2</v>
      </c>
      <c r="N1088" s="1626">
        <v>1.4062904206293996</v>
      </c>
      <c r="O1088" s="1626"/>
    </row>
    <row r="1089" spans="11:15">
      <c r="K1089" s="1623">
        <v>43146</v>
      </c>
      <c r="L1089" s="1624" t="s">
        <v>2302</v>
      </c>
      <c r="M1089" s="1625">
        <v>2.5551999999999998E-2</v>
      </c>
      <c r="N1089" s="1626">
        <v>1.4066497559576789</v>
      </c>
      <c r="O1089" s="1626"/>
    </row>
    <row r="1090" spans="11:15">
      <c r="K1090" s="1623">
        <v>43147</v>
      </c>
      <c r="L1090" s="1624" t="s">
        <v>2302</v>
      </c>
      <c r="M1090" s="1625">
        <v>2.5551999999999998E-2</v>
      </c>
      <c r="N1090" s="1626">
        <v>1.4070091831033213</v>
      </c>
      <c r="O1090" s="1626"/>
    </row>
    <row r="1091" spans="11:15">
      <c r="K1091" s="1623">
        <v>43148</v>
      </c>
      <c r="L1091" s="1624"/>
      <c r="M1091" s="1625">
        <v>0</v>
      </c>
      <c r="N1091" s="1626">
        <v>1.4070091831033213</v>
      </c>
      <c r="O1091" s="1626"/>
    </row>
    <row r="1092" spans="11:15">
      <c r="K1092" s="1623">
        <v>43149</v>
      </c>
      <c r="L1092" s="1624"/>
      <c r="M1092" s="1625">
        <v>0</v>
      </c>
      <c r="N1092" s="1626">
        <v>1.4070091831033213</v>
      </c>
      <c r="O1092" s="1626"/>
    </row>
    <row r="1093" spans="11:15">
      <c r="K1093" s="1623">
        <v>43150</v>
      </c>
      <c r="L1093" s="1624" t="s">
        <v>2302</v>
      </c>
      <c r="M1093" s="1625">
        <v>2.5551999999999998E-2</v>
      </c>
      <c r="N1093" s="1626">
        <v>1.407368702089788</v>
      </c>
      <c r="O1093" s="1626"/>
    </row>
    <row r="1094" spans="11:15">
      <c r="K1094" s="1623">
        <v>43151</v>
      </c>
      <c r="L1094" s="1624" t="s">
        <v>2302</v>
      </c>
      <c r="M1094" s="1625">
        <v>2.5551999999999998E-2</v>
      </c>
      <c r="N1094" s="1626">
        <v>1.407728312940546</v>
      </c>
      <c r="O1094" s="1626"/>
    </row>
    <row r="1095" spans="11:15">
      <c r="K1095" s="1623">
        <v>43152</v>
      </c>
      <c r="L1095" s="1624" t="s">
        <v>2302</v>
      </c>
      <c r="M1095" s="1625">
        <v>2.5551999999999998E-2</v>
      </c>
      <c r="N1095" s="1626">
        <v>1.4080880156790687</v>
      </c>
      <c r="O1095" s="1626"/>
    </row>
    <row r="1096" spans="11:15">
      <c r="K1096" s="1623">
        <v>43153</v>
      </c>
      <c r="L1096" s="1624" t="s">
        <v>2302</v>
      </c>
      <c r="M1096" s="1625">
        <v>2.5551999999999998E-2</v>
      </c>
      <c r="N1096" s="1626">
        <v>1.4084478103288351</v>
      </c>
      <c r="O1096" s="1626"/>
    </row>
    <row r="1097" spans="11:15">
      <c r="K1097" s="1623">
        <v>43154</v>
      </c>
      <c r="L1097" s="1624" t="s">
        <v>2302</v>
      </c>
      <c r="M1097" s="1625">
        <v>2.5551999999999998E-2</v>
      </c>
      <c r="N1097" s="1626">
        <v>1.4088076969133305</v>
      </c>
      <c r="O1097" s="1626"/>
    </row>
    <row r="1098" spans="11:15">
      <c r="K1098" s="1623">
        <v>43155</v>
      </c>
      <c r="L1098" s="1624"/>
      <c r="M1098" s="1625">
        <v>0</v>
      </c>
      <c r="N1098" s="1626">
        <v>1.4088076969133305</v>
      </c>
      <c r="O1098" s="1626"/>
    </row>
    <row r="1099" spans="11:15">
      <c r="K1099" s="1623">
        <v>43156</v>
      </c>
      <c r="L1099" s="1624"/>
      <c r="M1099" s="1625">
        <v>0</v>
      </c>
      <c r="N1099" s="1626">
        <v>1.4088076969133305</v>
      </c>
      <c r="O1099" s="1626"/>
    </row>
    <row r="1100" spans="11:15">
      <c r="K1100" s="1623">
        <v>43157</v>
      </c>
      <c r="L1100" s="1624" t="s">
        <v>2302</v>
      </c>
      <c r="M1100" s="1625">
        <v>2.5551999999999998E-2</v>
      </c>
      <c r="N1100" s="1626">
        <v>1.4091676754560458</v>
      </c>
      <c r="O1100" s="1626"/>
    </row>
    <row r="1101" spans="11:15">
      <c r="K1101" s="1623">
        <v>43158</v>
      </c>
      <c r="L1101" s="1624" t="s">
        <v>2302</v>
      </c>
      <c r="M1101" s="1625">
        <v>2.5551999999999998E-2</v>
      </c>
      <c r="N1101" s="1626">
        <v>1.4095277459804785</v>
      </c>
      <c r="O1101" s="1626"/>
    </row>
    <row r="1102" spans="11:15">
      <c r="K1102" s="1623">
        <v>43159</v>
      </c>
      <c r="L1102" s="1624" t="s">
        <v>2302</v>
      </c>
      <c r="M1102" s="1625">
        <v>2.5551999999999998E-2</v>
      </c>
      <c r="N1102" s="1626">
        <v>1.4098879085101315</v>
      </c>
      <c r="O1102" s="1626"/>
    </row>
    <row r="1103" spans="11:15">
      <c r="K1103" s="1623">
        <v>43160</v>
      </c>
      <c r="L1103" s="1624" t="s">
        <v>2302</v>
      </c>
      <c r="M1103" s="1625">
        <v>2.5551999999999998E-2</v>
      </c>
      <c r="N1103" s="1626">
        <v>1.410248163068514</v>
      </c>
      <c r="O1103" s="1626"/>
    </row>
    <row r="1104" spans="11:15">
      <c r="K1104" s="1623">
        <v>43161</v>
      </c>
      <c r="L1104" s="1624" t="s">
        <v>2302</v>
      </c>
      <c r="M1104" s="1625">
        <v>2.5551999999999998E-2</v>
      </c>
      <c r="N1104" s="1626">
        <v>1.4106085096791414</v>
      </c>
      <c r="O1104" s="1626"/>
    </row>
    <row r="1105" spans="11:15">
      <c r="K1105" s="1623">
        <v>43162</v>
      </c>
      <c r="L1105" s="1624"/>
      <c r="M1105" s="1625">
        <v>0</v>
      </c>
      <c r="N1105" s="1626">
        <v>1.4106085096791414</v>
      </c>
      <c r="O1105" s="1626"/>
    </row>
    <row r="1106" spans="11:15">
      <c r="K1106" s="1623">
        <v>43163</v>
      </c>
      <c r="L1106" s="1624"/>
      <c r="M1106" s="1625">
        <v>0</v>
      </c>
      <c r="N1106" s="1626">
        <v>1.4106085096791414</v>
      </c>
      <c r="O1106" s="1626"/>
    </row>
    <row r="1107" spans="11:15">
      <c r="K1107" s="1623">
        <v>43164</v>
      </c>
      <c r="L1107" s="1624" t="s">
        <v>2302</v>
      </c>
      <c r="M1107" s="1625">
        <v>2.5551999999999998E-2</v>
      </c>
      <c r="N1107" s="1626">
        <v>1.4109689483655348</v>
      </c>
      <c r="O1107" s="1626"/>
    </row>
    <row r="1108" spans="11:15">
      <c r="K1108" s="1623">
        <v>43165</v>
      </c>
      <c r="L1108" s="1624" t="s">
        <v>2302</v>
      </c>
      <c r="M1108" s="1625">
        <v>2.5551999999999998E-2</v>
      </c>
      <c r="N1108" s="1626">
        <v>1.4113294791512212</v>
      </c>
      <c r="O1108" s="1626"/>
    </row>
    <row r="1109" spans="11:15">
      <c r="K1109" s="1623">
        <v>43166</v>
      </c>
      <c r="L1109" s="1624" t="s">
        <v>2302</v>
      </c>
      <c r="M1109" s="1625">
        <v>2.5551999999999998E-2</v>
      </c>
      <c r="N1109" s="1626">
        <v>1.4116901020597341</v>
      </c>
      <c r="O1109" s="1626"/>
    </row>
    <row r="1110" spans="11:15">
      <c r="K1110" s="1623">
        <v>43167</v>
      </c>
      <c r="L1110" s="1624" t="s">
        <v>2302</v>
      </c>
      <c r="M1110" s="1625">
        <v>2.5551999999999998E-2</v>
      </c>
      <c r="N1110" s="1626">
        <v>1.4120508171146124</v>
      </c>
      <c r="O1110" s="1626"/>
    </row>
    <row r="1111" spans="11:15">
      <c r="K1111" s="1623">
        <v>43168</v>
      </c>
      <c r="L1111" s="1624" t="s">
        <v>2302</v>
      </c>
      <c r="M1111" s="1625">
        <v>2.5551999999999998E-2</v>
      </c>
      <c r="N1111" s="1626">
        <v>1.4124116243394016</v>
      </c>
      <c r="O1111" s="1626"/>
    </row>
    <row r="1112" spans="11:15">
      <c r="K1112" s="1623">
        <v>43169</v>
      </c>
      <c r="L1112" s="1624"/>
      <c r="M1112" s="1625">
        <v>0</v>
      </c>
      <c r="N1112" s="1626">
        <v>1.4124116243394016</v>
      </c>
      <c r="O1112" s="1626"/>
    </row>
    <row r="1113" spans="11:15">
      <c r="K1113" s="1623">
        <v>43170</v>
      </c>
      <c r="L1113" s="1624"/>
      <c r="M1113" s="1625">
        <v>0</v>
      </c>
      <c r="N1113" s="1626">
        <v>1.4124116243394016</v>
      </c>
      <c r="O1113" s="1626"/>
    </row>
    <row r="1114" spans="11:15">
      <c r="K1114" s="1623">
        <v>43171</v>
      </c>
      <c r="L1114" s="1624" t="s">
        <v>2302</v>
      </c>
      <c r="M1114" s="1625">
        <v>2.5551999999999998E-2</v>
      </c>
      <c r="N1114" s="1626">
        <v>1.4127725237576529</v>
      </c>
      <c r="O1114" s="1626"/>
    </row>
    <row r="1115" spans="11:15">
      <c r="K1115" s="1623">
        <v>43172</v>
      </c>
      <c r="L1115" s="1624" t="s">
        <v>2302</v>
      </c>
      <c r="M1115" s="1625">
        <v>2.5551999999999998E-2</v>
      </c>
      <c r="N1115" s="1626">
        <v>1.4131335153929236</v>
      </c>
      <c r="O1115" s="1626"/>
    </row>
    <row r="1116" spans="11:15">
      <c r="K1116" s="1623">
        <v>43173</v>
      </c>
      <c r="L1116" s="1624" t="s">
        <v>2302</v>
      </c>
      <c r="M1116" s="1625">
        <v>2.5551999999999998E-2</v>
      </c>
      <c r="N1116" s="1626">
        <v>1.4134945992687769</v>
      </c>
      <c r="O1116" s="1626"/>
    </row>
    <row r="1117" spans="11:15">
      <c r="K1117" s="1623">
        <v>43174</v>
      </c>
      <c r="L1117" s="1624" t="s">
        <v>2302</v>
      </c>
      <c r="M1117" s="1625">
        <v>2.5551999999999998E-2</v>
      </c>
      <c r="N1117" s="1626">
        <v>1.4138557754087822</v>
      </c>
      <c r="O1117" s="1626"/>
    </row>
    <row r="1118" spans="11:15">
      <c r="K1118" s="1623">
        <v>43175</v>
      </c>
      <c r="L1118" s="1624" t="s">
        <v>2302</v>
      </c>
      <c r="M1118" s="1625">
        <v>2.5551999999999998E-2</v>
      </c>
      <c r="N1118" s="1626">
        <v>1.4142170438365147</v>
      </c>
      <c r="O1118" s="1626"/>
    </row>
    <row r="1119" spans="11:15">
      <c r="K1119" s="1623">
        <v>43176</v>
      </c>
      <c r="L1119" s="1624"/>
      <c r="M1119" s="1625">
        <v>0</v>
      </c>
      <c r="N1119" s="1626">
        <v>1.4142170438365147</v>
      </c>
      <c r="O1119" s="1626"/>
    </row>
    <row r="1120" spans="11:15">
      <c r="K1120" s="1623">
        <v>43177</v>
      </c>
      <c r="L1120" s="1624"/>
      <c r="M1120" s="1625">
        <v>0</v>
      </c>
      <c r="N1120" s="1626">
        <v>1.4142170438365147</v>
      </c>
      <c r="O1120" s="1626"/>
    </row>
    <row r="1121" spans="11:15">
      <c r="K1121" s="1623">
        <v>43178</v>
      </c>
      <c r="L1121" s="1624" t="s">
        <v>2302</v>
      </c>
      <c r="M1121" s="1625">
        <v>2.5551999999999998E-2</v>
      </c>
      <c r="N1121" s="1626">
        <v>1.4145784045755558</v>
      </c>
      <c r="O1121" s="1626"/>
    </row>
    <row r="1122" spans="11:15">
      <c r="K1122" s="1623">
        <v>43179</v>
      </c>
      <c r="L1122" s="1624" t="s">
        <v>2302</v>
      </c>
      <c r="M1122" s="1625">
        <v>2.5551999999999998E-2</v>
      </c>
      <c r="N1122" s="1626">
        <v>1.4149398576494931</v>
      </c>
      <c r="O1122" s="1626"/>
    </row>
    <row r="1123" spans="11:15">
      <c r="K1123" s="1623">
        <v>43180</v>
      </c>
      <c r="L1123" s="1624" t="s">
        <v>2302</v>
      </c>
      <c r="M1123" s="1625">
        <v>2.5551999999999998E-2</v>
      </c>
      <c r="N1123" s="1626">
        <v>1.4153014030819198</v>
      </c>
      <c r="O1123" s="1626"/>
    </row>
    <row r="1124" spans="11:15">
      <c r="K1124" s="1623">
        <v>43181</v>
      </c>
      <c r="L1124" s="1624" t="s">
        <v>2302</v>
      </c>
      <c r="M1124" s="1625">
        <v>2.462E-2</v>
      </c>
      <c r="N1124" s="1626">
        <v>1.4156498502873587</v>
      </c>
      <c r="O1124" s="1626"/>
    </row>
    <row r="1125" spans="11:15">
      <c r="K1125" s="1623">
        <v>43182</v>
      </c>
      <c r="L1125" s="1624" t="s">
        <v>2302</v>
      </c>
      <c r="M1125" s="1625">
        <v>2.462E-2</v>
      </c>
      <c r="N1125" s="1626">
        <v>1.4159983832804997</v>
      </c>
      <c r="O1125" s="1626"/>
    </row>
    <row r="1126" spans="11:15">
      <c r="K1126" s="1623">
        <v>43183</v>
      </c>
      <c r="L1126" s="1624"/>
      <c r="M1126" s="1625">
        <v>0</v>
      </c>
      <c r="N1126" s="1626">
        <v>1.4159983832804997</v>
      </c>
      <c r="O1126" s="1626"/>
    </row>
    <row r="1127" spans="11:15">
      <c r="K1127" s="1623">
        <v>43184</v>
      </c>
      <c r="L1127" s="1624"/>
      <c r="M1127" s="1625">
        <v>0</v>
      </c>
      <c r="N1127" s="1626">
        <v>1.4159983832804997</v>
      </c>
      <c r="O1127" s="1626"/>
    </row>
    <row r="1128" spans="11:15">
      <c r="K1128" s="1623">
        <v>43185</v>
      </c>
      <c r="L1128" s="1624" t="s">
        <v>2302</v>
      </c>
      <c r="M1128" s="1625">
        <v>2.462E-2</v>
      </c>
      <c r="N1128" s="1626">
        <v>1.4163470020824633</v>
      </c>
      <c r="O1128" s="1626"/>
    </row>
    <row r="1129" spans="11:15">
      <c r="K1129" s="1623">
        <v>43186</v>
      </c>
      <c r="L1129" s="1624" t="s">
        <v>2302</v>
      </c>
      <c r="M1129" s="1625">
        <v>2.462E-2</v>
      </c>
      <c r="N1129" s="1626">
        <v>1.4166957067143762</v>
      </c>
      <c r="O1129" s="1626"/>
    </row>
    <row r="1130" spans="11:15">
      <c r="K1130" s="1623">
        <v>43187</v>
      </c>
      <c r="L1130" s="1624" t="s">
        <v>2302</v>
      </c>
      <c r="M1130" s="1625">
        <v>2.462E-2</v>
      </c>
      <c r="N1130" s="1626">
        <v>1.4170444971973695</v>
      </c>
      <c r="O1130" s="1626"/>
    </row>
    <row r="1131" spans="11:15">
      <c r="K1131" s="1623">
        <v>43188</v>
      </c>
      <c r="L1131" s="1624" t="s">
        <v>2302</v>
      </c>
      <c r="M1131" s="1625">
        <v>2.462E-2</v>
      </c>
      <c r="N1131" s="1626">
        <v>1.4173933735525797</v>
      </c>
      <c r="O1131" s="1626"/>
    </row>
    <row r="1132" spans="11:15">
      <c r="K1132" s="1623">
        <v>43189</v>
      </c>
      <c r="L1132" s="1624"/>
      <c r="M1132" s="1625">
        <v>0</v>
      </c>
      <c r="N1132" s="1626">
        <v>1.4173933735525797</v>
      </c>
      <c r="O1132" s="1626"/>
    </row>
    <row r="1133" spans="11:15">
      <c r="K1133" s="1623">
        <v>43190</v>
      </c>
      <c r="L1133" s="1624"/>
      <c r="M1133" s="1625">
        <v>0</v>
      </c>
      <c r="N1133" s="1626">
        <v>1.4173933735525797</v>
      </c>
      <c r="O1133" s="1626"/>
    </row>
    <row r="1134" spans="11:15">
      <c r="K1134" s="1623">
        <v>43191</v>
      </c>
      <c r="L1134" s="1624"/>
      <c r="M1134" s="1625">
        <v>0</v>
      </c>
      <c r="N1134" s="1626">
        <v>1.4173933735525797</v>
      </c>
      <c r="O1134" s="1626"/>
    </row>
    <row r="1135" spans="11:15">
      <c r="K1135" s="1623">
        <v>43192</v>
      </c>
      <c r="L1135" s="1624" t="s">
        <v>2302</v>
      </c>
      <c r="M1135" s="1625">
        <v>2.462E-2</v>
      </c>
      <c r="N1135" s="1626">
        <v>1.4177423358011485</v>
      </c>
      <c r="O1135" s="1626"/>
    </row>
    <row r="1136" spans="11:15">
      <c r="K1136" s="1623">
        <v>43193</v>
      </c>
      <c r="L1136" s="1624" t="s">
        <v>2302</v>
      </c>
      <c r="M1136" s="1625">
        <v>2.462E-2</v>
      </c>
      <c r="N1136" s="1626">
        <v>1.4180913839642229</v>
      </c>
      <c r="O1136" s="1626"/>
    </row>
    <row r="1137" spans="11:15">
      <c r="K1137" s="1623">
        <v>43194</v>
      </c>
      <c r="L1137" s="1624" t="s">
        <v>2302</v>
      </c>
      <c r="M1137" s="1625">
        <v>2.462E-2</v>
      </c>
      <c r="N1137" s="1626">
        <v>1.4184405180629549</v>
      </c>
      <c r="O1137" s="1626"/>
    </row>
    <row r="1138" spans="11:15">
      <c r="K1138" s="1623">
        <v>43195</v>
      </c>
      <c r="L1138" s="1624" t="s">
        <v>2302</v>
      </c>
      <c r="M1138" s="1625">
        <v>2.462E-2</v>
      </c>
      <c r="N1138" s="1626">
        <v>1.4187897381185022</v>
      </c>
      <c r="O1138" s="1626"/>
    </row>
    <row r="1139" spans="11:15">
      <c r="K1139" s="1623">
        <v>43196</v>
      </c>
      <c r="L1139" s="1624" t="s">
        <v>2302</v>
      </c>
      <c r="M1139" s="1625">
        <v>2.462E-2</v>
      </c>
      <c r="N1139" s="1626">
        <v>1.4191390441520271</v>
      </c>
      <c r="O1139" s="1626"/>
    </row>
    <row r="1140" spans="11:15">
      <c r="K1140" s="1623">
        <v>43197</v>
      </c>
      <c r="L1140" s="1624"/>
      <c r="M1140" s="1625">
        <v>0</v>
      </c>
      <c r="N1140" s="1626">
        <v>1.4191390441520271</v>
      </c>
      <c r="O1140" s="1626"/>
    </row>
    <row r="1141" spans="11:15">
      <c r="K1141" s="1623">
        <v>43198</v>
      </c>
      <c r="L1141" s="1624"/>
      <c r="M1141" s="1625">
        <v>0</v>
      </c>
      <c r="N1141" s="1626">
        <v>1.4191390441520271</v>
      </c>
      <c r="O1141" s="1626"/>
    </row>
    <row r="1142" spans="11:15">
      <c r="K1142" s="1623">
        <v>43199</v>
      </c>
      <c r="L1142" s="1624" t="s">
        <v>2302</v>
      </c>
      <c r="M1142" s="1625">
        <v>2.462E-2</v>
      </c>
      <c r="N1142" s="1626">
        <v>1.4194884361846973</v>
      </c>
      <c r="O1142" s="1626"/>
    </row>
    <row r="1143" spans="11:15">
      <c r="K1143" s="1623">
        <v>43200</v>
      </c>
      <c r="L1143" s="1624" t="s">
        <v>2302</v>
      </c>
      <c r="M1143" s="1625">
        <v>2.462E-2</v>
      </c>
      <c r="N1143" s="1626">
        <v>1.419837914237686</v>
      </c>
      <c r="O1143" s="1626"/>
    </row>
    <row r="1144" spans="11:15">
      <c r="K1144" s="1623">
        <v>43201</v>
      </c>
      <c r="L1144" s="1624" t="s">
        <v>2302</v>
      </c>
      <c r="M1144" s="1625">
        <v>2.462E-2</v>
      </c>
      <c r="N1144" s="1626">
        <v>1.4201874783321715</v>
      </c>
      <c r="O1144" s="1626"/>
    </row>
    <row r="1145" spans="11:15">
      <c r="K1145" s="1623">
        <v>43202</v>
      </c>
      <c r="L1145" s="1624" t="s">
        <v>2302</v>
      </c>
      <c r="M1145" s="1625">
        <v>2.462E-2</v>
      </c>
      <c r="N1145" s="1626">
        <v>1.4205371284893371</v>
      </c>
      <c r="O1145" s="1626"/>
    </row>
    <row r="1146" spans="11:15">
      <c r="K1146" s="1623">
        <v>43203</v>
      </c>
      <c r="L1146" s="1624" t="s">
        <v>2302</v>
      </c>
      <c r="M1146" s="1625">
        <v>2.462E-2</v>
      </c>
      <c r="N1146" s="1626">
        <v>1.4208868647303714</v>
      </c>
      <c r="O1146" s="1626"/>
    </row>
    <row r="1147" spans="11:15">
      <c r="K1147" s="1623">
        <v>43204</v>
      </c>
      <c r="L1147" s="1624"/>
      <c r="M1147" s="1625">
        <v>0</v>
      </c>
      <c r="N1147" s="1626">
        <v>1.4208868647303714</v>
      </c>
      <c r="O1147" s="1626"/>
    </row>
    <row r="1148" spans="11:15">
      <c r="K1148" s="1623">
        <v>43205</v>
      </c>
      <c r="L1148" s="1624"/>
      <c r="M1148" s="1625">
        <v>0</v>
      </c>
      <c r="N1148" s="1626">
        <v>1.4208868647303714</v>
      </c>
      <c r="O1148" s="1626"/>
    </row>
    <row r="1149" spans="11:15">
      <c r="K1149" s="1623">
        <v>43206</v>
      </c>
      <c r="L1149" s="1624" t="s">
        <v>2302</v>
      </c>
      <c r="M1149" s="1625">
        <v>2.462E-2</v>
      </c>
      <c r="N1149" s="1626">
        <v>1.4212366870764681</v>
      </c>
      <c r="O1149" s="1626"/>
    </row>
    <row r="1150" spans="11:15">
      <c r="K1150" s="1623">
        <v>43207</v>
      </c>
      <c r="L1150" s="1624" t="s">
        <v>2302</v>
      </c>
      <c r="M1150" s="1625">
        <v>2.462E-2</v>
      </c>
      <c r="N1150" s="1626">
        <v>1.4215865955488265</v>
      </c>
      <c r="O1150" s="1626"/>
    </row>
    <row r="1151" spans="11:15">
      <c r="K1151" s="1623">
        <v>43208</v>
      </c>
      <c r="L1151" s="1624" t="s">
        <v>2302</v>
      </c>
      <c r="M1151" s="1625">
        <v>2.462E-2</v>
      </c>
      <c r="N1151" s="1626">
        <v>1.4219365901686507</v>
      </c>
      <c r="O1151" s="1626"/>
    </row>
    <row r="1152" spans="11:15">
      <c r="K1152" s="1623">
        <v>43209</v>
      </c>
      <c r="L1152" s="1624" t="s">
        <v>2302</v>
      </c>
      <c r="M1152" s="1625">
        <v>2.462E-2</v>
      </c>
      <c r="N1152" s="1626">
        <v>1.4222866709571504</v>
      </c>
      <c r="O1152" s="1626"/>
    </row>
    <row r="1153" spans="11:15">
      <c r="K1153" s="1623">
        <v>43210</v>
      </c>
      <c r="L1153" s="1624" t="s">
        <v>2302</v>
      </c>
      <c r="M1153" s="1625">
        <v>2.462E-2</v>
      </c>
      <c r="N1153" s="1626">
        <v>1.4226368379355403</v>
      </c>
      <c r="O1153" s="1626"/>
    </row>
    <row r="1154" spans="11:15">
      <c r="K1154" s="1623">
        <v>43211</v>
      </c>
      <c r="L1154" s="1624"/>
      <c r="M1154" s="1625">
        <v>0</v>
      </c>
      <c r="N1154" s="1626">
        <v>1.4226368379355403</v>
      </c>
      <c r="O1154" s="1626"/>
    </row>
    <row r="1155" spans="11:15">
      <c r="K1155" s="1623">
        <v>43212</v>
      </c>
      <c r="L1155" s="1624"/>
      <c r="M1155" s="1625">
        <v>0</v>
      </c>
      <c r="N1155" s="1626">
        <v>1.4226368379355403</v>
      </c>
      <c r="O1155" s="1626"/>
    </row>
    <row r="1156" spans="11:15">
      <c r="K1156" s="1623">
        <v>43213</v>
      </c>
      <c r="L1156" s="1624" t="s">
        <v>2302</v>
      </c>
      <c r="M1156" s="1625">
        <v>2.462E-2</v>
      </c>
      <c r="N1156" s="1626">
        <v>1.4229870911250402</v>
      </c>
      <c r="O1156" s="1626"/>
    </row>
    <row r="1157" spans="11:15">
      <c r="K1157" s="1623">
        <v>43214</v>
      </c>
      <c r="L1157" s="1624" t="s">
        <v>2302</v>
      </c>
      <c r="M1157" s="1625">
        <v>2.462E-2</v>
      </c>
      <c r="N1157" s="1626">
        <v>1.4233374305468753</v>
      </c>
      <c r="O1157" s="1626"/>
    </row>
    <row r="1158" spans="11:15">
      <c r="K1158" s="1623">
        <v>43215</v>
      </c>
      <c r="L1158" s="1624" t="s">
        <v>2302</v>
      </c>
      <c r="M1158" s="1625">
        <v>2.462E-2</v>
      </c>
      <c r="N1158" s="1626">
        <v>1.4236878562222761</v>
      </c>
      <c r="O1158" s="1626"/>
    </row>
    <row r="1159" spans="11:15">
      <c r="K1159" s="1623">
        <v>43216</v>
      </c>
      <c r="L1159" s="1624" t="s">
        <v>2302</v>
      </c>
      <c r="M1159" s="1625">
        <v>2.462E-2</v>
      </c>
      <c r="N1159" s="1626">
        <v>1.4240383681724782</v>
      </c>
      <c r="O1159" s="1626"/>
    </row>
    <row r="1160" spans="11:15">
      <c r="K1160" s="1623">
        <v>43217</v>
      </c>
      <c r="L1160" s="1624" t="s">
        <v>2302</v>
      </c>
      <c r="M1160" s="1625">
        <v>2.462E-2</v>
      </c>
      <c r="N1160" s="1626">
        <v>1.4243889664187224</v>
      </c>
      <c r="O1160" s="1626"/>
    </row>
    <row r="1161" spans="11:15">
      <c r="K1161" s="1623">
        <v>43218</v>
      </c>
      <c r="L1161" s="1624"/>
      <c r="M1161" s="1625">
        <v>0</v>
      </c>
      <c r="N1161" s="1626">
        <v>1.4243889664187224</v>
      </c>
      <c r="O1161" s="1626"/>
    </row>
    <row r="1162" spans="11:15">
      <c r="K1162" s="1623">
        <v>43219</v>
      </c>
      <c r="L1162" s="1624"/>
      <c r="M1162" s="1625">
        <v>0</v>
      </c>
      <c r="N1162" s="1626">
        <v>1.4243889664187224</v>
      </c>
      <c r="O1162" s="1626"/>
    </row>
    <row r="1163" spans="11:15">
      <c r="K1163" s="1623">
        <v>43220</v>
      </c>
      <c r="L1163" s="1624" t="s">
        <v>2302</v>
      </c>
      <c r="M1163" s="1625">
        <v>2.462E-2</v>
      </c>
      <c r="N1163" s="1626">
        <v>1.4247396509822547</v>
      </c>
      <c r="O1163" s="1626"/>
    </row>
    <row r="1164" spans="11:15">
      <c r="K1164" s="1623">
        <v>43221</v>
      </c>
      <c r="L1164" s="1624"/>
      <c r="M1164" s="1625">
        <v>0</v>
      </c>
      <c r="N1164" s="1626">
        <v>1.4247396509822547</v>
      </c>
      <c r="O1164" s="1626"/>
    </row>
    <row r="1165" spans="11:15">
      <c r="K1165" s="1623">
        <v>43222</v>
      </c>
      <c r="L1165" s="1624" t="s">
        <v>2302</v>
      </c>
      <c r="M1165" s="1625">
        <v>2.462E-2</v>
      </c>
      <c r="N1165" s="1626">
        <v>1.4250904218843268</v>
      </c>
      <c r="O1165" s="1626"/>
    </row>
    <row r="1166" spans="11:15">
      <c r="K1166" s="1623">
        <v>43223</v>
      </c>
      <c r="L1166" s="1624" t="s">
        <v>2302</v>
      </c>
      <c r="M1166" s="1625">
        <v>2.462E-2</v>
      </c>
      <c r="N1166" s="1626">
        <v>1.4254412791461948</v>
      </c>
      <c r="O1166" s="1626"/>
    </row>
    <row r="1167" spans="11:15">
      <c r="K1167" s="1623">
        <v>43224</v>
      </c>
      <c r="L1167" s="1624" t="s">
        <v>2302</v>
      </c>
      <c r="M1167" s="1625">
        <v>2.462E-2</v>
      </c>
      <c r="N1167" s="1626">
        <v>1.4257922227891207</v>
      </c>
      <c r="O1167" s="1626"/>
    </row>
    <row r="1168" spans="11:15">
      <c r="K1168" s="1623">
        <v>43225</v>
      </c>
      <c r="L1168" s="1624"/>
      <c r="M1168" s="1625">
        <v>0</v>
      </c>
      <c r="N1168" s="1626">
        <v>1.4257922227891207</v>
      </c>
      <c r="O1168" s="1626"/>
    </row>
    <row r="1169" spans="11:15">
      <c r="K1169" s="1623">
        <v>43226</v>
      </c>
      <c r="L1169" s="1624"/>
      <c r="M1169" s="1625">
        <v>0</v>
      </c>
      <c r="N1169" s="1626">
        <v>1.4257922227891207</v>
      </c>
      <c r="O1169" s="1626"/>
    </row>
    <row r="1170" spans="11:15">
      <c r="K1170" s="1623">
        <v>43227</v>
      </c>
      <c r="L1170" s="1624" t="s">
        <v>2302</v>
      </c>
      <c r="M1170" s="1625">
        <v>2.462E-2</v>
      </c>
      <c r="N1170" s="1626">
        <v>1.4261432528343714</v>
      </c>
      <c r="O1170" s="1626"/>
    </row>
    <row r="1171" spans="11:15">
      <c r="K1171" s="1623">
        <v>43228</v>
      </c>
      <c r="L1171" s="1624" t="s">
        <v>2302</v>
      </c>
      <c r="M1171" s="1625">
        <v>2.462E-2</v>
      </c>
      <c r="N1171" s="1626">
        <v>1.4264943693032193</v>
      </c>
      <c r="O1171" s="1626"/>
    </row>
    <row r="1172" spans="11:15">
      <c r="K1172" s="1623">
        <v>43229</v>
      </c>
      <c r="L1172" s="1624" t="s">
        <v>2302</v>
      </c>
      <c r="M1172" s="1625">
        <v>2.462E-2</v>
      </c>
      <c r="N1172" s="1626">
        <v>1.4268455722169417</v>
      </c>
      <c r="O1172" s="1626"/>
    </row>
    <row r="1173" spans="11:15">
      <c r="K1173" s="1623">
        <v>43230</v>
      </c>
      <c r="L1173" s="1624" t="s">
        <v>2302</v>
      </c>
      <c r="M1173" s="1625">
        <v>2.462E-2</v>
      </c>
      <c r="N1173" s="1626">
        <v>1.4271968615968216</v>
      </c>
      <c r="O1173" s="1626"/>
    </row>
    <row r="1174" spans="11:15">
      <c r="K1174" s="1623">
        <v>43231</v>
      </c>
      <c r="L1174" s="1624" t="s">
        <v>2302</v>
      </c>
      <c r="M1174" s="1625">
        <v>2.462E-2</v>
      </c>
      <c r="N1174" s="1626">
        <v>1.4275482374641468</v>
      </c>
      <c r="O1174" s="1626"/>
    </row>
    <row r="1175" spans="11:15">
      <c r="K1175" s="1623">
        <v>43232</v>
      </c>
      <c r="L1175" s="1624"/>
      <c r="M1175" s="1625">
        <v>0</v>
      </c>
      <c r="N1175" s="1626">
        <v>1.4275482374641468</v>
      </c>
      <c r="O1175" s="1626"/>
    </row>
    <row r="1176" spans="11:15">
      <c r="K1176" s="1623">
        <v>43233</v>
      </c>
      <c r="L1176" s="1624"/>
      <c r="M1176" s="1625">
        <v>0</v>
      </c>
      <c r="N1176" s="1626">
        <v>1.4275482374641468</v>
      </c>
      <c r="O1176" s="1626"/>
    </row>
    <row r="1177" spans="11:15">
      <c r="K1177" s="1623">
        <v>43234</v>
      </c>
      <c r="L1177" s="1624" t="s">
        <v>2302</v>
      </c>
      <c r="M1177" s="1625">
        <v>2.462E-2</v>
      </c>
      <c r="N1177" s="1626">
        <v>1.4278996998402107</v>
      </c>
      <c r="O1177" s="1626"/>
    </row>
    <row r="1178" spans="11:15">
      <c r="K1178" s="1623">
        <v>43235</v>
      </c>
      <c r="L1178" s="1624" t="s">
        <v>2302</v>
      </c>
      <c r="M1178" s="1625">
        <v>2.462E-2</v>
      </c>
      <c r="N1178" s="1626">
        <v>1.4282512487463115</v>
      </c>
      <c r="O1178" s="1626"/>
    </row>
    <row r="1179" spans="11:15">
      <c r="K1179" s="1623">
        <v>43236</v>
      </c>
      <c r="L1179" s="1624" t="s">
        <v>2302</v>
      </c>
      <c r="M1179" s="1625">
        <v>2.462E-2</v>
      </c>
      <c r="N1179" s="1626">
        <v>1.428602884203753</v>
      </c>
      <c r="O1179" s="1626"/>
    </row>
    <row r="1180" spans="11:15">
      <c r="K1180" s="1623">
        <v>43237</v>
      </c>
      <c r="L1180" s="1624" t="s">
        <v>2302</v>
      </c>
      <c r="M1180" s="1625">
        <v>2.462E-2</v>
      </c>
      <c r="N1180" s="1626">
        <v>1.4289546062338441</v>
      </c>
      <c r="O1180" s="1626"/>
    </row>
    <row r="1181" spans="11:15">
      <c r="K1181" s="1623">
        <v>43238</v>
      </c>
      <c r="L1181" s="1624" t="s">
        <v>2302</v>
      </c>
      <c r="M1181" s="1625">
        <v>2.462E-2</v>
      </c>
      <c r="N1181" s="1626">
        <v>1.4293064148578989</v>
      </c>
      <c r="O1181" s="1626"/>
    </row>
    <row r="1182" spans="11:15">
      <c r="K1182" s="1623">
        <v>43239</v>
      </c>
      <c r="L1182" s="1624"/>
      <c r="M1182" s="1625">
        <v>0</v>
      </c>
      <c r="N1182" s="1626">
        <v>1.4293064148578989</v>
      </c>
      <c r="O1182" s="1626"/>
    </row>
    <row r="1183" spans="11:15">
      <c r="K1183" s="1623">
        <v>43240</v>
      </c>
      <c r="L1183" s="1624"/>
      <c r="M1183" s="1625">
        <v>0</v>
      </c>
      <c r="N1183" s="1626">
        <v>1.4293064148578989</v>
      </c>
      <c r="O1183" s="1626"/>
    </row>
    <row r="1184" spans="11:15">
      <c r="K1184" s="1623">
        <v>43241</v>
      </c>
      <c r="L1184" s="1624" t="s">
        <v>2302</v>
      </c>
      <c r="M1184" s="1625">
        <v>2.462E-2</v>
      </c>
      <c r="N1184" s="1626">
        <v>1.4296583100972371</v>
      </c>
      <c r="O1184" s="1626"/>
    </row>
    <row r="1185" spans="11:15">
      <c r="K1185" s="1623">
        <v>43242</v>
      </c>
      <c r="L1185" s="1624" t="s">
        <v>2302</v>
      </c>
      <c r="M1185" s="1625">
        <v>2.462E-2</v>
      </c>
      <c r="N1185" s="1626">
        <v>1.4300102919731832</v>
      </c>
      <c r="O1185" s="1626"/>
    </row>
    <row r="1186" spans="11:15">
      <c r="K1186" s="1623">
        <v>43243</v>
      </c>
      <c r="L1186" s="1624" t="s">
        <v>2302</v>
      </c>
      <c r="M1186" s="1625">
        <v>2.462E-2</v>
      </c>
      <c r="N1186" s="1626">
        <v>1.430362360507067</v>
      </c>
      <c r="O1186" s="1626"/>
    </row>
    <row r="1187" spans="11:15">
      <c r="K1187" s="1623">
        <v>43244</v>
      </c>
      <c r="L1187" s="1624" t="s">
        <v>2302</v>
      </c>
      <c r="M1187" s="1625">
        <v>2.462E-2</v>
      </c>
      <c r="N1187" s="1626">
        <v>1.4307145157202239</v>
      </c>
      <c r="O1187" s="1626"/>
    </row>
    <row r="1188" spans="11:15">
      <c r="K1188" s="1623">
        <v>43245</v>
      </c>
      <c r="L1188" s="1624" t="s">
        <v>2302</v>
      </c>
      <c r="M1188" s="1625">
        <v>2.462E-2</v>
      </c>
      <c r="N1188" s="1626">
        <v>1.4310667576339944</v>
      </c>
      <c r="O1188" s="1626"/>
    </row>
    <row r="1189" spans="11:15">
      <c r="K1189" s="1623">
        <v>43246</v>
      </c>
      <c r="L1189" s="1624"/>
      <c r="M1189" s="1625">
        <v>0</v>
      </c>
      <c r="N1189" s="1626">
        <v>1.4310667576339944</v>
      </c>
      <c r="O1189" s="1626"/>
    </row>
    <row r="1190" spans="11:15">
      <c r="K1190" s="1623">
        <v>43247</v>
      </c>
      <c r="L1190" s="1624"/>
      <c r="M1190" s="1625">
        <v>0</v>
      </c>
      <c r="N1190" s="1626">
        <v>1.4310667576339944</v>
      </c>
      <c r="O1190" s="1626"/>
    </row>
    <row r="1191" spans="11:15">
      <c r="K1191" s="1623">
        <v>43248</v>
      </c>
      <c r="L1191" s="1624" t="s">
        <v>2302</v>
      </c>
      <c r="M1191" s="1625">
        <v>2.462E-2</v>
      </c>
      <c r="N1191" s="1626">
        <v>1.431419086269724</v>
      </c>
      <c r="O1191" s="1626"/>
    </row>
    <row r="1192" spans="11:15">
      <c r="K1192" s="1623">
        <v>43249</v>
      </c>
      <c r="L1192" s="1624" t="s">
        <v>2302</v>
      </c>
      <c r="M1192" s="1625">
        <v>2.462E-2</v>
      </c>
      <c r="N1192" s="1626">
        <v>1.4317715016487638</v>
      </c>
      <c r="O1192" s="1626"/>
    </row>
    <row r="1193" spans="11:15">
      <c r="K1193" s="1623">
        <v>43250</v>
      </c>
      <c r="L1193" s="1624" t="s">
        <v>2302</v>
      </c>
      <c r="M1193" s="1625">
        <v>2.462E-2</v>
      </c>
      <c r="N1193" s="1626">
        <v>1.4321240037924698</v>
      </c>
      <c r="O1193" s="1626"/>
    </row>
    <row r="1194" spans="11:15">
      <c r="K1194" s="1623">
        <v>43251</v>
      </c>
      <c r="L1194" s="1624"/>
      <c r="M1194" s="1625">
        <v>0</v>
      </c>
      <c r="N1194" s="1626">
        <v>1.4321240037924698</v>
      </c>
      <c r="O1194" s="1626"/>
    </row>
    <row r="1195" spans="11:15">
      <c r="K1195" s="1623">
        <v>43252</v>
      </c>
      <c r="L1195" s="1624" t="s">
        <v>2302</v>
      </c>
      <c r="M1195" s="1625">
        <v>2.462E-2</v>
      </c>
      <c r="N1195" s="1626">
        <v>1.4324765927222036</v>
      </c>
      <c r="O1195" s="1626"/>
    </row>
    <row r="1196" spans="11:15">
      <c r="K1196" s="1623">
        <v>43253</v>
      </c>
      <c r="L1196" s="1624"/>
      <c r="M1196" s="1625">
        <v>0</v>
      </c>
      <c r="N1196" s="1626">
        <v>1.4324765927222036</v>
      </c>
      <c r="O1196" s="1626"/>
    </row>
    <row r="1197" spans="11:15">
      <c r="K1197" s="1623">
        <v>43254</v>
      </c>
      <c r="L1197" s="1624"/>
      <c r="M1197" s="1625">
        <v>0</v>
      </c>
      <c r="N1197" s="1626">
        <v>1.4324765927222036</v>
      </c>
      <c r="O1197" s="1626"/>
    </row>
    <row r="1198" spans="11:15">
      <c r="K1198" s="1623">
        <v>43255</v>
      </c>
      <c r="L1198" s="1624" t="s">
        <v>2302</v>
      </c>
      <c r="M1198" s="1625">
        <v>2.462E-2</v>
      </c>
      <c r="N1198" s="1626">
        <v>1.432829268459332</v>
      </c>
      <c r="O1198" s="1626"/>
    </row>
    <row r="1199" spans="11:15">
      <c r="K1199" s="1623">
        <v>43256</v>
      </c>
      <c r="L1199" s="1624" t="s">
        <v>2302</v>
      </c>
      <c r="M1199" s="1625">
        <v>2.462E-2</v>
      </c>
      <c r="N1199" s="1626">
        <v>1.4331820310252268</v>
      </c>
      <c r="O1199" s="1626"/>
    </row>
    <row r="1200" spans="11:15">
      <c r="K1200" s="1623">
        <v>43257</v>
      </c>
      <c r="L1200" s="1624" t="s">
        <v>2302</v>
      </c>
      <c r="M1200" s="1625">
        <v>2.462E-2</v>
      </c>
      <c r="N1200" s="1626">
        <v>1.4335348804412653</v>
      </c>
      <c r="O1200" s="1626"/>
    </row>
    <row r="1201" spans="11:15">
      <c r="K1201" s="1623">
        <v>43258</v>
      </c>
      <c r="L1201" s="1624" t="s">
        <v>2302</v>
      </c>
      <c r="M1201" s="1625">
        <v>2.462E-2</v>
      </c>
      <c r="N1201" s="1626">
        <v>1.43388781672883</v>
      </c>
      <c r="O1201" s="1626"/>
    </row>
    <row r="1202" spans="11:15">
      <c r="K1202" s="1623">
        <v>43259</v>
      </c>
      <c r="L1202" s="1624" t="s">
        <v>2302</v>
      </c>
      <c r="M1202" s="1625">
        <v>2.462E-2</v>
      </c>
      <c r="N1202" s="1626">
        <v>1.4342408399093087</v>
      </c>
      <c r="O1202" s="1626"/>
    </row>
    <row r="1203" spans="11:15">
      <c r="K1203" s="1623">
        <v>43260</v>
      </c>
      <c r="L1203" s="1624"/>
      <c r="M1203" s="1625">
        <v>0</v>
      </c>
      <c r="N1203" s="1626">
        <v>1.4342408399093087</v>
      </c>
      <c r="O1203" s="1626"/>
    </row>
    <row r="1204" spans="11:15">
      <c r="K1204" s="1623">
        <v>43261</v>
      </c>
      <c r="L1204" s="1624"/>
      <c r="M1204" s="1625">
        <v>0</v>
      </c>
      <c r="N1204" s="1626">
        <v>1.4342408399093087</v>
      </c>
      <c r="O1204" s="1626"/>
    </row>
    <row r="1205" spans="11:15">
      <c r="K1205" s="1623">
        <v>43262</v>
      </c>
      <c r="L1205" s="1624" t="s">
        <v>2302</v>
      </c>
      <c r="M1205" s="1625">
        <v>2.462E-2</v>
      </c>
      <c r="N1205" s="1626">
        <v>1.4345939500040945</v>
      </c>
      <c r="O1205" s="1626"/>
    </row>
    <row r="1206" spans="11:15">
      <c r="K1206" s="1623">
        <v>43263</v>
      </c>
      <c r="L1206" s="1624" t="s">
        <v>2302</v>
      </c>
      <c r="M1206" s="1625">
        <v>2.462E-2</v>
      </c>
      <c r="N1206" s="1626">
        <v>1.4349471470345856</v>
      </c>
      <c r="O1206" s="1626"/>
    </row>
    <row r="1207" spans="11:15">
      <c r="K1207" s="1623">
        <v>43264</v>
      </c>
      <c r="L1207" s="1624" t="s">
        <v>2302</v>
      </c>
      <c r="M1207" s="1625">
        <v>2.462E-2</v>
      </c>
      <c r="N1207" s="1626">
        <v>1.4353004310221855</v>
      </c>
      <c r="O1207" s="1626"/>
    </row>
    <row r="1208" spans="11:15">
      <c r="K1208" s="1623">
        <v>43265</v>
      </c>
      <c r="L1208" s="1624" t="s">
        <v>2302</v>
      </c>
      <c r="M1208" s="1625">
        <v>2.462E-2</v>
      </c>
      <c r="N1208" s="1626">
        <v>1.4356538019883034</v>
      </c>
      <c r="O1208" s="1626"/>
    </row>
    <row r="1209" spans="11:15">
      <c r="K1209" s="1623">
        <v>43266</v>
      </c>
      <c r="L1209" s="1624" t="s">
        <v>2302</v>
      </c>
      <c r="M1209" s="1625">
        <v>2.462E-2</v>
      </c>
      <c r="N1209" s="1626">
        <v>1.436007259954353</v>
      </c>
      <c r="O1209" s="1626"/>
    </row>
    <row r="1210" spans="11:15">
      <c r="K1210" s="1623">
        <v>43267</v>
      </c>
      <c r="L1210" s="1624"/>
      <c r="M1210" s="1625">
        <v>0</v>
      </c>
      <c r="N1210" s="1626">
        <v>1.436007259954353</v>
      </c>
      <c r="O1210" s="1626"/>
    </row>
    <row r="1211" spans="11:15">
      <c r="K1211" s="1623">
        <v>43268</v>
      </c>
      <c r="L1211" s="1624"/>
      <c r="M1211" s="1625">
        <v>0</v>
      </c>
      <c r="N1211" s="1626">
        <v>1.436007259954353</v>
      </c>
      <c r="O1211" s="1626"/>
    </row>
    <row r="1212" spans="11:15">
      <c r="K1212" s="1623">
        <v>43269</v>
      </c>
      <c r="L1212" s="1624" t="s">
        <v>2302</v>
      </c>
      <c r="M1212" s="1625">
        <v>2.462E-2</v>
      </c>
      <c r="N1212" s="1626">
        <v>1.4363608049417538</v>
      </c>
      <c r="O1212" s="1626"/>
    </row>
    <row r="1213" spans="11:15">
      <c r="K1213" s="1623">
        <v>43270</v>
      </c>
      <c r="L1213" s="1624" t="s">
        <v>2302</v>
      </c>
      <c r="M1213" s="1625">
        <v>2.462E-2</v>
      </c>
      <c r="N1213" s="1626">
        <v>1.4367144369719305</v>
      </c>
      <c r="O1213" s="1626"/>
    </row>
    <row r="1214" spans="11:15">
      <c r="K1214" s="1623">
        <v>43271</v>
      </c>
      <c r="L1214" s="1624" t="s">
        <v>2302</v>
      </c>
      <c r="M1214" s="1625">
        <v>2.462E-2</v>
      </c>
      <c r="N1214" s="1626">
        <v>1.437068156066313</v>
      </c>
      <c r="O1214" s="1626"/>
    </row>
    <row r="1215" spans="11:15">
      <c r="K1215" s="1623">
        <v>43272</v>
      </c>
      <c r="L1215" s="1624" t="s">
        <v>2302</v>
      </c>
      <c r="M1215" s="1625">
        <v>2.462E-2</v>
      </c>
      <c r="N1215" s="1626">
        <v>1.4374219622463367</v>
      </c>
      <c r="O1215" s="1626"/>
    </row>
    <row r="1216" spans="11:15">
      <c r="K1216" s="1623">
        <v>43273</v>
      </c>
      <c r="L1216" s="1624" t="s">
        <v>2302</v>
      </c>
      <c r="M1216" s="1625">
        <v>2.462E-2</v>
      </c>
      <c r="N1216" s="1626">
        <v>1.4377758555334419</v>
      </c>
      <c r="O1216" s="1626"/>
    </row>
    <row r="1217" spans="11:15">
      <c r="K1217" s="1623">
        <v>43274</v>
      </c>
      <c r="L1217" s="1624"/>
      <c r="M1217" s="1625">
        <v>0</v>
      </c>
      <c r="N1217" s="1626">
        <v>1.4377758555334419</v>
      </c>
      <c r="O1217" s="1626"/>
    </row>
    <row r="1218" spans="11:15">
      <c r="K1218" s="1623">
        <v>43275</v>
      </c>
      <c r="L1218" s="1624"/>
      <c r="M1218" s="1625">
        <v>0</v>
      </c>
      <c r="N1218" s="1626">
        <v>1.4377758555334419</v>
      </c>
      <c r="O1218" s="1626"/>
    </row>
    <row r="1219" spans="11:15">
      <c r="K1219" s="1623">
        <v>43276</v>
      </c>
      <c r="L1219" s="1624" t="s">
        <v>2302</v>
      </c>
      <c r="M1219" s="1625">
        <v>2.462E-2</v>
      </c>
      <c r="N1219" s="1626">
        <v>1.4381298359490744</v>
      </c>
      <c r="O1219" s="1626"/>
    </row>
    <row r="1220" spans="11:15">
      <c r="K1220" s="1623">
        <v>43277</v>
      </c>
      <c r="L1220" s="1624" t="s">
        <v>2302</v>
      </c>
      <c r="M1220" s="1625">
        <v>2.462E-2</v>
      </c>
      <c r="N1220" s="1626">
        <v>1.4384839035146852</v>
      </c>
      <c r="O1220" s="1626"/>
    </row>
    <row r="1221" spans="11:15">
      <c r="K1221" s="1623">
        <v>43278</v>
      </c>
      <c r="L1221" s="1624" t="s">
        <v>2302</v>
      </c>
      <c r="M1221" s="1625">
        <v>2.462E-2</v>
      </c>
      <c r="N1221" s="1626">
        <v>1.4388380582517306</v>
      </c>
      <c r="O1221" s="1626"/>
    </row>
    <row r="1222" spans="11:15">
      <c r="K1222" s="1623">
        <v>43279</v>
      </c>
      <c r="L1222" s="1624" t="s">
        <v>2302</v>
      </c>
      <c r="M1222" s="1625">
        <v>2.462E-2</v>
      </c>
      <c r="N1222" s="1626">
        <v>1.4391923001816722</v>
      </c>
      <c r="O1222" s="1626"/>
    </row>
    <row r="1223" spans="11:15">
      <c r="K1223" s="1623">
        <v>43280</v>
      </c>
      <c r="L1223" s="1624" t="s">
        <v>2302</v>
      </c>
      <c r="M1223" s="1625">
        <v>2.462E-2</v>
      </c>
      <c r="N1223" s="1626">
        <v>1.4395466293259771</v>
      </c>
      <c r="O1223" s="1626"/>
    </row>
    <row r="1224" spans="11:15">
      <c r="K1224" s="1623">
        <v>43281</v>
      </c>
      <c r="L1224" s="1624"/>
      <c r="M1224" s="1625">
        <v>0</v>
      </c>
      <c r="N1224" s="1626">
        <v>1.4395466293259771</v>
      </c>
      <c r="O1224" s="1626"/>
    </row>
    <row r="1225" spans="11:15">
      <c r="K1225" s="1623">
        <v>43282</v>
      </c>
      <c r="L1225" s="1624"/>
      <c r="M1225" s="1625">
        <v>0</v>
      </c>
      <c r="N1225" s="1626">
        <v>1.4395466293259771</v>
      </c>
      <c r="O1225" s="1626"/>
    </row>
    <row r="1226" spans="11:15">
      <c r="K1226" s="1623">
        <v>43283</v>
      </c>
      <c r="L1226" s="1624" t="s">
        <v>2302</v>
      </c>
      <c r="M1226" s="1625">
        <v>2.462E-2</v>
      </c>
      <c r="N1226" s="1626">
        <v>1.4399010457061172</v>
      </c>
      <c r="O1226" s="1626"/>
    </row>
    <row r="1227" spans="11:15">
      <c r="K1227" s="1623">
        <v>43284</v>
      </c>
      <c r="L1227" s="1624" t="s">
        <v>2302</v>
      </c>
      <c r="M1227" s="1625">
        <v>2.462E-2</v>
      </c>
      <c r="N1227" s="1626">
        <v>1.4402555493435703</v>
      </c>
      <c r="O1227" s="1626"/>
    </row>
    <row r="1228" spans="11:15">
      <c r="K1228" s="1623">
        <v>43285</v>
      </c>
      <c r="L1228" s="1624" t="s">
        <v>2302</v>
      </c>
      <c r="M1228" s="1625">
        <v>2.462E-2</v>
      </c>
      <c r="N1228" s="1626">
        <v>1.4406101402598188</v>
      </c>
      <c r="O1228" s="1626"/>
    </row>
    <row r="1229" spans="11:15">
      <c r="K1229" s="1623">
        <v>43286</v>
      </c>
      <c r="L1229" s="1624" t="s">
        <v>2302</v>
      </c>
      <c r="M1229" s="1625">
        <v>2.462E-2</v>
      </c>
      <c r="N1229" s="1626">
        <v>1.4409648184763508</v>
      </c>
      <c r="O1229" s="1626"/>
    </row>
    <row r="1230" spans="11:15">
      <c r="K1230" s="1623">
        <v>43287</v>
      </c>
      <c r="L1230" s="1624" t="s">
        <v>2302</v>
      </c>
      <c r="M1230" s="1625">
        <v>2.462E-2</v>
      </c>
      <c r="N1230" s="1626">
        <v>1.4413195840146598</v>
      </c>
      <c r="O1230" s="1626"/>
    </row>
    <row r="1231" spans="11:15">
      <c r="K1231" s="1623">
        <v>43288</v>
      </c>
      <c r="L1231" s="1624"/>
      <c r="M1231" s="1625">
        <v>0</v>
      </c>
      <c r="N1231" s="1626">
        <v>1.4413195840146598</v>
      </c>
      <c r="O1231" s="1626"/>
    </row>
    <row r="1232" spans="11:15">
      <c r="K1232" s="1623">
        <v>43289</v>
      </c>
      <c r="L1232" s="1624"/>
      <c r="M1232" s="1625">
        <v>0</v>
      </c>
      <c r="N1232" s="1626">
        <v>1.4413195840146598</v>
      </c>
      <c r="O1232" s="1626"/>
    </row>
    <row r="1233" spans="11:15">
      <c r="K1233" s="1623">
        <v>43290</v>
      </c>
      <c r="L1233" s="1624" t="s">
        <v>2302</v>
      </c>
      <c r="M1233" s="1625">
        <v>2.462E-2</v>
      </c>
      <c r="N1233" s="1626">
        <v>1.4416744368962442</v>
      </c>
      <c r="O1233" s="1626"/>
    </row>
    <row r="1234" spans="11:15">
      <c r="K1234" s="1623">
        <v>43291</v>
      </c>
      <c r="L1234" s="1624" t="s">
        <v>2302</v>
      </c>
      <c r="M1234" s="1625">
        <v>2.462E-2</v>
      </c>
      <c r="N1234" s="1626">
        <v>1.4420293771426083</v>
      </c>
      <c r="O1234" s="1626"/>
    </row>
    <row r="1235" spans="11:15">
      <c r="K1235" s="1623">
        <v>43292</v>
      </c>
      <c r="L1235" s="1624" t="s">
        <v>2302</v>
      </c>
      <c r="M1235" s="1625">
        <v>2.462E-2</v>
      </c>
      <c r="N1235" s="1626">
        <v>1.442384404775261</v>
      </c>
      <c r="O1235" s="1626"/>
    </row>
    <row r="1236" spans="11:15">
      <c r="K1236" s="1623">
        <v>43293</v>
      </c>
      <c r="L1236" s="1624" t="s">
        <v>2302</v>
      </c>
      <c r="M1236" s="1625">
        <v>2.462E-2</v>
      </c>
      <c r="N1236" s="1626">
        <v>1.4427395198157167</v>
      </c>
      <c r="O1236" s="1626"/>
    </row>
    <row r="1237" spans="11:15">
      <c r="K1237" s="1623">
        <v>43294</v>
      </c>
      <c r="L1237" s="1624" t="s">
        <v>2302</v>
      </c>
      <c r="M1237" s="1625">
        <v>2.462E-2</v>
      </c>
      <c r="N1237" s="1626">
        <v>1.4430947222854955</v>
      </c>
      <c r="O1237" s="1626"/>
    </row>
    <row r="1238" spans="11:15">
      <c r="K1238" s="1623">
        <v>43295</v>
      </c>
      <c r="L1238" s="1624"/>
      <c r="M1238" s="1625">
        <v>0</v>
      </c>
      <c r="N1238" s="1626">
        <v>1.4430947222854955</v>
      </c>
      <c r="O1238" s="1626"/>
    </row>
    <row r="1239" spans="11:15">
      <c r="K1239" s="1623">
        <v>43296</v>
      </c>
      <c r="L1239" s="1624"/>
      <c r="M1239" s="1625">
        <v>0</v>
      </c>
      <c r="N1239" s="1626">
        <v>1.4430947222854955</v>
      </c>
      <c r="O1239" s="1626"/>
    </row>
    <row r="1240" spans="11:15">
      <c r="K1240" s="1623">
        <v>43297</v>
      </c>
      <c r="L1240" s="1624" t="s">
        <v>2302</v>
      </c>
      <c r="M1240" s="1625">
        <v>2.462E-2</v>
      </c>
      <c r="N1240" s="1626">
        <v>1.4434500122061222</v>
      </c>
      <c r="O1240" s="1626"/>
    </row>
    <row r="1241" spans="11:15">
      <c r="K1241" s="1623">
        <v>43298</v>
      </c>
      <c r="L1241" s="1624" t="s">
        <v>2302</v>
      </c>
      <c r="M1241" s="1625">
        <v>2.462E-2</v>
      </c>
      <c r="N1241" s="1626">
        <v>1.4438053895991274</v>
      </c>
      <c r="O1241" s="1626"/>
    </row>
    <row r="1242" spans="11:15">
      <c r="K1242" s="1623">
        <v>43299</v>
      </c>
      <c r="L1242" s="1624" t="s">
        <v>2302</v>
      </c>
      <c r="M1242" s="1625">
        <v>2.462E-2</v>
      </c>
      <c r="N1242" s="1626">
        <v>1.4441608544860469</v>
      </c>
      <c r="O1242" s="1626"/>
    </row>
    <row r="1243" spans="11:15">
      <c r="K1243" s="1623">
        <v>43300</v>
      </c>
      <c r="L1243" s="1624" t="s">
        <v>2302</v>
      </c>
      <c r="M1243" s="1625">
        <v>2.462E-2</v>
      </c>
      <c r="N1243" s="1626">
        <v>1.4445164068884215</v>
      </c>
      <c r="O1243" s="1626"/>
    </row>
    <row r="1244" spans="11:15">
      <c r="K1244" s="1623">
        <v>43301</v>
      </c>
      <c r="L1244" s="1624" t="s">
        <v>2302</v>
      </c>
      <c r="M1244" s="1625">
        <v>2.462E-2</v>
      </c>
      <c r="N1244" s="1626">
        <v>1.4448720468277976</v>
      </c>
      <c r="O1244" s="1626"/>
    </row>
    <row r="1245" spans="11:15">
      <c r="K1245" s="1623">
        <v>43302</v>
      </c>
      <c r="L1245" s="1624"/>
      <c r="M1245" s="1625">
        <v>0</v>
      </c>
      <c r="N1245" s="1626">
        <v>1.4448720468277976</v>
      </c>
      <c r="O1245" s="1626"/>
    </row>
    <row r="1246" spans="11:15">
      <c r="K1246" s="1623">
        <v>43303</v>
      </c>
      <c r="L1246" s="1624"/>
      <c r="M1246" s="1625">
        <v>0</v>
      </c>
      <c r="N1246" s="1626">
        <v>1.4448720468277976</v>
      </c>
      <c r="O1246" s="1626"/>
    </row>
    <row r="1247" spans="11:15">
      <c r="K1247" s="1623">
        <v>43304</v>
      </c>
      <c r="L1247" s="1624" t="s">
        <v>2302</v>
      </c>
      <c r="M1247" s="1625">
        <v>2.462E-2</v>
      </c>
      <c r="N1247" s="1626">
        <v>1.4452277743257267</v>
      </c>
      <c r="O1247" s="1626"/>
    </row>
    <row r="1248" spans="11:15">
      <c r="K1248" s="1623">
        <v>43305</v>
      </c>
      <c r="L1248" s="1624" t="s">
        <v>2302</v>
      </c>
      <c r="M1248" s="1625">
        <v>2.462E-2</v>
      </c>
      <c r="N1248" s="1626">
        <v>1.4455835894037659</v>
      </c>
      <c r="O1248" s="1626"/>
    </row>
    <row r="1249" spans="11:15">
      <c r="K1249" s="1623">
        <v>43306</v>
      </c>
      <c r="L1249" s="1624" t="s">
        <v>2302</v>
      </c>
      <c r="M1249" s="1625">
        <v>2.462E-2</v>
      </c>
      <c r="N1249" s="1626">
        <v>1.4459394920834772</v>
      </c>
      <c r="O1249" s="1626"/>
    </row>
    <row r="1250" spans="11:15">
      <c r="K1250" s="1623">
        <v>43307</v>
      </c>
      <c r="L1250" s="1624" t="s">
        <v>2302</v>
      </c>
      <c r="M1250" s="1625">
        <v>2.462E-2</v>
      </c>
      <c r="N1250" s="1626">
        <v>1.4462954823864282</v>
      </c>
      <c r="O1250" s="1626"/>
    </row>
    <row r="1251" spans="11:15">
      <c r="K1251" s="1623">
        <v>43308</v>
      </c>
      <c r="L1251" s="1624" t="s">
        <v>2302</v>
      </c>
      <c r="M1251" s="1625">
        <v>2.462E-2</v>
      </c>
      <c r="N1251" s="1626">
        <v>1.4466515603341918</v>
      </c>
      <c r="O1251" s="1626"/>
    </row>
    <row r="1252" spans="11:15">
      <c r="K1252" s="1623">
        <v>43309</v>
      </c>
      <c r="L1252" s="1624"/>
      <c r="M1252" s="1625">
        <v>0</v>
      </c>
      <c r="N1252" s="1626">
        <v>1.4466515603341918</v>
      </c>
      <c r="O1252" s="1626"/>
    </row>
    <row r="1253" spans="11:15">
      <c r="K1253" s="1623">
        <v>43310</v>
      </c>
      <c r="L1253" s="1624"/>
      <c r="M1253" s="1625">
        <v>0</v>
      </c>
      <c r="N1253" s="1626">
        <v>1.4466515603341918</v>
      </c>
      <c r="O1253" s="1626"/>
    </row>
    <row r="1254" spans="11:15">
      <c r="K1254" s="1623">
        <v>43311</v>
      </c>
      <c r="L1254" s="1624" t="s">
        <v>2302</v>
      </c>
      <c r="M1254" s="1625">
        <v>2.462E-2</v>
      </c>
      <c r="N1254" s="1626">
        <v>1.4470077259483463</v>
      </c>
      <c r="O1254" s="1626"/>
    </row>
    <row r="1255" spans="11:15">
      <c r="K1255" s="1623">
        <v>43312</v>
      </c>
      <c r="L1255" s="1624" t="s">
        <v>2302</v>
      </c>
      <c r="M1255" s="1625">
        <v>2.462E-2</v>
      </c>
      <c r="N1255" s="1626">
        <v>1.4473639792504749</v>
      </c>
      <c r="O1255" s="1626"/>
    </row>
    <row r="1256" spans="11:15">
      <c r="K1256" s="1623">
        <v>43313</v>
      </c>
      <c r="L1256" s="1624" t="s">
        <v>2302</v>
      </c>
      <c r="M1256" s="1625">
        <v>2.462E-2</v>
      </c>
      <c r="N1256" s="1626">
        <v>1.4477203202621665</v>
      </c>
      <c r="O1256" s="1626"/>
    </row>
    <row r="1257" spans="11:15">
      <c r="K1257" s="1623">
        <v>43314</v>
      </c>
      <c r="L1257" s="1624" t="s">
        <v>2302</v>
      </c>
      <c r="M1257" s="1625">
        <v>2.462E-2</v>
      </c>
      <c r="N1257" s="1626">
        <v>1.448076749005015</v>
      </c>
      <c r="O1257" s="1626"/>
    </row>
    <row r="1258" spans="11:15">
      <c r="K1258" s="1623">
        <v>43315</v>
      </c>
      <c r="L1258" s="1624" t="s">
        <v>2302</v>
      </c>
      <c r="M1258" s="1625">
        <v>2.462E-2</v>
      </c>
      <c r="N1258" s="1626">
        <v>1.4484332655006202</v>
      </c>
      <c r="O1258" s="1626"/>
    </row>
    <row r="1259" spans="11:15">
      <c r="K1259" s="1623">
        <v>43316</v>
      </c>
      <c r="L1259" s="1624"/>
      <c r="M1259" s="1625">
        <v>0</v>
      </c>
      <c r="N1259" s="1626">
        <v>1.4484332655006202</v>
      </c>
      <c r="O1259" s="1626"/>
    </row>
    <row r="1260" spans="11:15">
      <c r="K1260" s="1623">
        <v>43317</v>
      </c>
      <c r="L1260" s="1624"/>
      <c r="M1260" s="1625">
        <v>0</v>
      </c>
      <c r="N1260" s="1626">
        <v>1.4484332655006202</v>
      </c>
      <c r="O1260" s="1626"/>
    </row>
    <row r="1261" spans="11:15">
      <c r="K1261" s="1623">
        <v>43318</v>
      </c>
      <c r="L1261" s="1624" t="s">
        <v>2302</v>
      </c>
      <c r="M1261" s="1625">
        <v>2.462E-2</v>
      </c>
      <c r="N1261" s="1626">
        <v>1.4487898697705865</v>
      </c>
      <c r="O1261" s="1626"/>
    </row>
    <row r="1262" spans="11:15">
      <c r="K1262" s="1623">
        <v>43319</v>
      </c>
      <c r="L1262" s="1624" t="s">
        <v>2302</v>
      </c>
      <c r="M1262" s="1625">
        <v>2.462E-2</v>
      </c>
      <c r="N1262" s="1626">
        <v>1.4491465618365242</v>
      </c>
      <c r="O1262" s="1626"/>
    </row>
    <row r="1263" spans="11:15">
      <c r="K1263" s="1623">
        <v>43320</v>
      </c>
      <c r="L1263" s="1624" t="s">
        <v>2302</v>
      </c>
      <c r="M1263" s="1625">
        <v>2.462E-2</v>
      </c>
      <c r="N1263" s="1626">
        <v>1.4495033417200485</v>
      </c>
      <c r="O1263" s="1626"/>
    </row>
    <row r="1264" spans="11:15">
      <c r="K1264" s="1623">
        <v>43321</v>
      </c>
      <c r="L1264" s="1624" t="s">
        <v>2302</v>
      </c>
      <c r="M1264" s="1625">
        <v>2.462E-2</v>
      </c>
      <c r="N1264" s="1626">
        <v>1.4498602094427802</v>
      </c>
      <c r="O1264" s="1626"/>
    </row>
    <row r="1265" spans="11:15">
      <c r="K1265" s="1623">
        <v>43322</v>
      </c>
      <c r="L1265" s="1624" t="s">
        <v>2302</v>
      </c>
      <c r="M1265" s="1625">
        <v>2.462E-2</v>
      </c>
      <c r="N1265" s="1626">
        <v>1.4502171650263451</v>
      </c>
      <c r="O1265" s="1626"/>
    </row>
    <row r="1266" spans="11:15">
      <c r="K1266" s="1623">
        <v>43323</v>
      </c>
      <c r="L1266" s="1624"/>
      <c r="M1266" s="1625">
        <v>0</v>
      </c>
      <c r="N1266" s="1626">
        <v>1.4502171650263451</v>
      </c>
      <c r="O1266" s="1626"/>
    </row>
    <row r="1267" spans="11:15">
      <c r="K1267" s="1623">
        <v>43324</v>
      </c>
      <c r="L1267" s="1624"/>
      <c r="M1267" s="1625">
        <v>0</v>
      </c>
      <c r="N1267" s="1626">
        <v>1.4502171650263451</v>
      </c>
      <c r="O1267" s="1626"/>
    </row>
    <row r="1268" spans="11:15">
      <c r="K1268" s="1623">
        <v>43325</v>
      </c>
      <c r="L1268" s="1624" t="s">
        <v>2302</v>
      </c>
      <c r="M1268" s="1625">
        <v>2.462E-2</v>
      </c>
      <c r="N1268" s="1626">
        <v>1.4505742084923747</v>
      </c>
      <c r="O1268" s="1626"/>
    </row>
    <row r="1269" spans="11:15">
      <c r="K1269" s="1623">
        <v>43326</v>
      </c>
      <c r="L1269" s="1624" t="s">
        <v>2302</v>
      </c>
      <c r="M1269" s="1625">
        <v>2.462E-2</v>
      </c>
      <c r="N1269" s="1626">
        <v>1.4509313398625057</v>
      </c>
      <c r="O1269" s="1626"/>
    </row>
    <row r="1270" spans="11:15">
      <c r="K1270" s="1623">
        <v>43327</v>
      </c>
      <c r="L1270" s="1624" t="s">
        <v>2302</v>
      </c>
      <c r="M1270" s="1625">
        <v>2.462E-2</v>
      </c>
      <c r="N1270" s="1626">
        <v>1.45128855915838</v>
      </c>
      <c r="O1270" s="1626"/>
    </row>
    <row r="1271" spans="11:15">
      <c r="K1271" s="1623">
        <v>43328</v>
      </c>
      <c r="L1271" s="1624" t="s">
        <v>2302</v>
      </c>
      <c r="M1271" s="1625">
        <v>2.462E-2</v>
      </c>
      <c r="N1271" s="1626">
        <v>1.4516458664016449</v>
      </c>
      <c r="O1271" s="1626"/>
    </row>
    <row r="1272" spans="11:15">
      <c r="K1272" s="1623">
        <v>43329</v>
      </c>
      <c r="L1272" s="1624" t="s">
        <v>2302</v>
      </c>
      <c r="M1272" s="1625">
        <v>2.462E-2</v>
      </c>
      <c r="N1272" s="1626">
        <v>1.4520032616139531</v>
      </c>
      <c r="O1272" s="1626"/>
    </row>
    <row r="1273" spans="11:15">
      <c r="K1273" s="1623">
        <v>43330</v>
      </c>
      <c r="L1273" s="1624"/>
      <c r="M1273" s="1625">
        <v>0</v>
      </c>
      <c r="N1273" s="1626">
        <v>1.4520032616139531</v>
      </c>
      <c r="O1273" s="1626"/>
    </row>
    <row r="1274" spans="11:15">
      <c r="K1274" s="1623">
        <v>43331</v>
      </c>
      <c r="L1274" s="1624"/>
      <c r="M1274" s="1625">
        <v>0</v>
      </c>
      <c r="N1274" s="1626">
        <v>1.4520032616139531</v>
      </c>
      <c r="O1274" s="1626"/>
    </row>
    <row r="1275" spans="11:15">
      <c r="K1275" s="1623">
        <v>43332</v>
      </c>
      <c r="L1275" s="1624" t="s">
        <v>2302</v>
      </c>
      <c r="M1275" s="1625">
        <v>2.462E-2</v>
      </c>
      <c r="N1275" s="1626">
        <v>1.4523607448169626</v>
      </c>
      <c r="O1275" s="1626"/>
    </row>
    <row r="1276" spans="11:15">
      <c r="K1276" s="1623">
        <v>43333</v>
      </c>
      <c r="L1276" s="1624" t="s">
        <v>2302</v>
      </c>
      <c r="M1276" s="1625">
        <v>2.462E-2</v>
      </c>
      <c r="N1276" s="1626">
        <v>1.4527183160323367</v>
      </c>
      <c r="O1276" s="1626"/>
    </row>
    <row r="1277" spans="11:15">
      <c r="K1277" s="1623">
        <v>43334</v>
      </c>
      <c r="L1277" s="1624" t="s">
        <v>2302</v>
      </c>
      <c r="M1277" s="1625">
        <v>2.462E-2</v>
      </c>
      <c r="N1277" s="1626">
        <v>1.4530759752817439</v>
      </c>
      <c r="O1277" s="1626"/>
    </row>
    <row r="1278" spans="11:15">
      <c r="K1278" s="1623">
        <v>43335</v>
      </c>
      <c r="L1278" s="1624" t="s">
        <v>2302</v>
      </c>
      <c r="M1278" s="1625">
        <v>2.462E-2</v>
      </c>
      <c r="N1278" s="1626">
        <v>1.4534337225868583</v>
      </c>
      <c r="O1278" s="1626"/>
    </row>
    <row r="1279" spans="11:15">
      <c r="K1279" s="1623">
        <v>43336</v>
      </c>
      <c r="L1279" s="1624" t="s">
        <v>2302</v>
      </c>
      <c r="M1279" s="1625">
        <v>2.462E-2</v>
      </c>
      <c r="N1279" s="1626">
        <v>1.4537915579693594</v>
      </c>
      <c r="O1279" s="1626"/>
    </row>
    <row r="1280" spans="11:15">
      <c r="K1280" s="1623">
        <v>43337</v>
      </c>
      <c r="L1280" s="1624"/>
      <c r="M1280" s="1625">
        <v>0</v>
      </c>
      <c r="N1280" s="1626">
        <v>1.4537915579693594</v>
      </c>
      <c r="O1280" s="1626"/>
    </row>
    <row r="1281" spans="11:15">
      <c r="K1281" s="1623">
        <v>43338</v>
      </c>
      <c r="L1281" s="1624"/>
      <c r="M1281" s="1625">
        <v>0</v>
      </c>
      <c r="N1281" s="1626">
        <v>1.4537915579693594</v>
      </c>
      <c r="O1281" s="1626"/>
    </row>
    <row r="1282" spans="11:15">
      <c r="K1282" s="1623">
        <v>43339</v>
      </c>
      <c r="L1282" s="1624" t="s">
        <v>2302</v>
      </c>
      <c r="M1282" s="1625">
        <v>2.462E-2</v>
      </c>
      <c r="N1282" s="1626">
        <v>1.4541494814509317</v>
      </c>
      <c r="O1282" s="1626"/>
    </row>
    <row r="1283" spans="11:15">
      <c r="K1283" s="1623">
        <v>43340</v>
      </c>
      <c r="L1283" s="1624" t="s">
        <v>2302</v>
      </c>
      <c r="M1283" s="1625">
        <v>2.462E-2</v>
      </c>
      <c r="N1283" s="1626">
        <v>1.4545074930532651</v>
      </c>
      <c r="O1283" s="1626"/>
    </row>
    <row r="1284" spans="11:15">
      <c r="K1284" s="1623">
        <v>43341</v>
      </c>
      <c r="L1284" s="1624" t="s">
        <v>2302</v>
      </c>
      <c r="M1284" s="1625">
        <v>2.462E-2</v>
      </c>
      <c r="N1284" s="1626">
        <v>1.4548655927980549</v>
      </c>
      <c r="O1284" s="1626"/>
    </row>
    <row r="1285" spans="11:15">
      <c r="K1285" s="1623">
        <v>43342</v>
      </c>
      <c r="L1285" s="1624" t="s">
        <v>2302</v>
      </c>
      <c r="M1285" s="1625">
        <v>2.462E-2</v>
      </c>
      <c r="N1285" s="1626">
        <v>1.4552237807070019</v>
      </c>
      <c r="O1285" s="1626"/>
    </row>
    <row r="1286" spans="11:15">
      <c r="K1286" s="1623">
        <v>43343</v>
      </c>
      <c r="L1286" s="1624" t="s">
        <v>2302</v>
      </c>
      <c r="M1286" s="1625">
        <v>2.462E-2</v>
      </c>
      <c r="N1286" s="1626">
        <v>1.4555820568018121</v>
      </c>
      <c r="O1286" s="1626"/>
    </row>
    <row r="1287" spans="11:15">
      <c r="K1287" s="1623">
        <v>43344</v>
      </c>
      <c r="L1287" s="1624"/>
      <c r="M1287" s="1625">
        <v>0</v>
      </c>
      <c r="N1287" s="1626">
        <v>1.4555820568018121</v>
      </c>
      <c r="O1287" s="1626"/>
    </row>
    <row r="1288" spans="11:15">
      <c r="K1288" s="1623">
        <v>43345</v>
      </c>
      <c r="L1288" s="1624"/>
      <c r="M1288" s="1625">
        <v>0</v>
      </c>
      <c r="N1288" s="1626">
        <v>1.4555820568018121</v>
      </c>
      <c r="O1288" s="1626"/>
    </row>
    <row r="1289" spans="11:15">
      <c r="K1289" s="1623">
        <v>43346</v>
      </c>
      <c r="L1289" s="1624" t="s">
        <v>2302</v>
      </c>
      <c r="M1289" s="1625">
        <v>2.462E-2</v>
      </c>
      <c r="N1289" s="1626">
        <v>1.4559404211041969</v>
      </c>
      <c r="O1289" s="1626"/>
    </row>
    <row r="1290" spans="11:15">
      <c r="K1290" s="1623">
        <v>43347</v>
      </c>
      <c r="L1290" s="1624" t="s">
        <v>2302</v>
      </c>
      <c r="M1290" s="1625">
        <v>2.462E-2</v>
      </c>
      <c r="N1290" s="1626">
        <v>1.4562988736358728</v>
      </c>
      <c r="O1290" s="1626"/>
    </row>
    <row r="1291" spans="11:15">
      <c r="K1291" s="1623">
        <v>43348</v>
      </c>
      <c r="L1291" s="1624" t="s">
        <v>2302</v>
      </c>
      <c r="M1291" s="1625">
        <v>2.462E-2</v>
      </c>
      <c r="N1291" s="1626">
        <v>1.4566574144185622</v>
      </c>
      <c r="O1291" s="1626"/>
    </row>
    <row r="1292" spans="11:15">
      <c r="K1292" s="1623">
        <v>43349</v>
      </c>
      <c r="L1292" s="1624" t="s">
        <v>2302</v>
      </c>
      <c r="M1292" s="1625">
        <v>2.462E-2</v>
      </c>
      <c r="N1292" s="1626">
        <v>1.4570160434739923</v>
      </c>
      <c r="O1292" s="1626"/>
    </row>
    <row r="1293" spans="11:15">
      <c r="K1293" s="1623">
        <v>43350</v>
      </c>
      <c r="L1293" s="1624"/>
      <c r="M1293" s="1625">
        <v>0</v>
      </c>
      <c r="N1293" s="1626">
        <v>1.4570160434739923</v>
      </c>
      <c r="O1293" s="1626"/>
    </row>
    <row r="1294" spans="11:15">
      <c r="K1294" s="1623">
        <v>43351</v>
      </c>
      <c r="L1294" s="1624"/>
      <c r="M1294" s="1625">
        <v>0</v>
      </c>
      <c r="N1294" s="1626">
        <v>1.4570160434739923</v>
      </c>
      <c r="O1294" s="1626"/>
    </row>
    <row r="1295" spans="11:15">
      <c r="K1295" s="1623">
        <v>43352</v>
      </c>
      <c r="L1295" s="1624"/>
      <c r="M1295" s="1625">
        <v>0</v>
      </c>
      <c r="N1295" s="1626">
        <v>1.4570160434739923</v>
      </c>
      <c r="O1295" s="1626"/>
    </row>
    <row r="1296" spans="11:15">
      <c r="K1296" s="1623">
        <v>43353</v>
      </c>
      <c r="L1296" s="1624" t="s">
        <v>2302</v>
      </c>
      <c r="M1296" s="1625">
        <v>2.462E-2</v>
      </c>
      <c r="N1296" s="1626">
        <v>1.4573747608238956</v>
      </c>
      <c r="O1296" s="1626"/>
    </row>
    <row r="1297" spans="11:15">
      <c r="K1297" s="1623">
        <v>43354</v>
      </c>
      <c r="L1297" s="1624" t="s">
        <v>2302</v>
      </c>
      <c r="M1297" s="1625">
        <v>2.462E-2</v>
      </c>
      <c r="N1297" s="1626">
        <v>1.4577335664900106</v>
      </c>
      <c r="O1297" s="1626"/>
    </row>
    <row r="1298" spans="11:15">
      <c r="K1298" s="1623">
        <v>43355</v>
      </c>
      <c r="L1298" s="1624" t="s">
        <v>2302</v>
      </c>
      <c r="M1298" s="1625">
        <v>2.462E-2</v>
      </c>
      <c r="N1298" s="1626">
        <v>1.4580924604940806</v>
      </c>
      <c r="O1298" s="1626"/>
    </row>
    <row r="1299" spans="11:15">
      <c r="K1299" s="1623">
        <v>43356</v>
      </c>
      <c r="L1299" s="1624" t="s">
        <v>2302</v>
      </c>
      <c r="M1299" s="1625">
        <v>2.462E-2</v>
      </c>
      <c r="N1299" s="1626">
        <v>1.4584514428578543</v>
      </c>
      <c r="O1299" s="1626"/>
    </row>
    <row r="1300" spans="11:15">
      <c r="K1300" s="1623">
        <v>43357</v>
      </c>
      <c r="L1300" s="1624" t="s">
        <v>2302</v>
      </c>
      <c r="M1300" s="1625">
        <v>2.462E-2</v>
      </c>
      <c r="N1300" s="1626">
        <v>1.458810513603086</v>
      </c>
      <c r="O1300" s="1626"/>
    </row>
    <row r="1301" spans="11:15">
      <c r="K1301" s="1623">
        <v>43358</v>
      </c>
      <c r="L1301" s="1624"/>
      <c r="M1301" s="1625">
        <v>0</v>
      </c>
      <c r="N1301" s="1626">
        <v>1.458810513603086</v>
      </c>
      <c r="O1301" s="1626"/>
    </row>
    <row r="1302" spans="11:15">
      <c r="K1302" s="1623">
        <v>43359</v>
      </c>
      <c r="L1302" s="1624"/>
      <c r="M1302" s="1625">
        <v>0</v>
      </c>
      <c r="N1302" s="1626">
        <v>1.458810513603086</v>
      </c>
      <c r="O1302" s="1626"/>
    </row>
    <row r="1303" spans="11:15">
      <c r="K1303" s="1623">
        <v>43360</v>
      </c>
      <c r="L1303" s="1624" t="s">
        <v>2302</v>
      </c>
      <c r="M1303" s="1625">
        <v>2.462E-2</v>
      </c>
      <c r="N1303" s="1626">
        <v>1.4591696727515353</v>
      </c>
      <c r="O1303" s="1626"/>
    </row>
    <row r="1304" spans="11:15">
      <c r="K1304" s="1623">
        <v>43361</v>
      </c>
      <c r="L1304" s="1624" t="s">
        <v>2302</v>
      </c>
      <c r="M1304" s="1625">
        <v>2.462E-2</v>
      </c>
      <c r="N1304" s="1626">
        <v>1.4595289203249668</v>
      </c>
      <c r="O1304" s="1626"/>
    </row>
    <row r="1305" spans="11:15">
      <c r="K1305" s="1623">
        <v>43362</v>
      </c>
      <c r="L1305" s="1624" t="s">
        <v>2302</v>
      </c>
      <c r="M1305" s="1625">
        <v>2.462E-2</v>
      </c>
      <c r="N1305" s="1626">
        <v>1.459888256345151</v>
      </c>
      <c r="O1305" s="1626"/>
    </row>
    <row r="1306" spans="11:15">
      <c r="K1306" s="1623">
        <v>43363</v>
      </c>
      <c r="L1306" s="1624" t="s">
        <v>2302</v>
      </c>
      <c r="M1306" s="1625">
        <v>2.462E-2</v>
      </c>
      <c r="N1306" s="1626">
        <v>1.4602476808338634</v>
      </c>
      <c r="O1306" s="1626"/>
    </row>
    <row r="1307" spans="11:15">
      <c r="K1307" s="1623">
        <v>43364</v>
      </c>
      <c r="L1307" s="1624" t="s">
        <v>2302</v>
      </c>
      <c r="M1307" s="1625">
        <v>2.462E-2</v>
      </c>
      <c r="N1307" s="1626">
        <v>1.4606071938128848</v>
      </c>
      <c r="O1307" s="1626"/>
    </row>
    <row r="1308" spans="11:15">
      <c r="K1308" s="1623">
        <v>43365</v>
      </c>
      <c r="L1308" s="1624"/>
      <c r="M1308" s="1625">
        <v>0</v>
      </c>
      <c r="N1308" s="1626">
        <v>1.4606071938128848</v>
      </c>
      <c r="O1308" s="1626"/>
    </row>
    <row r="1309" spans="11:15">
      <c r="K1309" s="1623">
        <v>43366</v>
      </c>
      <c r="L1309" s="1624"/>
      <c r="M1309" s="1625">
        <v>0</v>
      </c>
      <c r="N1309" s="1626">
        <v>1.4606071938128848</v>
      </c>
      <c r="O1309" s="1626"/>
    </row>
    <row r="1310" spans="11:15">
      <c r="K1310" s="1623">
        <v>43367</v>
      </c>
      <c r="L1310" s="1624" t="s">
        <v>2302</v>
      </c>
      <c r="M1310" s="1625">
        <v>2.462E-2</v>
      </c>
      <c r="N1310" s="1626">
        <v>1.4609667953040018</v>
      </c>
      <c r="O1310" s="1626"/>
    </row>
    <row r="1311" spans="11:15">
      <c r="K1311" s="1623">
        <v>43368</v>
      </c>
      <c r="L1311" s="1624" t="s">
        <v>2302</v>
      </c>
      <c r="M1311" s="1625">
        <v>2.462E-2</v>
      </c>
      <c r="N1311" s="1626">
        <v>1.4613264853290058</v>
      </c>
      <c r="O1311" s="1626"/>
    </row>
    <row r="1312" spans="11:15">
      <c r="K1312" s="1623">
        <v>43369</v>
      </c>
      <c r="L1312" s="1624" t="s">
        <v>2302</v>
      </c>
      <c r="M1312" s="1625">
        <v>2.462E-2</v>
      </c>
      <c r="N1312" s="1626">
        <v>1.4616862639096939</v>
      </c>
      <c r="O1312" s="1626"/>
    </row>
    <row r="1313" spans="11:15">
      <c r="K1313" s="1623">
        <v>43370</v>
      </c>
      <c r="L1313" s="1624" t="s">
        <v>2302</v>
      </c>
      <c r="M1313" s="1625">
        <v>2.462E-2</v>
      </c>
      <c r="N1313" s="1626">
        <v>1.4620461310678685</v>
      </c>
      <c r="O1313" s="1626"/>
    </row>
    <row r="1314" spans="11:15">
      <c r="K1314" s="1623">
        <v>43371</v>
      </c>
      <c r="L1314" s="1624" t="s">
        <v>2302</v>
      </c>
      <c r="M1314" s="1625">
        <v>2.462E-2</v>
      </c>
      <c r="N1314" s="1626">
        <v>1.4624060868253375</v>
      </c>
      <c r="O1314" s="1626"/>
    </row>
    <row r="1315" spans="11:15">
      <c r="K1315" s="1623">
        <v>43372</v>
      </c>
      <c r="L1315" s="1624"/>
      <c r="M1315" s="1625">
        <v>0</v>
      </c>
      <c r="N1315" s="1626">
        <v>1.4624060868253375</v>
      </c>
      <c r="O1315" s="1626"/>
    </row>
    <row r="1316" spans="11:15">
      <c r="K1316" s="1623">
        <v>43373</v>
      </c>
      <c r="L1316" s="1624"/>
      <c r="M1316" s="1625">
        <v>0</v>
      </c>
      <c r="N1316" s="1626">
        <v>1.4624060868253375</v>
      </c>
      <c r="O1316" s="1626"/>
    </row>
    <row r="1317" spans="11:15">
      <c r="K1317" s="1623">
        <v>43374</v>
      </c>
      <c r="L1317" s="1624" t="s">
        <v>2302</v>
      </c>
      <c r="M1317" s="1625">
        <v>2.462E-2</v>
      </c>
      <c r="N1317" s="1626">
        <v>1.462766131203914</v>
      </c>
      <c r="O1317" s="1626"/>
    </row>
    <row r="1318" spans="11:15">
      <c r="K1318" s="1623">
        <v>43375</v>
      </c>
      <c r="L1318" s="1624" t="s">
        <v>2302</v>
      </c>
      <c r="M1318" s="1625">
        <v>2.462E-2</v>
      </c>
      <c r="N1318" s="1626">
        <v>1.4631262642254166</v>
      </c>
      <c r="O1318" s="1626"/>
    </row>
    <row r="1319" spans="11:15">
      <c r="K1319" s="1623">
        <v>43376</v>
      </c>
      <c r="L1319" s="1624" t="s">
        <v>2302</v>
      </c>
      <c r="M1319" s="1625">
        <v>2.462E-2</v>
      </c>
      <c r="N1319" s="1626">
        <v>1.463486485911669</v>
      </c>
      <c r="O1319" s="1626"/>
    </row>
    <row r="1320" spans="11:15">
      <c r="K1320" s="1623">
        <v>43377</v>
      </c>
      <c r="L1320" s="1624" t="s">
        <v>2302</v>
      </c>
      <c r="M1320" s="1625">
        <v>2.462E-2</v>
      </c>
      <c r="N1320" s="1626">
        <v>1.4638467962845005</v>
      </c>
      <c r="O1320" s="1626"/>
    </row>
    <row r="1321" spans="11:15">
      <c r="K1321" s="1623">
        <v>43378</v>
      </c>
      <c r="L1321" s="1624" t="s">
        <v>2302</v>
      </c>
      <c r="M1321" s="1625">
        <v>2.462E-2</v>
      </c>
      <c r="N1321" s="1626">
        <v>1.4642071953657458</v>
      </c>
      <c r="O1321" s="1626"/>
    </row>
    <row r="1322" spans="11:15">
      <c r="K1322" s="1623">
        <v>43379</v>
      </c>
      <c r="L1322" s="1624"/>
      <c r="M1322" s="1625">
        <v>0</v>
      </c>
      <c r="N1322" s="1626">
        <v>1.4642071953657458</v>
      </c>
      <c r="O1322" s="1626"/>
    </row>
    <row r="1323" spans="11:15">
      <c r="K1323" s="1623">
        <v>43380</v>
      </c>
      <c r="L1323" s="1624"/>
      <c r="M1323" s="1625">
        <v>0</v>
      </c>
      <c r="N1323" s="1626">
        <v>1.4642071953657458</v>
      </c>
      <c r="O1323" s="1626"/>
    </row>
    <row r="1324" spans="11:15">
      <c r="K1324" s="1623">
        <v>43381</v>
      </c>
      <c r="L1324" s="1624" t="s">
        <v>2302</v>
      </c>
      <c r="M1324" s="1625">
        <v>2.462E-2</v>
      </c>
      <c r="N1324" s="1626">
        <v>1.4645676831772449</v>
      </c>
      <c r="O1324" s="1626"/>
    </row>
    <row r="1325" spans="11:15">
      <c r="K1325" s="1623">
        <v>43382</v>
      </c>
      <c r="L1325" s="1624" t="s">
        <v>2302</v>
      </c>
      <c r="M1325" s="1625">
        <v>2.462E-2</v>
      </c>
      <c r="N1325" s="1626">
        <v>1.4649282597408433</v>
      </c>
      <c r="O1325" s="1626"/>
    </row>
    <row r="1326" spans="11:15">
      <c r="K1326" s="1623">
        <v>43383</v>
      </c>
      <c r="L1326" s="1624" t="s">
        <v>2302</v>
      </c>
      <c r="M1326" s="1625">
        <v>2.462E-2</v>
      </c>
      <c r="N1326" s="1626">
        <v>1.4652889250783916</v>
      </c>
      <c r="O1326" s="1626"/>
    </row>
    <row r="1327" spans="11:15">
      <c r="K1327" s="1623">
        <v>43384</v>
      </c>
      <c r="L1327" s="1624" t="s">
        <v>2302</v>
      </c>
      <c r="M1327" s="1625">
        <v>2.462E-2</v>
      </c>
      <c r="N1327" s="1626">
        <v>1.4656496792117459</v>
      </c>
      <c r="O1327" s="1626"/>
    </row>
    <row r="1328" spans="11:15">
      <c r="K1328" s="1623">
        <v>43385</v>
      </c>
      <c r="L1328" s="1624"/>
      <c r="M1328" s="1625">
        <v>0</v>
      </c>
      <c r="N1328" s="1626">
        <v>1.4656496792117459</v>
      </c>
      <c r="O1328" s="1626"/>
    </row>
    <row r="1329" spans="11:15">
      <c r="K1329" s="1623">
        <v>43386</v>
      </c>
      <c r="L1329" s="1624"/>
      <c r="M1329" s="1625">
        <v>0</v>
      </c>
      <c r="N1329" s="1626">
        <v>1.4656496792117459</v>
      </c>
      <c r="O1329" s="1626"/>
    </row>
    <row r="1330" spans="11:15">
      <c r="K1330" s="1623">
        <v>43387</v>
      </c>
      <c r="L1330" s="1624"/>
      <c r="M1330" s="1625">
        <v>0</v>
      </c>
      <c r="N1330" s="1626">
        <v>1.4656496792117459</v>
      </c>
      <c r="O1330" s="1626"/>
    </row>
    <row r="1331" spans="11:15">
      <c r="K1331" s="1623">
        <v>43388</v>
      </c>
      <c r="L1331" s="1624" t="s">
        <v>2302</v>
      </c>
      <c r="M1331" s="1625">
        <v>2.462E-2</v>
      </c>
      <c r="N1331" s="1626">
        <v>1.4660105221627679</v>
      </c>
      <c r="O1331" s="1626"/>
    </row>
    <row r="1332" spans="11:15">
      <c r="K1332" s="1623">
        <v>43389</v>
      </c>
      <c r="L1332" s="1624" t="s">
        <v>2302</v>
      </c>
      <c r="M1332" s="1625">
        <v>2.462E-2</v>
      </c>
      <c r="N1332" s="1626">
        <v>1.4663714539533246</v>
      </c>
      <c r="O1332" s="1626"/>
    </row>
    <row r="1333" spans="11:15">
      <c r="K1333" s="1623">
        <v>43390</v>
      </c>
      <c r="L1333" s="1624" t="s">
        <v>2302</v>
      </c>
      <c r="M1333" s="1625">
        <v>2.462E-2</v>
      </c>
      <c r="N1333" s="1626">
        <v>1.4667324746052881</v>
      </c>
      <c r="O1333" s="1626"/>
    </row>
    <row r="1334" spans="11:15">
      <c r="K1334" s="1623">
        <v>43391</v>
      </c>
      <c r="L1334" s="1624" t="s">
        <v>2302</v>
      </c>
      <c r="M1334" s="1625">
        <v>2.462E-2</v>
      </c>
      <c r="N1334" s="1626">
        <v>1.4670935841405361</v>
      </c>
      <c r="O1334" s="1626"/>
    </row>
    <row r="1335" spans="11:15">
      <c r="K1335" s="1623">
        <v>43392</v>
      </c>
      <c r="L1335" s="1624" t="s">
        <v>2302</v>
      </c>
      <c r="M1335" s="1625">
        <v>2.462E-2</v>
      </c>
      <c r="N1335" s="1626">
        <v>1.4674547825809516</v>
      </c>
      <c r="O1335" s="1626"/>
    </row>
    <row r="1336" spans="11:15">
      <c r="K1336" s="1623">
        <v>43393</v>
      </c>
      <c r="L1336" s="1624"/>
      <c r="M1336" s="1625">
        <v>0</v>
      </c>
      <c r="N1336" s="1626">
        <v>1.4674547825809516</v>
      </c>
      <c r="O1336" s="1626"/>
    </row>
    <row r="1337" spans="11:15">
      <c r="K1337" s="1623">
        <v>43394</v>
      </c>
      <c r="L1337" s="1624"/>
      <c r="M1337" s="1625">
        <v>0</v>
      </c>
      <c r="N1337" s="1626">
        <v>1.4674547825809516</v>
      </c>
      <c r="O1337" s="1626"/>
    </row>
    <row r="1338" spans="11:15">
      <c r="K1338" s="1623">
        <v>43395</v>
      </c>
      <c r="L1338" s="1624" t="s">
        <v>2302</v>
      </c>
      <c r="M1338" s="1625">
        <v>2.462E-2</v>
      </c>
      <c r="N1338" s="1626">
        <v>1.4678160699484233</v>
      </c>
      <c r="O1338" s="1626"/>
    </row>
    <row r="1339" spans="11:15">
      <c r="K1339" s="1623">
        <v>43396</v>
      </c>
      <c r="L1339" s="1624" t="s">
        <v>2302</v>
      </c>
      <c r="M1339" s="1625">
        <v>2.462E-2</v>
      </c>
      <c r="N1339" s="1626">
        <v>1.4681774462648447</v>
      </c>
      <c r="O1339" s="1626"/>
    </row>
    <row r="1340" spans="11:15">
      <c r="K1340" s="1623">
        <v>43397</v>
      </c>
      <c r="L1340" s="1624" t="s">
        <v>2302</v>
      </c>
      <c r="M1340" s="1625">
        <v>2.462E-2</v>
      </c>
      <c r="N1340" s="1626">
        <v>1.4685389115521152</v>
      </c>
      <c r="O1340" s="1626"/>
    </row>
    <row r="1341" spans="11:15">
      <c r="K1341" s="1623">
        <v>43398</v>
      </c>
      <c r="L1341" s="1624" t="s">
        <v>2302</v>
      </c>
      <c r="M1341" s="1625">
        <v>2.462E-2</v>
      </c>
      <c r="N1341" s="1626">
        <v>1.4689004658321394</v>
      </c>
      <c r="O1341" s="1626"/>
    </row>
    <row r="1342" spans="11:15">
      <c r="K1342" s="1623">
        <v>43399</v>
      </c>
      <c r="L1342" s="1624" t="s">
        <v>2302</v>
      </c>
      <c r="M1342" s="1625">
        <v>2.462E-2</v>
      </c>
      <c r="N1342" s="1626">
        <v>1.4692621091268274</v>
      </c>
      <c r="O1342" s="1626"/>
    </row>
    <row r="1343" spans="11:15">
      <c r="K1343" s="1623">
        <v>43400</v>
      </c>
      <c r="L1343" s="1624"/>
      <c r="M1343" s="1625">
        <v>0</v>
      </c>
      <c r="N1343" s="1626">
        <v>1.4692621091268274</v>
      </c>
      <c r="O1343" s="1626"/>
    </row>
    <row r="1344" spans="11:15">
      <c r="K1344" s="1623">
        <v>43401</v>
      </c>
      <c r="L1344" s="1624"/>
      <c r="M1344" s="1625">
        <v>0</v>
      </c>
      <c r="N1344" s="1626">
        <v>1.4692621091268274</v>
      </c>
      <c r="O1344" s="1626"/>
    </row>
    <row r="1345" spans="11:15">
      <c r="K1345" s="1623">
        <v>43402</v>
      </c>
      <c r="L1345" s="1624" t="s">
        <v>2302</v>
      </c>
      <c r="M1345" s="1625">
        <v>2.462E-2</v>
      </c>
      <c r="N1345" s="1626">
        <v>1.4696238414580947</v>
      </c>
      <c r="O1345" s="1626"/>
    </row>
    <row r="1346" spans="11:15">
      <c r="K1346" s="1623">
        <v>43403</v>
      </c>
      <c r="L1346" s="1624" t="s">
        <v>2302</v>
      </c>
      <c r="M1346" s="1625">
        <v>2.462E-2</v>
      </c>
      <c r="N1346" s="1626">
        <v>1.4699856628478618</v>
      </c>
      <c r="O1346" s="1626"/>
    </row>
    <row r="1347" spans="11:15">
      <c r="K1347" s="1623">
        <v>43404</v>
      </c>
      <c r="L1347" s="1624" t="s">
        <v>2302</v>
      </c>
      <c r="M1347" s="1625">
        <v>2.462E-2</v>
      </c>
      <c r="N1347" s="1626">
        <v>1.4703475733180551</v>
      </c>
      <c r="O1347" s="1626"/>
    </row>
    <row r="1348" spans="11:15">
      <c r="K1348" s="1623">
        <v>43405</v>
      </c>
      <c r="L1348" s="1624" t="s">
        <v>2302</v>
      </c>
      <c r="M1348" s="1625">
        <v>2.462E-2</v>
      </c>
      <c r="N1348" s="1626">
        <v>1.4707095728906061</v>
      </c>
      <c r="O1348" s="1626"/>
    </row>
    <row r="1349" spans="11:15">
      <c r="K1349" s="1623">
        <v>43406</v>
      </c>
      <c r="L1349" s="1624"/>
      <c r="M1349" s="1625">
        <v>0</v>
      </c>
      <c r="N1349" s="1626">
        <v>1.4707095728906061</v>
      </c>
      <c r="O1349" s="1626"/>
    </row>
    <row r="1350" spans="11:15">
      <c r="K1350" s="1623">
        <v>43407</v>
      </c>
      <c r="L1350" s="1624"/>
      <c r="M1350" s="1625">
        <v>0</v>
      </c>
      <c r="N1350" s="1626">
        <v>1.4707095728906061</v>
      </c>
      <c r="O1350" s="1626"/>
    </row>
    <row r="1351" spans="11:15">
      <c r="K1351" s="1623">
        <v>43408</v>
      </c>
      <c r="L1351" s="1624"/>
      <c r="M1351" s="1625">
        <v>0</v>
      </c>
      <c r="N1351" s="1626">
        <v>1.4707095728906061</v>
      </c>
      <c r="O1351" s="1626"/>
    </row>
    <row r="1352" spans="11:15">
      <c r="K1352" s="1623">
        <v>43409</v>
      </c>
      <c r="L1352" s="1624" t="s">
        <v>2302</v>
      </c>
      <c r="M1352" s="1625">
        <v>2.462E-2</v>
      </c>
      <c r="N1352" s="1626">
        <v>1.471071661587452</v>
      </c>
      <c r="O1352" s="1626"/>
    </row>
    <row r="1353" spans="11:15">
      <c r="K1353" s="1623">
        <v>43410</v>
      </c>
      <c r="L1353" s="1624" t="s">
        <v>2302</v>
      </c>
      <c r="M1353" s="1625">
        <v>2.462E-2</v>
      </c>
      <c r="N1353" s="1626">
        <v>1.4714338394305349</v>
      </c>
      <c r="O1353" s="1626"/>
    </row>
    <row r="1354" spans="11:15">
      <c r="K1354" s="1623">
        <v>43411</v>
      </c>
      <c r="L1354" s="1624" t="s">
        <v>2302</v>
      </c>
      <c r="M1354" s="1625">
        <v>2.462E-2</v>
      </c>
      <c r="N1354" s="1626">
        <v>1.4717961064418028</v>
      </c>
      <c r="O1354" s="1626"/>
    </row>
    <row r="1355" spans="11:15">
      <c r="K1355" s="1623">
        <v>43412</v>
      </c>
      <c r="L1355" s="1624" t="s">
        <v>2302</v>
      </c>
      <c r="M1355" s="1625">
        <v>2.462E-2</v>
      </c>
      <c r="N1355" s="1626">
        <v>1.4721584626432089</v>
      </c>
      <c r="O1355" s="1626"/>
    </row>
    <row r="1356" spans="11:15">
      <c r="K1356" s="1623">
        <v>43413</v>
      </c>
      <c r="L1356" s="1624" t="s">
        <v>2302</v>
      </c>
      <c r="M1356" s="1625">
        <v>2.462E-2</v>
      </c>
      <c r="N1356" s="1626">
        <v>1.4725209080567119</v>
      </c>
      <c r="O1356" s="1626"/>
    </row>
    <row r="1357" spans="11:15">
      <c r="K1357" s="1623">
        <v>43414</v>
      </c>
      <c r="L1357" s="1624"/>
      <c r="M1357" s="1625">
        <v>0</v>
      </c>
      <c r="N1357" s="1626">
        <v>1.4725209080567119</v>
      </c>
      <c r="O1357" s="1626"/>
    </row>
    <row r="1358" spans="11:15">
      <c r="K1358" s="1623">
        <v>43415</v>
      </c>
      <c r="L1358" s="1624"/>
      <c r="M1358" s="1625">
        <v>0</v>
      </c>
      <c r="N1358" s="1626">
        <v>1.4725209080567119</v>
      </c>
      <c r="O1358" s="1626"/>
    </row>
    <row r="1359" spans="11:15">
      <c r="K1359" s="1623">
        <v>43416</v>
      </c>
      <c r="L1359" s="1624" t="s">
        <v>2302</v>
      </c>
      <c r="M1359" s="1625">
        <v>2.462E-2</v>
      </c>
      <c r="N1359" s="1626">
        <v>1.4728834427042756</v>
      </c>
      <c r="O1359" s="1626"/>
    </row>
    <row r="1360" spans="11:15">
      <c r="K1360" s="1623">
        <v>43417</v>
      </c>
      <c r="L1360" s="1624" t="s">
        <v>2302</v>
      </c>
      <c r="M1360" s="1625">
        <v>2.462E-2</v>
      </c>
      <c r="N1360" s="1626">
        <v>1.4732460666078695</v>
      </c>
      <c r="O1360" s="1626"/>
    </row>
    <row r="1361" spans="11:15">
      <c r="K1361" s="1623">
        <v>43418</v>
      </c>
      <c r="L1361" s="1624" t="s">
        <v>2302</v>
      </c>
      <c r="M1361" s="1625">
        <v>2.462E-2</v>
      </c>
      <c r="N1361" s="1626">
        <v>1.4736087797894686</v>
      </c>
      <c r="O1361" s="1626"/>
    </row>
    <row r="1362" spans="11:15">
      <c r="K1362" s="1623">
        <v>43419</v>
      </c>
      <c r="L1362" s="1624"/>
      <c r="M1362" s="1625">
        <v>0</v>
      </c>
      <c r="N1362" s="1626">
        <v>1.4736087797894686</v>
      </c>
      <c r="O1362" s="1626"/>
    </row>
    <row r="1363" spans="11:15">
      <c r="K1363" s="1623">
        <v>43420</v>
      </c>
      <c r="L1363" s="1624" t="s">
        <v>2302</v>
      </c>
      <c r="M1363" s="1625">
        <v>2.462E-2</v>
      </c>
      <c r="N1363" s="1626">
        <v>1.4739715822710528</v>
      </c>
      <c r="O1363" s="1626"/>
    </row>
    <row r="1364" spans="11:15">
      <c r="K1364" s="1623">
        <v>43421</v>
      </c>
      <c r="L1364" s="1624"/>
      <c r="M1364" s="1625">
        <v>0</v>
      </c>
      <c r="N1364" s="1626">
        <v>1.4739715822710528</v>
      </c>
      <c r="O1364" s="1626"/>
    </row>
    <row r="1365" spans="11:15">
      <c r="K1365" s="1623">
        <v>43422</v>
      </c>
      <c r="L1365" s="1624"/>
      <c r="M1365" s="1625">
        <v>0</v>
      </c>
      <c r="N1365" s="1626">
        <v>1.4739715822710528</v>
      </c>
      <c r="O1365" s="1626"/>
    </row>
    <row r="1366" spans="11:15">
      <c r="K1366" s="1623">
        <v>43423</v>
      </c>
      <c r="L1366" s="1624" t="s">
        <v>2302</v>
      </c>
      <c r="M1366" s="1625">
        <v>2.462E-2</v>
      </c>
      <c r="N1366" s="1626">
        <v>1.474334474074608</v>
      </c>
      <c r="O1366" s="1626"/>
    </row>
    <row r="1367" spans="11:15">
      <c r="K1367" s="1623">
        <v>43424</v>
      </c>
      <c r="L1367" s="1624" t="s">
        <v>2302</v>
      </c>
      <c r="M1367" s="1625">
        <v>2.462E-2</v>
      </c>
      <c r="N1367" s="1626">
        <v>1.4746974552221253</v>
      </c>
      <c r="O1367" s="1626"/>
    </row>
    <row r="1368" spans="11:15">
      <c r="K1368" s="1623">
        <v>43425</v>
      </c>
      <c r="L1368" s="1624" t="s">
        <v>2302</v>
      </c>
      <c r="M1368" s="1625">
        <v>2.462E-2</v>
      </c>
      <c r="N1368" s="1626">
        <v>1.4750605257356011</v>
      </c>
      <c r="O1368" s="1626"/>
    </row>
    <row r="1369" spans="11:15">
      <c r="K1369" s="1623">
        <v>43426</v>
      </c>
      <c r="L1369" s="1624" t="s">
        <v>2302</v>
      </c>
      <c r="M1369" s="1625">
        <v>2.462E-2</v>
      </c>
      <c r="N1369" s="1626">
        <v>1.4754236856370373</v>
      </c>
      <c r="O1369" s="1626"/>
    </row>
    <row r="1370" spans="11:15">
      <c r="K1370" s="1623">
        <v>43427</v>
      </c>
      <c r="L1370" s="1624" t="s">
        <v>2302</v>
      </c>
      <c r="M1370" s="1625">
        <v>2.462E-2</v>
      </c>
      <c r="N1370" s="1626">
        <v>1.4757869349484412</v>
      </c>
      <c r="O1370" s="1626"/>
    </row>
    <row r="1371" spans="11:15">
      <c r="K1371" s="1623">
        <v>43428</v>
      </c>
      <c r="L1371" s="1624"/>
      <c r="M1371" s="1625">
        <v>0</v>
      </c>
      <c r="N1371" s="1626">
        <v>1.4757869349484412</v>
      </c>
      <c r="O1371" s="1626"/>
    </row>
    <row r="1372" spans="11:15">
      <c r="K1372" s="1623">
        <v>43429</v>
      </c>
      <c r="L1372" s="1624"/>
      <c r="M1372" s="1625">
        <v>0</v>
      </c>
      <c r="N1372" s="1626">
        <v>1.4757869349484412</v>
      </c>
      <c r="O1372" s="1626"/>
    </row>
    <row r="1373" spans="11:15">
      <c r="K1373" s="1623">
        <v>43430</v>
      </c>
      <c r="L1373" s="1624" t="s">
        <v>2302</v>
      </c>
      <c r="M1373" s="1625">
        <v>2.462E-2</v>
      </c>
      <c r="N1373" s="1626">
        <v>1.4761502736918255</v>
      </c>
      <c r="O1373" s="1626"/>
    </row>
    <row r="1374" spans="11:15">
      <c r="K1374" s="1623">
        <v>43431</v>
      </c>
      <c r="L1374" s="1624" t="s">
        <v>2302</v>
      </c>
      <c r="M1374" s="1625">
        <v>2.462E-2</v>
      </c>
      <c r="N1374" s="1626">
        <v>1.4765137018892085</v>
      </c>
      <c r="O1374" s="1626"/>
    </row>
    <row r="1375" spans="11:15">
      <c r="K1375" s="1623">
        <v>43432</v>
      </c>
      <c r="L1375" s="1624" t="s">
        <v>2302</v>
      </c>
      <c r="M1375" s="1625">
        <v>2.462E-2</v>
      </c>
      <c r="N1375" s="1626">
        <v>1.4768772195626136</v>
      </c>
      <c r="O1375" s="1626"/>
    </row>
    <row r="1376" spans="11:15">
      <c r="K1376" s="1623">
        <v>43433</v>
      </c>
      <c r="L1376" s="1624" t="s">
        <v>2302</v>
      </c>
      <c r="M1376" s="1625">
        <v>2.462E-2</v>
      </c>
      <c r="N1376" s="1626">
        <v>1.47724082673407</v>
      </c>
      <c r="O1376" s="1626"/>
    </row>
    <row r="1377" spans="11:15">
      <c r="K1377" s="1623">
        <v>43434</v>
      </c>
      <c r="L1377" s="1624" t="s">
        <v>2302</v>
      </c>
      <c r="M1377" s="1625">
        <v>2.462E-2</v>
      </c>
      <c r="N1377" s="1626">
        <v>1.4776045234256121</v>
      </c>
      <c r="O1377" s="1626"/>
    </row>
    <row r="1378" spans="11:15">
      <c r="K1378" s="1623">
        <v>43435</v>
      </c>
      <c r="L1378" s="1624"/>
      <c r="M1378" s="1625">
        <v>0</v>
      </c>
      <c r="N1378" s="1626">
        <v>1.4776045234256121</v>
      </c>
      <c r="O1378" s="1626"/>
    </row>
    <row r="1379" spans="11:15">
      <c r="K1379" s="1623">
        <v>43436</v>
      </c>
      <c r="L1379" s="1624"/>
      <c r="M1379" s="1625">
        <v>0</v>
      </c>
      <c r="N1379" s="1626">
        <v>1.4776045234256121</v>
      </c>
      <c r="O1379" s="1626"/>
    </row>
    <row r="1380" spans="11:15">
      <c r="K1380" s="1623">
        <v>43437</v>
      </c>
      <c r="L1380" s="1624" t="s">
        <v>2302</v>
      </c>
      <c r="M1380" s="1625">
        <v>2.462E-2</v>
      </c>
      <c r="N1380" s="1626">
        <v>1.4779683096592797</v>
      </c>
      <c r="O1380" s="1626"/>
    </row>
    <row r="1381" spans="11:15">
      <c r="K1381" s="1623">
        <v>43438</v>
      </c>
      <c r="L1381" s="1624" t="s">
        <v>2302</v>
      </c>
      <c r="M1381" s="1625">
        <v>2.462E-2</v>
      </c>
      <c r="N1381" s="1626">
        <v>1.4783321854571179</v>
      </c>
      <c r="O1381" s="1626"/>
    </row>
    <row r="1382" spans="11:15">
      <c r="K1382" s="1623">
        <v>43439</v>
      </c>
      <c r="L1382" s="1624" t="s">
        <v>2302</v>
      </c>
      <c r="M1382" s="1625">
        <v>2.462E-2</v>
      </c>
      <c r="N1382" s="1626">
        <v>1.4786961508411776</v>
      </c>
      <c r="O1382" s="1626"/>
    </row>
    <row r="1383" spans="11:15">
      <c r="K1383" s="1623">
        <v>43440</v>
      </c>
      <c r="L1383" s="1624" t="s">
        <v>2302</v>
      </c>
      <c r="M1383" s="1625">
        <v>2.462E-2</v>
      </c>
      <c r="N1383" s="1626">
        <v>1.4790602058335147</v>
      </c>
      <c r="O1383" s="1626"/>
    </row>
    <row r="1384" spans="11:15">
      <c r="K1384" s="1623">
        <v>43441</v>
      </c>
      <c r="L1384" s="1624" t="s">
        <v>2302</v>
      </c>
      <c r="M1384" s="1625">
        <v>2.462E-2</v>
      </c>
      <c r="N1384" s="1626">
        <v>1.479424350456191</v>
      </c>
      <c r="O1384" s="1626"/>
    </row>
    <row r="1385" spans="11:15">
      <c r="K1385" s="1623">
        <v>43442</v>
      </c>
      <c r="L1385" s="1624"/>
      <c r="M1385" s="1625">
        <v>0</v>
      </c>
      <c r="N1385" s="1626">
        <v>1.479424350456191</v>
      </c>
      <c r="O1385" s="1626"/>
    </row>
    <row r="1386" spans="11:15">
      <c r="K1386" s="1623">
        <v>43443</v>
      </c>
      <c r="L1386" s="1624"/>
      <c r="M1386" s="1625">
        <v>0</v>
      </c>
      <c r="N1386" s="1626">
        <v>1.479424350456191</v>
      </c>
      <c r="O1386" s="1626"/>
    </row>
    <row r="1387" spans="11:15">
      <c r="K1387" s="1623">
        <v>43444</v>
      </c>
      <c r="L1387" s="1624" t="s">
        <v>2302</v>
      </c>
      <c r="M1387" s="1625">
        <v>2.462E-2</v>
      </c>
      <c r="N1387" s="1626">
        <v>1.4797885847312735</v>
      </c>
      <c r="O1387" s="1626"/>
    </row>
    <row r="1388" spans="11:15">
      <c r="K1388" s="1623">
        <v>43445</v>
      </c>
      <c r="L1388" s="1624" t="s">
        <v>2302</v>
      </c>
      <c r="M1388" s="1625">
        <v>2.462E-2</v>
      </c>
      <c r="N1388" s="1626">
        <v>1.4801529086808345</v>
      </c>
      <c r="O1388" s="1626"/>
    </row>
    <row r="1389" spans="11:15">
      <c r="K1389" s="1623">
        <v>43446</v>
      </c>
      <c r="L1389" s="1624" t="s">
        <v>2302</v>
      </c>
      <c r="M1389" s="1625">
        <v>2.462E-2</v>
      </c>
      <c r="N1389" s="1626">
        <v>1.4805173223269519</v>
      </c>
      <c r="O1389" s="1626"/>
    </row>
    <row r="1390" spans="11:15">
      <c r="K1390" s="1623">
        <v>43447</v>
      </c>
      <c r="L1390" s="1624" t="s">
        <v>2302</v>
      </c>
      <c r="M1390" s="1625">
        <v>2.462E-2</v>
      </c>
      <c r="N1390" s="1626">
        <v>1.4808818256917089</v>
      </c>
      <c r="O1390" s="1626"/>
    </row>
    <row r="1391" spans="11:15">
      <c r="K1391" s="1623">
        <v>43448</v>
      </c>
      <c r="L1391" s="1624" t="s">
        <v>2302</v>
      </c>
      <c r="M1391" s="1625">
        <v>2.462E-2</v>
      </c>
      <c r="N1391" s="1626">
        <v>1.4812464187971943</v>
      </c>
      <c r="O1391" s="1626"/>
    </row>
    <row r="1392" spans="11:15">
      <c r="K1392" s="1623">
        <v>43449</v>
      </c>
      <c r="L1392" s="1624"/>
      <c r="M1392" s="1625">
        <v>0</v>
      </c>
      <c r="N1392" s="1626">
        <v>1.4812464187971943</v>
      </c>
      <c r="O1392" s="1626"/>
    </row>
    <row r="1393" spans="11:15">
      <c r="K1393" s="1623">
        <v>43450</v>
      </c>
      <c r="L1393" s="1624"/>
      <c r="M1393" s="1625">
        <v>0</v>
      </c>
      <c r="N1393" s="1626">
        <v>1.4812464187971943</v>
      </c>
      <c r="O1393" s="1626"/>
    </row>
    <row r="1394" spans="11:15">
      <c r="K1394" s="1623">
        <v>43451</v>
      </c>
      <c r="L1394" s="1624" t="s">
        <v>2302</v>
      </c>
      <c r="M1394" s="1625">
        <v>2.462E-2</v>
      </c>
      <c r="N1394" s="1626">
        <v>1.4816111016655023</v>
      </c>
      <c r="O1394" s="1626"/>
    </row>
    <row r="1395" spans="11:15">
      <c r="K1395" s="1623">
        <v>43452</v>
      </c>
      <c r="L1395" s="1624" t="s">
        <v>2302</v>
      </c>
      <c r="M1395" s="1625">
        <v>2.462E-2</v>
      </c>
      <c r="N1395" s="1626">
        <v>1.4819758743187323</v>
      </c>
      <c r="O1395" s="1626"/>
    </row>
    <row r="1396" spans="11:15">
      <c r="K1396" s="1623">
        <v>43453</v>
      </c>
      <c r="L1396" s="1624" t="s">
        <v>2302</v>
      </c>
      <c r="M1396" s="1625">
        <v>2.462E-2</v>
      </c>
      <c r="N1396" s="1626">
        <v>1.4823407367789898</v>
      </c>
      <c r="O1396" s="1626"/>
    </row>
    <row r="1397" spans="11:15">
      <c r="K1397" s="1623">
        <v>43454</v>
      </c>
      <c r="L1397" s="1624" t="s">
        <v>2302</v>
      </c>
      <c r="M1397" s="1625">
        <v>2.462E-2</v>
      </c>
      <c r="N1397" s="1626">
        <v>1.482705689068385</v>
      </c>
      <c r="O1397" s="1626"/>
    </row>
    <row r="1398" spans="11:15">
      <c r="K1398" s="1623">
        <v>43455</v>
      </c>
      <c r="L1398" s="1624" t="s">
        <v>2302</v>
      </c>
      <c r="M1398" s="1625">
        <v>2.462E-2</v>
      </c>
      <c r="N1398" s="1626">
        <v>1.4830707312090337</v>
      </c>
      <c r="O1398" s="1626"/>
    </row>
    <row r="1399" spans="11:15">
      <c r="K1399" s="1623">
        <v>43456</v>
      </c>
      <c r="L1399" s="1624"/>
      <c r="M1399" s="1625">
        <v>0</v>
      </c>
      <c r="N1399" s="1626">
        <v>1.4830707312090337</v>
      </c>
      <c r="O1399" s="1626"/>
    </row>
    <row r="1400" spans="11:15">
      <c r="K1400" s="1623">
        <v>43457</v>
      </c>
      <c r="L1400" s="1624"/>
      <c r="M1400" s="1625">
        <v>0</v>
      </c>
      <c r="N1400" s="1626">
        <v>1.4830707312090337</v>
      </c>
      <c r="O1400" s="1626"/>
    </row>
    <row r="1401" spans="11:15">
      <c r="K1401" s="1623">
        <v>43458</v>
      </c>
      <c r="L1401" s="1624" t="s">
        <v>2302</v>
      </c>
      <c r="M1401" s="1625">
        <v>2.462E-2</v>
      </c>
      <c r="N1401" s="1626">
        <v>1.4834358632230575</v>
      </c>
      <c r="O1401" s="1626"/>
    </row>
    <row r="1402" spans="11:15">
      <c r="K1402" s="1623">
        <v>43459</v>
      </c>
      <c r="L1402" s="1624"/>
      <c r="M1402" s="1625">
        <v>0</v>
      </c>
      <c r="N1402" s="1626">
        <v>1.4834358632230575</v>
      </c>
      <c r="O1402" s="1626"/>
    </row>
    <row r="1403" spans="11:15">
      <c r="K1403" s="1623">
        <v>43460</v>
      </c>
      <c r="L1403" s="1624" t="s">
        <v>2302</v>
      </c>
      <c r="M1403" s="1625">
        <v>2.462E-2</v>
      </c>
      <c r="N1403" s="1626">
        <v>1.4838010851325831</v>
      </c>
      <c r="O1403" s="1626"/>
    </row>
    <row r="1404" spans="11:15">
      <c r="K1404" s="1623">
        <v>43461</v>
      </c>
      <c r="L1404" s="1624" t="s">
        <v>2302</v>
      </c>
      <c r="M1404" s="1625">
        <v>2.462E-2</v>
      </c>
      <c r="N1404" s="1626">
        <v>1.484166396959743</v>
      </c>
      <c r="O1404" s="1626"/>
    </row>
    <row r="1405" spans="11:15">
      <c r="K1405" s="1623">
        <v>43462</v>
      </c>
      <c r="L1405" s="1624" t="s">
        <v>2302</v>
      </c>
      <c r="M1405" s="1625">
        <v>2.462E-2</v>
      </c>
      <c r="N1405" s="1626">
        <v>1.4845317987266746</v>
      </c>
      <c r="O1405" s="1626"/>
    </row>
    <row r="1406" spans="11:15">
      <c r="K1406" s="1623">
        <v>43463</v>
      </c>
      <c r="L1406" s="1624"/>
      <c r="M1406" s="1625">
        <v>0</v>
      </c>
      <c r="N1406" s="1626">
        <v>1.4845317987266746</v>
      </c>
      <c r="O1406" s="1626"/>
    </row>
    <row r="1407" spans="11:15">
      <c r="K1407" s="1623">
        <v>43464</v>
      </c>
      <c r="L1407" s="1624"/>
      <c r="M1407" s="1625">
        <v>0</v>
      </c>
      <c r="N1407" s="1626">
        <v>1.4845317987266746</v>
      </c>
      <c r="O1407" s="1626"/>
    </row>
    <row r="1408" spans="11:15">
      <c r="K1408" s="1623">
        <v>43465</v>
      </c>
      <c r="L1408" s="1624" t="s">
        <v>2302</v>
      </c>
      <c r="M1408" s="1625">
        <v>2.462E-2</v>
      </c>
      <c r="N1408" s="1626">
        <v>1.4848972904555213</v>
      </c>
      <c r="O1408" s="1626"/>
    </row>
    <row r="1409" spans="11:15">
      <c r="K1409" s="1623">
        <v>43466</v>
      </c>
      <c r="L1409" s="1624"/>
      <c r="M1409" s="1625">
        <v>0</v>
      </c>
      <c r="N1409" s="1626">
        <v>1.4848972904555213</v>
      </c>
      <c r="O1409" s="1626"/>
    </row>
    <row r="1410" spans="11:15">
      <c r="K1410" s="1623">
        <v>43467</v>
      </c>
      <c r="L1410" s="1624" t="s">
        <v>2302</v>
      </c>
      <c r="M1410" s="1625">
        <v>2.462E-2</v>
      </c>
      <c r="N1410" s="1626">
        <v>1.4852628721684316</v>
      </c>
      <c r="O1410" s="1626"/>
    </row>
    <row r="1411" spans="11:15">
      <c r="K1411" s="1623">
        <v>43468</v>
      </c>
      <c r="L1411" s="1624" t="s">
        <v>2302</v>
      </c>
      <c r="M1411" s="1625">
        <v>2.462E-2</v>
      </c>
      <c r="N1411" s="1626">
        <v>1.4856285438875596</v>
      </c>
      <c r="O1411" s="1626"/>
    </row>
    <row r="1412" spans="11:15">
      <c r="K1412" s="1623">
        <v>43469</v>
      </c>
      <c r="L1412" s="1624" t="s">
        <v>2302</v>
      </c>
      <c r="M1412" s="1625">
        <v>2.462E-2</v>
      </c>
      <c r="N1412" s="1626">
        <v>1.4859943056350648</v>
      </c>
      <c r="O1412" s="1626"/>
    </row>
    <row r="1413" spans="11:15">
      <c r="K1413" s="1623">
        <v>43470</v>
      </c>
      <c r="L1413" s="1624"/>
      <c r="M1413" s="1625">
        <v>0</v>
      </c>
      <c r="N1413" s="1626">
        <v>1.4859943056350648</v>
      </c>
      <c r="O1413" s="1626"/>
    </row>
    <row r="1414" spans="11:15">
      <c r="K1414" s="1623">
        <v>43471</v>
      </c>
      <c r="L1414" s="1624"/>
      <c r="M1414" s="1625">
        <v>0</v>
      </c>
      <c r="N1414" s="1626">
        <v>1.4859943056350648</v>
      </c>
      <c r="O1414" s="1626"/>
    </row>
    <row r="1415" spans="11:15">
      <c r="K1415" s="1623">
        <v>43472</v>
      </c>
      <c r="L1415" s="1624" t="s">
        <v>2302</v>
      </c>
      <c r="M1415" s="1625">
        <v>2.462E-2</v>
      </c>
      <c r="N1415" s="1626">
        <v>1.4863601574331122</v>
      </c>
      <c r="O1415" s="1626"/>
    </row>
    <row r="1416" spans="11:15">
      <c r="K1416" s="1623">
        <v>43473</v>
      </c>
      <c r="L1416" s="1624" t="s">
        <v>2302</v>
      </c>
      <c r="M1416" s="1625">
        <v>2.462E-2</v>
      </c>
      <c r="N1416" s="1626">
        <v>1.4867260993038725</v>
      </c>
      <c r="O1416" s="1626"/>
    </row>
    <row r="1417" spans="11:15">
      <c r="K1417" s="1623">
        <v>43474</v>
      </c>
      <c r="L1417" s="1624" t="s">
        <v>2302</v>
      </c>
      <c r="M1417" s="1625">
        <v>2.462E-2</v>
      </c>
      <c r="N1417" s="1626">
        <v>1.4870921312695211</v>
      </c>
      <c r="O1417" s="1626"/>
    </row>
    <row r="1418" spans="11:15">
      <c r="K1418" s="1623">
        <v>43475</v>
      </c>
      <c r="L1418" s="1624" t="s">
        <v>2302</v>
      </c>
      <c r="M1418" s="1625">
        <v>2.462E-2</v>
      </c>
      <c r="N1418" s="1626">
        <v>1.4874582533522398</v>
      </c>
      <c r="O1418" s="1626"/>
    </row>
    <row r="1419" spans="11:15">
      <c r="K1419" s="1623">
        <v>43476</v>
      </c>
      <c r="L1419" s="1624" t="s">
        <v>2302</v>
      </c>
      <c r="M1419" s="1625">
        <v>2.462E-2</v>
      </c>
      <c r="N1419" s="1626">
        <v>1.4878244655742152</v>
      </c>
      <c r="O1419" s="1626"/>
    </row>
    <row r="1420" spans="11:15">
      <c r="K1420" s="1623">
        <v>43477</v>
      </c>
      <c r="L1420" s="1624"/>
      <c r="M1420" s="1625">
        <v>0</v>
      </c>
      <c r="N1420" s="1626">
        <v>1.4878244655742152</v>
      </c>
      <c r="O1420" s="1626"/>
    </row>
    <row r="1421" spans="11:15">
      <c r="K1421" s="1623">
        <v>43478</v>
      </c>
      <c r="L1421" s="1624"/>
      <c r="M1421" s="1625">
        <v>0</v>
      </c>
      <c r="N1421" s="1626">
        <v>1.4878244655742152</v>
      </c>
      <c r="O1421" s="1626"/>
    </row>
    <row r="1422" spans="11:15">
      <c r="K1422" s="1623">
        <v>43479</v>
      </c>
      <c r="L1422" s="1624" t="s">
        <v>2302</v>
      </c>
      <c r="M1422" s="1625">
        <v>2.462E-2</v>
      </c>
      <c r="N1422" s="1626">
        <v>1.4881907679576396</v>
      </c>
      <c r="O1422" s="1626"/>
    </row>
    <row r="1423" spans="11:15">
      <c r="K1423" s="1623">
        <v>43480</v>
      </c>
      <c r="L1423" s="1624" t="s">
        <v>2302</v>
      </c>
      <c r="M1423" s="1625">
        <v>2.462E-2</v>
      </c>
      <c r="N1423" s="1626">
        <v>1.488557160524711</v>
      </c>
      <c r="O1423" s="1626"/>
    </row>
    <row r="1424" spans="11:15">
      <c r="K1424" s="1623">
        <v>43481</v>
      </c>
      <c r="L1424" s="1624" t="s">
        <v>2302</v>
      </c>
      <c r="M1424" s="1625">
        <v>2.462E-2</v>
      </c>
      <c r="N1424" s="1626">
        <v>1.4889236432976323</v>
      </c>
      <c r="O1424" s="1626"/>
    </row>
    <row r="1425" spans="11:15">
      <c r="K1425" s="1623">
        <v>43482</v>
      </c>
      <c r="L1425" s="1624" t="s">
        <v>2302</v>
      </c>
      <c r="M1425" s="1625">
        <v>2.462E-2</v>
      </c>
      <c r="N1425" s="1626">
        <v>1.4892902162986124</v>
      </c>
      <c r="O1425" s="1626"/>
    </row>
    <row r="1426" spans="11:15">
      <c r="K1426" s="1623">
        <v>43483</v>
      </c>
      <c r="L1426" s="1624" t="s">
        <v>2302</v>
      </c>
      <c r="M1426" s="1625">
        <v>2.462E-2</v>
      </c>
      <c r="N1426" s="1626">
        <v>1.4896568795498653</v>
      </c>
      <c r="O1426" s="1626"/>
    </row>
    <row r="1427" spans="11:15">
      <c r="K1427" s="1623">
        <v>43484</v>
      </c>
      <c r="L1427" s="1624"/>
      <c r="M1427" s="1625">
        <v>0</v>
      </c>
      <c r="N1427" s="1626">
        <v>1.4896568795498653</v>
      </c>
      <c r="O1427" s="1626"/>
    </row>
    <row r="1428" spans="11:15">
      <c r="K1428" s="1623">
        <v>43485</v>
      </c>
      <c r="L1428" s="1624"/>
      <c r="M1428" s="1625">
        <v>0</v>
      </c>
      <c r="N1428" s="1626">
        <v>1.4896568795498653</v>
      </c>
      <c r="O1428" s="1626"/>
    </row>
    <row r="1429" spans="11:15">
      <c r="K1429" s="1623">
        <v>43486</v>
      </c>
      <c r="L1429" s="1624" t="s">
        <v>2302</v>
      </c>
      <c r="M1429" s="1625">
        <v>2.462E-2</v>
      </c>
      <c r="N1429" s="1626">
        <v>1.4900236330736105</v>
      </c>
      <c r="O1429" s="1626"/>
    </row>
    <row r="1430" spans="11:15">
      <c r="K1430" s="1623">
        <v>43487</v>
      </c>
      <c r="L1430" s="1624" t="s">
        <v>2302</v>
      </c>
      <c r="M1430" s="1625">
        <v>2.462E-2</v>
      </c>
      <c r="N1430" s="1626">
        <v>1.4903904768920733</v>
      </c>
      <c r="O1430" s="1626"/>
    </row>
    <row r="1431" spans="11:15">
      <c r="K1431" s="1623">
        <v>43488</v>
      </c>
      <c r="L1431" s="1624" t="s">
        <v>2302</v>
      </c>
      <c r="M1431" s="1625">
        <v>2.462E-2</v>
      </c>
      <c r="N1431" s="1626">
        <v>1.4907574110274842</v>
      </c>
      <c r="O1431" s="1626"/>
    </row>
    <row r="1432" spans="11:15">
      <c r="K1432" s="1623">
        <v>43489</v>
      </c>
      <c r="L1432" s="1624" t="s">
        <v>2302</v>
      </c>
      <c r="M1432" s="1625">
        <v>2.462E-2</v>
      </c>
      <c r="N1432" s="1626">
        <v>1.4911244355020792</v>
      </c>
      <c r="O1432" s="1626"/>
    </row>
    <row r="1433" spans="11:15">
      <c r="K1433" s="1623">
        <v>43490</v>
      </c>
      <c r="L1433" s="1624" t="s">
        <v>2302</v>
      </c>
      <c r="M1433" s="1625">
        <v>2.462E-2</v>
      </c>
      <c r="N1433" s="1626">
        <v>1.4914915503380999</v>
      </c>
      <c r="O1433" s="1626"/>
    </row>
    <row r="1434" spans="11:15">
      <c r="K1434" s="1623">
        <v>43491</v>
      </c>
      <c r="L1434" s="1624"/>
      <c r="M1434" s="1625">
        <v>0</v>
      </c>
      <c r="N1434" s="1626">
        <v>1.4914915503380999</v>
      </c>
      <c r="O1434" s="1626"/>
    </row>
    <row r="1435" spans="11:15">
      <c r="K1435" s="1623">
        <v>43492</v>
      </c>
      <c r="L1435" s="1624"/>
      <c r="M1435" s="1625">
        <v>0</v>
      </c>
      <c r="N1435" s="1626">
        <v>1.4914915503380999</v>
      </c>
      <c r="O1435" s="1626"/>
    </row>
    <row r="1436" spans="11:15">
      <c r="K1436" s="1623">
        <v>43493</v>
      </c>
      <c r="L1436" s="1624" t="s">
        <v>2302</v>
      </c>
      <c r="M1436" s="1625">
        <v>2.462E-2</v>
      </c>
      <c r="N1436" s="1626">
        <v>1.4918587555577933</v>
      </c>
      <c r="O1436" s="1626"/>
    </row>
    <row r="1437" spans="11:15">
      <c r="K1437" s="1623">
        <v>43494</v>
      </c>
      <c r="L1437" s="1624" t="s">
        <v>2302</v>
      </c>
      <c r="M1437" s="1625">
        <v>2.462E-2</v>
      </c>
      <c r="N1437" s="1626">
        <v>1.4922260511834118</v>
      </c>
      <c r="O1437" s="1626"/>
    </row>
    <row r="1438" spans="11:15">
      <c r="K1438" s="1623">
        <v>43495</v>
      </c>
      <c r="L1438" s="1624" t="s">
        <v>2302</v>
      </c>
      <c r="M1438" s="1625">
        <v>2.462E-2</v>
      </c>
      <c r="N1438" s="1626">
        <v>1.4925934372372132</v>
      </c>
      <c r="O1438" s="1626"/>
    </row>
    <row r="1439" spans="11:15">
      <c r="K1439" s="1623">
        <v>43496</v>
      </c>
      <c r="L1439" s="1624" t="s">
        <v>2302</v>
      </c>
      <c r="M1439" s="1625">
        <v>2.462E-2</v>
      </c>
      <c r="N1439" s="1626">
        <v>1.492960913741461</v>
      </c>
      <c r="O1439" s="1626"/>
    </row>
    <row r="1440" spans="11:15">
      <c r="K1440" s="1623">
        <v>43497</v>
      </c>
      <c r="L1440" s="1624" t="s">
        <v>2302</v>
      </c>
      <c r="M1440" s="1625">
        <v>2.462E-2</v>
      </c>
      <c r="N1440" s="1626">
        <v>1.4933284807184244</v>
      </c>
      <c r="O1440" s="1626"/>
    </row>
    <row r="1441" spans="11:15">
      <c r="K1441" s="1623">
        <v>43498</v>
      </c>
      <c r="L1441" s="1624"/>
      <c r="M1441" s="1625">
        <v>0</v>
      </c>
      <c r="N1441" s="1626">
        <v>1.4933284807184244</v>
      </c>
      <c r="O1441" s="1626"/>
    </row>
    <row r="1442" spans="11:15">
      <c r="K1442" s="1623">
        <v>43499</v>
      </c>
      <c r="L1442" s="1624"/>
      <c r="M1442" s="1625">
        <v>0</v>
      </c>
      <c r="N1442" s="1626">
        <v>1.4933284807184244</v>
      </c>
      <c r="O1442" s="1626"/>
    </row>
    <row r="1443" spans="11:15">
      <c r="K1443" s="1623">
        <v>43500</v>
      </c>
      <c r="L1443" s="1624" t="s">
        <v>2302</v>
      </c>
      <c r="M1443" s="1625">
        <v>2.462E-2</v>
      </c>
      <c r="N1443" s="1626">
        <v>1.4936961381903775</v>
      </c>
      <c r="O1443" s="1626"/>
    </row>
    <row r="1444" spans="11:15">
      <c r="K1444" s="1623">
        <v>43501</v>
      </c>
      <c r="L1444" s="1624" t="s">
        <v>2302</v>
      </c>
      <c r="M1444" s="1625">
        <v>2.462E-2</v>
      </c>
      <c r="N1444" s="1626">
        <v>1.4940638861796001</v>
      </c>
      <c r="O1444" s="1626"/>
    </row>
    <row r="1445" spans="11:15">
      <c r="K1445" s="1623">
        <v>43502</v>
      </c>
      <c r="L1445" s="1624" t="s">
        <v>2302</v>
      </c>
      <c r="M1445" s="1625">
        <v>2.462E-2</v>
      </c>
      <c r="N1445" s="1626">
        <v>1.4944317247083776</v>
      </c>
      <c r="O1445" s="1626"/>
    </row>
    <row r="1446" spans="11:15">
      <c r="K1446" s="1623">
        <v>43503</v>
      </c>
      <c r="L1446" s="1624" t="s">
        <v>2302</v>
      </c>
      <c r="M1446" s="1625">
        <v>2.462E-2</v>
      </c>
      <c r="N1446" s="1626">
        <v>1.4947996537990009</v>
      </c>
      <c r="O1446" s="1626"/>
    </row>
    <row r="1447" spans="11:15">
      <c r="K1447" s="1623">
        <v>43504</v>
      </c>
      <c r="L1447" s="1624" t="s">
        <v>2302</v>
      </c>
      <c r="M1447" s="1625">
        <v>2.462E-2</v>
      </c>
      <c r="N1447" s="1626">
        <v>1.4951676734737664</v>
      </c>
      <c r="O1447" s="1626"/>
    </row>
    <row r="1448" spans="11:15">
      <c r="K1448" s="1623">
        <v>43505</v>
      </c>
      <c r="L1448" s="1624"/>
      <c r="M1448" s="1625">
        <v>0</v>
      </c>
      <c r="N1448" s="1626">
        <v>1.4951676734737664</v>
      </c>
      <c r="O1448" s="1626"/>
    </row>
    <row r="1449" spans="11:15">
      <c r="K1449" s="1623">
        <v>43506</v>
      </c>
      <c r="L1449" s="1624"/>
      <c r="M1449" s="1625">
        <v>0</v>
      </c>
      <c r="N1449" s="1626">
        <v>1.4951676734737664</v>
      </c>
      <c r="O1449" s="1626"/>
    </row>
    <row r="1450" spans="11:15">
      <c r="K1450" s="1623">
        <v>43507</v>
      </c>
      <c r="L1450" s="1624" t="s">
        <v>2302</v>
      </c>
      <c r="M1450" s="1625">
        <v>2.462E-2</v>
      </c>
      <c r="N1450" s="1626">
        <v>1.4955357837549759</v>
      </c>
      <c r="O1450" s="1626"/>
    </row>
    <row r="1451" spans="11:15">
      <c r="K1451" s="1623">
        <v>43508</v>
      </c>
      <c r="L1451" s="1624" t="s">
        <v>2302</v>
      </c>
      <c r="M1451" s="1625">
        <v>2.462E-2</v>
      </c>
      <c r="N1451" s="1626">
        <v>1.4959039846649365</v>
      </c>
      <c r="O1451" s="1626"/>
    </row>
    <row r="1452" spans="11:15">
      <c r="K1452" s="1623">
        <v>43509</v>
      </c>
      <c r="L1452" s="1624" t="s">
        <v>2302</v>
      </c>
      <c r="M1452" s="1625">
        <v>2.462E-2</v>
      </c>
      <c r="N1452" s="1626">
        <v>1.496272276225961</v>
      </c>
      <c r="O1452" s="1626"/>
    </row>
    <row r="1453" spans="11:15">
      <c r="K1453" s="1623">
        <v>43510</v>
      </c>
      <c r="L1453" s="1624" t="s">
        <v>2302</v>
      </c>
      <c r="M1453" s="1625">
        <v>2.462E-2</v>
      </c>
      <c r="N1453" s="1626">
        <v>1.496640658460368</v>
      </c>
      <c r="O1453" s="1626"/>
    </row>
    <row r="1454" spans="11:15">
      <c r="K1454" s="1623">
        <v>43511</v>
      </c>
      <c r="L1454" s="1624" t="s">
        <v>2302</v>
      </c>
      <c r="M1454" s="1625">
        <v>2.462E-2</v>
      </c>
      <c r="N1454" s="1626">
        <v>1.497009131390481</v>
      </c>
      <c r="O1454" s="1626"/>
    </row>
    <row r="1455" spans="11:15">
      <c r="K1455" s="1623">
        <v>43512</v>
      </c>
      <c r="L1455" s="1624"/>
      <c r="M1455" s="1625">
        <v>0</v>
      </c>
      <c r="N1455" s="1626">
        <v>1.497009131390481</v>
      </c>
      <c r="O1455" s="1626"/>
    </row>
    <row r="1456" spans="11:15">
      <c r="K1456" s="1623">
        <v>43513</v>
      </c>
      <c r="L1456" s="1624"/>
      <c r="M1456" s="1625">
        <v>0</v>
      </c>
      <c r="N1456" s="1626">
        <v>1.497009131390481</v>
      </c>
      <c r="O1456" s="1626"/>
    </row>
    <row r="1457" spans="11:15">
      <c r="K1457" s="1623">
        <v>43514</v>
      </c>
      <c r="L1457" s="1624" t="s">
        <v>2302</v>
      </c>
      <c r="M1457" s="1625">
        <v>2.462E-2</v>
      </c>
      <c r="N1457" s="1626">
        <v>1.4973776950386295</v>
      </c>
      <c r="O1457" s="1626"/>
    </row>
    <row r="1458" spans="11:15">
      <c r="K1458" s="1623">
        <v>43515</v>
      </c>
      <c r="L1458" s="1624" t="s">
        <v>2302</v>
      </c>
      <c r="M1458" s="1625">
        <v>2.462E-2</v>
      </c>
      <c r="N1458" s="1626">
        <v>1.4977463494271481</v>
      </c>
      <c r="O1458" s="1626"/>
    </row>
    <row r="1459" spans="11:15">
      <c r="K1459" s="1623">
        <v>43516</v>
      </c>
      <c r="L1459" s="1624" t="s">
        <v>2302</v>
      </c>
      <c r="M1459" s="1625">
        <v>2.462E-2</v>
      </c>
      <c r="N1459" s="1626">
        <v>1.4981150945783772</v>
      </c>
      <c r="O1459" s="1626"/>
    </row>
    <row r="1460" spans="11:15">
      <c r="K1460" s="1623">
        <v>43517</v>
      </c>
      <c r="L1460" s="1624" t="s">
        <v>2302</v>
      </c>
      <c r="M1460" s="1625">
        <v>2.462E-2</v>
      </c>
      <c r="N1460" s="1626">
        <v>1.4984839305146624</v>
      </c>
      <c r="O1460" s="1626"/>
    </row>
    <row r="1461" spans="11:15">
      <c r="K1461" s="1623">
        <v>43518</v>
      </c>
      <c r="L1461" s="1624" t="s">
        <v>2302</v>
      </c>
      <c r="M1461" s="1625">
        <v>2.462E-2</v>
      </c>
      <c r="N1461" s="1626">
        <v>1.4988528572583553</v>
      </c>
      <c r="O1461" s="1626"/>
    </row>
    <row r="1462" spans="11:15">
      <c r="K1462" s="1623">
        <v>43519</v>
      </c>
      <c r="L1462" s="1624"/>
      <c r="M1462" s="1625">
        <v>0</v>
      </c>
      <c r="N1462" s="1626">
        <v>1.4988528572583553</v>
      </c>
      <c r="O1462" s="1626"/>
    </row>
    <row r="1463" spans="11:15">
      <c r="K1463" s="1623">
        <v>43520</v>
      </c>
      <c r="L1463" s="1624"/>
      <c r="M1463" s="1625">
        <v>0</v>
      </c>
      <c r="N1463" s="1626">
        <v>1.4988528572583553</v>
      </c>
      <c r="O1463" s="1626"/>
    </row>
    <row r="1464" spans="11:15">
      <c r="K1464" s="1623">
        <v>43521</v>
      </c>
      <c r="L1464" s="1624" t="s">
        <v>2302</v>
      </c>
      <c r="M1464" s="1625">
        <v>2.462E-2</v>
      </c>
      <c r="N1464" s="1626">
        <v>1.4992218748318125</v>
      </c>
      <c r="O1464" s="1626"/>
    </row>
    <row r="1465" spans="11:15">
      <c r="K1465" s="1623">
        <v>43522</v>
      </c>
      <c r="L1465" s="1624" t="s">
        <v>2302</v>
      </c>
      <c r="M1465" s="1625">
        <v>2.462E-2</v>
      </c>
      <c r="N1465" s="1626">
        <v>1.4995909832573961</v>
      </c>
      <c r="O1465" s="1626"/>
    </row>
    <row r="1466" spans="11:15">
      <c r="K1466" s="1623">
        <v>43523</v>
      </c>
      <c r="L1466" s="1624" t="s">
        <v>2302</v>
      </c>
      <c r="M1466" s="1625">
        <v>2.462E-2</v>
      </c>
      <c r="N1466" s="1626">
        <v>1.4999601825574742</v>
      </c>
      <c r="O1466" s="1626"/>
    </row>
    <row r="1467" spans="11:15">
      <c r="K1467" s="1623">
        <v>43524</v>
      </c>
      <c r="L1467" s="1624" t="s">
        <v>2302</v>
      </c>
      <c r="M1467" s="1625">
        <v>2.462E-2</v>
      </c>
      <c r="N1467" s="1626">
        <v>1.5003294727544201</v>
      </c>
      <c r="O1467" s="1626"/>
    </row>
    <row r="1468" spans="11:15">
      <c r="K1468" s="1623">
        <v>43525</v>
      </c>
      <c r="L1468" s="1624" t="s">
        <v>2302</v>
      </c>
      <c r="M1468" s="1625">
        <v>2.462E-2</v>
      </c>
      <c r="N1468" s="1626">
        <v>1.5006988538706123</v>
      </c>
      <c r="O1468" s="1626"/>
    </row>
    <row r="1469" spans="11:15">
      <c r="K1469" s="1623">
        <v>43526</v>
      </c>
      <c r="L1469" s="1624"/>
      <c r="M1469" s="1625">
        <v>0</v>
      </c>
      <c r="N1469" s="1626">
        <v>1.5006988538706123</v>
      </c>
      <c r="O1469" s="1626"/>
    </row>
    <row r="1470" spans="11:15">
      <c r="K1470" s="1623">
        <v>43527</v>
      </c>
      <c r="L1470" s="1624"/>
      <c r="M1470" s="1625">
        <v>0</v>
      </c>
      <c r="N1470" s="1626">
        <v>1.5006988538706123</v>
      </c>
      <c r="O1470" s="1626"/>
    </row>
    <row r="1471" spans="11:15">
      <c r="K1471" s="1623">
        <v>43528</v>
      </c>
      <c r="L1471" s="1624"/>
      <c r="M1471" s="1625">
        <v>0</v>
      </c>
      <c r="N1471" s="1626">
        <v>1.5006988538706123</v>
      </c>
      <c r="O1471" s="1626"/>
    </row>
    <row r="1472" spans="11:15">
      <c r="K1472" s="1623">
        <v>43529</v>
      </c>
      <c r="L1472" s="1624"/>
      <c r="M1472" s="1625">
        <v>0</v>
      </c>
      <c r="N1472" s="1626">
        <v>1.5006988538706123</v>
      </c>
      <c r="O1472" s="1626"/>
    </row>
    <row r="1473" spans="11:15">
      <c r="K1473" s="1623">
        <v>43530</v>
      </c>
      <c r="L1473" s="1624" t="s">
        <v>2302</v>
      </c>
      <c r="M1473" s="1625">
        <v>2.462E-2</v>
      </c>
      <c r="N1473" s="1626">
        <v>1.5010683259284354</v>
      </c>
      <c r="O1473" s="1626"/>
    </row>
    <row r="1474" spans="11:15">
      <c r="K1474" s="1623">
        <v>43531</v>
      </c>
      <c r="L1474" s="1624" t="s">
        <v>2302</v>
      </c>
      <c r="M1474" s="1625">
        <v>2.462E-2</v>
      </c>
      <c r="N1474" s="1626">
        <v>1.5014378889502791</v>
      </c>
      <c r="O1474" s="1626"/>
    </row>
    <row r="1475" spans="11:15">
      <c r="K1475" s="1623">
        <v>43532</v>
      </c>
      <c r="L1475" s="1624" t="s">
        <v>2302</v>
      </c>
      <c r="M1475" s="1625">
        <v>2.462E-2</v>
      </c>
      <c r="N1475" s="1626">
        <v>1.5018075429585387</v>
      </c>
      <c r="O1475" s="1626"/>
    </row>
    <row r="1476" spans="11:15">
      <c r="K1476" s="1623">
        <v>43533</v>
      </c>
      <c r="L1476" s="1624"/>
      <c r="M1476" s="1625">
        <v>0</v>
      </c>
      <c r="N1476" s="1626">
        <v>1.5018075429585387</v>
      </c>
      <c r="O1476" s="1626"/>
    </row>
    <row r="1477" spans="11:15">
      <c r="K1477" s="1623">
        <v>43534</v>
      </c>
      <c r="L1477" s="1624"/>
      <c r="M1477" s="1625">
        <v>0</v>
      </c>
      <c r="N1477" s="1626">
        <v>1.5018075429585387</v>
      </c>
      <c r="O1477" s="1626"/>
    </row>
    <row r="1478" spans="11:15">
      <c r="K1478" s="1623">
        <v>43535</v>
      </c>
      <c r="L1478" s="1624" t="s">
        <v>2302</v>
      </c>
      <c r="M1478" s="1625">
        <v>2.462E-2</v>
      </c>
      <c r="N1478" s="1626">
        <v>1.5021772879756152</v>
      </c>
      <c r="O1478" s="1626"/>
    </row>
    <row r="1479" spans="11:15">
      <c r="K1479" s="1623">
        <v>43536</v>
      </c>
      <c r="L1479" s="1624" t="s">
        <v>2302</v>
      </c>
      <c r="M1479" s="1625">
        <v>2.462E-2</v>
      </c>
      <c r="N1479" s="1626">
        <v>1.502547124023915</v>
      </c>
      <c r="O1479" s="1626"/>
    </row>
    <row r="1480" spans="11:15">
      <c r="K1480" s="1623">
        <v>43537</v>
      </c>
      <c r="L1480" s="1624" t="s">
        <v>2302</v>
      </c>
      <c r="M1480" s="1625">
        <v>2.462E-2</v>
      </c>
      <c r="N1480" s="1626">
        <v>1.5029170511258498</v>
      </c>
      <c r="O1480" s="1626"/>
    </row>
    <row r="1481" spans="11:15">
      <c r="K1481" s="1623">
        <v>43538</v>
      </c>
      <c r="L1481" s="1624" t="s">
        <v>2302</v>
      </c>
      <c r="M1481" s="1625">
        <v>2.462E-2</v>
      </c>
      <c r="N1481" s="1626">
        <v>1.5032870693038372</v>
      </c>
      <c r="O1481" s="1626"/>
    </row>
    <row r="1482" spans="11:15">
      <c r="K1482" s="1623">
        <v>43539</v>
      </c>
      <c r="L1482" s="1624" t="s">
        <v>2302</v>
      </c>
      <c r="M1482" s="1625">
        <v>2.462E-2</v>
      </c>
      <c r="N1482" s="1626">
        <v>1.5036571785802999</v>
      </c>
      <c r="O1482" s="1626"/>
    </row>
    <row r="1483" spans="11:15">
      <c r="K1483" s="1623">
        <v>43540</v>
      </c>
      <c r="L1483" s="1624"/>
      <c r="M1483" s="1625">
        <v>0</v>
      </c>
      <c r="N1483" s="1626">
        <v>1.5036571785802999</v>
      </c>
      <c r="O1483" s="1626"/>
    </row>
    <row r="1484" spans="11:15">
      <c r="K1484" s="1623">
        <v>43541</v>
      </c>
      <c r="L1484" s="1624"/>
      <c r="M1484" s="1625">
        <v>0</v>
      </c>
      <c r="N1484" s="1626">
        <v>1.5036571785802999</v>
      </c>
      <c r="O1484" s="1626"/>
    </row>
    <row r="1485" spans="11:15">
      <c r="K1485" s="1623">
        <v>43542</v>
      </c>
      <c r="L1485" s="1624" t="s">
        <v>2302</v>
      </c>
      <c r="M1485" s="1625">
        <v>2.462E-2</v>
      </c>
      <c r="N1485" s="1626">
        <v>1.5040273789776666</v>
      </c>
      <c r="O1485" s="1626"/>
    </row>
    <row r="1486" spans="11:15">
      <c r="K1486" s="1623">
        <v>43543</v>
      </c>
      <c r="L1486" s="1624" t="s">
        <v>2302</v>
      </c>
      <c r="M1486" s="1625">
        <v>2.462E-2</v>
      </c>
      <c r="N1486" s="1626">
        <v>1.504397670518371</v>
      </c>
      <c r="O1486" s="1626"/>
    </row>
    <row r="1487" spans="11:15">
      <c r="K1487" s="1623">
        <v>43544</v>
      </c>
      <c r="L1487" s="1624" t="s">
        <v>2302</v>
      </c>
      <c r="M1487" s="1625">
        <v>2.462E-2</v>
      </c>
      <c r="N1487" s="1626">
        <v>1.5047680532248529</v>
      </c>
      <c r="O1487" s="1626"/>
    </row>
    <row r="1488" spans="11:15">
      <c r="K1488" s="1623">
        <v>43545</v>
      </c>
      <c r="L1488" s="1624" t="s">
        <v>2302</v>
      </c>
      <c r="M1488" s="1625">
        <v>2.462E-2</v>
      </c>
      <c r="N1488" s="1626">
        <v>1.505138527119557</v>
      </c>
      <c r="O1488" s="1626"/>
    </row>
    <row r="1489" spans="11:15">
      <c r="K1489" s="1623">
        <v>43546</v>
      </c>
      <c r="L1489" s="1624" t="s">
        <v>2302</v>
      </c>
      <c r="M1489" s="1625">
        <v>2.462E-2</v>
      </c>
      <c r="N1489" s="1626">
        <v>1.5055090922249339</v>
      </c>
      <c r="O1489" s="1626"/>
    </row>
    <row r="1490" spans="11:15">
      <c r="K1490" s="1623">
        <v>43547</v>
      </c>
      <c r="L1490" s="1624"/>
      <c r="M1490" s="1625">
        <v>0</v>
      </c>
      <c r="N1490" s="1626">
        <v>1.5055090922249339</v>
      </c>
      <c r="O1490" s="1626"/>
    </row>
    <row r="1491" spans="11:15">
      <c r="K1491" s="1623">
        <v>43548</v>
      </c>
      <c r="L1491" s="1624"/>
      <c r="M1491" s="1625">
        <v>0</v>
      </c>
      <c r="N1491" s="1626">
        <v>1.5055090922249339</v>
      </c>
      <c r="O1491" s="1626"/>
    </row>
    <row r="1492" spans="11:15">
      <c r="K1492" s="1623">
        <v>43549</v>
      </c>
      <c r="L1492" s="1624" t="s">
        <v>2302</v>
      </c>
      <c r="M1492" s="1625">
        <v>2.462E-2</v>
      </c>
      <c r="N1492" s="1626">
        <v>1.5058797485634399</v>
      </c>
      <c r="O1492" s="1626"/>
    </row>
    <row r="1493" spans="11:15">
      <c r="K1493" s="1623">
        <v>43550</v>
      </c>
      <c r="L1493" s="1624" t="s">
        <v>2302</v>
      </c>
      <c r="M1493" s="1625">
        <v>2.462E-2</v>
      </c>
      <c r="N1493" s="1626">
        <v>1.5062504961575363</v>
      </c>
      <c r="O1493" s="1626"/>
    </row>
    <row r="1494" spans="11:15">
      <c r="K1494" s="1623">
        <v>43551</v>
      </c>
      <c r="L1494" s="1624" t="s">
        <v>2302</v>
      </c>
      <c r="M1494" s="1625">
        <v>2.462E-2</v>
      </c>
      <c r="N1494" s="1626">
        <v>1.5066213350296904</v>
      </c>
      <c r="O1494" s="1626"/>
    </row>
    <row r="1495" spans="11:15">
      <c r="K1495" s="1623">
        <v>43552</v>
      </c>
      <c r="L1495" s="1624" t="s">
        <v>2302</v>
      </c>
      <c r="M1495" s="1625">
        <v>2.462E-2</v>
      </c>
      <c r="N1495" s="1626">
        <v>1.5069922652023748</v>
      </c>
      <c r="O1495" s="1626"/>
    </row>
    <row r="1496" spans="11:15">
      <c r="K1496" s="1623">
        <v>43553</v>
      </c>
      <c r="L1496" s="1624" t="s">
        <v>2302</v>
      </c>
      <c r="M1496" s="1625">
        <v>2.462E-2</v>
      </c>
      <c r="N1496" s="1626">
        <v>1.5073632866980677</v>
      </c>
      <c r="O1496" s="1626"/>
    </row>
    <row r="1497" spans="11:15">
      <c r="K1497" s="1623">
        <v>43554</v>
      </c>
      <c r="L1497" s="1624"/>
      <c r="M1497" s="1625">
        <v>0</v>
      </c>
      <c r="N1497" s="1626">
        <v>1.5073632866980677</v>
      </c>
      <c r="O1497" s="1626"/>
    </row>
    <row r="1498" spans="11:15">
      <c r="K1498" s="1623">
        <v>43555</v>
      </c>
      <c r="L1498" s="1624"/>
      <c r="M1498" s="1625">
        <v>0</v>
      </c>
      <c r="N1498" s="1626">
        <v>1.5073632866980677</v>
      </c>
      <c r="O1498" s="1626"/>
    </row>
    <row r="1499" spans="11:15">
      <c r="K1499" s="1623">
        <v>43556</v>
      </c>
      <c r="L1499" s="1624" t="s">
        <v>2302</v>
      </c>
      <c r="M1499" s="1625">
        <v>2.462E-2</v>
      </c>
      <c r="N1499" s="1626">
        <v>1.5077343995392529</v>
      </c>
      <c r="O1499" s="1626"/>
    </row>
    <row r="1500" spans="11:15">
      <c r="K1500" s="1623">
        <v>43557</v>
      </c>
      <c r="L1500" s="1624" t="s">
        <v>2302</v>
      </c>
      <c r="M1500" s="1625">
        <v>2.462E-2</v>
      </c>
      <c r="N1500" s="1626">
        <v>1.5081056037484195</v>
      </c>
      <c r="O1500" s="1626"/>
    </row>
    <row r="1501" spans="11:15">
      <c r="K1501" s="1623">
        <v>43558</v>
      </c>
      <c r="L1501" s="1624" t="s">
        <v>2302</v>
      </c>
      <c r="M1501" s="1625">
        <v>2.462E-2</v>
      </c>
      <c r="N1501" s="1626">
        <v>1.5084768993480624</v>
      </c>
      <c r="O1501" s="1626"/>
    </row>
    <row r="1502" spans="11:15">
      <c r="K1502" s="1623">
        <v>43559</v>
      </c>
      <c r="L1502" s="1624" t="s">
        <v>2302</v>
      </c>
      <c r="M1502" s="1625">
        <v>2.462E-2</v>
      </c>
      <c r="N1502" s="1626">
        <v>1.508848286360682</v>
      </c>
      <c r="O1502" s="1626"/>
    </row>
    <row r="1503" spans="11:15">
      <c r="K1503" s="1623">
        <v>43560</v>
      </c>
      <c r="L1503" s="1624" t="s">
        <v>2302</v>
      </c>
      <c r="M1503" s="1625">
        <v>2.462E-2</v>
      </c>
      <c r="N1503" s="1626">
        <v>1.5092197648087842</v>
      </c>
      <c r="O1503" s="1626"/>
    </row>
    <row r="1504" spans="11:15">
      <c r="K1504" s="1623">
        <v>43561</v>
      </c>
      <c r="L1504" s="1624"/>
      <c r="M1504" s="1625">
        <v>0</v>
      </c>
      <c r="N1504" s="1626">
        <v>1.5092197648087842</v>
      </c>
      <c r="O1504" s="1626"/>
    </row>
    <row r="1505" spans="11:15">
      <c r="K1505" s="1623">
        <v>43562</v>
      </c>
      <c r="L1505" s="1624"/>
      <c r="M1505" s="1625">
        <v>0</v>
      </c>
      <c r="N1505" s="1626">
        <v>1.5092197648087842</v>
      </c>
      <c r="O1505" s="1626"/>
    </row>
    <row r="1506" spans="11:15">
      <c r="K1506" s="1623">
        <v>43563</v>
      </c>
      <c r="L1506" s="1624" t="s">
        <v>2302</v>
      </c>
      <c r="M1506" s="1625">
        <v>2.462E-2</v>
      </c>
      <c r="N1506" s="1626">
        <v>1.5095913347148802</v>
      </c>
      <c r="O1506" s="1626"/>
    </row>
    <row r="1507" spans="11:15">
      <c r="K1507" s="1623">
        <v>43564</v>
      </c>
      <c r="L1507" s="1624" t="s">
        <v>2302</v>
      </c>
      <c r="M1507" s="1625">
        <v>2.462E-2</v>
      </c>
      <c r="N1507" s="1626">
        <v>1.5099629961014871</v>
      </c>
      <c r="O1507" s="1626"/>
    </row>
    <row r="1508" spans="11:15">
      <c r="K1508" s="1623">
        <v>43565</v>
      </c>
      <c r="L1508" s="1624" t="s">
        <v>2302</v>
      </c>
      <c r="M1508" s="1625">
        <v>2.462E-2</v>
      </c>
      <c r="N1508" s="1626">
        <v>1.5103347489911274</v>
      </c>
      <c r="O1508" s="1626"/>
    </row>
    <row r="1509" spans="11:15">
      <c r="K1509" s="1623">
        <v>43566</v>
      </c>
      <c r="L1509" s="1624" t="s">
        <v>2302</v>
      </c>
      <c r="M1509" s="1625">
        <v>2.462E-2</v>
      </c>
      <c r="N1509" s="1626">
        <v>1.5107065934063291</v>
      </c>
      <c r="O1509" s="1626"/>
    </row>
    <row r="1510" spans="11:15">
      <c r="K1510" s="1623">
        <v>43567</v>
      </c>
      <c r="L1510" s="1624" t="s">
        <v>2302</v>
      </c>
      <c r="M1510" s="1625">
        <v>2.462E-2</v>
      </c>
      <c r="N1510" s="1626">
        <v>1.5110785293696258</v>
      </c>
      <c r="O1510" s="1626"/>
    </row>
    <row r="1511" spans="11:15">
      <c r="K1511" s="1623">
        <v>43568</v>
      </c>
      <c r="L1511" s="1624"/>
      <c r="M1511" s="1625">
        <v>0</v>
      </c>
      <c r="N1511" s="1626">
        <v>1.5110785293696258</v>
      </c>
      <c r="O1511" s="1626"/>
    </row>
    <row r="1512" spans="11:15">
      <c r="K1512" s="1623">
        <v>43569</v>
      </c>
      <c r="L1512" s="1624"/>
      <c r="M1512" s="1625">
        <v>0</v>
      </c>
      <c r="N1512" s="1626">
        <v>1.5110785293696258</v>
      </c>
      <c r="O1512" s="1626"/>
    </row>
    <row r="1513" spans="11:15">
      <c r="K1513" s="1623">
        <v>43570</v>
      </c>
      <c r="L1513" s="1624" t="s">
        <v>2302</v>
      </c>
      <c r="M1513" s="1625">
        <v>2.462E-2</v>
      </c>
      <c r="N1513" s="1626">
        <v>1.5114505569035568</v>
      </c>
      <c r="O1513" s="1626"/>
    </row>
    <row r="1514" spans="11:15">
      <c r="K1514" s="1623">
        <v>43571</v>
      </c>
      <c r="L1514" s="1624" t="s">
        <v>2302</v>
      </c>
      <c r="M1514" s="1625">
        <v>2.462E-2</v>
      </c>
      <c r="N1514" s="1626">
        <v>1.5118226760306666</v>
      </c>
      <c r="O1514" s="1626"/>
    </row>
    <row r="1515" spans="11:15">
      <c r="K1515" s="1623">
        <v>43572</v>
      </c>
      <c r="L1515" s="1624" t="s">
        <v>2302</v>
      </c>
      <c r="M1515" s="1625">
        <v>2.462E-2</v>
      </c>
      <c r="N1515" s="1626">
        <v>1.5121948867735053</v>
      </c>
      <c r="O1515" s="1626"/>
    </row>
    <row r="1516" spans="11:15">
      <c r="K1516" s="1623">
        <v>43573</v>
      </c>
      <c r="L1516" s="1624" t="s">
        <v>2302</v>
      </c>
      <c r="M1516" s="1625">
        <v>2.462E-2</v>
      </c>
      <c r="N1516" s="1626">
        <v>1.5125671891546291</v>
      </c>
      <c r="O1516" s="1626"/>
    </row>
    <row r="1517" spans="11:15">
      <c r="K1517" s="1623">
        <v>43574</v>
      </c>
      <c r="L1517" s="1624"/>
      <c r="M1517" s="1625">
        <v>0</v>
      </c>
      <c r="N1517" s="1626">
        <v>1.5125671891546291</v>
      </c>
      <c r="O1517" s="1626"/>
    </row>
    <row r="1518" spans="11:15">
      <c r="K1518" s="1623">
        <v>43575</v>
      </c>
      <c r="L1518" s="1624"/>
      <c r="M1518" s="1625">
        <v>0</v>
      </c>
      <c r="N1518" s="1626">
        <v>1.5125671891546291</v>
      </c>
      <c r="O1518" s="1626"/>
    </row>
    <row r="1519" spans="11:15">
      <c r="K1519" s="1623">
        <v>43576</v>
      </c>
      <c r="L1519" s="1624"/>
      <c r="M1519" s="1625">
        <v>0</v>
      </c>
      <c r="N1519" s="1626">
        <v>1.5125671891546291</v>
      </c>
      <c r="O1519" s="1626"/>
    </row>
    <row r="1520" spans="11:15">
      <c r="K1520" s="1623">
        <v>43577</v>
      </c>
      <c r="L1520" s="1624" t="s">
        <v>2302</v>
      </c>
      <c r="M1520" s="1625">
        <v>2.462E-2</v>
      </c>
      <c r="N1520" s="1626">
        <v>1.512939583196599</v>
      </c>
      <c r="O1520" s="1626"/>
    </row>
    <row r="1521" spans="11:15">
      <c r="K1521" s="1623">
        <v>43578</v>
      </c>
      <c r="L1521" s="1624" t="s">
        <v>2302</v>
      </c>
      <c r="M1521" s="1625">
        <v>2.462E-2</v>
      </c>
      <c r="N1521" s="1626">
        <v>1.5133120689219821</v>
      </c>
      <c r="O1521" s="1626"/>
    </row>
    <row r="1522" spans="11:15">
      <c r="K1522" s="1623">
        <v>43579</v>
      </c>
      <c r="L1522" s="1624" t="s">
        <v>2302</v>
      </c>
      <c r="M1522" s="1625">
        <v>2.462E-2</v>
      </c>
      <c r="N1522" s="1626">
        <v>1.5136846463533509</v>
      </c>
      <c r="O1522" s="1626"/>
    </row>
    <row r="1523" spans="11:15">
      <c r="K1523" s="1623">
        <v>43580</v>
      </c>
      <c r="L1523" s="1624" t="s">
        <v>2302</v>
      </c>
      <c r="M1523" s="1625">
        <v>2.462E-2</v>
      </c>
      <c r="N1523" s="1626">
        <v>1.5140573155132833</v>
      </c>
      <c r="O1523" s="1626"/>
    </row>
    <row r="1524" spans="11:15">
      <c r="K1524" s="1623">
        <v>43581</v>
      </c>
      <c r="L1524" s="1624" t="s">
        <v>2302</v>
      </c>
      <c r="M1524" s="1625">
        <v>2.462E-2</v>
      </c>
      <c r="N1524" s="1626">
        <v>1.5144300764243628</v>
      </c>
      <c r="O1524" s="1626"/>
    </row>
    <row r="1525" spans="11:15">
      <c r="K1525" s="1623">
        <v>43582</v>
      </c>
      <c r="L1525" s="1624"/>
      <c r="M1525" s="1625">
        <v>0</v>
      </c>
      <c r="N1525" s="1626">
        <v>1.5144300764243628</v>
      </c>
      <c r="O1525" s="1626"/>
    </row>
    <row r="1526" spans="11:15">
      <c r="K1526" s="1623">
        <v>43583</v>
      </c>
      <c r="L1526" s="1624"/>
      <c r="M1526" s="1625">
        <v>0</v>
      </c>
      <c r="N1526" s="1626">
        <v>1.5144300764243628</v>
      </c>
      <c r="O1526" s="1626"/>
    </row>
    <row r="1527" spans="11:15">
      <c r="K1527" s="1623">
        <v>43584</v>
      </c>
      <c r="L1527" s="1624" t="s">
        <v>2302</v>
      </c>
      <c r="M1527" s="1625">
        <v>2.462E-2</v>
      </c>
      <c r="N1527" s="1626">
        <v>1.5148029291091787</v>
      </c>
      <c r="O1527" s="1626"/>
    </row>
    <row r="1528" spans="11:15">
      <c r="K1528" s="1623">
        <v>43585</v>
      </c>
      <c r="L1528" s="1624" t="s">
        <v>2302</v>
      </c>
      <c r="M1528" s="1625">
        <v>2.462E-2</v>
      </c>
      <c r="N1528" s="1626">
        <v>1.5151758735903256</v>
      </c>
      <c r="O1528" s="1626"/>
    </row>
    <row r="1529" spans="11:15">
      <c r="K1529" s="1623">
        <v>43586</v>
      </c>
      <c r="L1529" s="1624"/>
      <c r="M1529" s="1625">
        <v>0</v>
      </c>
      <c r="N1529" s="1626">
        <v>1.5151758735903256</v>
      </c>
      <c r="O1529" s="1626"/>
    </row>
    <row r="1530" spans="11:15">
      <c r="K1530" s="1623">
        <v>43587</v>
      </c>
      <c r="L1530" s="1624" t="s">
        <v>2302</v>
      </c>
      <c r="M1530" s="1625">
        <v>2.462E-2</v>
      </c>
      <c r="N1530" s="1626">
        <v>1.5155489098904036</v>
      </c>
      <c r="O1530" s="1626"/>
    </row>
    <row r="1531" spans="11:15">
      <c r="K1531" s="1623">
        <v>43588</v>
      </c>
      <c r="L1531" s="1624" t="s">
        <v>2302</v>
      </c>
      <c r="M1531" s="1625">
        <v>2.462E-2</v>
      </c>
      <c r="N1531" s="1626">
        <v>1.5159220380320186</v>
      </c>
      <c r="O1531" s="1626"/>
    </row>
    <row r="1532" spans="11:15">
      <c r="K1532" s="1623">
        <v>43589</v>
      </c>
      <c r="L1532" s="1624"/>
      <c r="M1532" s="1625">
        <v>0</v>
      </c>
      <c r="N1532" s="1626">
        <v>1.5159220380320186</v>
      </c>
      <c r="O1532" s="1626"/>
    </row>
    <row r="1533" spans="11:15">
      <c r="K1533" s="1623">
        <v>43590</v>
      </c>
      <c r="L1533" s="1624"/>
      <c r="M1533" s="1625">
        <v>0</v>
      </c>
      <c r="N1533" s="1626">
        <v>1.5159220380320186</v>
      </c>
      <c r="O1533" s="1626"/>
    </row>
    <row r="1534" spans="11:15">
      <c r="K1534" s="1623">
        <v>43591</v>
      </c>
      <c r="L1534" s="1624" t="s">
        <v>2302</v>
      </c>
      <c r="M1534" s="1625">
        <v>2.462E-2</v>
      </c>
      <c r="N1534" s="1626">
        <v>1.5162952580377822</v>
      </c>
      <c r="O1534" s="1626"/>
    </row>
    <row r="1535" spans="11:15">
      <c r="K1535" s="1623">
        <v>43592</v>
      </c>
      <c r="L1535" s="1624" t="s">
        <v>2302</v>
      </c>
      <c r="M1535" s="1625">
        <v>2.462E-2</v>
      </c>
      <c r="N1535" s="1626">
        <v>1.5166685699303113</v>
      </c>
      <c r="O1535" s="1626"/>
    </row>
    <row r="1536" spans="11:15">
      <c r="K1536" s="1623">
        <v>43593</v>
      </c>
      <c r="L1536" s="1624" t="s">
        <v>2302</v>
      </c>
      <c r="M1536" s="1625">
        <v>2.462E-2</v>
      </c>
      <c r="N1536" s="1626">
        <v>1.5170419737322283</v>
      </c>
      <c r="O1536" s="1626"/>
    </row>
    <row r="1537" spans="11:15">
      <c r="K1537" s="1623">
        <v>43594</v>
      </c>
      <c r="L1537" s="1624" t="s">
        <v>2302</v>
      </c>
      <c r="M1537" s="1625">
        <v>2.462E-2</v>
      </c>
      <c r="N1537" s="1626">
        <v>1.5174154694661612</v>
      </c>
      <c r="O1537" s="1626"/>
    </row>
    <row r="1538" spans="11:15">
      <c r="K1538" s="1623">
        <v>43595</v>
      </c>
      <c r="L1538" s="1624" t="s">
        <v>2302</v>
      </c>
      <c r="M1538" s="1625">
        <v>2.462E-2</v>
      </c>
      <c r="N1538" s="1626">
        <v>1.5177890571547439</v>
      </c>
      <c r="O1538" s="1626"/>
    </row>
    <row r="1539" spans="11:15">
      <c r="K1539" s="1623">
        <v>43596</v>
      </c>
      <c r="L1539" s="1624"/>
      <c r="M1539" s="1625">
        <v>0</v>
      </c>
      <c r="N1539" s="1626">
        <v>1.5177890571547439</v>
      </c>
      <c r="O1539" s="1626"/>
    </row>
    <row r="1540" spans="11:15">
      <c r="K1540" s="1623">
        <v>43597</v>
      </c>
      <c r="L1540" s="1624"/>
      <c r="M1540" s="1625">
        <v>0</v>
      </c>
      <c r="N1540" s="1626">
        <v>1.5177890571547439</v>
      </c>
      <c r="O1540" s="1626"/>
    </row>
    <row r="1541" spans="11:15">
      <c r="K1541" s="1623">
        <v>43598</v>
      </c>
      <c r="L1541" s="1624" t="s">
        <v>2302</v>
      </c>
      <c r="M1541" s="1625">
        <v>2.462E-2</v>
      </c>
      <c r="N1541" s="1626">
        <v>1.5181627368206154</v>
      </c>
      <c r="O1541" s="1626"/>
    </row>
    <row r="1542" spans="11:15">
      <c r="K1542" s="1623">
        <v>43599</v>
      </c>
      <c r="L1542" s="1624" t="s">
        <v>2302</v>
      </c>
      <c r="M1542" s="1625">
        <v>2.462E-2</v>
      </c>
      <c r="N1542" s="1626">
        <v>1.5185365084864209</v>
      </c>
      <c r="O1542" s="1626"/>
    </row>
    <row r="1543" spans="11:15">
      <c r="K1543" s="1623">
        <v>43600</v>
      </c>
      <c r="L1543" s="1624" t="s">
        <v>2302</v>
      </c>
      <c r="M1543" s="1625">
        <v>2.462E-2</v>
      </c>
      <c r="N1543" s="1626">
        <v>1.5189103721748103</v>
      </c>
      <c r="O1543" s="1626"/>
    </row>
    <row r="1544" spans="11:15">
      <c r="K1544" s="1623">
        <v>43601</v>
      </c>
      <c r="L1544" s="1624" t="s">
        <v>2302</v>
      </c>
      <c r="M1544" s="1625">
        <v>2.462E-2</v>
      </c>
      <c r="N1544" s="1626">
        <v>1.5192843279084398</v>
      </c>
      <c r="O1544" s="1626"/>
    </row>
    <row r="1545" spans="11:15">
      <c r="K1545" s="1623">
        <v>43602</v>
      </c>
      <c r="L1545" s="1624" t="s">
        <v>2302</v>
      </c>
      <c r="M1545" s="1625">
        <v>2.462E-2</v>
      </c>
      <c r="N1545" s="1626">
        <v>1.5196583757099711</v>
      </c>
      <c r="O1545" s="1626"/>
    </row>
    <row r="1546" spans="11:15">
      <c r="K1546" s="1623">
        <v>43603</v>
      </c>
      <c r="L1546" s="1624"/>
      <c r="M1546" s="1625">
        <v>0</v>
      </c>
      <c r="N1546" s="1626">
        <v>1.5196583757099711</v>
      </c>
      <c r="O1546" s="1626"/>
    </row>
    <row r="1547" spans="11:15">
      <c r="K1547" s="1623">
        <v>43604</v>
      </c>
      <c r="L1547" s="1624"/>
      <c r="M1547" s="1625">
        <v>0</v>
      </c>
      <c r="N1547" s="1626">
        <v>1.5196583757099711</v>
      </c>
      <c r="O1547" s="1626"/>
    </row>
    <row r="1548" spans="11:15">
      <c r="K1548" s="1623">
        <v>43605</v>
      </c>
      <c r="L1548" s="1624" t="s">
        <v>2302</v>
      </c>
      <c r="M1548" s="1625">
        <v>2.462E-2</v>
      </c>
      <c r="N1548" s="1626">
        <v>1.5200325156020711</v>
      </c>
      <c r="O1548" s="1626"/>
    </row>
    <row r="1549" spans="11:15">
      <c r="K1549" s="1623">
        <v>43606</v>
      </c>
      <c r="L1549" s="1624" t="s">
        <v>2302</v>
      </c>
      <c r="M1549" s="1625">
        <v>2.462E-2</v>
      </c>
      <c r="N1549" s="1626">
        <v>1.5204067476074123</v>
      </c>
      <c r="O1549" s="1626"/>
    </row>
    <row r="1550" spans="11:15">
      <c r="K1550" s="1623">
        <v>43607</v>
      </c>
      <c r="L1550" s="1624" t="s">
        <v>2302</v>
      </c>
      <c r="M1550" s="1625">
        <v>2.462E-2</v>
      </c>
      <c r="N1550" s="1626">
        <v>1.5207810717486734</v>
      </c>
      <c r="O1550" s="1626"/>
    </row>
    <row r="1551" spans="11:15">
      <c r="K1551" s="1623">
        <v>43608</v>
      </c>
      <c r="L1551" s="1624" t="s">
        <v>2302</v>
      </c>
      <c r="M1551" s="1625">
        <v>2.462E-2</v>
      </c>
      <c r="N1551" s="1626">
        <v>1.5211554880485381</v>
      </c>
      <c r="O1551" s="1626"/>
    </row>
    <row r="1552" spans="11:15">
      <c r="K1552" s="1623">
        <v>43609</v>
      </c>
      <c r="L1552" s="1624" t="s">
        <v>2302</v>
      </c>
      <c r="M1552" s="1625">
        <v>2.462E-2</v>
      </c>
      <c r="N1552" s="1626">
        <v>1.5215299965296958</v>
      </c>
      <c r="O1552" s="1626"/>
    </row>
    <row r="1553" spans="11:15">
      <c r="K1553" s="1623">
        <v>43610</v>
      </c>
      <c r="L1553" s="1624"/>
      <c r="M1553" s="1625">
        <v>0</v>
      </c>
      <c r="N1553" s="1626">
        <v>1.5215299965296958</v>
      </c>
      <c r="O1553" s="1626"/>
    </row>
    <row r="1554" spans="11:15">
      <c r="K1554" s="1623">
        <v>43611</v>
      </c>
      <c r="L1554" s="1624"/>
      <c r="M1554" s="1625">
        <v>0</v>
      </c>
      <c r="N1554" s="1626">
        <v>1.5215299965296958</v>
      </c>
      <c r="O1554" s="1626"/>
    </row>
    <row r="1555" spans="11:15">
      <c r="K1555" s="1623">
        <v>43612</v>
      </c>
      <c r="L1555" s="1624" t="s">
        <v>2302</v>
      </c>
      <c r="M1555" s="1625">
        <v>2.462E-2</v>
      </c>
      <c r="N1555" s="1626">
        <v>1.5219045972148415</v>
      </c>
      <c r="O1555" s="1626"/>
    </row>
    <row r="1556" spans="11:15">
      <c r="K1556" s="1623">
        <v>43613</v>
      </c>
      <c r="L1556" s="1624" t="s">
        <v>2302</v>
      </c>
      <c r="M1556" s="1625">
        <v>2.462E-2</v>
      </c>
      <c r="N1556" s="1626">
        <v>1.522279290126676</v>
      </c>
      <c r="O1556" s="1626"/>
    </row>
    <row r="1557" spans="11:15">
      <c r="K1557" s="1623">
        <v>43614</v>
      </c>
      <c r="L1557" s="1624" t="s">
        <v>2302</v>
      </c>
      <c r="M1557" s="1625">
        <v>2.462E-2</v>
      </c>
      <c r="N1557" s="1626">
        <v>1.5226540752879052</v>
      </c>
      <c r="O1557" s="1626"/>
    </row>
    <row r="1558" spans="11:15">
      <c r="K1558" s="1623">
        <v>43615</v>
      </c>
      <c r="L1558" s="1624" t="s">
        <v>2302</v>
      </c>
      <c r="M1558" s="1625">
        <v>2.462E-2</v>
      </c>
      <c r="N1558" s="1626">
        <v>1.5230289527212413</v>
      </c>
      <c r="O1558" s="1626"/>
    </row>
    <row r="1559" spans="11:15">
      <c r="K1559" s="1623">
        <v>43616</v>
      </c>
      <c r="L1559" s="1624" t="s">
        <v>2302</v>
      </c>
      <c r="M1559" s="1625">
        <v>2.462E-2</v>
      </c>
      <c r="N1559" s="1626">
        <v>1.5234039224494014</v>
      </c>
      <c r="O1559" s="1626"/>
    </row>
    <row r="1560" spans="11:15">
      <c r="K1560" s="1623">
        <v>43617</v>
      </c>
      <c r="L1560" s="1624"/>
      <c r="M1560" s="1625">
        <v>0</v>
      </c>
      <c r="N1560" s="1626">
        <v>1.5234039224494014</v>
      </c>
      <c r="O1560" s="1626"/>
    </row>
    <row r="1561" spans="11:15">
      <c r="K1561" s="1623">
        <v>43618</v>
      </c>
      <c r="L1561" s="1624"/>
      <c r="M1561" s="1625">
        <v>0</v>
      </c>
      <c r="N1561" s="1626">
        <v>1.5234039224494014</v>
      </c>
      <c r="O1561" s="1626"/>
    </row>
    <row r="1562" spans="11:15">
      <c r="K1562" s="1623">
        <v>43619</v>
      </c>
      <c r="L1562" s="1624" t="s">
        <v>2302</v>
      </c>
      <c r="M1562" s="1625">
        <v>2.462E-2</v>
      </c>
      <c r="N1562" s="1626">
        <v>1.5237789844951086</v>
      </c>
      <c r="O1562" s="1626"/>
    </row>
    <row r="1563" spans="11:15">
      <c r="K1563" s="1623">
        <v>43620</v>
      </c>
      <c r="L1563" s="1624" t="s">
        <v>2302</v>
      </c>
      <c r="M1563" s="1625">
        <v>2.462E-2</v>
      </c>
      <c r="N1563" s="1626">
        <v>1.5241541388810915</v>
      </c>
      <c r="O1563" s="1626"/>
    </row>
    <row r="1564" spans="11:15">
      <c r="K1564" s="1623">
        <v>43621</v>
      </c>
      <c r="L1564" s="1624" t="s">
        <v>2302</v>
      </c>
      <c r="M1564" s="1625">
        <v>2.462E-2</v>
      </c>
      <c r="N1564" s="1626">
        <v>1.5245293856300841</v>
      </c>
      <c r="O1564" s="1626"/>
    </row>
    <row r="1565" spans="11:15">
      <c r="K1565" s="1623">
        <v>43622</v>
      </c>
      <c r="L1565" s="1624" t="s">
        <v>2302</v>
      </c>
      <c r="M1565" s="1625">
        <v>2.462E-2</v>
      </c>
      <c r="N1565" s="1626">
        <v>1.5249047247648264</v>
      </c>
      <c r="O1565" s="1626"/>
    </row>
    <row r="1566" spans="11:15">
      <c r="K1566" s="1623">
        <v>43623</v>
      </c>
      <c r="L1566" s="1624" t="s">
        <v>2302</v>
      </c>
      <c r="M1566" s="1625">
        <v>2.462E-2</v>
      </c>
      <c r="N1566" s="1626">
        <v>1.5252801563080636</v>
      </c>
      <c r="O1566" s="1626"/>
    </row>
    <row r="1567" spans="11:15">
      <c r="K1567" s="1623">
        <v>43624</v>
      </c>
      <c r="L1567" s="1624"/>
      <c r="M1567" s="1625">
        <v>0</v>
      </c>
      <c r="N1567" s="1626">
        <v>1.5252801563080636</v>
      </c>
      <c r="O1567" s="1626"/>
    </row>
    <row r="1568" spans="11:15">
      <c r="K1568" s="1623">
        <v>43625</v>
      </c>
      <c r="L1568" s="1624"/>
      <c r="M1568" s="1625">
        <v>0</v>
      </c>
      <c r="N1568" s="1626">
        <v>1.5252801563080636</v>
      </c>
      <c r="O1568" s="1626"/>
    </row>
    <row r="1569" spans="11:15">
      <c r="K1569" s="1623">
        <v>43626</v>
      </c>
      <c r="L1569" s="1624" t="s">
        <v>2302</v>
      </c>
      <c r="M1569" s="1625">
        <v>2.462E-2</v>
      </c>
      <c r="N1569" s="1626">
        <v>1.5256556802825467</v>
      </c>
      <c r="O1569" s="1626"/>
    </row>
    <row r="1570" spans="11:15">
      <c r="K1570" s="1623">
        <v>43627</v>
      </c>
      <c r="L1570" s="1624" t="s">
        <v>2302</v>
      </c>
      <c r="M1570" s="1625">
        <v>2.462E-2</v>
      </c>
      <c r="N1570" s="1626">
        <v>1.5260312967110323</v>
      </c>
      <c r="O1570" s="1626"/>
    </row>
    <row r="1571" spans="11:15">
      <c r="K1571" s="1623">
        <v>43628</v>
      </c>
      <c r="L1571" s="1624" t="s">
        <v>2302</v>
      </c>
      <c r="M1571" s="1625">
        <v>2.462E-2</v>
      </c>
      <c r="N1571" s="1626">
        <v>1.5264070056162826</v>
      </c>
      <c r="O1571" s="1626"/>
    </row>
    <row r="1572" spans="11:15">
      <c r="K1572" s="1623">
        <v>43629</v>
      </c>
      <c r="L1572" s="1624" t="s">
        <v>2302</v>
      </c>
      <c r="M1572" s="1625">
        <v>2.462E-2</v>
      </c>
      <c r="N1572" s="1626">
        <v>1.5267828070210654</v>
      </c>
      <c r="O1572" s="1626"/>
    </row>
    <row r="1573" spans="11:15">
      <c r="K1573" s="1623">
        <v>43630</v>
      </c>
      <c r="L1573" s="1624" t="s">
        <v>2302</v>
      </c>
      <c r="M1573" s="1625">
        <v>2.462E-2</v>
      </c>
      <c r="N1573" s="1626">
        <v>1.5271587009481542</v>
      </c>
      <c r="O1573" s="1626"/>
    </row>
    <row r="1574" spans="11:15">
      <c r="K1574" s="1623">
        <v>43631</v>
      </c>
      <c r="L1574" s="1624"/>
      <c r="M1574" s="1625">
        <v>0</v>
      </c>
      <c r="N1574" s="1626">
        <v>1.5271587009481542</v>
      </c>
      <c r="O1574" s="1626"/>
    </row>
    <row r="1575" spans="11:15">
      <c r="K1575" s="1623">
        <v>43632</v>
      </c>
      <c r="L1575" s="1624"/>
      <c r="M1575" s="1625">
        <v>0</v>
      </c>
      <c r="N1575" s="1626">
        <v>1.5271587009481542</v>
      </c>
      <c r="O1575" s="1626"/>
    </row>
    <row r="1576" spans="11:15">
      <c r="K1576" s="1623">
        <v>43633</v>
      </c>
      <c r="L1576" s="1624" t="s">
        <v>2302</v>
      </c>
      <c r="M1576" s="1625">
        <v>2.462E-2</v>
      </c>
      <c r="N1576" s="1626">
        <v>1.5275346874203277</v>
      </c>
      <c r="O1576" s="1626"/>
    </row>
    <row r="1577" spans="11:15">
      <c r="K1577" s="1623">
        <v>43634</v>
      </c>
      <c r="L1577" s="1624" t="s">
        <v>2302</v>
      </c>
      <c r="M1577" s="1625">
        <v>2.462E-2</v>
      </c>
      <c r="N1577" s="1626">
        <v>1.5279107664603708</v>
      </c>
      <c r="O1577" s="1626"/>
    </row>
    <row r="1578" spans="11:15">
      <c r="K1578" s="1623">
        <v>43635</v>
      </c>
      <c r="L1578" s="1624" t="s">
        <v>2302</v>
      </c>
      <c r="M1578" s="1625">
        <v>2.462E-2</v>
      </c>
      <c r="N1578" s="1626">
        <v>1.5282869380910735</v>
      </c>
      <c r="O1578" s="1626"/>
    </row>
    <row r="1579" spans="11:15">
      <c r="K1579" s="1623">
        <v>43636</v>
      </c>
      <c r="L1579" s="1624"/>
      <c r="M1579" s="1625">
        <v>0</v>
      </c>
      <c r="N1579" s="1626">
        <v>1.5282869380910735</v>
      </c>
      <c r="O1579" s="1626"/>
    </row>
    <row r="1580" spans="11:15">
      <c r="K1580" s="1623">
        <v>43637</v>
      </c>
      <c r="L1580" s="1624" t="s">
        <v>2302</v>
      </c>
      <c r="M1580" s="1625">
        <v>2.462E-2</v>
      </c>
      <c r="N1580" s="1626">
        <v>1.5286632023352316</v>
      </c>
      <c r="O1580" s="1626"/>
    </row>
    <row r="1581" spans="11:15">
      <c r="K1581" s="1623">
        <v>43638</v>
      </c>
      <c r="L1581" s="1624"/>
      <c r="M1581" s="1625">
        <v>0</v>
      </c>
      <c r="N1581" s="1626">
        <v>1.5286632023352316</v>
      </c>
      <c r="O1581" s="1626"/>
    </row>
    <row r="1582" spans="11:15">
      <c r="K1582" s="1623">
        <v>43639</v>
      </c>
      <c r="L1582" s="1624"/>
      <c r="M1582" s="1625">
        <v>0</v>
      </c>
      <c r="N1582" s="1626">
        <v>1.5286632023352316</v>
      </c>
      <c r="O1582" s="1626"/>
    </row>
    <row r="1583" spans="11:15">
      <c r="K1583" s="1623">
        <v>43640</v>
      </c>
      <c r="L1583" s="1624" t="s">
        <v>2302</v>
      </c>
      <c r="M1583" s="1625">
        <v>2.462E-2</v>
      </c>
      <c r="N1583" s="1626">
        <v>1.5290395592156467</v>
      </c>
      <c r="O1583" s="1626"/>
    </row>
    <row r="1584" spans="11:15">
      <c r="K1584" s="1623">
        <v>43641</v>
      </c>
      <c r="L1584" s="1624" t="s">
        <v>2302</v>
      </c>
      <c r="M1584" s="1625">
        <v>2.462E-2</v>
      </c>
      <c r="N1584" s="1626">
        <v>1.5294160087551258</v>
      </c>
      <c r="O1584" s="1626"/>
    </row>
    <row r="1585" spans="11:15">
      <c r="K1585" s="1623">
        <v>43642</v>
      </c>
      <c r="L1585" s="1624" t="s">
        <v>2302</v>
      </c>
      <c r="M1585" s="1625">
        <v>2.462E-2</v>
      </c>
      <c r="N1585" s="1626">
        <v>1.5297925509764816</v>
      </c>
      <c r="O1585" s="1626"/>
    </row>
    <row r="1586" spans="11:15">
      <c r="K1586" s="1623">
        <v>43643</v>
      </c>
      <c r="L1586" s="1624" t="s">
        <v>2302</v>
      </c>
      <c r="M1586" s="1625">
        <v>2.462E-2</v>
      </c>
      <c r="N1586" s="1626">
        <v>1.5301691859025321</v>
      </c>
      <c r="O1586" s="1626"/>
    </row>
    <row r="1587" spans="11:15">
      <c r="K1587" s="1623">
        <v>43644</v>
      </c>
      <c r="L1587" s="1624" t="s">
        <v>2302</v>
      </c>
      <c r="M1587" s="1625">
        <v>2.462E-2</v>
      </c>
      <c r="N1587" s="1626">
        <v>1.5305459135561015</v>
      </c>
      <c r="O1587" s="1626"/>
    </row>
    <row r="1588" spans="11:15">
      <c r="K1588" s="1623">
        <v>43645</v>
      </c>
      <c r="L1588" s="1624"/>
      <c r="M1588" s="1625">
        <v>0</v>
      </c>
      <c r="N1588" s="1626">
        <v>1.5305459135561015</v>
      </c>
      <c r="O1588" s="1626"/>
    </row>
    <row r="1589" spans="11:15">
      <c r="K1589" s="1623">
        <v>43646</v>
      </c>
      <c r="L1589" s="1624"/>
      <c r="M1589" s="1625">
        <v>0</v>
      </c>
      <c r="N1589" s="1626">
        <v>1.5305459135561015</v>
      </c>
      <c r="O1589" s="1626"/>
    </row>
    <row r="1590" spans="11:15">
      <c r="K1590" s="1623">
        <v>43647</v>
      </c>
      <c r="L1590" s="1624" t="s">
        <v>2302</v>
      </c>
      <c r="M1590" s="1625">
        <v>2.462E-2</v>
      </c>
      <c r="N1590" s="1626">
        <v>1.5309227339600191</v>
      </c>
      <c r="O1590" s="1626"/>
    </row>
    <row r="1591" spans="11:15">
      <c r="K1591" s="1623">
        <v>43648</v>
      </c>
      <c r="L1591" s="1624" t="s">
        <v>2302</v>
      </c>
      <c r="M1591" s="1625">
        <v>2.462E-2</v>
      </c>
      <c r="N1591" s="1626">
        <v>1.5312996471371201</v>
      </c>
      <c r="O1591" s="1626"/>
    </row>
    <row r="1592" spans="11:15">
      <c r="K1592" s="1623">
        <v>43649</v>
      </c>
      <c r="L1592" s="1624" t="s">
        <v>2302</v>
      </c>
      <c r="M1592" s="1625">
        <v>2.462E-2</v>
      </c>
      <c r="N1592" s="1626">
        <v>1.5316766531102455</v>
      </c>
      <c r="O1592" s="1626"/>
    </row>
    <row r="1593" spans="11:15">
      <c r="K1593" s="1623">
        <v>43650</v>
      </c>
      <c r="L1593" s="1624" t="s">
        <v>2302</v>
      </c>
      <c r="M1593" s="1625">
        <v>2.462E-2</v>
      </c>
      <c r="N1593" s="1626">
        <v>1.5320537519022412</v>
      </c>
      <c r="O1593" s="1626"/>
    </row>
    <row r="1594" spans="11:15">
      <c r="K1594" s="1623">
        <v>43651</v>
      </c>
      <c r="L1594" s="1624" t="s">
        <v>2302</v>
      </c>
      <c r="M1594" s="1625">
        <v>2.462E-2</v>
      </c>
      <c r="N1594" s="1626">
        <v>1.5324309435359598</v>
      </c>
      <c r="O1594" s="1626"/>
    </row>
    <row r="1595" spans="11:15">
      <c r="K1595" s="1623">
        <v>43652</v>
      </c>
      <c r="L1595" s="1624"/>
      <c r="M1595" s="1625">
        <v>0</v>
      </c>
      <c r="N1595" s="1626">
        <v>1.5324309435359598</v>
      </c>
      <c r="O1595" s="1626"/>
    </row>
    <row r="1596" spans="11:15">
      <c r="K1596" s="1623">
        <v>43653</v>
      </c>
      <c r="L1596" s="1624"/>
      <c r="M1596" s="1625">
        <v>0</v>
      </c>
      <c r="N1596" s="1626">
        <v>1.5324309435359598</v>
      </c>
      <c r="O1596" s="1626"/>
    </row>
    <row r="1597" spans="11:15">
      <c r="K1597" s="1623">
        <v>43654</v>
      </c>
      <c r="L1597" s="1624" t="s">
        <v>2302</v>
      </c>
      <c r="M1597" s="1625">
        <v>2.462E-2</v>
      </c>
      <c r="N1597" s="1626">
        <v>1.5328082280342585</v>
      </c>
      <c r="O1597" s="1626"/>
    </row>
    <row r="1598" spans="11:15">
      <c r="K1598" s="1623">
        <v>43655</v>
      </c>
      <c r="L1598" s="1624" t="s">
        <v>2302</v>
      </c>
      <c r="M1598" s="1625">
        <v>2.462E-2</v>
      </c>
      <c r="N1598" s="1626">
        <v>1.5331856054200006</v>
      </c>
      <c r="O1598" s="1626"/>
    </row>
    <row r="1599" spans="11:15">
      <c r="K1599" s="1623">
        <v>43656</v>
      </c>
      <c r="L1599" s="1624" t="s">
        <v>2302</v>
      </c>
      <c r="M1599" s="1625">
        <v>2.462E-2</v>
      </c>
      <c r="N1599" s="1626">
        <v>1.5335630757160552</v>
      </c>
      <c r="O1599" s="1626"/>
    </row>
    <row r="1600" spans="11:15">
      <c r="K1600" s="1623">
        <v>43657</v>
      </c>
      <c r="L1600" s="1624" t="s">
        <v>2302</v>
      </c>
      <c r="M1600" s="1625">
        <v>2.462E-2</v>
      </c>
      <c r="N1600" s="1626">
        <v>1.5339406389452965</v>
      </c>
      <c r="O1600" s="1626"/>
    </row>
    <row r="1601" spans="11:15">
      <c r="K1601" s="1623">
        <v>43658</v>
      </c>
      <c r="L1601" s="1624" t="s">
        <v>2302</v>
      </c>
      <c r="M1601" s="1625">
        <v>2.462E-2</v>
      </c>
      <c r="N1601" s="1626">
        <v>1.5343182951306049</v>
      </c>
      <c r="O1601" s="1626"/>
    </row>
    <row r="1602" spans="11:15">
      <c r="K1602" s="1623">
        <v>43659</v>
      </c>
      <c r="L1602" s="1624"/>
      <c r="M1602" s="1625">
        <v>0</v>
      </c>
      <c r="N1602" s="1626">
        <v>1.5343182951306049</v>
      </c>
      <c r="O1602" s="1626"/>
    </row>
    <row r="1603" spans="11:15">
      <c r="K1603" s="1623">
        <v>43660</v>
      </c>
      <c r="L1603" s="1624"/>
      <c r="M1603" s="1625">
        <v>0</v>
      </c>
      <c r="N1603" s="1626">
        <v>1.5343182951306049</v>
      </c>
      <c r="O1603" s="1626"/>
    </row>
    <row r="1604" spans="11:15">
      <c r="K1604" s="1623">
        <v>43661</v>
      </c>
      <c r="L1604" s="1624" t="s">
        <v>2302</v>
      </c>
      <c r="M1604" s="1625">
        <v>2.462E-2</v>
      </c>
      <c r="N1604" s="1626">
        <v>1.5346960442948663</v>
      </c>
      <c r="O1604" s="1626"/>
    </row>
    <row r="1605" spans="11:15">
      <c r="K1605" s="1623">
        <v>43662</v>
      </c>
      <c r="L1605" s="1624" t="s">
        <v>2302</v>
      </c>
      <c r="M1605" s="1625">
        <v>2.462E-2</v>
      </c>
      <c r="N1605" s="1626">
        <v>1.5350738864609719</v>
      </c>
      <c r="O1605" s="1626"/>
    </row>
    <row r="1606" spans="11:15">
      <c r="K1606" s="1623">
        <v>43663</v>
      </c>
      <c r="L1606" s="1624" t="s">
        <v>2302</v>
      </c>
      <c r="M1606" s="1625">
        <v>2.462E-2</v>
      </c>
      <c r="N1606" s="1626">
        <v>1.5354518216518187</v>
      </c>
      <c r="O1606" s="1626"/>
    </row>
    <row r="1607" spans="11:15">
      <c r="K1607" s="1623">
        <v>43664</v>
      </c>
      <c r="L1607" s="1624" t="s">
        <v>2302</v>
      </c>
      <c r="M1607" s="1625">
        <v>2.462E-2</v>
      </c>
      <c r="N1607" s="1626">
        <v>1.5358298498903096</v>
      </c>
      <c r="O1607" s="1626"/>
    </row>
    <row r="1608" spans="11:15">
      <c r="K1608" s="1623">
        <v>43665</v>
      </c>
      <c r="L1608" s="1624" t="s">
        <v>2302</v>
      </c>
      <c r="M1608" s="1625">
        <v>2.462E-2</v>
      </c>
      <c r="N1608" s="1626">
        <v>1.5362079711993526</v>
      </c>
      <c r="O1608" s="1626"/>
    </row>
    <row r="1609" spans="11:15">
      <c r="K1609" s="1623">
        <v>43666</v>
      </c>
      <c r="L1609" s="1624"/>
      <c r="M1609" s="1625">
        <v>0</v>
      </c>
      <c r="N1609" s="1626">
        <v>1.5362079711993526</v>
      </c>
      <c r="O1609" s="1626"/>
    </row>
    <row r="1610" spans="11:15">
      <c r="K1610" s="1623">
        <v>43667</v>
      </c>
      <c r="L1610" s="1624"/>
      <c r="M1610" s="1625">
        <v>0</v>
      </c>
      <c r="N1610" s="1626">
        <v>1.5362079711993526</v>
      </c>
      <c r="O1610" s="1626"/>
    </row>
    <row r="1611" spans="11:15">
      <c r="K1611" s="1623">
        <v>43668</v>
      </c>
      <c r="L1611" s="1624" t="s">
        <v>2302</v>
      </c>
      <c r="M1611" s="1625">
        <v>2.462E-2</v>
      </c>
      <c r="N1611" s="1626">
        <v>1.5365861856018621</v>
      </c>
      <c r="O1611" s="1626"/>
    </row>
    <row r="1612" spans="11:15">
      <c r="K1612" s="1623">
        <v>43669</v>
      </c>
      <c r="L1612" s="1624" t="s">
        <v>2302</v>
      </c>
      <c r="M1612" s="1625">
        <v>2.462E-2</v>
      </c>
      <c r="N1612" s="1626">
        <v>1.5369644931207573</v>
      </c>
      <c r="O1612" s="1626"/>
    </row>
    <row r="1613" spans="11:15">
      <c r="K1613" s="1623">
        <v>43670</v>
      </c>
      <c r="L1613" s="1624" t="s">
        <v>2302</v>
      </c>
      <c r="M1613" s="1625">
        <v>2.462E-2</v>
      </c>
      <c r="N1613" s="1626">
        <v>1.5373428937789637</v>
      </c>
      <c r="O1613" s="1626"/>
    </row>
    <row r="1614" spans="11:15">
      <c r="K1614" s="1623">
        <v>43671</v>
      </c>
      <c r="L1614" s="1624" t="s">
        <v>2302</v>
      </c>
      <c r="M1614" s="1625">
        <v>2.462E-2</v>
      </c>
      <c r="N1614" s="1626">
        <v>1.5377213875994122</v>
      </c>
      <c r="O1614" s="1626"/>
    </row>
    <row r="1615" spans="11:15">
      <c r="K1615" s="1623">
        <v>43672</v>
      </c>
      <c r="L1615" s="1624" t="s">
        <v>2302</v>
      </c>
      <c r="M1615" s="1625">
        <v>2.462E-2</v>
      </c>
      <c r="N1615" s="1626">
        <v>1.5380999746050394</v>
      </c>
      <c r="O1615" s="1626"/>
    </row>
    <row r="1616" spans="11:15">
      <c r="K1616" s="1623">
        <v>43673</v>
      </c>
      <c r="L1616" s="1624"/>
      <c r="M1616" s="1625">
        <v>0</v>
      </c>
      <c r="N1616" s="1626">
        <v>1.5380999746050394</v>
      </c>
      <c r="O1616" s="1626"/>
    </row>
    <row r="1617" spans="11:15">
      <c r="K1617" s="1623">
        <v>43674</v>
      </c>
      <c r="L1617" s="1624"/>
      <c r="M1617" s="1625">
        <v>0</v>
      </c>
      <c r="N1617" s="1626">
        <v>1.5380999746050394</v>
      </c>
      <c r="O1617" s="1626"/>
    </row>
    <row r="1618" spans="11:15">
      <c r="K1618" s="1623">
        <v>43675</v>
      </c>
      <c r="L1618" s="1624" t="s">
        <v>2302</v>
      </c>
      <c r="M1618" s="1625">
        <v>2.462E-2</v>
      </c>
      <c r="N1618" s="1626">
        <v>1.5384786548187874</v>
      </c>
      <c r="O1618" s="1626"/>
    </row>
    <row r="1619" spans="11:15">
      <c r="K1619" s="1623">
        <v>43676</v>
      </c>
      <c r="L1619" s="1624" t="s">
        <v>2302</v>
      </c>
      <c r="M1619" s="1625">
        <v>2.462E-2</v>
      </c>
      <c r="N1619" s="1626">
        <v>1.5388574282636041</v>
      </c>
      <c r="O1619" s="1626"/>
    </row>
    <row r="1620" spans="11:15">
      <c r="K1620" s="1623">
        <v>43677</v>
      </c>
      <c r="L1620" s="1624" t="s">
        <v>2302</v>
      </c>
      <c r="M1620" s="1625">
        <v>2.462E-2</v>
      </c>
      <c r="N1620" s="1626">
        <v>1.5392362949624427</v>
      </c>
      <c r="O1620" s="1626"/>
    </row>
    <row r="1621" spans="11:15">
      <c r="K1621" s="1623">
        <v>43678</v>
      </c>
      <c r="L1621" s="1624" t="s">
        <v>2302</v>
      </c>
      <c r="M1621" s="1625">
        <v>2.2751E-2</v>
      </c>
      <c r="N1621" s="1626">
        <v>1.5395864866119096</v>
      </c>
      <c r="O1621" s="1626"/>
    </row>
    <row r="1622" spans="11:15">
      <c r="K1622" s="1623">
        <v>43679</v>
      </c>
      <c r="L1622" s="1624" t="s">
        <v>2302</v>
      </c>
      <c r="M1622" s="1625">
        <v>2.2751E-2</v>
      </c>
      <c r="N1622" s="1626">
        <v>1.5399367579334786</v>
      </c>
      <c r="O1622" s="1626"/>
    </row>
    <row r="1623" spans="11:15">
      <c r="K1623" s="1623">
        <v>43680</v>
      </c>
      <c r="L1623" s="1624"/>
      <c r="M1623" s="1625">
        <v>0</v>
      </c>
      <c r="N1623" s="1626">
        <v>1.5399367579334786</v>
      </c>
      <c r="O1623" s="1626"/>
    </row>
    <row r="1624" spans="11:15">
      <c r="K1624" s="1623">
        <v>43681</v>
      </c>
      <c r="L1624" s="1624"/>
      <c r="M1624" s="1625">
        <v>0</v>
      </c>
      <c r="N1624" s="1626">
        <v>1.5399367579334786</v>
      </c>
      <c r="O1624" s="1626"/>
    </row>
    <row r="1625" spans="11:15">
      <c r="K1625" s="1623">
        <v>43682</v>
      </c>
      <c r="L1625" s="1624" t="s">
        <v>2302</v>
      </c>
      <c r="M1625" s="1625">
        <v>2.2751E-2</v>
      </c>
      <c r="N1625" s="1626">
        <v>1.5402871089452761</v>
      </c>
      <c r="O1625" s="1626"/>
    </row>
    <row r="1626" spans="11:15">
      <c r="K1626" s="1623">
        <v>43683</v>
      </c>
      <c r="L1626" s="1624" t="s">
        <v>2302</v>
      </c>
      <c r="M1626" s="1625">
        <v>2.2751E-2</v>
      </c>
      <c r="N1626" s="1626">
        <v>1.5406375396654322</v>
      </c>
      <c r="O1626" s="1626"/>
    </row>
    <row r="1627" spans="11:15">
      <c r="K1627" s="1623">
        <v>43684</v>
      </c>
      <c r="L1627" s="1624" t="s">
        <v>2302</v>
      </c>
      <c r="M1627" s="1625">
        <v>2.2751E-2</v>
      </c>
      <c r="N1627" s="1626">
        <v>1.5409880501120814</v>
      </c>
      <c r="O1627" s="1626"/>
    </row>
    <row r="1628" spans="11:15">
      <c r="K1628" s="1623">
        <v>43685</v>
      </c>
      <c r="L1628" s="1624" t="s">
        <v>2302</v>
      </c>
      <c r="M1628" s="1625">
        <v>2.2751E-2</v>
      </c>
      <c r="N1628" s="1626">
        <v>1.5413386403033624</v>
      </c>
      <c r="O1628" s="1626"/>
    </row>
    <row r="1629" spans="11:15">
      <c r="K1629" s="1623">
        <v>43686</v>
      </c>
      <c r="L1629" s="1624" t="s">
        <v>2302</v>
      </c>
      <c r="M1629" s="1625">
        <v>2.2751E-2</v>
      </c>
      <c r="N1629" s="1626">
        <v>1.5416893102574178</v>
      </c>
      <c r="O1629" s="1626"/>
    </row>
    <row r="1630" spans="11:15">
      <c r="K1630" s="1623">
        <v>43687</v>
      </c>
      <c r="L1630" s="1624"/>
      <c r="M1630" s="1625">
        <v>0</v>
      </c>
      <c r="N1630" s="1626">
        <v>1.5416893102574178</v>
      </c>
      <c r="O1630" s="1626"/>
    </row>
    <row r="1631" spans="11:15">
      <c r="K1631" s="1623">
        <v>43688</v>
      </c>
      <c r="L1631" s="1624"/>
      <c r="M1631" s="1625">
        <v>0</v>
      </c>
      <c r="N1631" s="1626">
        <v>1.5416893102574178</v>
      </c>
      <c r="O1631" s="1626"/>
    </row>
    <row r="1632" spans="11:15">
      <c r="K1632" s="1623">
        <v>43689</v>
      </c>
      <c r="L1632" s="1624" t="s">
        <v>2302</v>
      </c>
      <c r="M1632" s="1625">
        <v>2.2751E-2</v>
      </c>
      <c r="N1632" s="1626">
        <v>1.5420400599923945</v>
      </c>
      <c r="O1632" s="1626"/>
    </row>
    <row r="1633" spans="11:15">
      <c r="K1633" s="1623">
        <v>43690</v>
      </c>
      <c r="L1633" s="1624" t="s">
        <v>2302</v>
      </c>
      <c r="M1633" s="1625">
        <v>2.2751E-2</v>
      </c>
      <c r="N1633" s="1626">
        <v>1.5423908895264433</v>
      </c>
      <c r="O1633" s="1626"/>
    </row>
    <row r="1634" spans="11:15">
      <c r="K1634" s="1623">
        <v>43691</v>
      </c>
      <c r="L1634" s="1624" t="s">
        <v>2302</v>
      </c>
      <c r="M1634" s="1625">
        <v>2.2751E-2</v>
      </c>
      <c r="N1634" s="1626">
        <v>1.5427417988777195</v>
      </c>
      <c r="O1634" s="1626"/>
    </row>
    <row r="1635" spans="11:15">
      <c r="K1635" s="1623">
        <v>43692</v>
      </c>
      <c r="L1635" s="1624" t="s">
        <v>2302</v>
      </c>
      <c r="M1635" s="1625">
        <v>2.2751E-2</v>
      </c>
      <c r="N1635" s="1626">
        <v>1.5430927880643821</v>
      </c>
      <c r="O1635" s="1626"/>
    </row>
    <row r="1636" spans="11:15">
      <c r="K1636" s="1623">
        <v>43693</v>
      </c>
      <c r="L1636" s="1624" t="s">
        <v>2302</v>
      </c>
      <c r="M1636" s="1625">
        <v>2.2751E-2</v>
      </c>
      <c r="N1636" s="1626">
        <v>1.5434438571045945</v>
      </c>
      <c r="O1636" s="1626"/>
    </row>
    <row r="1637" spans="11:15">
      <c r="K1637" s="1623">
        <v>43694</v>
      </c>
      <c r="L1637" s="1624"/>
      <c r="M1637" s="1625">
        <v>0</v>
      </c>
      <c r="N1637" s="1626">
        <v>1.5434438571045945</v>
      </c>
      <c r="O1637" s="1626"/>
    </row>
    <row r="1638" spans="11:15">
      <c r="K1638" s="1623">
        <v>43695</v>
      </c>
      <c r="L1638" s="1624"/>
      <c r="M1638" s="1625">
        <v>0</v>
      </c>
      <c r="N1638" s="1626">
        <v>1.5434438571045945</v>
      </c>
      <c r="O1638" s="1626"/>
    </row>
    <row r="1639" spans="11:15">
      <c r="K1639" s="1623">
        <v>43696</v>
      </c>
      <c r="L1639" s="1624" t="s">
        <v>2302</v>
      </c>
      <c r="M1639" s="1625">
        <v>2.2751E-2</v>
      </c>
      <c r="N1639" s="1626">
        <v>1.5437950060165244</v>
      </c>
      <c r="O1639" s="1626"/>
    </row>
    <row r="1640" spans="11:15">
      <c r="K1640" s="1623">
        <v>43697</v>
      </c>
      <c r="L1640" s="1624" t="s">
        <v>2302</v>
      </c>
      <c r="M1640" s="1625">
        <v>2.2751E-2</v>
      </c>
      <c r="N1640" s="1626">
        <v>1.5441462348183432</v>
      </c>
      <c r="O1640" s="1626"/>
    </row>
    <row r="1641" spans="11:15">
      <c r="K1641" s="1623">
        <v>43698</v>
      </c>
      <c r="L1641" s="1624" t="s">
        <v>2302</v>
      </c>
      <c r="M1641" s="1625">
        <v>2.2751E-2</v>
      </c>
      <c r="N1641" s="1626">
        <v>1.5444975435282267</v>
      </c>
      <c r="O1641" s="1626"/>
    </row>
    <row r="1642" spans="11:15">
      <c r="K1642" s="1623">
        <v>43699</v>
      </c>
      <c r="L1642" s="1624" t="s">
        <v>2302</v>
      </c>
      <c r="M1642" s="1625">
        <v>2.2751E-2</v>
      </c>
      <c r="N1642" s="1626">
        <v>1.5448489321643548</v>
      </c>
      <c r="O1642" s="1626"/>
    </row>
    <row r="1643" spans="11:15">
      <c r="K1643" s="1623">
        <v>43700</v>
      </c>
      <c r="L1643" s="1624" t="s">
        <v>2302</v>
      </c>
      <c r="M1643" s="1625">
        <v>2.2751E-2</v>
      </c>
      <c r="N1643" s="1626">
        <v>1.5452004007449116</v>
      </c>
      <c r="O1643" s="1626"/>
    </row>
    <row r="1644" spans="11:15">
      <c r="K1644" s="1623">
        <v>43701</v>
      </c>
      <c r="L1644" s="1624"/>
      <c r="M1644" s="1625">
        <v>0</v>
      </c>
      <c r="N1644" s="1626">
        <v>1.5452004007449116</v>
      </c>
      <c r="O1644" s="1626"/>
    </row>
    <row r="1645" spans="11:15">
      <c r="K1645" s="1623">
        <v>43702</v>
      </c>
      <c r="L1645" s="1624"/>
      <c r="M1645" s="1625">
        <v>0</v>
      </c>
      <c r="N1645" s="1626">
        <v>1.5452004007449116</v>
      </c>
      <c r="O1645" s="1626"/>
    </row>
    <row r="1646" spans="11:15">
      <c r="K1646" s="1623">
        <v>43703</v>
      </c>
      <c r="L1646" s="1624" t="s">
        <v>2302</v>
      </c>
      <c r="M1646" s="1625">
        <v>2.2751E-2</v>
      </c>
      <c r="N1646" s="1626">
        <v>1.5455519492880851</v>
      </c>
      <c r="O1646" s="1626"/>
    </row>
    <row r="1647" spans="11:15">
      <c r="K1647" s="1623">
        <v>43704</v>
      </c>
      <c r="L1647" s="1624" t="s">
        <v>2302</v>
      </c>
      <c r="M1647" s="1625">
        <v>2.2751E-2</v>
      </c>
      <c r="N1647" s="1626">
        <v>1.5459035778120676</v>
      </c>
      <c r="O1647" s="1626"/>
    </row>
    <row r="1648" spans="11:15">
      <c r="K1648" s="1623">
        <v>43705</v>
      </c>
      <c r="L1648" s="1624" t="s">
        <v>2302</v>
      </c>
      <c r="M1648" s="1625">
        <v>2.2751E-2</v>
      </c>
      <c r="N1648" s="1626">
        <v>1.5462552863350556</v>
      </c>
      <c r="O1648" s="1626"/>
    </row>
    <row r="1649" spans="11:15">
      <c r="K1649" s="1623">
        <v>43706</v>
      </c>
      <c r="L1649" s="1624" t="s">
        <v>2302</v>
      </c>
      <c r="M1649" s="1625">
        <v>2.2751E-2</v>
      </c>
      <c r="N1649" s="1626">
        <v>1.5466070748752496</v>
      </c>
      <c r="O1649" s="1626"/>
    </row>
    <row r="1650" spans="11:15">
      <c r="K1650" s="1623">
        <v>43707</v>
      </c>
      <c r="L1650" s="1624" t="s">
        <v>2302</v>
      </c>
      <c r="M1650" s="1625">
        <v>2.2751E-2</v>
      </c>
      <c r="N1650" s="1626">
        <v>1.5469589434508544</v>
      </c>
      <c r="O1650" s="1626"/>
    </row>
    <row r="1651" spans="11:15">
      <c r="K1651" s="1623">
        <v>43708</v>
      </c>
      <c r="L1651" s="1624"/>
      <c r="M1651" s="1625">
        <v>0</v>
      </c>
      <c r="N1651" s="1626">
        <v>1.5469589434508544</v>
      </c>
      <c r="O1651" s="1626"/>
    </row>
    <row r="1652" spans="11:15">
      <c r="K1652" s="1623">
        <v>43709</v>
      </c>
      <c r="L1652" s="1624"/>
      <c r="M1652" s="1625">
        <v>0</v>
      </c>
      <c r="N1652" s="1626">
        <v>1.5469589434508544</v>
      </c>
      <c r="O1652" s="1626"/>
    </row>
    <row r="1653" spans="11:15">
      <c r="K1653" s="1623">
        <v>43710</v>
      </c>
      <c r="L1653" s="1624" t="s">
        <v>2302</v>
      </c>
      <c r="M1653" s="1625">
        <v>2.2751E-2</v>
      </c>
      <c r="N1653" s="1626">
        <v>1.5473108920800789</v>
      </c>
      <c r="O1653" s="1626"/>
    </row>
    <row r="1654" spans="11:15">
      <c r="K1654" s="1623">
        <v>43711</v>
      </c>
      <c r="L1654" s="1624" t="s">
        <v>2302</v>
      </c>
      <c r="M1654" s="1625">
        <v>2.2751E-2</v>
      </c>
      <c r="N1654" s="1626">
        <v>1.5476629207811361</v>
      </c>
      <c r="O1654" s="1626"/>
    </row>
    <row r="1655" spans="11:15">
      <c r="K1655" s="1623">
        <v>43712</v>
      </c>
      <c r="L1655" s="1624" t="s">
        <v>2302</v>
      </c>
      <c r="M1655" s="1625">
        <v>2.2751E-2</v>
      </c>
      <c r="N1655" s="1626">
        <v>1.548015029572243</v>
      </c>
      <c r="O1655" s="1626"/>
    </row>
    <row r="1656" spans="11:15">
      <c r="K1656" s="1623">
        <v>43713</v>
      </c>
      <c r="L1656" s="1624" t="s">
        <v>2302</v>
      </c>
      <c r="M1656" s="1625">
        <v>2.2751E-2</v>
      </c>
      <c r="N1656" s="1626">
        <v>1.5483672184716211</v>
      </c>
      <c r="O1656" s="1626"/>
    </row>
    <row r="1657" spans="11:15">
      <c r="K1657" s="1623">
        <v>43714</v>
      </c>
      <c r="L1657" s="1624" t="s">
        <v>2302</v>
      </c>
      <c r="M1657" s="1625">
        <v>2.2751E-2</v>
      </c>
      <c r="N1657" s="1626">
        <v>1.5487194874974954</v>
      </c>
      <c r="O1657" s="1626"/>
    </row>
    <row r="1658" spans="11:15">
      <c r="K1658" s="1623">
        <v>43715</v>
      </c>
      <c r="L1658" s="1624"/>
      <c r="M1658" s="1625">
        <v>0</v>
      </c>
      <c r="N1658" s="1626">
        <v>1.5487194874974954</v>
      </c>
      <c r="O1658" s="1626"/>
    </row>
    <row r="1659" spans="11:15">
      <c r="K1659" s="1623">
        <v>43716</v>
      </c>
      <c r="L1659" s="1624"/>
      <c r="M1659" s="1625">
        <v>0</v>
      </c>
      <c r="N1659" s="1626">
        <v>1.5487194874974954</v>
      </c>
      <c r="O1659" s="1626"/>
    </row>
    <row r="1660" spans="11:15">
      <c r="K1660" s="1623">
        <v>43717</v>
      </c>
      <c r="L1660" s="1624" t="s">
        <v>2302</v>
      </c>
      <c r="M1660" s="1625">
        <v>2.2751E-2</v>
      </c>
      <c r="N1660" s="1626">
        <v>1.549071836668096</v>
      </c>
      <c r="O1660" s="1626"/>
    </row>
    <row r="1661" spans="11:15">
      <c r="K1661" s="1623">
        <v>43718</v>
      </c>
      <c r="L1661" s="1624" t="s">
        <v>2302</v>
      </c>
      <c r="M1661" s="1625">
        <v>2.2751E-2</v>
      </c>
      <c r="N1661" s="1626">
        <v>1.5494242660016564</v>
      </c>
      <c r="O1661" s="1626"/>
    </row>
    <row r="1662" spans="11:15">
      <c r="K1662" s="1623">
        <v>43719</v>
      </c>
      <c r="L1662" s="1624" t="s">
        <v>2302</v>
      </c>
      <c r="M1662" s="1625">
        <v>2.2751E-2</v>
      </c>
      <c r="N1662" s="1626">
        <v>1.5497767755164145</v>
      </c>
      <c r="O1662" s="1626"/>
    </row>
    <row r="1663" spans="11:15">
      <c r="K1663" s="1623">
        <v>43720</v>
      </c>
      <c r="L1663" s="1624" t="s">
        <v>2302</v>
      </c>
      <c r="M1663" s="1625">
        <v>2.2751E-2</v>
      </c>
      <c r="N1663" s="1626">
        <v>1.5501293652306123</v>
      </c>
      <c r="O1663" s="1626"/>
    </row>
    <row r="1664" spans="11:15">
      <c r="K1664" s="1623">
        <v>43721</v>
      </c>
      <c r="L1664" s="1624" t="s">
        <v>2302</v>
      </c>
      <c r="M1664" s="1625">
        <v>2.2751E-2</v>
      </c>
      <c r="N1664" s="1626">
        <v>1.5504820351624959</v>
      </c>
      <c r="O1664" s="1626"/>
    </row>
    <row r="1665" spans="11:15">
      <c r="K1665" s="1623">
        <v>43722</v>
      </c>
      <c r="L1665" s="1624"/>
      <c r="M1665" s="1625">
        <v>0</v>
      </c>
      <c r="N1665" s="1626">
        <v>1.5504820351624959</v>
      </c>
      <c r="O1665" s="1626"/>
    </row>
    <row r="1666" spans="11:15">
      <c r="K1666" s="1623">
        <v>43723</v>
      </c>
      <c r="L1666" s="1624"/>
      <c r="M1666" s="1625">
        <v>0</v>
      </c>
      <c r="N1666" s="1626">
        <v>1.5504820351624959</v>
      </c>
      <c r="O1666" s="1626"/>
    </row>
    <row r="1667" spans="11:15">
      <c r="K1667" s="1623">
        <v>43724</v>
      </c>
      <c r="L1667" s="1624" t="s">
        <v>2302</v>
      </c>
      <c r="M1667" s="1625">
        <v>2.2751E-2</v>
      </c>
      <c r="N1667" s="1626">
        <v>1.5508347853303157</v>
      </c>
      <c r="O1667" s="1626"/>
    </row>
    <row r="1668" spans="11:15">
      <c r="K1668" s="1623">
        <v>43725</v>
      </c>
      <c r="L1668" s="1624" t="s">
        <v>2302</v>
      </c>
      <c r="M1668" s="1625">
        <v>2.2751E-2</v>
      </c>
      <c r="N1668" s="1626">
        <v>1.5511876157523261</v>
      </c>
      <c r="O1668" s="1626"/>
    </row>
    <row r="1669" spans="11:15">
      <c r="K1669" s="1623">
        <v>43726</v>
      </c>
      <c r="L1669" s="1624" t="s">
        <v>2302</v>
      </c>
      <c r="M1669" s="1625">
        <v>2.2751E-2</v>
      </c>
      <c r="N1669" s="1626">
        <v>1.5515405264467859</v>
      </c>
      <c r="O1669" s="1626"/>
    </row>
    <row r="1670" spans="11:15">
      <c r="K1670" s="1623">
        <v>43727</v>
      </c>
      <c r="L1670" s="1624" t="s">
        <v>2302</v>
      </c>
      <c r="M1670" s="1625">
        <v>2.0872000000000002E-2</v>
      </c>
      <c r="N1670" s="1626">
        <v>1.5518643639854659</v>
      </c>
      <c r="O1670" s="1626"/>
    </row>
    <row r="1671" spans="11:15">
      <c r="K1671" s="1623">
        <v>43728</v>
      </c>
      <c r="L1671" s="1624" t="s">
        <v>2302</v>
      </c>
      <c r="M1671" s="1625">
        <v>2.0872000000000002E-2</v>
      </c>
      <c r="N1671" s="1626">
        <v>1.5521882691155171</v>
      </c>
      <c r="O1671" s="1626"/>
    </row>
    <row r="1672" spans="11:15">
      <c r="K1672" s="1623">
        <v>43729</v>
      </c>
      <c r="L1672" s="1624"/>
      <c r="M1672" s="1625">
        <v>0</v>
      </c>
      <c r="N1672" s="1626">
        <v>1.5521882691155171</v>
      </c>
      <c r="O1672" s="1626"/>
    </row>
    <row r="1673" spans="11:15">
      <c r="K1673" s="1623">
        <v>43730</v>
      </c>
      <c r="L1673" s="1624"/>
      <c r="M1673" s="1625">
        <v>0</v>
      </c>
      <c r="N1673" s="1626">
        <v>1.5521882691155171</v>
      </c>
      <c r="O1673" s="1626"/>
    </row>
    <row r="1674" spans="11:15">
      <c r="K1674" s="1623">
        <v>43731</v>
      </c>
      <c r="L1674" s="1624" t="s">
        <v>2302</v>
      </c>
      <c r="M1674" s="1625">
        <v>2.0872000000000002E-2</v>
      </c>
      <c r="N1674" s="1626">
        <v>1.5525122418510471</v>
      </c>
      <c r="O1674" s="1626"/>
    </row>
    <row r="1675" spans="11:15">
      <c r="K1675" s="1623">
        <v>43732</v>
      </c>
      <c r="L1675" s="1624" t="s">
        <v>2302</v>
      </c>
      <c r="M1675" s="1625">
        <v>2.0872000000000002E-2</v>
      </c>
      <c r="N1675" s="1626">
        <v>1.5528362822061663</v>
      </c>
      <c r="O1675" s="1626"/>
    </row>
    <row r="1676" spans="11:15">
      <c r="K1676" s="1623">
        <v>43733</v>
      </c>
      <c r="L1676" s="1624" t="s">
        <v>2302</v>
      </c>
      <c r="M1676" s="1625">
        <v>2.0872000000000002E-2</v>
      </c>
      <c r="N1676" s="1626">
        <v>1.5531603901949884</v>
      </c>
      <c r="O1676" s="1626"/>
    </row>
    <row r="1677" spans="11:15">
      <c r="K1677" s="1623">
        <v>43734</v>
      </c>
      <c r="L1677" s="1624" t="s">
        <v>2302</v>
      </c>
      <c r="M1677" s="1625">
        <v>2.0872000000000002E-2</v>
      </c>
      <c r="N1677" s="1626">
        <v>1.5534845658316301</v>
      </c>
      <c r="O1677" s="1626"/>
    </row>
    <row r="1678" spans="11:15">
      <c r="K1678" s="1623">
        <v>43735</v>
      </c>
      <c r="L1678" s="1624" t="s">
        <v>2302</v>
      </c>
      <c r="M1678" s="1625">
        <v>2.0872000000000002E-2</v>
      </c>
      <c r="N1678" s="1626">
        <v>1.5538088091302105</v>
      </c>
      <c r="O1678" s="1626"/>
    </row>
    <row r="1679" spans="11:15">
      <c r="K1679" s="1623">
        <v>43736</v>
      </c>
      <c r="L1679" s="1624"/>
      <c r="M1679" s="1625">
        <v>0</v>
      </c>
      <c r="N1679" s="1626">
        <v>1.5538088091302105</v>
      </c>
      <c r="O1679" s="1626"/>
    </row>
    <row r="1680" spans="11:15">
      <c r="K1680" s="1623">
        <v>43737</v>
      </c>
      <c r="L1680" s="1624"/>
      <c r="M1680" s="1625">
        <v>0</v>
      </c>
      <c r="N1680" s="1626">
        <v>1.5538088091302105</v>
      </c>
      <c r="O1680" s="1626"/>
    </row>
    <row r="1681" spans="11:15">
      <c r="K1681" s="1623">
        <v>43738</v>
      </c>
      <c r="L1681" s="1624" t="s">
        <v>2302</v>
      </c>
      <c r="M1681" s="1625">
        <v>2.0872000000000002E-2</v>
      </c>
      <c r="N1681" s="1626">
        <v>1.5541331201048523</v>
      </c>
      <c r="O1681" s="1626"/>
    </row>
    <row r="1682" spans="11:15">
      <c r="K1682" s="1623">
        <v>43739</v>
      </c>
      <c r="L1682" s="1624" t="s">
        <v>2302</v>
      </c>
      <c r="M1682" s="1625">
        <v>2.0872000000000002E-2</v>
      </c>
      <c r="N1682" s="1626">
        <v>1.5544574987696806</v>
      </c>
      <c r="O1682" s="1626"/>
    </row>
    <row r="1683" spans="11:15">
      <c r="K1683" s="1623">
        <v>43740</v>
      </c>
      <c r="L1683" s="1624" t="s">
        <v>2302</v>
      </c>
      <c r="M1683" s="1625">
        <v>2.0872000000000002E-2</v>
      </c>
      <c r="N1683" s="1626">
        <v>1.5547819451388238</v>
      </c>
      <c r="O1683" s="1626"/>
    </row>
    <row r="1684" spans="11:15">
      <c r="K1684" s="1623">
        <v>43741</v>
      </c>
      <c r="L1684" s="1624" t="s">
        <v>2302</v>
      </c>
      <c r="M1684" s="1625">
        <v>2.0872000000000002E-2</v>
      </c>
      <c r="N1684" s="1626">
        <v>1.5551064592264132</v>
      </c>
      <c r="O1684" s="1626"/>
    </row>
    <row r="1685" spans="11:15">
      <c r="K1685" s="1623">
        <v>43742</v>
      </c>
      <c r="L1685" s="1624" t="s">
        <v>2302</v>
      </c>
      <c r="M1685" s="1625">
        <v>2.0872000000000002E-2</v>
      </c>
      <c r="N1685" s="1626">
        <v>1.555431041046583</v>
      </c>
      <c r="O1685" s="1626"/>
    </row>
    <row r="1686" spans="11:15">
      <c r="K1686" s="1623">
        <v>43743</v>
      </c>
      <c r="L1686" s="1624"/>
      <c r="M1686" s="1625">
        <v>0</v>
      </c>
      <c r="N1686" s="1626">
        <v>1.555431041046583</v>
      </c>
      <c r="O1686" s="1626"/>
    </row>
    <row r="1687" spans="11:15">
      <c r="K1687" s="1623">
        <v>43744</v>
      </c>
      <c r="L1687" s="1624"/>
      <c r="M1687" s="1625">
        <v>0</v>
      </c>
      <c r="N1687" s="1626">
        <v>1.555431041046583</v>
      </c>
      <c r="O1687" s="1626"/>
    </row>
    <row r="1688" spans="11:15">
      <c r="K1688" s="1623">
        <v>43745</v>
      </c>
      <c r="L1688" s="1624" t="s">
        <v>2302</v>
      </c>
      <c r="M1688" s="1625">
        <v>2.0872000000000002E-2</v>
      </c>
      <c r="N1688" s="1626">
        <v>1.5557556906134704</v>
      </c>
      <c r="O1688" s="1626"/>
    </row>
    <row r="1689" spans="11:15">
      <c r="K1689" s="1623">
        <v>43746</v>
      </c>
      <c r="L1689" s="1624" t="s">
        <v>2302</v>
      </c>
      <c r="M1689" s="1625">
        <v>2.0872000000000002E-2</v>
      </c>
      <c r="N1689" s="1626">
        <v>1.5560804079412154</v>
      </c>
      <c r="O1689" s="1626"/>
    </row>
    <row r="1690" spans="11:15">
      <c r="K1690" s="1623">
        <v>43747</v>
      </c>
      <c r="L1690" s="1624" t="s">
        <v>2302</v>
      </c>
      <c r="M1690" s="1625">
        <v>2.0872000000000002E-2</v>
      </c>
      <c r="N1690" s="1626">
        <v>1.5564051930439609</v>
      </c>
      <c r="O1690" s="1626"/>
    </row>
    <row r="1691" spans="11:15">
      <c r="K1691" s="1623">
        <v>43748</v>
      </c>
      <c r="L1691" s="1624" t="s">
        <v>2302</v>
      </c>
      <c r="M1691" s="1625">
        <v>2.0872000000000002E-2</v>
      </c>
      <c r="N1691" s="1626">
        <v>1.5567300459358531</v>
      </c>
      <c r="O1691" s="1626"/>
    </row>
    <row r="1692" spans="11:15">
      <c r="K1692" s="1623">
        <v>43749</v>
      </c>
      <c r="L1692" s="1624" t="s">
        <v>2302</v>
      </c>
      <c r="M1692" s="1625">
        <v>2.0872000000000002E-2</v>
      </c>
      <c r="N1692" s="1626">
        <v>1.5570549666310409</v>
      </c>
      <c r="O1692" s="1626"/>
    </row>
    <row r="1693" spans="11:15">
      <c r="K1693" s="1623">
        <v>43750</v>
      </c>
      <c r="L1693" s="1624"/>
      <c r="M1693" s="1625">
        <v>0</v>
      </c>
      <c r="N1693" s="1626">
        <v>1.5570549666310409</v>
      </c>
      <c r="O1693" s="1626"/>
    </row>
    <row r="1694" spans="11:15">
      <c r="K1694" s="1623">
        <v>43751</v>
      </c>
      <c r="L1694" s="1624"/>
      <c r="M1694" s="1625">
        <v>0</v>
      </c>
      <c r="N1694" s="1626">
        <v>1.5570549666310409</v>
      </c>
      <c r="O1694" s="1626"/>
    </row>
    <row r="1695" spans="11:15">
      <c r="K1695" s="1623">
        <v>43752</v>
      </c>
      <c r="L1695" s="1624" t="s">
        <v>2302</v>
      </c>
      <c r="M1695" s="1625">
        <v>2.0872000000000002E-2</v>
      </c>
      <c r="N1695" s="1626">
        <v>1.5573799551436762</v>
      </c>
      <c r="O1695" s="1626"/>
    </row>
    <row r="1696" spans="11:15">
      <c r="K1696" s="1623">
        <v>43753</v>
      </c>
      <c r="L1696" s="1624" t="s">
        <v>2302</v>
      </c>
      <c r="M1696" s="1625">
        <v>2.0872000000000002E-2</v>
      </c>
      <c r="N1696" s="1626">
        <v>1.5577050114879138</v>
      </c>
      <c r="O1696" s="1626"/>
    </row>
    <row r="1697" spans="11:15">
      <c r="K1697" s="1623">
        <v>43754</v>
      </c>
      <c r="L1697" s="1624" t="s">
        <v>2302</v>
      </c>
      <c r="M1697" s="1625">
        <v>2.0872000000000002E-2</v>
      </c>
      <c r="N1697" s="1626">
        <v>1.5580301356779116</v>
      </c>
      <c r="O1697" s="1626"/>
    </row>
    <row r="1698" spans="11:15">
      <c r="K1698" s="1623">
        <v>43755</v>
      </c>
      <c r="L1698" s="1624" t="s">
        <v>2302</v>
      </c>
      <c r="M1698" s="1625">
        <v>2.0872000000000002E-2</v>
      </c>
      <c r="N1698" s="1626">
        <v>1.5583553277278304</v>
      </c>
      <c r="O1698" s="1626"/>
    </row>
    <row r="1699" spans="11:15">
      <c r="K1699" s="1623">
        <v>43756</v>
      </c>
      <c r="L1699" s="1624" t="s">
        <v>2302</v>
      </c>
      <c r="M1699" s="1625">
        <v>2.0872000000000002E-2</v>
      </c>
      <c r="N1699" s="1626">
        <v>1.5586805876518337</v>
      </c>
      <c r="O1699" s="1626"/>
    </row>
    <row r="1700" spans="11:15">
      <c r="K1700" s="1623">
        <v>43757</v>
      </c>
      <c r="L1700" s="1624"/>
      <c r="M1700" s="1625">
        <v>0</v>
      </c>
      <c r="N1700" s="1626">
        <v>1.5586805876518337</v>
      </c>
      <c r="O1700" s="1626"/>
    </row>
    <row r="1701" spans="11:15">
      <c r="K1701" s="1623">
        <v>43758</v>
      </c>
      <c r="L1701" s="1624"/>
      <c r="M1701" s="1625">
        <v>0</v>
      </c>
      <c r="N1701" s="1626">
        <v>1.5586805876518337</v>
      </c>
      <c r="O1701" s="1626"/>
    </row>
    <row r="1702" spans="11:15">
      <c r="K1702" s="1623">
        <v>43759</v>
      </c>
      <c r="L1702" s="1624" t="s">
        <v>2302</v>
      </c>
      <c r="M1702" s="1625">
        <v>2.0872000000000002E-2</v>
      </c>
      <c r="N1702" s="1626">
        <v>1.5590059154640885</v>
      </c>
      <c r="O1702" s="1626"/>
    </row>
    <row r="1703" spans="11:15">
      <c r="K1703" s="1623">
        <v>43760</v>
      </c>
      <c r="L1703" s="1624" t="s">
        <v>2302</v>
      </c>
      <c r="M1703" s="1625">
        <v>2.0872000000000002E-2</v>
      </c>
      <c r="N1703" s="1626">
        <v>1.5593313111787643</v>
      </c>
      <c r="O1703" s="1626"/>
    </row>
    <row r="1704" spans="11:15">
      <c r="K1704" s="1623">
        <v>43761</v>
      </c>
      <c r="L1704" s="1624" t="s">
        <v>2302</v>
      </c>
      <c r="M1704" s="1625">
        <v>2.0872000000000002E-2</v>
      </c>
      <c r="N1704" s="1626">
        <v>1.5596567748100336</v>
      </c>
      <c r="O1704" s="1626"/>
    </row>
    <row r="1705" spans="11:15">
      <c r="K1705" s="1623">
        <v>43762</v>
      </c>
      <c r="L1705" s="1624" t="s">
        <v>2302</v>
      </c>
      <c r="M1705" s="1625">
        <v>2.0872000000000002E-2</v>
      </c>
      <c r="N1705" s="1626">
        <v>1.5599823063720721</v>
      </c>
      <c r="O1705" s="1626"/>
    </row>
    <row r="1706" spans="11:15">
      <c r="K1706" s="1623">
        <v>43763</v>
      </c>
      <c r="L1706" s="1624" t="s">
        <v>2302</v>
      </c>
      <c r="M1706" s="1625">
        <v>2.0872000000000002E-2</v>
      </c>
      <c r="N1706" s="1626">
        <v>1.5603079058790581</v>
      </c>
      <c r="O1706" s="1626"/>
    </row>
    <row r="1707" spans="11:15">
      <c r="K1707" s="1623">
        <v>43764</v>
      </c>
      <c r="L1707" s="1624"/>
      <c r="M1707" s="1625">
        <v>0</v>
      </c>
      <c r="N1707" s="1626">
        <v>1.5603079058790581</v>
      </c>
      <c r="O1707" s="1626"/>
    </row>
    <row r="1708" spans="11:15">
      <c r="K1708" s="1623">
        <v>43765</v>
      </c>
      <c r="L1708" s="1624"/>
      <c r="M1708" s="1625">
        <v>0</v>
      </c>
      <c r="N1708" s="1626">
        <v>1.5603079058790581</v>
      </c>
      <c r="O1708" s="1626"/>
    </row>
    <row r="1709" spans="11:15">
      <c r="K1709" s="1623">
        <v>43766</v>
      </c>
      <c r="L1709" s="1624" t="s">
        <v>2302</v>
      </c>
      <c r="M1709" s="1625">
        <v>2.0872000000000002E-2</v>
      </c>
      <c r="N1709" s="1626">
        <v>1.5606335733451733</v>
      </c>
      <c r="O1709" s="1626"/>
    </row>
    <row r="1710" spans="11:15">
      <c r="K1710" s="1623">
        <v>43767</v>
      </c>
      <c r="L1710" s="1624" t="s">
        <v>2302</v>
      </c>
      <c r="M1710" s="1625">
        <v>2.0872000000000002E-2</v>
      </c>
      <c r="N1710" s="1626">
        <v>1.5609593087846019</v>
      </c>
      <c r="O1710" s="1626"/>
    </row>
    <row r="1711" spans="11:15">
      <c r="K1711" s="1623">
        <v>43768</v>
      </c>
      <c r="L1711" s="1624" t="s">
        <v>2302</v>
      </c>
      <c r="M1711" s="1625">
        <v>2.0872000000000002E-2</v>
      </c>
      <c r="N1711" s="1626">
        <v>1.5612851122115314</v>
      </c>
      <c r="O1711" s="1626"/>
    </row>
    <row r="1712" spans="11:15">
      <c r="K1712" s="1623">
        <v>43769</v>
      </c>
      <c r="L1712" s="1624" t="s">
        <v>2302</v>
      </c>
      <c r="M1712" s="1625">
        <v>1.8984999999999998E-2</v>
      </c>
      <c r="N1712" s="1626">
        <v>1.5615815221900846</v>
      </c>
      <c r="O1712" s="1626"/>
    </row>
    <row r="1713" spans="11:15">
      <c r="K1713" s="1623">
        <v>43770</v>
      </c>
      <c r="L1713" s="1624" t="s">
        <v>2302</v>
      </c>
      <c r="M1713" s="1625">
        <v>1.8984999999999998E-2</v>
      </c>
      <c r="N1713" s="1626">
        <v>1.5618779884420724</v>
      </c>
      <c r="O1713" s="1626"/>
    </row>
    <row r="1714" spans="11:15">
      <c r="K1714" s="1623">
        <v>43771</v>
      </c>
      <c r="L1714" s="1624"/>
      <c r="M1714" s="1625">
        <v>0</v>
      </c>
      <c r="N1714" s="1626">
        <v>1.5618779884420724</v>
      </c>
      <c r="O1714" s="1626"/>
    </row>
    <row r="1715" spans="11:15">
      <c r="K1715" s="1623">
        <v>43772</v>
      </c>
      <c r="L1715" s="1624"/>
      <c r="M1715" s="1625">
        <v>0</v>
      </c>
      <c r="N1715" s="1626">
        <v>1.5618779884420724</v>
      </c>
      <c r="O1715" s="1626"/>
    </row>
    <row r="1716" spans="11:15">
      <c r="K1716" s="1623">
        <v>43773</v>
      </c>
      <c r="L1716" s="1624" t="s">
        <v>2302</v>
      </c>
      <c r="M1716" s="1625">
        <v>1.8984999999999998E-2</v>
      </c>
      <c r="N1716" s="1626">
        <v>1.5621745109781779</v>
      </c>
      <c r="O1716" s="1626"/>
    </row>
    <row r="1717" spans="11:15">
      <c r="K1717" s="1623">
        <v>43774</v>
      </c>
      <c r="L1717" s="1624" t="s">
        <v>2302</v>
      </c>
      <c r="M1717" s="1625">
        <v>1.8984999999999998E-2</v>
      </c>
      <c r="N1717" s="1626">
        <v>1.562471089809087</v>
      </c>
      <c r="O1717" s="1626"/>
    </row>
    <row r="1718" spans="11:15">
      <c r="K1718" s="1623">
        <v>43775</v>
      </c>
      <c r="L1718" s="1624" t="s">
        <v>2302</v>
      </c>
      <c r="M1718" s="1625">
        <v>1.8984999999999998E-2</v>
      </c>
      <c r="N1718" s="1626">
        <v>1.5627677249454872</v>
      </c>
      <c r="O1718" s="1626"/>
    </row>
    <row r="1719" spans="11:15">
      <c r="K1719" s="1623">
        <v>43776</v>
      </c>
      <c r="L1719" s="1624" t="s">
        <v>2302</v>
      </c>
      <c r="M1719" s="1625">
        <v>1.8984999999999998E-2</v>
      </c>
      <c r="N1719" s="1626">
        <v>1.563064416398068</v>
      </c>
      <c r="O1719" s="1626"/>
    </row>
    <row r="1720" spans="11:15">
      <c r="K1720" s="1623">
        <v>43777</v>
      </c>
      <c r="L1720" s="1624" t="s">
        <v>2302</v>
      </c>
      <c r="M1720" s="1625">
        <v>1.8984999999999998E-2</v>
      </c>
      <c r="N1720" s="1626">
        <v>1.5633611641775211</v>
      </c>
      <c r="O1720" s="1626"/>
    </row>
    <row r="1721" spans="11:15">
      <c r="K1721" s="1623">
        <v>43778</v>
      </c>
      <c r="L1721" s="1624"/>
      <c r="M1721" s="1625">
        <v>0</v>
      </c>
      <c r="N1721" s="1626">
        <v>1.5633611641775211</v>
      </c>
      <c r="O1721" s="1626"/>
    </row>
    <row r="1722" spans="11:15">
      <c r="K1722" s="1623">
        <v>43779</v>
      </c>
      <c r="L1722" s="1624"/>
      <c r="M1722" s="1625">
        <v>0</v>
      </c>
      <c r="N1722" s="1626">
        <v>1.5633611641775211</v>
      </c>
      <c r="O1722" s="1626"/>
    </row>
    <row r="1723" spans="11:15">
      <c r="K1723" s="1623">
        <v>43780</v>
      </c>
      <c r="L1723" s="1624" t="s">
        <v>2302</v>
      </c>
      <c r="M1723" s="1625">
        <v>1.8984999999999998E-2</v>
      </c>
      <c r="N1723" s="1626">
        <v>1.5636579682945402</v>
      </c>
      <c r="O1723" s="1626"/>
    </row>
    <row r="1724" spans="11:15">
      <c r="K1724" s="1623">
        <v>43781</v>
      </c>
      <c r="L1724" s="1624" t="s">
        <v>2302</v>
      </c>
      <c r="M1724" s="1625">
        <v>1.8984999999999998E-2</v>
      </c>
      <c r="N1724" s="1626">
        <v>1.5639548287598208</v>
      </c>
      <c r="O1724" s="1626"/>
    </row>
    <row r="1725" spans="11:15">
      <c r="K1725" s="1623">
        <v>43782</v>
      </c>
      <c r="L1725" s="1624" t="s">
        <v>2302</v>
      </c>
      <c r="M1725" s="1625">
        <v>1.8984999999999998E-2</v>
      </c>
      <c r="N1725" s="1626">
        <v>1.5642517455840608</v>
      </c>
      <c r="O1725" s="1626"/>
    </row>
    <row r="1726" spans="11:15">
      <c r="K1726" s="1623">
        <v>43783</v>
      </c>
      <c r="L1726" s="1624" t="s">
        <v>2302</v>
      </c>
      <c r="M1726" s="1625">
        <v>1.8984999999999998E-2</v>
      </c>
      <c r="N1726" s="1626">
        <v>1.5645487187779599</v>
      </c>
      <c r="O1726" s="1626"/>
    </row>
    <row r="1727" spans="11:15">
      <c r="K1727" s="1623">
        <v>43784</v>
      </c>
      <c r="L1727" s="1624"/>
      <c r="M1727" s="1625">
        <v>0</v>
      </c>
      <c r="N1727" s="1626">
        <v>1.5645487187779599</v>
      </c>
      <c r="O1727" s="1626"/>
    </row>
    <row r="1728" spans="11:15">
      <c r="K1728" s="1623">
        <v>43785</v>
      </c>
      <c r="L1728" s="1624"/>
      <c r="M1728" s="1625">
        <v>0</v>
      </c>
      <c r="N1728" s="1626">
        <v>1.5645487187779599</v>
      </c>
      <c r="O1728" s="1626"/>
    </row>
    <row r="1729" spans="11:15">
      <c r="K1729" s="1623">
        <v>43786</v>
      </c>
      <c r="L1729" s="1624"/>
      <c r="M1729" s="1625">
        <v>0</v>
      </c>
      <c r="N1729" s="1626">
        <v>1.5645487187779599</v>
      </c>
      <c r="O1729" s="1626"/>
    </row>
    <row r="1730" spans="11:15">
      <c r="K1730" s="1623">
        <v>43787</v>
      </c>
      <c r="L1730" s="1624" t="s">
        <v>2302</v>
      </c>
      <c r="M1730" s="1625">
        <v>1.8984999999999998E-2</v>
      </c>
      <c r="N1730" s="1626">
        <v>1.5648457483522198</v>
      </c>
      <c r="O1730" s="1626"/>
    </row>
    <row r="1731" spans="11:15">
      <c r="K1731" s="1623">
        <v>43788</v>
      </c>
      <c r="L1731" s="1624" t="s">
        <v>2302</v>
      </c>
      <c r="M1731" s="1625">
        <v>1.8984999999999998E-2</v>
      </c>
      <c r="N1731" s="1626">
        <v>1.5651428343175444</v>
      </c>
      <c r="O1731" s="1626"/>
    </row>
    <row r="1732" spans="11:15">
      <c r="K1732" s="1623">
        <v>43789</v>
      </c>
      <c r="L1732" s="1624" t="s">
        <v>2302</v>
      </c>
      <c r="M1732" s="1625">
        <v>1.8984999999999998E-2</v>
      </c>
      <c r="N1732" s="1626">
        <v>1.5654399766846394</v>
      </c>
      <c r="O1732" s="1626"/>
    </row>
    <row r="1733" spans="11:15">
      <c r="K1733" s="1623">
        <v>43790</v>
      </c>
      <c r="L1733" s="1624" t="s">
        <v>2302</v>
      </c>
      <c r="M1733" s="1625">
        <v>1.8984999999999998E-2</v>
      </c>
      <c r="N1733" s="1626">
        <v>1.5657371754642129</v>
      </c>
      <c r="O1733" s="1626"/>
    </row>
    <row r="1734" spans="11:15">
      <c r="K1734" s="1623">
        <v>43791</v>
      </c>
      <c r="L1734" s="1624" t="s">
        <v>2302</v>
      </c>
      <c r="M1734" s="1625">
        <v>1.8984999999999998E-2</v>
      </c>
      <c r="N1734" s="1626">
        <v>1.5660344306669747</v>
      </c>
      <c r="O1734" s="1626"/>
    </row>
    <row r="1735" spans="11:15">
      <c r="K1735" s="1623">
        <v>43792</v>
      </c>
      <c r="L1735" s="1624"/>
      <c r="M1735" s="1625">
        <v>0</v>
      </c>
      <c r="N1735" s="1626">
        <v>1.5660344306669747</v>
      </c>
      <c r="O1735" s="1626"/>
    </row>
    <row r="1736" spans="11:15">
      <c r="K1736" s="1623">
        <v>43793</v>
      </c>
      <c r="L1736" s="1624"/>
      <c r="M1736" s="1625">
        <v>0</v>
      </c>
      <c r="N1736" s="1626">
        <v>1.5660344306669747</v>
      </c>
      <c r="O1736" s="1626"/>
    </row>
    <row r="1737" spans="11:15">
      <c r="K1737" s="1623">
        <v>43794</v>
      </c>
      <c r="L1737" s="1624" t="s">
        <v>2302</v>
      </c>
      <c r="M1737" s="1625">
        <v>1.8984999999999998E-2</v>
      </c>
      <c r="N1737" s="1626">
        <v>1.5663317423036367</v>
      </c>
      <c r="O1737" s="1626"/>
    </row>
    <row r="1738" spans="11:15">
      <c r="K1738" s="1623">
        <v>43795</v>
      </c>
      <c r="L1738" s="1624" t="s">
        <v>2302</v>
      </c>
      <c r="M1738" s="1625">
        <v>1.8984999999999998E-2</v>
      </c>
      <c r="N1738" s="1626">
        <v>1.566629110384913</v>
      </c>
      <c r="O1738" s="1626"/>
    </row>
    <row r="1739" spans="11:15">
      <c r="K1739" s="1623">
        <v>43796</v>
      </c>
      <c r="L1739" s="1624" t="s">
        <v>2302</v>
      </c>
      <c r="M1739" s="1625">
        <v>1.8984999999999998E-2</v>
      </c>
      <c r="N1739" s="1626">
        <v>1.5669265349215196</v>
      </c>
      <c r="O1739" s="1626"/>
    </row>
    <row r="1740" spans="11:15">
      <c r="K1740" s="1623">
        <v>43797</v>
      </c>
      <c r="L1740" s="1624" t="s">
        <v>2302</v>
      </c>
      <c r="M1740" s="1625">
        <v>1.8984999999999998E-2</v>
      </c>
      <c r="N1740" s="1626">
        <v>1.5672240159241744</v>
      </c>
      <c r="O1740" s="1626"/>
    </row>
    <row r="1741" spans="11:15">
      <c r="K1741" s="1623">
        <v>43798</v>
      </c>
      <c r="L1741" s="1624" t="s">
        <v>2302</v>
      </c>
      <c r="M1741" s="1625">
        <v>1.8984999999999998E-2</v>
      </c>
      <c r="N1741" s="1626">
        <v>1.5675215534035976</v>
      </c>
      <c r="O1741" s="1626"/>
    </row>
    <row r="1742" spans="11:15">
      <c r="K1742" s="1623">
        <v>43799</v>
      </c>
      <c r="L1742" s="1624"/>
      <c r="M1742" s="1625">
        <v>0</v>
      </c>
      <c r="N1742" s="1626">
        <v>1.5675215534035976</v>
      </c>
      <c r="O1742" s="1626"/>
    </row>
    <row r="1743" spans="11:15">
      <c r="K1743" s="1623">
        <v>43800</v>
      </c>
      <c r="L1743" s="1624"/>
      <c r="M1743" s="1625">
        <v>0</v>
      </c>
      <c r="N1743" s="1626">
        <v>1.5675215534035976</v>
      </c>
      <c r="O1743" s="1626"/>
    </row>
    <row r="1744" spans="11:15">
      <c r="K1744" s="1623">
        <v>43801</v>
      </c>
      <c r="L1744" s="1624" t="s">
        <v>2302</v>
      </c>
      <c r="M1744" s="1625">
        <v>1.8984999999999998E-2</v>
      </c>
      <c r="N1744" s="1626">
        <v>1.5678191473705112</v>
      </c>
      <c r="O1744" s="1626"/>
    </row>
    <row r="1745" spans="11:15">
      <c r="K1745" s="1623">
        <v>43802</v>
      </c>
      <c r="L1745" s="1624" t="s">
        <v>2302</v>
      </c>
      <c r="M1745" s="1625">
        <v>1.8984999999999998E-2</v>
      </c>
      <c r="N1745" s="1626">
        <v>1.5681167978356394</v>
      </c>
      <c r="O1745" s="1626"/>
    </row>
    <row r="1746" spans="11:15">
      <c r="K1746" s="1623">
        <v>43803</v>
      </c>
      <c r="L1746" s="1624" t="s">
        <v>2302</v>
      </c>
      <c r="M1746" s="1625">
        <v>1.8984999999999998E-2</v>
      </c>
      <c r="N1746" s="1626">
        <v>1.5684145048097085</v>
      </c>
      <c r="O1746" s="1626"/>
    </row>
    <row r="1747" spans="11:15">
      <c r="K1747" s="1623">
        <v>43804</v>
      </c>
      <c r="L1747" s="1624" t="s">
        <v>2302</v>
      </c>
      <c r="M1747" s="1625">
        <v>1.8984999999999998E-2</v>
      </c>
      <c r="N1747" s="1626">
        <v>1.5687122683034465</v>
      </c>
      <c r="O1747" s="1626"/>
    </row>
    <row r="1748" spans="11:15">
      <c r="K1748" s="1623">
        <v>43805</v>
      </c>
      <c r="L1748" s="1624" t="s">
        <v>2302</v>
      </c>
      <c r="M1748" s="1625">
        <v>1.8984999999999998E-2</v>
      </c>
      <c r="N1748" s="1626">
        <v>1.5690100883275837</v>
      </c>
      <c r="O1748" s="1626"/>
    </row>
    <row r="1749" spans="11:15">
      <c r="K1749" s="1623">
        <v>43806</v>
      </c>
      <c r="L1749" s="1624"/>
      <c r="M1749" s="1625">
        <v>0</v>
      </c>
      <c r="N1749" s="1626">
        <v>1.5690100883275837</v>
      </c>
      <c r="O1749" s="1626"/>
    </row>
    <row r="1750" spans="11:15">
      <c r="K1750" s="1623">
        <v>43807</v>
      </c>
      <c r="L1750" s="1624"/>
      <c r="M1750" s="1625">
        <v>0</v>
      </c>
      <c r="N1750" s="1626">
        <v>1.5690100883275837</v>
      </c>
      <c r="O1750" s="1626"/>
    </row>
    <row r="1751" spans="11:15">
      <c r="K1751" s="1623">
        <v>43808</v>
      </c>
      <c r="L1751" s="1624" t="s">
        <v>2302</v>
      </c>
      <c r="M1751" s="1625">
        <v>1.8984999999999998E-2</v>
      </c>
      <c r="N1751" s="1626">
        <v>1.5693079648928525</v>
      </c>
      <c r="O1751" s="1626"/>
    </row>
    <row r="1752" spans="11:15">
      <c r="K1752" s="1623">
        <v>43809</v>
      </c>
      <c r="L1752" s="1624" t="s">
        <v>2302</v>
      </c>
      <c r="M1752" s="1625">
        <v>1.8984999999999998E-2</v>
      </c>
      <c r="N1752" s="1626">
        <v>1.5696058980099874</v>
      </c>
      <c r="O1752" s="1626"/>
    </row>
    <row r="1753" spans="11:15">
      <c r="K1753" s="1623">
        <v>43810</v>
      </c>
      <c r="L1753" s="1624" t="s">
        <v>2302</v>
      </c>
      <c r="M1753" s="1625">
        <v>1.8984999999999998E-2</v>
      </c>
      <c r="N1753" s="1626">
        <v>1.5699038876897244</v>
      </c>
      <c r="O1753" s="1626"/>
    </row>
    <row r="1754" spans="11:15">
      <c r="K1754" s="1623">
        <v>43811</v>
      </c>
      <c r="L1754" s="1624" t="s">
        <v>2302</v>
      </c>
      <c r="M1754" s="1625">
        <v>1.7089E-2</v>
      </c>
      <c r="N1754" s="1626">
        <v>1.5701721685650916</v>
      </c>
      <c r="O1754" s="1626"/>
    </row>
    <row r="1755" spans="11:15">
      <c r="K1755" s="1623">
        <v>43812</v>
      </c>
      <c r="L1755" s="1624" t="s">
        <v>2302</v>
      </c>
      <c r="M1755" s="1625">
        <v>1.7089E-2</v>
      </c>
      <c r="N1755" s="1626">
        <v>1.5704404952869775</v>
      </c>
      <c r="O1755" s="1626"/>
    </row>
    <row r="1756" spans="11:15">
      <c r="K1756" s="1623">
        <v>43813</v>
      </c>
      <c r="L1756" s="1624"/>
      <c r="M1756" s="1625">
        <v>0</v>
      </c>
      <c r="N1756" s="1626">
        <v>1.5704404952869775</v>
      </c>
      <c r="O1756" s="1626"/>
    </row>
    <row r="1757" spans="11:15">
      <c r="K1757" s="1623">
        <v>43814</v>
      </c>
      <c r="L1757" s="1624"/>
      <c r="M1757" s="1625">
        <v>0</v>
      </c>
      <c r="N1757" s="1626">
        <v>1.5704404952869775</v>
      </c>
      <c r="O1757" s="1626"/>
    </row>
    <row r="1758" spans="11:15">
      <c r="K1758" s="1623">
        <v>43815</v>
      </c>
      <c r="L1758" s="1624" t="s">
        <v>2302</v>
      </c>
      <c r="M1758" s="1625">
        <v>1.7089E-2</v>
      </c>
      <c r="N1758" s="1626">
        <v>1.5707088678632171</v>
      </c>
      <c r="O1758" s="1626"/>
    </row>
    <row r="1759" spans="11:15">
      <c r="K1759" s="1623">
        <v>43816</v>
      </c>
      <c r="L1759" s="1624" t="s">
        <v>2302</v>
      </c>
      <c r="M1759" s="1625">
        <v>1.7089E-2</v>
      </c>
      <c r="N1759" s="1626">
        <v>1.570977286301646</v>
      </c>
      <c r="O1759" s="1626"/>
    </row>
    <row r="1760" spans="11:15">
      <c r="K1760" s="1623">
        <v>43817</v>
      </c>
      <c r="L1760" s="1624" t="s">
        <v>2302</v>
      </c>
      <c r="M1760" s="1625">
        <v>1.7089E-2</v>
      </c>
      <c r="N1760" s="1626">
        <v>1.5712457506101021</v>
      </c>
      <c r="O1760" s="1626"/>
    </row>
    <row r="1761" spans="11:15">
      <c r="K1761" s="1623">
        <v>43818</v>
      </c>
      <c r="L1761" s="1624" t="s">
        <v>2302</v>
      </c>
      <c r="M1761" s="1625">
        <v>1.7089E-2</v>
      </c>
      <c r="N1761" s="1626">
        <v>1.5715142607964236</v>
      </c>
      <c r="O1761" s="1626"/>
    </row>
    <row r="1762" spans="11:15">
      <c r="K1762" s="1623">
        <v>43819</v>
      </c>
      <c r="L1762" s="1624" t="s">
        <v>2302</v>
      </c>
      <c r="M1762" s="1625">
        <v>1.7089E-2</v>
      </c>
      <c r="N1762" s="1626">
        <v>1.5717828168684511</v>
      </c>
      <c r="O1762" s="1626"/>
    </row>
    <row r="1763" spans="11:15">
      <c r="K1763" s="1623">
        <v>43820</v>
      </c>
      <c r="L1763" s="1624"/>
      <c r="M1763" s="1625">
        <v>0</v>
      </c>
      <c r="N1763" s="1626">
        <v>1.5717828168684511</v>
      </c>
      <c r="O1763" s="1626"/>
    </row>
    <row r="1764" spans="11:15">
      <c r="K1764" s="1623">
        <v>43821</v>
      </c>
      <c r="L1764" s="1624"/>
      <c r="M1764" s="1625">
        <v>0</v>
      </c>
      <c r="N1764" s="1626">
        <v>1.5717828168684511</v>
      </c>
      <c r="O1764" s="1626"/>
    </row>
    <row r="1765" spans="11:15">
      <c r="K1765" s="1623">
        <v>43822</v>
      </c>
      <c r="L1765" s="1624" t="s">
        <v>2302</v>
      </c>
      <c r="M1765" s="1625">
        <v>1.7089E-2</v>
      </c>
      <c r="N1765" s="1626">
        <v>1.5720514188340255</v>
      </c>
      <c r="O1765" s="1626"/>
    </row>
    <row r="1766" spans="11:15">
      <c r="K1766" s="1623">
        <v>43823</v>
      </c>
      <c r="L1766" s="1624" t="s">
        <v>2302</v>
      </c>
      <c r="M1766" s="1625">
        <v>1.7089E-2</v>
      </c>
      <c r="N1766" s="1626">
        <v>1.57232006670099</v>
      </c>
      <c r="O1766" s="1626"/>
    </row>
    <row r="1767" spans="11:15">
      <c r="K1767" s="1623">
        <v>43824</v>
      </c>
      <c r="L1767" s="1624"/>
      <c r="M1767" s="1625">
        <v>0</v>
      </c>
      <c r="N1767" s="1626">
        <v>1.57232006670099</v>
      </c>
      <c r="O1767" s="1626"/>
    </row>
    <row r="1768" spans="11:15">
      <c r="K1768" s="1623">
        <v>43825</v>
      </c>
      <c r="L1768" s="1624" t="s">
        <v>2302</v>
      </c>
      <c r="M1768" s="1625">
        <v>1.7089E-2</v>
      </c>
      <c r="N1768" s="1626">
        <v>1.5725887604771884</v>
      </c>
      <c r="O1768" s="1626"/>
    </row>
    <row r="1769" spans="11:15">
      <c r="K1769" s="1623">
        <v>43826</v>
      </c>
      <c r="L1769" s="1624" t="s">
        <v>2302</v>
      </c>
      <c r="M1769" s="1625">
        <v>1.7089E-2</v>
      </c>
      <c r="N1769" s="1626">
        <v>1.5728575001704663</v>
      </c>
      <c r="O1769" s="1626"/>
    </row>
    <row r="1770" spans="11:15">
      <c r="K1770" s="1623">
        <v>43827</v>
      </c>
      <c r="L1770" s="1624"/>
      <c r="M1770" s="1625">
        <v>0</v>
      </c>
      <c r="N1770" s="1626">
        <v>1.5728575001704663</v>
      </c>
      <c r="O1770" s="1626"/>
    </row>
    <row r="1771" spans="11:15">
      <c r="K1771" s="1623">
        <v>43828</v>
      </c>
      <c r="L1771" s="1624"/>
      <c r="M1771" s="1625">
        <v>0</v>
      </c>
      <c r="N1771" s="1626">
        <v>1.5728575001704663</v>
      </c>
      <c r="O1771" s="1626"/>
    </row>
    <row r="1772" spans="11:15">
      <c r="K1772" s="1623">
        <v>43829</v>
      </c>
      <c r="L1772" s="1624" t="s">
        <v>2302</v>
      </c>
      <c r="M1772" s="1625">
        <v>1.7089E-2</v>
      </c>
      <c r="N1772" s="1626">
        <v>1.5731262857886703</v>
      </c>
      <c r="O1772" s="1626"/>
    </row>
    <row r="1773" spans="11:15">
      <c r="K1773" s="1623">
        <v>43830</v>
      </c>
      <c r="L1773" s="1624" t="s">
        <v>2302</v>
      </c>
      <c r="M1773" s="1625">
        <v>1.7089E-2</v>
      </c>
      <c r="N1773" s="1626">
        <v>1.5733951173396485</v>
      </c>
      <c r="O1773" s="1626"/>
    </row>
    <row r="1774" spans="11:15">
      <c r="K1774" s="1623">
        <v>43831</v>
      </c>
      <c r="L1774" s="1624"/>
      <c r="M1774" s="1625">
        <v>0</v>
      </c>
      <c r="N1774" s="1626">
        <v>1.5733951173396485</v>
      </c>
      <c r="O1774" s="1626"/>
    </row>
    <row r="1775" spans="11:15">
      <c r="K1775" s="1623">
        <v>43832</v>
      </c>
      <c r="L1775" s="1624" t="s">
        <v>2302</v>
      </c>
      <c r="M1775" s="1625">
        <v>1.7089E-2</v>
      </c>
      <c r="N1775" s="1626">
        <v>1.5736639948312505</v>
      </c>
      <c r="O1775" s="1626"/>
    </row>
    <row r="1776" spans="11:15">
      <c r="K1776" s="1623">
        <v>43833</v>
      </c>
      <c r="L1776" s="1624" t="s">
        <v>2302</v>
      </c>
      <c r="M1776" s="1625">
        <v>1.7089E-2</v>
      </c>
      <c r="N1776" s="1626">
        <v>1.5739329182713271</v>
      </c>
      <c r="O1776" s="1626"/>
    </row>
    <row r="1777" spans="11:15">
      <c r="K1777" s="1623">
        <v>43834</v>
      </c>
      <c r="L1777" s="1624"/>
      <c r="M1777" s="1625">
        <v>0</v>
      </c>
      <c r="N1777" s="1626">
        <v>1.5739329182713271</v>
      </c>
      <c r="O1777" s="1626"/>
    </row>
    <row r="1778" spans="11:15">
      <c r="K1778" s="1623">
        <v>43835</v>
      </c>
      <c r="L1778" s="1624"/>
      <c r="M1778" s="1625">
        <v>0</v>
      </c>
      <c r="N1778" s="1626">
        <v>1.5739329182713271</v>
      </c>
      <c r="O1778" s="1626"/>
    </row>
    <row r="1779" spans="11:15">
      <c r="K1779" s="1623">
        <v>43836</v>
      </c>
      <c r="L1779" s="1624" t="s">
        <v>2302</v>
      </c>
      <c r="M1779" s="1625">
        <v>1.7089E-2</v>
      </c>
      <c r="N1779" s="1626">
        <v>1.5742018876677304</v>
      </c>
      <c r="O1779" s="1626"/>
    </row>
    <row r="1780" spans="11:15">
      <c r="K1780" s="1623">
        <v>43837</v>
      </c>
      <c r="L1780" s="1624" t="s">
        <v>2302</v>
      </c>
      <c r="M1780" s="1625">
        <v>1.7089E-2</v>
      </c>
      <c r="N1780" s="1626">
        <v>1.5744709030283137</v>
      </c>
      <c r="O1780" s="1626"/>
    </row>
    <row r="1781" spans="11:15">
      <c r="K1781" s="1623">
        <v>43838</v>
      </c>
      <c r="L1781" s="1624" t="s">
        <v>2302</v>
      </c>
      <c r="M1781" s="1625">
        <v>1.7089E-2</v>
      </c>
      <c r="N1781" s="1626">
        <v>1.5747399643609321</v>
      </c>
      <c r="O1781" s="1626"/>
    </row>
    <row r="1782" spans="11:15">
      <c r="K1782" s="1623">
        <v>43839</v>
      </c>
      <c r="L1782" s="1624" t="s">
        <v>2302</v>
      </c>
      <c r="M1782" s="1625">
        <v>1.7089E-2</v>
      </c>
      <c r="N1782" s="1626">
        <v>1.5750090716734417</v>
      </c>
      <c r="O1782" s="1626"/>
    </row>
    <row r="1783" spans="11:15">
      <c r="K1783" s="1623">
        <v>43840</v>
      </c>
      <c r="L1783" s="1624" t="s">
        <v>2302</v>
      </c>
      <c r="M1783" s="1625">
        <v>1.7089E-2</v>
      </c>
      <c r="N1783" s="1626">
        <v>1.5752782249736998</v>
      </c>
      <c r="O1783" s="1626"/>
    </row>
    <row r="1784" spans="11:15">
      <c r="K1784" s="1623">
        <v>43841</v>
      </c>
      <c r="L1784" s="1624"/>
      <c r="M1784" s="1625">
        <v>0</v>
      </c>
      <c r="N1784" s="1626">
        <v>1.5752782249736998</v>
      </c>
      <c r="O1784" s="1626"/>
    </row>
    <row r="1785" spans="11:15">
      <c r="K1785" s="1623">
        <v>43842</v>
      </c>
      <c r="L1785" s="1624"/>
      <c r="M1785" s="1625">
        <v>0</v>
      </c>
      <c r="N1785" s="1626">
        <v>1.5752782249736998</v>
      </c>
      <c r="O1785" s="1626"/>
    </row>
    <row r="1786" spans="11:15">
      <c r="K1786" s="1623">
        <v>43843</v>
      </c>
      <c r="L1786" s="1624" t="s">
        <v>2302</v>
      </c>
      <c r="M1786" s="1625">
        <v>1.7089E-2</v>
      </c>
      <c r="N1786" s="1626">
        <v>1.5755474242695655</v>
      </c>
      <c r="O1786" s="1626"/>
    </row>
    <row r="1787" spans="11:15">
      <c r="K1787" s="1623">
        <v>43844</v>
      </c>
      <c r="L1787" s="1624" t="s">
        <v>2302</v>
      </c>
      <c r="M1787" s="1625">
        <v>1.7089E-2</v>
      </c>
      <c r="N1787" s="1626">
        <v>1.5758166695688989</v>
      </c>
      <c r="O1787" s="1626"/>
    </row>
    <row r="1788" spans="11:15">
      <c r="K1788" s="1623">
        <v>43845</v>
      </c>
      <c r="L1788" s="1624" t="s">
        <v>2302</v>
      </c>
      <c r="M1788" s="1625">
        <v>1.7089E-2</v>
      </c>
      <c r="N1788" s="1626">
        <v>1.5760859608795614</v>
      </c>
      <c r="O1788" s="1626"/>
    </row>
    <row r="1789" spans="11:15">
      <c r="K1789" s="1623">
        <v>43846</v>
      </c>
      <c r="L1789" s="1624" t="s">
        <v>2302</v>
      </c>
      <c r="M1789" s="1625">
        <v>1.7089E-2</v>
      </c>
      <c r="N1789" s="1626">
        <v>1.576355298209416</v>
      </c>
      <c r="O1789" s="1626"/>
    </row>
    <row r="1790" spans="11:15">
      <c r="K1790" s="1623">
        <v>43847</v>
      </c>
      <c r="L1790" s="1624" t="s">
        <v>2302</v>
      </c>
      <c r="M1790" s="1625">
        <v>1.7089E-2</v>
      </c>
      <c r="N1790" s="1626">
        <v>1.576624681566327</v>
      </c>
      <c r="O1790" s="1626"/>
    </row>
    <row r="1791" spans="11:15">
      <c r="K1791" s="1623">
        <v>43848</v>
      </c>
      <c r="L1791" s="1624"/>
      <c r="M1791" s="1625">
        <v>0</v>
      </c>
      <c r="N1791" s="1626">
        <v>1.576624681566327</v>
      </c>
      <c r="O1791" s="1626"/>
    </row>
    <row r="1792" spans="11:15">
      <c r="K1792" s="1623">
        <v>43849</v>
      </c>
      <c r="L1792" s="1624"/>
      <c r="M1792" s="1625">
        <v>0</v>
      </c>
      <c r="N1792" s="1626">
        <v>1.576624681566327</v>
      </c>
      <c r="O1792" s="1626"/>
    </row>
    <row r="1793" spans="11:15">
      <c r="K1793" s="1623">
        <v>43850</v>
      </c>
      <c r="L1793" s="1624" t="s">
        <v>2302</v>
      </c>
      <c r="M1793" s="1625">
        <v>1.7089E-2</v>
      </c>
      <c r="N1793" s="1626">
        <v>1.5768941109581598</v>
      </c>
      <c r="O1793" s="1626"/>
    </row>
    <row r="1794" spans="11:15">
      <c r="K1794" s="1623">
        <v>43851</v>
      </c>
      <c r="L1794" s="1624" t="s">
        <v>2302</v>
      </c>
      <c r="M1794" s="1625">
        <v>1.7089E-2</v>
      </c>
      <c r="N1794" s="1626">
        <v>1.5771635863927813</v>
      </c>
      <c r="O1794" s="1626"/>
    </row>
    <row r="1795" spans="11:15">
      <c r="K1795" s="1623">
        <v>43852</v>
      </c>
      <c r="L1795" s="1624" t="s">
        <v>2302</v>
      </c>
      <c r="M1795" s="1625">
        <v>1.7089E-2</v>
      </c>
      <c r="N1795" s="1626">
        <v>1.5774331078780599</v>
      </c>
      <c r="O1795" s="1626"/>
    </row>
    <row r="1796" spans="11:15">
      <c r="K1796" s="1623">
        <v>43853</v>
      </c>
      <c r="L1796" s="1624" t="s">
        <v>2302</v>
      </c>
      <c r="M1796" s="1625">
        <v>1.7089E-2</v>
      </c>
      <c r="N1796" s="1626">
        <v>1.577702675421865</v>
      </c>
      <c r="O1796" s="1626"/>
    </row>
    <row r="1797" spans="11:15">
      <c r="K1797" s="1623">
        <v>43854</v>
      </c>
      <c r="L1797" s="1624" t="s">
        <v>2302</v>
      </c>
      <c r="M1797" s="1625">
        <v>1.7089E-2</v>
      </c>
      <c r="N1797" s="1626">
        <v>1.5779722890320678</v>
      </c>
      <c r="O1797" s="1626"/>
    </row>
    <row r="1798" spans="11:15">
      <c r="K1798" s="1623">
        <v>43855</v>
      </c>
      <c r="L1798" s="1624"/>
      <c r="M1798" s="1625">
        <v>0</v>
      </c>
      <c r="N1798" s="1626">
        <v>1.5779722890320678</v>
      </c>
      <c r="O1798" s="1626"/>
    </row>
    <row r="1799" spans="11:15">
      <c r="K1799" s="1623">
        <v>43856</v>
      </c>
      <c r="L1799" s="1624"/>
      <c r="M1799" s="1625">
        <v>0</v>
      </c>
      <c r="N1799" s="1626">
        <v>1.5779722890320678</v>
      </c>
      <c r="O1799" s="1626"/>
    </row>
    <row r="1800" spans="11:15">
      <c r="K1800" s="1623">
        <v>43857</v>
      </c>
      <c r="L1800" s="1624" t="s">
        <v>2302</v>
      </c>
      <c r="M1800" s="1625">
        <v>1.7089E-2</v>
      </c>
      <c r="N1800" s="1626">
        <v>1.5782419487165404</v>
      </c>
      <c r="O1800" s="1626"/>
    </row>
    <row r="1801" spans="11:15">
      <c r="K1801" s="1623">
        <v>43858</v>
      </c>
      <c r="L1801" s="1624" t="s">
        <v>2302</v>
      </c>
      <c r="M1801" s="1625">
        <v>1.7089E-2</v>
      </c>
      <c r="N1801" s="1626">
        <v>1.5785116544831566</v>
      </c>
      <c r="O1801" s="1626"/>
    </row>
    <row r="1802" spans="11:15">
      <c r="K1802" s="1623">
        <v>43859</v>
      </c>
      <c r="L1802" s="1624" t="s">
        <v>2302</v>
      </c>
      <c r="M1802" s="1625">
        <v>1.7089E-2</v>
      </c>
      <c r="N1802" s="1626">
        <v>1.5787814063397911</v>
      </c>
      <c r="O1802" s="1626"/>
    </row>
    <row r="1803" spans="11:15">
      <c r="K1803" s="1623">
        <v>43860</v>
      </c>
      <c r="L1803" s="1624" t="s">
        <v>2302</v>
      </c>
      <c r="M1803" s="1625">
        <v>1.7089E-2</v>
      </c>
      <c r="N1803" s="1626">
        <v>1.5790512042943203</v>
      </c>
      <c r="O1803" s="1626"/>
    </row>
    <row r="1804" spans="11:15">
      <c r="K1804" s="1623">
        <v>43861</v>
      </c>
      <c r="L1804" s="1624" t="s">
        <v>2302</v>
      </c>
      <c r="M1804" s="1625">
        <v>1.7089E-2</v>
      </c>
      <c r="N1804" s="1626">
        <v>1.5793210483546221</v>
      </c>
      <c r="O1804" s="1626"/>
    </row>
    <row r="1805" spans="11:15">
      <c r="K1805" s="1623">
        <v>43862</v>
      </c>
      <c r="L1805" s="1624"/>
      <c r="M1805" s="1625">
        <v>0</v>
      </c>
      <c r="N1805" s="1626">
        <v>1.5793210483546221</v>
      </c>
      <c r="O1805" s="1626"/>
    </row>
    <row r="1806" spans="11:15">
      <c r="K1806" s="1623">
        <v>43863</v>
      </c>
      <c r="L1806" s="1624"/>
      <c r="M1806" s="1625">
        <v>0</v>
      </c>
      <c r="N1806" s="1626">
        <v>1.5793210483546221</v>
      </c>
      <c r="O1806" s="1626"/>
    </row>
    <row r="1807" spans="11:15">
      <c r="K1807" s="1623">
        <v>43864</v>
      </c>
      <c r="L1807" s="1624" t="s">
        <v>2302</v>
      </c>
      <c r="M1807" s="1625">
        <v>1.7089E-2</v>
      </c>
      <c r="N1807" s="1626">
        <v>1.5795909385285754</v>
      </c>
      <c r="O1807" s="1626"/>
    </row>
    <row r="1808" spans="11:15">
      <c r="K1808" s="1623">
        <v>43865</v>
      </c>
      <c r="L1808" s="1624" t="s">
        <v>2302</v>
      </c>
      <c r="M1808" s="1625">
        <v>1.7089E-2</v>
      </c>
      <c r="N1808" s="1626">
        <v>1.5798608748240603</v>
      </c>
      <c r="O1808" s="1626"/>
    </row>
    <row r="1809" spans="11:15">
      <c r="K1809" s="1623">
        <v>43866</v>
      </c>
      <c r="L1809" s="1624" t="s">
        <v>2302</v>
      </c>
      <c r="M1809" s="1625">
        <v>1.7089E-2</v>
      </c>
      <c r="N1809" s="1626">
        <v>1.580130857248959</v>
      </c>
      <c r="O1809" s="1626"/>
    </row>
    <row r="1810" spans="11:15">
      <c r="K1810" s="1623">
        <v>43867</v>
      </c>
      <c r="L1810" s="1624" t="s">
        <v>2302</v>
      </c>
      <c r="M1810" s="1625">
        <v>1.6136999999999999E-2</v>
      </c>
      <c r="N1810" s="1626">
        <v>1.5803858429653934</v>
      </c>
      <c r="O1810" s="1626"/>
    </row>
    <row r="1811" spans="11:15">
      <c r="K1811" s="1623">
        <v>43868</v>
      </c>
      <c r="L1811" s="1624" t="s">
        <v>2302</v>
      </c>
      <c r="M1811" s="1625">
        <v>1.6136999999999999E-2</v>
      </c>
      <c r="N1811" s="1626">
        <v>1.5806408698288728</v>
      </c>
      <c r="O1811" s="1626"/>
    </row>
    <row r="1812" spans="11:15">
      <c r="K1812" s="1623">
        <v>43869</v>
      </c>
      <c r="L1812" s="1624"/>
      <c r="M1812" s="1625">
        <v>0</v>
      </c>
      <c r="N1812" s="1626">
        <v>1.5806408698288728</v>
      </c>
      <c r="O1812" s="1626"/>
    </row>
    <row r="1813" spans="11:15">
      <c r="K1813" s="1623">
        <v>43870</v>
      </c>
      <c r="L1813" s="1624"/>
      <c r="M1813" s="1625">
        <v>0</v>
      </c>
      <c r="N1813" s="1626">
        <v>1.5806408698288728</v>
      </c>
      <c r="O1813" s="1626"/>
    </row>
    <row r="1814" spans="11:15">
      <c r="K1814" s="1623">
        <v>43871</v>
      </c>
      <c r="L1814" s="1624" t="s">
        <v>2302</v>
      </c>
      <c r="M1814" s="1625">
        <v>1.6136999999999999E-2</v>
      </c>
      <c r="N1814" s="1626">
        <v>1.5808959378460372</v>
      </c>
      <c r="O1814" s="1626"/>
    </row>
    <row r="1815" spans="11:15">
      <c r="K1815" s="1623">
        <v>43872</v>
      </c>
      <c r="L1815" s="1624" t="s">
        <v>2302</v>
      </c>
      <c r="M1815" s="1625">
        <v>1.6136999999999999E-2</v>
      </c>
      <c r="N1815" s="1626">
        <v>1.5811510470235275</v>
      </c>
      <c r="O1815" s="1626"/>
    </row>
    <row r="1816" spans="11:15">
      <c r="K1816" s="1623">
        <v>43873</v>
      </c>
      <c r="L1816" s="1624" t="s">
        <v>2302</v>
      </c>
      <c r="M1816" s="1625">
        <v>1.6136999999999999E-2</v>
      </c>
      <c r="N1816" s="1626">
        <v>1.5814061973679858</v>
      </c>
      <c r="O1816" s="1626"/>
    </row>
    <row r="1817" spans="11:15">
      <c r="K1817" s="1623">
        <v>43874</v>
      </c>
      <c r="L1817" s="1624" t="s">
        <v>2302</v>
      </c>
      <c r="M1817" s="1625">
        <v>1.6136999999999999E-2</v>
      </c>
      <c r="N1817" s="1626">
        <v>1.5816613888860551</v>
      </c>
      <c r="O1817" s="1626"/>
    </row>
    <row r="1818" spans="11:15">
      <c r="K1818" s="1623">
        <v>43875</v>
      </c>
      <c r="L1818" s="1624" t="s">
        <v>2302</v>
      </c>
      <c r="M1818" s="1625">
        <v>1.6136999999999999E-2</v>
      </c>
      <c r="N1818" s="1626">
        <v>1.5819166215843798</v>
      </c>
      <c r="O1818" s="1626"/>
    </row>
    <row r="1819" spans="11:15">
      <c r="K1819" s="1623">
        <v>43876</v>
      </c>
      <c r="L1819" s="1624"/>
      <c r="M1819" s="1625">
        <v>0</v>
      </c>
      <c r="N1819" s="1626">
        <v>1.5819166215843798</v>
      </c>
      <c r="O1819" s="1626"/>
    </row>
    <row r="1820" spans="11:15">
      <c r="K1820" s="1623">
        <v>43877</v>
      </c>
      <c r="L1820" s="1624"/>
      <c r="M1820" s="1625">
        <v>0</v>
      </c>
      <c r="N1820" s="1626">
        <v>1.5819166215843798</v>
      </c>
      <c r="O1820" s="1626"/>
    </row>
    <row r="1821" spans="11:15">
      <c r="K1821" s="1623">
        <v>43878</v>
      </c>
      <c r="L1821" s="1624" t="s">
        <v>2302</v>
      </c>
      <c r="M1821" s="1625">
        <v>1.6136999999999999E-2</v>
      </c>
      <c r="N1821" s="1626">
        <v>1.5821718954696049</v>
      </c>
      <c r="O1821" s="1626"/>
    </row>
    <row r="1822" spans="11:15">
      <c r="K1822" s="1623">
        <v>43879</v>
      </c>
      <c r="L1822" s="1624" t="s">
        <v>2302</v>
      </c>
      <c r="M1822" s="1625">
        <v>1.6136999999999999E-2</v>
      </c>
      <c r="N1822" s="1626">
        <v>1.582427210548377</v>
      </c>
      <c r="O1822" s="1626"/>
    </row>
    <row r="1823" spans="11:15">
      <c r="K1823" s="1623">
        <v>43880</v>
      </c>
      <c r="L1823" s="1624" t="s">
        <v>2302</v>
      </c>
      <c r="M1823" s="1625">
        <v>1.6136999999999999E-2</v>
      </c>
      <c r="N1823" s="1626">
        <v>1.5826825668273432</v>
      </c>
      <c r="O1823" s="1626"/>
    </row>
    <row r="1824" spans="11:15">
      <c r="K1824" s="1623">
        <v>43881</v>
      </c>
      <c r="L1824" s="1624" t="s">
        <v>2302</v>
      </c>
      <c r="M1824" s="1625">
        <v>1.6136999999999999E-2</v>
      </c>
      <c r="N1824" s="1626">
        <v>1.5829379643131523</v>
      </c>
      <c r="O1824" s="1626"/>
    </row>
    <row r="1825" spans="11:15">
      <c r="K1825" s="1623">
        <v>43882</v>
      </c>
      <c r="L1825" s="1624" t="s">
        <v>2302</v>
      </c>
      <c r="M1825" s="1625">
        <v>1.6136999999999999E-2</v>
      </c>
      <c r="N1825" s="1626">
        <v>1.5831934030124535</v>
      </c>
      <c r="O1825" s="1626"/>
    </row>
    <row r="1826" spans="11:15">
      <c r="K1826" s="1623">
        <v>43883</v>
      </c>
      <c r="L1826" s="1624"/>
      <c r="M1826" s="1625">
        <v>0</v>
      </c>
      <c r="N1826" s="1626">
        <v>1.5831934030124535</v>
      </c>
      <c r="O1826" s="1626"/>
    </row>
    <row r="1827" spans="11:15">
      <c r="K1827" s="1623">
        <v>43884</v>
      </c>
      <c r="L1827" s="1624"/>
      <c r="M1827" s="1625">
        <v>0</v>
      </c>
      <c r="N1827" s="1626">
        <v>1.5831934030124535</v>
      </c>
      <c r="O1827" s="1626"/>
    </row>
    <row r="1828" spans="11:15">
      <c r="K1828" s="1623">
        <v>43885</v>
      </c>
      <c r="L1828" s="1624"/>
      <c r="M1828" s="1625">
        <v>0</v>
      </c>
      <c r="N1828" s="1626">
        <v>1.5831934030124535</v>
      </c>
      <c r="O1828" s="1626"/>
    </row>
    <row r="1829" spans="11:15">
      <c r="K1829" s="1623">
        <v>43886</v>
      </c>
      <c r="L1829" s="1624"/>
      <c r="M1829" s="1625">
        <v>0</v>
      </c>
      <c r="N1829" s="1626">
        <v>1.5831934030124535</v>
      </c>
      <c r="O1829" s="1626"/>
    </row>
    <row r="1830" spans="11:15">
      <c r="K1830" s="1623">
        <v>43887</v>
      </c>
      <c r="L1830" s="1624" t="s">
        <v>2302</v>
      </c>
      <c r="M1830" s="1625">
        <v>1.6136999999999999E-2</v>
      </c>
      <c r="N1830" s="1626">
        <v>1.5834488829318978</v>
      </c>
      <c r="O1830" s="1626"/>
    </row>
    <row r="1831" spans="11:15">
      <c r="K1831" s="1623">
        <v>43888</v>
      </c>
      <c r="L1831" s="1624" t="s">
        <v>2302</v>
      </c>
      <c r="M1831" s="1625">
        <v>1.6136999999999999E-2</v>
      </c>
      <c r="N1831" s="1626">
        <v>1.5837044040781365</v>
      </c>
      <c r="O1831" s="1626"/>
    </row>
    <row r="1832" spans="11:15">
      <c r="K1832" s="1623">
        <v>43889</v>
      </c>
      <c r="L1832" s="1624" t="s">
        <v>2302</v>
      </c>
      <c r="M1832" s="1625">
        <v>1.6136999999999999E-2</v>
      </c>
      <c r="N1832" s="1626">
        <v>1.5839599664578228</v>
      </c>
      <c r="O1832" s="1626"/>
    </row>
    <row r="1833" spans="11:15">
      <c r="K1833" s="1623">
        <v>43890</v>
      </c>
      <c r="L1833" s="1624"/>
      <c r="M1833" s="1625">
        <v>0</v>
      </c>
      <c r="N1833" s="1626">
        <v>1.5839599664578228</v>
      </c>
      <c r="O1833" s="1626"/>
    </row>
    <row r="1834" spans="11:15">
      <c r="K1834" s="1623">
        <v>43891</v>
      </c>
      <c r="L1834" s="1624"/>
      <c r="M1834" s="1625">
        <v>0</v>
      </c>
      <c r="N1834" s="1626">
        <v>1.5839599664578228</v>
      </c>
      <c r="O1834" s="1626"/>
    </row>
    <row r="1835" spans="11:15">
      <c r="K1835" s="1623">
        <v>43892</v>
      </c>
      <c r="L1835" s="1624" t="s">
        <v>2302</v>
      </c>
      <c r="M1835" s="1625">
        <v>1.6136999999999999E-2</v>
      </c>
      <c r="N1835" s="1626">
        <v>1.5842155700776102</v>
      </c>
      <c r="O1835" s="1626"/>
    </row>
    <row r="1836" spans="11:15">
      <c r="K1836" s="1623">
        <v>43893</v>
      </c>
      <c r="L1836" s="1624" t="s">
        <v>2302</v>
      </c>
      <c r="M1836" s="1625">
        <v>1.6136999999999999E-2</v>
      </c>
      <c r="N1836" s="1626">
        <v>1.5844712149441535</v>
      </c>
      <c r="O1836" s="1626"/>
    </row>
    <row r="1837" spans="11:15">
      <c r="K1837" s="1623">
        <v>43894</v>
      </c>
      <c r="L1837" s="1624" t="s">
        <v>2302</v>
      </c>
      <c r="M1837" s="1625">
        <v>1.6136999999999999E-2</v>
      </c>
      <c r="N1837" s="1626">
        <v>1.5847269010641092</v>
      </c>
      <c r="O1837" s="1626"/>
    </row>
    <row r="1838" spans="11:15">
      <c r="K1838" s="1623">
        <v>43895</v>
      </c>
      <c r="L1838" s="1624" t="s">
        <v>2302</v>
      </c>
      <c r="M1838" s="1625">
        <v>1.6136999999999999E-2</v>
      </c>
      <c r="N1838" s="1626">
        <v>1.584982628444134</v>
      </c>
      <c r="O1838" s="1626"/>
    </row>
    <row r="1839" spans="11:15">
      <c r="K1839" s="1623">
        <v>43896</v>
      </c>
      <c r="L1839" s="1624" t="s">
        <v>2302</v>
      </c>
      <c r="M1839" s="1625">
        <v>1.6136999999999999E-2</v>
      </c>
      <c r="N1839" s="1626">
        <v>1.5852383970908861</v>
      </c>
      <c r="O1839" s="1626"/>
    </row>
    <row r="1840" spans="11:15">
      <c r="K1840" s="1623">
        <v>43897</v>
      </c>
      <c r="L1840" s="1624"/>
      <c r="M1840" s="1625">
        <v>0</v>
      </c>
      <c r="N1840" s="1626">
        <v>1.5852383970908861</v>
      </c>
      <c r="O1840" s="1626"/>
    </row>
    <row r="1841" spans="11:15">
      <c r="K1841" s="1623">
        <v>43898</v>
      </c>
      <c r="L1841" s="1624"/>
      <c r="M1841" s="1625">
        <v>0</v>
      </c>
      <c r="N1841" s="1626">
        <v>1.5852383970908861</v>
      </c>
      <c r="O1841" s="1626"/>
    </row>
    <row r="1842" spans="11:15">
      <c r="K1842" s="1623">
        <v>43899</v>
      </c>
      <c r="L1842" s="1624" t="s">
        <v>2302</v>
      </c>
      <c r="M1842" s="1625">
        <v>1.6136999999999999E-2</v>
      </c>
      <c r="N1842" s="1626">
        <v>1.5854942070110247</v>
      </c>
      <c r="O1842" s="1626"/>
    </row>
    <row r="1843" spans="11:15">
      <c r="K1843" s="1623">
        <v>43900</v>
      </c>
      <c r="L1843" s="1624" t="s">
        <v>2302</v>
      </c>
      <c r="M1843" s="1625">
        <v>1.6136999999999999E-2</v>
      </c>
      <c r="N1843" s="1626">
        <v>1.5857500582112101</v>
      </c>
      <c r="O1843" s="1626"/>
    </row>
    <row r="1844" spans="11:15">
      <c r="K1844" s="1623">
        <v>43901</v>
      </c>
      <c r="L1844" s="1624" t="s">
        <v>2302</v>
      </c>
      <c r="M1844" s="1625">
        <v>1.6136999999999999E-2</v>
      </c>
      <c r="N1844" s="1626">
        <v>1.5860059506981037</v>
      </c>
      <c r="O1844" s="1626"/>
    </row>
    <row r="1845" spans="11:15">
      <c r="K1845" s="1623">
        <v>43902</v>
      </c>
      <c r="L1845" s="1624" t="s">
        <v>2302</v>
      </c>
      <c r="M1845" s="1625">
        <v>1.6136999999999999E-2</v>
      </c>
      <c r="N1845" s="1626">
        <v>1.586261884478368</v>
      </c>
      <c r="O1845" s="1626"/>
    </row>
    <row r="1846" spans="11:15">
      <c r="K1846" s="1623">
        <v>43903</v>
      </c>
      <c r="L1846" s="1624" t="s">
        <v>2302</v>
      </c>
      <c r="M1846" s="1625">
        <v>1.6136999999999999E-2</v>
      </c>
      <c r="N1846" s="1626">
        <v>1.5865178595586664</v>
      </c>
      <c r="O1846" s="1626"/>
    </row>
    <row r="1847" spans="11:15">
      <c r="K1847" s="1623">
        <v>43904</v>
      </c>
      <c r="L1847" s="1624"/>
      <c r="M1847" s="1625">
        <v>0</v>
      </c>
      <c r="N1847" s="1626">
        <v>1.5865178595586664</v>
      </c>
      <c r="O1847" s="1626"/>
    </row>
    <row r="1848" spans="11:15">
      <c r="K1848" s="1623">
        <v>43905</v>
      </c>
      <c r="L1848" s="1624"/>
      <c r="M1848" s="1625">
        <v>0</v>
      </c>
      <c r="N1848" s="1626">
        <v>1.5865178595586664</v>
      </c>
      <c r="O1848" s="1626"/>
    </row>
    <row r="1849" spans="11:15">
      <c r="K1849" s="1623">
        <v>43906</v>
      </c>
      <c r="L1849" s="1624" t="s">
        <v>2302</v>
      </c>
      <c r="M1849" s="1625">
        <v>1.6136999999999999E-2</v>
      </c>
      <c r="N1849" s="1626">
        <v>1.5867738759456635</v>
      </c>
      <c r="O1849" s="1626"/>
    </row>
    <row r="1850" spans="11:15">
      <c r="K1850" s="1623">
        <v>43907</v>
      </c>
      <c r="L1850" s="1624" t="s">
        <v>2302</v>
      </c>
      <c r="M1850" s="1625">
        <v>1.6136999999999999E-2</v>
      </c>
      <c r="N1850" s="1626">
        <v>1.587029933646025</v>
      </c>
      <c r="O1850" s="1626"/>
    </row>
    <row r="1851" spans="11:15">
      <c r="K1851" s="1623">
        <v>43908</v>
      </c>
      <c r="L1851" s="1624" t="s">
        <v>2302</v>
      </c>
      <c r="M1851" s="1625">
        <v>1.6136999999999999E-2</v>
      </c>
      <c r="N1851" s="1626">
        <v>1.5872860326664175</v>
      </c>
      <c r="O1851" s="1626"/>
    </row>
    <row r="1852" spans="11:15">
      <c r="K1852" s="1623">
        <v>43909</v>
      </c>
      <c r="L1852" s="1624" t="s">
        <v>2302</v>
      </c>
      <c r="M1852" s="1625">
        <v>1.4227E-2</v>
      </c>
      <c r="N1852" s="1626">
        <v>1.587511855850285</v>
      </c>
      <c r="O1852" s="1626"/>
    </row>
    <row r="1853" spans="11:15">
      <c r="K1853" s="1623">
        <v>43910</v>
      </c>
      <c r="L1853" s="1624" t="s">
        <v>2302</v>
      </c>
      <c r="M1853" s="1625">
        <v>1.4227E-2</v>
      </c>
      <c r="N1853" s="1626">
        <v>1.5877377111620168</v>
      </c>
      <c r="O1853" s="1626"/>
    </row>
    <row r="1854" spans="11:15">
      <c r="K1854" s="1623">
        <v>43911</v>
      </c>
      <c r="L1854" s="1624"/>
      <c r="M1854" s="1625">
        <v>0</v>
      </c>
      <c r="N1854" s="1626">
        <v>1.5877377111620168</v>
      </c>
      <c r="O1854" s="1626"/>
    </row>
    <row r="1855" spans="11:15">
      <c r="K1855" s="1623">
        <v>43912</v>
      </c>
      <c r="L1855" s="1624"/>
      <c r="M1855" s="1625">
        <v>0</v>
      </c>
      <c r="N1855" s="1626">
        <v>1.5877377111620168</v>
      </c>
      <c r="O1855" s="1626"/>
    </row>
    <row r="1856" spans="11:15">
      <c r="K1856" s="1623">
        <v>43913</v>
      </c>
      <c r="L1856" s="1624" t="s">
        <v>2302</v>
      </c>
      <c r="M1856" s="1625">
        <v>1.4227E-2</v>
      </c>
      <c r="N1856" s="1626">
        <v>1.5879635986061837</v>
      </c>
      <c r="O1856" s="1626"/>
    </row>
    <row r="1857" spans="11:15">
      <c r="K1857" s="1623">
        <v>43914</v>
      </c>
      <c r="L1857" s="1624" t="s">
        <v>2302</v>
      </c>
      <c r="M1857" s="1625">
        <v>1.4227E-2</v>
      </c>
      <c r="N1857" s="1626">
        <v>1.5881895181873575</v>
      </c>
      <c r="O1857" s="1626"/>
    </row>
    <row r="1858" spans="11:15">
      <c r="K1858" s="1623">
        <v>43915</v>
      </c>
      <c r="L1858" s="1624" t="s">
        <v>2302</v>
      </c>
      <c r="M1858" s="1625">
        <v>1.4227E-2</v>
      </c>
      <c r="N1858" s="1626">
        <v>1.5884154699101101</v>
      </c>
      <c r="O1858" s="1626"/>
    </row>
    <row r="1859" spans="11:15">
      <c r="K1859" s="1623">
        <v>43916</v>
      </c>
      <c r="L1859" s="1624" t="s">
        <v>2302</v>
      </c>
      <c r="M1859" s="1625">
        <v>1.4227E-2</v>
      </c>
      <c r="N1859" s="1626">
        <v>1.5886414537790141</v>
      </c>
      <c r="O1859" s="1626"/>
    </row>
    <row r="1860" spans="11:15">
      <c r="K1860" s="1623">
        <v>43917</v>
      </c>
      <c r="L1860" s="1624" t="s">
        <v>2302</v>
      </c>
      <c r="M1860" s="1625">
        <v>1.4227E-2</v>
      </c>
      <c r="N1860" s="1626">
        <v>1.5888674697986434</v>
      </c>
      <c r="O1860" s="1626"/>
    </row>
    <row r="1861" spans="11:15">
      <c r="K1861" s="1623">
        <v>43918</v>
      </c>
      <c r="L1861" s="1624"/>
      <c r="M1861" s="1625">
        <v>0</v>
      </c>
      <c r="N1861" s="1626">
        <v>1.5888674697986434</v>
      </c>
      <c r="O1861" s="1626"/>
    </row>
    <row r="1862" spans="11:15">
      <c r="K1862" s="1623">
        <v>43919</v>
      </c>
      <c r="L1862" s="1624"/>
      <c r="M1862" s="1625">
        <v>0</v>
      </c>
      <c r="N1862" s="1626">
        <v>1.5888674697986434</v>
      </c>
      <c r="O1862" s="1626"/>
    </row>
    <row r="1863" spans="11:15">
      <c r="K1863" s="1623">
        <v>43920</v>
      </c>
      <c r="L1863" s="1624" t="s">
        <v>2302</v>
      </c>
      <c r="M1863" s="1625">
        <v>1.4227E-2</v>
      </c>
      <c r="N1863" s="1626">
        <v>1.5890935179735717</v>
      </c>
      <c r="O1863" s="1626"/>
    </row>
    <row r="1864" spans="11:15">
      <c r="K1864" s="1623">
        <v>43921</v>
      </c>
      <c r="L1864" s="1624" t="s">
        <v>2302</v>
      </c>
      <c r="M1864" s="1625">
        <v>1.4227E-2</v>
      </c>
      <c r="N1864" s="1626">
        <v>1.5893195983083739</v>
      </c>
      <c r="O1864" s="1626"/>
    </row>
    <row r="1865" spans="11:15">
      <c r="K1865" s="1623">
        <v>43922</v>
      </c>
      <c r="L1865" s="1624" t="s">
        <v>2302</v>
      </c>
      <c r="M1865" s="1625">
        <v>1.4227E-2</v>
      </c>
      <c r="N1865" s="1626">
        <v>1.5895457108076252</v>
      </c>
      <c r="O1865" s="1626"/>
    </row>
    <row r="1866" spans="11:15">
      <c r="K1866" s="1623">
        <v>43923</v>
      </c>
      <c r="L1866" s="1624" t="s">
        <v>2302</v>
      </c>
      <c r="M1866" s="1625">
        <v>1.4227E-2</v>
      </c>
      <c r="N1866" s="1626">
        <v>1.5897718554759017</v>
      </c>
      <c r="O1866" s="1626"/>
    </row>
    <row r="1867" spans="11:15">
      <c r="K1867" s="1623">
        <v>43924</v>
      </c>
      <c r="L1867" s="1624" t="s">
        <v>2302</v>
      </c>
      <c r="M1867" s="1625">
        <v>1.4227E-2</v>
      </c>
      <c r="N1867" s="1626">
        <v>1.5899980323177803</v>
      </c>
      <c r="O1867" s="1626"/>
    </row>
    <row r="1868" spans="11:15">
      <c r="K1868" s="1623">
        <v>43925</v>
      </c>
      <c r="L1868" s="1624"/>
      <c r="M1868" s="1625">
        <v>0</v>
      </c>
      <c r="N1868" s="1626">
        <v>1.5899980323177803</v>
      </c>
      <c r="O1868" s="1626"/>
    </row>
    <row r="1869" spans="11:15">
      <c r="K1869" s="1623">
        <v>43926</v>
      </c>
      <c r="L1869" s="1624"/>
      <c r="M1869" s="1625">
        <v>0</v>
      </c>
      <c r="N1869" s="1626">
        <v>1.5899980323177803</v>
      </c>
      <c r="O1869" s="1626"/>
    </row>
    <row r="1870" spans="11:15">
      <c r="K1870" s="1623">
        <v>43927</v>
      </c>
      <c r="L1870" s="1624" t="s">
        <v>2302</v>
      </c>
      <c r="M1870" s="1625">
        <v>1.4227E-2</v>
      </c>
      <c r="N1870" s="1626">
        <v>1.590224241337838</v>
      </c>
      <c r="O1870" s="1626"/>
    </row>
    <row r="1871" spans="11:15">
      <c r="K1871" s="1623">
        <v>43928</v>
      </c>
      <c r="L1871" s="1624" t="s">
        <v>2302</v>
      </c>
      <c r="M1871" s="1625">
        <v>1.4227E-2</v>
      </c>
      <c r="N1871" s="1626">
        <v>1.5904504825406531</v>
      </c>
      <c r="O1871" s="1626"/>
    </row>
    <row r="1872" spans="11:15">
      <c r="K1872" s="1623">
        <v>43929</v>
      </c>
      <c r="L1872" s="1624" t="s">
        <v>2302</v>
      </c>
      <c r="M1872" s="1625">
        <v>1.4227E-2</v>
      </c>
      <c r="N1872" s="1626">
        <v>1.5906767559308042</v>
      </c>
      <c r="O1872" s="1626"/>
    </row>
    <row r="1873" spans="11:15">
      <c r="K1873" s="1623">
        <v>43930</v>
      </c>
      <c r="L1873" s="1624" t="s">
        <v>2302</v>
      </c>
      <c r="M1873" s="1625">
        <v>1.4227E-2</v>
      </c>
      <c r="N1873" s="1626">
        <v>1.5909030615128705</v>
      </c>
      <c r="O1873" s="1626"/>
    </row>
    <row r="1874" spans="11:15">
      <c r="K1874" s="1623">
        <v>43931</v>
      </c>
      <c r="L1874" s="1624"/>
      <c r="M1874" s="1625">
        <v>0</v>
      </c>
      <c r="N1874" s="1626">
        <v>1.5909030615128705</v>
      </c>
      <c r="O1874" s="1626"/>
    </row>
    <row r="1875" spans="11:15">
      <c r="K1875" s="1623">
        <v>43932</v>
      </c>
      <c r="L1875" s="1624"/>
      <c r="M1875" s="1625">
        <v>0</v>
      </c>
      <c r="N1875" s="1626">
        <v>1.5909030615128705</v>
      </c>
      <c r="O1875" s="1626"/>
    </row>
    <row r="1876" spans="11:15">
      <c r="K1876" s="1623">
        <v>43933</v>
      </c>
      <c r="L1876" s="1624"/>
      <c r="M1876" s="1625">
        <v>0</v>
      </c>
      <c r="N1876" s="1626">
        <v>1.5909030615128705</v>
      </c>
      <c r="O1876" s="1626"/>
    </row>
    <row r="1877" spans="11:15">
      <c r="K1877" s="1623">
        <v>43934</v>
      </c>
      <c r="L1877" s="1624" t="s">
        <v>2302</v>
      </c>
      <c r="M1877" s="1625">
        <v>1.4227E-2</v>
      </c>
      <c r="N1877" s="1626">
        <v>1.5911293992914319</v>
      </c>
      <c r="O1877" s="1626"/>
    </row>
    <row r="1878" spans="11:15">
      <c r="K1878" s="1623">
        <v>43935</v>
      </c>
      <c r="L1878" s="1624" t="s">
        <v>2302</v>
      </c>
      <c r="M1878" s="1625">
        <v>1.4227E-2</v>
      </c>
      <c r="N1878" s="1626">
        <v>1.5913557692710691</v>
      </c>
      <c r="O1878" s="1626"/>
    </row>
    <row r="1879" spans="11:15">
      <c r="K1879" s="1623">
        <v>43936</v>
      </c>
      <c r="L1879" s="1624" t="s">
        <v>2302</v>
      </c>
      <c r="M1879" s="1625">
        <v>1.4227E-2</v>
      </c>
      <c r="N1879" s="1626">
        <v>1.5915821714563634</v>
      </c>
      <c r="O1879" s="1626"/>
    </row>
    <row r="1880" spans="11:15">
      <c r="K1880" s="1623">
        <v>43937</v>
      </c>
      <c r="L1880" s="1624" t="s">
        <v>2302</v>
      </c>
      <c r="M1880" s="1625">
        <v>1.4227E-2</v>
      </c>
      <c r="N1880" s="1626">
        <v>1.5918086058518965</v>
      </c>
      <c r="O1880" s="1626"/>
    </row>
    <row r="1881" spans="11:15">
      <c r="K1881" s="1623">
        <v>43938</v>
      </c>
      <c r="L1881" s="1624" t="s">
        <v>2302</v>
      </c>
      <c r="M1881" s="1625">
        <v>1.4227E-2</v>
      </c>
      <c r="N1881" s="1626">
        <v>1.5920350724622512</v>
      </c>
      <c r="O1881" s="1626"/>
    </row>
    <row r="1882" spans="11:15">
      <c r="K1882" s="1623">
        <v>43939</v>
      </c>
      <c r="L1882" s="1624"/>
      <c r="M1882" s="1625">
        <v>0</v>
      </c>
      <c r="N1882" s="1626">
        <v>1.5920350724622512</v>
      </c>
      <c r="O1882" s="1626"/>
    </row>
    <row r="1883" spans="11:15">
      <c r="K1883" s="1623">
        <v>43940</v>
      </c>
      <c r="L1883" s="1624"/>
      <c r="M1883" s="1625">
        <v>0</v>
      </c>
      <c r="N1883" s="1626">
        <v>1.5920350724622512</v>
      </c>
      <c r="O1883" s="1626"/>
    </row>
    <row r="1884" spans="11:15">
      <c r="K1884" s="1623">
        <v>43941</v>
      </c>
      <c r="L1884" s="1624" t="s">
        <v>2302</v>
      </c>
      <c r="M1884" s="1625">
        <v>1.4227E-2</v>
      </c>
      <c r="N1884" s="1626">
        <v>1.5922615712920103</v>
      </c>
      <c r="O1884" s="1626"/>
    </row>
    <row r="1885" spans="11:15">
      <c r="K1885" s="1623">
        <v>43942</v>
      </c>
      <c r="L1885" s="1624"/>
      <c r="M1885" s="1625">
        <v>0</v>
      </c>
      <c r="N1885" s="1626">
        <v>1.5922615712920103</v>
      </c>
      <c r="O1885" s="1626"/>
    </row>
    <row r="1886" spans="11:15">
      <c r="K1886" s="1623">
        <v>43943</v>
      </c>
      <c r="L1886" s="1624" t="s">
        <v>2302</v>
      </c>
      <c r="M1886" s="1625">
        <v>1.4227E-2</v>
      </c>
      <c r="N1886" s="1626">
        <v>1.592488102345758</v>
      </c>
      <c r="O1886" s="1626"/>
    </row>
    <row r="1887" spans="11:15">
      <c r="K1887" s="1623">
        <v>43944</v>
      </c>
      <c r="L1887" s="1624" t="s">
        <v>2302</v>
      </c>
      <c r="M1887" s="1625">
        <v>1.4227E-2</v>
      </c>
      <c r="N1887" s="1626">
        <v>1.5927146656280786</v>
      </c>
      <c r="O1887" s="1626"/>
    </row>
    <row r="1888" spans="11:15">
      <c r="K1888" s="1623">
        <v>43945</v>
      </c>
      <c r="L1888" s="1624" t="s">
        <v>2302</v>
      </c>
      <c r="M1888" s="1625">
        <v>1.4227E-2</v>
      </c>
      <c r="N1888" s="1626">
        <v>1.5929412611435576</v>
      </c>
      <c r="O1888" s="1626"/>
    </row>
    <row r="1889" spans="11:15">
      <c r="K1889" s="1623">
        <v>43946</v>
      </c>
      <c r="L1889" s="1624"/>
      <c r="M1889" s="1625">
        <v>0</v>
      </c>
      <c r="N1889" s="1626">
        <v>1.5929412611435576</v>
      </c>
      <c r="O1889" s="1626"/>
    </row>
    <row r="1890" spans="11:15">
      <c r="K1890" s="1623">
        <v>43947</v>
      </c>
      <c r="L1890" s="1624"/>
      <c r="M1890" s="1625">
        <v>0</v>
      </c>
      <c r="N1890" s="1626">
        <v>1.5929412611435576</v>
      </c>
      <c r="O1890" s="1626"/>
    </row>
    <row r="1891" spans="11:15">
      <c r="K1891" s="1623">
        <v>43948</v>
      </c>
      <c r="L1891" s="1624" t="s">
        <v>2302</v>
      </c>
      <c r="M1891" s="1625">
        <v>1.4227E-2</v>
      </c>
      <c r="N1891" s="1626">
        <v>1.5931678888967804</v>
      </c>
      <c r="O1891" s="1626"/>
    </row>
    <row r="1892" spans="11:15">
      <c r="K1892" s="1623">
        <v>43949</v>
      </c>
      <c r="L1892" s="1624" t="s">
        <v>2302</v>
      </c>
      <c r="M1892" s="1625">
        <v>1.4227E-2</v>
      </c>
      <c r="N1892" s="1626">
        <v>1.5933945488923338</v>
      </c>
      <c r="O1892" s="1626"/>
    </row>
    <row r="1893" spans="11:15">
      <c r="K1893" s="1623">
        <v>43950</v>
      </c>
      <c r="L1893" s="1624" t="s">
        <v>2302</v>
      </c>
      <c r="M1893" s="1625">
        <v>1.4227E-2</v>
      </c>
      <c r="N1893" s="1626">
        <v>1.5936212411348047</v>
      </c>
      <c r="O1893" s="1626"/>
    </row>
    <row r="1894" spans="11:15">
      <c r="K1894" s="1623">
        <v>43951</v>
      </c>
      <c r="L1894" s="1624" t="s">
        <v>2302</v>
      </c>
      <c r="M1894" s="1625">
        <v>1.4227E-2</v>
      </c>
      <c r="N1894" s="1626">
        <v>1.5938479656287809</v>
      </c>
      <c r="O1894" s="1626"/>
    </row>
    <row r="1895" spans="11:15">
      <c r="K1895" s="1623">
        <v>43952</v>
      </c>
      <c r="L1895" s="1624"/>
      <c r="M1895" s="1625">
        <v>0</v>
      </c>
      <c r="N1895" s="1626">
        <v>1.5938479656287809</v>
      </c>
      <c r="O1895" s="1626"/>
    </row>
    <row r="1896" spans="11:15">
      <c r="K1896" s="1623">
        <v>43953</v>
      </c>
      <c r="L1896" s="1624"/>
      <c r="M1896" s="1625">
        <v>0</v>
      </c>
      <c r="N1896" s="1626">
        <v>1.5938479656287809</v>
      </c>
      <c r="O1896" s="1626"/>
    </row>
    <row r="1897" spans="11:15">
      <c r="K1897" s="1623">
        <v>43954</v>
      </c>
      <c r="L1897" s="1624"/>
      <c r="M1897" s="1625">
        <v>0</v>
      </c>
      <c r="N1897" s="1626">
        <v>1.5938479656287809</v>
      </c>
      <c r="O1897" s="1626"/>
    </row>
    <row r="1898" spans="11:15">
      <c r="K1898" s="1623">
        <v>43955</v>
      </c>
      <c r="L1898" s="1624" t="s">
        <v>2302</v>
      </c>
      <c r="M1898" s="1625">
        <v>1.4227E-2</v>
      </c>
      <c r="N1898" s="1626">
        <v>1.594074722378851</v>
      </c>
      <c r="O1898" s="1626"/>
    </row>
    <row r="1899" spans="11:15">
      <c r="K1899" s="1623">
        <v>43956</v>
      </c>
      <c r="L1899" s="1624" t="s">
        <v>2302</v>
      </c>
      <c r="M1899" s="1625">
        <v>1.4227E-2</v>
      </c>
      <c r="N1899" s="1626">
        <v>1.5943015113896037</v>
      </c>
      <c r="O1899" s="1626"/>
    </row>
    <row r="1900" spans="11:15">
      <c r="K1900" s="1623">
        <v>43957</v>
      </c>
      <c r="L1900" s="1624" t="s">
        <v>2302</v>
      </c>
      <c r="M1900" s="1625">
        <v>1.4227E-2</v>
      </c>
      <c r="N1900" s="1626">
        <v>1.5945283326656292</v>
      </c>
      <c r="O1900" s="1626"/>
    </row>
    <row r="1901" spans="11:15">
      <c r="K1901" s="1623">
        <v>43958</v>
      </c>
      <c r="L1901" s="1624" t="s">
        <v>2302</v>
      </c>
      <c r="M1901" s="1625">
        <v>1.1344999999999999E-2</v>
      </c>
      <c r="N1901" s="1626">
        <v>1.59470923190497</v>
      </c>
      <c r="O1901" s="1626"/>
    </row>
    <row r="1902" spans="11:15">
      <c r="K1902" s="1623">
        <v>43959</v>
      </c>
      <c r="L1902" s="1624" t="s">
        <v>2302</v>
      </c>
      <c r="M1902" s="1625">
        <v>1.1344999999999999E-2</v>
      </c>
      <c r="N1902" s="1626">
        <v>1.5948901516673295</v>
      </c>
      <c r="O1902" s="1626"/>
    </row>
    <row r="1903" spans="11:15">
      <c r="K1903" s="1623">
        <v>43960</v>
      </c>
      <c r="L1903" s="1624"/>
      <c r="M1903" s="1625">
        <v>0</v>
      </c>
      <c r="N1903" s="1626">
        <v>1.5948901516673295</v>
      </c>
      <c r="O1903" s="1626"/>
    </row>
    <row r="1904" spans="11:15">
      <c r="K1904" s="1623">
        <v>43961</v>
      </c>
      <c r="L1904" s="1624"/>
      <c r="M1904" s="1625">
        <v>0</v>
      </c>
      <c r="N1904" s="1626">
        <v>1.5948901516673295</v>
      </c>
      <c r="O1904" s="1626"/>
    </row>
    <row r="1905" spans="11:15">
      <c r="K1905" s="1623">
        <v>43962</v>
      </c>
      <c r="L1905" s="1624" t="s">
        <v>2302</v>
      </c>
      <c r="M1905" s="1625">
        <v>1.1344999999999999E-2</v>
      </c>
      <c r="N1905" s="1626">
        <v>1.5950710919550362</v>
      </c>
      <c r="O1905" s="1626"/>
    </row>
    <row r="1906" spans="11:15">
      <c r="K1906" s="1623">
        <v>43963</v>
      </c>
      <c r="L1906" s="1624" t="s">
        <v>2302</v>
      </c>
      <c r="M1906" s="1625">
        <v>1.1344999999999999E-2</v>
      </c>
      <c r="N1906" s="1626">
        <v>1.5952520527704184</v>
      </c>
      <c r="O1906" s="1626"/>
    </row>
    <row r="1907" spans="11:15">
      <c r="K1907" s="1623">
        <v>43964</v>
      </c>
      <c r="L1907" s="1624" t="s">
        <v>2302</v>
      </c>
      <c r="M1907" s="1625">
        <v>1.1344999999999999E-2</v>
      </c>
      <c r="N1907" s="1626">
        <v>1.5954330341158052</v>
      </c>
      <c r="O1907" s="1626"/>
    </row>
    <row r="1908" spans="11:15">
      <c r="K1908" s="1623">
        <v>43965</v>
      </c>
      <c r="L1908" s="1624" t="s">
        <v>2302</v>
      </c>
      <c r="M1908" s="1625">
        <v>1.1344999999999999E-2</v>
      </c>
      <c r="N1908" s="1626">
        <v>1.5956140359935256</v>
      </c>
      <c r="O1908" s="1626"/>
    </row>
    <row r="1909" spans="11:15">
      <c r="K1909" s="1623">
        <v>43966</v>
      </c>
      <c r="L1909" s="1624" t="s">
        <v>2302</v>
      </c>
      <c r="M1909" s="1625">
        <v>1.1344999999999999E-2</v>
      </c>
      <c r="N1909" s="1626">
        <v>1.5957950584059091</v>
      </c>
      <c r="O1909" s="1626"/>
    </row>
    <row r="1910" spans="11:15">
      <c r="K1910" s="1623">
        <v>43967</v>
      </c>
      <c r="L1910" s="1624"/>
      <c r="M1910" s="1625">
        <v>0</v>
      </c>
      <c r="N1910" s="1626">
        <v>1.5957950584059091</v>
      </c>
      <c r="O1910" s="1626"/>
    </row>
    <row r="1911" spans="11:15">
      <c r="K1911" s="1623">
        <v>43968</v>
      </c>
      <c r="L1911" s="1624"/>
      <c r="M1911" s="1625">
        <v>0</v>
      </c>
      <c r="N1911" s="1626">
        <v>1.5957950584059091</v>
      </c>
      <c r="O1911" s="1626"/>
    </row>
    <row r="1912" spans="11:15">
      <c r="K1912" s="1623">
        <v>43969</v>
      </c>
      <c r="L1912" s="1624" t="s">
        <v>2302</v>
      </c>
      <c r="M1912" s="1625">
        <v>1.1344999999999999E-2</v>
      </c>
      <c r="N1912" s="1626">
        <v>1.5959761013552851</v>
      </c>
      <c r="O1912" s="1626"/>
    </row>
    <row r="1913" spans="11:15">
      <c r="K1913" s="1623">
        <v>43970</v>
      </c>
      <c r="L1913" s="1624" t="s">
        <v>2302</v>
      </c>
      <c r="M1913" s="1625">
        <v>1.1344999999999999E-2</v>
      </c>
      <c r="N1913" s="1626">
        <v>1.5961571648439838</v>
      </c>
      <c r="O1913" s="1626"/>
    </row>
    <row r="1914" spans="11:15">
      <c r="K1914" s="1623">
        <v>43971</v>
      </c>
      <c r="L1914" s="1624" t="s">
        <v>2302</v>
      </c>
      <c r="M1914" s="1625">
        <v>1.1344999999999999E-2</v>
      </c>
      <c r="N1914" s="1626">
        <v>1.5963382488743354</v>
      </c>
      <c r="O1914" s="1626"/>
    </row>
    <row r="1915" spans="11:15">
      <c r="K1915" s="1623">
        <v>43972</v>
      </c>
      <c r="L1915" s="1624" t="s">
        <v>2302</v>
      </c>
      <c r="M1915" s="1625">
        <v>1.1344999999999999E-2</v>
      </c>
      <c r="N1915" s="1626">
        <v>1.5965193534486701</v>
      </c>
      <c r="O1915" s="1626"/>
    </row>
    <row r="1916" spans="11:15">
      <c r="K1916" s="1623">
        <v>43973</v>
      </c>
      <c r="L1916" s="1624" t="s">
        <v>2302</v>
      </c>
      <c r="M1916" s="1625">
        <v>1.1344999999999999E-2</v>
      </c>
      <c r="N1916" s="1626">
        <v>1.5967004785693188</v>
      </c>
      <c r="O1916" s="1626"/>
    </row>
    <row r="1917" spans="11:15">
      <c r="K1917" s="1623">
        <v>43974</v>
      </c>
      <c r="L1917" s="1624"/>
      <c r="M1917" s="1625">
        <v>0</v>
      </c>
      <c r="N1917" s="1626">
        <v>1.5967004785693188</v>
      </c>
      <c r="O1917" s="1626"/>
    </row>
    <row r="1918" spans="11:15">
      <c r="K1918" s="1623">
        <v>43975</v>
      </c>
      <c r="L1918" s="1624"/>
      <c r="M1918" s="1625">
        <v>0</v>
      </c>
      <c r="N1918" s="1626">
        <v>1.5967004785693188</v>
      </c>
      <c r="O1918" s="1626"/>
    </row>
    <row r="1919" spans="11:15">
      <c r="K1919" s="1623">
        <v>43976</v>
      </c>
      <c r="L1919" s="1624" t="s">
        <v>2302</v>
      </c>
      <c r="M1919" s="1625">
        <v>1.1344999999999999E-2</v>
      </c>
      <c r="N1919" s="1626">
        <v>1.5968816242386126</v>
      </c>
      <c r="O1919" s="1626"/>
    </row>
    <row r="1920" spans="11:15">
      <c r="K1920" s="1623">
        <v>43977</v>
      </c>
      <c r="L1920" s="1624" t="s">
        <v>2302</v>
      </c>
      <c r="M1920" s="1625">
        <v>1.1344999999999999E-2</v>
      </c>
      <c r="N1920" s="1626">
        <v>1.5970627904588823</v>
      </c>
      <c r="O1920" s="1626"/>
    </row>
    <row r="1921" spans="11:15">
      <c r="K1921" s="1623">
        <v>43978</v>
      </c>
      <c r="L1921" s="1624" t="s">
        <v>2302</v>
      </c>
      <c r="M1921" s="1625">
        <v>1.1344999999999999E-2</v>
      </c>
      <c r="N1921" s="1626">
        <v>1.5972439772324598</v>
      </c>
      <c r="O1921" s="1626"/>
    </row>
    <row r="1922" spans="11:15">
      <c r="K1922" s="1623">
        <v>43979</v>
      </c>
      <c r="L1922" s="1624" t="s">
        <v>2302</v>
      </c>
      <c r="M1922" s="1625">
        <v>1.1344999999999999E-2</v>
      </c>
      <c r="N1922" s="1626">
        <v>1.5974251845616767</v>
      </c>
      <c r="O1922" s="1626"/>
    </row>
    <row r="1923" spans="11:15">
      <c r="K1923" s="1623">
        <v>43980</v>
      </c>
      <c r="L1923" s="1624" t="s">
        <v>2302</v>
      </c>
      <c r="M1923" s="1625">
        <v>1.1344999999999999E-2</v>
      </c>
      <c r="N1923" s="1626">
        <v>1.5976064124488651</v>
      </c>
      <c r="O1923" s="1626"/>
    </row>
    <row r="1924" spans="11:15">
      <c r="K1924" s="1623">
        <v>43981</v>
      </c>
      <c r="L1924" s="1624"/>
      <c r="M1924" s="1625">
        <v>0</v>
      </c>
      <c r="N1924" s="1626">
        <v>1.5976064124488651</v>
      </c>
      <c r="O1924" s="1626"/>
    </row>
    <row r="1925" spans="11:15">
      <c r="K1925" s="1623">
        <v>43982</v>
      </c>
      <c r="L1925" s="1624"/>
      <c r="M1925" s="1625">
        <v>0</v>
      </c>
      <c r="N1925" s="1626">
        <v>1.5976064124488651</v>
      </c>
      <c r="O1925" s="1626"/>
    </row>
    <row r="1926" spans="11:15">
      <c r="K1926" s="1623">
        <v>43983</v>
      </c>
      <c r="L1926" s="1624" t="s">
        <v>2302</v>
      </c>
      <c r="M1926" s="1625">
        <v>1.1344999999999999E-2</v>
      </c>
      <c r="N1926" s="1626">
        <v>1.5977876608963575</v>
      </c>
      <c r="O1926" s="1626"/>
    </row>
    <row r="1927" spans="11:15">
      <c r="K1927" s="1623">
        <v>43984</v>
      </c>
      <c r="L1927" s="1624" t="s">
        <v>2302</v>
      </c>
      <c r="M1927" s="1625">
        <v>1.1344999999999999E-2</v>
      </c>
      <c r="N1927" s="1626">
        <v>1.5979689299064861</v>
      </c>
      <c r="O1927" s="1626"/>
    </row>
    <row r="1928" spans="11:15">
      <c r="K1928" s="1623">
        <v>43985</v>
      </c>
      <c r="L1928" s="1624" t="s">
        <v>2302</v>
      </c>
      <c r="M1928" s="1625">
        <v>1.1344999999999999E-2</v>
      </c>
      <c r="N1928" s="1626">
        <v>1.598150219481584</v>
      </c>
      <c r="O1928" s="1626"/>
    </row>
    <row r="1929" spans="11:15">
      <c r="K1929" s="1623">
        <v>43986</v>
      </c>
      <c r="L1929" s="1624" t="s">
        <v>2302</v>
      </c>
      <c r="M1929" s="1625">
        <v>1.1344999999999999E-2</v>
      </c>
      <c r="N1929" s="1626">
        <v>1.5983315296239842</v>
      </c>
      <c r="O1929" s="1626"/>
    </row>
    <row r="1930" spans="11:15">
      <c r="K1930" s="1623">
        <v>43987</v>
      </c>
      <c r="L1930" s="1624" t="s">
        <v>2302</v>
      </c>
      <c r="M1930" s="1625">
        <v>1.1344999999999999E-2</v>
      </c>
      <c r="N1930" s="1626">
        <v>1.5985128603360199</v>
      </c>
      <c r="O1930" s="1626"/>
    </row>
    <row r="1931" spans="11:15">
      <c r="K1931" s="1623">
        <v>43988</v>
      </c>
      <c r="L1931" s="1624"/>
      <c r="M1931" s="1625">
        <v>0</v>
      </c>
      <c r="N1931" s="1626">
        <v>1.5985128603360199</v>
      </c>
      <c r="O1931" s="1626"/>
    </row>
    <row r="1932" spans="11:15">
      <c r="K1932" s="1623">
        <v>43989</v>
      </c>
      <c r="L1932" s="1624"/>
      <c r="M1932" s="1625">
        <v>0</v>
      </c>
      <c r="N1932" s="1626">
        <v>1.5985128603360199</v>
      </c>
      <c r="O1932" s="1626"/>
    </row>
    <row r="1933" spans="11:15">
      <c r="K1933" s="1623">
        <v>43990</v>
      </c>
      <c r="L1933" s="1624" t="s">
        <v>2302</v>
      </c>
      <c r="M1933" s="1625">
        <v>1.1344999999999999E-2</v>
      </c>
      <c r="N1933" s="1626">
        <v>1.5986942116200249</v>
      </c>
      <c r="O1933" s="1626"/>
    </row>
    <row r="1934" spans="11:15">
      <c r="K1934" s="1623">
        <v>43991</v>
      </c>
      <c r="L1934" s="1624" t="s">
        <v>2302</v>
      </c>
      <c r="M1934" s="1625">
        <v>1.1344999999999999E-2</v>
      </c>
      <c r="N1934" s="1626">
        <v>1.598875583478333</v>
      </c>
      <c r="O1934" s="1626"/>
    </row>
    <row r="1935" spans="11:15">
      <c r="K1935" s="1623">
        <v>43992</v>
      </c>
      <c r="L1935" s="1624" t="s">
        <v>2302</v>
      </c>
      <c r="M1935" s="1625">
        <v>1.1344999999999999E-2</v>
      </c>
      <c r="N1935" s="1626">
        <v>1.5990569759132787</v>
      </c>
      <c r="O1935" s="1626"/>
    </row>
    <row r="1936" spans="11:15">
      <c r="K1936" s="1623">
        <v>43993</v>
      </c>
      <c r="L1936" s="1624"/>
      <c r="M1936" s="1625">
        <v>0</v>
      </c>
      <c r="N1936" s="1626">
        <v>1.5990569759132787</v>
      </c>
      <c r="O1936" s="1626"/>
    </row>
    <row r="1937" spans="11:15">
      <c r="K1937" s="1623">
        <v>43994</v>
      </c>
      <c r="L1937" s="1624" t="s">
        <v>2302</v>
      </c>
      <c r="M1937" s="1625">
        <v>1.1344999999999999E-2</v>
      </c>
      <c r="N1937" s="1626">
        <v>1.5992383889271959</v>
      </c>
      <c r="O1937" s="1626"/>
    </row>
    <row r="1938" spans="11:15">
      <c r="K1938" s="1623">
        <v>43995</v>
      </c>
      <c r="L1938" s="1624"/>
      <c r="M1938" s="1625">
        <v>0</v>
      </c>
      <c r="N1938" s="1626">
        <v>1.5992383889271959</v>
      </c>
      <c r="O1938" s="1626"/>
    </row>
    <row r="1939" spans="11:15">
      <c r="K1939" s="1623">
        <v>43996</v>
      </c>
      <c r="L1939" s="1624"/>
      <c r="M1939" s="1625">
        <v>0</v>
      </c>
      <c r="N1939" s="1626">
        <v>1.5992383889271959</v>
      </c>
      <c r="O1939" s="1626"/>
    </row>
    <row r="1940" spans="11:15">
      <c r="K1940" s="1623">
        <v>43997</v>
      </c>
      <c r="L1940" s="1624" t="s">
        <v>2302</v>
      </c>
      <c r="M1940" s="1625">
        <v>1.1344999999999999E-2</v>
      </c>
      <c r="N1940" s="1626">
        <v>1.5994198225224197</v>
      </c>
      <c r="O1940" s="1626"/>
    </row>
    <row r="1941" spans="11:15">
      <c r="K1941" s="1623">
        <v>43998</v>
      </c>
      <c r="L1941" s="1624" t="s">
        <v>2302</v>
      </c>
      <c r="M1941" s="1625">
        <v>1.1344999999999999E-2</v>
      </c>
      <c r="N1941" s="1626">
        <v>1.5996012767012848</v>
      </c>
      <c r="O1941" s="1626"/>
    </row>
    <row r="1942" spans="11:15">
      <c r="K1942" s="1623">
        <v>43999</v>
      </c>
      <c r="L1942" s="1624" t="s">
        <v>2302</v>
      </c>
      <c r="M1942" s="1625">
        <v>1.1344999999999999E-2</v>
      </c>
      <c r="N1942" s="1626">
        <v>1.5997827514661265</v>
      </c>
      <c r="O1942" s="1626"/>
    </row>
    <row r="1943" spans="11:15">
      <c r="K1943" s="1623">
        <v>44000</v>
      </c>
      <c r="L1943" s="1624" t="s">
        <v>2302</v>
      </c>
      <c r="M1943" s="1625">
        <v>8.4419999999999999E-3</v>
      </c>
      <c r="N1943" s="1626">
        <v>1.5999178051260055</v>
      </c>
      <c r="O1943" s="1626"/>
    </row>
    <row r="1944" spans="11:15">
      <c r="K1944" s="1623">
        <v>44001</v>
      </c>
      <c r="L1944" s="1624" t="s">
        <v>2302</v>
      </c>
      <c r="M1944" s="1625">
        <v>8.4419999999999999E-3</v>
      </c>
      <c r="N1944" s="1626">
        <v>1.6000528701871144</v>
      </c>
      <c r="O1944" s="1626"/>
    </row>
    <row r="1945" spans="11:15">
      <c r="K1945" s="1623">
        <v>44002</v>
      </c>
      <c r="L1945" s="1624"/>
      <c r="M1945" s="1625">
        <v>0</v>
      </c>
      <c r="N1945" s="1626">
        <v>1.6000528701871144</v>
      </c>
      <c r="O1945" s="1626"/>
    </row>
    <row r="1946" spans="11:15">
      <c r="K1946" s="1623">
        <v>44003</v>
      </c>
      <c r="L1946" s="1624"/>
      <c r="M1946" s="1625">
        <v>0</v>
      </c>
      <c r="N1946" s="1626">
        <v>1.6000528701871144</v>
      </c>
      <c r="O1946" s="1626"/>
    </row>
    <row r="1947" spans="11:15">
      <c r="K1947" s="1623">
        <v>44004</v>
      </c>
      <c r="L1947" s="1624" t="s">
        <v>2302</v>
      </c>
      <c r="M1947" s="1625">
        <v>8.4419999999999999E-3</v>
      </c>
      <c r="N1947" s="1626">
        <v>1.6001879466504156</v>
      </c>
      <c r="O1947" s="1626"/>
    </row>
    <row r="1948" spans="11:15">
      <c r="K1948" s="1623">
        <v>44005</v>
      </c>
      <c r="L1948" s="1624" t="s">
        <v>2302</v>
      </c>
      <c r="M1948" s="1625">
        <v>8.4419999999999999E-3</v>
      </c>
      <c r="N1948" s="1626">
        <v>1.600323034516872</v>
      </c>
      <c r="O1948" s="1626"/>
    </row>
    <row r="1949" spans="11:15">
      <c r="K1949" s="1623">
        <v>44006</v>
      </c>
      <c r="L1949" s="1624" t="s">
        <v>2302</v>
      </c>
      <c r="M1949" s="1625">
        <v>8.4419999999999999E-3</v>
      </c>
      <c r="N1949" s="1626">
        <v>1.6004581337874459</v>
      </c>
      <c r="O1949" s="1626"/>
    </row>
    <row r="1950" spans="11:15">
      <c r="K1950" s="1623">
        <v>44007</v>
      </c>
      <c r="L1950" s="1624" t="s">
        <v>2302</v>
      </c>
      <c r="M1950" s="1625">
        <v>8.4419999999999999E-3</v>
      </c>
      <c r="N1950" s="1626">
        <v>1.6005932444631004</v>
      </c>
      <c r="O1950" s="1626"/>
    </row>
    <row r="1951" spans="11:15">
      <c r="K1951" s="1623">
        <v>44008</v>
      </c>
      <c r="L1951" s="1624" t="s">
        <v>2302</v>
      </c>
      <c r="M1951" s="1625">
        <v>8.4419999999999999E-3</v>
      </c>
      <c r="N1951" s="1626">
        <v>1.600728366544798</v>
      </c>
      <c r="O1951" s="1626"/>
    </row>
    <row r="1952" spans="11:15">
      <c r="K1952" s="1623">
        <v>44009</v>
      </c>
      <c r="L1952" s="1624"/>
      <c r="M1952" s="1625">
        <v>0</v>
      </c>
      <c r="N1952" s="1626">
        <v>1.600728366544798</v>
      </c>
      <c r="O1952" s="1626"/>
    </row>
    <row r="1953" spans="11:15">
      <c r="K1953" s="1623">
        <v>44010</v>
      </c>
      <c r="L1953" s="1624"/>
      <c r="M1953" s="1625">
        <v>0</v>
      </c>
      <c r="N1953" s="1626">
        <v>1.600728366544798</v>
      </c>
      <c r="O1953" s="1626"/>
    </row>
    <row r="1954" spans="11:15">
      <c r="K1954" s="1623">
        <v>44011</v>
      </c>
      <c r="L1954" s="1624" t="s">
        <v>2302</v>
      </c>
      <c r="M1954" s="1625">
        <v>8.4419999999999999E-3</v>
      </c>
      <c r="N1954" s="1626">
        <v>1.6008635000335019</v>
      </c>
      <c r="O1954" s="1626"/>
    </row>
    <row r="1955" spans="11:15">
      <c r="K1955" s="1623">
        <v>44012</v>
      </c>
      <c r="L1955" s="1624" t="s">
        <v>2302</v>
      </c>
      <c r="M1955" s="1625">
        <v>8.4419999999999999E-3</v>
      </c>
      <c r="N1955" s="1626">
        <v>1.6009986449301747</v>
      </c>
      <c r="O1955" s="1626"/>
    </row>
    <row r="1956" spans="11:15">
      <c r="K1956" s="1623">
        <v>44013</v>
      </c>
      <c r="L1956" s="1624" t="s">
        <v>2302</v>
      </c>
      <c r="M1956" s="1625">
        <v>8.4419999999999999E-3</v>
      </c>
      <c r="N1956" s="1626">
        <v>1.6011338012357799</v>
      </c>
      <c r="O1956" s="1626"/>
    </row>
    <row r="1957" spans="11:15">
      <c r="K1957" s="1623">
        <v>44014</v>
      </c>
      <c r="L1957" s="1624" t="s">
        <v>2302</v>
      </c>
      <c r="M1957" s="1625">
        <v>8.4419999999999999E-3</v>
      </c>
      <c r="N1957" s="1626">
        <v>1.6012689689512802</v>
      </c>
      <c r="O1957" s="1626"/>
    </row>
    <row r="1958" spans="11:15">
      <c r="K1958" s="1623">
        <v>44015</v>
      </c>
      <c r="L1958" s="1624" t="s">
        <v>2302</v>
      </c>
      <c r="M1958" s="1625">
        <v>8.4419999999999999E-3</v>
      </c>
      <c r="N1958" s="1626">
        <v>1.6014041480776393</v>
      </c>
      <c r="O1958" s="1626"/>
    </row>
    <row r="1959" spans="11:15">
      <c r="K1959" s="1623">
        <v>44016</v>
      </c>
      <c r="L1959" s="1624"/>
      <c r="M1959" s="1625">
        <v>0</v>
      </c>
      <c r="N1959" s="1626">
        <v>1.6014041480776393</v>
      </c>
      <c r="O1959" s="1626"/>
    </row>
    <row r="1960" spans="11:15">
      <c r="K1960" s="1623">
        <v>44017</v>
      </c>
      <c r="L1960" s="1624"/>
      <c r="M1960" s="1625">
        <v>0</v>
      </c>
      <c r="N1960" s="1626">
        <v>1.6014041480776393</v>
      </c>
      <c r="O1960" s="1626"/>
    </row>
    <row r="1961" spans="11:15">
      <c r="K1961" s="1623">
        <v>44018</v>
      </c>
      <c r="L1961" s="1624" t="s">
        <v>2302</v>
      </c>
      <c r="M1961" s="1625">
        <v>8.4419999999999999E-3</v>
      </c>
      <c r="N1961" s="1626">
        <v>1.6015393386158201</v>
      </c>
      <c r="O1961" s="1626"/>
    </row>
    <row r="1962" spans="11:15">
      <c r="K1962" s="1623">
        <v>44019</v>
      </c>
      <c r="L1962" s="1624" t="s">
        <v>2302</v>
      </c>
      <c r="M1962" s="1625">
        <v>8.4419999999999999E-3</v>
      </c>
      <c r="N1962" s="1626">
        <v>1.6016745405667863</v>
      </c>
      <c r="O1962" s="1626"/>
    </row>
    <row r="1963" spans="11:15">
      <c r="K1963" s="1623">
        <v>44020</v>
      </c>
      <c r="L1963" s="1624" t="s">
        <v>2302</v>
      </c>
      <c r="M1963" s="1625">
        <v>8.4419999999999999E-3</v>
      </c>
      <c r="N1963" s="1626">
        <v>1.601809753931501</v>
      </c>
      <c r="O1963" s="1626"/>
    </row>
    <row r="1964" spans="11:15">
      <c r="K1964" s="1623">
        <v>44021</v>
      </c>
      <c r="L1964" s="1624" t="s">
        <v>2302</v>
      </c>
      <c r="M1964" s="1625">
        <v>8.4419999999999999E-3</v>
      </c>
      <c r="N1964" s="1626">
        <v>1.6019449787109281</v>
      </c>
      <c r="O1964" s="1626"/>
    </row>
    <row r="1965" spans="11:15">
      <c r="K1965" s="1623">
        <v>44022</v>
      </c>
      <c r="L1965" s="1624" t="s">
        <v>2302</v>
      </c>
      <c r="M1965" s="1625">
        <v>8.4419999999999999E-3</v>
      </c>
      <c r="N1965" s="1626">
        <v>1.6020802149060309</v>
      </c>
      <c r="O1965" s="1626"/>
    </row>
    <row r="1966" spans="11:15">
      <c r="K1966" s="1623">
        <v>44023</v>
      </c>
      <c r="L1966" s="1624"/>
      <c r="M1966" s="1625">
        <v>0</v>
      </c>
      <c r="N1966" s="1626">
        <v>1.6020802149060309</v>
      </c>
      <c r="O1966" s="1626"/>
    </row>
    <row r="1967" spans="11:15">
      <c r="K1967" s="1623">
        <v>44024</v>
      </c>
      <c r="L1967" s="1624"/>
      <c r="M1967" s="1625">
        <v>0</v>
      </c>
      <c r="N1967" s="1626">
        <v>1.6020802149060309</v>
      </c>
      <c r="O1967" s="1626"/>
    </row>
    <row r="1968" spans="11:15">
      <c r="K1968" s="1623">
        <v>44025</v>
      </c>
      <c r="L1968" s="1624" t="s">
        <v>2302</v>
      </c>
      <c r="M1968" s="1625">
        <v>8.4419999999999999E-3</v>
      </c>
      <c r="N1968" s="1626">
        <v>1.6022154625177734</v>
      </c>
      <c r="O1968" s="1626"/>
    </row>
    <row r="1969" spans="11:15">
      <c r="K1969" s="1623">
        <v>44026</v>
      </c>
      <c r="L1969" s="1624" t="s">
        <v>2302</v>
      </c>
      <c r="M1969" s="1625">
        <v>8.4419999999999999E-3</v>
      </c>
      <c r="N1969" s="1626">
        <v>1.6023507215471193</v>
      </c>
      <c r="O1969" s="1626"/>
    </row>
    <row r="1970" spans="11:15">
      <c r="K1970" s="1623">
        <v>44027</v>
      </c>
      <c r="L1970" s="1624" t="s">
        <v>2302</v>
      </c>
      <c r="M1970" s="1625">
        <v>8.4419999999999999E-3</v>
      </c>
      <c r="N1970" s="1626">
        <v>1.6024859919950325</v>
      </c>
      <c r="O1970" s="1626"/>
    </row>
    <row r="1971" spans="11:15">
      <c r="K1971" s="1623">
        <v>44028</v>
      </c>
      <c r="L1971" s="1624" t="s">
        <v>2302</v>
      </c>
      <c r="M1971" s="1625">
        <v>8.4419999999999999E-3</v>
      </c>
      <c r="N1971" s="1626">
        <v>1.6026212738624768</v>
      </c>
      <c r="O1971" s="1626"/>
    </row>
    <row r="1972" spans="11:15">
      <c r="K1972" s="1623">
        <v>44029</v>
      </c>
      <c r="L1972" s="1624" t="s">
        <v>2302</v>
      </c>
      <c r="M1972" s="1625">
        <v>8.4419999999999999E-3</v>
      </c>
      <c r="N1972" s="1626">
        <v>1.6027565671504165</v>
      </c>
      <c r="O1972" s="1626"/>
    </row>
    <row r="1973" spans="11:15">
      <c r="K1973" s="1623">
        <v>44030</v>
      </c>
      <c r="L1973" s="1624"/>
      <c r="M1973" s="1625">
        <v>0</v>
      </c>
      <c r="N1973" s="1626">
        <v>1.6027565671504165</v>
      </c>
      <c r="O1973" s="1626"/>
    </row>
    <row r="1974" spans="11:15">
      <c r="K1974" s="1623">
        <v>44031</v>
      </c>
      <c r="L1974" s="1624"/>
      <c r="M1974" s="1625">
        <v>0</v>
      </c>
      <c r="N1974" s="1626">
        <v>1.6027565671504165</v>
      </c>
      <c r="O1974" s="1626"/>
    </row>
    <row r="1975" spans="11:15">
      <c r="K1975" s="1623">
        <v>44032</v>
      </c>
      <c r="L1975" s="1624" t="s">
        <v>2302</v>
      </c>
      <c r="M1975" s="1625">
        <v>8.4419999999999999E-3</v>
      </c>
      <c r="N1975" s="1626">
        <v>1.6028918718598155</v>
      </c>
      <c r="O1975" s="1626"/>
    </row>
    <row r="1976" spans="11:15">
      <c r="K1976" s="1623">
        <v>44033</v>
      </c>
      <c r="L1976" s="1624" t="s">
        <v>2302</v>
      </c>
      <c r="M1976" s="1625">
        <v>8.4419999999999999E-3</v>
      </c>
      <c r="N1976" s="1626">
        <v>1.603027187991638</v>
      </c>
      <c r="O1976" s="1626"/>
    </row>
    <row r="1977" spans="11:15">
      <c r="K1977" s="1623">
        <v>44034</v>
      </c>
      <c r="L1977" s="1624" t="s">
        <v>2302</v>
      </c>
      <c r="M1977" s="1625">
        <v>8.4419999999999999E-3</v>
      </c>
      <c r="N1977" s="1626">
        <v>1.6031625155468483</v>
      </c>
      <c r="O1977" s="1626"/>
    </row>
    <row r="1978" spans="11:15">
      <c r="K1978" s="1623">
        <v>44035</v>
      </c>
      <c r="L1978" s="1624" t="s">
        <v>2302</v>
      </c>
      <c r="M1978" s="1625">
        <v>8.4419999999999999E-3</v>
      </c>
      <c r="N1978" s="1626">
        <v>1.6032978545264109</v>
      </c>
      <c r="O1978" s="1626"/>
    </row>
    <row r="1979" spans="11:15">
      <c r="K1979" s="1623">
        <v>44036</v>
      </c>
      <c r="L1979" s="1624" t="s">
        <v>2302</v>
      </c>
      <c r="M1979" s="1625">
        <v>8.4419999999999999E-3</v>
      </c>
      <c r="N1979" s="1626">
        <v>1.6034332049312903</v>
      </c>
      <c r="O1979" s="1626"/>
    </row>
    <row r="1980" spans="11:15">
      <c r="K1980" s="1623">
        <v>44037</v>
      </c>
      <c r="L1980" s="1624"/>
      <c r="M1980" s="1625">
        <v>0</v>
      </c>
      <c r="N1980" s="1626">
        <v>1.6034332049312903</v>
      </c>
      <c r="O1980" s="1626"/>
    </row>
    <row r="1981" spans="11:15">
      <c r="K1981" s="1623">
        <v>44038</v>
      </c>
      <c r="L1981" s="1624"/>
      <c r="M1981" s="1625">
        <v>0</v>
      </c>
      <c r="N1981" s="1626">
        <v>1.6034332049312903</v>
      </c>
      <c r="O1981" s="1626"/>
    </row>
    <row r="1982" spans="11:15">
      <c r="K1982" s="1623">
        <v>44039</v>
      </c>
      <c r="L1982" s="1624" t="s">
        <v>2302</v>
      </c>
      <c r="M1982" s="1625">
        <v>8.4419999999999999E-3</v>
      </c>
      <c r="N1982" s="1626">
        <v>1.6035685667624506</v>
      </c>
      <c r="O1982" s="1626"/>
    </row>
    <row r="1983" spans="11:15">
      <c r="K1983" s="1623">
        <v>44040</v>
      </c>
      <c r="L1983" s="1624" t="s">
        <v>2302</v>
      </c>
      <c r="M1983" s="1625">
        <v>8.4419999999999999E-3</v>
      </c>
      <c r="N1983" s="1626">
        <v>1.6037039400208568</v>
      </c>
      <c r="O1983" s="1626"/>
    </row>
    <row r="1984" spans="11:15">
      <c r="K1984" s="1623">
        <v>44041</v>
      </c>
      <c r="L1984" s="1624" t="s">
        <v>2302</v>
      </c>
      <c r="M1984" s="1625">
        <v>8.4419999999999999E-3</v>
      </c>
      <c r="N1984" s="1626">
        <v>1.6038393247074736</v>
      </c>
      <c r="O1984" s="1626"/>
    </row>
    <row r="1985" spans="11:15">
      <c r="K1985" s="1623">
        <v>44042</v>
      </c>
      <c r="L1985" s="1624" t="s">
        <v>2302</v>
      </c>
      <c r="M1985" s="1625">
        <v>8.4419999999999999E-3</v>
      </c>
      <c r="N1985" s="1626">
        <v>1.6039747208232655</v>
      </c>
      <c r="O1985" s="1626"/>
    </row>
    <row r="1986" spans="11:15">
      <c r="K1986" s="1623">
        <v>44043</v>
      </c>
      <c r="L1986" s="1624" t="s">
        <v>2302</v>
      </c>
      <c r="M1986" s="1625">
        <v>8.4419999999999999E-3</v>
      </c>
      <c r="N1986" s="1626">
        <v>1.6041101283691976</v>
      </c>
      <c r="O1986" s="1626"/>
    </row>
    <row r="1987" spans="11:15">
      <c r="K1987" s="1623">
        <v>44044</v>
      </c>
      <c r="L1987" s="1624"/>
      <c r="M1987" s="1625">
        <v>0</v>
      </c>
      <c r="N1987" s="1626">
        <v>1.6041101283691976</v>
      </c>
      <c r="O1987" s="1626"/>
    </row>
    <row r="1988" spans="11:15">
      <c r="K1988" s="1623">
        <v>44045</v>
      </c>
      <c r="L1988" s="1624"/>
      <c r="M1988" s="1625">
        <v>0</v>
      </c>
      <c r="N1988" s="1626">
        <v>1.6041101283691976</v>
      </c>
      <c r="O1988" s="1626"/>
    </row>
    <row r="1989" spans="11:15">
      <c r="K1989" s="1623">
        <v>44046</v>
      </c>
      <c r="L1989" s="1624" t="s">
        <v>2302</v>
      </c>
      <c r="M1989" s="1625">
        <v>8.4419999999999999E-3</v>
      </c>
      <c r="N1989" s="1626">
        <v>1.6042455473462347</v>
      </c>
      <c r="O1989" s="1626"/>
    </row>
    <row r="1990" spans="11:15">
      <c r="K1990" s="1623">
        <v>44047</v>
      </c>
      <c r="L1990" s="1624" t="s">
        <v>2302</v>
      </c>
      <c r="M1990" s="1625">
        <v>8.4419999999999999E-3</v>
      </c>
      <c r="N1990" s="1626">
        <v>1.6043809777553417</v>
      </c>
      <c r="O1990" s="1626"/>
    </row>
    <row r="1991" spans="11:15">
      <c r="K1991" s="1623">
        <v>44048</v>
      </c>
      <c r="L1991" s="1624" t="s">
        <v>2302</v>
      </c>
      <c r="M1991" s="1625">
        <v>8.4419999999999999E-3</v>
      </c>
      <c r="N1991" s="1626">
        <v>1.6045164195974839</v>
      </c>
      <c r="O1991" s="1626"/>
    </row>
    <row r="1992" spans="11:15">
      <c r="K1992" s="1623">
        <v>44049</v>
      </c>
      <c r="L1992" s="1624" t="s">
        <v>2302</v>
      </c>
      <c r="M1992" s="1625">
        <v>7.4689999999999999E-3</v>
      </c>
      <c r="N1992" s="1626">
        <v>1.6046362609288636</v>
      </c>
      <c r="O1992" s="1626"/>
    </row>
    <row r="1993" spans="11:15">
      <c r="K1993" s="1623">
        <v>44050</v>
      </c>
      <c r="L1993" s="1624" t="s">
        <v>2302</v>
      </c>
      <c r="M1993" s="1625">
        <v>7.4689999999999999E-3</v>
      </c>
      <c r="N1993" s="1626">
        <v>1.6047561112111923</v>
      </c>
      <c r="O1993" s="1626"/>
    </row>
    <row r="1994" spans="11:15">
      <c r="K1994" s="1623">
        <v>44051</v>
      </c>
      <c r="L1994" s="1624"/>
      <c r="M1994" s="1625">
        <v>0</v>
      </c>
      <c r="N1994" s="1626">
        <v>1.6047561112111923</v>
      </c>
      <c r="O1994" s="1626"/>
    </row>
    <row r="1995" spans="11:15">
      <c r="K1995" s="1623">
        <v>44052</v>
      </c>
      <c r="L1995" s="1624"/>
      <c r="M1995" s="1625">
        <v>0</v>
      </c>
      <c r="N1995" s="1626">
        <v>1.6047561112111923</v>
      </c>
      <c r="O1995" s="1626"/>
    </row>
    <row r="1996" spans="11:15">
      <c r="K1996" s="1623">
        <v>44053</v>
      </c>
      <c r="L1996" s="1624" t="s">
        <v>2302</v>
      </c>
      <c r="M1996" s="1625">
        <v>7.4689999999999999E-3</v>
      </c>
      <c r="N1996" s="1626">
        <v>1.6048759704451385</v>
      </c>
      <c r="O1996" s="1626"/>
    </row>
    <row r="1997" spans="11:15">
      <c r="K1997" s="1623">
        <v>44054</v>
      </c>
      <c r="L1997" s="1624" t="s">
        <v>2302</v>
      </c>
      <c r="M1997" s="1625">
        <v>7.4689999999999999E-3</v>
      </c>
      <c r="N1997" s="1626">
        <v>1.604995838631371</v>
      </c>
      <c r="O1997" s="1626"/>
    </row>
    <row r="1998" spans="11:15">
      <c r="K1998" s="1623">
        <v>44055</v>
      </c>
      <c r="L1998" s="1624" t="s">
        <v>2302</v>
      </c>
      <c r="M1998" s="1625">
        <v>7.4689999999999999E-3</v>
      </c>
      <c r="N1998" s="1626">
        <v>1.6051157157705582</v>
      </c>
      <c r="O1998" s="1626"/>
    </row>
    <row r="1999" spans="11:15">
      <c r="K1999" s="1623">
        <v>44056</v>
      </c>
      <c r="L1999" s="1624" t="s">
        <v>2302</v>
      </c>
      <c r="M1999" s="1625">
        <v>7.4689999999999999E-3</v>
      </c>
      <c r="N1999" s="1626">
        <v>1.6052356018633691</v>
      </c>
      <c r="O1999" s="1626"/>
    </row>
    <row r="2000" spans="11:15">
      <c r="K2000" s="1623">
        <v>44057</v>
      </c>
      <c r="L2000" s="1624" t="s">
        <v>2302</v>
      </c>
      <c r="M2000" s="1625">
        <v>7.4689999999999999E-3</v>
      </c>
      <c r="N2000" s="1626">
        <v>1.6053554969104722</v>
      </c>
      <c r="O2000" s="1626"/>
    </row>
    <row r="2001" spans="11:15">
      <c r="K2001" s="1623">
        <v>44058</v>
      </c>
      <c r="L2001" s="1624"/>
      <c r="M2001" s="1625">
        <v>0</v>
      </c>
      <c r="N2001" s="1626">
        <v>1.6053554969104722</v>
      </c>
      <c r="O2001" s="1626"/>
    </row>
    <row r="2002" spans="11:15">
      <c r="K2002" s="1623">
        <v>44059</v>
      </c>
      <c r="L2002" s="1624"/>
      <c r="M2002" s="1625">
        <v>0</v>
      </c>
      <c r="N2002" s="1626">
        <v>1.6053554969104722</v>
      </c>
      <c r="O2002" s="1626"/>
    </row>
    <row r="2003" spans="11:15">
      <c r="K2003" s="1623">
        <v>44060</v>
      </c>
      <c r="L2003" s="1624" t="s">
        <v>2302</v>
      </c>
      <c r="M2003" s="1625">
        <v>7.4689999999999999E-3</v>
      </c>
      <c r="N2003" s="1626">
        <v>1.6054754009125363</v>
      </c>
      <c r="O2003" s="1626"/>
    </row>
    <row r="2004" spans="11:15">
      <c r="K2004" s="1623">
        <v>44061</v>
      </c>
      <c r="L2004" s="1624" t="s">
        <v>2302</v>
      </c>
      <c r="M2004" s="1625">
        <v>7.4689999999999999E-3</v>
      </c>
      <c r="N2004" s="1626">
        <v>1.6055953138702304</v>
      </c>
      <c r="O2004" s="1626"/>
    </row>
    <row r="2005" spans="11:15">
      <c r="K2005" s="1623">
        <v>44062</v>
      </c>
      <c r="L2005" s="1624" t="s">
        <v>2302</v>
      </c>
      <c r="M2005" s="1625">
        <v>7.4689999999999999E-3</v>
      </c>
      <c r="N2005" s="1626">
        <v>1.6057152357842233</v>
      </c>
      <c r="O2005" s="1626"/>
    </row>
    <row r="2006" spans="11:15">
      <c r="K2006" s="1623">
        <v>44063</v>
      </c>
      <c r="L2006" s="1624" t="s">
        <v>2302</v>
      </c>
      <c r="M2006" s="1625">
        <v>7.4689999999999999E-3</v>
      </c>
      <c r="N2006" s="1626">
        <v>1.6058351666551838</v>
      </c>
      <c r="O2006" s="1626"/>
    </row>
    <row r="2007" spans="11:15">
      <c r="K2007" s="1623">
        <v>44064</v>
      </c>
      <c r="L2007" s="1624" t="s">
        <v>2302</v>
      </c>
      <c r="M2007" s="1625">
        <v>7.4689999999999999E-3</v>
      </c>
      <c r="N2007" s="1626">
        <v>1.6059551064837811</v>
      </c>
      <c r="O2007" s="1626"/>
    </row>
    <row r="2008" spans="11:15">
      <c r="K2008" s="1623">
        <v>44065</v>
      </c>
      <c r="L2008" s="1624"/>
      <c r="M2008" s="1625">
        <v>0</v>
      </c>
      <c r="N2008" s="1626">
        <v>1.6059551064837811</v>
      </c>
      <c r="O2008" s="1626"/>
    </row>
    <row r="2009" spans="11:15">
      <c r="K2009" s="1623">
        <v>44066</v>
      </c>
      <c r="L2009" s="1624"/>
      <c r="M2009" s="1625">
        <v>0</v>
      </c>
      <c r="N2009" s="1626">
        <v>1.6059551064837811</v>
      </c>
      <c r="O2009" s="1626"/>
    </row>
    <row r="2010" spans="11:15">
      <c r="K2010" s="1623">
        <v>44067</v>
      </c>
      <c r="L2010" s="1624" t="s">
        <v>2302</v>
      </c>
      <c r="M2010" s="1625">
        <v>7.4689999999999999E-3</v>
      </c>
      <c r="N2010" s="1626">
        <v>1.6060750552706844</v>
      </c>
      <c r="O2010" s="1626"/>
    </row>
    <row r="2011" spans="11:15">
      <c r="K2011" s="1623">
        <v>44068</v>
      </c>
      <c r="L2011" s="1624" t="s">
        <v>2302</v>
      </c>
      <c r="M2011" s="1625">
        <v>7.4689999999999999E-3</v>
      </c>
      <c r="N2011" s="1626">
        <v>1.6061950130165625</v>
      </c>
      <c r="O2011" s="1626"/>
    </row>
    <row r="2012" spans="11:15">
      <c r="K2012" s="1623">
        <v>44069</v>
      </c>
      <c r="L2012" s="1624" t="s">
        <v>2302</v>
      </c>
      <c r="M2012" s="1625">
        <v>7.4689999999999999E-3</v>
      </c>
      <c r="N2012" s="1626">
        <v>1.6063149797220846</v>
      </c>
      <c r="O2012" s="1626"/>
    </row>
    <row r="2013" spans="11:15">
      <c r="K2013" s="1623">
        <v>44070</v>
      </c>
      <c r="L2013" s="1624" t="s">
        <v>2302</v>
      </c>
      <c r="M2013" s="1625">
        <v>7.4689999999999999E-3</v>
      </c>
      <c r="N2013" s="1626">
        <v>1.60643495538792</v>
      </c>
      <c r="O2013" s="1626"/>
    </row>
    <row r="2014" spans="11:15">
      <c r="K2014" s="1623">
        <v>44071</v>
      </c>
      <c r="L2014" s="1624" t="s">
        <v>2302</v>
      </c>
      <c r="M2014" s="1625">
        <v>7.4689999999999999E-3</v>
      </c>
      <c r="N2014" s="1626">
        <v>1.6065549400147379</v>
      </c>
      <c r="O2014" s="1626"/>
    </row>
    <row r="2015" spans="11:15">
      <c r="K2015" s="1623">
        <v>44072</v>
      </c>
      <c r="L2015" s="1624"/>
      <c r="M2015" s="1625">
        <v>0</v>
      </c>
      <c r="N2015" s="1626">
        <v>1.6065549400147379</v>
      </c>
      <c r="O2015" s="1626"/>
    </row>
    <row r="2016" spans="11:15">
      <c r="K2016" s="1623">
        <v>44073</v>
      </c>
      <c r="L2016" s="1624"/>
      <c r="M2016" s="1625">
        <v>0</v>
      </c>
      <c r="N2016" s="1626">
        <v>1.6065549400147379</v>
      </c>
      <c r="O2016" s="1626"/>
    </row>
    <row r="2017" spans="11:15">
      <c r="K2017" s="1623">
        <v>44074</v>
      </c>
      <c r="L2017" s="1624" t="s">
        <v>2302</v>
      </c>
      <c r="M2017" s="1625">
        <v>7.4689999999999999E-3</v>
      </c>
      <c r="N2017" s="1626">
        <v>1.6066749336032076</v>
      </c>
      <c r="O2017" s="1626"/>
    </row>
    <row r="2018" spans="11:15">
      <c r="K2018" s="1623">
        <v>44075</v>
      </c>
      <c r="L2018" s="1624" t="s">
        <v>2302</v>
      </c>
      <c r="M2018" s="1625">
        <v>7.4689999999999999E-3</v>
      </c>
      <c r="N2018" s="1626">
        <v>1.6067949361539984</v>
      </c>
      <c r="O2018" s="1626"/>
    </row>
    <row r="2019" spans="11:15">
      <c r="K2019" s="1623">
        <v>44076</v>
      </c>
      <c r="L2019" s="1624" t="s">
        <v>2302</v>
      </c>
      <c r="M2019" s="1625">
        <v>7.4689999999999999E-3</v>
      </c>
      <c r="N2019" s="1626">
        <v>1.6069149476677795</v>
      </c>
      <c r="O2019" s="1626"/>
    </row>
    <row r="2020" spans="11:15">
      <c r="K2020" s="1623">
        <v>44077</v>
      </c>
      <c r="L2020" s="1624" t="s">
        <v>2302</v>
      </c>
      <c r="M2020" s="1625">
        <v>7.4689999999999999E-3</v>
      </c>
      <c r="N2020" s="1626">
        <v>1.6070349681452207</v>
      </c>
      <c r="O2020" s="1626"/>
    </row>
    <row r="2021" spans="11:15">
      <c r="K2021" s="1623">
        <v>44078</v>
      </c>
      <c r="L2021" s="1624" t="s">
        <v>2302</v>
      </c>
      <c r="M2021" s="1625">
        <v>7.4689999999999999E-3</v>
      </c>
      <c r="N2021" s="1626">
        <v>1.6071549975869914</v>
      </c>
      <c r="O2021" s="1626"/>
    </row>
    <row r="2022" spans="11:15">
      <c r="K2022" s="1623">
        <v>44079</v>
      </c>
      <c r="L2022" s="1624"/>
      <c r="M2022" s="1625">
        <v>0</v>
      </c>
      <c r="N2022" s="1626">
        <v>1.6071549975869914</v>
      </c>
      <c r="O2022" s="1626"/>
    </row>
    <row r="2023" spans="11:15">
      <c r="K2023" s="1623">
        <v>44080</v>
      </c>
      <c r="L2023" s="1624"/>
      <c r="M2023" s="1625">
        <v>0</v>
      </c>
      <c r="N2023" s="1626">
        <v>1.6071549975869914</v>
      </c>
      <c r="O2023" s="1626"/>
    </row>
    <row r="2024" spans="11:15">
      <c r="K2024" s="1623">
        <v>44081</v>
      </c>
      <c r="L2024" s="1624"/>
      <c r="M2024" s="1625">
        <v>0</v>
      </c>
      <c r="N2024" s="1626">
        <v>1.6071549975869914</v>
      </c>
      <c r="O2024" s="1626"/>
    </row>
    <row r="2025" spans="11:15">
      <c r="K2025" s="1623">
        <v>44082</v>
      </c>
      <c r="L2025" s="1624" t="s">
        <v>2302</v>
      </c>
      <c r="M2025" s="1625">
        <v>7.4689999999999999E-3</v>
      </c>
      <c r="N2025" s="1626">
        <v>1.6072750359937611</v>
      </c>
      <c r="O2025" s="1626"/>
    </row>
    <row r="2026" spans="11:15">
      <c r="K2026" s="1623">
        <v>44083</v>
      </c>
      <c r="L2026" s="1624" t="s">
        <v>2302</v>
      </c>
      <c r="M2026" s="1625">
        <v>7.4689999999999999E-3</v>
      </c>
      <c r="N2026" s="1626">
        <v>1.6073950833661994</v>
      </c>
      <c r="O2026" s="1626"/>
    </row>
    <row r="2027" spans="11:15">
      <c r="K2027" s="1623">
        <v>44084</v>
      </c>
      <c r="L2027" s="1624" t="s">
        <v>2302</v>
      </c>
      <c r="M2027" s="1625">
        <v>7.4689999999999999E-3</v>
      </c>
      <c r="N2027" s="1626">
        <v>1.6075151397049758</v>
      </c>
      <c r="O2027" s="1626"/>
    </row>
    <row r="2028" spans="11:15">
      <c r="K2028" s="1623">
        <v>44085</v>
      </c>
      <c r="L2028" s="1624" t="s">
        <v>2302</v>
      </c>
      <c r="M2028" s="1625">
        <v>7.4689999999999999E-3</v>
      </c>
      <c r="N2028" s="1626">
        <v>1.6076352050107603</v>
      </c>
      <c r="O2028" s="1626"/>
    </row>
    <row r="2029" spans="11:15">
      <c r="K2029" s="1623">
        <v>44086</v>
      </c>
      <c r="L2029" s="1624"/>
      <c r="M2029" s="1625">
        <v>0</v>
      </c>
      <c r="N2029" s="1626">
        <v>1.6076352050107603</v>
      </c>
      <c r="O2029" s="1626"/>
    </row>
    <row r="2030" spans="11:15">
      <c r="K2030" s="1623">
        <v>44087</v>
      </c>
      <c r="L2030" s="1624"/>
      <c r="M2030" s="1625">
        <v>0</v>
      </c>
      <c r="N2030" s="1626">
        <v>1.6076352050107603</v>
      </c>
      <c r="O2030" s="1626"/>
    </row>
    <row r="2031" spans="11:15">
      <c r="K2031" s="1623">
        <v>44088</v>
      </c>
      <c r="L2031" s="1624" t="s">
        <v>2302</v>
      </c>
      <c r="M2031" s="1625">
        <v>7.4689999999999999E-3</v>
      </c>
      <c r="N2031" s="1626">
        <v>1.6077552792842225</v>
      </c>
      <c r="O2031" s="1626"/>
    </row>
    <row r="2032" spans="11:15">
      <c r="K2032" s="1623">
        <v>44089</v>
      </c>
      <c r="L2032" s="1624" t="s">
        <v>2302</v>
      </c>
      <c r="M2032" s="1625">
        <v>7.4689999999999999E-3</v>
      </c>
      <c r="N2032" s="1626">
        <v>1.607875362526032</v>
      </c>
      <c r="O2032" s="1626"/>
    </row>
    <row r="2033" spans="11:15">
      <c r="K2033" s="1623">
        <v>44090</v>
      </c>
      <c r="L2033" s="1624" t="s">
        <v>2302</v>
      </c>
      <c r="M2033" s="1625">
        <v>7.4689999999999999E-3</v>
      </c>
      <c r="N2033" s="1626">
        <v>1.6079954547368589</v>
      </c>
      <c r="O2033" s="1626"/>
    </row>
    <row r="2034" spans="11:15">
      <c r="K2034" s="1623">
        <v>44091</v>
      </c>
      <c r="L2034" s="1624" t="s">
        <v>2302</v>
      </c>
      <c r="M2034" s="1625">
        <v>7.4689999999999999E-3</v>
      </c>
      <c r="N2034" s="1626">
        <v>1.608115555917373</v>
      </c>
      <c r="O2034" s="1626"/>
    </row>
    <row r="2035" spans="11:15">
      <c r="K2035" s="1623">
        <v>44092</v>
      </c>
      <c r="L2035" s="1624" t="s">
        <v>2302</v>
      </c>
      <c r="M2035" s="1625">
        <v>7.4689999999999999E-3</v>
      </c>
      <c r="N2035" s="1626">
        <v>1.6082356660682444</v>
      </c>
      <c r="O2035" s="1626"/>
    </row>
    <row r="2036" spans="11:15">
      <c r="K2036" s="1623">
        <v>44093</v>
      </c>
      <c r="L2036" s="1624"/>
      <c r="M2036" s="1625">
        <v>0</v>
      </c>
      <c r="N2036" s="1626">
        <v>1.6082356660682444</v>
      </c>
      <c r="O2036" s="1626"/>
    </row>
    <row r="2037" spans="11:15">
      <c r="K2037" s="1623">
        <v>44094</v>
      </c>
      <c r="L2037" s="1624"/>
      <c r="M2037" s="1625">
        <v>0</v>
      </c>
      <c r="N2037" s="1626">
        <v>1.6082356660682444</v>
      </c>
      <c r="O2037" s="1626"/>
    </row>
    <row r="2038" spans="11:15">
      <c r="K2038" s="1623">
        <v>44095</v>
      </c>
      <c r="L2038" s="1624" t="s">
        <v>2302</v>
      </c>
      <c r="M2038" s="1625">
        <v>7.4689999999999999E-3</v>
      </c>
      <c r="N2038" s="1626">
        <v>1.6083557851901429</v>
      </c>
      <c r="O2038" s="1626"/>
    </row>
    <row r="2039" spans="11:15">
      <c r="K2039" s="1623">
        <v>44096</v>
      </c>
      <c r="L2039" s="1624" t="s">
        <v>2302</v>
      </c>
      <c r="M2039" s="1625">
        <v>7.4689999999999999E-3</v>
      </c>
      <c r="N2039" s="1626">
        <v>1.6084759132837387</v>
      </c>
      <c r="O2039" s="1626"/>
    </row>
    <row r="2040" spans="11:15">
      <c r="K2040" s="1623">
        <v>44097</v>
      </c>
      <c r="L2040" s="1624" t="s">
        <v>2302</v>
      </c>
      <c r="M2040" s="1625">
        <v>7.4689999999999999E-3</v>
      </c>
      <c r="N2040" s="1626">
        <v>1.6085960503497019</v>
      </c>
      <c r="O2040" s="1626"/>
    </row>
    <row r="2041" spans="11:15">
      <c r="K2041" s="1623">
        <v>44098</v>
      </c>
      <c r="L2041" s="1624" t="s">
        <v>2302</v>
      </c>
      <c r="M2041" s="1625">
        <v>7.4689999999999999E-3</v>
      </c>
      <c r="N2041" s="1626">
        <v>1.6087161963887024</v>
      </c>
      <c r="O2041" s="1626"/>
    </row>
    <row r="2042" spans="11:15">
      <c r="K2042" s="1623">
        <v>44099</v>
      </c>
      <c r="L2042" s="1624" t="s">
        <v>2302</v>
      </c>
      <c r="M2042" s="1625">
        <v>7.4689999999999999E-3</v>
      </c>
      <c r="N2042" s="1626">
        <v>1.6088363514014106</v>
      </c>
      <c r="O2042" s="1626"/>
    </row>
    <row r="2043" spans="11:15">
      <c r="K2043" s="1623">
        <v>44100</v>
      </c>
      <c r="L2043" s="1624"/>
      <c r="M2043" s="1625">
        <v>0</v>
      </c>
      <c r="N2043" s="1626">
        <v>1.6088363514014106</v>
      </c>
      <c r="O2043" s="1626"/>
    </row>
    <row r="2044" spans="11:15">
      <c r="K2044" s="1623">
        <v>44101</v>
      </c>
      <c r="L2044" s="1624"/>
      <c r="M2044" s="1625">
        <v>0</v>
      </c>
      <c r="N2044" s="1626">
        <v>1.6088363514014106</v>
      </c>
      <c r="O2044" s="1626"/>
    </row>
    <row r="2045" spans="11:15">
      <c r="K2045" s="1623">
        <v>44102</v>
      </c>
      <c r="L2045" s="1624" t="s">
        <v>2302</v>
      </c>
      <c r="M2045" s="1625">
        <v>7.4689999999999999E-3</v>
      </c>
      <c r="N2045" s="1626">
        <v>1.6089565153884966</v>
      </c>
      <c r="O2045" s="1626"/>
    </row>
    <row r="2046" spans="11:15">
      <c r="K2046" s="1623">
        <v>44103</v>
      </c>
      <c r="L2046" s="1624" t="s">
        <v>2302</v>
      </c>
      <c r="M2046" s="1625">
        <v>7.4689999999999999E-3</v>
      </c>
      <c r="N2046" s="1626">
        <v>1.6090766883506309</v>
      </c>
      <c r="O2046" s="1626"/>
    </row>
    <row r="2047" spans="11:15">
      <c r="K2047" s="1623">
        <v>44104</v>
      </c>
      <c r="L2047" s="1624" t="s">
        <v>2302</v>
      </c>
      <c r="M2047" s="1625">
        <v>7.4689999999999999E-3</v>
      </c>
      <c r="N2047" s="1626">
        <v>1.6091968702884838</v>
      </c>
      <c r="O2047" s="1626"/>
    </row>
    <row r="2048" spans="11:15">
      <c r="K2048" s="1623">
        <v>44105</v>
      </c>
      <c r="L2048" s="1624" t="s">
        <v>2302</v>
      </c>
      <c r="M2048" s="1625">
        <v>7.4689999999999999E-3</v>
      </c>
      <c r="N2048" s="1626">
        <v>1.6093170612027254</v>
      </c>
      <c r="O2048" s="1626"/>
    </row>
    <row r="2049" spans="11:15">
      <c r="K2049" s="1623">
        <v>44106</v>
      </c>
      <c r="L2049" s="1624" t="s">
        <v>2302</v>
      </c>
      <c r="M2049" s="1625">
        <v>7.4689999999999999E-3</v>
      </c>
      <c r="N2049" s="1626">
        <v>1.6094372610940266</v>
      </c>
      <c r="O2049" s="1626"/>
    </row>
    <row r="2050" spans="11:15">
      <c r="K2050" s="1623">
        <v>44107</v>
      </c>
      <c r="L2050" s="1624"/>
      <c r="M2050" s="1625">
        <v>0</v>
      </c>
      <c r="N2050" s="1626">
        <v>1.6094372610940266</v>
      </c>
      <c r="O2050" s="1626"/>
    </row>
    <row r="2051" spans="11:15">
      <c r="K2051" s="1623">
        <v>44108</v>
      </c>
      <c r="L2051" s="1624"/>
      <c r="M2051" s="1625">
        <v>0</v>
      </c>
      <c r="N2051" s="1626">
        <v>1.6094372610940266</v>
      </c>
      <c r="O2051" s="1626"/>
    </row>
    <row r="2052" spans="11:15">
      <c r="K2052" s="1623">
        <v>44109</v>
      </c>
      <c r="L2052" s="1624" t="s">
        <v>2302</v>
      </c>
      <c r="M2052" s="1625">
        <v>7.4689999999999999E-3</v>
      </c>
      <c r="N2052" s="1626">
        <v>1.6095574699630577</v>
      </c>
      <c r="O2052" s="1626"/>
    </row>
    <row r="2053" spans="11:15">
      <c r="K2053" s="1623">
        <v>44110</v>
      </c>
      <c r="L2053" s="1624" t="s">
        <v>2302</v>
      </c>
      <c r="M2053" s="1625">
        <v>7.4689999999999999E-3</v>
      </c>
      <c r="N2053" s="1626">
        <v>1.609677687810489</v>
      </c>
      <c r="O2053" s="1626"/>
    </row>
    <row r="2054" spans="11:15">
      <c r="K2054" s="1623">
        <v>44111</v>
      </c>
      <c r="L2054" s="1624" t="s">
        <v>2302</v>
      </c>
      <c r="M2054" s="1625">
        <v>7.4689999999999999E-3</v>
      </c>
      <c r="N2054" s="1626">
        <v>1.6097979146369914</v>
      </c>
      <c r="O2054" s="1626"/>
    </row>
    <row r="2055" spans="11:15">
      <c r="K2055" s="1623">
        <v>44112</v>
      </c>
      <c r="L2055" s="1624" t="s">
        <v>2302</v>
      </c>
      <c r="M2055" s="1625">
        <v>7.4689999999999999E-3</v>
      </c>
      <c r="N2055" s="1626">
        <v>1.6099181504432356</v>
      </c>
      <c r="O2055" s="1626"/>
    </row>
    <row r="2056" spans="11:15">
      <c r="K2056" s="1623">
        <v>44113</v>
      </c>
      <c r="L2056" s="1624" t="s">
        <v>2302</v>
      </c>
      <c r="M2056" s="1625">
        <v>7.4689999999999999E-3</v>
      </c>
      <c r="N2056" s="1626">
        <v>1.610038395229892</v>
      </c>
      <c r="O2056" s="1626"/>
    </row>
    <row r="2057" spans="11:15">
      <c r="K2057" s="1623">
        <v>44114</v>
      </c>
      <c r="L2057" s="1624"/>
      <c r="M2057" s="1625">
        <v>0</v>
      </c>
      <c r="N2057" s="1626">
        <v>1.610038395229892</v>
      </c>
      <c r="O2057" s="1626"/>
    </row>
    <row r="2058" spans="11:15">
      <c r="K2058" s="1623">
        <v>44115</v>
      </c>
      <c r="L2058" s="1624"/>
      <c r="M2058" s="1625">
        <v>0</v>
      </c>
      <c r="N2058" s="1626">
        <v>1.610038395229892</v>
      </c>
      <c r="O2058" s="1626"/>
    </row>
    <row r="2059" spans="11:15">
      <c r="K2059" s="1623">
        <v>44116</v>
      </c>
      <c r="L2059" s="1624"/>
      <c r="M2059" s="1625">
        <v>0</v>
      </c>
      <c r="N2059" s="1626">
        <v>1.610038395229892</v>
      </c>
      <c r="O2059" s="1626"/>
    </row>
    <row r="2060" spans="11:15">
      <c r="K2060" s="1623">
        <v>44117</v>
      </c>
      <c r="L2060" s="1624" t="s">
        <v>2302</v>
      </c>
      <c r="M2060" s="1625">
        <v>7.4689999999999999E-3</v>
      </c>
      <c r="N2060" s="1626">
        <v>1.6101586489976316</v>
      </c>
      <c r="O2060" s="1626"/>
    </row>
    <row r="2061" spans="11:15">
      <c r="K2061" s="1623">
        <v>44118</v>
      </c>
      <c r="L2061" s="1624" t="s">
        <v>2302</v>
      </c>
      <c r="M2061" s="1625">
        <v>7.4689999999999999E-3</v>
      </c>
      <c r="N2061" s="1626">
        <v>1.6102789117471252</v>
      </c>
      <c r="O2061" s="1626"/>
    </row>
    <row r="2062" spans="11:15">
      <c r="K2062" s="1623">
        <v>44119</v>
      </c>
      <c r="L2062" s="1624" t="s">
        <v>2302</v>
      </c>
      <c r="M2062" s="1625">
        <v>7.4689999999999999E-3</v>
      </c>
      <c r="N2062" s="1626">
        <v>1.6103991834790434</v>
      </c>
      <c r="O2062" s="1626"/>
    </row>
    <row r="2063" spans="11:15">
      <c r="K2063" s="1623">
        <v>44120</v>
      </c>
      <c r="L2063" s="1624" t="s">
        <v>2302</v>
      </c>
      <c r="M2063" s="1625">
        <v>7.4689999999999999E-3</v>
      </c>
      <c r="N2063" s="1626">
        <v>1.6105194641940574</v>
      </c>
      <c r="O2063" s="1626"/>
    </row>
    <row r="2064" spans="11:15">
      <c r="K2064" s="1623">
        <v>44121</v>
      </c>
      <c r="L2064" s="1624"/>
      <c r="M2064" s="1625">
        <v>0</v>
      </c>
      <c r="N2064" s="1626">
        <v>1.6105194641940574</v>
      </c>
      <c r="O2064" s="1626"/>
    </row>
    <row r="2065" spans="11:15">
      <c r="K2065" s="1623">
        <v>44122</v>
      </c>
      <c r="L2065" s="1624"/>
      <c r="M2065" s="1625">
        <v>0</v>
      </c>
      <c r="N2065" s="1626">
        <v>1.6105194641940574</v>
      </c>
      <c r="O2065" s="1626"/>
    </row>
    <row r="2066" spans="11:15">
      <c r="K2066" s="1623">
        <v>44123</v>
      </c>
      <c r="L2066" s="1624" t="s">
        <v>2302</v>
      </c>
      <c r="M2066" s="1625">
        <v>7.4689999999999999E-3</v>
      </c>
      <c r="N2066" s="1626">
        <v>1.6106397538928381</v>
      </c>
      <c r="O2066" s="1626"/>
    </row>
    <row r="2067" spans="11:15">
      <c r="K2067" s="1623">
        <v>44124</v>
      </c>
      <c r="L2067" s="1624" t="s">
        <v>2302</v>
      </c>
      <c r="M2067" s="1625">
        <v>7.4689999999999999E-3</v>
      </c>
      <c r="N2067" s="1626">
        <v>1.6107600525760561</v>
      </c>
      <c r="O2067" s="1626"/>
    </row>
    <row r="2068" spans="11:15">
      <c r="K2068" s="1623">
        <v>44125</v>
      </c>
      <c r="L2068" s="1624" t="s">
        <v>2302</v>
      </c>
      <c r="M2068" s="1625">
        <v>7.4689999999999999E-3</v>
      </c>
      <c r="N2068" s="1626">
        <v>1.6108803602443829</v>
      </c>
      <c r="O2068" s="1626"/>
    </row>
    <row r="2069" spans="11:15">
      <c r="K2069" s="1623">
        <v>44126</v>
      </c>
      <c r="L2069" s="1624" t="s">
        <v>2302</v>
      </c>
      <c r="M2069" s="1625">
        <v>7.4689999999999999E-3</v>
      </c>
      <c r="N2069" s="1626">
        <v>1.6110006768984895</v>
      </c>
      <c r="O2069" s="1626"/>
    </row>
    <row r="2070" spans="11:15">
      <c r="K2070" s="1623">
        <v>44127</v>
      </c>
      <c r="L2070" s="1624" t="s">
        <v>2302</v>
      </c>
      <c r="M2070" s="1625">
        <v>7.4689999999999999E-3</v>
      </c>
      <c r="N2070" s="1626">
        <v>1.611121002539047</v>
      </c>
      <c r="O2070" s="1626"/>
    </row>
    <row r="2071" spans="11:15">
      <c r="K2071" s="1623">
        <v>44128</v>
      </c>
      <c r="L2071" s="1624"/>
      <c r="M2071" s="1625">
        <v>0</v>
      </c>
      <c r="N2071" s="1626">
        <v>1.611121002539047</v>
      </c>
      <c r="O2071" s="1626"/>
    </row>
    <row r="2072" spans="11:15">
      <c r="K2072" s="1623">
        <v>44129</v>
      </c>
      <c r="L2072" s="1624"/>
      <c r="M2072" s="1625">
        <v>0</v>
      </c>
      <c r="N2072" s="1626">
        <v>1.611121002539047</v>
      </c>
      <c r="O2072" s="1626"/>
    </row>
    <row r="2073" spans="11:15">
      <c r="K2073" s="1623">
        <v>44130</v>
      </c>
      <c r="L2073" s="1624" t="s">
        <v>2302</v>
      </c>
      <c r="M2073" s="1625">
        <v>7.4689999999999999E-3</v>
      </c>
      <c r="N2073" s="1626">
        <v>1.6112413371667265</v>
      </c>
      <c r="O2073" s="1626"/>
    </row>
    <row r="2074" spans="11:15">
      <c r="K2074" s="1623">
        <v>44131</v>
      </c>
      <c r="L2074" s="1624" t="s">
        <v>2302</v>
      </c>
      <c r="M2074" s="1625">
        <v>7.4689999999999999E-3</v>
      </c>
      <c r="N2074" s="1626">
        <v>1.6113616807821993</v>
      </c>
      <c r="O2074" s="1626"/>
    </row>
    <row r="2075" spans="11:15">
      <c r="K2075" s="1623">
        <v>44132</v>
      </c>
      <c r="L2075" s="1624" t="s">
        <v>2302</v>
      </c>
      <c r="M2075" s="1625">
        <v>7.4689999999999999E-3</v>
      </c>
      <c r="N2075" s="1626">
        <v>1.6114820333861368</v>
      </c>
      <c r="O2075" s="1626"/>
    </row>
    <row r="2076" spans="11:15">
      <c r="K2076" s="1623">
        <v>44133</v>
      </c>
      <c r="L2076" s="1624" t="s">
        <v>2302</v>
      </c>
      <c r="M2076" s="1625">
        <v>7.4689999999999999E-3</v>
      </c>
      <c r="N2076" s="1626">
        <v>1.6116023949792104</v>
      </c>
      <c r="O2076" s="1626"/>
    </row>
    <row r="2077" spans="11:15">
      <c r="K2077" s="1623">
        <v>44134</v>
      </c>
      <c r="L2077" s="1624" t="s">
        <v>2302</v>
      </c>
      <c r="M2077" s="1625">
        <v>7.4689999999999999E-3</v>
      </c>
      <c r="N2077" s="1626">
        <v>1.6117227655620914</v>
      </c>
      <c r="O2077" s="1626"/>
    </row>
    <row r="2078" spans="11:15">
      <c r="K2078" s="1623">
        <v>44135</v>
      </c>
      <c r="L2078" s="1624"/>
      <c r="M2078" s="1625">
        <v>0</v>
      </c>
      <c r="N2078" s="1626">
        <v>1.6117227655620914</v>
      </c>
      <c r="O2078" s="1626"/>
    </row>
    <row r="2079" spans="11:15">
      <c r="K2079" s="1623">
        <v>44136</v>
      </c>
      <c r="L2079" s="1624"/>
      <c r="M2079" s="1625">
        <v>0</v>
      </c>
      <c r="N2079" s="1626">
        <v>1.6117227655620914</v>
      </c>
      <c r="O2079" s="1626"/>
    </row>
    <row r="2080" spans="11:15">
      <c r="K2080" s="1623">
        <v>44137</v>
      </c>
      <c r="L2080" s="1624"/>
      <c r="M2080" s="1625">
        <v>0</v>
      </c>
      <c r="N2080" s="1626">
        <v>1.6117227655620914</v>
      </c>
      <c r="O2080" s="1626"/>
    </row>
    <row r="2081" spans="11:15">
      <c r="K2081" s="1623">
        <v>44138</v>
      </c>
      <c r="L2081" s="1624" t="s">
        <v>2302</v>
      </c>
      <c r="M2081" s="1625">
        <v>7.4689999999999999E-3</v>
      </c>
      <c r="N2081" s="1626">
        <v>1.6118431451354511</v>
      </c>
      <c r="O2081" s="1626"/>
    </row>
    <row r="2082" spans="11:15">
      <c r="K2082" s="1623">
        <v>44139</v>
      </c>
      <c r="L2082" s="1624" t="s">
        <v>2302</v>
      </c>
      <c r="M2082" s="1625">
        <v>7.4689999999999999E-3</v>
      </c>
      <c r="N2082" s="1626">
        <v>1.6119635336999611</v>
      </c>
      <c r="O2082" s="1626"/>
    </row>
    <row r="2083" spans="11:15">
      <c r="K2083" s="1623">
        <v>44140</v>
      </c>
      <c r="L2083" s="1624" t="s">
        <v>2302</v>
      </c>
      <c r="M2083" s="1625">
        <v>7.4689999999999999E-3</v>
      </c>
      <c r="N2083" s="1626">
        <v>1.6120839312562931</v>
      </c>
      <c r="O2083" s="1626"/>
    </row>
    <row r="2084" spans="11:15">
      <c r="K2084" s="1623">
        <v>44141</v>
      </c>
      <c r="L2084" s="1624" t="s">
        <v>2302</v>
      </c>
      <c r="M2084" s="1625">
        <v>7.4689999999999999E-3</v>
      </c>
      <c r="N2084" s="1626">
        <v>1.6122043378051185</v>
      </c>
      <c r="O2084" s="1626"/>
    </row>
    <row r="2085" spans="11:15">
      <c r="K2085" s="1623">
        <v>44142</v>
      </c>
      <c r="L2085" s="1624"/>
      <c r="M2085" s="1625">
        <v>0</v>
      </c>
      <c r="N2085" s="1626">
        <v>1.6122043378051185</v>
      </c>
      <c r="O2085" s="1626"/>
    </row>
    <row r="2086" spans="11:15">
      <c r="K2086" s="1623">
        <v>44143</v>
      </c>
      <c r="L2086" s="1624"/>
      <c r="M2086" s="1625">
        <v>0</v>
      </c>
      <c r="N2086" s="1626">
        <v>1.6122043378051185</v>
      </c>
      <c r="O2086" s="1626"/>
    </row>
    <row r="2087" spans="11:15">
      <c r="K2087" s="1623">
        <v>44144</v>
      </c>
      <c r="L2087" s="1624" t="s">
        <v>2302</v>
      </c>
      <c r="M2087" s="1625">
        <v>7.4689999999999999E-3</v>
      </c>
      <c r="N2087" s="1626">
        <v>1.612324753347109</v>
      </c>
      <c r="O2087" s="1626"/>
    </row>
    <row r="2088" spans="11:15">
      <c r="K2088" s="1623">
        <v>44145</v>
      </c>
      <c r="L2088" s="1624" t="s">
        <v>2302</v>
      </c>
      <c r="M2088" s="1625">
        <v>7.4689999999999999E-3</v>
      </c>
      <c r="N2088" s="1626">
        <v>1.6124451778829363</v>
      </c>
      <c r="O2088" s="1626"/>
    </row>
    <row r="2089" spans="11:15">
      <c r="K2089" s="1623">
        <v>44146</v>
      </c>
      <c r="L2089" s="1624" t="s">
        <v>2302</v>
      </c>
      <c r="M2089" s="1625">
        <v>7.4689999999999999E-3</v>
      </c>
      <c r="N2089" s="1626">
        <v>1.6125656114132723</v>
      </c>
      <c r="O2089" s="1626"/>
    </row>
    <row r="2090" spans="11:15">
      <c r="K2090" s="1623">
        <v>44147</v>
      </c>
      <c r="L2090" s="1624" t="s">
        <v>2302</v>
      </c>
      <c r="M2090" s="1625">
        <v>7.4689999999999999E-3</v>
      </c>
      <c r="N2090" s="1626">
        <v>1.6126860539387886</v>
      </c>
      <c r="O2090" s="1626"/>
    </row>
    <row r="2091" spans="11:15">
      <c r="K2091" s="1623">
        <v>44148</v>
      </c>
      <c r="L2091" s="1624" t="s">
        <v>2302</v>
      </c>
      <c r="M2091" s="1625">
        <v>7.4689999999999999E-3</v>
      </c>
      <c r="N2091" s="1626">
        <v>1.6128065054601572</v>
      </c>
      <c r="O2091" s="1626"/>
    </row>
    <row r="2092" spans="11:15">
      <c r="K2092" s="1623">
        <v>44149</v>
      </c>
      <c r="L2092" s="1624"/>
      <c r="M2092" s="1625">
        <v>0</v>
      </c>
      <c r="N2092" s="1626">
        <v>1.6128065054601572</v>
      </c>
      <c r="O2092" s="1626"/>
    </row>
    <row r="2093" spans="11:15">
      <c r="K2093" s="1623">
        <v>44150</v>
      </c>
      <c r="L2093" s="1624"/>
      <c r="M2093" s="1625">
        <v>0</v>
      </c>
      <c r="N2093" s="1626">
        <v>1.6128065054601572</v>
      </c>
      <c r="O2093" s="1626"/>
    </row>
    <row r="2094" spans="11:15">
      <c r="K2094" s="1623">
        <v>44151</v>
      </c>
      <c r="L2094" s="1624" t="s">
        <v>2302</v>
      </c>
      <c r="M2094" s="1625">
        <v>7.4689999999999999E-3</v>
      </c>
      <c r="N2094" s="1626">
        <v>1.6129269659780499</v>
      </c>
      <c r="O2094" s="1626"/>
    </row>
    <row r="2095" spans="11:15">
      <c r="K2095" s="1623">
        <v>44152</v>
      </c>
      <c r="L2095" s="1624" t="s">
        <v>2302</v>
      </c>
      <c r="M2095" s="1625">
        <v>7.4689999999999999E-3</v>
      </c>
      <c r="N2095" s="1626">
        <v>1.6130474354931386</v>
      </c>
      <c r="O2095" s="1626"/>
    </row>
    <row r="2096" spans="11:15">
      <c r="K2096" s="1623">
        <v>44153</v>
      </c>
      <c r="L2096" s="1624" t="s">
        <v>2302</v>
      </c>
      <c r="M2096" s="1625">
        <v>7.4689999999999999E-3</v>
      </c>
      <c r="N2096" s="1626">
        <v>1.6131679140060955</v>
      </c>
      <c r="O2096" s="1626"/>
    </row>
    <row r="2097" spans="11:15">
      <c r="K2097" s="1623">
        <v>44154</v>
      </c>
      <c r="L2097" s="1624" t="s">
        <v>2302</v>
      </c>
      <c r="M2097" s="1625">
        <v>7.4689999999999999E-3</v>
      </c>
      <c r="N2097" s="1626">
        <v>1.6132884015175926</v>
      </c>
      <c r="O2097" s="1626"/>
    </row>
    <row r="2098" spans="11:15">
      <c r="K2098" s="1623">
        <v>44155</v>
      </c>
      <c r="L2098" s="1624" t="s">
        <v>2302</v>
      </c>
      <c r="M2098" s="1625">
        <v>7.4689999999999999E-3</v>
      </c>
      <c r="N2098" s="1626">
        <v>1.6134088980283019</v>
      </c>
      <c r="O2098" s="1626"/>
    </row>
    <row r="2099" spans="11:15">
      <c r="K2099" s="1623">
        <v>44156</v>
      </c>
      <c r="L2099" s="1624"/>
      <c r="M2099" s="1625">
        <v>0</v>
      </c>
      <c r="N2099" s="1626">
        <v>1.6134088980283019</v>
      </c>
      <c r="O2099" s="1626"/>
    </row>
    <row r="2100" spans="11:15">
      <c r="K2100" s="1623">
        <v>44157</v>
      </c>
      <c r="L2100" s="1624"/>
      <c r="M2100" s="1625">
        <v>0</v>
      </c>
      <c r="N2100" s="1626">
        <v>1.6134088980283019</v>
      </c>
      <c r="O2100" s="1626"/>
    </row>
    <row r="2101" spans="11:15">
      <c r="K2101" s="1623">
        <v>44158</v>
      </c>
      <c r="L2101" s="1624" t="s">
        <v>2302</v>
      </c>
      <c r="M2101" s="1625">
        <v>7.4689999999999999E-3</v>
      </c>
      <c r="N2101" s="1626">
        <v>1.6135294035388956</v>
      </c>
      <c r="O2101" s="1626"/>
    </row>
    <row r="2102" spans="11:15">
      <c r="K2102" s="1623">
        <v>44159</v>
      </c>
      <c r="L2102" s="1624" t="s">
        <v>2302</v>
      </c>
      <c r="M2102" s="1625">
        <v>7.4689999999999999E-3</v>
      </c>
      <c r="N2102" s="1626">
        <v>1.6136499180500459</v>
      </c>
      <c r="O2102" s="1626"/>
    </row>
    <row r="2103" spans="11:15">
      <c r="K2103" s="1623">
        <v>44160</v>
      </c>
      <c r="L2103" s="1624" t="s">
        <v>2302</v>
      </c>
      <c r="M2103" s="1625">
        <v>7.4689999999999999E-3</v>
      </c>
      <c r="N2103" s="1626">
        <v>1.613770441562425</v>
      </c>
      <c r="O2103" s="1626"/>
    </row>
    <row r="2104" spans="11:15">
      <c r="K2104" s="1623">
        <v>44161</v>
      </c>
      <c r="L2104" s="1624" t="s">
        <v>2302</v>
      </c>
      <c r="M2104" s="1625">
        <v>7.4689999999999999E-3</v>
      </c>
      <c r="N2104" s="1626">
        <v>1.6138909740767051</v>
      </c>
      <c r="O2104" s="1626"/>
    </row>
    <row r="2105" spans="11:15">
      <c r="K2105" s="1623">
        <v>44162</v>
      </c>
      <c r="L2105" s="1624" t="s">
        <v>2302</v>
      </c>
      <c r="M2105" s="1625">
        <v>7.4689999999999999E-3</v>
      </c>
      <c r="N2105" s="1626">
        <v>1.6140115155935588</v>
      </c>
      <c r="O2105" s="1626"/>
    </row>
    <row r="2106" spans="11:15">
      <c r="K2106" s="1623">
        <v>44163</v>
      </c>
      <c r="L2106" s="1624"/>
      <c r="M2106" s="1625">
        <v>0</v>
      </c>
      <c r="N2106" s="1626">
        <v>1.6140115155935588</v>
      </c>
      <c r="O2106" s="1626"/>
    </row>
    <row r="2107" spans="11:15">
      <c r="K2107" s="1623">
        <v>44164</v>
      </c>
      <c r="L2107" s="1624"/>
      <c r="M2107" s="1625">
        <v>0</v>
      </c>
      <c r="N2107" s="1626">
        <v>1.6140115155935588</v>
      </c>
      <c r="O2107" s="1626"/>
    </row>
    <row r="2108" spans="11:15">
      <c r="K2108" s="1623">
        <v>44165</v>
      </c>
      <c r="L2108" s="1624" t="s">
        <v>2302</v>
      </c>
      <c r="M2108" s="1625">
        <v>7.4689999999999999E-3</v>
      </c>
      <c r="N2108" s="1626">
        <v>1.6141320661136584</v>
      </c>
      <c r="O2108" s="1626"/>
    </row>
    <row r="2109" spans="11:15">
      <c r="K2109" s="1623">
        <v>44166</v>
      </c>
      <c r="L2109" s="1624" t="s">
        <v>2302</v>
      </c>
      <c r="M2109" s="1625">
        <v>7.4689999999999999E-3</v>
      </c>
      <c r="N2109" s="1626">
        <v>1.6142526256376764</v>
      </c>
      <c r="O2109" s="1626"/>
    </row>
    <row r="2110" spans="11:15">
      <c r="K2110" s="1623">
        <v>44167</v>
      </c>
      <c r="L2110" s="1624" t="s">
        <v>2302</v>
      </c>
      <c r="M2110" s="1625">
        <v>7.4689999999999999E-3</v>
      </c>
      <c r="N2110" s="1626">
        <v>1.6143731941662851</v>
      </c>
      <c r="O2110" s="1626"/>
    </row>
    <row r="2111" spans="11:15">
      <c r="K2111" s="1623">
        <v>44168</v>
      </c>
      <c r="L2111" s="1624" t="s">
        <v>2302</v>
      </c>
      <c r="M2111" s="1625">
        <v>7.4689999999999999E-3</v>
      </c>
      <c r="N2111" s="1626">
        <v>1.6144937717001573</v>
      </c>
      <c r="O2111" s="1626"/>
    </row>
    <row r="2112" spans="11:15">
      <c r="K2112" s="1623">
        <v>44169</v>
      </c>
      <c r="L2112" s="1624" t="s">
        <v>2302</v>
      </c>
      <c r="M2112" s="1625">
        <v>7.4689999999999999E-3</v>
      </c>
      <c r="N2112" s="1626">
        <v>1.6146143582399655</v>
      </c>
      <c r="O2112" s="1626"/>
    </row>
    <row r="2113" spans="11:15">
      <c r="K2113" s="1623">
        <v>44170</v>
      </c>
      <c r="L2113" s="1624"/>
      <c r="M2113" s="1625">
        <v>0</v>
      </c>
      <c r="N2113" s="1626">
        <v>1.6146143582399655</v>
      </c>
      <c r="O2113" s="1626"/>
    </row>
    <row r="2114" spans="11:15">
      <c r="K2114" s="1623">
        <v>44171</v>
      </c>
      <c r="L2114" s="1624"/>
      <c r="M2114" s="1625">
        <v>0</v>
      </c>
      <c r="N2114" s="1626">
        <v>1.6146143582399655</v>
      </c>
      <c r="O2114" s="1626"/>
    </row>
    <row r="2115" spans="11:15">
      <c r="K2115" s="1623">
        <v>44172</v>
      </c>
      <c r="L2115" s="1624" t="s">
        <v>2302</v>
      </c>
      <c r="M2115" s="1625">
        <v>7.4689999999999999E-3</v>
      </c>
      <c r="N2115" s="1626">
        <v>1.6147349537863822</v>
      </c>
      <c r="O2115" s="1626"/>
    </row>
    <row r="2116" spans="11:15">
      <c r="K2116" s="1623">
        <v>44173</v>
      </c>
      <c r="L2116" s="1624" t="s">
        <v>2302</v>
      </c>
      <c r="M2116" s="1625">
        <v>7.4689999999999999E-3</v>
      </c>
      <c r="N2116" s="1626">
        <v>1.6148555583400803</v>
      </c>
      <c r="O2116" s="1626"/>
    </row>
    <row r="2117" spans="11:15">
      <c r="K2117" s="1623">
        <v>44174</v>
      </c>
      <c r="L2117" s="1624" t="s">
        <v>2302</v>
      </c>
      <c r="M2117" s="1625">
        <v>7.4689999999999999E-3</v>
      </c>
      <c r="N2117" s="1626">
        <v>1.6149761719017326</v>
      </c>
      <c r="O2117" s="1626"/>
    </row>
    <row r="2118" spans="11:15">
      <c r="K2118" s="1623">
        <v>44175</v>
      </c>
      <c r="L2118" s="1624" t="s">
        <v>2302</v>
      </c>
      <c r="M2118" s="1625">
        <v>7.4689999999999999E-3</v>
      </c>
      <c r="N2118" s="1626">
        <v>1.6150967944720118</v>
      </c>
      <c r="O2118" s="1626"/>
    </row>
    <row r="2119" spans="11:15">
      <c r="K2119" s="1623">
        <v>44176</v>
      </c>
      <c r="L2119" s="1624" t="s">
        <v>2302</v>
      </c>
      <c r="M2119" s="1625">
        <v>7.4689999999999999E-3</v>
      </c>
      <c r="N2119" s="1626">
        <v>1.6152174260515908</v>
      </c>
      <c r="O2119" s="1626"/>
    </row>
    <row r="2120" spans="11:15">
      <c r="K2120" s="1623">
        <v>44177</v>
      </c>
      <c r="L2120" s="1624"/>
      <c r="M2120" s="1625">
        <v>0</v>
      </c>
      <c r="N2120" s="1626">
        <v>1.6152174260515908</v>
      </c>
      <c r="O2120" s="1626"/>
    </row>
    <row r="2121" spans="11:15">
      <c r="K2121" s="1623">
        <v>44178</v>
      </c>
      <c r="L2121" s="1624"/>
      <c r="M2121" s="1625">
        <v>0</v>
      </c>
      <c r="N2121" s="1626">
        <v>1.6152174260515908</v>
      </c>
      <c r="O2121" s="1626"/>
    </row>
    <row r="2122" spans="11:15">
      <c r="K2122" s="1623">
        <v>44179</v>
      </c>
      <c r="L2122" s="1624" t="s">
        <v>2302</v>
      </c>
      <c r="M2122" s="1625">
        <v>7.4689999999999999E-3</v>
      </c>
      <c r="N2122" s="1626">
        <v>1.6153380666411425</v>
      </c>
      <c r="O2122" s="1626"/>
    </row>
    <row r="2123" spans="11:15">
      <c r="K2123" s="1623">
        <v>44180</v>
      </c>
      <c r="L2123" s="1624" t="s">
        <v>2302</v>
      </c>
      <c r="M2123" s="1625">
        <v>7.4689999999999999E-3</v>
      </c>
      <c r="N2123" s="1626">
        <v>1.6154587162413399</v>
      </c>
      <c r="O2123" s="1626"/>
    </row>
    <row r="2124" spans="11:15">
      <c r="K2124" s="1623">
        <v>44181</v>
      </c>
      <c r="L2124" s="1624" t="s">
        <v>2302</v>
      </c>
      <c r="M2124" s="1625">
        <v>7.4689999999999999E-3</v>
      </c>
      <c r="N2124" s="1626">
        <v>1.6155793748528557</v>
      </c>
      <c r="O2124" s="1626"/>
    </row>
    <row r="2125" spans="11:15">
      <c r="K2125" s="1623">
        <v>44182</v>
      </c>
      <c r="L2125" s="1624" t="s">
        <v>2302</v>
      </c>
      <c r="M2125" s="1625">
        <v>7.4689999999999999E-3</v>
      </c>
      <c r="N2125" s="1626">
        <v>1.6157000424763635</v>
      </c>
      <c r="O2125" s="1626"/>
    </row>
    <row r="2126" spans="11:15">
      <c r="K2126" s="1623">
        <v>44183</v>
      </c>
      <c r="L2126" s="1624" t="s">
        <v>2302</v>
      </c>
      <c r="M2126" s="1625">
        <v>7.4689999999999999E-3</v>
      </c>
      <c r="N2126" s="1626">
        <v>1.615820719112536</v>
      </c>
      <c r="O2126" s="1626"/>
    </row>
    <row r="2127" spans="11:15">
      <c r="K2127" s="1623">
        <v>44184</v>
      </c>
      <c r="L2127" s="1624"/>
      <c r="M2127" s="1625">
        <v>0</v>
      </c>
      <c r="N2127" s="1626">
        <v>1.615820719112536</v>
      </c>
      <c r="O2127" s="1626"/>
    </row>
    <row r="2128" spans="11:15">
      <c r="K2128" s="1623">
        <v>44185</v>
      </c>
      <c r="L2128" s="1624"/>
      <c r="M2128" s="1625">
        <v>0</v>
      </c>
      <c r="N2128" s="1626">
        <v>1.615820719112536</v>
      </c>
      <c r="O2128" s="1626"/>
    </row>
    <row r="2129" spans="11:15">
      <c r="K2129" s="1623">
        <v>44186</v>
      </c>
      <c r="L2129" s="1624" t="s">
        <v>2302</v>
      </c>
      <c r="M2129" s="1625">
        <v>7.4689999999999999E-3</v>
      </c>
      <c r="N2129" s="1626">
        <v>1.6159414047620464</v>
      </c>
      <c r="O2129" s="1626"/>
    </row>
    <row r="2130" spans="11:15">
      <c r="K2130" s="1623">
        <v>44187</v>
      </c>
      <c r="L2130" s="1624" t="s">
        <v>2302</v>
      </c>
      <c r="M2130" s="1625">
        <v>7.4689999999999999E-3</v>
      </c>
      <c r="N2130" s="1626">
        <v>1.6160620994255679</v>
      </c>
      <c r="O2130" s="1626"/>
    </row>
    <row r="2131" spans="11:15">
      <c r="K2131" s="1623">
        <v>44188</v>
      </c>
      <c r="L2131" s="1624" t="s">
        <v>2302</v>
      </c>
      <c r="M2131" s="1625">
        <v>7.4689999999999999E-3</v>
      </c>
      <c r="N2131" s="1626">
        <v>1.6161828031037739</v>
      </c>
      <c r="O2131" s="1626"/>
    </row>
    <row r="2132" spans="11:15">
      <c r="K2132" s="1623">
        <v>44189</v>
      </c>
      <c r="L2132" s="1624" t="s">
        <v>2302</v>
      </c>
      <c r="M2132" s="1625">
        <v>7.4689999999999999E-3</v>
      </c>
      <c r="N2132" s="1626">
        <v>1.6163035157973376</v>
      </c>
      <c r="O2132" s="1626"/>
    </row>
    <row r="2133" spans="11:15">
      <c r="K2133" s="1623">
        <v>44190</v>
      </c>
      <c r="L2133" s="1624"/>
      <c r="M2133" s="1625">
        <v>0</v>
      </c>
      <c r="N2133" s="1626">
        <v>1.6163035157973376</v>
      </c>
      <c r="O2133" s="1626"/>
    </row>
    <row r="2134" spans="11:15">
      <c r="K2134" s="1623">
        <v>44191</v>
      </c>
      <c r="L2134" s="1624"/>
      <c r="M2134" s="1625">
        <v>0</v>
      </c>
      <c r="N2134" s="1626">
        <v>1.6163035157973376</v>
      </c>
      <c r="O2134" s="1626"/>
    </row>
    <row r="2135" spans="11:15">
      <c r="K2135" s="1623">
        <v>44192</v>
      </c>
      <c r="L2135" s="1624"/>
      <c r="M2135" s="1625">
        <v>0</v>
      </c>
      <c r="N2135" s="1626">
        <v>1.6163035157973376</v>
      </c>
      <c r="O2135" s="1626"/>
    </row>
    <row r="2136" spans="11:15">
      <c r="K2136" s="1623">
        <v>44193</v>
      </c>
      <c r="L2136" s="1624" t="s">
        <v>2302</v>
      </c>
      <c r="M2136" s="1625">
        <v>7.4689999999999999E-3</v>
      </c>
      <c r="N2136" s="1626">
        <v>1.6164242375069324</v>
      </c>
      <c r="O2136" s="1626"/>
    </row>
    <row r="2137" spans="11:15">
      <c r="K2137" s="1623">
        <v>44194</v>
      </c>
      <c r="L2137" s="1624" t="s">
        <v>2302</v>
      </c>
      <c r="M2137" s="1625">
        <v>7.4689999999999999E-3</v>
      </c>
      <c r="N2137" s="1626">
        <v>1.6165449682332318</v>
      </c>
      <c r="O2137" s="1626"/>
    </row>
    <row r="2138" spans="11:15">
      <c r="K2138" s="1623">
        <v>44195</v>
      </c>
      <c r="L2138" s="1624" t="s">
        <v>2302</v>
      </c>
      <c r="M2138" s="1625">
        <v>7.4689999999999999E-3</v>
      </c>
      <c r="N2138" s="1626">
        <v>1.6166657079769091</v>
      </c>
      <c r="O2138" s="1626"/>
    </row>
    <row r="2139" spans="11:15">
      <c r="K2139" s="1623">
        <v>44196</v>
      </c>
      <c r="L2139" s="1624" t="s">
        <v>2302</v>
      </c>
      <c r="M2139" s="1625">
        <v>7.4689999999999999E-3</v>
      </c>
      <c r="N2139" s="1626">
        <v>1.6167864567386379</v>
      </c>
      <c r="O2139" s="1626"/>
    </row>
    <row r="2140" spans="11:15">
      <c r="K2140" s="1623">
        <v>44197</v>
      </c>
      <c r="L2140" s="1624"/>
      <c r="M2140" s="1625">
        <v>0</v>
      </c>
      <c r="N2140" s="1626">
        <v>1.6167864567386379</v>
      </c>
      <c r="O2140" s="1626"/>
    </row>
    <row r="2141" spans="11:15">
      <c r="K2141" s="1623">
        <v>44198</v>
      </c>
      <c r="L2141" s="1624"/>
      <c r="M2141" s="1625">
        <v>0</v>
      </c>
      <c r="N2141" s="1626">
        <v>1.6167864567386379</v>
      </c>
      <c r="O2141" s="1626"/>
    </row>
    <row r="2142" spans="11:15">
      <c r="K2142" s="1623">
        <v>44199</v>
      </c>
      <c r="L2142" s="1624"/>
      <c r="M2142" s="1625">
        <v>0</v>
      </c>
      <c r="N2142" s="1626">
        <v>1.6167864567386379</v>
      </c>
      <c r="O2142" s="1626"/>
    </row>
    <row r="2143" spans="11:15">
      <c r="K2143" s="1623">
        <v>44200</v>
      </c>
      <c r="L2143" s="1624" t="s">
        <v>2302</v>
      </c>
      <c r="M2143" s="1625">
        <v>7.4689999999999999E-3</v>
      </c>
      <c r="N2143" s="1626">
        <v>1.6169072145190915</v>
      </c>
      <c r="O2143" s="1626"/>
    </row>
    <row r="2144" spans="11:15">
      <c r="K2144" s="1623">
        <v>44201</v>
      </c>
      <c r="L2144" s="1624" t="s">
        <v>2302</v>
      </c>
      <c r="M2144" s="1625">
        <v>7.4689999999999999E-3</v>
      </c>
      <c r="N2144" s="1626">
        <v>1.6170279813189439</v>
      </c>
      <c r="O2144" s="1626"/>
    </row>
    <row r="2145" spans="11:15">
      <c r="K2145" s="1623">
        <v>44202</v>
      </c>
      <c r="L2145" s="1624" t="s">
        <v>2302</v>
      </c>
      <c r="M2145" s="1625">
        <v>7.4689999999999999E-3</v>
      </c>
      <c r="N2145" s="1626">
        <v>1.6171487571388685</v>
      </c>
      <c r="O2145" s="1626"/>
    </row>
    <row r="2146" spans="11:15">
      <c r="K2146" s="1623">
        <v>44203</v>
      </c>
      <c r="L2146" s="1624" t="s">
        <v>2302</v>
      </c>
      <c r="M2146" s="1625">
        <v>7.4689999999999999E-3</v>
      </c>
      <c r="N2146" s="1626">
        <v>1.6172695419795391</v>
      </c>
      <c r="O2146" s="1626"/>
    </row>
    <row r="2147" spans="11:15">
      <c r="K2147" s="1623">
        <v>44204</v>
      </c>
      <c r="L2147" s="1624" t="s">
        <v>2302</v>
      </c>
      <c r="M2147" s="1625">
        <v>7.4689999999999999E-3</v>
      </c>
      <c r="N2147" s="1626">
        <v>1.6173903358416295</v>
      </c>
      <c r="O2147" s="1626"/>
    </row>
    <row r="2148" spans="11:15">
      <c r="K2148" s="1623">
        <v>44205</v>
      </c>
      <c r="L2148" s="1624"/>
      <c r="M2148" s="1625">
        <v>0</v>
      </c>
      <c r="N2148" s="1626">
        <v>1.6173903358416295</v>
      </c>
      <c r="O2148" s="1626"/>
    </row>
    <row r="2149" spans="11:15">
      <c r="K2149" s="1623">
        <v>44206</v>
      </c>
      <c r="L2149" s="1624"/>
      <c r="M2149" s="1625">
        <v>0</v>
      </c>
      <c r="N2149" s="1626">
        <v>1.6173903358416295</v>
      </c>
      <c r="O2149" s="1626"/>
    </row>
    <row r="2150" spans="11:15">
      <c r="K2150" s="1623">
        <v>44207</v>
      </c>
      <c r="L2150" s="1624" t="s">
        <v>2302</v>
      </c>
      <c r="M2150" s="1625">
        <v>7.4689999999999999E-3</v>
      </c>
      <c r="N2150" s="1626">
        <v>1.6175111387258134</v>
      </c>
      <c r="O2150" s="1626"/>
    </row>
    <row r="2151" spans="11:15">
      <c r="K2151" s="1623">
        <v>44208</v>
      </c>
      <c r="L2151" s="1624" t="s">
        <v>2302</v>
      </c>
      <c r="M2151" s="1625">
        <v>7.4689999999999999E-3</v>
      </c>
      <c r="N2151" s="1626">
        <v>1.6176319506327648</v>
      </c>
      <c r="O2151" s="1626"/>
    </row>
    <row r="2152" spans="11:15">
      <c r="K2152" s="1623">
        <v>44209</v>
      </c>
      <c r="L2152" s="1624" t="s">
        <v>2302</v>
      </c>
      <c r="M2152" s="1625">
        <v>7.4689999999999999E-3</v>
      </c>
      <c r="N2152" s="1626">
        <v>1.6177527715631574</v>
      </c>
      <c r="O2152" s="1626"/>
    </row>
    <row r="2153" spans="11:15">
      <c r="K2153" s="1623">
        <v>44210</v>
      </c>
      <c r="L2153" s="1624" t="s">
        <v>2302</v>
      </c>
      <c r="M2153" s="1625">
        <v>7.4689999999999999E-3</v>
      </c>
      <c r="N2153" s="1626">
        <v>1.6178736015176653</v>
      </c>
      <c r="O2153" s="1626"/>
    </row>
    <row r="2154" spans="11:15">
      <c r="K2154" s="1623">
        <v>44211</v>
      </c>
      <c r="L2154" s="1624" t="s">
        <v>2302</v>
      </c>
      <c r="M2154" s="1625">
        <v>7.4689999999999999E-3</v>
      </c>
      <c r="N2154" s="1626">
        <v>1.6179944404969626</v>
      </c>
      <c r="O2154" s="1626"/>
    </row>
    <row r="2155" spans="11:15">
      <c r="K2155" s="1623">
        <v>44212</v>
      </c>
      <c r="L2155" s="1624"/>
      <c r="M2155" s="1625">
        <v>0</v>
      </c>
      <c r="N2155" s="1626">
        <v>1.6179944404969626</v>
      </c>
      <c r="O2155" s="1626"/>
    </row>
    <row r="2156" spans="11:15">
      <c r="K2156" s="1623">
        <v>44213</v>
      </c>
      <c r="L2156" s="1624"/>
      <c r="M2156" s="1625">
        <v>0</v>
      </c>
      <c r="N2156" s="1626">
        <v>1.6179944404969626</v>
      </c>
      <c r="O2156" s="1626"/>
    </row>
    <row r="2157" spans="11:15">
      <c r="K2157" s="1623">
        <v>44214</v>
      </c>
      <c r="L2157" s="1624" t="s">
        <v>2302</v>
      </c>
      <c r="M2157" s="1625">
        <v>7.4689999999999999E-3</v>
      </c>
      <c r="N2157" s="1626">
        <v>1.6181152885017231</v>
      </c>
      <c r="O2157" s="1626"/>
    </row>
    <row r="2158" spans="11:15">
      <c r="K2158" s="1623">
        <v>44215</v>
      </c>
      <c r="L2158" s="1624" t="s">
        <v>2302</v>
      </c>
      <c r="M2158" s="1625">
        <v>7.4689999999999999E-3</v>
      </c>
      <c r="N2158" s="1626">
        <v>1.6182361455326213</v>
      </c>
      <c r="O2158" s="1626"/>
    </row>
    <row r="2159" spans="11:15">
      <c r="K2159" s="1623">
        <v>44216</v>
      </c>
      <c r="L2159" s="1624" t="s">
        <v>2302</v>
      </c>
      <c r="M2159" s="1625">
        <v>7.4689999999999999E-3</v>
      </c>
      <c r="N2159" s="1626">
        <v>1.618357011590331</v>
      </c>
      <c r="O2159" s="1626"/>
    </row>
    <row r="2160" spans="11:15">
      <c r="K2160" s="1623">
        <v>44217</v>
      </c>
      <c r="L2160" s="1624" t="s">
        <v>2302</v>
      </c>
      <c r="M2160" s="1625">
        <v>7.4689999999999999E-3</v>
      </c>
      <c r="N2160" s="1626">
        <v>1.6184778866755265</v>
      </c>
      <c r="O2160" s="1626"/>
    </row>
    <row r="2161" spans="11:15">
      <c r="K2161" s="1623">
        <v>44218</v>
      </c>
      <c r="L2161" s="1624" t="s">
        <v>2302</v>
      </c>
      <c r="M2161" s="1625">
        <v>7.4689999999999999E-3</v>
      </c>
      <c r="N2161" s="1626">
        <v>1.6185987707888823</v>
      </c>
      <c r="O2161" s="1626"/>
    </row>
    <row r="2162" spans="11:15">
      <c r="K2162" s="1623">
        <v>44219</v>
      </c>
      <c r="L2162" s="1624"/>
      <c r="M2162" s="1625">
        <v>0</v>
      </c>
      <c r="N2162" s="1626">
        <v>1.6185987707888823</v>
      </c>
      <c r="O2162" s="1626"/>
    </row>
    <row r="2163" spans="11:15">
      <c r="K2163" s="1623">
        <v>44220</v>
      </c>
      <c r="L2163" s="1624"/>
      <c r="M2163" s="1625">
        <v>0</v>
      </c>
      <c r="N2163" s="1626">
        <v>1.6185987707888823</v>
      </c>
      <c r="O2163" s="1626"/>
    </row>
    <row r="2164" spans="11:15">
      <c r="K2164" s="1623">
        <v>44221</v>
      </c>
      <c r="L2164" s="1624" t="s">
        <v>2302</v>
      </c>
      <c r="M2164" s="1625">
        <v>7.4689999999999999E-3</v>
      </c>
      <c r="N2164" s="1626">
        <v>1.6187196639310724</v>
      </c>
      <c r="O2164" s="1626"/>
    </row>
    <row r="2165" spans="11:15">
      <c r="K2165" s="1623">
        <v>44222</v>
      </c>
      <c r="L2165" s="1624" t="s">
        <v>2302</v>
      </c>
      <c r="M2165" s="1625">
        <v>7.4689999999999999E-3</v>
      </c>
      <c r="N2165" s="1626">
        <v>1.6188405661027712</v>
      </c>
      <c r="O2165" s="1626"/>
    </row>
    <row r="2166" spans="11:15">
      <c r="K2166" s="1623">
        <v>44223</v>
      </c>
      <c r="L2166" s="1624" t="s">
        <v>2302</v>
      </c>
      <c r="M2166" s="1625">
        <v>7.4689999999999999E-3</v>
      </c>
      <c r="N2166" s="1626">
        <v>1.6189614773046532</v>
      </c>
      <c r="O2166" s="1626"/>
    </row>
    <row r="2167" spans="11:15">
      <c r="K2167" s="1623">
        <v>44224</v>
      </c>
      <c r="L2167" s="1624" t="s">
        <v>2302</v>
      </c>
      <c r="M2167" s="1625">
        <v>7.4689999999999999E-3</v>
      </c>
      <c r="N2167" s="1626">
        <v>1.6190823975373929</v>
      </c>
      <c r="O2167" s="1626"/>
    </row>
    <row r="2168" spans="11:15">
      <c r="K2168" s="1623">
        <v>44225</v>
      </c>
      <c r="L2168" s="1624" t="s">
        <v>2302</v>
      </c>
      <c r="M2168" s="1625">
        <v>7.4689999999999999E-3</v>
      </c>
      <c r="N2168" s="1626">
        <v>1.6192033268016648</v>
      </c>
      <c r="O2168" s="1626"/>
    </row>
    <row r="2169" spans="11:15">
      <c r="K2169" s="1623">
        <v>44226</v>
      </c>
      <c r="L2169" s="1624"/>
      <c r="M2169" s="1625">
        <v>0</v>
      </c>
      <c r="N2169" s="1626">
        <v>1.6192033268016648</v>
      </c>
      <c r="O2169" s="1626"/>
    </row>
    <row r="2170" spans="11:15">
      <c r="K2170" s="1623">
        <v>44227</v>
      </c>
      <c r="L2170" s="1624"/>
      <c r="M2170" s="1625">
        <v>0</v>
      </c>
      <c r="N2170" s="1626">
        <v>1.6192033268016648</v>
      </c>
      <c r="O2170" s="1626"/>
    </row>
    <row r="2171" spans="11:15">
      <c r="K2171" s="1623">
        <v>44228</v>
      </c>
      <c r="L2171" s="1624" t="s">
        <v>2302</v>
      </c>
      <c r="M2171" s="1625">
        <v>7.4689999999999999E-3</v>
      </c>
      <c r="N2171" s="1626">
        <v>1.6193242650981434</v>
      </c>
      <c r="O2171" s="1626"/>
    </row>
    <row r="2172" spans="11:15">
      <c r="K2172" s="1623">
        <v>44229</v>
      </c>
      <c r="L2172" s="1624" t="s">
        <v>2302</v>
      </c>
      <c r="M2172" s="1625">
        <v>7.4689999999999999E-3</v>
      </c>
      <c r="N2172" s="1626">
        <v>1.6194452124275034</v>
      </c>
      <c r="O2172" s="1626"/>
    </row>
    <row r="2173" spans="11:15">
      <c r="K2173" s="1623">
        <v>44230</v>
      </c>
      <c r="L2173" s="1624" t="s">
        <v>2302</v>
      </c>
      <c r="M2173" s="1625">
        <v>7.4689999999999999E-3</v>
      </c>
      <c r="N2173" s="1626">
        <v>1.6195661687904195</v>
      </c>
      <c r="O2173" s="1626"/>
    </row>
    <row r="2174" spans="11:15">
      <c r="K2174" s="1623">
        <v>44231</v>
      </c>
      <c r="L2174" s="1624" t="s">
        <v>2302</v>
      </c>
      <c r="M2174" s="1625">
        <v>7.4689999999999999E-3</v>
      </c>
      <c r="N2174" s="1626">
        <v>1.6196871341875663</v>
      </c>
      <c r="O2174" s="1626"/>
    </row>
    <row r="2175" spans="11:15">
      <c r="K2175" s="1623">
        <v>44232</v>
      </c>
      <c r="L2175" s="1624" t="s">
        <v>2302</v>
      </c>
      <c r="M2175" s="1625">
        <v>7.4689999999999999E-3</v>
      </c>
      <c r="N2175" s="1626">
        <v>1.6198081086196185</v>
      </c>
      <c r="O2175" s="1626"/>
    </row>
    <row r="2176" spans="11:15">
      <c r="K2176" s="1623">
        <v>44233</v>
      </c>
      <c r="L2176" s="1624"/>
      <c r="M2176" s="1625">
        <v>0</v>
      </c>
      <c r="N2176" s="1626">
        <v>1.6198081086196185</v>
      </c>
      <c r="O2176" s="1626"/>
    </row>
    <row r="2177" spans="11:15">
      <c r="K2177" s="1623">
        <v>44234</v>
      </c>
      <c r="L2177" s="1624"/>
      <c r="M2177" s="1625">
        <v>0</v>
      </c>
      <c r="N2177" s="1626">
        <v>1.6198081086196185</v>
      </c>
      <c r="O2177" s="1626"/>
    </row>
    <row r="2178" spans="11:15">
      <c r="K2178" s="1623">
        <v>44235</v>
      </c>
      <c r="L2178" s="1624" t="s">
        <v>2302</v>
      </c>
      <c r="M2178" s="1625">
        <v>7.4689999999999999E-3</v>
      </c>
      <c r="N2178" s="1626">
        <v>1.6199290920872513</v>
      </c>
      <c r="O2178" s="1626"/>
    </row>
    <row r="2179" spans="11:15">
      <c r="K2179" s="1623">
        <v>44236</v>
      </c>
      <c r="L2179" s="1624" t="s">
        <v>2302</v>
      </c>
      <c r="M2179" s="1625">
        <v>7.4689999999999999E-3</v>
      </c>
      <c r="N2179" s="1626">
        <v>1.6200500845911392</v>
      </c>
      <c r="O2179" s="1626"/>
    </row>
    <row r="2180" spans="11:15">
      <c r="K2180" s="1623">
        <v>44237</v>
      </c>
      <c r="L2180" s="1624" t="s">
        <v>2302</v>
      </c>
      <c r="M2180" s="1625">
        <v>7.4689999999999999E-3</v>
      </c>
      <c r="N2180" s="1626">
        <v>1.6201710861319571</v>
      </c>
      <c r="O2180" s="1626"/>
    </row>
    <row r="2181" spans="11:15">
      <c r="K2181" s="1623">
        <v>44238</v>
      </c>
      <c r="L2181" s="1624" t="s">
        <v>2302</v>
      </c>
      <c r="M2181" s="1625">
        <v>7.4689999999999999E-3</v>
      </c>
      <c r="N2181" s="1626">
        <v>1.6202920967103802</v>
      </c>
      <c r="O2181" s="1626"/>
    </row>
    <row r="2182" spans="11:15">
      <c r="K2182" s="1623">
        <v>44239</v>
      </c>
      <c r="L2182" s="1624" t="s">
        <v>2302</v>
      </c>
      <c r="M2182" s="1625">
        <v>7.4689999999999999E-3</v>
      </c>
      <c r="N2182" s="1626">
        <v>1.6204131163270834</v>
      </c>
      <c r="O2182" s="1626"/>
    </row>
    <row r="2183" spans="11:15">
      <c r="K2183" s="1623">
        <v>44240</v>
      </c>
      <c r="L2183" s="1624"/>
      <c r="M2183" s="1625">
        <v>0</v>
      </c>
      <c r="N2183" s="1626">
        <v>1.6204131163270834</v>
      </c>
      <c r="O2183" s="1626"/>
    </row>
    <row r="2184" spans="11:15">
      <c r="K2184" s="1623">
        <v>44241</v>
      </c>
      <c r="L2184" s="1624"/>
      <c r="M2184" s="1625">
        <v>0</v>
      </c>
      <c r="N2184" s="1626">
        <v>1.6204131163270834</v>
      </c>
      <c r="O2184" s="1626"/>
    </row>
    <row r="2185" spans="11:15">
      <c r="K2185" s="1623">
        <v>44242</v>
      </c>
      <c r="L2185" s="1624"/>
      <c r="M2185" s="1625">
        <v>0</v>
      </c>
      <c r="N2185" s="1626">
        <v>1.6204131163270834</v>
      </c>
      <c r="O2185" s="1626"/>
    </row>
    <row r="2186" spans="11:15">
      <c r="K2186" s="1623">
        <v>44243</v>
      </c>
      <c r="L2186" s="1624"/>
      <c r="M2186" s="1625">
        <v>0</v>
      </c>
      <c r="N2186" s="1626">
        <v>1.6204131163270834</v>
      </c>
      <c r="O2186" s="1626"/>
    </row>
    <row r="2187" spans="11:15">
      <c r="K2187" s="1623">
        <v>44244</v>
      </c>
      <c r="L2187" s="1624" t="s">
        <v>2302</v>
      </c>
      <c r="M2187" s="1625">
        <v>7.4689999999999999E-3</v>
      </c>
      <c r="N2187" s="1626">
        <v>1.6205341449827417</v>
      </c>
      <c r="O2187" s="1626"/>
    </row>
    <row r="2188" spans="11:15">
      <c r="K2188" s="1623">
        <v>44245</v>
      </c>
      <c r="L2188" s="1624" t="s">
        <v>2302</v>
      </c>
      <c r="M2188" s="1625">
        <v>7.4689999999999999E-3</v>
      </c>
      <c r="N2188" s="1626">
        <v>1.6206551826780304</v>
      </c>
      <c r="O2188" s="1626"/>
    </row>
    <row r="2189" spans="11:15">
      <c r="K2189" s="1623">
        <v>44246</v>
      </c>
      <c r="L2189" s="1624" t="s">
        <v>2302</v>
      </c>
      <c r="M2189" s="1625">
        <v>7.4689999999999999E-3</v>
      </c>
      <c r="N2189" s="1626">
        <v>1.6207762294136245</v>
      </c>
      <c r="O2189" s="1626"/>
    </row>
    <row r="2190" spans="11:15">
      <c r="K2190" s="1623">
        <v>44247</v>
      </c>
      <c r="L2190" s="1624"/>
      <c r="M2190" s="1625">
        <v>0</v>
      </c>
      <c r="N2190" s="1626">
        <v>1.6207762294136245</v>
      </c>
      <c r="O2190" s="1626"/>
    </row>
    <row r="2191" spans="11:15">
      <c r="K2191" s="1623">
        <v>44248</v>
      </c>
      <c r="L2191" s="1624"/>
      <c r="M2191" s="1625">
        <v>0</v>
      </c>
      <c r="N2191" s="1626">
        <v>1.6207762294136245</v>
      </c>
      <c r="O2191" s="1626"/>
    </row>
    <row r="2192" spans="11:15">
      <c r="K2192" s="1623">
        <v>44249</v>
      </c>
      <c r="L2192" s="1624" t="s">
        <v>2302</v>
      </c>
      <c r="M2192" s="1625">
        <v>7.4689999999999999E-3</v>
      </c>
      <c r="N2192" s="1626">
        <v>1.6208972851901993</v>
      </c>
      <c r="O2192" s="1626"/>
    </row>
    <row r="2193" spans="11:15">
      <c r="K2193" s="1623">
        <v>44250</v>
      </c>
      <c r="L2193" s="1624" t="s">
        <v>2302</v>
      </c>
      <c r="M2193" s="1625">
        <v>7.4689999999999999E-3</v>
      </c>
      <c r="N2193" s="1626">
        <v>1.6210183500084301</v>
      </c>
      <c r="O2193" s="1626"/>
    </row>
    <row r="2194" spans="11:15">
      <c r="K2194" s="1623">
        <v>44251</v>
      </c>
      <c r="L2194" s="1624" t="s">
        <v>2302</v>
      </c>
      <c r="M2194" s="1625">
        <v>7.4689999999999999E-3</v>
      </c>
      <c r="N2194" s="1626">
        <v>1.621139423868992</v>
      </c>
      <c r="O2194" s="1626"/>
    </row>
    <row r="2195" spans="11:15">
      <c r="K2195" s="1623">
        <v>44252</v>
      </c>
      <c r="L2195" s="1624" t="s">
        <v>2302</v>
      </c>
      <c r="M2195" s="1625">
        <v>7.4689999999999999E-3</v>
      </c>
      <c r="N2195" s="1626">
        <v>1.6212605067725607</v>
      </c>
      <c r="O2195" s="1626"/>
    </row>
    <row r="2196" spans="11:15">
      <c r="K2196" s="1623">
        <v>44253</v>
      </c>
      <c r="L2196" s="1624" t="s">
        <v>2302</v>
      </c>
      <c r="M2196" s="1625">
        <v>7.4689999999999999E-3</v>
      </c>
      <c r="N2196" s="1626">
        <v>1.6213815987198115</v>
      </c>
      <c r="O2196" s="1626"/>
    </row>
    <row r="2197" spans="11:15">
      <c r="K2197" s="1623">
        <v>44254</v>
      </c>
      <c r="L2197" s="1624"/>
      <c r="M2197" s="1625">
        <v>0</v>
      </c>
      <c r="N2197" s="1626">
        <v>1.6213815987198115</v>
      </c>
      <c r="O2197" s="1626"/>
    </row>
    <row r="2198" spans="11:15">
      <c r="K2198" s="1623">
        <v>44255</v>
      </c>
      <c r="L2198" s="1624"/>
      <c r="M2198" s="1625">
        <v>0</v>
      </c>
      <c r="N2198" s="1626">
        <v>1.6213815987198115</v>
      </c>
      <c r="O2198" s="1626"/>
    </row>
    <row r="2199" spans="11:15">
      <c r="K2199" s="1623">
        <v>44256</v>
      </c>
      <c r="L2199" s="1624" t="s">
        <v>2302</v>
      </c>
      <c r="M2199" s="1625">
        <v>7.4689999999999999E-3</v>
      </c>
      <c r="N2199" s="1626">
        <v>1.6215026997114197</v>
      </c>
      <c r="O2199" s="1626"/>
    </row>
    <row r="2200" spans="11:15">
      <c r="K2200" s="1623">
        <v>44257</v>
      </c>
      <c r="L2200" s="1624" t="s">
        <v>2302</v>
      </c>
      <c r="M2200" s="1625">
        <v>7.4689999999999999E-3</v>
      </c>
      <c r="N2200" s="1626">
        <v>1.6216238097480611</v>
      </c>
      <c r="O2200" s="1626"/>
    </row>
    <row r="2201" spans="11:15">
      <c r="K2201" s="1623">
        <v>44258</v>
      </c>
      <c r="L2201" s="1624" t="s">
        <v>2302</v>
      </c>
      <c r="M2201" s="1625">
        <v>7.4689999999999999E-3</v>
      </c>
      <c r="N2201" s="1626">
        <v>1.6217449288304111</v>
      </c>
      <c r="O2201" s="1626"/>
    </row>
    <row r="2202" spans="11:15">
      <c r="K2202" s="1623">
        <v>44259</v>
      </c>
      <c r="L2202" s="1624" t="s">
        <v>2302</v>
      </c>
      <c r="M2202" s="1625">
        <v>7.4689999999999999E-3</v>
      </c>
      <c r="N2202" s="1626">
        <v>1.6218660569591454</v>
      </c>
      <c r="O2202" s="1626"/>
    </row>
    <row r="2203" spans="11:15">
      <c r="K2203" s="1623">
        <v>44260</v>
      </c>
      <c r="L2203" s="1624" t="s">
        <v>2302</v>
      </c>
      <c r="M2203" s="1625">
        <v>7.4689999999999999E-3</v>
      </c>
      <c r="N2203" s="1626">
        <v>1.6219871941349395</v>
      </c>
      <c r="O2203" s="1626"/>
    </row>
    <row r="2204" spans="11:15">
      <c r="K2204" s="1623">
        <v>44261</v>
      </c>
      <c r="L2204" s="1624"/>
      <c r="M2204" s="1625">
        <v>0</v>
      </c>
      <c r="N2204" s="1626">
        <v>1.6219871941349395</v>
      </c>
      <c r="O2204" s="1626"/>
    </row>
    <row r="2205" spans="11:15">
      <c r="K2205" s="1623">
        <v>44262</v>
      </c>
      <c r="L2205" s="1624"/>
      <c r="M2205" s="1625">
        <v>0</v>
      </c>
      <c r="N2205" s="1626">
        <v>1.6219871941349395</v>
      </c>
      <c r="O2205" s="1626"/>
    </row>
    <row r="2206" spans="11:15">
      <c r="K2206" s="1623">
        <v>44263</v>
      </c>
      <c r="L2206" s="1624" t="s">
        <v>2302</v>
      </c>
      <c r="M2206" s="1625">
        <v>7.4689999999999999E-3</v>
      </c>
      <c r="N2206" s="1626">
        <v>1.6221083403584693</v>
      </c>
      <c r="O2206" s="1626"/>
    </row>
    <row r="2207" spans="11:15">
      <c r="K2207" s="1623">
        <v>44264</v>
      </c>
      <c r="L2207" s="1624" t="s">
        <v>2302</v>
      </c>
      <c r="M2207" s="1625">
        <v>7.4689999999999999E-3</v>
      </c>
      <c r="N2207" s="1626">
        <v>1.6222294956304106</v>
      </c>
      <c r="O2207" s="1626"/>
    </row>
    <row r="2208" spans="11:15">
      <c r="K2208" s="1623">
        <v>44265</v>
      </c>
      <c r="L2208" s="1624" t="s">
        <v>2302</v>
      </c>
      <c r="M2208" s="1625">
        <v>7.4689999999999999E-3</v>
      </c>
      <c r="N2208" s="1626">
        <v>1.6223506599514392</v>
      </c>
      <c r="O2208" s="1626"/>
    </row>
    <row r="2209" spans="11:15">
      <c r="K2209" s="1623">
        <v>44266</v>
      </c>
      <c r="L2209" s="1624" t="s">
        <v>2302</v>
      </c>
      <c r="M2209" s="1625">
        <v>7.4689999999999999E-3</v>
      </c>
      <c r="N2209" s="1626">
        <v>1.622471833322231</v>
      </c>
      <c r="O2209" s="1626"/>
    </row>
    <row r="2210" spans="11:15">
      <c r="K2210" s="1623">
        <v>44267</v>
      </c>
      <c r="L2210" s="1624" t="s">
        <v>2302</v>
      </c>
      <c r="M2210" s="1625">
        <v>7.4689999999999999E-3</v>
      </c>
      <c r="N2210" s="1626">
        <v>1.6225930157434618</v>
      </c>
      <c r="O2210" s="1626"/>
    </row>
    <row r="2211" spans="11:15">
      <c r="K2211" s="1623">
        <v>44268</v>
      </c>
      <c r="L2211" s="1624"/>
      <c r="M2211" s="1625">
        <v>0</v>
      </c>
      <c r="N2211" s="1626">
        <v>1.6225930157434618</v>
      </c>
      <c r="O2211" s="1626"/>
    </row>
    <row r="2212" spans="11:15">
      <c r="K2212" s="1623">
        <v>44269</v>
      </c>
      <c r="L2212" s="1624"/>
      <c r="M2212" s="1625">
        <v>0</v>
      </c>
      <c r="N2212" s="1626">
        <v>1.6225930157434618</v>
      </c>
      <c r="O2212" s="1626"/>
    </row>
    <row r="2213" spans="11:15">
      <c r="K2213" s="1623">
        <v>44270</v>
      </c>
      <c r="L2213" s="1624" t="s">
        <v>2302</v>
      </c>
      <c r="M2213" s="1625">
        <v>7.4689999999999999E-3</v>
      </c>
      <c r="N2213" s="1626">
        <v>1.6227142072158076</v>
      </c>
      <c r="O2213" s="1626"/>
    </row>
    <row r="2214" spans="11:15">
      <c r="K2214" s="1623">
        <v>44271</v>
      </c>
      <c r="L2214" s="1624" t="s">
        <v>2302</v>
      </c>
      <c r="M2214" s="1625">
        <v>7.4689999999999999E-3</v>
      </c>
      <c r="N2214" s="1626">
        <v>1.6228354077399445</v>
      </c>
      <c r="O2214" s="1626"/>
    </row>
    <row r="2215" spans="11:15">
      <c r="K2215" s="1623">
        <v>44272</v>
      </c>
      <c r="L2215" s="1624" t="s">
        <v>2302</v>
      </c>
      <c r="M2215" s="1625">
        <v>7.4689999999999999E-3</v>
      </c>
      <c r="N2215" s="1626">
        <v>1.6229566173165484</v>
      </c>
      <c r="O2215" s="1626"/>
    </row>
    <row r="2216" spans="11:15">
      <c r="K2216" s="1623">
        <v>44273</v>
      </c>
      <c r="L2216" s="1624" t="s">
        <v>2302</v>
      </c>
      <c r="M2216" s="1625">
        <v>1.0378999999999999E-2</v>
      </c>
      <c r="N2216" s="1626">
        <v>1.6231250639838597</v>
      </c>
      <c r="O2216" s="1626"/>
    </row>
    <row r="2217" spans="11:15">
      <c r="K2217" s="1623">
        <v>44274</v>
      </c>
      <c r="L2217" s="1624" t="s">
        <v>2302</v>
      </c>
      <c r="M2217" s="1625">
        <v>1.0378999999999999E-2</v>
      </c>
      <c r="N2217" s="1626">
        <v>1.6232935281342507</v>
      </c>
      <c r="O2217" s="1626"/>
    </row>
    <row r="2218" spans="11:15">
      <c r="K2218" s="1623">
        <v>44275</v>
      </c>
      <c r="L2218" s="1624"/>
      <c r="M2218" s="1625">
        <v>0</v>
      </c>
      <c r="N2218" s="1626">
        <v>1.6232935281342507</v>
      </c>
      <c r="O2218" s="1626"/>
    </row>
    <row r="2219" spans="11:15">
      <c r="K2219" s="1623">
        <v>44276</v>
      </c>
      <c r="L2219" s="1624"/>
      <c r="M2219" s="1625">
        <v>0</v>
      </c>
      <c r="N2219" s="1626">
        <v>1.6232935281342507</v>
      </c>
      <c r="O2219" s="1626"/>
    </row>
    <row r="2220" spans="11:15">
      <c r="K2220" s="1623">
        <v>44277</v>
      </c>
      <c r="L2220" s="1624" t="s">
        <v>2302</v>
      </c>
      <c r="M2220" s="1625">
        <v>1.0378999999999999E-2</v>
      </c>
      <c r="N2220" s="1626">
        <v>1.6234620097695358</v>
      </c>
      <c r="O2220" s="1626"/>
    </row>
    <row r="2221" spans="11:15">
      <c r="K2221" s="1623">
        <v>44278</v>
      </c>
      <c r="L2221" s="1624" t="s">
        <v>2302</v>
      </c>
      <c r="M2221" s="1625">
        <v>1.0378999999999999E-2</v>
      </c>
      <c r="N2221" s="1626">
        <v>1.6236305088915299</v>
      </c>
      <c r="O2221" s="1626"/>
    </row>
    <row r="2222" spans="11:15">
      <c r="K2222" s="1623">
        <v>44279</v>
      </c>
      <c r="L2222" s="1624" t="s">
        <v>2302</v>
      </c>
      <c r="M2222" s="1625">
        <v>1.0378999999999999E-2</v>
      </c>
      <c r="N2222" s="1626">
        <v>1.6237990255020478</v>
      </c>
      <c r="O2222" s="1626"/>
    </row>
    <row r="2223" spans="11:15">
      <c r="K2223" s="1623">
        <v>44280</v>
      </c>
      <c r="L2223" s="1624" t="s">
        <v>2302</v>
      </c>
      <c r="M2223" s="1625">
        <v>1.0378999999999999E-2</v>
      </c>
      <c r="N2223" s="1626">
        <v>1.6239675596029048</v>
      </c>
      <c r="O2223" s="1626"/>
    </row>
    <row r="2224" spans="11:15">
      <c r="K2224" s="1623">
        <v>44281</v>
      </c>
      <c r="L2224" s="1624" t="s">
        <v>2302</v>
      </c>
      <c r="M2224" s="1625">
        <v>1.0378999999999999E-2</v>
      </c>
      <c r="N2224" s="1626">
        <v>1.6241361111959161</v>
      </c>
      <c r="O2224" s="1626"/>
    </row>
    <row r="2225" spans="11:15">
      <c r="K2225" s="1623">
        <v>44282</v>
      </c>
      <c r="L2225" s="1624"/>
      <c r="M2225" s="1625">
        <v>0</v>
      </c>
      <c r="N2225" s="1626">
        <v>1.6241361111959161</v>
      </c>
      <c r="O2225" s="1626"/>
    </row>
    <row r="2226" spans="11:15">
      <c r="K2226" s="1623">
        <v>44283</v>
      </c>
      <c r="L2226" s="1624"/>
      <c r="M2226" s="1625">
        <v>0</v>
      </c>
      <c r="N2226" s="1626">
        <v>1.6241361111959161</v>
      </c>
      <c r="O2226" s="1626"/>
    </row>
    <row r="2227" spans="11:15">
      <c r="K2227" s="1623">
        <v>44284</v>
      </c>
      <c r="L2227" s="1624" t="s">
        <v>2302</v>
      </c>
      <c r="M2227" s="1625">
        <v>1.0378999999999999E-2</v>
      </c>
      <c r="N2227" s="1626">
        <v>1.6243046802828971</v>
      </c>
      <c r="O2227" s="1626"/>
    </row>
    <row r="2228" spans="11:15">
      <c r="K2228" s="1623">
        <v>44285</v>
      </c>
      <c r="L2228" s="1624" t="s">
        <v>2302</v>
      </c>
      <c r="M2228" s="1625">
        <v>1.0378999999999999E-2</v>
      </c>
      <c r="N2228" s="1626">
        <v>1.6244732668656638</v>
      </c>
      <c r="O2228" s="1626"/>
    </row>
    <row r="2229" spans="11:15">
      <c r="K2229" s="1623">
        <v>44286</v>
      </c>
      <c r="L2229" s="1624" t="s">
        <v>2302</v>
      </c>
      <c r="M2229" s="1625">
        <v>1.0378999999999999E-2</v>
      </c>
      <c r="N2229" s="1626">
        <v>1.624641870946032</v>
      </c>
      <c r="O2229" s="1626"/>
    </row>
    <row r="2230" spans="11:15">
      <c r="K2230" s="1623">
        <v>44287</v>
      </c>
      <c r="L2230" s="1624" t="s">
        <v>2302</v>
      </c>
      <c r="M2230" s="1625">
        <v>1.0378999999999999E-2</v>
      </c>
      <c r="N2230" s="1626">
        <v>1.6248104925258176</v>
      </c>
      <c r="O2230" s="1626"/>
    </row>
    <row r="2231" spans="11:15">
      <c r="K2231" s="1623">
        <v>44288</v>
      </c>
      <c r="L2231" s="1624"/>
      <c r="M2231" s="1625">
        <v>0</v>
      </c>
      <c r="N2231" s="1626">
        <v>1.6248104925258176</v>
      </c>
      <c r="O2231" s="1626"/>
    </row>
    <row r="2232" spans="11:15">
      <c r="K2232" s="1623">
        <v>44289</v>
      </c>
      <c r="L2232" s="1624"/>
      <c r="M2232" s="1625">
        <v>0</v>
      </c>
      <c r="N2232" s="1626">
        <v>1.6248104925258176</v>
      </c>
      <c r="O2232" s="1626"/>
    </row>
    <row r="2233" spans="11:15">
      <c r="K2233" s="1623">
        <v>44290</v>
      </c>
      <c r="L2233" s="1624"/>
      <c r="M2233" s="1625">
        <v>0</v>
      </c>
      <c r="N2233" s="1626">
        <v>1.6248104925258176</v>
      </c>
      <c r="O2233" s="1626"/>
    </row>
    <row r="2234" spans="11:15">
      <c r="K2234" s="1623">
        <v>44291</v>
      </c>
      <c r="L2234" s="1624" t="s">
        <v>2302</v>
      </c>
      <c r="M2234" s="1625">
        <v>1.0378999999999999E-2</v>
      </c>
      <c r="N2234" s="1626">
        <v>1.6249791316068369</v>
      </c>
      <c r="O2234" s="1626"/>
    </row>
    <row r="2235" spans="11:15">
      <c r="K2235" s="1623">
        <v>44292</v>
      </c>
      <c r="L2235" s="1624" t="s">
        <v>2302</v>
      </c>
      <c r="M2235" s="1625">
        <v>1.0378999999999999E-2</v>
      </c>
      <c r="N2235" s="1626">
        <v>1.6251477881909064</v>
      </c>
      <c r="O2235" s="1626"/>
    </row>
    <row r="2236" spans="11:15">
      <c r="K2236" s="1623">
        <v>44293</v>
      </c>
      <c r="L2236" s="1624" t="s">
        <v>2302</v>
      </c>
      <c r="M2236" s="1625">
        <v>1.0378999999999999E-2</v>
      </c>
      <c r="N2236" s="1626">
        <v>1.6253164622798428</v>
      </c>
      <c r="O2236" s="1626"/>
    </row>
    <row r="2237" spans="11:15">
      <c r="K2237" s="1623">
        <v>44294</v>
      </c>
      <c r="L2237" s="1624" t="s">
        <v>2302</v>
      </c>
      <c r="M2237" s="1625">
        <v>1.0378999999999999E-2</v>
      </c>
      <c r="N2237" s="1626">
        <v>1.6254851538754629</v>
      </c>
      <c r="O2237" s="1626"/>
    </row>
    <row r="2238" spans="11:15">
      <c r="K2238" s="1623">
        <v>44295</v>
      </c>
      <c r="L2238" s="1624" t="s">
        <v>2302</v>
      </c>
      <c r="M2238" s="1625">
        <v>1.0378999999999999E-2</v>
      </c>
      <c r="N2238" s="1626">
        <v>1.6256538629795838</v>
      </c>
      <c r="O2238" s="1626"/>
    </row>
    <row r="2239" spans="11:15">
      <c r="K2239" s="1623">
        <v>44296</v>
      </c>
      <c r="L2239" s="1624"/>
      <c r="M2239" s="1625">
        <v>0</v>
      </c>
      <c r="N2239" s="1626">
        <v>1.6256538629795838</v>
      </c>
      <c r="O2239" s="1626"/>
    </row>
    <row r="2240" spans="11:15">
      <c r="K2240" s="1623">
        <v>44297</v>
      </c>
      <c r="L2240" s="1624"/>
      <c r="M2240" s="1625">
        <v>0</v>
      </c>
      <c r="N2240" s="1626">
        <v>1.6256538629795838</v>
      </c>
      <c r="O2240" s="1626"/>
    </row>
    <row r="2241" spans="11:15">
      <c r="K2241" s="1623">
        <v>44298</v>
      </c>
      <c r="L2241" s="1624" t="s">
        <v>2302</v>
      </c>
      <c r="M2241" s="1625">
        <v>1.0378999999999999E-2</v>
      </c>
      <c r="N2241" s="1626">
        <v>1.6258225895940226</v>
      </c>
      <c r="O2241" s="1626"/>
    </row>
    <row r="2242" spans="11:15">
      <c r="K2242" s="1623">
        <v>44299</v>
      </c>
      <c r="L2242" s="1624" t="s">
        <v>2302</v>
      </c>
      <c r="M2242" s="1625">
        <v>1.0378999999999999E-2</v>
      </c>
      <c r="N2242" s="1626">
        <v>1.6259913337205967</v>
      </c>
      <c r="O2242" s="1626"/>
    </row>
    <row r="2243" spans="11:15">
      <c r="K2243" s="1623">
        <v>44300</v>
      </c>
      <c r="L2243" s="1624" t="s">
        <v>2302</v>
      </c>
      <c r="M2243" s="1625">
        <v>1.0378999999999999E-2</v>
      </c>
      <c r="N2243" s="1626">
        <v>1.6261600953611237</v>
      </c>
      <c r="O2243" s="1626"/>
    </row>
    <row r="2244" spans="11:15">
      <c r="K2244" s="1623">
        <v>44301</v>
      </c>
      <c r="L2244" s="1624" t="s">
        <v>2302</v>
      </c>
      <c r="M2244" s="1625">
        <v>1.0378999999999999E-2</v>
      </c>
      <c r="N2244" s="1626">
        <v>1.6263288745174214</v>
      </c>
      <c r="O2244" s="1626"/>
    </row>
    <row r="2245" spans="11:15">
      <c r="K2245" s="1623">
        <v>44302</v>
      </c>
      <c r="L2245" s="1624" t="s">
        <v>2302</v>
      </c>
      <c r="M2245" s="1625">
        <v>1.0378999999999999E-2</v>
      </c>
      <c r="N2245" s="1626">
        <v>1.6264976711913075</v>
      </c>
      <c r="O2245" s="1626"/>
    </row>
    <row r="2246" spans="11:15">
      <c r="K2246" s="1623">
        <v>44303</v>
      </c>
      <c r="L2246" s="1624"/>
      <c r="M2246" s="1625">
        <v>0</v>
      </c>
      <c r="N2246" s="1626">
        <v>1.6264976711913075</v>
      </c>
      <c r="O2246" s="1626"/>
    </row>
    <row r="2247" spans="11:15">
      <c r="K2247" s="1623">
        <v>44304</v>
      </c>
      <c r="L2247" s="1624"/>
      <c r="M2247" s="1625">
        <v>0</v>
      </c>
      <c r="N2247" s="1626">
        <v>1.6264976711913075</v>
      </c>
      <c r="O2247" s="1626"/>
    </row>
    <row r="2248" spans="11:15">
      <c r="K2248" s="1623">
        <v>44305</v>
      </c>
      <c r="L2248" s="1624" t="s">
        <v>2302</v>
      </c>
      <c r="M2248" s="1625">
        <v>1.0378999999999999E-2</v>
      </c>
      <c r="N2248" s="1626">
        <v>1.6266664853846005</v>
      </c>
      <c r="O2248" s="1626"/>
    </row>
    <row r="2249" spans="11:15">
      <c r="K2249" s="1623">
        <v>44306</v>
      </c>
      <c r="L2249" s="1624" t="s">
        <v>2302</v>
      </c>
      <c r="M2249" s="1625">
        <v>1.0378999999999999E-2</v>
      </c>
      <c r="N2249" s="1626">
        <v>1.6268353170991185</v>
      </c>
      <c r="O2249" s="1626"/>
    </row>
    <row r="2250" spans="11:15">
      <c r="K2250" s="1623">
        <v>44307</v>
      </c>
      <c r="L2250" s="1624"/>
      <c r="M2250" s="1625">
        <v>0</v>
      </c>
      <c r="N2250" s="1626">
        <v>1.6268353170991185</v>
      </c>
      <c r="O2250" s="1626"/>
    </row>
    <row r="2251" spans="11:15">
      <c r="K2251" s="1623">
        <v>44308</v>
      </c>
      <c r="L2251" s="1624" t="s">
        <v>2302</v>
      </c>
      <c r="M2251" s="1625">
        <v>1.0378999999999999E-2</v>
      </c>
      <c r="N2251" s="1626">
        <v>1.6270041663366803</v>
      </c>
      <c r="O2251" s="1626"/>
    </row>
    <row r="2252" spans="11:15">
      <c r="K2252" s="1623">
        <v>44309</v>
      </c>
      <c r="L2252" s="1624" t="s">
        <v>2302</v>
      </c>
      <c r="M2252" s="1625">
        <v>1.0378999999999999E-2</v>
      </c>
      <c r="N2252" s="1626">
        <v>1.6271730330991045</v>
      </c>
      <c r="O2252" s="1626"/>
    </row>
    <row r="2253" spans="11:15">
      <c r="K2253" s="1623">
        <v>44310</v>
      </c>
      <c r="L2253" s="1624"/>
      <c r="M2253" s="1625">
        <v>0</v>
      </c>
      <c r="N2253" s="1626">
        <v>1.6271730330991045</v>
      </c>
      <c r="O2253" s="1626"/>
    </row>
    <row r="2254" spans="11:15">
      <c r="K2254" s="1623">
        <v>44311</v>
      </c>
      <c r="L2254" s="1624"/>
      <c r="M2254" s="1625">
        <v>0</v>
      </c>
      <c r="N2254" s="1626">
        <v>1.6271730330991045</v>
      </c>
      <c r="O2254" s="1626"/>
    </row>
    <row r="2255" spans="11:15">
      <c r="K2255" s="1623">
        <v>44312</v>
      </c>
      <c r="L2255" s="1624" t="s">
        <v>2302</v>
      </c>
      <c r="M2255" s="1625">
        <v>1.0378999999999999E-2</v>
      </c>
      <c r="N2255" s="1626">
        <v>1.62734191738821</v>
      </c>
      <c r="O2255" s="1626"/>
    </row>
    <row r="2256" spans="11:15">
      <c r="K2256" s="1623">
        <v>44313</v>
      </c>
      <c r="L2256" s="1624" t="s">
        <v>2302</v>
      </c>
      <c r="M2256" s="1625">
        <v>1.0378999999999999E-2</v>
      </c>
      <c r="N2256" s="1626">
        <v>1.6275108192058159</v>
      </c>
      <c r="O2256" s="1626"/>
    </row>
    <row r="2257" spans="11:15">
      <c r="K2257" s="1623">
        <v>44314</v>
      </c>
      <c r="L2257" s="1624" t="s">
        <v>2302</v>
      </c>
      <c r="M2257" s="1625">
        <v>1.0378999999999999E-2</v>
      </c>
      <c r="N2257" s="1626">
        <v>1.6276797385537414</v>
      </c>
      <c r="O2257" s="1626"/>
    </row>
    <row r="2258" spans="11:15">
      <c r="K2258" s="1623">
        <v>44315</v>
      </c>
      <c r="L2258" s="1624" t="s">
        <v>2302</v>
      </c>
      <c r="M2258" s="1625">
        <v>1.0378999999999999E-2</v>
      </c>
      <c r="N2258" s="1626">
        <v>1.627848675433806</v>
      </c>
      <c r="O2258" s="1626"/>
    </row>
    <row r="2259" spans="11:15">
      <c r="K2259" s="1623">
        <v>44316</v>
      </c>
      <c r="L2259" s="1624" t="s">
        <v>2302</v>
      </c>
      <c r="M2259" s="1625">
        <v>1.0378999999999999E-2</v>
      </c>
      <c r="N2259" s="1626">
        <v>1.6280176298478293</v>
      </c>
      <c r="O2259" s="1626"/>
    </row>
    <row r="2260" spans="11:15">
      <c r="K2260" s="1623">
        <v>44317</v>
      </c>
      <c r="L2260" s="1624"/>
      <c r="M2260" s="1625">
        <v>0</v>
      </c>
      <c r="N2260" s="1626">
        <v>1.6280176298478293</v>
      </c>
      <c r="O2260" s="1626"/>
    </row>
    <row r="2261" spans="11:15">
      <c r="K2261" s="1623">
        <v>44318</v>
      </c>
      <c r="L2261" s="1624"/>
      <c r="M2261" s="1625">
        <v>0</v>
      </c>
      <c r="N2261" s="1626">
        <v>1.6280176298478293</v>
      </c>
      <c r="O2261" s="1626"/>
    </row>
    <row r="2262" spans="11:15">
      <c r="K2262" s="1623">
        <v>44319</v>
      </c>
      <c r="L2262" s="1624" t="s">
        <v>2302</v>
      </c>
      <c r="M2262" s="1625">
        <v>1.0378999999999999E-2</v>
      </c>
      <c r="N2262" s="1626">
        <v>1.6281866017976312</v>
      </c>
      <c r="O2262" s="1626"/>
    </row>
    <row r="2263" spans="11:15">
      <c r="K2263" s="1623">
        <v>44320</v>
      </c>
      <c r="L2263" s="1624" t="s">
        <v>2302</v>
      </c>
      <c r="M2263" s="1625">
        <v>1.0378999999999999E-2</v>
      </c>
      <c r="N2263" s="1626">
        <v>1.6283555912850318</v>
      </c>
      <c r="O2263" s="1626"/>
    </row>
    <row r="2264" spans="11:15">
      <c r="K2264" s="1623">
        <v>44321</v>
      </c>
      <c r="L2264" s="1624" t="s">
        <v>2302</v>
      </c>
      <c r="M2264" s="1625">
        <v>1.0378999999999999E-2</v>
      </c>
      <c r="N2264" s="1626">
        <v>1.6285245983118515</v>
      </c>
      <c r="O2264" s="1626"/>
    </row>
    <row r="2265" spans="11:15">
      <c r="K2265" s="1623">
        <v>44322</v>
      </c>
      <c r="L2265" s="1624" t="s">
        <v>2302</v>
      </c>
      <c r="M2265" s="1625">
        <v>1.3269E-2</v>
      </c>
      <c r="N2265" s="1626">
        <v>1.6287406872408015</v>
      </c>
      <c r="O2265" s="1626"/>
    </row>
    <row r="2266" spans="11:15">
      <c r="K2266" s="1623">
        <v>44323</v>
      </c>
      <c r="L2266" s="1624" t="s">
        <v>2302</v>
      </c>
      <c r="M2266" s="1625">
        <v>1.3269E-2</v>
      </c>
      <c r="N2266" s="1626">
        <v>1.6289568048425915</v>
      </c>
      <c r="O2266" s="1626"/>
    </row>
    <row r="2267" spans="11:15">
      <c r="K2267" s="1623">
        <v>44324</v>
      </c>
      <c r="L2267" s="1624"/>
      <c r="M2267" s="1625">
        <v>0</v>
      </c>
      <c r="N2267" s="1626">
        <v>1.6289568048425915</v>
      </c>
      <c r="O2267" s="1626"/>
    </row>
    <row r="2268" spans="11:15">
      <c r="K2268" s="1623">
        <v>44325</v>
      </c>
      <c r="L2268" s="1624"/>
      <c r="M2268" s="1625">
        <v>0</v>
      </c>
      <c r="N2268" s="1626">
        <v>1.6289568048425915</v>
      </c>
      <c r="O2268" s="1626"/>
    </row>
    <row r="2269" spans="11:15">
      <c r="K2269" s="1623">
        <v>44326</v>
      </c>
      <c r="L2269" s="1624" t="s">
        <v>2302</v>
      </c>
      <c r="M2269" s="1625">
        <v>1.3269E-2</v>
      </c>
      <c r="N2269" s="1626">
        <v>1.6291729511210262</v>
      </c>
      <c r="O2269" s="1626"/>
    </row>
    <row r="2270" spans="11:15">
      <c r="K2270" s="1623">
        <v>44327</v>
      </c>
      <c r="L2270" s="1624" t="s">
        <v>2302</v>
      </c>
      <c r="M2270" s="1625">
        <v>1.3269E-2</v>
      </c>
      <c r="N2270" s="1626">
        <v>1.6293891260799105</v>
      </c>
      <c r="O2270" s="1626"/>
    </row>
    <row r="2271" spans="11:15">
      <c r="K2271" s="1623">
        <v>44328</v>
      </c>
      <c r="L2271" s="1624" t="s">
        <v>2302</v>
      </c>
      <c r="M2271" s="1625">
        <v>1.3269E-2</v>
      </c>
      <c r="N2271" s="1626">
        <v>1.6296053297230502</v>
      </c>
      <c r="O2271" s="1626"/>
    </row>
    <row r="2272" spans="11:15">
      <c r="K2272" s="1623">
        <v>44329</v>
      </c>
      <c r="L2272" s="1624" t="s">
        <v>2302</v>
      </c>
      <c r="M2272" s="1625">
        <v>1.3269E-2</v>
      </c>
      <c r="N2272" s="1626">
        <v>1.6298215620542511</v>
      </c>
      <c r="O2272" s="1626"/>
    </row>
    <row r="2273" spans="11:15">
      <c r="K2273" s="1623">
        <v>44330</v>
      </c>
      <c r="L2273" s="1624" t="s">
        <v>2302</v>
      </c>
      <c r="M2273" s="1625">
        <v>1.3269E-2</v>
      </c>
      <c r="N2273" s="1626">
        <v>1.6300378230773203</v>
      </c>
      <c r="O2273" s="1626"/>
    </row>
    <row r="2274" spans="11:15">
      <c r="K2274" s="1623">
        <v>44331</v>
      </c>
      <c r="L2274" s="1624"/>
      <c r="M2274" s="1625">
        <v>0</v>
      </c>
      <c r="N2274" s="1626">
        <v>1.6300378230773203</v>
      </c>
      <c r="O2274" s="1626"/>
    </row>
    <row r="2275" spans="11:15">
      <c r="K2275" s="1623">
        <v>44332</v>
      </c>
      <c r="L2275" s="1624"/>
      <c r="M2275" s="1625">
        <v>0</v>
      </c>
      <c r="N2275" s="1626">
        <v>1.6300378230773203</v>
      </c>
      <c r="O2275" s="1626"/>
    </row>
    <row r="2276" spans="11:15">
      <c r="K2276" s="1623">
        <v>44333</v>
      </c>
      <c r="L2276" s="1624" t="s">
        <v>2302</v>
      </c>
      <c r="M2276" s="1625">
        <v>1.3269E-2</v>
      </c>
      <c r="N2276" s="1626">
        <v>1.6302541127960644</v>
      </c>
      <c r="O2276" s="1626"/>
    </row>
    <row r="2277" spans="11:15">
      <c r="K2277" s="1623">
        <v>44334</v>
      </c>
      <c r="L2277" s="1624" t="s">
        <v>2302</v>
      </c>
      <c r="M2277" s="1625">
        <v>1.3269E-2</v>
      </c>
      <c r="N2277" s="1626">
        <v>1.6304704312142912</v>
      </c>
      <c r="O2277" s="1626"/>
    </row>
    <row r="2278" spans="11:15">
      <c r="K2278" s="1623">
        <v>44335</v>
      </c>
      <c r="L2278" s="1624" t="s">
        <v>2302</v>
      </c>
      <c r="M2278" s="1625">
        <v>1.3269E-2</v>
      </c>
      <c r="N2278" s="1626">
        <v>1.6306867783358092</v>
      </c>
      <c r="O2278" s="1626"/>
    </row>
    <row r="2279" spans="11:15">
      <c r="K2279" s="1623">
        <v>44336</v>
      </c>
      <c r="L2279" s="1624" t="s">
        <v>2302</v>
      </c>
      <c r="M2279" s="1625">
        <v>1.3269E-2</v>
      </c>
      <c r="N2279" s="1626">
        <v>1.6309031541644268</v>
      </c>
      <c r="O2279" s="1626"/>
    </row>
    <row r="2280" spans="11:15">
      <c r="K2280" s="1623">
        <v>44337</v>
      </c>
      <c r="L2280" s="1624" t="s">
        <v>2302</v>
      </c>
      <c r="M2280" s="1625">
        <v>1.3269E-2</v>
      </c>
      <c r="N2280" s="1626">
        <v>1.6311195587039529</v>
      </c>
      <c r="O2280" s="1626"/>
    </row>
    <row r="2281" spans="11:15">
      <c r="K2281" s="1623">
        <v>44338</v>
      </c>
      <c r="L2281" s="1624"/>
      <c r="M2281" s="1625">
        <v>0</v>
      </c>
      <c r="N2281" s="1626">
        <v>1.6311195587039529</v>
      </c>
      <c r="O2281" s="1626"/>
    </row>
    <row r="2282" spans="11:15">
      <c r="K2282" s="1623">
        <v>44339</v>
      </c>
      <c r="L2282" s="1624"/>
      <c r="M2282" s="1625">
        <v>0</v>
      </c>
      <c r="N2282" s="1626">
        <v>1.6311195587039529</v>
      </c>
      <c r="O2282" s="1626"/>
    </row>
    <row r="2283" spans="11:15">
      <c r="K2283" s="1623">
        <v>44340</v>
      </c>
      <c r="L2283" s="1624" t="s">
        <v>2302</v>
      </c>
      <c r="M2283" s="1625">
        <v>1.3269E-2</v>
      </c>
      <c r="N2283" s="1626">
        <v>1.6313359919581973</v>
      </c>
      <c r="O2283" s="1626"/>
    </row>
    <row r="2284" spans="11:15">
      <c r="K2284" s="1623">
        <v>44341</v>
      </c>
      <c r="L2284" s="1624" t="s">
        <v>2302</v>
      </c>
      <c r="M2284" s="1625">
        <v>1.3269E-2</v>
      </c>
      <c r="N2284" s="1626">
        <v>1.6315524539309703</v>
      </c>
      <c r="O2284" s="1626"/>
    </row>
    <row r="2285" spans="11:15">
      <c r="K2285" s="1623">
        <v>44342</v>
      </c>
      <c r="L2285" s="1624" t="s">
        <v>2302</v>
      </c>
      <c r="M2285" s="1625">
        <v>1.3269E-2</v>
      </c>
      <c r="N2285" s="1626">
        <v>1.6317689446260824</v>
      </c>
      <c r="O2285" s="1626"/>
    </row>
    <row r="2286" spans="11:15">
      <c r="K2286" s="1623">
        <v>44343</v>
      </c>
      <c r="L2286" s="1624" t="s">
        <v>2302</v>
      </c>
      <c r="M2286" s="1625">
        <v>1.3269E-2</v>
      </c>
      <c r="N2286" s="1626">
        <v>1.6319854640473448</v>
      </c>
      <c r="O2286" s="1626"/>
    </row>
    <row r="2287" spans="11:15">
      <c r="K2287" s="1623">
        <v>44344</v>
      </c>
      <c r="L2287" s="1624" t="s">
        <v>2302</v>
      </c>
      <c r="M2287" s="1625">
        <v>1.3269E-2</v>
      </c>
      <c r="N2287" s="1626">
        <v>1.6322020121985694</v>
      </c>
      <c r="O2287" s="1626"/>
    </row>
    <row r="2288" spans="11:15">
      <c r="K2288" s="1623">
        <v>44345</v>
      </c>
      <c r="L2288" s="1624"/>
      <c r="M2288" s="1625">
        <v>0</v>
      </c>
      <c r="N2288" s="1626">
        <v>1.6322020121985694</v>
      </c>
      <c r="O2288" s="1626"/>
    </row>
    <row r="2289" spans="11:15">
      <c r="K2289" s="1623">
        <v>44346</v>
      </c>
      <c r="L2289" s="1624"/>
      <c r="M2289" s="1625">
        <v>0</v>
      </c>
      <c r="N2289" s="1626">
        <v>1.6322020121985694</v>
      </c>
      <c r="O2289" s="1626"/>
    </row>
    <row r="2290" spans="11:15">
      <c r="K2290" s="1623">
        <v>44347</v>
      </c>
      <c r="L2290" s="1624" t="s">
        <v>2302</v>
      </c>
      <c r="M2290" s="1625">
        <v>1.3269E-2</v>
      </c>
      <c r="N2290" s="1626">
        <v>1.6324185890835681</v>
      </c>
      <c r="O2290" s="1626"/>
    </row>
    <row r="2291" spans="11:15">
      <c r="K2291" s="1623">
        <v>44348</v>
      </c>
      <c r="L2291" s="1624" t="s">
        <v>2302</v>
      </c>
      <c r="M2291" s="1625">
        <v>1.3269E-2</v>
      </c>
      <c r="N2291" s="1626">
        <v>1.6326351947061537</v>
      </c>
      <c r="O2291" s="1626"/>
    </row>
    <row r="2292" spans="11:15">
      <c r="K2292" s="1623">
        <v>44349</v>
      </c>
      <c r="L2292" s="1624" t="s">
        <v>2302</v>
      </c>
      <c r="M2292" s="1625">
        <v>1.3269E-2</v>
      </c>
      <c r="N2292" s="1626">
        <v>1.6328518290701393</v>
      </c>
      <c r="O2292" s="1626"/>
    </row>
    <row r="2293" spans="11:15">
      <c r="K2293" s="1623">
        <v>44350</v>
      </c>
      <c r="L2293" s="1624"/>
      <c r="M2293" s="1625">
        <v>0</v>
      </c>
      <c r="N2293" s="1626">
        <v>1.6328518290701393</v>
      </c>
      <c r="O2293" s="1626"/>
    </row>
    <row r="2294" spans="11:15">
      <c r="K2294" s="1623">
        <v>44351</v>
      </c>
      <c r="L2294" s="1624" t="s">
        <v>2302</v>
      </c>
      <c r="M2294" s="1625">
        <v>1.3269E-2</v>
      </c>
      <c r="N2294" s="1626">
        <v>1.6330684921793386</v>
      </c>
      <c r="O2294" s="1626"/>
    </row>
    <row r="2295" spans="11:15">
      <c r="K2295" s="1623">
        <v>44352</v>
      </c>
      <c r="L2295" s="1624"/>
      <c r="M2295" s="1625">
        <v>0</v>
      </c>
      <c r="N2295" s="1626">
        <v>1.6330684921793386</v>
      </c>
      <c r="O2295" s="1626"/>
    </row>
    <row r="2296" spans="11:15">
      <c r="K2296" s="1623">
        <v>44353</v>
      </c>
      <c r="L2296" s="1624"/>
      <c r="M2296" s="1625">
        <v>0</v>
      </c>
      <c r="N2296" s="1626">
        <v>1.6330684921793386</v>
      </c>
      <c r="O2296" s="1626"/>
    </row>
    <row r="2297" spans="11:15">
      <c r="K2297" s="1623">
        <v>44354</v>
      </c>
      <c r="L2297" s="1624" t="s">
        <v>2302</v>
      </c>
      <c r="M2297" s="1625">
        <v>1.3269E-2</v>
      </c>
      <c r="N2297" s="1626">
        <v>1.633285184037566</v>
      </c>
      <c r="O2297" s="1626"/>
    </row>
    <row r="2298" spans="11:15">
      <c r="K2298" s="1623">
        <v>44355</v>
      </c>
      <c r="L2298" s="1624" t="s">
        <v>2302</v>
      </c>
      <c r="M2298" s="1625">
        <v>1.3269E-2</v>
      </c>
      <c r="N2298" s="1626">
        <v>1.6335019046486359</v>
      </c>
      <c r="O2298" s="1626"/>
    </row>
    <row r="2299" spans="11:15">
      <c r="K2299" s="1623">
        <v>44356</v>
      </c>
      <c r="L2299" s="1624" t="s">
        <v>2302</v>
      </c>
      <c r="M2299" s="1625">
        <v>1.3269E-2</v>
      </c>
      <c r="N2299" s="1626">
        <v>1.6337186540163637</v>
      </c>
      <c r="O2299" s="1626"/>
    </row>
    <row r="2300" spans="11:15">
      <c r="K2300" s="1623">
        <v>44357</v>
      </c>
      <c r="L2300" s="1624" t="s">
        <v>2302</v>
      </c>
      <c r="M2300" s="1625">
        <v>1.3269E-2</v>
      </c>
      <c r="N2300" s="1626">
        <v>1.6339354321445652</v>
      </c>
      <c r="O2300" s="1626"/>
    </row>
    <row r="2301" spans="11:15">
      <c r="K2301" s="1623">
        <v>44358</v>
      </c>
      <c r="L2301" s="1624" t="s">
        <v>2302</v>
      </c>
      <c r="M2301" s="1625">
        <v>1.3269E-2</v>
      </c>
      <c r="N2301" s="1626">
        <v>1.6341522390370564</v>
      </c>
      <c r="O2301" s="1626"/>
    </row>
    <row r="2302" spans="11:15">
      <c r="K2302" s="1623">
        <v>44359</v>
      </c>
      <c r="L2302" s="1624"/>
      <c r="M2302" s="1625">
        <v>0</v>
      </c>
      <c r="N2302" s="1626">
        <v>1.6341522390370564</v>
      </c>
      <c r="O2302" s="1626"/>
    </row>
    <row r="2303" spans="11:15">
      <c r="K2303" s="1623">
        <v>44360</v>
      </c>
      <c r="L2303" s="1624"/>
      <c r="M2303" s="1625">
        <v>0</v>
      </c>
      <c r="N2303" s="1626">
        <v>1.6341522390370564</v>
      </c>
      <c r="O2303" s="1626"/>
    </row>
    <row r="2304" spans="11:15">
      <c r="K2304" s="1623">
        <v>44361</v>
      </c>
      <c r="L2304" s="1624" t="s">
        <v>2302</v>
      </c>
      <c r="M2304" s="1625">
        <v>1.3269E-2</v>
      </c>
      <c r="N2304" s="1626">
        <v>1.6343690746976542</v>
      </c>
      <c r="O2304" s="1626"/>
    </row>
    <row r="2305" spans="11:15">
      <c r="K2305" s="1623">
        <v>44362</v>
      </c>
      <c r="L2305" s="1624" t="s">
        <v>2302</v>
      </c>
      <c r="M2305" s="1625">
        <v>1.3269E-2</v>
      </c>
      <c r="N2305" s="1626">
        <v>1.634585939130176</v>
      </c>
      <c r="O2305" s="1626"/>
    </row>
    <row r="2306" spans="11:15">
      <c r="K2306" s="1623">
        <v>44363</v>
      </c>
      <c r="L2306" s="1624" t="s">
        <v>2302</v>
      </c>
      <c r="M2306" s="1625">
        <v>1.3269E-2</v>
      </c>
      <c r="N2306" s="1626">
        <v>1.6348028323384394</v>
      </c>
      <c r="O2306" s="1626"/>
    </row>
    <row r="2307" spans="11:15">
      <c r="K2307" s="1623">
        <v>44364</v>
      </c>
      <c r="L2307" s="1624" t="s">
        <v>2302</v>
      </c>
      <c r="M2307" s="1625">
        <v>1.6136999999999999E-2</v>
      </c>
      <c r="N2307" s="1626">
        <v>1.635066640471494</v>
      </c>
      <c r="O2307" s="1626"/>
    </row>
    <row r="2308" spans="11:15">
      <c r="K2308" s="1623">
        <v>44365</v>
      </c>
      <c r="L2308" s="1624" t="s">
        <v>2302</v>
      </c>
      <c r="M2308" s="1625">
        <v>1.6136999999999999E-2</v>
      </c>
      <c r="N2308" s="1626">
        <v>1.6353304911752669</v>
      </c>
      <c r="O2308" s="1626"/>
    </row>
    <row r="2309" spans="11:15">
      <c r="K2309" s="1623">
        <v>44366</v>
      </c>
      <c r="L2309" s="1624"/>
      <c r="M2309" s="1625">
        <v>0</v>
      </c>
      <c r="N2309" s="1626">
        <v>1.6353304911752669</v>
      </c>
      <c r="O2309" s="1626"/>
    </row>
    <row r="2310" spans="11:15">
      <c r="K2310" s="1623">
        <v>44367</v>
      </c>
      <c r="L2310" s="1624"/>
      <c r="M2310" s="1625">
        <v>0</v>
      </c>
      <c r="N2310" s="1626">
        <v>1.6353304911752669</v>
      </c>
      <c r="O2310" s="1626"/>
    </row>
    <row r="2311" spans="11:15">
      <c r="K2311" s="1623">
        <v>44368</v>
      </c>
      <c r="L2311" s="1624" t="s">
        <v>2302</v>
      </c>
      <c r="M2311" s="1625">
        <v>1.6136999999999999E-2</v>
      </c>
      <c r="N2311" s="1626">
        <v>1.6355943844566279</v>
      </c>
      <c r="O2311" s="1626"/>
    </row>
    <row r="2312" spans="11:15">
      <c r="K2312" s="1623">
        <v>44369</v>
      </c>
      <c r="L2312" s="1624" t="s">
        <v>2302</v>
      </c>
      <c r="M2312" s="1625">
        <v>1.6136999999999999E-2</v>
      </c>
      <c r="N2312" s="1626">
        <v>1.6358583203224477</v>
      </c>
      <c r="O2312" s="1626"/>
    </row>
    <row r="2313" spans="11:15">
      <c r="K2313" s="1623">
        <v>44370</v>
      </c>
      <c r="L2313" s="1624" t="s">
        <v>2302</v>
      </c>
      <c r="M2313" s="1625">
        <v>1.6136999999999999E-2</v>
      </c>
      <c r="N2313" s="1626">
        <v>1.6361222987795982</v>
      </c>
      <c r="O2313" s="1626"/>
    </row>
    <row r="2314" spans="11:15">
      <c r="K2314" s="1623">
        <v>44371</v>
      </c>
      <c r="L2314" s="1624" t="s">
        <v>2302</v>
      </c>
      <c r="M2314" s="1625">
        <v>1.6136999999999999E-2</v>
      </c>
      <c r="N2314" s="1626">
        <v>1.6363863198349524</v>
      </c>
      <c r="O2314" s="1626"/>
    </row>
    <row r="2315" spans="11:15">
      <c r="K2315" s="1623">
        <v>44372</v>
      </c>
      <c r="L2315" s="1624" t="s">
        <v>2302</v>
      </c>
      <c r="M2315" s="1625">
        <v>1.6136999999999999E-2</v>
      </c>
      <c r="N2315" s="1626">
        <v>1.6366503834953843</v>
      </c>
      <c r="O2315" s="1626"/>
    </row>
    <row r="2316" spans="11:15">
      <c r="K2316" s="1623">
        <v>44373</v>
      </c>
      <c r="L2316" s="1624"/>
      <c r="M2316" s="1625">
        <v>0</v>
      </c>
      <c r="N2316" s="1626">
        <v>1.6366503834953843</v>
      </c>
      <c r="O2316" s="1626"/>
    </row>
    <row r="2317" spans="11:15">
      <c r="K2317" s="1623">
        <v>44374</v>
      </c>
      <c r="L2317" s="1624"/>
      <c r="M2317" s="1625">
        <v>0</v>
      </c>
      <c r="N2317" s="1626">
        <v>1.6366503834953843</v>
      </c>
      <c r="O2317" s="1626"/>
    </row>
    <row r="2318" spans="11:15">
      <c r="K2318" s="1623">
        <v>44375</v>
      </c>
      <c r="L2318" s="1624" t="s">
        <v>2302</v>
      </c>
      <c r="M2318" s="1625">
        <v>1.6136999999999999E-2</v>
      </c>
      <c r="N2318" s="1626">
        <v>1.636914489767769</v>
      </c>
      <c r="O2318" s="1626"/>
    </row>
    <row r="2319" spans="11:15">
      <c r="K2319" s="1623">
        <v>44376</v>
      </c>
      <c r="L2319" s="1624" t="s">
        <v>2302</v>
      </c>
      <c r="M2319" s="1625">
        <v>1.6136999999999999E-2</v>
      </c>
      <c r="N2319" s="1626">
        <v>1.6371786386589828</v>
      </c>
      <c r="O2319" s="1626"/>
    </row>
    <row r="2320" spans="11:15">
      <c r="K2320" s="1623">
        <v>44377</v>
      </c>
      <c r="L2320" s="1624" t="s">
        <v>2302</v>
      </c>
      <c r="M2320" s="1625">
        <v>1.6136999999999999E-2</v>
      </c>
      <c r="N2320" s="1626">
        <v>1.6374428301759034</v>
      </c>
      <c r="O2320" s="1626"/>
    </row>
    <row r="2321" spans="11:15">
      <c r="K2321" s="1623">
        <v>44378</v>
      </c>
      <c r="L2321" s="1624" t="s">
        <v>2302</v>
      </c>
      <c r="M2321" s="1625">
        <v>1.6136999999999999E-2</v>
      </c>
      <c r="N2321" s="1626">
        <v>1.637707064325409</v>
      </c>
      <c r="O2321" s="1626"/>
    </row>
    <row r="2322" spans="11:15">
      <c r="K2322" s="1623">
        <v>44379</v>
      </c>
      <c r="L2322" s="1624" t="s">
        <v>2302</v>
      </c>
      <c r="M2322" s="1625">
        <v>1.6136999999999999E-2</v>
      </c>
      <c r="N2322" s="1626">
        <v>1.6379713411143793</v>
      </c>
      <c r="O2322" s="1626"/>
    </row>
    <row r="2323" spans="11:15">
      <c r="K2323" s="1623">
        <v>44380</v>
      </c>
      <c r="L2323" s="1624"/>
      <c r="M2323" s="1625">
        <v>0</v>
      </c>
      <c r="N2323" s="1626">
        <v>1.6379713411143793</v>
      </c>
      <c r="O2323" s="1626"/>
    </row>
    <row r="2324" spans="11:15">
      <c r="K2324" s="1623">
        <v>44381</v>
      </c>
      <c r="L2324" s="1624"/>
      <c r="M2324" s="1625">
        <v>0</v>
      </c>
      <c r="N2324" s="1626">
        <v>1.6379713411143793</v>
      </c>
      <c r="O2324" s="1626"/>
    </row>
    <row r="2325" spans="11:15">
      <c r="K2325" s="1623">
        <v>44382</v>
      </c>
      <c r="L2325" s="1624" t="s">
        <v>2302</v>
      </c>
      <c r="M2325" s="1625">
        <v>1.6136999999999999E-2</v>
      </c>
      <c r="N2325" s="1626">
        <v>1.638235660549695</v>
      </c>
      <c r="O2325" s="1626"/>
    </row>
    <row r="2326" spans="11:15">
      <c r="K2326" s="1623">
        <v>44383</v>
      </c>
      <c r="L2326" s="1624" t="s">
        <v>2302</v>
      </c>
      <c r="M2326" s="1625">
        <v>1.6136999999999999E-2</v>
      </c>
      <c r="N2326" s="1626">
        <v>1.638500022638238</v>
      </c>
      <c r="O2326" s="1626"/>
    </row>
    <row r="2327" spans="11:15">
      <c r="K2327" s="1623">
        <v>44384</v>
      </c>
      <c r="L2327" s="1624" t="s">
        <v>2302</v>
      </c>
      <c r="M2327" s="1625">
        <v>1.6136999999999999E-2</v>
      </c>
      <c r="N2327" s="1626">
        <v>1.6387644273868913</v>
      </c>
      <c r="O2327" s="1626"/>
    </row>
    <row r="2328" spans="11:15">
      <c r="K2328" s="1623">
        <v>44385</v>
      </c>
      <c r="L2328" s="1624" t="s">
        <v>2302</v>
      </c>
      <c r="M2328" s="1625">
        <v>1.6136999999999999E-2</v>
      </c>
      <c r="N2328" s="1626">
        <v>1.6390288748025388</v>
      </c>
      <c r="O2328" s="1626"/>
    </row>
    <row r="2329" spans="11:15">
      <c r="K2329" s="1623">
        <v>44386</v>
      </c>
      <c r="L2329" s="1624" t="s">
        <v>2302</v>
      </c>
      <c r="M2329" s="1625">
        <v>1.6136999999999999E-2</v>
      </c>
      <c r="N2329" s="1626">
        <v>1.6392933648920658</v>
      </c>
      <c r="O2329" s="1626"/>
    </row>
    <row r="2330" spans="11:15">
      <c r="K2330" s="1623">
        <v>44387</v>
      </c>
      <c r="L2330" s="1624"/>
      <c r="M2330" s="1625">
        <v>0</v>
      </c>
      <c r="N2330" s="1626">
        <v>1.6392933648920658</v>
      </c>
      <c r="O2330" s="1626"/>
    </row>
    <row r="2331" spans="11:15">
      <c r="K2331" s="1623">
        <v>44388</v>
      </c>
      <c r="L2331" s="1624"/>
      <c r="M2331" s="1625">
        <v>0</v>
      </c>
      <c r="N2331" s="1626">
        <v>1.6392933648920658</v>
      </c>
      <c r="O2331" s="1626"/>
    </row>
    <row r="2332" spans="11:15">
      <c r="K2332" s="1623">
        <v>44389</v>
      </c>
      <c r="L2332" s="1624" t="s">
        <v>2302</v>
      </c>
      <c r="M2332" s="1625">
        <v>1.6136999999999999E-2</v>
      </c>
      <c r="N2332" s="1626">
        <v>1.6395578976623586</v>
      </c>
      <c r="O2332" s="1626"/>
    </row>
    <row r="2333" spans="11:15">
      <c r="K2333" s="1623">
        <v>44390</v>
      </c>
      <c r="L2333" s="1624" t="s">
        <v>2302</v>
      </c>
      <c r="M2333" s="1625">
        <v>1.6136999999999999E-2</v>
      </c>
      <c r="N2333" s="1626">
        <v>1.6398224731203044</v>
      </c>
      <c r="O2333" s="1626"/>
    </row>
    <row r="2334" spans="11:15">
      <c r="K2334" s="1623">
        <v>44391</v>
      </c>
      <c r="L2334" s="1624" t="s">
        <v>2302</v>
      </c>
      <c r="M2334" s="1625">
        <v>1.6136999999999999E-2</v>
      </c>
      <c r="N2334" s="1626">
        <v>1.6400870912727918</v>
      </c>
      <c r="O2334" s="1626"/>
    </row>
    <row r="2335" spans="11:15">
      <c r="K2335" s="1623">
        <v>44392</v>
      </c>
      <c r="L2335" s="1624" t="s">
        <v>2302</v>
      </c>
      <c r="M2335" s="1625">
        <v>1.6136999999999999E-2</v>
      </c>
      <c r="N2335" s="1626">
        <v>1.6403517521267106</v>
      </c>
      <c r="O2335" s="1626"/>
    </row>
    <row r="2336" spans="11:15">
      <c r="K2336" s="1623">
        <v>44393</v>
      </c>
      <c r="L2336" s="1624" t="s">
        <v>2302</v>
      </c>
      <c r="M2336" s="1625">
        <v>1.6136999999999999E-2</v>
      </c>
      <c r="N2336" s="1626">
        <v>1.6406164556889513</v>
      </c>
      <c r="O2336" s="1626"/>
    </row>
    <row r="2337" spans="11:15">
      <c r="K2337" s="1623">
        <v>44394</v>
      </c>
      <c r="L2337" s="1624"/>
      <c r="M2337" s="1625">
        <v>0</v>
      </c>
      <c r="N2337" s="1626">
        <v>1.6406164556889513</v>
      </c>
      <c r="O2337" s="1626"/>
    </row>
    <row r="2338" spans="11:15">
      <c r="K2338" s="1623">
        <v>44395</v>
      </c>
      <c r="L2338" s="1624"/>
      <c r="M2338" s="1625">
        <v>0</v>
      </c>
      <c r="N2338" s="1626">
        <v>1.6406164556889513</v>
      </c>
      <c r="O2338" s="1626"/>
    </row>
    <row r="2339" spans="11:15">
      <c r="K2339" s="1623">
        <v>44396</v>
      </c>
      <c r="L2339" s="1624" t="s">
        <v>2302</v>
      </c>
      <c r="M2339" s="1625">
        <v>1.6136999999999999E-2</v>
      </c>
      <c r="N2339" s="1626">
        <v>1.6408812019664059</v>
      </c>
      <c r="O2339" s="1626"/>
    </row>
    <row r="2340" spans="11:15">
      <c r="K2340" s="1623">
        <v>44397</v>
      </c>
      <c r="L2340" s="1624" t="s">
        <v>2302</v>
      </c>
      <c r="M2340" s="1625">
        <v>1.6136999999999999E-2</v>
      </c>
      <c r="N2340" s="1626">
        <v>1.6411459909659674</v>
      </c>
      <c r="O2340" s="1626"/>
    </row>
    <row r="2341" spans="11:15">
      <c r="K2341" s="1623">
        <v>44398</v>
      </c>
      <c r="L2341" s="1624" t="s">
        <v>2302</v>
      </c>
      <c r="M2341" s="1625">
        <v>1.6136999999999999E-2</v>
      </c>
      <c r="N2341" s="1626">
        <v>1.6414108226945296</v>
      </c>
      <c r="O2341" s="1626"/>
    </row>
    <row r="2342" spans="11:15">
      <c r="K2342" s="1623">
        <v>44399</v>
      </c>
      <c r="L2342" s="1624" t="s">
        <v>2302</v>
      </c>
      <c r="M2342" s="1625">
        <v>1.6136999999999999E-2</v>
      </c>
      <c r="N2342" s="1626">
        <v>1.6416756971589879</v>
      </c>
      <c r="O2342" s="1626"/>
    </row>
    <row r="2343" spans="11:15">
      <c r="K2343" s="1623">
        <v>44400</v>
      </c>
      <c r="L2343" s="1624" t="s">
        <v>2302</v>
      </c>
      <c r="M2343" s="1625">
        <v>1.6136999999999999E-2</v>
      </c>
      <c r="N2343" s="1626">
        <v>1.6419406143662385</v>
      </c>
      <c r="O2343" s="1626"/>
    </row>
    <row r="2344" spans="11:15">
      <c r="K2344" s="1623">
        <v>44401</v>
      </c>
      <c r="L2344" s="1624"/>
      <c r="M2344" s="1625">
        <v>0</v>
      </c>
      <c r="N2344" s="1626">
        <v>1.6419406143662385</v>
      </c>
      <c r="O2344" s="1626"/>
    </row>
    <row r="2345" spans="11:15">
      <c r="K2345" s="1623">
        <v>44402</v>
      </c>
      <c r="L2345" s="1624"/>
      <c r="M2345" s="1625">
        <v>0</v>
      </c>
      <c r="N2345" s="1626">
        <v>1.6419406143662385</v>
      </c>
      <c r="O2345" s="1626"/>
    </row>
    <row r="2346" spans="11:15">
      <c r="K2346" s="1623">
        <v>44403</v>
      </c>
      <c r="L2346" s="1624" t="s">
        <v>2302</v>
      </c>
      <c r="M2346" s="1625">
        <v>1.6136999999999999E-2</v>
      </c>
      <c r="N2346" s="1626">
        <v>1.6422055743231789</v>
      </c>
      <c r="O2346" s="1626"/>
    </row>
    <row r="2347" spans="11:15">
      <c r="K2347" s="1623">
        <v>44404</v>
      </c>
      <c r="L2347" s="1624" t="s">
        <v>2302</v>
      </c>
      <c r="M2347" s="1625">
        <v>1.6136999999999999E-2</v>
      </c>
      <c r="N2347" s="1626">
        <v>1.6424705770367076</v>
      </c>
      <c r="O2347" s="1626"/>
    </row>
    <row r="2348" spans="11:15">
      <c r="K2348" s="1623">
        <v>44405</v>
      </c>
      <c r="L2348" s="1624" t="s">
        <v>2302</v>
      </c>
      <c r="M2348" s="1625">
        <v>1.6136999999999999E-2</v>
      </c>
      <c r="N2348" s="1626">
        <v>1.6427356225137242</v>
      </c>
      <c r="O2348" s="1626"/>
    </row>
    <row r="2349" spans="11:15">
      <c r="K2349" s="1623">
        <v>44406</v>
      </c>
      <c r="L2349" s="1624" t="s">
        <v>2302</v>
      </c>
      <c r="M2349" s="1625">
        <v>1.6136999999999999E-2</v>
      </c>
      <c r="N2349" s="1626">
        <v>1.6430007107611293</v>
      </c>
      <c r="O2349" s="1626"/>
    </row>
    <row r="2350" spans="11:15">
      <c r="K2350" s="1623">
        <v>44407</v>
      </c>
      <c r="L2350" s="1624" t="s">
        <v>2302</v>
      </c>
      <c r="M2350" s="1625">
        <v>1.6136999999999999E-2</v>
      </c>
      <c r="N2350" s="1626">
        <v>1.6432658417858248</v>
      </c>
      <c r="O2350" s="1626"/>
    </row>
    <row r="2351" spans="11:15">
      <c r="K2351" s="1623">
        <v>44408</v>
      </c>
      <c r="L2351" s="1624"/>
      <c r="M2351" s="1625">
        <v>0</v>
      </c>
      <c r="N2351" s="1626">
        <v>1.6432658417858248</v>
      </c>
      <c r="O2351" s="1626"/>
    </row>
    <row r="2352" spans="11:15">
      <c r="K2352" s="1623">
        <v>44409</v>
      </c>
      <c r="L2352" s="1624"/>
      <c r="M2352" s="1625">
        <v>0</v>
      </c>
      <c r="N2352" s="1626">
        <v>1.6432658417858248</v>
      </c>
      <c r="O2352" s="1626"/>
    </row>
    <row r="2353" spans="11:15">
      <c r="K2353" s="1623">
        <v>44410</v>
      </c>
      <c r="L2353" s="1624" t="s">
        <v>2302</v>
      </c>
      <c r="M2353" s="1625">
        <v>1.6136999999999999E-2</v>
      </c>
      <c r="N2353" s="1626">
        <v>1.6435310155947138</v>
      </c>
      <c r="O2353" s="1626"/>
    </row>
    <row r="2354" spans="11:15">
      <c r="K2354" s="1623">
        <v>44411</v>
      </c>
      <c r="L2354" s="1624" t="s">
        <v>2302</v>
      </c>
      <c r="M2354" s="1625">
        <v>1.6136999999999999E-2</v>
      </c>
      <c r="N2354" s="1626">
        <v>1.6437962321947004</v>
      </c>
      <c r="O2354" s="1626"/>
    </row>
    <row r="2355" spans="11:15">
      <c r="K2355" s="1623">
        <v>44412</v>
      </c>
      <c r="L2355" s="1624" t="s">
        <v>2302</v>
      </c>
      <c r="M2355" s="1625">
        <v>1.6136999999999999E-2</v>
      </c>
      <c r="N2355" s="1626">
        <v>1.6440614915926897</v>
      </c>
      <c r="O2355" s="1626"/>
    </row>
    <row r="2356" spans="11:15">
      <c r="K2356" s="1623">
        <v>44413</v>
      </c>
      <c r="L2356" s="1624" t="s">
        <v>2302</v>
      </c>
      <c r="M2356" s="1625">
        <v>1.993E-2</v>
      </c>
      <c r="N2356" s="1626">
        <v>1.6443891530479642</v>
      </c>
      <c r="O2356" s="1626"/>
    </row>
    <row r="2357" spans="11:15">
      <c r="K2357" s="1623">
        <v>44414</v>
      </c>
      <c r="L2357" s="1624" t="s">
        <v>2302</v>
      </c>
      <c r="M2357" s="1625">
        <v>1.993E-2</v>
      </c>
      <c r="N2357" s="1626">
        <v>1.6447168798061667</v>
      </c>
      <c r="O2357" s="1626"/>
    </row>
    <row r="2358" spans="11:15">
      <c r="K2358" s="1623">
        <v>44415</v>
      </c>
      <c r="L2358" s="1624"/>
      <c r="M2358" s="1625">
        <v>0</v>
      </c>
      <c r="N2358" s="1626">
        <v>1.6447168798061667</v>
      </c>
      <c r="O2358" s="1626"/>
    </row>
    <row r="2359" spans="11:15">
      <c r="K2359" s="1623">
        <v>44416</v>
      </c>
      <c r="L2359" s="1624"/>
      <c r="M2359" s="1625">
        <v>0</v>
      </c>
      <c r="N2359" s="1626">
        <v>1.6447168798061667</v>
      </c>
      <c r="O2359" s="1626"/>
    </row>
    <row r="2360" spans="11:15">
      <c r="K2360" s="1623">
        <v>44417</v>
      </c>
      <c r="L2360" s="1624" t="s">
        <v>2302</v>
      </c>
      <c r="M2360" s="1625">
        <v>1.993E-2</v>
      </c>
      <c r="N2360" s="1626">
        <v>1.645044671880312</v>
      </c>
      <c r="O2360" s="1626"/>
    </row>
    <row r="2361" spans="11:15">
      <c r="K2361" s="1623">
        <v>44418</v>
      </c>
      <c r="L2361" s="1624" t="s">
        <v>2302</v>
      </c>
      <c r="M2361" s="1625">
        <v>1.993E-2</v>
      </c>
      <c r="N2361" s="1626">
        <v>1.6453725292834178</v>
      </c>
      <c r="O2361" s="1626"/>
    </row>
    <row r="2362" spans="11:15">
      <c r="K2362" s="1623">
        <v>44419</v>
      </c>
      <c r="L2362" s="1624" t="s">
        <v>2302</v>
      </c>
      <c r="M2362" s="1625">
        <v>1.993E-2</v>
      </c>
      <c r="N2362" s="1626">
        <v>1.6457004520285041</v>
      </c>
      <c r="O2362" s="1626"/>
    </row>
    <row r="2363" spans="11:15">
      <c r="K2363" s="1623">
        <v>44420</v>
      </c>
      <c r="L2363" s="1624" t="s">
        <v>2302</v>
      </c>
      <c r="M2363" s="1625">
        <v>1.993E-2</v>
      </c>
      <c r="N2363" s="1626">
        <v>1.6460284401285934</v>
      </c>
      <c r="O2363" s="1626"/>
    </row>
    <row r="2364" spans="11:15">
      <c r="K2364" s="1623">
        <v>44421</v>
      </c>
      <c r="L2364" s="1624" t="s">
        <v>2302</v>
      </c>
      <c r="M2364" s="1625">
        <v>1.993E-2</v>
      </c>
      <c r="N2364" s="1626">
        <v>1.646356493596711</v>
      </c>
      <c r="O2364" s="1626"/>
    </row>
    <row r="2365" spans="11:15">
      <c r="K2365" s="1623">
        <v>44422</v>
      </c>
      <c r="L2365" s="1624"/>
      <c r="M2365" s="1625">
        <v>0</v>
      </c>
      <c r="N2365" s="1626">
        <v>1.646356493596711</v>
      </c>
      <c r="O2365" s="1626"/>
    </row>
    <row r="2366" spans="11:15">
      <c r="K2366" s="1623">
        <v>44423</v>
      </c>
      <c r="L2366" s="1624"/>
      <c r="M2366" s="1625">
        <v>0</v>
      </c>
      <c r="N2366" s="1626">
        <v>1.646356493596711</v>
      </c>
      <c r="O2366" s="1626"/>
    </row>
    <row r="2367" spans="11:15">
      <c r="K2367" s="1623">
        <v>44424</v>
      </c>
      <c r="L2367" s="1624" t="s">
        <v>2302</v>
      </c>
      <c r="M2367" s="1625">
        <v>1.993E-2</v>
      </c>
      <c r="N2367" s="1626">
        <v>1.6466846124458849</v>
      </c>
      <c r="O2367" s="1626"/>
    </row>
    <row r="2368" spans="11:15">
      <c r="K2368" s="1623">
        <v>44425</v>
      </c>
      <c r="L2368" s="1624" t="s">
        <v>2302</v>
      </c>
      <c r="M2368" s="1625">
        <v>1.993E-2</v>
      </c>
      <c r="N2368" s="1626">
        <v>1.6470127966891455</v>
      </c>
      <c r="O2368" s="1626"/>
    </row>
    <row r="2369" spans="11:15">
      <c r="K2369" s="1623">
        <v>44426</v>
      </c>
      <c r="L2369" s="1624" t="s">
        <v>2302</v>
      </c>
      <c r="M2369" s="1625">
        <v>1.993E-2</v>
      </c>
      <c r="N2369" s="1626">
        <v>1.6473410463395257</v>
      </c>
      <c r="O2369" s="1626"/>
    </row>
    <row r="2370" spans="11:15">
      <c r="K2370" s="1623">
        <v>44427</v>
      </c>
      <c r="L2370" s="1624" t="s">
        <v>2302</v>
      </c>
      <c r="M2370" s="1625">
        <v>1.993E-2</v>
      </c>
      <c r="N2370" s="1626">
        <v>1.6476693614100613</v>
      </c>
      <c r="O2370" s="1626"/>
    </row>
    <row r="2371" spans="11:15">
      <c r="K2371" s="1623">
        <v>44428</v>
      </c>
      <c r="L2371" s="1624" t="s">
        <v>2302</v>
      </c>
      <c r="M2371" s="1625">
        <v>1.993E-2</v>
      </c>
      <c r="N2371" s="1626">
        <v>1.6479977419137903</v>
      </c>
      <c r="O2371" s="1626"/>
    </row>
    <row r="2372" spans="11:15">
      <c r="K2372" s="1623">
        <v>44429</v>
      </c>
      <c r="L2372" s="1624"/>
      <c r="M2372" s="1625">
        <v>0</v>
      </c>
      <c r="N2372" s="1626">
        <v>1.6479977419137903</v>
      </c>
      <c r="O2372" s="1626"/>
    </row>
    <row r="2373" spans="11:15">
      <c r="K2373" s="1623">
        <v>44430</v>
      </c>
      <c r="L2373" s="1624"/>
      <c r="M2373" s="1625">
        <v>0</v>
      </c>
      <c r="N2373" s="1626">
        <v>1.6479977419137903</v>
      </c>
      <c r="O2373" s="1626"/>
    </row>
    <row r="2374" spans="11:15">
      <c r="K2374" s="1623">
        <v>44431</v>
      </c>
      <c r="L2374" s="1624" t="s">
        <v>2302</v>
      </c>
      <c r="M2374" s="1625">
        <v>1.993E-2</v>
      </c>
      <c r="N2374" s="1626">
        <v>1.6483261878637538</v>
      </c>
      <c r="O2374" s="1626"/>
    </row>
    <row r="2375" spans="11:15">
      <c r="K2375" s="1623">
        <v>44432</v>
      </c>
      <c r="L2375" s="1624" t="s">
        <v>2302</v>
      </c>
      <c r="M2375" s="1625">
        <v>1.993E-2</v>
      </c>
      <c r="N2375" s="1626">
        <v>1.6486546992729951</v>
      </c>
      <c r="O2375" s="1626"/>
    </row>
    <row r="2376" spans="11:15">
      <c r="K2376" s="1623">
        <v>44433</v>
      </c>
      <c r="L2376" s="1624" t="s">
        <v>2302</v>
      </c>
      <c r="M2376" s="1625">
        <v>1.993E-2</v>
      </c>
      <c r="N2376" s="1626">
        <v>1.6489832761545602</v>
      </c>
      <c r="O2376" s="1626"/>
    </row>
    <row r="2377" spans="11:15">
      <c r="K2377" s="1623">
        <v>44434</v>
      </c>
      <c r="L2377" s="1624" t="s">
        <v>2302</v>
      </c>
      <c r="M2377" s="1625">
        <v>1.993E-2</v>
      </c>
      <c r="N2377" s="1626">
        <v>1.6493119185214977</v>
      </c>
      <c r="O2377" s="1626"/>
    </row>
    <row r="2378" spans="11:15">
      <c r="K2378" s="1623">
        <v>44435</v>
      </c>
      <c r="L2378" s="1624" t="s">
        <v>2302</v>
      </c>
      <c r="M2378" s="1625">
        <v>1.993E-2</v>
      </c>
      <c r="N2378" s="1626">
        <v>1.649640626386859</v>
      </c>
      <c r="O2378" s="1626"/>
    </row>
    <row r="2379" spans="11:15">
      <c r="K2379" s="1623">
        <v>44436</v>
      </c>
      <c r="L2379" s="1624"/>
      <c r="M2379" s="1625">
        <v>0</v>
      </c>
      <c r="N2379" s="1626">
        <v>1.649640626386859</v>
      </c>
      <c r="O2379" s="1626"/>
    </row>
    <row r="2380" spans="11:15">
      <c r="K2380" s="1623">
        <v>44437</v>
      </c>
      <c r="L2380" s="1624"/>
      <c r="M2380" s="1625">
        <v>0</v>
      </c>
      <c r="N2380" s="1626">
        <v>1.649640626386859</v>
      </c>
      <c r="O2380" s="1626"/>
    </row>
    <row r="2381" spans="11:15">
      <c r="K2381" s="1623">
        <v>44438</v>
      </c>
      <c r="L2381" s="1624" t="s">
        <v>2302</v>
      </c>
      <c r="M2381" s="1625">
        <v>1.993E-2</v>
      </c>
      <c r="N2381" s="1626">
        <v>1.6499693997636979</v>
      </c>
      <c r="O2381" s="1626"/>
    </row>
    <row r="2382" spans="11:15">
      <c r="K2382" s="1623">
        <v>44439</v>
      </c>
      <c r="L2382" s="1624" t="s">
        <v>2302</v>
      </c>
      <c r="M2382" s="1625">
        <v>1.993E-2</v>
      </c>
      <c r="N2382" s="1626">
        <v>1.6502982386650709</v>
      </c>
      <c r="O2382" s="1626"/>
    </row>
    <row r="2383" spans="11:15">
      <c r="K2383" s="1623">
        <v>44440</v>
      </c>
      <c r="L2383" s="1624" t="s">
        <v>2302</v>
      </c>
      <c r="M2383" s="1625">
        <v>1.993E-2</v>
      </c>
      <c r="N2383" s="1626">
        <v>1.6506271431040369</v>
      </c>
      <c r="O2383" s="1626"/>
    </row>
    <row r="2384" spans="11:15">
      <c r="K2384" s="1623">
        <v>44441</v>
      </c>
      <c r="L2384" s="1624" t="s">
        <v>2302</v>
      </c>
      <c r="M2384" s="1625">
        <v>1.993E-2</v>
      </c>
      <c r="N2384" s="1626">
        <v>1.6509561130936576</v>
      </c>
      <c r="O2384" s="1626"/>
    </row>
    <row r="2385" spans="11:15">
      <c r="K2385" s="1623">
        <v>44442</v>
      </c>
      <c r="L2385" s="1624" t="s">
        <v>2302</v>
      </c>
      <c r="M2385" s="1625">
        <v>1.993E-2</v>
      </c>
      <c r="N2385" s="1626">
        <v>1.6512851486469973</v>
      </c>
      <c r="O2385" s="1626"/>
    </row>
    <row r="2386" spans="11:15">
      <c r="K2386" s="1623">
        <v>44443</v>
      </c>
      <c r="L2386" s="1624"/>
      <c r="M2386" s="1625">
        <v>0</v>
      </c>
      <c r="N2386" s="1626">
        <v>1.6512851486469973</v>
      </c>
      <c r="O2386" s="1626"/>
    </row>
    <row r="2387" spans="11:15">
      <c r="K2387" s="1623">
        <v>44444</v>
      </c>
      <c r="L2387" s="1624"/>
      <c r="M2387" s="1625">
        <v>0</v>
      </c>
      <c r="N2387" s="1626">
        <v>1.6512851486469973</v>
      </c>
      <c r="O2387" s="1626"/>
    </row>
    <row r="2388" spans="11:15">
      <c r="K2388" s="1623">
        <v>44445</v>
      </c>
      <c r="L2388" s="1624" t="s">
        <v>2302</v>
      </c>
      <c r="M2388" s="1625">
        <v>1.993E-2</v>
      </c>
      <c r="N2388" s="1626">
        <v>1.6516142497771227</v>
      </c>
      <c r="O2388" s="1626"/>
    </row>
    <row r="2389" spans="11:15">
      <c r="K2389" s="1623">
        <v>44446</v>
      </c>
      <c r="L2389" s="1624"/>
      <c r="M2389" s="1625">
        <v>0</v>
      </c>
      <c r="N2389" s="1626">
        <v>1.6516142497771227</v>
      </c>
      <c r="O2389" s="1626"/>
    </row>
    <row r="2390" spans="11:15">
      <c r="K2390" s="1623">
        <v>44447</v>
      </c>
      <c r="L2390" s="1624" t="s">
        <v>2302</v>
      </c>
      <c r="M2390" s="1625">
        <v>1.993E-2</v>
      </c>
      <c r="N2390" s="1626">
        <v>1.6519434164971032</v>
      </c>
      <c r="O2390" s="1626"/>
    </row>
    <row r="2391" spans="11:15">
      <c r="K2391" s="1623">
        <v>44448</v>
      </c>
      <c r="L2391" s="1624" t="s">
        <v>2302</v>
      </c>
      <c r="M2391" s="1625">
        <v>1.993E-2</v>
      </c>
      <c r="N2391" s="1626">
        <v>1.652272648820011</v>
      </c>
      <c r="O2391" s="1626"/>
    </row>
    <row r="2392" spans="11:15">
      <c r="K2392" s="1623">
        <v>44449</v>
      </c>
      <c r="L2392" s="1624" t="s">
        <v>2302</v>
      </c>
      <c r="M2392" s="1625">
        <v>1.993E-2</v>
      </c>
      <c r="N2392" s="1626">
        <v>1.6526019467589208</v>
      </c>
      <c r="O2392" s="1626"/>
    </row>
    <row r="2393" spans="11:15">
      <c r="K2393" s="1623">
        <v>44450</v>
      </c>
      <c r="L2393" s="1624"/>
      <c r="M2393" s="1625">
        <v>0</v>
      </c>
      <c r="N2393" s="1626">
        <v>1.6526019467589208</v>
      </c>
      <c r="O2393" s="1626"/>
    </row>
    <row r="2394" spans="11:15">
      <c r="K2394" s="1623">
        <v>44451</v>
      </c>
      <c r="L2394" s="1624"/>
      <c r="M2394" s="1625">
        <v>0</v>
      </c>
      <c r="N2394" s="1626">
        <v>1.6526019467589208</v>
      </c>
      <c r="O2394" s="1626"/>
    </row>
    <row r="2395" spans="11:15">
      <c r="K2395" s="1623">
        <v>44452</v>
      </c>
      <c r="L2395" s="1624" t="s">
        <v>2302</v>
      </c>
      <c r="M2395" s="1625">
        <v>1.993E-2</v>
      </c>
      <c r="N2395" s="1626">
        <v>1.6529313103269099</v>
      </c>
      <c r="O2395" s="1626"/>
    </row>
    <row r="2396" spans="11:15">
      <c r="K2396" s="1623">
        <v>44453</v>
      </c>
      <c r="L2396" s="1624" t="s">
        <v>2302</v>
      </c>
      <c r="M2396" s="1625">
        <v>1.993E-2</v>
      </c>
      <c r="N2396" s="1626">
        <v>1.653260739537058</v>
      </c>
      <c r="O2396" s="1626"/>
    </row>
    <row r="2397" spans="11:15">
      <c r="K2397" s="1623">
        <v>44454</v>
      </c>
      <c r="L2397" s="1624" t="s">
        <v>2302</v>
      </c>
      <c r="M2397" s="1625">
        <v>1.993E-2</v>
      </c>
      <c r="N2397" s="1626">
        <v>1.6535902344024478</v>
      </c>
      <c r="O2397" s="1626"/>
    </row>
    <row r="2398" spans="11:15">
      <c r="K2398" s="1623">
        <v>44455</v>
      </c>
      <c r="L2398" s="1624" t="s">
        <v>2302</v>
      </c>
      <c r="M2398" s="1625">
        <v>1.993E-2</v>
      </c>
      <c r="N2398" s="1626">
        <v>1.6539197949361641</v>
      </c>
      <c r="O2398" s="1626"/>
    </row>
    <row r="2399" spans="11:15">
      <c r="K2399" s="1623">
        <v>44456</v>
      </c>
      <c r="L2399" s="1624" t="s">
        <v>2302</v>
      </c>
      <c r="M2399" s="1625">
        <v>1.993E-2</v>
      </c>
      <c r="N2399" s="1626">
        <v>1.654249421151295</v>
      </c>
      <c r="O2399" s="1626"/>
    </row>
    <row r="2400" spans="11:15">
      <c r="K2400" s="1623">
        <v>44457</v>
      </c>
      <c r="L2400" s="1624"/>
      <c r="M2400" s="1625">
        <v>0</v>
      </c>
      <c r="N2400" s="1626">
        <v>1.654249421151295</v>
      </c>
      <c r="O2400" s="1626"/>
    </row>
    <row r="2401" spans="11:15">
      <c r="K2401" s="1623">
        <v>44458</v>
      </c>
      <c r="L2401" s="1624"/>
      <c r="M2401" s="1625">
        <v>0</v>
      </c>
      <c r="N2401" s="1626">
        <v>1.654249421151295</v>
      </c>
      <c r="O2401" s="1626"/>
    </row>
    <row r="2402" spans="11:15">
      <c r="K2402" s="1623">
        <v>44459</v>
      </c>
      <c r="L2402" s="1624" t="s">
        <v>2302</v>
      </c>
      <c r="M2402" s="1625">
        <v>1.993E-2</v>
      </c>
      <c r="N2402" s="1626">
        <v>1.6545791130609304</v>
      </c>
      <c r="O2402" s="1626"/>
    </row>
    <row r="2403" spans="11:15">
      <c r="K2403" s="1623">
        <v>44460</v>
      </c>
      <c r="L2403" s="1624" t="s">
        <v>2302</v>
      </c>
      <c r="M2403" s="1625">
        <v>1.993E-2</v>
      </c>
      <c r="N2403" s="1626">
        <v>1.6549088706781634</v>
      </c>
      <c r="O2403" s="1626"/>
    </row>
    <row r="2404" spans="11:15">
      <c r="K2404" s="1623">
        <v>44461</v>
      </c>
      <c r="L2404" s="1624" t="s">
        <v>2302</v>
      </c>
      <c r="M2404" s="1625">
        <v>1.993E-2</v>
      </c>
      <c r="N2404" s="1626">
        <v>1.6552386940160895</v>
      </c>
      <c r="O2404" s="1626"/>
    </row>
    <row r="2405" spans="11:15">
      <c r="K2405" s="1623">
        <v>44462</v>
      </c>
      <c r="L2405" s="1624" t="s">
        <v>2302</v>
      </c>
      <c r="M2405" s="1625">
        <v>2.3687E-2</v>
      </c>
      <c r="N2405" s="1626">
        <v>1.6556307704055411</v>
      </c>
      <c r="O2405" s="1626"/>
    </row>
    <row r="2406" spans="11:15">
      <c r="K2406" s="1623">
        <v>44463</v>
      </c>
      <c r="L2406" s="1624" t="s">
        <v>2302</v>
      </c>
      <c r="M2406" s="1625">
        <v>2.3687E-2</v>
      </c>
      <c r="N2406" s="1626">
        <v>1.656022939666127</v>
      </c>
      <c r="O2406" s="1626"/>
    </row>
    <row r="2407" spans="11:15">
      <c r="K2407" s="1623">
        <v>44464</v>
      </c>
      <c r="L2407" s="1624"/>
      <c r="M2407" s="1625">
        <v>0</v>
      </c>
      <c r="N2407" s="1626">
        <v>1.656022939666127</v>
      </c>
      <c r="O2407" s="1626"/>
    </row>
    <row r="2408" spans="11:15">
      <c r="K2408" s="1623">
        <v>44465</v>
      </c>
      <c r="L2408" s="1624"/>
      <c r="M2408" s="1625">
        <v>0</v>
      </c>
      <c r="N2408" s="1626">
        <v>1.656022939666127</v>
      </c>
      <c r="O2408" s="1626"/>
    </row>
    <row r="2409" spans="11:15">
      <c r="K2409" s="1623">
        <v>44466</v>
      </c>
      <c r="L2409" s="1624" t="s">
        <v>2302</v>
      </c>
      <c r="M2409" s="1625">
        <v>2.3687E-2</v>
      </c>
      <c r="N2409" s="1626">
        <v>1.6564152018198457</v>
      </c>
      <c r="O2409" s="1626"/>
    </row>
    <row r="2410" spans="11:15">
      <c r="K2410" s="1623">
        <v>44467</v>
      </c>
      <c r="L2410" s="1624" t="s">
        <v>2302</v>
      </c>
      <c r="M2410" s="1625">
        <v>2.3687E-2</v>
      </c>
      <c r="N2410" s="1626">
        <v>1.6568075568887006</v>
      </c>
      <c r="O2410" s="1626"/>
    </row>
    <row r="2411" spans="11:15">
      <c r="K2411" s="1623">
        <v>44468</v>
      </c>
      <c r="L2411" s="1624" t="s">
        <v>2302</v>
      </c>
      <c r="M2411" s="1625">
        <v>2.3687E-2</v>
      </c>
      <c r="N2411" s="1626">
        <v>1.6572000048947009</v>
      </c>
      <c r="O2411" s="1626"/>
    </row>
    <row r="2412" spans="11:15">
      <c r="K2412" s="1623">
        <v>44469</v>
      </c>
      <c r="L2412" s="1624" t="s">
        <v>2302</v>
      </c>
      <c r="M2412" s="1625">
        <v>2.3687E-2</v>
      </c>
      <c r="N2412" s="1626">
        <v>1.6575925458598602</v>
      </c>
      <c r="O2412" s="1626"/>
    </row>
    <row r="2413" spans="11:15">
      <c r="K2413" s="1623">
        <v>44470</v>
      </c>
      <c r="L2413" s="1624" t="s">
        <v>2302</v>
      </c>
      <c r="M2413" s="1625">
        <v>2.3687E-2</v>
      </c>
      <c r="N2413" s="1626">
        <v>1.657985179806198</v>
      </c>
      <c r="O2413" s="1626"/>
    </row>
    <row r="2414" spans="11:15">
      <c r="K2414" s="1623">
        <v>44471</v>
      </c>
      <c r="L2414" s="1624"/>
      <c r="M2414" s="1625">
        <v>0</v>
      </c>
      <c r="N2414" s="1626">
        <v>1.657985179806198</v>
      </c>
      <c r="O2414" s="1626"/>
    </row>
    <row r="2415" spans="11:15">
      <c r="K2415" s="1623">
        <v>44472</v>
      </c>
      <c r="L2415" s="1624"/>
      <c r="M2415" s="1625">
        <v>0</v>
      </c>
      <c r="N2415" s="1626">
        <v>1.657985179806198</v>
      </c>
      <c r="O2415" s="1626"/>
    </row>
    <row r="2416" spans="11:15">
      <c r="K2416" s="1623">
        <v>44473</v>
      </c>
      <c r="L2416" s="1624" t="s">
        <v>2302</v>
      </c>
      <c r="M2416" s="1625">
        <v>2.3687E-2</v>
      </c>
      <c r="N2416" s="1626">
        <v>1.6583779067557385</v>
      </c>
      <c r="O2416" s="1626"/>
    </row>
    <row r="2417" spans="11:15">
      <c r="K2417" s="1623">
        <v>44474</v>
      </c>
      <c r="L2417" s="1624" t="s">
        <v>2302</v>
      </c>
      <c r="M2417" s="1625">
        <v>2.3687E-2</v>
      </c>
      <c r="N2417" s="1626">
        <v>1.6587707267305116</v>
      </c>
      <c r="O2417" s="1626"/>
    </row>
    <row r="2418" spans="11:15">
      <c r="K2418" s="1623">
        <v>44475</v>
      </c>
      <c r="L2418" s="1624" t="s">
        <v>2302</v>
      </c>
      <c r="M2418" s="1625">
        <v>2.3687E-2</v>
      </c>
      <c r="N2418" s="1626">
        <v>1.6591636397525522</v>
      </c>
      <c r="O2418" s="1626"/>
    </row>
    <row r="2419" spans="11:15">
      <c r="K2419" s="1623">
        <v>44476</v>
      </c>
      <c r="L2419" s="1624" t="s">
        <v>2302</v>
      </c>
      <c r="M2419" s="1625">
        <v>2.3687E-2</v>
      </c>
      <c r="N2419" s="1626">
        <v>1.6595566458439004</v>
      </c>
      <c r="O2419" s="1626"/>
    </row>
    <row r="2420" spans="11:15">
      <c r="K2420" s="1623">
        <v>44477</v>
      </c>
      <c r="L2420" s="1624" t="s">
        <v>2302</v>
      </c>
      <c r="M2420" s="1625">
        <v>2.3687E-2</v>
      </c>
      <c r="N2420" s="1626">
        <v>1.6599497450266014</v>
      </c>
      <c r="O2420" s="1626"/>
    </row>
    <row r="2421" spans="11:15">
      <c r="K2421" s="1623">
        <v>44478</v>
      </c>
      <c r="L2421" s="1624"/>
      <c r="M2421" s="1625">
        <v>0</v>
      </c>
      <c r="N2421" s="1626">
        <v>1.6599497450266014</v>
      </c>
      <c r="O2421" s="1626"/>
    </row>
    <row r="2422" spans="11:15">
      <c r="K2422" s="1623">
        <v>44479</v>
      </c>
      <c r="L2422" s="1624"/>
      <c r="M2422" s="1625">
        <v>0</v>
      </c>
      <c r="N2422" s="1626">
        <v>1.6599497450266014</v>
      </c>
      <c r="O2422" s="1626"/>
    </row>
    <row r="2423" spans="11:15">
      <c r="K2423" s="1623">
        <v>44480</v>
      </c>
      <c r="L2423" s="1624" t="s">
        <v>2302</v>
      </c>
      <c r="M2423" s="1625">
        <v>2.3687E-2</v>
      </c>
      <c r="N2423" s="1626">
        <v>1.6603429373227059</v>
      </c>
      <c r="O2423" s="1626"/>
    </row>
    <row r="2424" spans="11:15">
      <c r="K2424" s="1623">
        <v>44481</v>
      </c>
      <c r="L2424" s="1624"/>
      <c r="M2424" s="1625">
        <v>0</v>
      </c>
      <c r="N2424" s="1626">
        <v>1.6603429373227059</v>
      </c>
      <c r="O2424" s="1626"/>
    </row>
    <row r="2425" spans="11:15">
      <c r="K2425" s="1623">
        <v>44482</v>
      </c>
      <c r="L2425" s="1624" t="s">
        <v>2302</v>
      </c>
      <c r="M2425" s="1625">
        <v>2.3687E-2</v>
      </c>
      <c r="N2425" s="1626">
        <v>1.6607362227542695</v>
      </c>
      <c r="O2425" s="1626"/>
    </row>
    <row r="2426" spans="11:15">
      <c r="K2426" s="1623">
        <v>44483</v>
      </c>
      <c r="L2426" s="1624" t="s">
        <v>2302</v>
      </c>
      <c r="M2426" s="1625">
        <v>2.3687E-2</v>
      </c>
      <c r="N2426" s="1626">
        <v>1.6611296013433532</v>
      </c>
      <c r="O2426" s="1626"/>
    </row>
    <row r="2427" spans="11:15">
      <c r="K2427" s="1623">
        <v>44484</v>
      </c>
      <c r="L2427" s="1624" t="s">
        <v>2302</v>
      </c>
      <c r="M2427" s="1625">
        <v>2.3687E-2</v>
      </c>
      <c r="N2427" s="1626">
        <v>1.6615230731120234</v>
      </c>
      <c r="O2427" s="1626"/>
    </row>
    <row r="2428" spans="11:15">
      <c r="K2428" s="1623">
        <v>44485</v>
      </c>
      <c r="L2428" s="1624"/>
      <c r="M2428" s="1625">
        <v>0</v>
      </c>
      <c r="N2428" s="1626">
        <v>1.6615230731120234</v>
      </c>
      <c r="O2428" s="1626"/>
    </row>
    <row r="2429" spans="11:15">
      <c r="K2429" s="1623">
        <v>44486</v>
      </c>
      <c r="L2429" s="1624"/>
      <c r="M2429" s="1625">
        <v>0</v>
      </c>
      <c r="N2429" s="1626">
        <v>1.6615230731120234</v>
      </c>
      <c r="O2429" s="1626"/>
    </row>
    <row r="2430" spans="11:15">
      <c r="K2430" s="1623">
        <v>44487</v>
      </c>
      <c r="L2430" s="1624" t="s">
        <v>2302</v>
      </c>
      <c r="M2430" s="1625">
        <v>2.3687E-2</v>
      </c>
      <c r="N2430" s="1626">
        <v>1.6619166380823513</v>
      </c>
      <c r="O2430" s="1626"/>
    </row>
    <row r="2431" spans="11:15">
      <c r="K2431" s="1623">
        <v>44488</v>
      </c>
      <c r="L2431" s="1624" t="s">
        <v>2302</v>
      </c>
      <c r="M2431" s="1625">
        <v>2.3687E-2</v>
      </c>
      <c r="N2431" s="1626">
        <v>1.6623102962764138</v>
      </c>
      <c r="O2431" s="1626"/>
    </row>
    <row r="2432" spans="11:15">
      <c r="K2432" s="1623">
        <v>44489</v>
      </c>
      <c r="L2432" s="1624" t="s">
        <v>2302</v>
      </c>
      <c r="M2432" s="1625">
        <v>2.3687E-2</v>
      </c>
      <c r="N2432" s="1626">
        <v>1.6627040477162927</v>
      </c>
      <c r="O2432" s="1626"/>
    </row>
    <row r="2433" spans="11:15">
      <c r="K2433" s="1623">
        <v>44490</v>
      </c>
      <c r="L2433" s="1624" t="s">
        <v>2302</v>
      </c>
      <c r="M2433" s="1625">
        <v>2.3687E-2</v>
      </c>
      <c r="N2433" s="1626">
        <v>1.6630978924240751</v>
      </c>
      <c r="O2433" s="1626"/>
    </row>
    <row r="2434" spans="11:15">
      <c r="K2434" s="1623">
        <v>44491</v>
      </c>
      <c r="L2434" s="1624" t="s">
        <v>2302</v>
      </c>
      <c r="M2434" s="1625">
        <v>2.3687E-2</v>
      </c>
      <c r="N2434" s="1626">
        <v>1.6634918304218536</v>
      </c>
      <c r="O2434" s="1626"/>
    </row>
    <row r="2435" spans="11:15">
      <c r="K2435" s="1623">
        <v>44492</v>
      </c>
      <c r="L2435" s="1624"/>
      <c r="M2435" s="1625">
        <v>0</v>
      </c>
      <c r="N2435" s="1626">
        <v>1.6634918304218536</v>
      </c>
      <c r="O2435" s="1626"/>
    </row>
    <row r="2436" spans="11:15">
      <c r="K2436" s="1623">
        <v>44493</v>
      </c>
      <c r="L2436" s="1624"/>
      <c r="M2436" s="1625">
        <v>0</v>
      </c>
      <c r="N2436" s="1626">
        <v>1.6634918304218536</v>
      </c>
      <c r="O2436" s="1626"/>
    </row>
    <row r="2437" spans="11:15">
      <c r="K2437" s="1623">
        <v>44494</v>
      </c>
      <c r="L2437" s="1624" t="s">
        <v>2302</v>
      </c>
      <c r="M2437" s="1625">
        <v>2.3687E-2</v>
      </c>
      <c r="N2437" s="1626">
        <v>1.6638858617317256</v>
      </c>
      <c r="O2437" s="1626"/>
    </row>
    <row r="2438" spans="11:15">
      <c r="K2438" s="1623">
        <v>44495</v>
      </c>
      <c r="L2438" s="1624" t="s">
        <v>2302</v>
      </c>
      <c r="M2438" s="1625">
        <v>2.3687E-2</v>
      </c>
      <c r="N2438" s="1626">
        <v>1.664279986375794</v>
      </c>
      <c r="O2438" s="1626"/>
    </row>
    <row r="2439" spans="11:15">
      <c r="K2439" s="1623">
        <v>44496</v>
      </c>
      <c r="L2439" s="1624" t="s">
        <v>2302</v>
      </c>
      <c r="M2439" s="1625">
        <v>2.3687E-2</v>
      </c>
      <c r="N2439" s="1626">
        <v>1.6646742043761666</v>
      </c>
      <c r="O2439" s="1626"/>
    </row>
    <row r="2440" spans="11:15">
      <c r="K2440" s="1623">
        <v>44497</v>
      </c>
      <c r="L2440" s="1624" t="s">
        <v>2302</v>
      </c>
      <c r="M2440" s="1625">
        <v>2.9256000000000001E-2</v>
      </c>
      <c r="N2440" s="1626">
        <v>1.6651612214613991</v>
      </c>
      <c r="O2440" s="1626"/>
    </row>
    <row r="2441" spans="11:15">
      <c r="K2441" s="1623">
        <v>44498</v>
      </c>
      <c r="L2441" s="1624" t="s">
        <v>2302</v>
      </c>
      <c r="M2441" s="1625">
        <v>2.9256000000000001E-2</v>
      </c>
      <c r="N2441" s="1626">
        <v>1.66564838102835</v>
      </c>
      <c r="O2441" s="1626"/>
    </row>
    <row r="2442" spans="11:15">
      <c r="K2442" s="1623">
        <v>44499</v>
      </c>
      <c r="L2442" s="1624"/>
      <c r="M2442" s="1625">
        <v>0</v>
      </c>
      <c r="N2442" s="1626">
        <v>1.66564838102835</v>
      </c>
      <c r="O2442" s="1626"/>
    </row>
    <row r="2443" spans="11:15">
      <c r="K2443" s="1623">
        <v>44500</v>
      </c>
      <c r="L2443" s="1624"/>
      <c r="M2443" s="1625">
        <v>0</v>
      </c>
      <c r="N2443" s="1626">
        <v>1.66564838102835</v>
      </c>
      <c r="O2443" s="1626"/>
    </row>
    <row r="2444" spans="11:15">
      <c r="K2444" s="1623">
        <v>44501</v>
      </c>
      <c r="L2444" s="1624" t="s">
        <v>2302</v>
      </c>
      <c r="M2444" s="1625">
        <v>2.9256000000000001E-2</v>
      </c>
      <c r="N2444" s="1626">
        <v>1.6661356831187037</v>
      </c>
      <c r="O2444" s="1626"/>
    </row>
    <row r="2445" spans="11:15">
      <c r="K2445" s="1623">
        <v>44502</v>
      </c>
      <c r="L2445" s="1624"/>
      <c r="M2445" s="1625">
        <v>0</v>
      </c>
      <c r="N2445" s="1626">
        <v>1.6661356831187037</v>
      </c>
      <c r="O2445" s="1626"/>
    </row>
    <row r="2446" spans="11:15">
      <c r="K2446" s="1623">
        <v>44503</v>
      </c>
      <c r="L2446" s="1624" t="s">
        <v>2302</v>
      </c>
      <c r="M2446" s="1625">
        <v>2.9256000000000001E-2</v>
      </c>
      <c r="N2446" s="1626">
        <v>1.6666231277741572</v>
      </c>
      <c r="O2446" s="1626"/>
    </row>
    <row r="2447" spans="11:15">
      <c r="K2447" s="1623">
        <v>44504</v>
      </c>
      <c r="L2447" s="1624" t="s">
        <v>2302</v>
      </c>
      <c r="M2447" s="1625">
        <v>2.9256000000000001E-2</v>
      </c>
      <c r="N2447" s="1626">
        <v>1.6671107150364191</v>
      </c>
      <c r="O2447" s="1626"/>
    </row>
    <row r="2448" spans="11:15">
      <c r="K2448" s="1623">
        <v>44505</v>
      </c>
      <c r="L2448" s="1624" t="s">
        <v>2302</v>
      </c>
      <c r="M2448" s="1625">
        <v>2.9256000000000001E-2</v>
      </c>
      <c r="N2448" s="1626">
        <v>1.6675984449472103</v>
      </c>
      <c r="O2448" s="1626"/>
    </row>
    <row r="2449" spans="11:15">
      <c r="K2449" s="1623">
        <v>44506</v>
      </c>
      <c r="L2449" s="1624"/>
      <c r="M2449" s="1625">
        <v>0</v>
      </c>
      <c r="N2449" s="1626">
        <v>1.6675984449472103</v>
      </c>
      <c r="O2449" s="1626"/>
    </row>
    <row r="2450" spans="11:15">
      <c r="K2450" s="1623">
        <v>44507</v>
      </c>
      <c r="L2450" s="1624"/>
      <c r="M2450" s="1625">
        <v>0</v>
      </c>
      <c r="N2450" s="1626">
        <v>1.6675984449472103</v>
      </c>
      <c r="O2450" s="1626"/>
    </row>
    <row r="2451" spans="11:15">
      <c r="K2451" s="1623">
        <v>44508</v>
      </c>
      <c r="L2451" s="1624" t="s">
        <v>2302</v>
      </c>
      <c r="M2451" s="1625">
        <v>2.9256000000000001E-2</v>
      </c>
      <c r="N2451" s="1626">
        <v>1.6680863175482643</v>
      </c>
      <c r="O2451" s="1626"/>
    </row>
    <row r="2452" spans="11:15">
      <c r="K2452" s="1623">
        <v>44509</v>
      </c>
      <c r="L2452" s="1624" t="s">
        <v>2302</v>
      </c>
      <c r="M2452" s="1625">
        <v>2.9256000000000001E-2</v>
      </c>
      <c r="N2452" s="1626">
        <v>1.6685743328813265</v>
      </c>
      <c r="O2452" s="1626"/>
    </row>
    <row r="2453" spans="11:15">
      <c r="K2453" s="1623">
        <v>44510</v>
      </c>
      <c r="L2453" s="1624" t="s">
        <v>2302</v>
      </c>
      <c r="M2453" s="1625">
        <v>2.9256000000000001E-2</v>
      </c>
      <c r="N2453" s="1626">
        <v>1.6690624909881544</v>
      </c>
      <c r="O2453" s="1626"/>
    </row>
    <row r="2454" spans="11:15">
      <c r="K2454" s="1623">
        <v>44511</v>
      </c>
      <c r="L2454" s="1624" t="s">
        <v>2302</v>
      </c>
      <c r="M2454" s="1625">
        <v>2.9256000000000001E-2</v>
      </c>
      <c r="N2454" s="1626">
        <v>1.6695507919105181</v>
      </c>
      <c r="O2454" s="1626"/>
    </row>
    <row r="2455" spans="11:15">
      <c r="K2455" s="1623">
        <v>44512</v>
      </c>
      <c r="L2455" s="1624" t="s">
        <v>2302</v>
      </c>
      <c r="M2455" s="1625">
        <v>2.9256000000000001E-2</v>
      </c>
      <c r="N2455" s="1626">
        <v>1.6700392356901996</v>
      </c>
      <c r="O2455" s="1626"/>
    </row>
    <row r="2456" spans="11:15">
      <c r="K2456" s="1623">
        <v>44513</v>
      </c>
      <c r="L2456" s="1624"/>
      <c r="M2456" s="1625">
        <v>0</v>
      </c>
      <c r="N2456" s="1626">
        <v>1.6700392356901996</v>
      </c>
      <c r="O2456" s="1626"/>
    </row>
    <row r="2457" spans="11:15">
      <c r="K2457" s="1623">
        <v>44514</v>
      </c>
      <c r="L2457" s="1624"/>
      <c r="M2457" s="1625">
        <v>0</v>
      </c>
      <c r="N2457" s="1626">
        <v>1.6700392356901996</v>
      </c>
      <c r="O2457" s="1626"/>
    </row>
    <row r="2458" spans="11:15">
      <c r="K2458" s="1623">
        <v>44515</v>
      </c>
      <c r="L2458" s="1624"/>
      <c r="M2458" s="1625">
        <v>0</v>
      </c>
      <c r="N2458" s="1626">
        <v>1.6700392356901996</v>
      </c>
      <c r="O2458" s="1626"/>
    </row>
    <row r="2459" spans="11:15">
      <c r="K2459" s="1623">
        <v>44516</v>
      </c>
      <c r="L2459" s="1624" t="s">
        <v>2302</v>
      </c>
      <c r="M2459" s="1625">
        <v>2.9256000000000001E-2</v>
      </c>
      <c r="N2459" s="1626">
        <v>1.6705278223689934</v>
      </c>
      <c r="O2459" s="1626"/>
    </row>
    <row r="2460" spans="11:15">
      <c r="K2460" s="1623">
        <v>44517</v>
      </c>
      <c r="L2460" s="1624" t="s">
        <v>2302</v>
      </c>
      <c r="M2460" s="1625">
        <v>2.9256000000000001E-2</v>
      </c>
      <c r="N2460" s="1626">
        <v>1.6710165519887059</v>
      </c>
      <c r="O2460" s="1626"/>
    </row>
    <row r="2461" spans="11:15">
      <c r="K2461" s="1623">
        <v>44518</v>
      </c>
      <c r="L2461" s="1624" t="s">
        <v>2302</v>
      </c>
      <c r="M2461" s="1625">
        <v>2.9256000000000001E-2</v>
      </c>
      <c r="N2461" s="1626">
        <v>1.6715054245911558</v>
      </c>
      <c r="O2461" s="1626"/>
    </row>
    <row r="2462" spans="11:15">
      <c r="K2462" s="1623">
        <v>44519</v>
      </c>
      <c r="L2462" s="1624" t="s">
        <v>2302</v>
      </c>
      <c r="M2462" s="1625">
        <v>2.9256000000000001E-2</v>
      </c>
      <c r="N2462" s="1626">
        <v>1.6719944402181743</v>
      </c>
      <c r="O2462" s="1626"/>
    </row>
    <row r="2463" spans="11:15">
      <c r="K2463" s="1623">
        <v>44520</v>
      </c>
      <c r="L2463" s="1624"/>
      <c r="M2463" s="1625">
        <v>0</v>
      </c>
      <c r="N2463" s="1626">
        <v>1.6719944402181743</v>
      </c>
      <c r="O2463" s="1626"/>
    </row>
    <row r="2464" spans="11:15">
      <c r="K2464" s="1623">
        <v>44521</v>
      </c>
      <c r="L2464" s="1624"/>
      <c r="M2464" s="1625">
        <v>0</v>
      </c>
      <c r="N2464" s="1626">
        <v>1.6719944402181743</v>
      </c>
      <c r="O2464" s="1626"/>
    </row>
    <row r="2465" spans="11:15">
      <c r="K2465" s="1623">
        <v>44522</v>
      </c>
      <c r="L2465" s="1624" t="s">
        <v>2302</v>
      </c>
      <c r="M2465" s="1625">
        <v>2.9256000000000001E-2</v>
      </c>
      <c r="N2465" s="1626">
        <v>1.6724835989116047</v>
      </c>
      <c r="O2465" s="1626"/>
    </row>
    <row r="2466" spans="11:15">
      <c r="K2466" s="1623">
        <v>44523</v>
      </c>
      <c r="L2466" s="1624" t="s">
        <v>2302</v>
      </c>
      <c r="M2466" s="1625">
        <v>2.9256000000000001E-2</v>
      </c>
      <c r="N2466" s="1626">
        <v>1.6729729007133025</v>
      </c>
      <c r="O2466" s="1626"/>
    </row>
    <row r="2467" spans="11:15">
      <c r="K2467" s="1623">
        <v>44524</v>
      </c>
      <c r="L2467" s="1624" t="s">
        <v>2302</v>
      </c>
      <c r="M2467" s="1625">
        <v>2.9256000000000001E-2</v>
      </c>
      <c r="N2467" s="1626">
        <v>1.6734623456651354</v>
      </c>
      <c r="O2467" s="1626"/>
    </row>
    <row r="2468" spans="11:15">
      <c r="K2468" s="1623">
        <v>44525</v>
      </c>
      <c r="L2468" s="1624" t="s">
        <v>2302</v>
      </c>
      <c r="M2468" s="1625">
        <v>2.9256000000000001E-2</v>
      </c>
      <c r="N2468" s="1626">
        <v>1.6739519338089834</v>
      </c>
      <c r="O2468" s="1626"/>
    </row>
    <row r="2469" spans="11:15">
      <c r="K2469" s="1623">
        <v>44526</v>
      </c>
      <c r="L2469" s="1624" t="s">
        <v>2302</v>
      </c>
      <c r="M2469" s="1625">
        <v>2.9256000000000001E-2</v>
      </c>
      <c r="N2469" s="1626">
        <v>1.6744416651867389</v>
      </c>
      <c r="O2469" s="1626"/>
    </row>
    <row r="2470" spans="11:15">
      <c r="K2470" s="1623">
        <v>44527</v>
      </c>
      <c r="L2470" s="1624"/>
      <c r="M2470" s="1625">
        <v>0</v>
      </c>
      <c r="N2470" s="1626">
        <v>1.6744416651867389</v>
      </c>
      <c r="O2470" s="1626"/>
    </row>
    <row r="2471" spans="11:15">
      <c r="K2471" s="1623">
        <v>44528</v>
      </c>
      <c r="L2471" s="1624"/>
      <c r="M2471" s="1625">
        <v>0</v>
      </c>
      <c r="N2471" s="1626">
        <v>1.6744416651867389</v>
      </c>
      <c r="O2471" s="1626"/>
    </row>
    <row r="2472" spans="11:15">
      <c r="K2472" s="1623">
        <v>44529</v>
      </c>
      <c r="L2472" s="1624" t="s">
        <v>2302</v>
      </c>
      <c r="M2472" s="1625">
        <v>2.9256000000000001E-2</v>
      </c>
      <c r="N2472" s="1626">
        <v>1.6749315398403062</v>
      </c>
      <c r="O2472" s="1626"/>
    </row>
    <row r="2473" spans="11:15">
      <c r="K2473" s="1623">
        <v>44530</v>
      </c>
      <c r="L2473" s="1624" t="s">
        <v>2302</v>
      </c>
      <c r="M2473" s="1625">
        <v>2.9256000000000001E-2</v>
      </c>
      <c r="N2473" s="1626">
        <v>1.6754215578116021</v>
      </c>
      <c r="O2473" s="1626"/>
    </row>
    <row r="2474" spans="11:15">
      <c r="K2474" s="1623">
        <v>44531</v>
      </c>
      <c r="L2474" s="1624" t="s">
        <v>2302</v>
      </c>
      <c r="M2474" s="1625">
        <v>2.9256000000000001E-2</v>
      </c>
      <c r="N2474" s="1626">
        <v>1.6759117191425557</v>
      </c>
      <c r="O2474" s="1626"/>
    </row>
    <row r="2475" spans="11:15">
      <c r="K2475" s="1623">
        <v>44532</v>
      </c>
      <c r="L2475" s="1624" t="s">
        <v>2302</v>
      </c>
      <c r="M2475" s="1625">
        <v>2.9256000000000001E-2</v>
      </c>
      <c r="N2475" s="1626">
        <v>1.6764020238751083</v>
      </c>
      <c r="O2475" s="1626"/>
    </row>
    <row r="2476" spans="11:15">
      <c r="K2476" s="1623">
        <v>44533</v>
      </c>
      <c r="L2476" s="1624" t="s">
        <v>2302</v>
      </c>
      <c r="M2476" s="1625">
        <v>2.9256000000000001E-2</v>
      </c>
      <c r="N2476" s="1626">
        <v>1.6768924720512133</v>
      </c>
      <c r="O2476" s="1626"/>
    </row>
    <row r="2477" spans="11:15">
      <c r="K2477" s="1623">
        <v>44534</v>
      </c>
      <c r="L2477" s="1624"/>
      <c r="M2477" s="1625">
        <v>0</v>
      </c>
      <c r="N2477" s="1626">
        <v>1.6768924720512133</v>
      </c>
      <c r="O2477" s="1626"/>
    </row>
    <row r="2478" spans="11:15">
      <c r="K2478" s="1623">
        <v>44535</v>
      </c>
      <c r="L2478" s="1624"/>
      <c r="M2478" s="1625">
        <v>0</v>
      </c>
      <c r="N2478" s="1626">
        <v>1.6768924720512133</v>
      </c>
      <c r="O2478" s="1626"/>
    </row>
    <row r="2479" spans="11:15">
      <c r="K2479" s="1623">
        <v>44536</v>
      </c>
      <c r="L2479" s="1624" t="s">
        <v>2302</v>
      </c>
      <c r="M2479" s="1625">
        <v>2.9256000000000001E-2</v>
      </c>
      <c r="N2479" s="1626">
        <v>1.6773830637128369</v>
      </c>
      <c r="O2479" s="1626"/>
    </row>
    <row r="2480" spans="11:15">
      <c r="K2480" s="1623">
        <v>44537</v>
      </c>
      <c r="L2480" s="1624" t="s">
        <v>2302</v>
      </c>
      <c r="M2480" s="1625">
        <v>2.9256000000000001E-2</v>
      </c>
      <c r="N2480" s="1626">
        <v>1.6778737989019568</v>
      </c>
      <c r="O2480" s="1626"/>
    </row>
    <row r="2481" spans="11:15">
      <c r="K2481" s="1623">
        <v>44538</v>
      </c>
      <c r="L2481" s="1624" t="s">
        <v>2302</v>
      </c>
      <c r="M2481" s="1625">
        <v>2.9256000000000001E-2</v>
      </c>
      <c r="N2481" s="1626">
        <v>1.6783646776605636</v>
      </c>
      <c r="O2481" s="1626"/>
    </row>
    <row r="2482" spans="11:15">
      <c r="K2482" s="1623">
        <v>44539</v>
      </c>
      <c r="L2482" s="1624" t="s">
        <v>2302</v>
      </c>
      <c r="M2482" s="1625">
        <v>3.4749000000000002E-2</v>
      </c>
      <c r="N2482" s="1626">
        <v>1.678947892602404</v>
      </c>
      <c r="O2482" s="1626"/>
    </row>
    <row r="2483" spans="11:15">
      <c r="K2483" s="1623">
        <v>44540</v>
      </c>
      <c r="L2483" s="1624" t="s">
        <v>2302</v>
      </c>
      <c r="M2483" s="1625">
        <v>3.4749000000000002E-2</v>
      </c>
      <c r="N2483" s="1626">
        <v>1.6795313102056044</v>
      </c>
      <c r="O2483" s="1626"/>
    </row>
    <row r="2484" spans="11:15">
      <c r="K2484" s="1623">
        <v>44541</v>
      </c>
      <c r="L2484" s="1624"/>
      <c r="M2484" s="1625">
        <v>0</v>
      </c>
      <c r="N2484" s="1626">
        <v>1.6795313102056044</v>
      </c>
      <c r="O2484" s="1626"/>
    </row>
    <row r="2485" spans="11:15">
      <c r="K2485" s="1623">
        <v>44542</v>
      </c>
      <c r="L2485" s="1624"/>
      <c r="M2485" s="1625">
        <v>0</v>
      </c>
      <c r="N2485" s="1626">
        <v>1.6795313102056044</v>
      </c>
      <c r="O2485" s="1626"/>
    </row>
    <row r="2486" spans="11:15">
      <c r="K2486" s="1623">
        <v>44543</v>
      </c>
      <c r="L2486" s="1624" t="s">
        <v>2302</v>
      </c>
      <c r="M2486" s="1625">
        <v>3.4749000000000002E-2</v>
      </c>
      <c r="N2486" s="1626">
        <v>1.6801149305405878</v>
      </c>
      <c r="O2486" s="1626"/>
    </row>
    <row r="2487" spans="11:15">
      <c r="K2487" s="1623">
        <v>44544</v>
      </c>
      <c r="L2487" s="1624" t="s">
        <v>2302</v>
      </c>
      <c r="M2487" s="1625">
        <v>3.4749000000000002E-2</v>
      </c>
      <c r="N2487" s="1626">
        <v>1.6806987536778013</v>
      </c>
      <c r="O2487" s="1626"/>
    </row>
    <row r="2488" spans="11:15">
      <c r="K2488" s="1623">
        <v>44545</v>
      </c>
      <c r="L2488" s="1624" t="s">
        <v>2302</v>
      </c>
      <c r="M2488" s="1625">
        <v>3.4749000000000002E-2</v>
      </c>
      <c r="N2488" s="1626">
        <v>1.6812827796877168</v>
      </c>
      <c r="O2488" s="1626"/>
    </row>
    <row r="2489" spans="11:15">
      <c r="K2489" s="1623">
        <v>44546</v>
      </c>
      <c r="L2489" s="1624" t="s">
        <v>2302</v>
      </c>
      <c r="M2489" s="1625">
        <v>3.4749000000000002E-2</v>
      </c>
      <c r="N2489" s="1626">
        <v>1.6818670086408305</v>
      </c>
      <c r="O2489" s="1626"/>
    </row>
    <row r="2490" spans="11:15">
      <c r="K2490" s="1623">
        <v>44547</v>
      </c>
      <c r="L2490" s="1624" t="s">
        <v>2302</v>
      </c>
      <c r="M2490" s="1625">
        <v>3.4749000000000002E-2</v>
      </c>
      <c r="N2490" s="1626">
        <v>1.6824514406076632</v>
      </c>
      <c r="O2490" s="1626"/>
    </row>
    <row r="2491" spans="11:15">
      <c r="K2491" s="1623">
        <v>44548</v>
      </c>
      <c r="L2491" s="1624"/>
      <c r="M2491" s="1625">
        <v>0</v>
      </c>
      <c r="N2491" s="1626">
        <v>1.6824514406076632</v>
      </c>
      <c r="O2491" s="1626"/>
    </row>
    <row r="2492" spans="11:15">
      <c r="K2492" s="1623">
        <v>44549</v>
      </c>
      <c r="L2492" s="1624"/>
      <c r="M2492" s="1625">
        <v>0</v>
      </c>
      <c r="N2492" s="1626">
        <v>1.6824514406076632</v>
      </c>
      <c r="O2492" s="1626"/>
    </row>
    <row r="2493" spans="11:15">
      <c r="K2493" s="1623">
        <v>44550</v>
      </c>
      <c r="L2493" s="1624" t="s">
        <v>2302</v>
      </c>
      <c r="M2493" s="1625">
        <v>3.4749000000000002E-2</v>
      </c>
      <c r="N2493" s="1626">
        <v>1.6830360756587599</v>
      </c>
      <c r="O2493" s="1626"/>
    </row>
    <row r="2494" spans="11:15">
      <c r="K2494" s="1623">
        <v>44551</v>
      </c>
      <c r="L2494" s="1624" t="s">
        <v>2302</v>
      </c>
      <c r="M2494" s="1625">
        <v>3.4749000000000002E-2</v>
      </c>
      <c r="N2494" s="1626">
        <v>1.6836209138646905</v>
      </c>
      <c r="O2494" s="1626"/>
    </row>
    <row r="2495" spans="11:15">
      <c r="K2495" s="1623">
        <v>44552</v>
      </c>
      <c r="L2495" s="1624" t="s">
        <v>2302</v>
      </c>
      <c r="M2495" s="1625">
        <v>3.4749000000000002E-2</v>
      </c>
      <c r="N2495" s="1626">
        <v>1.6842059552960493</v>
      </c>
      <c r="O2495" s="1626"/>
    </row>
    <row r="2496" spans="11:15">
      <c r="K2496" s="1623">
        <v>44553</v>
      </c>
      <c r="L2496" s="1624" t="s">
        <v>2302</v>
      </c>
      <c r="M2496" s="1625">
        <v>3.4749000000000002E-2</v>
      </c>
      <c r="N2496" s="1626">
        <v>1.6847912000234551</v>
      </c>
      <c r="O2496" s="1626"/>
    </row>
    <row r="2497" spans="11:15">
      <c r="K2497" s="1623">
        <v>44554</v>
      </c>
      <c r="L2497" s="1624" t="s">
        <v>2302</v>
      </c>
      <c r="M2497" s="1625">
        <v>3.4749000000000002E-2</v>
      </c>
      <c r="N2497" s="1626">
        <v>1.6853766481175512</v>
      </c>
      <c r="O2497" s="1626"/>
    </row>
    <row r="2498" spans="11:15">
      <c r="K2498" s="1623">
        <v>44555</v>
      </c>
      <c r="L2498" s="1624"/>
      <c r="M2498" s="1625">
        <v>0</v>
      </c>
      <c r="N2498" s="1626">
        <v>1.6853766481175512</v>
      </c>
      <c r="O2498" s="1626"/>
    </row>
    <row r="2499" spans="11:15">
      <c r="K2499" s="1623">
        <v>44556</v>
      </c>
      <c r="L2499" s="1624"/>
      <c r="M2499" s="1625">
        <v>0</v>
      </c>
      <c r="N2499" s="1626">
        <v>1.6853766481175512</v>
      </c>
      <c r="O2499" s="1626"/>
    </row>
    <row r="2500" spans="11:15">
      <c r="K2500" s="1623">
        <v>44557</v>
      </c>
      <c r="L2500" s="1624" t="s">
        <v>2302</v>
      </c>
      <c r="M2500" s="1625">
        <v>3.4749000000000002E-2</v>
      </c>
      <c r="N2500" s="1626">
        <v>1.6859622996490056</v>
      </c>
      <c r="O2500" s="1626"/>
    </row>
    <row r="2501" spans="11:15">
      <c r="K2501" s="1623">
        <v>44558</v>
      </c>
      <c r="L2501" s="1624" t="s">
        <v>2302</v>
      </c>
      <c r="M2501" s="1625">
        <v>3.4749000000000002E-2</v>
      </c>
      <c r="N2501" s="1626">
        <v>1.6865481546885106</v>
      </c>
      <c r="O2501" s="1626"/>
    </row>
    <row r="2502" spans="11:15">
      <c r="K2502" s="1623">
        <v>44559</v>
      </c>
      <c r="L2502" s="1624" t="s">
        <v>2302</v>
      </c>
      <c r="M2502" s="1625">
        <v>3.4749000000000002E-2</v>
      </c>
      <c r="N2502" s="1626">
        <v>1.6871342133067833</v>
      </c>
      <c r="O2502" s="1626"/>
    </row>
    <row r="2503" spans="11:15">
      <c r="K2503" s="1623">
        <v>44560</v>
      </c>
      <c r="L2503" s="1624" t="s">
        <v>2302</v>
      </c>
      <c r="M2503" s="1625">
        <v>3.4749000000000002E-2</v>
      </c>
      <c r="N2503" s="1626">
        <v>1.6877204755745652</v>
      </c>
      <c r="O2503" s="1626"/>
    </row>
    <row r="2504" spans="11:15">
      <c r="K2504" s="1623">
        <v>44561</v>
      </c>
      <c r="L2504" s="1624" t="s">
        <v>2302</v>
      </c>
      <c r="M2504" s="1625">
        <v>3.4749000000000002E-2</v>
      </c>
      <c r="N2504" s="1626">
        <v>1.6883069415626226</v>
      </c>
      <c r="O2504" s="1626"/>
    </row>
    <row r="2505" spans="11:15">
      <c r="K2505" s="1623">
        <v>44562</v>
      </c>
      <c r="L2505" s="1624"/>
      <c r="M2505" s="1625">
        <v>0</v>
      </c>
      <c r="N2505" s="1626">
        <v>1.6883069415626226</v>
      </c>
      <c r="O2505" s="1626"/>
    </row>
    <row r="2506" spans="11:15">
      <c r="K2506" s="1623">
        <v>44563</v>
      </c>
      <c r="L2506" s="1624"/>
      <c r="M2506" s="1625">
        <v>0</v>
      </c>
      <c r="N2506" s="1626">
        <v>1.6883069415626226</v>
      </c>
      <c r="O2506" s="1626"/>
    </row>
    <row r="2507" spans="11:15">
      <c r="K2507" s="1623">
        <v>44564</v>
      </c>
      <c r="L2507" s="1624" t="s">
        <v>2302</v>
      </c>
      <c r="M2507" s="1625">
        <v>3.4749000000000002E-2</v>
      </c>
      <c r="N2507" s="1626">
        <v>1.6888936113417463</v>
      </c>
      <c r="O2507" s="1626"/>
    </row>
    <row r="2508" spans="11:15">
      <c r="K2508" s="1623">
        <v>44565</v>
      </c>
      <c r="L2508" s="1624" t="s">
        <v>2302</v>
      </c>
      <c r="M2508" s="1625">
        <v>3.4749000000000002E-2</v>
      </c>
      <c r="N2508" s="1626">
        <v>1.6894804849827514</v>
      </c>
      <c r="O2508" s="1626"/>
    </row>
    <row r="2509" spans="11:15">
      <c r="K2509" s="1623">
        <v>44566</v>
      </c>
      <c r="L2509" s="1624" t="s">
        <v>2302</v>
      </c>
      <c r="M2509" s="1625">
        <v>3.4749000000000002E-2</v>
      </c>
      <c r="N2509" s="1626">
        <v>1.6900675625564781</v>
      </c>
      <c r="O2509" s="1626"/>
    </row>
    <row r="2510" spans="11:15">
      <c r="K2510" s="1623">
        <v>44567</v>
      </c>
      <c r="L2510" s="1624" t="s">
        <v>2302</v>
      </c>
      <c r="M2510" s="1625">
        <v>3.4749000000000002E-2</v>
      </c>
      <c r="N2510" s="1626">
        <v>1.6906548441337907</v>
      </c>
      <c r="O2510" s="1626"/>
    </row>
    <row r="2511" spans="11:15">
      <c r="K2511" s="1623">
        <v>44568</v>
      </c>
      <c r="L2511" s="1624" t="s">
        <v>2302</v>
      </c>
      <c r="M2511" s="1625">
        <v>3.4749000000000002E-2</v>
      </c>
      <c r="N2511" s="1626">
        <v>1.6912423297855788</v>
      </c>
      <c r="O2511" s="1626"/>
    </row>
    <row r="2512" spans="11:15">
      <c r="K2512" s="1623">
        <v>44569</v>
      </c>
      <c r="L2512" s="1624"/>
      <c r="M2512" s="1625">
        <v>0</v>
      </c>
      <c r="N2512" s="1626">
        <v>1.6912423297855788</v>
      </c>
      <c r="O2512" s="1626"/>
    </row>
    <row r="2513" spans="11:15">
      <c r="K2513" s="1623">
        <v>44570</v>
      </c>
      <c r="L2513" s="1624"/>
      <c r="M2513" s="1625">
        <v>0</v>
      </c>
      <c r="N2513" s="1626">
        <v>1.6912423297855788</v>
      </c>
      <c r="O2513" s="1626"/>
    </row>
    <row r="2514" spans="11:15">
      <c r="K2514" s="1623">
        <v>44571</v>
      </c>
      <c r="L2514" s="1624" t="s">
        <v>2302</v>
      </c>
      <c r="M2514" s="1625">
        <v>3.4749000000000002E-2</v>
      </c>
      <c r="N2514" s="1626">
        <v>1.691830019582756</v>
      </c>
      <c r="O2514" s="1626"/>
    </row>
    <row r="2515" spans="11:15">
      <c r="K2515" s="1623">
        <v>44572</v>
      </c>
      <c r="L2515" s="1624" t="s">
        <v>2302</v>
      </c>
      <c r="M2515" s="1625">
        <v>3.4749000000000002E-2</v>
      </c>
      <c r="N2515" s="1626">
        <v>1.6924179135962609</v>
      </c>
      <c r="O2515" s="1626"/>
    </row>
    <row r="2516" spans="11:15">
      <c r="K2516" s="1623">
        <v>44573</v>
      </c>
      <c r="L2516" s="1624" t="s">
        <v>2302</v>
      </c>
      <c r="M2516" s="1625">
        <v>3.4749000000000002E-2</v>
      </c>
      <c r="N2516" s="1626">
        <v>1.6930060118970565</v>
      </c>
      <c r="O2516" s="1626"/>
    </row>
    <row r="2517" spans="11:15">
      <c r="K2517" s="1623">
        <v>44574</v>
      </c>
      <c r="L2517" s="1624" t="s">
        <v>2302</v>
      </c>
      <c r="M2517" s="1625">
        <v>3.4749000000000002E-2</v>
      </c>
      <c r="N2517" s="1626">
        <v>1.6935943145561305</v>
      </c>
      <c r="O2517" s="1626"/>
    </row>
    <row r="2518" spans="11:15">
      <c r="K2518" s="1623">
        <v>44575</v>
      </c>
      <c r="L2518" s="1624" t="s">
        <v>2302</v>
      </c>
      <c r="M2518" s="1625">
        <v>3.4749000000000002E-2</v>
      </c>
      <c r="N2518" s="1626">
        <v>1.6941828216444956</v>
      </c>
      <c r="O2518" s="1626"/>
    </row>
    <row r="2519" spans="11:15">
      <c r="K2519" s="1623">
        <v>44576</v>
      </c>
      <c r="L2519" s="1624"/>
      <c r="M2519" s="1625">
        <v>0</v>
      </c>
      <c r="N2519" s="1626">
        <v>1.6941828216444956</v>
      </c>
      <c r="O2519" s="1626"/>
    </row>
    <row r="2520" spans="11:15">
      <c r="K2520" s="1623">
        <v>44577</v>
      </c>
      <c r="L2520" s="1624"/>
      <c r="M2520" s="1625">
        <v>0</v>
      </c>
      <c r="N2520" s="1626">
        <v>1.6941828216444956</v>
      </c>
      <c r="O2520" s="1626"/>
    </row>
    <row r="2521" spans="11:15">
      <c r="K2521" s="1623">
        <v>44578</v>
      </c>
      <c r="L2521" s="1624" t="s">
        <v>2302</v>
      </c>
      <c r="M2521" s="1625">
        <v>3.4749000000000002E-2</v>
      </c>
      <c r="N2521" s="1626">
        <v>1.694771533233189</v>
      </c>
      <c r="O2521" s="1626"/>
    </row>
    <row r="2522" spans="11:15">
      <c r="K2522" s="1623">
        <v>44579</v>
      </c>
      <c r="L2522" s="1624" t="s">
        <v>2302</v>
      </c>
      <c r="M2522" s="1625">
        <v>3.4749000000000002E-2</v>
      </c>
      <c r="N2522" s="1626">
        <v>1.6953604493932721</v>
      </c>
      <c r="O2522" s="1626"/>
    </row>
    <row r="2523" spans="11:15">
      <c r="K2523" s="1623">
        <v>44580</v>
      </c>
      <c r="L2523" s="1624" t="s">
        <v>2302</v>
      </c>
      <c r="M2523" s="1625">
        <v>3.4749000000000002E-2</v>
      </c>
      <c r="N2523" s="1626">
        <v>1.6959495701958318</v>
      </c>
      <c r="O2523" s="1626"/>
    </row>
    <row r="2524" spans="11:15">
      <c r="K2524" s="1623">
        <v>44581</v>
      </c>
      <c r="L2524" s="1624" t="s">
        <v>2302</v>
      </c>
      <c r="M2524" s="1625">
        <v>3.4749000000000002E-2</v>
      </c>
      <c r="N2524" s="1626">
        <v>1.6965388957119791</v>
      </c>
      <c r="O2524" s="1626"/>
    </row>
    <row r="2525" spans="11:15">
      <c r="K2525" s="1623">
        <v>44582</v>
      </c>
      <c r="L2525" s="1624" t="s">
        <v>2302</v>
      </c>
      <c r="M2525" s="1625">
        <v>3.4749000000000002E-2</v>
      </c>
      <c r="N2525" s="1626">
        <v>1.6971284260128501</v>
      </c>
      <c r="O2525" s="1626"/>
    </row>
    <row r="2526" spans="11:15">
      <c r="K2526" s="1623">
        <v>44583</v>
      </c>
      <c r="L2526" s="1624"/>
      <c r="M2526" s="1625">
        <v>0</v>
      </c>
      <c r="N2526" s="1626">
        <v>1.6971284260128501</v>
      </c>
      <c r="O2526" s="1626"/>
    </row>
    <row r="2527" spans="11:15">
      <c r="K2527" s="1623">
        <v>44584</v>
      </c>
      <c r="L2527" s="1624"/>
      <c r="M2527" s="1625">
        <v>0</v>
      </c>
      <c r="N2527" s="1626">
        <v>1.6971284260128501</v>
      </c>
      <c r="O2527" s="1626"/>
    </row>
    <row r="2528" spans="11:15">
      <c r="K2528" s="1623">
        <v>44585</v>
      </c>
      <c r="L2528" s="1624" t="s">
        <v>2302</v>
      </c>
      <c r="M2528" s="1625">
        <v>3.4749000000000002E-2</v>
      </c>
      <c r="N2528" s="1626">
        <v>1.6977181611696053</v>
      </c>
      <c r="O2528" s="1626"/>
    </row>
    <row r="2529" spans="11:15">
      <c r="K2529" s="1623">
        <v>44586</v>
      </c>
      <c r="L2529" s="1624" t="s">
        <v>2302</v>
      </c>
      <c r="M2529" s="1625">
        <v>3.4749000000000002E-2</v>
      </c>
      <c r="N2529" s="1626">
        <v>1.69830810125343</v>
      </c>
      <c r="O2529" s="1626"/>
    </row>
    <row r="2530" spans="11:15">
      <c r="K2530" s="1623">
        <v>44587</v>
      </c>
      <c r="L2530" s="1624" t="s">
        <v>2302</v>
      </c>
      <c r="M2530" s="1625">
        <v>3.4749000000000002E-2</v>
      </c>
      <c r="N2530" s="1626">
        <v>1.6988982463355347</v>
      </c>
      <c r="O2530" s="1626"/>
    </row>
    <row r="2531" spans="11:15">
      <c r="K2531" s="1623">
        <v>44588</v>
      </c>
      <c r="L2531" s="1624" t="s">
        <v>2302</v>
      </c>
      <c r="M2531" s="1625">
        <v>3.4749000000000002E-2</v>
      </c>
      <c r="N2531" s="1626">
        <v>1.6994885964871538</v>
      </c>
      <c r="O2531" s="1626"/>
    </row>
    <row r="2532" spans="11:15">
      <c r="K2532" s="1623">
        <v>44589</v>
      </c>
      <c r="L2532" s="1624" t="s">
        <v>2302</v>
      </c>
      <c r="M2532" s="1625">
        <v>3.4749000000000002E-2</v>
      </c>
      <c r="N2532" s="1626">
        <v>1.700079151779547</v>
      </c>
      <c r="O2532" s="1626"/>
    </row>
    <row r="2533" spans="11:15">
      <c r="K2533" s="1623">
        <v>44590</v>
      </c>
      <c r="L2533" s="1624"/>
      <c r="M2533" s="1625">
        <v>0</v>
      </c>
      <c r="N2533" s="1626">
        <v>1.700079151779547</v>
      </c>
      <c r="O2533" s="1626"/>
    </row>
    <row r="2534" spans="11:15">
      <c r="K2534" s="1623">
        <v>44591</v>
      </c>
      <c r="L2534" s="1624"/>
      <c r="M2534" s="1625">
        <v>0</v>
      </c>
      <c r="N2534" s="1626">
        <v>1.700079151779547</v>
      </c>
      <c r="O2534" s="1626"/>
    </row>
    <row r="2535" spans="11:15">
      <c r="K2535" s="1623">
        <v>44592</v>
      </c>
      <c r="L2535" s="1624" t="s">
        <v>2302</v>
      </c>
      <c r="M2535" s="1625">
        <v>3.4749000000000002E-2</v>
      </c>
      <c r="N2535" s="1626">
        <v>1.700669912283999</v>
      </c>
      <c r="O2535" s="1626"/>
    </row>
    <row r="2536" spans="11:15">
      <c r="K2536" s="1623">
        <v>44593</v>
      </c>
      <c r="L2536" s="1624" t="s">
        <v>2302</v>
      </c>
      <c r="M2536" s="1625">
        <v>3.4749000000000002E-2</v>
      </c>
      <c r="N2536" s="1626">
        <v>1.7012608780718186</v>
      </c>
      <c r="O2536" s="1626"/>
    </row>
    <row r="2537" spans="11:15">
      <c r="K2537" s="1623">
        <v>44594</v>
      </c>
      <c r="L2537" s="1624" t="s">
        <v>2302</v>
      </c>
      <c r="M2537" s="1625">
        <v>3.4749000000000002E-2</v>
      </c>
      <c r="N2537" s="1626">
        <v>1.7018520492143399</v>
      </c>
      <c r="O2537" s="1626"/>
    </row>
    <row r="2538" spans="11:15">
      <c r="K2538" s="1623">
        <v>44595</v>
      </c>
      <c r="L2538" s="1624" t="s">
        <v>2302</v>
      </c>
      <c r="M2538" s="1625">
        <v>4.0168000000000002E-2</v>
      </c>
      <c r="N2538" s="1626">
        <v>1.7025356491454682</v>
      </c>
      <c r="O2538" s="1626"/>
    </row>
    <row r="2539" spans="11:15">
      <c r="K2539" s="1623">
        <v>44596</v>
      </c>
      <c r="L2539" s="1624" t="s">
        <v>2302</v>
      </c>
      <c r="M2539" s="1625">
        <v>4.0168000000000002E-2</v>
      </c>
      <c r="N2539" s="1626">
        <v>1.7032195236650169</v>
      </c>
      <c r="O2539" s="1626"/>
    </row>
    <row r="2540" spans="11:15">
      <c r="K2540" s="1623">
        <v>44597</v>
      </c>
      <c r="L2540" s="1624"/>
      <c r="M2540" s="1625">
        <v>0</v>
      </c>
      <c r="N2540" s="1626">
        <v>1.7032195236650169</v>
      </c>
      <c r="O2540" s="1626"/>
    </row>
    <row r="2541" spans="11:15">
      <c r="K2541" s="1623">
        <v>44598</v>
      </c>
      <c r="L2541" s="1624"/>
      <c r="M2541" s="1625">
        <v>0</v>
      </c>
      <c r="N2541" s="1626">
        <v>1.7032195236650169</v>
      </c>
      <c r="O2541" s="1626"/>
    </row>
    <row r="2542" spans="11:15">
      <c r="K2542" s="1623">
        <v>44599</v>
      </c>
      <c r="L2542" s="1624" t="s">
        <v>2302</v>
      </c>
      <c r="M2542" s="1625">
        <v>4.0168000000000002E-2</v>
      </c>
      <c r="N2542" s="1626">
        <v>1.7039036728832826</v>
      </c>
      <c r="O2542" s="1626"/>
    </row>
    <row r="2543" spans="11:15">
      <c r="K2543" s="1623">
        <v>44600</v>
      </c>
      <c r="L2543" s="1624" t="s">
        <v>2302</v>
      </c>
      <c r="M2543" s="1625">
        <v>4.0168000000000002E-2</v>
      </c>
      <c r="N2543" s="1626">
        <v>1.7045880969106062</v>
      </c>
      <c r="O2543" s="1626"/>
    </row>
    <row r="2544" spans="11:15">
      <c r="K2544" s="1623">
        <v>44601</v>
      </c>
      <c r="L2544" s="1624" t="s">
        <v>2302</v>
      </c>
      <c r="M2544" s="1625">
        <v>4.0168000000000002E-2</v>
      </c>
      <c r="N2544" s="1626">
        <v>1.7052727958573732</v>
      </c>
      <c r="O2544" s="1626"/>
    </row>
    <row r="2545" spans="11:15">
      <c r="K2545" s="1623">
        <v>44602</v>
      </c>
      <c r="L2545" s="1624" t="s">
        <v>2302</v>
      </c>
      <c r="M2545" s="1625">
        <v>4.0168000000000002E-2</v>
      </c>
      <c r="N2545" s="1626">
        <v>1.7059577698340131</v>
      </c>
      <c r="O2545" s="1626"/>
    </row>
    <row r="2546" spans="11:15">
      <c r="K2546" s="1623">
        <v>44603</v>
      </c>
      <c r="L2546" s="1624" t="s">
        <v>2302</v>
      </c>
      <c r="M2546" s="1625">
        <v>4.0168000000000002E-2</v>
      </c>
      <c r="N2546" s="1626">
        <v>1.706643018951</v>
      </c>
      <c r="O2546" s="1626"/>
    </row>
    <row r="2547" spans="11:15">
      <c r="K2547" s="1623">
        <v>44604</v>
      </c>
      <c r="L2547" s="1624"/>
      <c r="M2547" s="1625">
        <v>0</v>
      </c>
      <c r="N2547" s="1626">
        <v>1.706643018951</v>
      </c>
      <c r="O2547" s="1626"/>
    </row>
    <row r="2548" spans="11:15">
      <c r="K2548" s="1623">
        <v>44605</v>
      </c>
      <c r="L2548" s="1624"/>
      <c r="M2548" s="1625">
        <v>0</v>
      </c>
      <c r="N2548" s="1626">
        <v>1.706643018951</v>
      </c>
      <c r="O2548" s="1626"/>
    </row>
    <row r="2549" spans="11:15">
      <c r="K2549" s="1623">
        <v>44606</v>
      </c>
      <c r="L2549" s="1624" t="s">
        <v>2302</v>
      </c>
      <c r="M2549" s="1625">
        <v>4.0168000000000002E-2</v>
      </c>
      <c r="N2549" s="1626">
        <v>1.7073285433188521</v>
      </c>
      <c r="O2549" s="1626"/>
    </row>
    <row r="2550" spans="11:15">
      <c r="K2550" s="1623">
        <v>44607</v>
      </c>
      <c r="L2550" s="1624" t="s">
        <v>2302</v>
      </c>
      <c r="M2550" s="1625">
        <v>4.0168000000000002E-2</v>
      </c>
      <c r="N2550" s="1626">
        <v>1.7080143430481323</v>
      </c>
      <c r="O2550" s="1626"/>
    </row>
    <row r="2551" spans="11:15">
      <c r="K2551" s="1623">
        <v>44608</v>
      </c>
      <c r="L2551" s="1624" t="s">
        <v>2302</v>
      </c>
      <c r="M2551" s="1625">
        <v>4.0168000000000002E-2</v>
      </c>
      <c r="N2551" s="1626">
        <v>1.7087004182494478</v>
      </c>
      <c r="O2551" s="1626"/>
    </row>
    <row r="2552" spans="11:15">
      <c r="K2552" s="1623">
        <v>44609</v>
      </c>
      <c r="L2552" s="1624" t="s">
        <v>2302</v>
      </c>
      <c r="M2552" s="1625">
        <v>4.0168000000000002E-2</v>
      </c>
      <c r="N2552" s="1626">
        <v>1.7093867690334503</v>
      </c>
      <c r="O2552" s="1626"/>
    </row>
    <row r="2553" spans="11:15">
      <c r="K2553" s="1623">
        <v>44610</v>
      </c>
      <c r="L2553" s="1624" t="s">
        <v>2302</v>
      </c>
      <c r="M2553" s="1625">
        <v>4.0168000000000002E-2</v>
      </c>
      <c r="N2553" s="1626">
        <v>1.7100733955108356</v>
      </c>
      <c r="O2553" s="1626"/>
    </row>
    <row r="2554" spans="11:15">
      <c r="K2554" s="1623">
        <v>44611</v>
      </c>
      <c r="L2554" s="1624"/>
      <c r="M2554" s="1625">
        <v>0</v>
      </c>
      <c r="N2554" s="1626">
        <v>1.7100733955108356</v>
      </c>
      <c r="O2554" s="1626"/>
    </row>
    <row r="2555" spans="11:15">
      <c r="K2555" s="1623">
        <v>44612</v>
      </c>
      <c r="L2555" s="1624"/>
      <c r="M2555" s="1625">
        <v>0</v>
      </c>
      <c r="N2555" s="1626">
        <v>1.7100733955108356</v>
      </c>
      <c r="O2555" s="1626"/>
    </row>
    <row r="2556" spans="11:15">
      <c r="K2556" s="1623">
        <v>44613</v>
      </c>
      <c r="L2556" s="1624" t="s">
        <v>2302</v>
      </c>
      <c r="M2556" s="1625">
        <v>4.0168000000000002E-2</v>
      </c>
      <c r="N2556" s="1626">
        <v>1.7107602977923444</v>
      </c>
      <c r="O2556" s="1626"/>
    </row>
    <row r="2557" spans="11:15">
      <c r="K2557" s="1623">
        <v>44614</v>
      </c>
      <c r="L2557" s="1624" t="s">
        <v>2302</v>
      </c>
      <c r="M2557" s="1625">
        <v>4.0168000000000002E-2</v>
      </c>
      <c r="N2557" s="1626">
        <v>1.7114474759887615</v>
      </c>
      <c r="O2557" s="1626"/>
    </row>
    <row r="2558" spans="11:15">
      <c r="K2558" s="1623">
        <v>44615</v>
      </c>
      <c r="L2558" s="1624" t="s">
        <v>2302</v>
      </c>
      <c r="M2558" s="1625">
        <v>4.0168000000000002E-2</v>
      </c>
      <c r="N2558" s="1626">
        <v>1.7121349302109166</v>
      </c>
      <c r="O2558" s="1626"/>
    </row>
    <row r="2559" spans="11:15">
      <c r="K2559" s="1623">
        <v>44616</v>
      </c>
      <c r="L2559" s="1624" t="s">
        <v>2302</v>
      </c>
      <c r="M2559" s="1625">
        <v>4.0168000000000002E-2</v>
      </c>
      <c r="N2559" s="1626">
        <v>1.7128226605696837</v>
      </c>
      <c r="O2559" s="1626"/>
    </row>
    <row r="2560" spans="11:15">
      <c r="K2560" s="1623">
        <v>44617</v>
      </c>
      <c r="L2560" s="1624" t="s">
        <v>2302</v>
      </c>
      <c r="M2560" s="1625">
        <v>4.0168000000000002E-2</v>
      </c>
      <c r="N2560" s="1626">
        <v>1.7135106671759812</v>
      </c>
      <c r="O2560" s="1626"/>
    </row>
    <row r="2561" spans="11:15">
      <c r="K2561" s="1623">
        <v>44618</v>
      </c>
      <c r="L2561" s="1624"/>
      <c r="M2561" s="1625">
        <v>0</v>
      </c>
      <c r="N2561" s="1626">
        <v>1.7135106671759812</v>
      </c>
      <c r="O2561" s="1626"/>
    </row>
    <row r="2562" spans="11:15">
      <c r="K2562" s="1623">
        <v>44619</v>
      </c>
      <c r="L2562" s="1624"/>
      <c r="M2562" s="1625">
        <v>0</v>
      </c>
      <c r="N2562" s="1626">
        <v>1.7135106671759812</v>
      </c>
      <c r="O2562" s="1626"/>
    </row>
    <row r="2563" spans="11:15">
      <c r="K2563" s="1623">
        <v>44620</v>
      </c>
      <c r="L2563" s="1624"/>
      <c r="M2563" s="1625">
        <v>0</v>
      </c>
      <c r="N2563" s="1626">
        <v>1.7135106671759812</v>
      </c>
      <c r="O2563" s="1626"/>
    </row>
    <row r="2564" spans="11:15">
      <c r="K2564" s="1623">
        <v>44621</v>
      </c>
      <c r="L2564" s="1624"/>
      <c r="M2564" s="1625">
        <v>0</v>
      </c>
      <c r="N2564" s="1626">
        <v>1.7135106671759812</v>
      </c>
      <c r="O2564" s="1626"/>
    </row>
    <row r="2565" spans="11:15">
      <c r="K2565" s="1623">
        <v>44622</v>
      </c>
      <c r="L2565" s="1624" t="s">
        <v>2302</v>
      </c>
      <c r="M2565" s="1625">
        <v>4.0168000000000002E-2</v>
      </c>
      <c r="N2565" s="1626">
        <v>1.7141989501407724</v>
      </c>
      <c r="O2565" s="1626"/>
    </row>
    <row r="2566" spans="11:15">
      <c r="K2566" s="1623">
        <v>44623</v>
      </c>
      <c r="L2566" s="1624" t="s">
        <v>2302</v>
      </c>
      <c r="M2566" s="1625">
        <v>4.0168000000000002E-2</v>
      </c>
      <c r="N2566" s="1626">
        <v>1.7148875095750649</v>
      </c>
      <c r="O2566" s="1626"/>
    </row>
    <row r="2567" spans="11:15">
      <c r="K2567" s="1623">
        <v>44624</v>
      </c>
      <c r="L2567" s="1624" t="s">
        <v>2302</v>
      </c>
      <c r="M2567" s="1625">
        <v>4.0168000000000002E-2</v>
      </c>
      <c r="N2567" s="1626">
        <v>1.7155763455899109</v>
      </c>
      <c r="O2567" s="1626"/>
    </row>
    <row r="2568" spans="11:15">
      <c r="K2568" s="1623">
        <v>44625</v>
      </c>
      <c r="L2568" s="1624"/>
      <c r="M2568" s="1625">
        <v>0</v>
      </c>
      <c r="N2568" s="1626">
        <v>1.7155763455899109</v>
      </c>
      <c r="O2568" s="1626"/>
    </row>
    <row r="2569" spans="11:15">
      <c r="K2569" s="1623">
        <v>44626</v>
      </c>
      <c r="L2569" s="1624"/>
      <c r="M2569" s="1625">
        <v>0</v>
      </c>
      <c r="N2569" s="1626">
        <v>1.7155763455899109</v>
      </c>
      <c r="O2569" s="1626"/>
    </row>
    <row r="2570" spans="11:15">
      <c r="K2570" s="1623">
        <v>44627</v>
      </c>
      <c r="L2570" s="1624" t="s">
        <v>2302</v>
      </c>
      <c r="M2570" s="1625">
        <v>4.0168000000000002E-2</v>
      </c>
      <c r="N2570" s="1626">
        <v>1.7162654582964074</v>
      </c>
      <c r="O2570" s="1626"/>
    </row>
    <row r="2571" spans="11:15">
      <c r="K2571" s="1623">
        <v>44628</v>
      </c>
      <c r="L2571" s="1624" t="s">
        <v>2302</v>
      </c>
      <c r="M2571" s="1625">
        <v>4.0168000000000002E-2</v>
      </c>
      <c r="N2571" s="1626">
        <v>1.716954847805696</v>
      </c>
      <c r="O2571" s="1626"/>
    </row>
    <row r="2572" spans="11:15">
      <c r="K2572" s="1623">
        <v>44629</v>
      </c>
      <c r="L2572" s="1624" t="s">
        <v>2302</v>
      </c>
      <c r="M2572" s="1625">
        <v>4.0168000000000002E-2</v>
      </c>
      <c r="N2572" s="1626">
        <v>1.7176445142289625</v>
      </c>
      <c r="O2572" s="1626"/>
    </row>
    <row r="2573" spans="11:15">
      <c r="K2573" s="1623">
        <v>44630</v>
      </c>
      <c r="L2573" s="1624" t="s">
        <v>2302</v>
      </c>
      <c r="M2573" s="1625">
        <v>4.0168000000000002E-2</v>
      </c>
      <c r="N2573" s="1626">
        <v>1.718334457677438</v>
      </c>
      <c r="O2573" s="1626"/>
    </row>
    <row r="2574" spans="11:15">
      <c r="K2574" s="1623">
        <v>44631</v>
      </c>
      <c r="L2574" s="1624" t="s">
        <v>2302</v>
      </c>
      <c r="M2574" s="1625">
        <v>4.0168000000000002E-2</v>
      </c>
      <c r="N2574" s="1626">
        <v>1.7190246782623977</v>
      </c>
      <c r="O2574" s="1626"/>
    </row>
    <row r="2575" spans="11:15">
      <c r="K2575" s="1623">
        <v>44632</v>
      </c>
      <c r="L2575" s="1624"/>
      <c r="M2575" s="1625">
        <v>0</v>
      </c>
      <c r="N2575" s="1626">
        <v>1.7190246782623977</v>
      </c>
      <c r="O2575" s="1626"/>
    </row>
    <row r="2576" spans="11:15">
      <c r="K2576" s="1623">
        <v>44633</v>
      </c>
      <c r="L2576" s="1624"/>
      <c r="M2576" s="1625">
        <v>0</v>
      </c>
      <c r="N2576" s="1626">
        <v>1.7190246782623977</v>
      </c>
      <c r="O2576" s="1626"/>
    </row>
    <row r="2577" spans="11:15">
      <c r="K2577" s="1623">
        <v>44634</v>
      </c>
      <c r="L2577" s="1624" t="s">
        <v>2302</v>
      </c>
      <c r="M2577" s="1625">
        <v>4.0168000000000002E-2</v>
      </c>
      <c r="N2577" s="1626">
        <v>1.7197151760951621</v>
      </c>
      <c r="O2577" s="1626"/>
    </row>
    <row r="2578" spans="11:15">
      <c r="K2578" s="1623">
        <v>44635</v>
      </c>
      <c r="L2578" s="1624" t="s">
        <v>2302</v>
      </c>
      <c r="M2578" s="1625">
        <v>4.0168000000000002E-2</v>
      </c>
      <c r="N2578" s="1626">
        <v>1.7204059512870959</v>
      </c>
      <c r="O2578" s="1626"/>
    </row>
    <row r="2579" spans="11:15">
      <c r="K2579" s="1623">
        <v>44636</v>
      </c>
      <c r="L2579" s="1624" t="s">
        <v>2302</v>
      </c>
      <c r="M2579" s="1625">
        <v>4.0168000000000002E-2</v>
      </c>
      <c r="N2579" s="1626">
        <v>1.721097003949609</v>
      </c>
      <c r="O2579" s="1626"/>
    </row>
    <row r="2580" spans="11:15">
      <c r="K2580" s="1623">
        <v>44637</v>
      </c>
      <c r="L2580" s="1624" t="s">
        <v>2302</v>
      </c>
      <c r="M2580" s="1625">
        <v>4.3739E-2</v>
      </c>
      <c r="N2580" s="1626">
        <v>1.7218497945681666</v>
      </c>
      <c r="O2580" s="1626"/>
    </row>
    <row r="2581" spans="11:15">
      <c r="K2581" s="1623">
        <v>44638</v>
      </c>
      <c r="L2581" s="1624" t="s">
        <v>2302</v>
      </c>
      <c r="M2581" s="1625">
        <v>4.3739E-2</v>
      </c>
      <c r="N2581" s="1626">
        <v>1.7226029144498129</v>
      </c>
      <c r="O2581" s="1626"/>
    </row>
    <row r="2582" spans="11:15">
      <c r="K2582" s="1623">
        <v>44639</v>
      </c>
      <c r="L2582" s="1624"/>
      <c r="M2582" s="1625">
        <v>0</v>
      </c>
      <c r="N2582" s="1626">
        <v>1.7226029144498129</v>
      </c>
      <c r="O2582" s="1626"/>
    </row>
    <row r="2583" spans="11:15">
      <c r="K2583" s="1623">
        <v>44640</v>
      </c>
      <c r="L2583" s="1624"/>
      <c r="M2583" s="1625">
        <v>0</v>
      </c>
      <c r="N2583" s="1626">
        <v>1.7226029144498129</v>
      </c>
      <c r="O2583" s="1626"/>
    </row>
    <row r="2584" spans="11:15">
      <c r="K2584" s="1623">
        <v>44641</v>
      </c>
      <c r="L2584" s="1624" t="s">
        <v>2302</v>
      </c>
      <c r="M2584" s="1625">
        <v>4.3739E-2</v>
      </c>
      <c r="N2584" s="1626">
        <v>1.7233563637385643</v>
      </c>
      <c r="O2584" s="1626"/>
    </row>
    <row r="2585" spans="11:15">
      <c r="K2585" s="1623">
        <v>44642</v>
      </c>
      <c r="L2585" s="1624" t="s">
        <v>2302</v>
      </c>
      <c r="M2585" s="1625">
        <v>4.3739E-2</v>
      </c>
      <c r="N2585" s="1626">
        <v>1.7241101425785001</v>
      </c>
      <c r="O2585" s="1626"/>
    </row>
    <row r="2586" spans="11:15">
      <c r="K2586" s="1623">
        <v>44643</v>
      </c>
      <c r="L2586" s="1624" t="s">
        <v>2302</v>
      </c>
      <c r="M2586" s="1625">
        <v>4.3739E-2</v>
      </c>
      <c r="N2586" s="1626">
        <v>1.7248642511137626</v>
      </c>
      <c r="O2586" s="1626"/>
    </row>
    <row r="2587" spans="11:15">
      <c r="K2587" s="1623">
        <v>44644</v>
      </c>
      <c r="L2587" s="1624" t="s">
        <v>2302</v>
      </c>
      <c r="M2587" s="1625">
        <v>4.3739E-2</v>
      </c>
      <c r="N2587" s="1626">
        <v>1.7256186894885575</v>
      </c>
      <c r="O2587" s="1626"/>
    </row>
    <row r="2588" spans="11:15">
      <c r="K2588" s="1623">
        <v>44645</v>
      </c>
      <c r="L2588" s="1624" t="s">
        <v>2302</v>
      </c>
      <c r="M2588" s="1625">
        <v>4.3739E-2</v>
      </c>
      <c r="N2588" s="1626">
        <v>1.726373457847153</v>
      </c>
      <c r="O2588" s="1626"/>
    </row>
    <row r="2589" spans="11:15">
      <c r="K2589" s="1623">
        <v>44646</v>
      </c>
      <c r="L2589" s="1624"/>
      <c r="M2589" s="1625">
        <v>0</v>
      </c>
      <c r="N2589" s="1626">
        <v>1.726373457847153</v>
      </c>
      <c r="O2589" s="1626"/>
    </row>
    <row r="2590" spans="11:15">
      <c r="K2590" s="1623">
        <v>44647</v>
      </c>
      <c r="L2590" s="1624"/>
      <c r="M2590" s="1625">
        <v>0</v>
      </c>
      <c r="N2590" s="1626">
        <v>1.726373457847153</v>
      </c>
      <c r="O2590" s="1626"/>
    </row>
    <row r="2591" spans="11:15">
      <c r="K2591" s="1623">
        <v>44648</v>
      </c>
      <c r="L2591" s="1624" t="s">
        <v>2302</v>
      </c>
      <c r="M2591" s="1625">
        <v>4.3739E-2</v>
      </c>
      <c r="N2591" s="1626">
        <v>1.727128556333881</v>
      </c>
      <c r="O2591" s="1626"/>
    </row>
    <row r="2592" spans="11:15">
      <c r="K2592" s="1623">
        <v>44649</v>
      </c>
      <c r="L2592" s="1624" t="s">
        <v>2302</v>
      </c>
      <c r="M2592" s="1625">
        <v>4.3739E-2</v>
      </c>
      <c r="N2592" s="1626">
        <v>1.727883985093136</v>
      </c>
      <c r="O2592" s="1626"/>
    </row>
    <row r="2593" spans="11:15">
      <c r="K2593" s="1623">
        <v>44650</v>
      </c>
      <c r="L2593" s="1624" t="s">
        <v>2302</v>
      </c>
      <c r="M2593" s="1625">
        <v>4.3739E-2</v>
      </c>
      <c r="N2593" s="1626">
        <v>1.7286397442693762</v>
      </c>
      <c r="O2593" s="1626"/>
    </row>
    <row r="2594" spans="11:15">
      <c r="K2594" s="1623">
        <v>44651</v>
      </c>
      <c r="L2594" s="1624" t="s">
        <v>2302</v>
      </c>
      <c r="M2594" s="1625">
        <v>4.3739E-2</v>
      </c>
      <c r="N2594" s="1626">
        <v>1.7293958340071223</v>
      </c>
      <c r="O2594" s="1626"/>
    </row>
    <row r="2595" spans="11:15">
      <c r="K2595" s="1623">
        <v>44652</v>
      </c>
      <c r="L2595" s="1624" t="s">
        <v>2302</v>
      </c>
      <c r="M2595" s="1625">
        <v>4.3739E-2</v>
      </c>
      <c r="N2595" s="1626">
        <v>1.7301522544509589</v>
      </c>
      <c r="O2595" s="1626"/>
    </row>
    <row r="2596" spans="11:15">
      <c r="K2596" s="1623">
        <v>44653</v>
      </c>
      <c r="L2596" s="1624"/>
      <c r="M2596" s="1625">
        <v>0</v>
      </c>
      <c r="N2596" s="1626">
        <v>1.7301522544509589</v>
      </c>
      <c r="O2596" s="1626"/>
    </row>
    <row r="2597" spans="11:15">
      <c r="K2597" s="1623">
        <v>44654</v>
      </c>
      <c r="L2597" s="1624"/>
      <c r="M2597" s="1625">
        <v>0</v>
      </c>
      <c r="N2597" s="1626">
        <v>1.7301522544509589</v>
      </c>
      <c r="O2597" s="1626"/>
    </row>
    <row r="2598" spans="11:15">
      <c r="K2598" s="1623">
        <v>44655</v>
      </c>
      <c r="L2598" s="1624" t="s">
        <v>2302</v>
      </c>
      <c r="M2598" s="1625">
        <v>4.3739E-2</v>
      </c>
      <c r="N2598" s="1626">
        <v>1.7309090057455334</v>
      </c>
      <c r="O2598" s="1626"/>
    </row>
    <row r="2599" spans="11:15">
      <c r="K2599" s="1623">
        <v>44656</v>
      </c>
      <c r="L2599" s="1624" t="s">
        <v>2302</v>
      </c>
      <c r="M2599" s="1625">
        <v>4.3739E-2</v>
      </c>
      <c r="N2599" s="1626">
        <v>1.7316660880355565</v>
      </c>
      <c r="O2599" s="1626"/>
    </row>
    <row r="2600" spans="11:15">
      <c r="K2600" s="1623">
        <v>44657</v>
      </c>
      <c r="L2600" s="1624" t="s">
        <v>2302</v>
      </c>
      <c r="M2600" s="1625">
        <v>4.3739E-2</v>
      </c>
      <c r="N2600" s="1626">
        <v>1.7324235014658025</v>
      </c>
      <c r="O2600" s="1626"/>
    </row>
    <row r="2601" spans="11:15">
      <c r="K2601" s="1623">
        <v>44658</v>
      </c>
      <c r="L2601" s="1624" t="s">
        <v>2302</v>
      </c>
      <c r="M2601" s="1625">
        <v>4.3739E-2</v>
      </c>
      <c r="N2601" s="1626">
        <v>1.7331812461811087</v>
      </c>
      <c r="O2601" s="1626"/>
    </row>
    <row r="2602" spans="11:15">
      <c r="K2602" s="1623">
        <v>44659</v>
      </c>
      <c r="L2602" s="1624" t="s">
        <v>2302</v>
      </c>
      <c r="M2602" s="1625">
        <v>4.3739E-2</v>
      </c>
      <c r="N2602" s="1626">
        <v>1.7339393223263759</v>
      </c>
      <c r="O2602" s="1626"/>
    </row>
    <row r="2603" spans="11:15">
      <c r="K2603" s="1623">
        <v>44660</v>
      </c>
      <c r="L2603" s="1624"/>
      <c r="M2603" s="1625">
        <v>0</v>
      </c>
      <c r="N2603" s="1626">
        <v>1.7339393223263759</v>
      </c>
      <c r="O2603" s="1626"/>
    </row>
    <row r="2604" spans="11:15">
      <c r="K2604" s="1623">
        <v>44661</v>
      </c>
      <c r="L2604" s="1624"/>
      <c r="M2604" s="1625">
        <v>0</v>
      </c>
      <c r="N2604" s="1626">
        <v>1.7339393223263759</v>
      </c>
      <c r="O2604" s="1626"/>
    </row>
    <row r="2605" spans="11:15">
      <c r="K2605" s="1623">
        <v>44662</v>
      </c>
      <c r="L2605" s="1624" t="s">
        <v>2302</v>
      </c>
      <c r="M2605" s="1625">
        <v>4.3739E-2</v>
      </c>
      <c r="N2605" s="1626">
        <v>1.7346977300465685</v>
      </c>
      <c r="O2605" s="1626"/>
    </row>
    <row r="2606" spans="11:15">
      <c r="K2606" s="1623">
        <v>44663</v>
      </c>
      <c r="L2606" s="1624" t="s">
        <v>2302</v>
      </c>
      <c r="M2606" s="1625">
        <v>4.3739E-2</v>
      </c>
      <c r="N2606" s="1626">
        <v>1.7354564694867136</v>
      </c>
      <c r="O2606" s="1626"/>
    </row>
    <row r="2607" spans="11:15">
      <c r="K2607" s="1623">
        <v>44664</v>
      </c>
      <c r="L2607" s="1624" t="s">
        <v>2302</v>
      </c>
      <c r="M2607" s="1625">
        <v>4.3739E-2</v>
      </c>
      <c r="N2607" s="1626">
        <v>1.7362155407919027</v>
      </c>
      <c r="O2607" s="1626"/>
    </row>
    <row r="2608" spans="11:15">
      <c r="K2608" s="1623">
        <v>44665</v>
      </c>
      <c r="L2608" s="1624" t="s">
        <v>2302</v>
      </c>
      <c r="M2608" s="1625">
        <v>4.3739E-2</v>
      </c>
      <c r="N2608" s="1626">
        <v>1.7369749441072897</v>
      </c>
      <c r="O2608" s="1626"/>
    </row>
    <row r="2609" spans="11:15">
      <c r="K2609" s="1623">
        <v>44666</v>
      </c>
      <c r="L2609" s="1624"/>
      <c r="M2609" s="1625">
        <v>0</v>
      </c>
      <c r="N2609" s="1626">
        <v>1.7369749441072897</v>
      </c>
      <c r="O2609" s="1626"/>
    </row>
    <row r="2610" spans="11:15">
      <c r="K2610" s="1623">
        <v>44667</v>
      </c>
      <c r="L2610" s="1624"/>
      <c r="M2610" s="1625">
        <v>0</v>
      </c>
      <c r="N2610" s="1626">
        <v>1.7369749441072897</v>
      </c>
      <c r="O2610" s="1626"/>
    </row>
    <row r="2611" spans="11:15">
      <c r="K2611" s="1623">
        <v>44668</v>
      </c>
      <c r="L2611" s="1624"/>
      <c r="M2611" s="1625">
        <v>0</v>
      </c>
      <c r="N2611" s="1626">
        <v>1.7369749441072897</v>
      </c>
      <c r="O2611" s="1626"/>
    </row>
    <row r="2612" spans="11:15">
      <c r="K2612" s="1623">
        <v>44669</v>
      </c>
      <c r="L2612" s="1624" t="s">
        <v>2302</v>
      </c>
      <c r="M2612" s="1625">
        <v>4.3739E-2</v>
      </c>
      <c r="N2612" s="1626">
        <v>1.737734679578093</v>
      </c>
      <c r="O2612" s="1626"/>
    </row>
    <row r="2613" spans="11:15">
      <c r="K2613" s="1623">
        <v>44670</v>
      </c>
      <c r="L2613" s="1624" t="s">
        <v>2302</v>
      </c>
      <c r="M2613" s="1625">
        <v>4.3739E-2</v>
      </c>
      <c r="N2613" s="1626">
        <v>1.7384947473495937</v>
      </c>
      <c r="O2613" s="1626"/>
    </row>
    <row r="2614" spans="11:15">
      <c r="K2614" s="1623">
        <v>44671</v>
      </c>
      <c r="L2614" s="1624" t="s">
        <v>2302</v>
      </c>
      <c r="M2614" s="1625">
        <v>4.3739E-2</v>
      </c>
      <c r="N2614" s="1626">
        <v>1.7392551475671372</v>
      </c>
      <c r="O2614" s="1626"/>
    </row>
    <row r="2615" spans="11:15">
      <c r="K2615" s="1623">
        <v>44672</v>
      </c>
      <c r="L2615" s="1624"/>
      <c r="M2615" s="1625">
        <v>0</v>
      </c>
      <c r="N2615" s="1626">
        <v>1.7392551475671372</v>
      </c>
      <c r="O2615" s="1626"/>
    </row>
    <row r="2616" spans="11:15">
      <c r="K2616" s="1623">
        <v>44673</v>
      </c>
      <c r="L2616" s="1624" t="s">
        <v>2302</v>
      </c>
      <c r="M2616" s="1625">
        <v>4.3739E-2</v>
      </c>
      <c r="N2616" s="1626">
        <v>1.7400158803761316</v>
      </c>
      <c r="O2616" s="1626"/>
    </row>
    <row r="2617" spans="11:15">
      <c r="K2617" s="1623">
        <v>44674</v>
      </c>
      <c r="L2617" s="1624"/>
      <c r="M2617" s="1625">
        <v>0</v>
      </c>
      <c r="N2617" s="1626">
        <v>1.7400158803761316</v>
      </c>
      <c r="O2617" s="1626"/>
    </row>
    <row r="2618" spans="11:15">
      <c r="K2618" s="1623">
        <v>44675</v>
      </c>
      <c r="L2618" s="1624"/>
      <c r="M2618" s="1625">
        <v>0</v>
      </c>
      <c r="N2618" s="1626">
        <v>1.7400158803761316</v>
      </c>
      <c r="O2618" s="1626"/>
    </row>
    <row r="2619" spans="11:15">
      <c r="K2619" s="1623">
        <v>44676</v>
      </c>
      <c r="L2619" s="1624" t="s">
        <v>2302</v>
      </c>
      <c r="M2619" s="1625">
        <v>4.3739E-2</v>
      </c>
      <c r="N2619" s="1626">
        <v>1.7407769459220495</v>
      </c>
      <c r="O2619" s="1626"/>
    </row>
    <row r="2620" spans="11:15">
      <c r="K2620" s="1623">
        <v>44677</v>
      </c>
      <c r="L2620" s="1624" t="s">
        <v>2302</v>
      </c>
      <c r="M2620" s="1625">
        <v>4.3739E-2</v>
      </c>
      <c r="N2620" s="1626">
        <v>1.7415383443504264</v>
      </c>
      <c r="O2620" s="1626"/>
    </row>
    <row r="2621" spans="11:15">
      <c r="K2621" s="1623">
        <v>44678</v>
      </c>
      <c r="L2621" s="1624" t="s">
        <v>2302</v>
      </c>
      <c r="M2621" s="1625">
        <v>4.3739E-2</v>
      </c>
      <c r="N2621" s="1626">
        <v>1.7423000758068621</v>
      </c>
      <c r="O2621" s="1626"/>
    </row>
    <row r="2622" spans="11:15">
      <c r="K2622" s="1623">
        <v>44679</v>
      </c>
      <c r="L2622" s="1624" t="s">
        <v>2302</v>
      </c>
      <c r="M2622" s="1625">
        <v>4.3739E-2</v>
      </c>
      <c r="N2622" s="1626">
        <v>1.7430621404370195</v>
      </c>
      <c r="O2622" s="1626"/>
    </row>
    <row r="2623" spans="11:15">
      <c r="K2623" s="1623">
        <v>44680</v>
      </c>
      <c r="L2623" s="1624" t="s">
        <v>2302</v>
      </c>
      <c r="M2623" s="1625">
        <v>4.3739E-2</v>
      </c>
      <c r="N2623" s="1626">
        <v>1.7438245383866253</v>
      </c>
      <c r="O2623" s="1626"/>
    </row>
    <row r="2624" spans="11:15">
      <c r="K2624" s="1623">
        <v>44681</v>
      </c>
      <c r="L2624" s="1624"/>
      <c r="M2624" s="1625">
        <v>0</v>
      </c>
      <c r="N2624" s="1626">
        <v>1.7438245383866253</v>
      </c>
      <c r="O2624" s="1626"/>
    </row>
    <row r="2625" spans="11:15">
      <c r="K2625" s="1623">
        <v>44682</v>
      </c>
      <c r="L2625" s="1624"/>
      <c r="M2625" s="1625">
        <v>0</v>
      </c>
      <c r="N2625" s="1626">
        <v>1.7438245383866253</v>
      </c>
      <c r="O2625" s="1626"/>
    </row>
    <row r="2626" spans="11:15">
      <c r="K2626" s="1623">
        <v>44683</v>
      </c>
      <c r="L2626" s="1624" t="s">
        <v>2302</v>
      </c>
      <c r="M2626" s="1625">
        <v>4.3739E-2</v>
      </c>
      <c r="N2626" s="1626">
        <v>1.7445872698014704</v>
      </c>
      <c r="O2626" s="1626"/>
    </row>
    <row r="2627" spans="11:15">
      <c r="K2627" s="1623">
        <v>44684</v>
      </c>
      <c r="L2627" s="1624" t="s">
        <v>2302</v>
      </c>
      <c r="M2627" s="1625">
        <v>4.3739E-2</v>
      </c>
      <c r="N2627" s="1626">
        <v>1.7453503348274091</v>
      </c>
      <c r="O2627" s="1626"/>
    </row>
    <row r="2628" spans="11:15">
      <c r="K2628" s="1623">
        <v>44685</v>
      </c>
      <c r="L2628" s="1624" t="s">
        <v>2302</v>
      </c>
      <c r="M2628" s="1625">
        <v>4.3739E-2</v>
      </c>
      <c r="N2628" s="1626">
        <v>1.7461137336103594</v>
      </c>
      <c r="O2628" s="1626"/>
    </row>
    <row r="2629" spans="11:15">
      <c r="K2629" s="1623">
        <v>44686</v>
      </c>
      <c r="L2629" s="1624" t="s">
        <v>2302</v>
      </c>
      <c r="M2629" s="1625">
        <v>4.7279000000000002E-2</v>
      </c>
      <c r="N2629" s="1626">
        <v>1.7469392787224729</v>
      </c>
      <c r="O2629" s="1626"/>
    </row>
    <row r="2630" spans="11:15">
      <c r="K2630" s="1623">
        <v>44687</v>
      </c>
      <c r="L2630" s="1624" t="s">
        <v>2302</v>
      </c>
      <c r="M2630" s="1625">
        <v>4.7279000000000002E-2</v>
      </c>
      <c r="N2630" s="1626">
        <v>1.7477652141440598</v>
      </c>
      <c r="O2630" s="1626"/>
    </row>
    <row r="2631" spans="11:15">
      <c r="K2631" s="1623">
        <v>44688</v>
      </c>
      <c r="L2631" s="1624"/>
      <c r="M2631" s="1625">
        <v>0</v>
      </c>
      <c r="N2631" s="1626">
        <v>1.7477652141440598</v>
      </c>
      <c r="O2631" s="1626"/>
    </row>
    <row r="2632" spans="11:15">
      <c r="K2632" s="1623">
        <v>44689</v>
      </c>
      <c r="L2632" s="1624"/>
      <c r="M2632" s="1625">
        <v>0</v>
      </c>
      <c r="N2632" s="1626">
        <v>1.7477652141440598</v>
      </c>
      <c r="O2632" s="1626"/>
    </row>
    <row r="2633" spans="11:15">
      <c r="K2633" s="1623">
        <v>44690</v>
      </c>
      <c r="L2633" s="1624" t="s">
        <v>2302</v>
      </c>
      <c r="M2633" s="1625">
        <v>4.7279000000000002E-2</v>
      </c>
      <c r="N2633" s="1626">
        <v>1.7485915400596548</v>
      </c>
      <c r="O2633" s="1626"/>
    </row>
    <row r="2634" spans="11:15">
      <c r="K2634" s="1623">
        <v>44691</v>
      </c>
      <c r="L2634" s="1624" t="s">
        <v>2302</v>
      </c>
      <c r="M2634" s="1625">
        <v>4.7279000000000002E-2</v>
      </c>
      <c r="N2634" s="1626">
        <v>1.7494182566538794</v>
      </c>
      <c r="O2634" s="1626"/>
    </row>
    <row r="2635" spans="11:15">
      <c r="K2635" s="1623">
        <v>44692</v>
      </c>
      <c r="L2635" s="1624" t="s">
        <v>2302</v>
      </c>
      <c r="M2635" s="1625">
        <v>4.7279000000000002E-2</v>
      </c>
      <c r="N2635" s="1626">
        <v>1.7502453641114426</v>
      </c>
      <c r="O2635" s="1626"/>
    </row>
    <row r="2636" spans="11:15">
      <c r="K2636" s="1623">
        <v>44693</v>
      </c>
      <c r="L2636" s="1624" t="s">
        <v>2302</v>
      </c>
      <c r="M2636" s="1625">
        <v>4.7279000000000002E-2</v>
      </c>
      <c r="N2636" s="1626">
        <v>1.7510728626171406</v>
      </c>
      <c r="O2636" s="1626"/>
    </row>
    <row r="2637" spans="11:15">
      <c r="K2637" s="1623">
        <v>44694</v>
      </c>
      <c r="L2637" s="1624" t="s">
        <v>2302</v>
      </c>
      <c r="M2637" s="1625">
        <v>4.7279000000000002E-2</v>
      </c>
      <c r="N2637" s="1626">
        <v>1.7519007523558572</v>
      </c>
      <c r="O2637" s="1626"/>
    </row>
    <row r="2638" spans="11:15">
      <c r="K2638" s="1623">
        <v>44695</v>
      </c>
      <c r="L2638" s="1624"/>
      <c r="M2638" s="1625">
        <v>0</v>
      </c>
      <c r="N2638" s="1626">
        <v>1.7519007523558572</v>
      </c>
      <c r="O2638" s="1626"/>
    </row>
    <row r="2639" spans="11:15">
      <c r="K2639" s="1623">
        <v>44696</v>
      </c>
      <c r="L2639" s="1624"/>
      <c r="M2639" s="1625">
        <v>0</v>
      </c>
      <c r="N2639" s="1626">
        <v>1.7519007523558572</v>
      </c>
      <c r="O2639" s="1626"/>
    </row>
    <row r="2640" spans="11:15">
      <c r="K2640" s="1623">
        <v>44697</v>
      </c>
      <c r="L2640" s="1624" t="s">
        <v>2302</v>
      </c>
      <c r="M2640" s="1625">
        <v>4.7279000000000002E-2</v>
      </c>
      <c r="N2640" s="1626">
        <v>1.7527290335125634</v>
      </c>
      <c r="O2640" s="1626"/>
    </row>
    <row r="2641" spans="11:15">
      <c r="K2641" s="1623">
        <v>44698</v>
      </c>
      <c r="L2641" s="1624" t="s">
        <v>2302</v>
      </c>
      <c r="M2641" s="1625">
        <v>4.7279000000000002E-2</v>
      </c>
      <c r="N2641" s="1626">
        <v>1.7535577062723176</v>
      </c>
      <c r="O2641" s="1626"/>
    </row>
    <row r="2642" spans="11:15">
      <c r="K2642" s="1623">
        <v>44699</v>
      </c>
      <c r="L2642" s="1624" t="s">
        <v>2302</v>
      </c>
      <c r="M2642" s="1625">
        <v>4.7279000000000002E-2</v>
      </c>
      <c r="N2642" s="1626">
        <v>1.7543867708202658</v>
      </c>
      <c r="O2642" s="1626"/>
    </row>
    <row r="2643" spans="11:15">
      <c r="K2643" s="1623">
        <v>44700</v>
      </c>
      <c r="L2643" s="1624" t="s">
        <v>2302</v>
      </c>
      <c r="M2643" s="1625">
        <v>4.7279000000000002E-2</v>
      </c>
      <c r="N2643" s="1626">
        <v>1.7552162273416418</v>
      </c>
      <c r="O2643" s="1626"/>
    </row>
    <row r="2644" spans="11:15">
      <c r="K2644" s="1623">
        <v>44701</v>
      </c>
      <c r="L2644" s="1624" t="s">
        <v>2302</v>
      </c>
      <c r="M2644" s="1625">
        <v>4.7279000000000002E-2</v>
      </c>
      <c r="N2644" s="1626">
        <v>1.7560460760217664</v>
      </c>
      <c r="O2644" s="1626"/>
    </row>
    <row r="2645" spans="11:15">
      <c r="K2645" s="1623">
        <v>44702</v>
      </c>
      <c r="L2645" s="1624"/>
      <c r="M2645" s="1625">
        <v>0</v>
      </c>
      <c r="N2645" s="1626">
        <v>1.7560460760217664</v>
      </c>
      <c r="O2645" s="1626"/>
    </row>
    <row r="2646" spans="11:15">
      <c r="K2646" s="1623">
        <v>44703</v>
      </c>
      <c r="L2646" s="1624"/>
      <c r="M2646" s="1625">
        <v>0</v>
      </c>
      <c r="N2646" s="1626">
        <v>1.7560460760217664</v>
      </c>
      <c r="O2646" s="1626"/>
    </row>
    <row r="2647" spans="11:15">
      <c r="K2647" s="1623">
        <v>44704</v>
      </c>
      <c r="L2647" s="1624" t="s">
        <v>2302</v>
      </c>
      <c r="M2647" s="1625">
        <v>4.7279000000000002E-2</v>
      </c>
      <c r="N2647" s="1626">
        <v>1.7568763170460486</v>
      </c>
      <c r="O2647" s="1626"/>
    </row>
    <row r="2648" spans="11:15">
      <c r="K2648" s="1623">
        <v>44705</v>
      </c>
      <c r="L2648" s="1624" t="s">
        <v>2302</v>
      </c>
      <c r="M2648" s="1625">
        <v>4.7279000000000002E-2</v>
      </c>
      <c r="N2648" s="1626">
        <v>1.7577069505999847</v>
      </c>
      <c r="O2648" s="1626"/>
    </row>
    <row r="2649" spans="11:15">
      <c r="K2649" s="1623">
        <v>44706</v>
      </c>
      <c r="L2649" s="1624" t="s">
        <v>2302</v>
      </c>
      <c r="M2649" s="1625">
        <v>4.7279000000000002E-2</v>
      </c>
      <c r="N2649" s="1626">
        <v>1.7585379768691587</v>
      </c>
      <c r="O2649" s="1626"/>
    </row>
    <row r="2650" spans="11:15">
      <c r="K2650" s="1623">
        <v>44707</v>
      </c>
      <c r="L2650" s="1624" t="s">
        <v>2302</v>
      </c>
      <c r="M2650" s="1625">
        <v>4.7279000000000002E-2</v>
      </c>
      <c r="N2650" s="1626">
        <v>1.7593693960392425</v>
      </c>
      <c r="O2650" s="1626"/>
    </row>
    <row r="2651" spans="11:15">
      <c r="K2651" s="1623">
        <v>44708</v>
      </c>
      <c r="L2651" s="1624" t="s">
        <v>2302</v>
      </c>
      <c r="M2651" s="1625">
        <v>4.7279000000000002E-2</v>
      </c>
      <c r="N2651" s="1626">
        <v>1.7602012082959957</v>
      </c>
      <c r="O2651" s="1626"/>
    </row>
    <row r="2652" spans="11:15">
      <c r="K2652" s="1623">
        <v>44709</v>
      </c>
      <c r="L2652" s="1624"/>
      <c r="M2652" s="1625">
        <v>0</v>
      </c>
      <c r="N2652" s="1626">
        <v>1.7602012082959957</v>
      </c>
      <c r="O2652" s="1626"/>
    </row>
    <row r="2653" spans="11:15">
      <c r="K2653" s="1623">
        <v>44710</v>
      </c>
      <c r="L2653" s="1624"/>
      <c r="M2653" s="1625">
        <v>0</v>
      </c>
      <c r="N2653" s="1626">
        <v>1.7602012082959957</v>
      </c>
      <c r="O2653" s="1626"/>
    </row>
    <row r="2654" spans="11:15">
      <c r="K2654" s="1623">
        <v>44711</v>
      </c>
      <c r="L2654" s="1624" t="s">
        <v>2302</v>
      </c>
      <c r="M2654" s="1625">
        <v>4.7279000000000002E-2</v>
      </c>
      <c r="N2654" s="1626">
        <v>1.7610334138252657</v>
      </c>
      <c r="O2654" s="1626"/>
    </row>
    <row r="2655" spans="11:15">
      <c r="K2655" s="1623">
        <v>44712</v>
      </c>
      <c r="L2655" s="1624" t="s">
        <v>2302</v>
      </c>
      <c r="M2655" s="1625">
        <v>4.7279000000000002E-2</v>
      </c>
      <c r="N2655" s="1626">
        <v>1.7618660128129879</v>
      </c>
      <c r="O2655" s="1626"/>
    </row>
    <row r="2656" spans="11:15">
      <c r="K2656" s="1623">
        <v>44713</v>
      </c>
      <c r="L2656" s="1624" t="s">
        <v>2302</v>
      </c>
      <c r="M2656" s="1625">
        <v>4.7279000000000002E-2</v>
      </c>
      <c r="N2656" s="1626">
        <v>1.7626990054451857</v>
      </c>
      <c r="O2656" s="1626"/>
    </row>
    <row r="2657" spans="11:15">
      <c r="K2657" s="1623">
        <v>44714</v>
      </c>
      <c r="L2657" s="1624" t="s">
        <v>2302</v>
      </c>
      <c r="M2657" s="1625">
        <v>4.7279000000000002E-2</v>
      </c>
      <c r="N2657" s="1626">
        <v>1.76353239190797</v>
      </c>
      <c r="O2657" s="1626"/>
    </row>
    <row r="2658" spans="11:15">
      <c r="K2658" s="1623">
        <v>44715</v>
      </c>
      <c r="L2658" s="1624" t="s">
        <v>2302</v>
      </c>
      <c r="M2658" s="1625">
        <v>4.7279000000000002E-2</v>
      </c>
      <c r="N2658" s="1626">
        <v>1.7643661723875399</v>
      </c>
      <c r="O2658" s="1626"/>
    </row>
    <row r="2659" spans="11:15">
      <c r="K2659" s="1623">
        <v>44716</v>
      </c>
      <c r="L2659" s="1624"/>
      <c r="M2659" s="1625">
        <v>0</v>
      </c>
      <c r="N2659" s="1626">
        <v>1.7643661723875399</v>
      </c>
      <c r="O2659" s="1626"/>
    </row>
    <row r="2660" spans="11:15">
      <c r="K2660" s="1623">
        <v>44717</v>
      </c>
      <c r="L2660" s="1624"/>
      <c r="M2660" s="1625">
        <v>0</v>
      </c>
      <c r="N2660" s="1626">
        <v>1.7643661723875399</v>
      </c>
      <c r="O2660" s="1626"/>
    </row>
    <row r="2661" spans="11:15">
      <c r="K2661" s="1623">
        <v>44718</v>
      </c>
      <c r="L2661" s="1624" t="s">
        <v>2302</v>
      </c>
      <c r="M2661" s="1625">
        <v>4.7279000000000002E-2</v>
      </c>
      <c r="N2661" s="1626">
        <v>1.7652003470701829</v>
      </c>
      <c r="O2661" s="1626"/>
    </row>
    <row r="2662" spans="11:15">
      <c r="K2662" s="1623">
        <v>44719</v>
      </c>
      <c r="L2662" s="1624" t="s">
        <v>2302</v>
      </c>
      <c r="M2662" s="1625">
        <v>4.7279000000000002E-2</v>
      </c>
      <c r="N2662" s="1626">
        <v>1.7660349161422739</v>
      </c>
      <c r="O2662" s="1626"/>
    </row>
    <row r="2663" spans="11:15">
      <c r="K2663" s="1623">
        <v>44720</v>
      </c>
      <c r="L2663" s="1624" t="s">
        <v>2302</v>
      </c>
      <c r="M2663" s="1625">
        <v>4.7279000000000002E-2</v>
      </c>
      <c r="N2663" s="1626">
        <v>1.7668698797902767</v>
      </c>
      <c r="O2663" s="1626"/>
    </row>
    <row r="2664" spans="11:15">
      <c r="K2664" s="1623">
        <v>44721</v>
      </c>
      <c r="L2664" s="1624" t="s">
        <v>2302</v>
      </c>
      <c r="M2664" s="1625">
        <v>4.7279000000000002E-2</v>
      </c>
      <c r="N2664" s="1626">
        <v>1.7677052382007425</v>
      </c>
      <c r="O2664" s="1626"/>
    </row>
    <row r="2665" spans="11:15">
      <c r="K2665" s="1623">
        <v>44722</v>
      </c>
      <c r="L2665" s="1624" t="s">
        <v>2302</v>
      </c>
      <c r="M2665" s="1625">
        <v>4.7279000000000002E-2</v>
      </c>
      <c r="N2665" s="1626">
        <v>1.7685409915603112</v>
      </c>
      <c r="O2665" s="1626"/>
    </row>
    <row r="2666" spans="11:15">
      <c r="K2666" s="1623">
        <v>44723</v>
      </c>
      <c r="L2666" s="1624"/>
      <c r="M2666" s="1625">
        <v>0</v>
      </c>
      <c r="N2666" s="1626">
        <v>1.7685409915603112</v>
      </c>
      <c r="O2666" s="1626"/>
    </row>
    <row r="2667" spans="11:15">
      <c r="K2667" s="1623">
        <v>44724</v>
      </c>
      <c r="L2667" s="1624"/>
      <c r="M2667" s="1625">
        <v>0</v>
      </c>
      <c r="N2667" s="1626">
        <v>1.7685409915603112</v>
      </c>
      <c r="O2667" s="1626"/>
    </row>
    <row r="2668" spans="11:15">
      <c r="K2668" s="1623">
        <v>44725</v>
      </c>
      <c r="L2668" s="1624" t="s">
        <v>2302</v>
      </c>
      <c r="M2668" s="1625">
        <v>4.7279000000000002E-2</v>
      </c>
      <c r="N2668" s="1626">
        <v>1.7693771400557108</v>
      </c>
      <c r="O2668" s="1626"/>
    </row>
    <row r="2669" spans="11:15">
      <c r="K2669" s="1623">
        <v>44726</v>
      </c>
      <c r="L2669" s="1624" t="s">
        <v>2302</v>
      </c>
      <c r="M2669" s="1625">
        <v>4.7279000000000002E-2</v>
      </c>
      <c r="N2669" s="1626">
        <v>1.7702136838737574</v>
      </c>
      <c r="O2669" s="1626"/>
    </row>
    <row r="2670" spans="11:15">
      <c r="K2670" s="1623">
        <v>44727</v>
      </c>
      <c r="L2670" s="1624" t="s">
        <v>2302</v>
      </c>
      <c r="M2670" s="1625">
        <v>4.7279000000000002E-2</v>
      </c>
      <c r="N2670" s="1626">
        <v>1.7710506232013559</v>
      </c>
      <c r="O2670" s="1626"/>
    </row>
    <row r="2671" spans="11:15">
      <c r="K2671" s="1623">
        <v>44728</v>
      </c>
      <c r="L2671" s="1624"/>
      <c r="M2671" s="1625">
        <v>0</v>
      </c>
      <c r="N2671" s="1626">
        <v>1.7710506232013559</v>
      </c>
      <c r="O2671" s="1626"/>
    </row>
    <row r="2672" spans="11:15">
      <c r="K2672" s="1623">
        <v>44729</v>
      </c>
      <c r="L2672" s="1624" t="s">
        <v>2302</v>
      </c>
      <c r="M2672" s="1625">
        <v>4.9036999999999997E-2</v>
      </c>
      <c r="N2672" s="1626">
        <v>1.7719190932954552</v>
      </c>
      <c r="O2672" s="1626"/>
    </row>
    <row r="2673" spans="11:15">
      <c r="K2673" s="1623">
        <v>44730</v>
      </c>
      <c r="L2673" s="1624"/>
      <c r="M2673" s="1625">
        <v>0</v>
      </c>
      <c r="N2673" s="1626">
        <v>1.7719190932954552</v>
      </c>
      <c r="O2673" s="1626"/>
    </row>
    <row r="2674" spans="11:15">
      <c r="K2674" s="1623">
        <v>44731</v>
      </c>
      <c r="L2674" s="1624"/>
      <c r="M2674" s="1625">
        <v>0</v>
      </c>
      <c r="N2674" s="1626">
        <v>1.7719190932954552</v>
      </c>
      <c r="O2674" s="1626"/>
    </row>
    <row r="2675" spans="11:15">
      <c r="K2675" s="1623">
        <v>44732</v>
      </c>
      <c r="L2675" s="1624" t="s">
        <v>2302</v>
      </c>
      <c r="M2675" s="1625">
        <v>4.9036999999999997E-2</v>
      </c>
      <c r="N2675" s="1626">
        <v>1.7727879892612346</v>
      </c>
      <c r="O2675" s="1626"/>
    </row>
    <row r="2676" spans="11:15">
      <c r="K2676" s="1623">
        <v>44733</v>
      </c>
      <c r="L2676" s="1624" t="s">
        <v>2302</v>
      </c>
      <c r="M2676" s="1625">
        <v>4.9036999999999997E-2</v>
      </c>
      <c r="N2676" s="1626">
        <v>1.7736573113075287</v>
      </c>
      <c r="O2676" s="1626"/>
    </row>
    <row r="2677" spans="11:15">
      <c r="K2677" s="1623">
        <v>44734</v>
      </c>
      <c r="L2677" s="1624" t="s">
        <v>2302</v>
      </c>
      <c r="M2677" s="1625">
        <v>4.9036999999999997E-2</v>
      </c>
      <c r="N2677" s="1626">
        <v>1.7745270596432747</v>
      </c>
      <c r="O2677" s="1626"/>
    </row>
    <row r="2678" spans="11:15">
      <c r="K2678" s="1623">
        <v>44735</v>
      </c>
      <c r="L2678" s="1624" t="s">
        <v>2302</v>
      </c>
      <c r="M2678" s="1625">
        <v>4.9036999999999997E-2</v>
      </c>
      <c r="N2678" s="1626">
        <v>1.7753972344775122</v>
      </c>
      <c r="O2678" s="1626"/>
    </row>
    <row r="2679" spans="11:15">
      <c r="K2679" s="1623">
        <v>44736</v>
      </c>
      <c r="L2679" s="1624" t="s">
        <v>2302</v>
      </c>
      <c r="M2679" s="1625">
        <v>4.9036999999999997E-2</v>
      </c>
      <c r="N2679" s="1626">
        <v>1.7762678360193831</v>
      </c>
      <c r="O2679" s="1626"/>
    </row>
    <row r="2680" spans="11:15">
      <c r="K2680" s="1623">
        <v>44737</v>
      </c>
      <c r="L2680" s="1624"/>
      <c r="M2680" s="1625">
        <v>0</v>
      </c>
      <c r="N2680" s="1626">
        <v>1.7762678360193831</v>
      </c>
      <c r="O2680" s="1626"/>
    </row>
    <row r="2681" spans="11:15">
      <c r="K2681" s="1623">
        <v>44738</v>
      </c>
      <c r="L2681" s="1624"/>
      <c r="M2681" s="1625">
        <v>0</v>
      </c>
      <c r="N2681" s="1626">
        <v>1.7762678360193831</v>
      </c>
      <c r="O2681" s="1626"/>
    </row>
    <row r="2682" spans="11:15">
      <c r="K2682" s="1623">
        <v>44739</v>
      </c>
      <c r="L2682" s="1624" t="s">
        <v>2302</v>
      </c>
      <c r="M2682" s="1625">
        <v>4.9036999999999997E-2</v>
      </c>
      <c r="N2682" s="1626">
        <v>1.7771388644781321</v>
      </c>
      <c r="O2682" s="1626"/>
    </row>
    <row r="2683" spans="11:15">
      <c r="K2683" s="1623">
        <v>44740</v>
      </c>
      <c r="L2683" s="1624" t="s">
        <v>2302</v>
      </c>
      <c r="M2683" s="1625">
        <v>4.9036999999999997E-2</v>
      </c>
      <c r="N2683" s="1626">
        <v>1.7780103200631063</v>
      </c>
      <c r="O2683" s="1626"/>
    </row>
    <row r="2684" spans="11:15">
      <c r="K2684" s="1623">
        <v>44741</v>
      </c>
      <c r="L2684" s="1624" t="s">
        <v>2302</v>
      </c>
      <c r="M2684" s="1625">
        <v>4.9036999999999997E-2</v>
      </c>
      <c r="N2684" s="1626">
        <v>1.7788822029837559</v>
      </c>
      <c r="O2684" s="1626"/>
    </row>
    <row r="2685" spans="11:15">
      <c r="K2685" s="1623">
        <v>44742</v>
      </c>
      <c r="L2685" s="1624" t="s">
        <v>2302</v>
      </c>
      <c r="M2685" s="1625">
        <v>4.9036999999999997E-2</v>
      </c>
      <c r="N2685" s="1626">
        <v>1.7797545134496331</v>
      </c>
      <c r="O2685" s="1626"/>
    </row>
    <row r="2686" spans="11:15">
      <c r="K2686" s="1623">
        <v>44743</v>
      </c>
      <c r="L2686" s="1624" t="s">
        <v>2302</v>
      </c>
      <c r="M2686" s="1625">
        <v>4.9036999999999997E-2</v>
      </c>
      <c r="N2686" s="1626">
        <v>1.7806272516703936</v>
      </c>
      <c r="O2686" s="1626"/>
    </row>
    <row r="2687" spans="11:15">
      <c r="K2687" s="1623">
        <v>44744</v>
      </c>
      <c r="L2687" s="1624"/>
      <c r="M2687" s="1625">
        <v>0</v>
      </c>
      <c r="N2687" s="1626">
        <v>1.7806272516703936</v>
      </c>
      <c r="O2687" s="1626"/>
    </row>
    <row r="2688" spans="11:15">
      <c r="K2688" s="1623">
        <v>44745</v>
      </c>
      <c r="L2688" s="1624"/>
      <c r="M2688" s="1625">
        <v>0</v>
      </c>
      <c r="N2688" s="1626">
        <v>1.7806272516703936</v>
      </c>
      <c r="O2688" s="1626"/>
    </row>
    <row r="2689" spans="11:15">
      <c r="K2689" s="1623">
        <v>44746</v>
      </c>
      <c r="L2689" s="1624" t="s">
        <v>2302</v>
      </c>
      <c r="M2689" s="1625">
        <v>4.9036999999999997E-2</v>
      </c>
      <c r="N2689" s="1626">
        <v>1.7815004178557954</v>
      </c>
      <c r="O2689" s="1626"/>
    </row>
    <row r="2690" spans="11:15">
      <c r="K2690" s="1623">
        <v>44747</v>
      </c>
      <c r="L2690" s="1624" t="s">
        <v>2302</v>
      </c>
      <c r="M2690" s="1625">
        <v>4.9036999999999997E-2</v>
      </c>
      <c r="N2690" s="1626">
        <v>1.7823740122156995</v>
      </c>
      <c r="O2690" s="1626"/>
    </row>
    <row r="2691" spans="11:15">
      <c r="K2691" s="1623">
        <v>44748</v>
      </c>
      <c r="L2691" s="1624" t="s">
        <v>2302</v>
      </c>
      <c r="M2691" s="1625">
        <v>4.9036999999999997E-2</v>
      </c>
      <c r="N2691" s="1626">
        <v>1.7832480349600699</v>
      </c>
      <c r="O2691" s="1626"/>
    </row>
    <row r="2692" spans="11:15">
      <c r="K2692" s="1623">
        <v>44749</v>
      </c>
      <c r="L2692" s="1624" t="s">
        <v>2302</v>
      </c>
      <c r="M2692" s="1625">
        <v>4.9036999999999997E-2</v>
      </c>
      <c r="N2692" s="1626">
        <v>1.7841224862989733</v>
      </c>
      <c r="O2692" s="1626"/>
    </row>
    <row r="2693" spans="11:15">
      <c r="K2693" s="1623">
        <v>44750</v>
      </c>
      <c r="L2693" s="1624" t="s">
        <v>2302</v>
      </c>
      <c r="M2693" s="1625">
        <v>4.9036999999999997E-2</v>
      </c>
      <c r="N2693" s="1626">
        <v>1.7849973664425798</v>
      </c>
      <c r="O2693" s="1626"/>
    </row>
    <row r="2694" spans="11:15">
      <c r="K2694" s="1623">
        <v>44751</v>
      </c>
      <c r="L2694" s="1624"/>
      <c r="M2694" s="1625">
        <v>0</v>
      </c>
      <c r="N2694" s="1626">
        <v>1.7849973664425798</v>
      </c>
      <c r="O2694" s="1626"/>
    </row>
    <row r="2695" spans="11:15">
      <c r="K2695" s="1623">
        <v>44752</v>
      </c>
      <c r="L2695" s="1624"/>
      <c r="M2695" s="1625">
        <v>0</v>
      </c>
      <c r="N2695" s="1626">
        <v>1.7849973664425798</v>
      </c>
      <c r="O2695" s="1626"/>
    </row>
    <row r="2696" spans="11:15">
      <c r="K2696" s="1623">
        <v>44753</v>
      </c>
      <c r="L2696" s="1624" t="s">
        <v>2302</v>
      </c>
      <c r="M2696" s="1625">
        <v>4.9036999999999997E-2</v>
      </c>
      <c r="N2696" s="1626">
        <v>1.7858726756011623</v>
      </c>
      <c r="O2696" s="1626"/>
    </row>
    <row r="2697" spans="11:15">
      <c r="K2697" s="1623">
        <v>44754</v>
      </c>
      <c r="L2697" s="1624" t="s">
        <v>2302</v>
      </c>
      <c r="M2697" s="1625">
        <v>4.9036999999999997E-2</v>
      </c>
      <c r="N2697" s="1626">
        <v>1.7867484139850969</v>
      </c>
      <c r="O2697" s="1626"/>
    </row>
    <row r="2698" spans="11:15">
      <c r="K2698" s="1623">
        <v>44755</v>
      </c>
      <c r="L2698" s="1624" t="s">
        <v>2302</v>
      </c>
      <c r="M2698" s="1625">
        <v>4.9036999999999997E-2</v>
      </c>
      <c r="N2698" s="1626">
        <v>1.7876245818048628</v>
      </c>
      <c r="O2698" s="1626"/>
    </row>
    <row r="2699" spans="11:15">
      <c r="K2699" s="1623">
        <v>44756</v>
      </c>
      <c r="L2699" s="1624" t="s">
        <v>2302</v>
      </c>
      <c r="M2699" s="1625">
        <v>4.9036999999999997E-2</v>
      </c>
      <c r="N2699" s="1626">
        <v>1.7885011792710426</v>
      </c>
      <c r="O2699" s="1626"/>
    </row>
    <row r="2700" spans="11:15">
      <c r="K2700" s="1623">
        <v>44757</v>
      </c>
      <c r="L2700" s="1624" t="s">
        <v>2302</v>
      </c>
      <c r="M2700" s="1625">
        <v>4.9036999999999997E-2</v>
      </c>
      <c r="N2700" s="1626">
        <v>1.7893782065943218</v>
      </c>
      <c r="O2700" s="1626"/>
    </row>
    <row r="2701" spans="11:15">
      <c r="K2701" s="1623">
        <v>44758</v>
      </c>
      <c r="L2701" s="1624"/>
      <c r="M2701" s="1625">
        <v>0</v>
      </c>
      <c r="N2701" s="1626">
        <v>1.7893782065943218</v>
      </c>
      <c r="O2701" s="1626"/>
    </row>
    <row r="2702" spans="11:15">
      <c r="K2702" s="1623">
        <v>44759</v>
      </c>
      <c r="L2702" s="1624"/>
      <c r="M2702" s="1625">
        <v>0</v>
      </c>
      <c r="N2702" s="1626">
        <v>1.7893782065943218</v>
      </c>
      <c r="O2702" s="1626"/>
    </row>
    <row r="2703" spans="11:15">
      <c r="K2703" s="1623">
        <v>44760</v>
      </c>
      <c r="L2703" s="1624" t="s">
        <v>2302</v>
      </c>
      <c r="M2703" s="1625">
        <v>4.9036999999999997E-2</v>
      </c>
      <c r="N2703" s="1626">
        <v>1.7902556639854896</v>
      </c>
      <c r="O2703" s="1626"/>
    </row>
    <row r="2704" spans="11:15">
      <c r="K2704" s="1623">
        <v>44761</v>
      </c>
      <c r="L2704" s="1624" t="s">
        <v>2302</v>
      </c>
      <c r="M2704" s="1625">
        <v>4.9036999999999997E-2</v>
      </c>
      <c r="N2704" s="1626">
        <v>1.7911335516554383</v>
      </c>
      <c r="O2704" s="1626"/>
    </row>
    <row r="2705" spans="11:15">
      <c r="K2705" s="1623">
        <v>44762</v>
      </c>
      <c r="L2705" s="1624" t="s">
        <v>2302</v>
      </c>
      <c r="M2705" s="1625">
        <v>4.9036999999999997E-2</v>
      </c>
      <c r="N2705" s="1626">
        <v>1.7920118698151637</v>
      </c>
      <c r="O2705" s="1626"/>
    </row>
    <row r="2706" spans="11:15">
      <c r="K2706" s="1623">
        <v>44763</v>
      </c>
      <c r="L2706" s="1624" t="s">
        <v>2302</v>
      </c>
      <c r="M2706" s="1625">
        <v>4.9036999999999997E-2</v>
      </c>
      <c r="N2706" s="1626">
        <v>1.7928906186757652</v>
      </c>
      <c r="O2706" s="1626"/>
    </row>
    <row r="2707" spans="11:15">
      <c r="K2707" s="1623">
        <v>44764</v>
      </c>
      <c r="L2707" s="1624" t="s">
        <v>2302</v>
      </c>
      <c r="M2707" s="1625">
        <v>4.9036999999999997E-2</v>
      </c>
      <c r="N2707" s="1626">
        <v>1.7937697984484453</v>
      </c>
      <c r="O2707" s="1626"/>
    </row>
    <row r="2708" spans="11:15">
      <c r="K2708" s="1623">
        <v>44765</v>
      </c>
      <c r="L2708" s="1624"/>
      <c r="M2708" s="1625">
        <v>0</v>
      </c>
      <c r="N2708" s="1626">
        <v>1.7937697984484453</v>
      </c>
      <c r="O2708" s="1626"/>
    </row>
    <row r="2709" spans="11:15">
      <c r="K2709" s="1623">
        <v>44766</v>
      </c>
      <c r="L2709" s="1624"/>
      <c r="M2709" s="1625">
        <v>0</v>
      </c>
      <c r="N2709" s="1626">
        <v>1.7937697984484453</v>
      </c>
      <c r="O2709" s="1626"/>
    </row>
    <row r="2710" spans="11:15">
      <c r="K2710" s="1623">
        <v>44767</v>
      </c>
      <c r="L2710" s="1624" t="s">
        <v>2302</v>
      </c>
      <c r="M2710" s="1625">
        <v>4.9036999999999997E-2</v>
      </c>
      <c r="N2710" s="1626">
        <v>1.7946494093445107</v>
      </c>
      <c r="O2710" s="1626"/>
    </row>
    <row r="2711" spans="11:15">
      <c r="K2711" s="1623">
        <v>44768</v>
      </c>
      <c r="L2711" s="1624" t="s">
        <v>2302</v>
      </c>
      <c r="M2711" s="1625">
        <v>4.9036999999999997E-2</v>
      </c>
      <c r="N2711" s="1626">
        <v>1.795529451575371</v>
      </c>
      <c r="O2711" s="1626"/>
    </row>
    <row r="2712" spans="11:15">
      <c r="K2712" s="1623">
        <v>44769</v>
      </c>
      <c r="L2712" s="1624" t="s">
        <v>2302</v>
      </c>
      <c r="M2712" s="1625">
        <v>4.9036999999999997E-2</v>
      </c>
      <c r="N2712" s="1626">
        <v>1.7964099253525401</v>
      </c>
      <c r="O2712" s="1626"/>
    </row>
    <row r="2713" spans="11:15">
      <c r="K2713" s="1623">
        <v>44770</v>
      </c>
      <c r="L2713" s="1624" t="s">
        <v>2302</v>
      </c>
      <c r="M2713" s="1625">
        <v>4.9036999999999997E-2</v>
      </c>
      <c r="N2713" s="1626">
        <v>1.7972908308876354</v>
      </c>
      <c r="O2713" s="1626"/>
    </row>
    <row r="2714" spans="11:15">
      <c r="K2714" s="1623">
        <v>44771</v>
      </c>
      <c r="L2714" s="1624" t="s">
        <v>2302</v>
      </c>
      <c r="M2714" s="1625">
        <v>4.9036999999999997E-2</v>
      </c>
      <c r="N2714" s="1626">
        <v>1.7981721683923779</v>
      </c>
      <c r="O2714" s="1626"/>
    </row>
    <row r="2715" spans="11:15">
      <c r="K2715" s="1623">
        <v>44772</v>
      </c>
      <c r="L2715" s="1624"/>
      <c r="M2715" s="1625">
        <v>0</v>
      </c>
      <c r="N2715" s="1626">
        <v>1.7981721683923779</v>
      </c>
      <c r="O2715" s="1626"/>
    </row>
    <row r="2716" spans="11:15">
      <c r="K2716" s="1623">
        <v>44773</v>
      </c>
      <c r="L2716" s="1624"/>
      <c r="M2716" s="1625">
        <v>0</v>
      </c>
      <c r="N2716" s="1626">
        <v>1.7981721683923779</v>
      </c>
      <c r="O2716" s="1626"/>
    </row>
    <row r="2717" spans="11:15">
      <c r="K2717" s="1623">
        <v>44774</v>
      </c>
      <c r="L2717" s="1624" t="s">
        <v>2302</v>
      </c>
      <c r="M2717" s="1625">
        <v>4.9036999999999997E-2</v>
      </c>
      <c r="N2717" s="1626">
        <v>1.7990539380785926</v>
      </c>
      <c r="O2717" s="1626"/>
    </row>
    <row r="2718" spans="11:15">
      <c r="K2718" s="1623">
        <v>44775</v>
      </c>
      <c r="L2718" s="1624" t="s">
        <v>2302</v>
      </c>
      <c r="M2718" s="1625">
        <v>4.9036999999999997E-2</v>
      </c>
      <c r="N2718" s="1626">
        <v>1.7999361401582084</v>
      </c>
      <c r="O2718" s="1626"/>
    </row>
    <row r="2719" spans="11:15">
      <c r="K2719" s="1623">
        <v>44776</v>
      </c>
      <c r="L2719" s="1624" t="s">
        <v>2302</v>
      </c>
      <c r="M2719" s="1625">
        <v>4.9036999999999997E-2</v>
      </c>
      <c r="N2719" s="1626">
        <v>1.8008187748432578</v>
      </c>
      <c r="O2719" s="1626"/>
    </row>
    <row r="2720" spans="11:15">
      <c r="K2720" s="1623">
        <v>44777</v>
      </c>
      <c r="L2720" s="1624" t="s">
        <v>2302</v>
      </c>
      <c r="M2720" s="1625">
        <v>4.9036999999999997E-2</v>
      </c>
      <c r="N2720" s="1626">
        <v>1.8017018423458779</v>
      </c>
      <c r="O2720" s="1626"/>
    </row>
    <row r="2721" spans="11:15">
      <c r="K2721" s="1623">
        <v>44778</v>
      </c>
      <c r="L2721" s="1624" t="s">
        <v>2302</v>
      </c>
      <c r="M2721" s="1625">
        <v>4.9036999999999997E-2</v>
      </c>
      <c r="N2721" s="1626">
        <v>1.8025853428783092</v>
      </c>
      <c r="O2721" s="1626"/>
    </row>
    <row r="2722" spans="11:15">
      <c r="K2722" s="1623">
        <v>44779</v>
      </c>
      <c r="L2722" s="1624"/>
      <c r="M2722" s="1625">
        <v>0</v>
      </c>
      <c r="N2722" s="1626">
        <v>1.8025853428783092</v>
      </c>
      <c r="O2722" s="1626"/>
    </row>
    <row r="2723" spans="11:15">
      <c r="K2723" s="1623">
        <v>44780</v>
      </c>
      <c r="L2723" s="1624"/>
      <c r="M2723" s="1625">
        <v>0</v>
      </c>
      <c r="N2723" s="1626">
        <v>1.8025853428783092</v>
      </c>
      <c r="O2723" s="1626"/>
    </row>
    <row r="2724" spans="11:15">
      <c r="K2724" s="1623">
        <v>44781</v>
      </c>
      <c r="L2724" s="1624" t="s">
        <v>2302</v>
      </c>
      <c r="M2724" s="1625">
        <v>4.9036999999999997E-2</v>
      </c>
      <c r="N2724" s="1626">
        <v>1.8034692766528966</v>
      </c>
      <c r="O2724" s="1626"/>
    </row>
    <row r="2725" spans="11:15">
      <c r="K2725" s="1623">
        <v>44782</v>
      </c>
      <c r="L2725" s="1624" t="s">
        <v>2302</v>
      </c>
      <c r="M2725" s="1625">
        <v>4.9036999999999997E-2</v>
      </c>
      <c r="N2725" s="1626">
        <v>1.8043536438820891</v>
      </c>
      <c r="O2725" s="1626"/>
    </row>
    <row r="2726" spans="11:15">
      <c r="K2726" s="1623">
        <v>44783</v>
      </c>
      <c r="L2726" s="1624" t="s">
        <v>2302</v>
      </c>
      <c r="M2726" s="1625">
        <v>4.9036999999999997E-2</v>
      </c>
      <c r="N2726" s="1626">
        <v>1.8052384447784398</v>
      </c>
      <c r="O2726" s="1626"/>
    </row>
    <row r="2727" spans="11:15">
      <c r="K2727" s="1623">
        <v>44784</v>
      </c>
      <c r="L2727" s="1624" t="s">
        <v>2302</v>
      </c>
      <c r="M2727" s="1625">
        <v>4.9036999999999997E-2</v>
      </c>
      <c r="N2727" s="1626">
        <v>1.8061236795546058</v>
      </c>
      <c r="O2727" s="1626"/>
    </row>
    <row r="2728" spans="11:15">
      <c r="K2728" s="1623">
        <v>44785</v>
      </c>
      <c r="L2728" s="1624" t="s">
        <v>2302</v>
      </c>
      <c r="M2728" s="1625">
        <v>4.9036999999999997E-2</v>
      </c>
      <c r="N2728" s="1626">
        <v>1.8070093484233491</v>
      </c>
      <c r="O2728" s="1626"/>
    </row>
    <row r="2729" spans="11:15">
      <c r="K2729" s="1623">
        <v>44786</v>
      </c>
      <c r="L2729" s="1624"/>
      <c r="M2729" s="1625">
        <v>0</v>
      </c>
      <c r="N2729" s="1626">
        <v>1.8070093484233491</v>
      </c>
      <c r="O2729" s="1626"/>
    </row>
    <row r="2730" spans="11:15">
      <c r="K2730" s="1623">
        <v>44787</v>
      </c>
      <c r="L2730" s="1624"/>
      <c r="M2730" s="1625">
        <v>0</v>
      </c>
      <c r="N2730" s="1626">
        <v>1.8070093484233491</v>
      </c>
      <c r="O2730" s="1626"/>
    </row>
    <row r="2731" spans="11:15">
      <c r="K2731" s="1623">
        <v>44788</v>
      </c>
      <c r="L2731" s="1624" t="s">
        <v>2302</v>
      </c>
      <c r="M2731" s="1625">
        <v>4.9036999999999997E-2</v>
      </c>
      <c r="N2731" s="1626">
        <v>1.8078954515975356</v>
      </c>
      <c r="O2731" s="1626"/>
    </row>
    <row r="2732" spans="11:15">
      <c r="K2732" s="1623">
        <v>44789</v>
      </c>
      <c r="L2732" s="1624" t="s">
        <v>2302</v>
      </c>
      <c r="M2732" s="1625">
        <v>4.9036999999999997E-2</v>
      </c>
      <c r="N2732" s="1626">
        <v>1.8087819892901356</v>
      </c>
      <c r="O2732" s="1626"/>
    </row>
    <row r="2733" spans="11:15">
      <c r="K2733" s="1623">
        <v>44790</v>
      </c>
      <c r="L2733" s="1624" t="s">
        <v>2302</v>
      </c>
      <c r="M2733" s="1625">
        <v>4.9036999999999997E-2</v>
      </c>
      <c r="N2733" s="1626">
        <v>1.8096689617142239</v>
      </c>
      <c r="O2733" s="1626"/>
    </row>
    <row r="2734" spans="11:15">
      <c r="K2734" s="1623">
        <v>44791</v>
      </c>
      <c r="L2734" s="1624" t="s">
        <v>2302</v>
      </c>
      <c r="M2734" s="1625">
        <v>4.9036999999999997E-2</v>
      </c>
      <c r="N2734" s="1626">
        <v>1.8105563690829798</v>
      </c>
      <c r="O2734" s="1626"/>
    </row>
    <row r="2735" spans="11:15">
      <c r="K2735" s="1623">
        <v>44792</v>
      </c>
      <c r="L2735" s="1624" t="s">
        <v>2302</v>
      </c>
      <c r="M2735" s="1625">
        <v>4.9036999999999997E-2</v>
      </c>
      <c r="N2735" s="1626">
        <v>1.8114442116096872</v>
      </c>
      <c r="O2735" s="1626"/>
    </row>
    <row r="2736" spans="11:15">
      <c r="K2736" s="1623">
        <v>44793</v>
      </c>
      <c r="L2736" s="1624"/>
      <c r="M2736" s="1625">
        <v>0</v>
      </c>
      <c r="N2736" s="1626">
        <v>1.8114442116096872</v>
      </c>
      <c r="O2736" s="1626"/>
    </row>
    <row r="2737" spans="11:15">
      <c r="K2737" s="1623">
        <v>44794</v>
      </c>
      <c r="L2737" s="1624"/>
      <c r="M2737" s="1625">
        <v>0</v>
      </c>
      <c r="N2737" s="1626">
        <v>1.8114442116096872</v>
      </c>
      <c r="O2737" s="1626"/>
    </row>
    <row r="2738" spans="11:15">
      <c r="K2738" s="1623">
        <v>44795</v>
      </c>
      <c r="L2738" s="1624" t="s">
        <v>2302</v>
      </c>
      <c r="M2738" s="1625">
        <v>4.9036999999999997E-2</v>
      </c>
      <c r="N2738" s="1626">
        <v>1.8123324895077344</v>
      </c>
      <c r="O2738" s="1626"/>
    </row>
    <row r="2739" spans="11:15">
      <c r="K2739" s="1623">
        <v>44796</v>
      </c>
      <c r="L2739" s="1624" t="s">
        <v>2302</v>
      </c>
      <c r="M2739" s="1625">
        <v>4.9036999999999997E-2</v>
      </c>
      <c r="N2739" s="1626">
        <v>1.8132212029906145</v>
      </c>
      <c r="O2739" s="1626"/>
    </row>
    <row r="2740" spans="11:15">
      <c r="K2740" s="1623">
        <v>44797</v>
      </c>
      <c r="L2740" s="1624" t="s">
        <v>2302</v>
      </c>
      <c r="M2740" s="1625">
        <v>4.9036999999999997E-2</v>
      </c>
      <c r="N2740" s="1626">
        <v>1.8141103522719251</v>
      </c>
      <c r="O2740" s="1626"/>
    </row>
    <row r="2741" spans="11:15">
      <c r="K2741" s="1623">
        <v>44798</v>
      </c>
      <c r="L2741" s="1624" t="s">
        <v>2302</v>
      </c>
      <c r="M2741" s="1625">
        <v>4.9036999999999997E-2</v>
      </c>
      <c r="N2741" s="1626">
        <v>1.8149999375653687</v>
      </c>
      <c r="O2741" s="1626"/>
    </row>
    <row r="2742" spans="11:15">
      <c r="K2742" s="1623">
        <v>44799</v>
      </c>
      <c r="L2742" s="1624" t="s">
        <v>2302</v>
      </c>
      <c r="M2742" s="1625">
        <v>4.9036999999999997E-2</v>
      </c>
      <c r="N2742" s="1626">
        <v>1.8158899590847528</v>
      </c>
      <c r="O2742" s="1626"/>
    </row>
    <row r="2743" spans="11:15">
      <c r="K2743" s="1623">
        <v>44800</v>
      </c>
      <c r="L2743" s="1624"/>
      <c r="M2743" s="1625">
        <v>0</v>
      </c>
      <c r="N2743" s="1626">
        <v>1.8158899590847528</v>
      </c>
      <c r="O2743" s="1626"/>
    </row>
    <row r="2744" spans="11:15">
      <c r="K2744" s="1623">
        <v>44801</v>
      </c>
      <c r="L2744" s="1624"/>
      <c r="M2744" s="1625">
        <v>0</v>
      </c>
      <c r="N2744" s="1626">
        <v>1.8158899590847528</v>
      </c>
      <c r="O2744" s="1626"/>
    </row>
    <row r="2745" spans="11:15">
      <c r="K2745" s="1623">
        <v>44802</v>
      </c>
      <c r="L2745" s="1624" t="s">
        <v>2302</v>
      </c>
      <c r="M2745" s="1625">
        <v>4.9036999999999997E-2</v>
      </c>
      <c r="N2745" s="1626">
        <v>1.8167804170439894</v>
      </c>
      <c r="O2745" s="1626"/>
    </row>
    <row r="2746" spans="11:15">
      <c r="K2746" s="1623">
        <v>44803</v>
      </c>
      <c r="L2746" s="1624" t="s">
        <v>2302</v>
      </c>
      <c r="M2746" s="1625">
        <v>4.9036999999999997E-2</v>
      </c>
      <c r="N2746" s="1626">
        <v>1.8176713116570955</v>
      </c>
      <c r="O2746" s="1626"/>
    </row>
    <row r="2747" spans="11:15">
      <c r="K2747" s="1623">
        <v>44804</v>
      </c>
      <c r="L2747" s="1624" t="s">
        <v>2302</v>
      </c>
      <c r="M2747" s="1625">
        <v>4.9036999999999997E-2</v>
      </c>
      <c r="N2747" s="1626">
        <v>1.8185626431381929</v>
      </c>
      <c r="O2747" s="1626"/>
    </row>
    <row r="2748" spans="11:15">
      <c r="K2748" s="1623">
        <v>44805</v>
      </c>
      <c r="L2748" s="1624" t="s">
        <v>2302</v>
      </c>
      <c r="M2748" s="1625">
        <v>4.9036999999999997E-2</v>
      </c>
      <c r="N2748" s="1626">
        <v>1.8194544117015088</v>
      </c>
      <c r="O2748" s="1626"/>
    </row>
    <row r="2749" spans="11:15">
      <c r="K2749" s="1623">
        <v>44806</v>
      </c>
      <c r="L2749" s="1624" t="s">
        <v>2302</v>
      </c>
      <c r="M2749" s="1625">
        <v>4.9036999999999997E-2</v>
      </c>
      <c r="N2749" s="1626">
        <v>1.8203466175613749</v>
      </c>
      <c r="O2749" s="1626"/>
    </row>
    <row r="2750" spans="11:15">
      <c r="K2750" s="1623">
        <v>44807</v>
      </c>
      <c r="L2750" s="1624"/>
      <c r="M2750" s="1625">
        <v>0</v>
      </c>
      <c r="N2750" s="1626">
        <v>1.8203466175613749</v>
      </c>
      <c r="O2750" s="1626"/>
    </row>
    <row r="2751" spans="11:15">
      <c r="K2751" s="1623">
        <v>44808</v>
      </c>
      <c r="L2751" s="1624"/>
      <c r="M2751" s="1625">
        <v>0</v>
      </c>
      <c r="N2751" s="1626">
        <v>1.8203466175613749</v>
      </c>
      <c r="O2751" s="1626"/>
    </row>
    <row r="2752" spans="11:15">
      <c r="K2752" s="1623">
        <v>44809</v>
      </c>
      <c r="L2752" s="1624" t="s">
        <v>2302</v>
      </c>
      <c r="M2752" s="1625">
        <v>4.9036999999999997E-2</v>
      </c>
      <c r="N2752" s="1626">
        <v>1.8212392609322285</v>
      </c>
      <c r="O2752" s="1626"/>
    </row>
    <row r="2753" spans="11:15">
      <c r="K2753" s="1623">
        <v>44810</v>
      </c>
      <c r="L2753" s="1624" t="s">
        <v>2302</v>
      </c>
      <c r="M2753" s="1625">
        <v>4.9036999999999997E-2</v>
      </c>
      <c r="N2753" s="1626">
        <v>1.822132342028612</v>
      </c>
      <c r="O2753" s="1626"/>
    </row>
    <row r="2754" spans="11:15">
      <c r="K2754" s="1623">
        <v>44811</v>
      </c>
      <c r="L2754" s="1624"/>
      <c r="M2754" s="1625">
        <v>0</v>
      </c>
      <c r="N2754" s="1626">
        <v>1.822132342028612</v>
      </c>
      <c r="O2754" s="1626"/>
    </row>
    <row r="2755" spans="11:15">
      <c r="K2755" s="1623">
        <v>44812</v>
      </c>
      <c r="L2755" s="1624" t="s">
        <v>2302</v>
      </c>
      <c r="M2755" s="1625">
        <v>4.9036999999999997E-2</v>
      </c>
      <c r="N2755" s="1626">
        <v>1.8230258610651726</v>
      </c>
      <c r="O2755" s="1626"/>
    </row>
    <row r="2756" spans="11:15">
      <c r="K2756" s="1623">
        <v>44813</v>
      </c>
      <c r="L2756" s="1624" t="s">
        <v>2302</v>
      </c>
      <c r="M2756" s="1625">
        <v>4.9036999999999997E-2</v>
      </c>
      <c r="N2756" s="1626">
        <v>1.8239198182566634</v>
      </c>
      <c r="O2756" s="1626"/>
    </row>
    <row r="2757" spans="11:15">
      <c r="K2757" s="1623">
        <v>44814</v>
      </c>
      <c r="L2757" s="1624"/>
      <c r="M2757" s="1625">
        <v>0</v>
      </c>
      <c r="N2757" s="1626">
        <v>1.8239198182566634</v>
      </c>
      <c r="O2757" s="1626"/>
    </row>
    <row r="2758" spans="11:15">
      <c r="K2758" s="1623">
        <v>44815</v>
      </c>
      <c r="L2758" s="1624"/>
      <c r="M2758" s="1625">
        <v>0</v>
      </c>
      <c r="N2758" s="1626">
        <v>1.8239198182566634</v>
      </c>
      <c r="O2758" s="1626"/>
    </row>
    <row r="2759" spans="11:15">
      <c r="K2759" s="1623">
        <v>44816</v>
      </c>
      <c r="L2759" s="1624" t="s">
        <v>2302</v>
      </c>
      <c r="M2759" s="1625">
        <v>4.9036999999999997E-2</v>
      </c>
      <c r="N2759" s="1626">
        <v>1.824814213817942</v>
      </c>
      <c r="O2759" s="1626"/>
    </row>
    <row r="2760" spans="11:15">
      <c r="K2760" s="1623">
        <v>44817</v>
      </c>
      <c r="L2760" s="1624" t="s">
        <v>2302</v>
      </c>
      <c r="M2760" s="1625">
        <v>4.9036999999999997E-2</v>
      </c>
      <c r="N2760" s="1626">
        <v>1.8257090479639719</v>
      </c>
      <c r="O2760" s="1626"/>
    </row>
    <row r="2761" spans="11:15">
      <c r="K2761" s="1623">
        <v>44818</v>
      </c>
      <c r="L2761" s="1624" t="s">
        <v>2302</v>
      </c>
      <c r="M2761" s="1625">
        <v>4.9036999999999997E-2</v>
      </c>
      <c r="N2761" s="1626">
        <v>1.8266043209098222</v>
      </c>
      <c r="O2761" s="1626"/>
    </row>
    <row r="2762" spans="11:15">
      <c r="K2762" s="1623">
        <v>44819</v>
      </c>
      <c r="L2762" s="1624" t="s">
        <v>2302</v>
      </c>
      <c r="M2762" s="1625">
        <v>4.9036999999999997E-2</v>
      </c>
      <c r="N2762" s="1626">
        <v>1.8275000328706668</v>
      </c>
      <c r="O2762" s="1626"/>
    </row>
    <row r="2763" spans="11:15">
      <c r="K2763" s="1623">
        <v>44820</v>
      </c>
      <c r="L2763" s="1624" t="s">
        <v>2302</v>
      </c>
      <c r="M2763" s="1625">
        <v>4.9036999999999997E-2</v>
      </c>
      <c r="N2763" s="1626">
        <v>1.8283961840617857</v>
      </c>
      <c r="O2763" s="1626"/>
    </row>
    <row r="2764" spans="11:15">
      <c r="K2764" s="1623">
        <v>44821</v>
      </c>
      <c r="L2764" s="1624"/>
      <c r="M2764" s="1625">
        <v>0</v>
      </c>
      <c r="N2764" s="1626">
        <v>1.8283961840617857</v>
      </c>
      <c r="O2764" s="1626"/>
    </row>
    <row r="2765" spans="11:15">
      <c r="K2765" s="1623">
        <v>44822</v>
      </c>
      <c r="L2765" s="1624"/>
      <c r="M2765" s="1625">
        <v>0</v>
      </c>
      <c r="N2765" s="1626">
        <v>1.8283961840617857</v>
      </c>
      <c r="O2765" s="1626"/>
    </row>
    <row r="2766" spans="11:15">
      <c r="K2766" s="1623">
        <v>44823</v>
      </c>
      <c r="L2766" s="1624" t="s">
        <v>2302</v>
      </c>
      <c r="M2766" s="1625">
        <v>4.9036999999999997E-2</v>
      </c>
      <c r="N2766" s="1626">
        <v>1.8292927746985643</v>
      </c>
      <c r="O2766" s="1626"/>
    </row>
    <row r="2767" spans="11:15">
      <c r="K2767" s="1623">
        <v>44824</v>
      </c>
      <c r="L2767" s="1624" t="s">
        <v>2302</v>
      </c>
      <c r="M2767" s="1625">
        <v>4.9036999999999997E-2</v>
      </c>
      <c r="N2767" s="1626">
        <v>1.8301898049964933</v>
      </c>
      <c r="O2767" s="1626"/>
    </row>
    <row r="2768" spans="11:15">
      <c r="K2768" s="1623">
        <v>44825</v>
      </c>
      <c r="L2768" s="1624" t="s">
        <v>2302</v>
      </c>
      <c r="M2768" s="1625">
        <v>4.9036999999999997E-2</v>
      </c>
      <c r="N2768" s="1626">
        <v>1.8310872751711695</v>
      </c>
      <c r="O2768" s="1626"/>
    </row>
    <row r="2769" spans="11:15">
      <c r="K2769" s="1623">
        <v>44826</v>
      </c>
      <c r="L2769" s="1624" t="s">
        <v>2302</v>
      </c>
      <c r="M2769" s="1625">
        <v>4.9036999999999997E-2</v>
      </c>
      <c r="N2769" s="1626">
        <v>1.8319851854382954</v>
      </c>
      <c r="O2769" s="1626"/>
    </row>
    <row r="2770" spans="11:15">
      <c r="K2770" s="1623">
        <v>44827</v>
      </c>
      <c r="L2770" s="1624" t="s">
        <v>2302</v>
      </c>
      <c r="M2770" s="1625">
        <v>4.9036999999999997E-2</v>
      </c>
      <c r="N2770" s="1626">
        <v>1.8328835360136788</v>
      </c>
      <c r="O2770" s="1626"/>
    </row>
    <row r="2771" spans="11:15">
      <c r="K2771" s="1623">
        <v>44828</v>
      </c>
      <c r="L2771" s="1624"/>
      <c r="M2771" s="1625">
        <v>0</v>
      </c>
      <c r="N2771" s="1626">
        <v>1.8328835360136788</v>
      </c>
      <c r="O2771" s="1626"/>
    </row>
    <row r="2772" spans="11:15">
      <c r="K2772" s="1623">
        <v>44829</v>
      </c>
      <c r="L2772" s="1624"/>
      <c r="M2772" s="1625">
        <v>0</v>
      </c>
      <c r="N2772" s="1626">
        <v>1.8328835360136788</v>
      </c>
      <c r="O2772" s="1626"/>
    </row>
    <row r="2773" spans="11:15">
      <c r="K2773" s="1623">
        <v>44830</v>
      </c>
      <c r="L2773" s="1624" t="s">
        <v>2302</v>
      </c>
      <c r="M2773" s="1625">
        <v>4.9036999999999997E-2</v>
      </c>
      <c r="N2773" s="1626">
        <v>1.8337823271132341</v>
      </c>
      <c r="O2773" s="1626"/>
    </row>
    <row r="2774" spans="11:15">
      <c r="K2774" s="1623">
        <v>44831</v>
      </c>
      <c r="L2774" s="1624" t="s">
        <v>2302</v>
      </c>
      <c r="M2774" s="1625">
        <v>4.9036999999999997E-2</v>
      </c>
      <c r="N2774" s="1626">
        <v>1.8346815589529808</v>
      </c>
      <c r="O2774" s="1626"/>
    </row>
    <row r="2775" spans="11:15">
      <c r="K2775" s="1623">
        <v>44832</v>
      </c>
      <c r="L2775" s="1624" t="s">
        <v>2302</v>
      </c>
      <c r="M2775" s="1625">
        <v>4.9036999999999997E-2</v>
      </c>
      <c r="N2775" s="1626">
        <v>1.8355812317490448</v>
      </c>
      <c r="O2775" s="1626"/>
    </row>
    <row r="2776" spans="11:15">
      <c r="K2776" s="1623">
        <v>44833</v>
      </c>
      <c r="L2776" s="1624" t="s">
        <v>2302</v>
      </c>
      <c r="M2776" s="1625">
        <v>4.9036999999999997E-2</v>
      </c>
      <c r="N2776" s="1626">
        <v>1.8364813457176576</v>
      </c>
      <c r="O2776" s="1626"/>
    </row>
    <row r="2777" spans="11:15">
      <c r="K2777" s="1623">
        <v>44834</v>
      </c>
      <c r="L2777" s="1624" t="s">
        <v>2302</v>
      </c>
      <c r="M2777" s="1625">
        <v>4.9036999999999997E-2</v>
      </c>
      <c r="N2777" s="1626">
        <v>1.8373819010751573</v>
      </c>
      <c r="O2777" s="1626"/>
    </row>
    <row r="2778" spans="11:15">
      <c r="K2778" s="1623">
        <v>44835</v>
      </c>
      <c r="L2778" s="1624"/>
      <c r="M2778" s="1625">
        <v>0</v>
      </c>
      <c r="N2778" s="1626">
        <v>1.8373819010751573</v>
      </c>
      <c r="O2778" s="1626"/>
    </row>
    <row r="2779" spans="11:15">
      <c r="K2779" s="1623">
        <v>44836</v>
      </c>
      <c r="L2779" s="1624"/>
      <c r="M2779" s="1625">
        <v>0</v>
      </c>
      <c r="N2779" s="1626">
        <v>1.8373819010751573</v>
      </c>
      <c r="O2779" s="1626"/>
    </row>
    <row r="2780" spans="11:15">
      <c r="K2780" s="1623">
        <v>44837</v>
      </c>
      <c r="L2780" s="1624" t="s">
        <v>2302</v>
      </c>
      <c r="M2780" s="1625">
        <v>4.9036999999999997E-2</v>
      </c>
      <c r="N2780" s="1626">
        <v>1.8382828980379877</v>
      </c>
      <c r="O2780" s="1626"/>
    </row>
    <row r="2781" spans="11:15">
      <c r="K2781" s="1623">
        <v>44838</v>
      </c>
      <c r="L2781" s="1624" t="s">
        <v>2302</v>
      </c>
      <c r="M2781" s="1625">
        <v>4.9036999999999997E-2</v>
      </c>
      <c r="N2781" s="1626">
        <v>1.8391843368226988</v>
      </c>
      <c r="O2781" s="1626"/>
    </row>
    <row r="2782" spans="11:15">
      <c r="K2782" s="1623">
        <v>44839</v>
      </c>
      <c r="L2782" s="1624" t="s">
        <v>2302</v>
      </c>
      <c r="M2782" s="1625">
        <v>4.9036999999999997E-2</v>
      </c>
      <c r="N2782" s="1626">
        <v>1.8400862176459467</v>
      </c>
      <c r="O2782" s="1626"/>
    </row>
    <row r="2783" spans="11:15">
      <c r="K2783" s="1623">
        <v>44840</v>
      </c>
      <c r="L2783" s="1624" t="s">
        <v>2302</v>
      </c>
      <c r="M2783" s="1625">
        <v>4.9036999999999997E-2</v>
      </c>
      <c r="N2783" s="1626">
        <v>1.8409885407244939</v>
      </c>
      <c r="O2783" s="1626"/>
    </row>
    <row r="2784" spans="11:15">
      <c r="K2784" s="1623">
        <v>44841</v>
      </c>
      <c r="L2784" s="1624" t="s">
        <v>2302</v>
      </c>
      <c r="M2784" s="1625">
        <v>4.9036999999999997E-2</v>
      </c>
      <c r="N2784" s="1626">
        <v>1.8418913062752091</v>
      </c>
      <c r="O2784" s="1626"/>
    </row>
    <row r="2785" spans="11:15">
      <c r="K2785" s="1623">
        <v>44842</v>
      </c>
      <c r="L2785" s="1624"/>
      <c r="M2785" s="1625">
        <v>0</v>
      </c>
      <c r="N2785" s="1626">
        <v>1.8418913062752091</v>
      </c>
      <c r="O2785" s="1626"/>
    </row>
    <row r="2786" spans="11:15">
      <c r="K2786" s="1623">
        <v>44843</v>
      </c>
      <c r="L2786" s="1624"/>
      <c r="M2786" s="1625">
        <v>0</v>
      </c>
      <c r="N2786" s="1626">
        <v>1.8418913062752091</v>
      </c>
      <c r="O2786" s="1626"/>
    </row>
    <row r="2787" spans="11:15">
      <c r="K2787" s="1623">
        <v>44844</v>
      </c>
      <c r="L2787" s="1624" t="s">
        <v>2302</v>
      </c>
      <c r="M2787" s="1625">
        <v>4.9036999999999997E-2</v>
      </c>
      <c r="N2787" s="1626">
        <v>1.8427945145150675</v>
      </c>
      <c r="O2787" s="1626"/>
    </row>
    <row r="2788" spans="11:15">
      <c r="K2788" s="1623">
        <v>44845</v>
      </c>
      <c r="L2788" s="1624" t="s">
        <v>2302</v>
      </c>
      <c r="M2788" s="1625">
        <v>4.9036999999999997E-2</v>
      </c>
      <c r="N2788" s="1626">
        <v>1.8436981656611504</v>
      </c>
      <c r="O2788" s="1626"/>
    </row>
    <row r="2789" spans="11:15">
      <c r="K2789" s="1623">
        <v>44846</v>
      </c>
      <c r="L2789" s="1624"/>
      <c r="M2789" s="1625">
        <v>0</v>
      </c>
      <c r="N2789" s="1626">
        <v>1.8436981656611504</v>
      </c>
      <c r="O2789" s="1626"/>
    </row>
    <row r="2790" spans="11:15">
      <c r="K2790" s="1623">
        <v>44847</v>
      </c>
      <c r="L2790" s="1624" t="s">
        <v>2302</v>
      </c>
      <c r="M2790" s="1625">
        <v>4.9036999999999997E-2</v>
      </c>
      <c r="N2790" s="1626">
        <v>1.8446022599306457</v>
      </c>
      <c r="O2790" s="1626"/>
    </row>
    <row r="2791" spans="11:15">
      <c r="K2791" s="1623">
        <v>44848</v>
      </c>
      <c r="L2791" s="1624" t="s">
        <v>2302</v>
      </c>
      <c r="M2791" s="1625">
        <v>4.9036999999999997E-2</v>
      </c>
      <c r="N2791" s="1626">
        <v>1.8455067975408481</v>
      </c>
      <c r="O2791" s="1626"/>
    </row>
    <row r="2792" spans="11:15">
      <c r="K2792" s="1623">
        <v>44849</v>
      </c>
      <c r="L2792" s="1624"/>
      <c r="M2792" s="1625">
        <v>0</v>
      </c>
      <c r="N2792" s="1626">
        <v>1.8455067975408481</v>
      </c>
      <c r="O2792" s="1626"/>
    </row>
    <row r="2793" spans="11:15">
      <c r="K2793" s="1623">
        <v>44850</v>
      </c>
      <c r="L2793" s="1624"/>
      <c r="M2793" s="1625">
        <v>0</v>
      </c>
      <c r="N2793" s="1626">
        <v>1.8455067975408481</v>
      </c>
      <c r="O2793" s="1626"/>
    </row>
    <row r="2794" spans="11:15">
      <c r="K2794" s="1623">
        <v>44851</v>
      </c>
      <c r="L2794" s="1624" t="s">
        <v>2302</v>
      </c>
      <c r="M2794" s="1625">
        <v>4.9036999999999997E-2</v>
      </c>
      <c r="N2794" s="1626">
        <v>1.8464117787091583</v>
      </c>
      <c r="O2794" s="1626"/>
    </row>
    <row r="2795" spans="11:15">
      <c r="K2795" s="1623">
        <v>44852</v>
      </c>
      <c r="L2795" s="1624" t="s">
        <v>2302</v>
      </c>
      <c r="M2795" s="1625">
        <v>4.9036999999999997E-2</v>
      </c>
      <c r="N2795" s="1626">
        <v>1.8473172036530841</v>
      </c>
      <c r="O2795" s="1626"/>
    </row>
    <row r="2796" spans="11:15">
      <c r="K2796" s="1623">
        <v>44853</v>
      </c>
      <c r="L2796" s="1624" t="s">
        <v>2302</v>
      </c>
      <c r="M2796" s="1625">
        <v>4.9036999999999997E-2</v>
      </c>
      <c r="N2796" s="1626">
        <v>1.8482230725902395</v>
      </c>
      <c r="O2796" s="1626"/>
    </row>
    <row r="2797" spans="11:15">
      <c r="K2797" s="1623">
        <v>44854</v>
      </c>
      <c r="L2797" s="1624" t="s">
        <v>2302</v>
      </c>
      <c r="M2797" s="1625">
        <v>4.9036999999999997E-2</v>
      </c>
      <c r="N2797" s="1626">
        <v>1.8491293857383457</v>
      </c>
      <c r="O2797" s="1626"/>
    </row>
    <row r="2798" spans="11:15">
      <c r="K2798" s="1623">
        <v>44855</v>
      </c>
      <c r="L2798" s="1624" t="s">
        <v>2302</v>
      </c>
      <c r="M2798" s="1625">
        <v>4.9036999999999997E-2</v>
      </c>
      <c r="N2798" s="1626">
        <v>1.8500361433152304</v>
      </c>
      <c r="O2798" s="1626"/>
    </row>
    <row r="2799" spans="11:15">
      <c r="K2799" s="1623">
        <v>44856</v>
      </c>
      <c r="L2799" s="1624"/>
      <c r="M2799" s="1625">
        <v>0</v>
      </c>
      <c r="N2799" s="1626">
        <v>1.8500361433152304</v>
      </c>
      <c r="O2799" s="1626"/>
    </row>
    <row r="2800" spans="11:15">
      <c r="K2800" s="1623">
        <v>44857</v>
      </c>
      <c r="L2800" s="1624"/>
      <c r="M2800" s="1625">
        <v>0</v>
      </c>
      <c r="N2800" s="1626">
        <v>1.8500361433152304</v>
      </c>
      <c r="O2800" s="1626"/>
    </row>
    <row r="2801" spans="11:15">
      <c r="K2801" s="1623">
        <v>44858</v>
      </c>
      <c r="L2801" s="1624" t="s">
        <v>2302</v>
      </c>
      <c r="M2801" s="1625">
        <v>4.9036999999999997E-2</v>
      </c>
      <c r="N2801" s="1626">
        <v>1.850943345538828</v>
      </c>
      <c r="O2801" s="1626"/>
    </row>
    <row r="2802" spans="11:15">
      <c r="K2802" s="1623">
        <v>44859</v>
      </c>
      <c r="L2802" s="1624" t="s">
        <v>2302</v>
      </c>
      <c r="M2802" s="1625">
        <v>4.9036999999999997E-2</v>
      </c>
      <c r="N2802" s="1626">
        <v>1.85185099262718</v>
      </c>
      <c r="O2802" s="1626"/>
    </row>
    <row r="2803" spans="11:15">
      <c r="K2803" s="1623">
        <v>44860</v>
      </c>
      <c r="L2803" s="1624" t="s">
        <v>2302</v>
      </c>
      <c r="M2803" s="1625">
        <v>4.9036999999999997E-2</v>
      </c>
      <c r="N2803" s="1626">
        <v>1.8527590847984348</v>
      </c>
      <c r="O2803" s="1626"/>
    </row>
    <row r="2804" spans="11:15">
      <c r="K2804" s="1623">
        <v>44861</v>
      </c>
      <c r="L2804" s="1624" t="s">
        <v>2302</v>
      </c>
      <c r="M2804" s="1625">
        <v>4.9036999999999997E-2</v>
      </c>
      <c r="N2804" s="1626">
        <v>1.8536676222708475</v>
      </c>
      <c r="O2804" s="1626"/>
    </row>
    <row r="2805" spans="11:15">
      <c r="K2805" s="1623">
        <v>44862</v>
      </c>
      <c r="L2805" s="1624" t="s">
        <v>2302</v>
      </c>
      <c r="M2805" s="1625">
        <v>4.9036999999999997E-2</v>
      </c>
      <c r="N2805" s="1626">
        <v>1.8545766052627806</v>
      </c>
      <c r="O2805" s="1626"/>
    </row>
    <row r="2806" spans="11:15">
      <c r="K2806" s="1623">
        <v>44863</v>
      </c>
      <c r="L2806" s="1624"/>
      <c r="M2806" s="1625">
        <v>0</v>
      </c>
      <c r="N2806" s="1626">
        <v>1.8545766052627806</v>
      </c>
      <c r="O2806" s="1626"/>
    </row>
    <row r="2807" spans="11:15">
      <c r="K2807" s="1623">
        <v>44864</v>
      </c>
      <c r="L2807" s="1624"/>
      <c r="M2807" s="1625">
        <v>0</v>
      </c>
      <c r="N2807" s="1626">
        <v>1.8545766052627806</v>
      </c>
      <c r="O2807" s="1626"/>
    </row>
    <row r="2808" spans="11:15">
      <c r="K2808" s="1623">
        <v>44865</v>
      </c>
      <c r="L2808" s="1624" t="s">
        <v>2302</v>
      </c>
      <c r="M2808" s="1625">
        <v>4.9036999999999997E-2</v>
      </c>
      <c r="N2808" s="1626">
        <v>1.8554860339927035</v>
      </c>
      <c r="O2808" s="1626"/>
    </row>
    <row r="2809" spans="11:15">
      <c r="K2809" s="1623">
        <v>44866</v>
      </c>
      <c r="L2809" s="1624" t="s">
        <v>2302</v>
      </c>
      <c r="M2809" s="1625">
        <v>4.9036999999999997E-2</v>
      </c>
      <c r="N2809" s="1626">
        <v>1.8563959086791926</v>
      </c>
      <c r="O2809" s="1626"/>
    </row>
    <row r="2810" spans="11:15">
      <c r="K2810" s="1623">
        <v>44867</v>
      </c>
      <c r="L2810" s="1624"/>
      <c r="M2810" s="1625">
        <v>0</v>
      </c>
      <c r="N2810" s="1626">
        <v>1.8563959086791926</v>
      </c>
      <c r="O2810" s="1626"/>
    </row>
    <row r="2811" spans="11:15">
      <c r="K2811" s="1623">
        <v>44868</v>
      </c>
      <c r="L2811" s="1624" t="s">
        <v>2302</v>
      </c>
      <c r="M2811" s="1625">
        <v>4.9036999999999997E-2</v>
      </c>
      <c r="N2811" s="1626">
        <v>1.8573062295409317</v>
      </c>
      <c r="O2811" s="1626"/>
    </row>
    <row r="2812" spans="11:15">
      <c r="K2812" s="1623">
        <v>44869</v>
      </c>
      <c r="L2812" s="1624" t="s">
        <v>2302</v>
      </c>
      <c r="M2812" s="1625">
        <v>4.9036999999999997E-2</v>
      </c>
      <c r="N2812" s="1626">
        <v>1.8582169967967119</v>
      </c>
      <c r="O2812" s="1626"/>
    </row>
    <row r="2813" spans="11:15">
      <c r="K2813" s="1623">
        <v>44870</v>
      </c>
      <c r="L2813" s="1624"/>
      <c r="M2813" s="1625">
        <v>0</v>
      </c>
      <c r="N2813" s="1626">
        <v>1.8582169967967119</v>
      </c>
      <c r="O2813" s="1626"/>
    </row>
    <row r="2814" spans="11:15">
      <c r="K2814" s="1623">
        <v>44871</v>
      </c>
      <c r="L2814" s="1624"/>
      <c r="M2814" s="1625">
        <v>0</v>
      </c>
      <c r="N2814" s="1626">
        <v>1.8582169967967119</v>
      </c>
      <c r="O2814" s="1626"/>
    </row>
    <row r="2815" spans="11:15">
      <c r="K2815" s="1623">
        <v>44872</v>
      </c>
      <c r="L2815" s="1624" t="s">
        <v>2302</v>
      </c>
      <c r="M2815" s="1625">
        <v>4.9036999999999997E-2</v>
      </c>
      <c r="N2815" s="1626">
        <v>1.8591282106654312</v>
      </c>
      <c r="O2815" s="1626"/>
    </row>
    <row r="2816" spans="11:15">
      <c r="K2816" s="1623">
        <v>44873</v>
      </c>
      <c r="L2816" s="1624" t="s">
        <v>2302</v>
      </c>
      <c r="M2816" s="1625">
        <v>4.9036999999999997E-2</v>
      </c>
      <c r="N2816" s="1626">
        <v>1.8600398713660953</v>
      </c>
      <c r="O2816" s="1626"/>
    </row>
    <row r="2817" spans="11:15">
      <c r="K2817" s="1623">
        <v>44874</v>
      </c>
      <c r="L2817" s="1624" t="s">
        <v>2302</v>
      </c>
      <c r="M2817" s="1625">
        <v>4.9036999999999997E-2</v>
      </c>
      <c r="N2817" s="1626">
        <v>1.8609519791178173</v>
      </c>
      <c r="O2817" s="1626"/>
    </row>
    <row r="2818" spans="11:15">
      <c r="K2818" s="1623">
        <v>44875</v>
      </c>
      <c r="L2818" s="1624" t="s">
        <v>2302</v>
      </c>
      <c r="M2818" s="1625">
        <v>4.9036999999999997E-2</v>
      </c>
      <c r="N2818" s="1626">
        <v>1.8618645341398175</v>
      </c>
      <c r="O2818" s="1626"/>
    </row>
    <row r="2819" spans="11:15">
      <c r="K2819" s="1623">
        <v>44876</v>
      </c>
      <c r="L2819" s="1624" t="s">
        <v>2302</v>
      </c>
      <c r="M2819" s="1625">
        <v>4.9036999999999997E-2</v>
      </c>
      <c r="N2819" s="1626">
        <v>1.8627775366514236</v>
      </c>
      <c r="O2819" s="1626"/>
    </row>
    <row r="2820" spans="11:15">
      <c r="K2820" s="1623">
        <v>44877</v>
      </c>
      <c r="L2820" s="1624"/>
      <c r="M2820" s="1625">
        <v>0</v>
      </c>
      <c r="N2820" s="1626">
        <v>1.8627775366514236</v>
      </c>
      <c r="O2820" s="1626"/>
    </row>
    <row r="2821" spans="11:15">
      <c r="K2821" s="1623">
        <v>44878</v>
      </c>
      <c r="L2821" s="1624"/>
      <c r="M2821" s="1625">
        <v>0</v>
      </c>
      <c r="N2821" s="1626">
        <v>1.8627775366514236</v>
      </c>
      <c r="O2821" s="1626"/>
    </row>
    <row r="2822" spans="11:15">
      <c r="K2822" s="1623">
        <v>44879</v>
      </c>
      <c r="L2822" s="1624" t="s">
        <v>2302</v>
      </c>
      <c r="M2822" s="1625">
        <v>4.9036999999999997E-2</v>
      </c>
      <c r="N2822" s="1626">
        <v>1.8636909868720715</v>
      </c>
      <c r="O2822" s="1626"/>
    </row>
    <row r="2823" spans="11:15">
      <c r="K2823" s="1623">
        <v>44880</v>
      </c>
      <c r="L2823" s="1624"/>
      <c r="M2823" s="1625">
        <v>0</v>
      </c>
      <c r="N2823" s="1626">
        <v>1.8636909868720715</v>
      </c>
      <c r="O2823" s="1626"/>
    </row>
    <row r="2824" spans="11:15">
      <c r="K2824" s="1623">
        <v>44881</v>
      </c>
      <c r="L2824" s="1624" t="s">
        <v>2302</v>
      </c>
      <c r="M2824" s="1625">
        <v>4.9036999999999997E-2</v>
      </c>
      <c r="N2824" s="1626">
        <v>1.8646048850213039</v>
      </c>
      <c r="O2824" s="1626"/>
    </row>
    <row r="2825" spans="11:15">
      <c r="K2825" s="1623">
        <v>44882</v>
      </c>
      <c r="L2825" s="1624" t="s">
        <v>2302</v>
      </c>
      <c r="M2825" s="1625">
        <v>4.9036999999999997E-2</v>
      </c>
      <c r="N2825" s="1626">
        <v>1.8655192313187721</v>
      </c>
      <c r="O2825" s="1626"/>
    </row>
    <row r="2826" spans="11:15">
      <c r="K2826" s="1623">
        <v>44883</v>
      </c>
      <c r="L2826" s="1624" t="s">
        <v>2302</v>
      </c>
      <c r="M2826" s="1625">
        <v>4.9036999999999997E-2</v>
      </c>
      <c r="N2826" s="1626">
        <v>1.866434025984234</v>
      </c>
      <c r="O2826" s="1626"/>
    </row>
    <row r="2827" spans="11:15">
      <c r="K2827" s="1623">
        <v>44884</v>
      </c>
      <c r="L2827" s="1624"/>
      <c r="M2827" s="1625">
        <v>0</v>
      </c>
      <c r="N2827" s="1626">
        <v>1.866434025984234</v>
      </c>
      <c r="O2827" s="1626"/>
    </row>
    <row r="2828" spans="11:15">
      <c r="K2828" s="1623">
        <v>44885</v>
      </c>
      <c r="L2828" s="1624"/>
      <c r="M2828" s="1625">
        <v>0</v>
      </c>
      <c r="N2828" s="1626">
        <v>1.866434025984234</v>
      </c>
      <c r="O2828" s="1626"/>
    </row>
    <row r="2829" spans="11:15">
      <c r="K2829" s="1623">
        <v>44886</v>
      </c>
      <c r="L2829" s="1624" t="s">
        <v>2302</v>
      </c>
      <c r="M2829" s="1625">
        <v>4.9036999999999997E-2</v>
      </c>
      <c r="N2829" s="1626">
        <v>1.867349269237556</v>
      </c>
      <c r="O2829" s="1626"/>
    </row>
    <row r="2830" spans="11:15">
      <c r="K2830" s="1623">
        <v>44887</v>
      </c>
      <c r="L2830" s="1624" t="s">
        <v>2302</v>
      </c>
      <c r="M2830" s="1625">
        <v>4.9036999999999997E-2</v>
      </c>
      <c r="N2830" s="1626">
        <v>1.8682649612987121</v>
      </c>
      <c r="O2830" s="1626"/>
    </row>
    <row r="2831" spans="11:15">
      <c r="K2831" s="1623">
        <v>44888</v>
      </c>
      <c r="L2831" s="1624" t="s">
        <v>2302</v>
      </c>
      <c r="M2831" s="1625">
        <v>4.9036999999999997E-2</v>
      </c>
      <c r="N2831" s="1626">
        <v>1.8691811023877842</v>
      </c>
      <c r="O2831" s="1626"/>
    </row>
    <row r="2832" spans="11:15">
      <c r="K2832" s="1623">
        <v>44889</v>
      </c>
      <c r="L2832" s="1624" t="s">
        <v>2302</v>
      </c>
      <c r="M2832" s="1625">
        <v>4.9036999999999997E-2</v>
      </c>
      <c r="N2832" s="1626">
        <v>1.8700976927249622</v>
      </c>
      <c r="O2832" s="1626"/>
    </row>
    <row r="2833" spans="11:15">
      <c r="K2833" s="1623">
        <v>44890</v>
      </c>
      <c r="L2833" s="1624" t="s">
        <v>2302</v>
      </c>
      <c r="M2833" s="1625">
        <v>4.9036999999999997E-2</v>
      </c>
      <c r="N2833" s="1626">
        <v>1.871014732530544</v>
      </c>
      <c r="O2833" s="1626"/>
    </row>
    <row r="2834" spans="11:15">
      <c r="K2834" s="1623">
        <v>44891</v>
      </c>
      <c r="L2834" s="1624"/>
      <c r="M2834" s="1625">
        <v>0</v>
      </c>
      <c r="N2834" s="1626">
        <v>1.871014732530544</v>
      </c>
      <c r="O2834" s="1626"/>
    </row>
    <row r="2835" spans="11:15">
      <c r="K2835" s="1623">
        <v>44892</v>
      </c>
      <c r="L2835" s="1624"/>
      <c r="M2835" s="1625">
        <v>0</v>
      </c>
      <c r="N2835" s="1626">
        <v>1.871014732530544</v>
      </c>
      <c r="O2835" s="1626"/>
    </row>
    <row r="2836" spans="11:15">
      <c r="K2836" s="1623">
        <v>44893</v>
      </c>
      <c r="L2836" s="1624" t="s">
        <v>2302</v>
      </c>
      <c r="M2836" s="1625">
        <v>4.9036999999999997E-2</v>
      </c>
      <c r="N2836" s="1626">
        <v>1.871932222024935</v>
      </c>
      <c r="O2836" s="1626"/>
    </row>
    <row r="2837" spans="11:15">
      <c r="K2837" s="1623">
        <v>44894</v>
      </c>
      <c r="L2837" s="1624" t="s">
        <v>2302</v>
      </c>
      <c r="M2837" s="1625">
        <v>4.9036999999999997E-2</v>
      </c>
      <c r="N2837" s="1626">
        <v>1.8728501614286495</v>
      </c>
      <c r="O2837" s="1626"/>
    </row>
    <row r="2838" spans="11:15">
      <c r="K2838" s="1623">
        <v>44895</v>
      </c>
      <c r="L2838" s="1624" t="s">
        <v>2302</v>
      </c>
      <c r="M2838" s="1625">
        <v>4.9036999999999997E-2</v>
      </c>
      <c r="N2838" s="1626">
        <v>1.8737685509623094</v>
      </c>
      <c r="O2838" s="1626"/>
    </row>
    <row r="2839" spans="11:15">
      <c r="K2839" s="1623">
        <v>44896</v>
      </c>
      <c r="L2839" s="1624" t="s">
        <v>2302</v>
      </c>
      <c r="M2839" s="1625">
        <v>4.9036999999999997E-2</v>
      </c>
      <c r="N2839" s="1626">
        <v>1.874687390846645</v>
      </c>
      <c r="O2839" s="1626"/>
    </row>
    <row r="2840" spans="11:15">
      <c r="K2840" s="1623">
        <v>44897</v>
      </c>
      <c r="L2840" s="1624" t="s">
        <v>2302</v>
      </c>
      <c r="M2840" s="1625">
        <v>4.9036999999999997E-2</v>
      </c>
      <c r="N2840" s="1626">
        <v>1.8756066813024947</v>
      </c>
      <c r="O2840" s="1626"/>
    </row>
    <row r="2841" spans="11:15">
      <c r="K2841" s="1623">
        <v>44898</v>
      </c>
      <c r="L2841" s="1624"/>
      <c r="M2841" s="1625">
        <v>0</v>
      </c>
      <c r="N2841" s="1626">
        <v>1.8756066813024947</v>
      </c>
      <c r="O2841" s="1626"/>
    </row>
    <row r="2842" spans="11:15">
      <c r="K2842" s="1623">
        <v>44899</v>
      </c>
      <c r="L2842" s="1624"/>
      <c r="M2842" s="1625">
        <v>0</v>
      </c>
      <c r="N2842" s="1626">
        <v>1.8756066813024947</v>
      </c>
      <c r="O2842" s="1626"/>
    </row>
    <row r="2843" spans="11:15">
      <c r="K2843" s="1623">
        <v>44900</v>
      </c>
      <c r="L2843" s="1624" t="s">
        <v>2302</v>
      </c>
      <c r="M2843" s="1625">
        <v>4.9036999999999997E-2</v>
      </c>
      <c r="N2843" s="1626">
        <v>1.8765264225508052</v>
      </c>
      <c r="O2843" s="1626"/>
    </row>
    <row r="2844" spans="11:15">
      <c r="K2844" s="1623">
        <v>44901</v>
      </c>
      <c r="L2844" s="1624" t="s">
        <v>2302</v>
      </c>
      <c r="M2844" s="1625">
        <v>4.9036999999999997E-2</v>
      </c>
      <c r="N2844" s="1626">
        <v>1.8774466148126314</v>
      </c>
      <c r="O2844" s="1626"/>
    </row>
    <row r="2845" spans="11:15">
      <c r="K2845" s="1623">
        <v>44902</v>
      </c>
      <c r="L2845" s="1624" t="s">
        <v>2302</v>
      </c>
      <c r="M2845" s="1625">
        <v>4.9036999999999997E-2</v>
      </c>
      <c r="N2845" s="1626">
        <v>1.8783672583091373</v>
      </c>
      <c r="O2845" s="1626"/>
    </row>
    <row r="2846" spans="11:15">
      <c r="K2846" s="1623">
        <v>44903</v>
      </c>
      <c r="L2846" s="1624" t="s">
        <v>2302</v>
      </c>
      <c r="M2846" s="1625">
        <v>4.9036999999999997E-2</v>
      </c>
      <c r="N2846" s="1626">
        <v>1.8792883532615945</v>
      </c>
      <c r="O2846" s="1626"/>
    </row>
    <row r="2847" spans="11:15">
      <c r="K2847" s="1623">
        <v>44904</v>
      </c>
      <c r="L2847" s="1624" t="s">
        <v>2302</v>
      </c>
      <c r="M2847" s="1625">
        <v>4.9036999999999997E-2</v>
      </c>
      <c r="N2847" s="1626">
        <v>1.8802098998913834</v>
      </c>
      <c r="O2847" s="1626"/>
    </row>
    <row r="2848" spans="11:15">
      <c r="K2848" s="1623">
        <v>44905</v>
      </c>
      <c r="L2848" s="1624"/>
      <c r="M2848" s="1625">
        <v>0</v>
      </c>
      <c r="N2848" s="1626">
        <v>1.8802098998913834</v>
      </c>
      <c r="O2848" s="1626"/>
    </row>
    <row r="2849" spans="11:15">
      <c r="K2849" s="1623">
        <v>44906</v>
      </c>
      <c r="L2849" s="1624"/>
      <c r="M2849" s="1625">
        <v>0</v>
      </c>
      <c r="N2849" s="1626">
        <v>1.8802098998913834</v>
      </c>
      <c r="O2849" s="1626"/>
    </row>
    <row r="2850" spans="11:15">
      <c r="K2850" s="1623">
        <v>44907</v>
      </c>
      <c r="L2850" s="1624" t="s">
        <v>2302</v>
      </c>
      <c r="M2850" s="1625">
        <v>4.9036999999999997E-2</v>
      </c>
      <c r="N2850" s="1626">
        <v>1.8811318984199934</v>
      </c>
      <c r="O2850" s="1626"/>
    </row>
    <row r="2851" spans="11:15">
      <c r="K2851" s="1623">
        <v>44908</v>
      </c>
      <c r="L2851" s="1624" t="s">
        <v>2302</v>
      </c>
      <c r="M2851" s="1625">
        <v>4.9036999999999997E-2</v>
      </c>
      <c r="N2851" s="1626">
        <v>1.8820543490690218</v>
      </c>
      <c r="O2851" s="1626"/>
    </row>
    <row r="2852" spans="11:15">
      <c r="K2852" s="1623">
        <v>44909</v>
      </c>
      <c r="L2852" s="1624" t="s">
        <v>2302</v>
      </c>
      <c r="M2852" s="1625">
        <v>4.9036999999999997E-2</v>
      </c>
      <c r="N2852" s="1626">
        <v>1.8829772520601749</v>
      </c>
      <c r="O2852" s="1626"/>
    </row>
    <row r="2853" spans="11:15">
      <c r="K2853" s="1623">
        <v>44910</v>
      </c>
      <c r="L2853" s="1624" t="s">
        <v>2302</v>
      </c>
      <c r="M2853" s="1625">
        <v>4.9036999999999997E-2</v>
      </c>
      <c r="N2853" s="1626">
        <v>1.8839006076152678</v>
      </c>
      <c r="O2853" s="1626"/>
    </row>
    <row r="2854" spans="11:15">
      <c r="K2854" s="1623">
        <v>44911</v>
      </c>
      <c r="L2854" s="1624" t="s">
        <v>2302</v>
      </c>
      <c r="M2854" s="1625">
        <v>4.9036999999999997E-2</v>
      </c>
      <c r="N2854" s="1626">
        <v>1.8848244159562242</v>
      </c>
      <c r="O2854" s="1626"/>
    </row>
    <row r="2855" spans="11:15">
      <c r="K2855" s="1623">
        <v>44912</v>
      </c>
      <c r="L2855" s="1624"/>
      <c r="M2855" s="1625">
        <v>0</v>
      </c>
      <c r="N2855" s="1626">
        <v>1.8848244159562242</v>
      </c>
      <c r="O2855" s="1626"/>
    </row>
    <row r="2856" spans="11:15">
      <c r="K2856" s="1623">
        <v>44913</v>
      </c>
      <c r="L2856" s="1624"/>
      <c r="M2856" s="1625">
        <v>0</v>
      </c>
      <c r="N2856" s="1626">
        <v>1.8848244159562242</v>
      </c>
      <c r="O2856" s="1626"/>
    </row>
    <row r="2857" spans="11:15">
      <c r="K2857" s="1623">
        <v>44914</v>
      </c>
      <c r="L2857" s="1624" t="s">
        <v>2302</v>
      </c>
      <c r="M2857" s="1625">
        <v>4.9036999999999997E-2</v>
      </c>
      <c r="N2857" s="1626">
        <v>1.8857486773050767</v>
      </c>
      <c r="O2857" s="1626"/>
    </row>
    <row r="2858" spans="11:15">
      <c r="K2858" s="1623">
        <v>44915</v>
      </c>
      <c r="L2858" s="1624" t="s">
        <v>2302</v>
      </c>
      <c r="M2858" s="1625">
        <v>4.9036999999999997E-2</v>
      </c>
      <c r="N2858" s="1626">
        <v>1.8866733918839669</v>
      </c>
      <c r="O2858" s="1626"/>
    </row>
    <row r="2859" spans="11:15">
      <c r="K2859" s="1623">
        <v>44916</v>
      </c>
      <c r="L2859" s="1624" t="s">
        <v>2302</v>
      </c>
      <c r="M2859" s="1625">
        <v>4.9036999999999997E-2</v>
      </c>
      <c r="N2859" s="1626">
        <v>1.8875985599151452</v>
      </c>
      <c r="O2859" s="1626"/>
    </row>
    <row r="2860" spans="11:15">
      <c r="K2860" s="1623">
        <v>44917</v>
      </c>
      <c r="L2860" s="1624" t="s">
        <v>2302</v>
      </c>
      <c r="M2860" s="1625">
        <v>4.9036999999999997E-2</v>
      </c>
      <c r="N2860" s="1626">
        <v>1.888524181620971</v>
      </c>
      <c r="O2860" s="1626"/>
    </row>
    <row r="2861" spans="11:15">
      <c r="K2861" s="1623">
        <v>44918</v>
      </c>
      <c r="L2861" s="1624" t="s">
        <v>2302</v>
      </c>
      <c r="M2861" s="1625">
        <v>4.9036999999999997E-2</v>
      </c>
      <c r="N2861" s="1626">
        <v>1.8894502572239127</v>
      </c>
      <c r="O2861" s="1626"/>
    </row>
    <row r="2862" spans="11:15">
      <c r="K2862" s="1623">
        <v>44919</v>
      </c>
      <c r="L2862" s="1624"/>
      <c r="M2862" s="1625">
        <v>0</v>
      </c>
      <c r="N2862" s="1626">
        <v>1.8894502572239127</v>
      </c>
      <c r="O2862" s="1626"/>
    </row>
    <row r="2863" spans="11:15">
      <c r="K2863" s="1623">
        <v>44920</v>
      </c>
      <c r="L2863" s="1624"/>
      <c r="M2863" s="1625">
        <v>0</v>
      </c>
      <c r="N2863" s="1626">
        <v>1.8894502572239127</v>
      </c>
      <c r="O2863" s="1626"/>
    </row>
    <row r="2864" spans="11:15">
      <c r="K2864" s="1623">
        <v>44921</v>
      </c>
      <c r="L2864" s="1624" t="s">
        <v>2302</v>
      </c>
      <c r="M2864" s="1625">
        <v>4.9036999999999997E-2</v>
      </c>
      <c r="N2864" s="1626">
        <v>1.8903767869465478</v>
      </c>
      <c r="O2864" s="1626"/>
    </row>
    <row r="2865" spans="11:15">
      <c r="K2865" s="1623">
        <v>44922</v>
      </c>
      <c r="L2865" s="1624" t="s">
        <v>2302</v>
      </c>
      <c r="M2865" s="1625">
        <v>4.9036999999999997E-2</v>
      </c>
      <c r="N2865" s="1626">
        <v>1.8913037710115628</v>
      </c>
      <c r="O2865" s="1626"/>
    </row>
    <row r="2866" spans="11:15">
      <c r="K2866" s="1623">
        <v>44923</v>
      </c>
      <c r="L2866" s="1624" t="s">
        <v>2302</v>
      </c>
      <c r="M2866" s="1625">
        <v>4.9036999999999997E-2</v>
      </c>
      <c r="N2866" s="1626">
        <v>1.892231209641754</v>
      </c>
      <c r="O2866" s="1626"/>
    </row>
    <row r="2867" spans="11:15">
      <c r="K2867" s="1623">
        <v>44924</v>
      </c>
      <c r="L2867" s="1624" t="s">
        <v>2302</v>
      </c>
      <c r="M2867" s="1625">
        <v>4.9036999999999997E-2</v>
      </c>
      <c r="N2867" s="1626">
        <v>1.8931591030600261</v>
      </c>
      <c r="O2867" s="1626"/>
    </row>
    <row r="2868" spans="11:15">
      <c r="K2868" s="1623">
        <v>44925</v>
      </c>
      <c r="L2868" s="1624" t="s">
        <v>2302</v>
      </c>
      <c r="M2868" s="1625">
        <v>4.9036999999999997E-2</v>
      </c>
      <c r="N2868" s="1626">
        <v>1.8940874514893937</v>
      </c>
      <c r="O2868" s="1626"/>
    </row>
    <row r="2869" spans="11:15">
      <c r="K2869" s="1623">
        <v>44926</v>
      </c>
      <c r="L2869" s="1624"/>
      <c r="M2869" s="1625">
        <v>0</v>
      </c>
      <c r="N2869" s="1626">
        <v>1.8940874514893937</v>
      </c>
      <c r="O2869" s="1626"/>
    </row>
    <row r="2870" spans="11:15">
      <c r="K2870" s="1623">
        <v>44927</v>
      </c>
      <c r="L2870" s="1624"/>
      <c r="M2870" s="1625">
        <v>0</v>
      </c>
      <c r="N2870" s="1626">
        <v>1.8940874514893937</v>
      </c>
      <c r="O2870" s="1626"/>
    </row>
    <row r="2871" spans="11:15">
      <c r="K2871" s="1623">
        <v>44928</v>
      </c>
      <c r="L2871" s="1624" t="s">
        <v>2302</v>
      </c>
      <c r="M2871" s="1625">
        <v>4.9036999999999997E-2</v>
      </c>
      <c r="N2871" s="1626">
        <v>1.8950162551529808</v>
      </c>
      <c r="O2871" s="1626"/>
    </row>
    <row r="2872" spans="11:15">
      <c r="K2872" s="1623">
        <v>44929</v>
      </c>
      <c r="L2872" s="1624" t="s">
        <v>2302</v>
      </c>
      <c r="M2872" s="1625">
        <v>4.9036999999999997E-2</v>
      </c>
      <c r="N2872" s="1626">
        <v>1.8959455142740202</v>
      </c>
      <c r="O2872" s="1626"/>
    </row>
    <row r="2873" spans="11:15">
      <c r="K2873" s="1623">
        <v>44930</v>
      </c>
      <c r="L2873" s="1624" t="s">
        <v>2302</v>
      </c>
      <c r="M2873" s="1625">
        <v>4.9036999999999997E-2</v>
      </c>
      <c r="N2873" s="1626">
        <v>1.896875229075855</v>
      </c>
      <c r="O2873" s="1626"/>
    </row>
    <row r="2874" spans="11:15">
      <c r="K2874" s="1623">
        <v>44931</v>
      </c>
      <c r="L2874" s="1624" t="s">
        <v>2302</v>
      </c>
      <c r="M2874" s="1625">
        <v>4.9036999999999997E-2</v>
      </c>
      <c r="N2874" s="1626">
        <v>1.8978053997819371</v>
      </c>
      <c r="O2874" s="1626"/>
    </row>
    <row r="2875" spans="11:15">
      <c r="K2875" s="1623">
        <v>44932</v>
      </c>
      <c r="L2875" s="1624" t="s">
        <v>2302</v>
      </c>
      <c r="M2875" s="1625">
        <v>4.9036999999999997E-2</v>
      </c>
      <c r="N2875" s="1626">
        <v>1.8987360266158282</v>
      </c>
      <c r="O2875" s="1626"/>
    </row>
    <row r="2876" spans="11:15">
      <c r="K2876" s="1623">
        <v>44933</v>
      </c>
      <c r="L2876" s="1624"/>
      <c r="M2876" s="1625">
        <v>0</v>
      </c>
      <c r="N2876" s="1626">
        <v>1.8987360266158282</v>
      </c>
      <c r="O2876" s="1626"/>
    </row>
    <row r="2877" spans="11:15">
      <c r="K2877" s="1623">
        <v>44934</v>
      </c>
      <c r="L2877" s="1624"/>
      <c r="M2877" s="1625">
        <v>0</v>
      </c>
      <c r="N2877" s="1626">
        <v>1.8987360266158282</v>
      </c>
      <c r="O2877" s="1626"/>
    </row>
    <row r="2878" spans="11:15">
      <c r="K2878" s="1623">
        <v>44935</v>
      </c>
      <c r="L2878" s="1624" t="s">
        <v>2302</v>
      </c>
      <c r="M2878" s="1625">
        <v>4.9036999999999997E-2</v>
      </c>
      <c r="N2878" s="1626">
        <v>1.8996671098011999</v>
      </c>
      <c r="O2878" s="1626"/>
    </row>
    <row r="2879" spans="11:15">
      <c r="K2879" s="1623">
        <v>44936</v>
      </c>
      <c r="L2879" s="1624" t="s">
        <v>2302</v>
      </c>
      <c r="M2879" s="1625">
        <v>4.9036999999999997E-2</v>
      </c>
      <c r="N2879" s="1626">
        <v>1.9005986495618332</v>
      </c>
      <c r="O2879" s="1626"/>
    </row>
    <row r="2880" spans="11:15">
      <c r="K2880" s="1623">
        <v>44937</v>
      </c>
      <c r="L2880" s="1624" t="s">
        <v>2302</v>
      </c>
      <c r="M2880" s="1625">
        <v>4.9036999999999997E-2</v>
      </c>
      <c r="N2880" s="1626">
        <v>1.901530646121619</v>
      </c>
      <c r="O2880" s="1626"/>
    </row>
    <row r="2881" spans="11:15">
      <c r="K2881" s="1623">
        <v>44938</v>
      </c>
      <c r="L2881" s="1624" t="s">
        <v>2302</v>
      </c>
      <c r="M2881" s="1625">
        <v>4.9036999999999997E-2</v>
      </c>
      <c r="N2881" s="1626">
        <v>1.9024630997045577</v>
      </c>
      <c r="O2881" s="1626"/>
    </row>
    <row r="2882" spans="11:15">
      <c r="K2882" s="1623">
        <v>44939</v>
      </c>
      <c r="L2882" s="1624" t="s">
        <v>2302</v>
      </c>
      <c r="M2882" s="1625">
        <v>4.9036999999999997E-2</v>
      </c>
      <c r="N2882" s="1626">
        <v>1.90339601053476</v>
      </c>
      <c r="O2882" s="1626"/>
    </row>
    <row r="2883" spans="11:15">
      <c r="K2883" s="1623">
        <v>44940</v>
      </c>
      <c r="L2883" s="1624"/>
      <c r="M2883" s="1625">
        <v>0</v>
      </c>
      <c r="N2883" s="1626">
        <v>1.90339601053476</v>
      </c>
      <c r="O2883" s="1626"/>
    </row>
    <row r="2884" spans="11:15">
      <c r="K2884" s="1623">
        <v>44941</v>
      </c>
      <c r="L2884" s="1624"/>
      <c r="M2884" s="1625">
        <v>0</v>
      </c>
      <c r="N2884" s="1626">
        <v>1.90339601053476</v>
      </c>
      <c r="O2884" s="1626"/>
    </row>
    <row r="2885" spans="11:15">
      <c r="K2885" s="1623">
        <v>44942</v>
      </c>
      <c r="L2885" s="1624" t="s">
        <v>2302</v>
      </c>
      <c r="M2885" s="1625">
        <v>4.9036999999999997E-2</v>
      </c>
      <c r="N2885" s="1626">
        <v>1.9043293788364462</v>
      </c>
      <c r="O2885" s="1626"/>
    </row>
    <row r="2886" spans="11:15">
      <c r="K2886" s="1623">
        <v>44943</v>
      </c>
      <c r="L2886" s="1624" t="s">
        <v>2302</v>
      </c>
      <c r="M2886" s="1625">
        <v>4.9036999999999997E-2</v>
      </c>
      <c r="N2886" s="1626">
        <v>1.9052632048339464</v>
      </c>
      <c r="O2886" s="1626"/>
    </row>
    <row r="2887" spans="11:15">
      <c r="K2887" s="1623">
        <v>44944</v>
      </c>
      <c r="L2887" s="1624" t="s">
        <v>2302</v>
      </c>
      <c r="M2887" s="1625">
        <v>4.9036999999999997E-2</v>
      </c>
      <c r="N2887" s="1626">
        <v>1.906197488751701</v>
      </c>
      <c r="O2887" s="1626"/>
    </row>
    <row r="2888" spans="11:15">
      <c r="K2888" s="1623">
        <v>44945</v>
      </c>
      <c r="L2888" s="1624" t="s">
        <v>2302</v>
      </c>
      <c r="M2888" s="1625">
        <v>4.9036999999999997E-2</v>
      </c>
      <c r="N2888" s="1626">
        <v>1.9071322308142604</v>
      </c>
      <c r="O2888" s="1626"/>
    </row>
    <row r="2889" spans="11:15">
      <c r="K2889" s="1623">
        <v>44946</v>
      </c>
      <c r="L2889" s="1624" t="s">
        <v>2302</v>
      </c>
      <c r="M2889" s="1625">
        <v>4.9036999999999997E-2</v>
      </c>
      <c r="N2889" s="1626">
        <v>1.9080674312462849</v>
      </c>
      <c r="O2889" s="1626"/>
    </row>
    <row r="2890" spans="11:15">
      <c r="K2890" s="1623">
        <v>44947</v>
      </c>
      <c r="L2890" s="1624"/>
      <c r="M2890" s="1625">
        <v>0</v>
      </c>
      <c r="N2890" s="1626">
        <v>1.9080674312462849</v>
      </c>
      <c r="O2890" s="1626"/>
    </row>
    <row r="2891" spans="11:15">
      <c r="K2891" s="1623">
        <v>44948</v>
      </c>
      <c r="L2891" s="1624"/>
      <c r="M2891" s="1625">
        <v>0</v>
      </c>
      <c r="N2891" s="1626">
        <v>1.9080674312462849</v>
      </c>
      <c r="O2891" s="1626"/>
    </row>
    <row r="2892" spans="11:15">
      <c r="K2892" s="1623">
        <v>44949</v>
      </c>
      <c r="L2892" s="1624" t="s">
        <v>2302</v>
      </c>
      <c r="M2892" s="1625">
        <v>4.9036999999999997E-2</v>
      </c>
      <c r="N2892" s="1626">
        <v>1.9090030902725452</v>
      </c>
      <c r="O2892" s="1626"/>
    </row>
    <row r="2893" spans="11:15">
      <c r="K2893" s="1623">
        <v>44950</v>
      </c>
      <c r="L2893" s="1624" t="s">
        <v>2302</v>
      </c>
      <c r="M2893" s="1625">
        <v>4.9036999999999997E-2</v>
      </c>
      <c r="N2893" s="1626">
        <v>1.9099392081179223</v>
      </c>
      <c r="O2893" s="1626"/>
    </row>
    <row r="2894" spans="11:15">
      <c r="K2894" s="1623">
        <v>44951</v>
      </c>
      <c r="L2894" s="1624" t="s">
        <v>2302</v>
      </c>
      <c r="M2894" s="1625">
        <v>4.9036999999999997E-2</v>
      </c>
      <c r="N2894" s="1626">
        <v>1.9108757850074072</v>
      </c>
      <c r="O2894" s="1626"/>
    </row>
    <row r="2895" spans="11:15">
      <c r="K2895" s="1623">
        <v>44952</v>
      </c>
      <c r="L2895" s="1624" t="s">
        <v>2302</v>
      </c>
      <c r="M2895" s="1625">
        <v>4.9036999999999997E-2</v>
      </c>
      <c r="N2895" s="1626">
        <v>1.9118128211661014</v>
      </c>
      <c r="O2895" s="1626"/>
    </row>
    <row r="2896" spans="11:15">
      <c r="K2896" s="1623">
        <v>44953</v>
      </c>
      <c r="L2896" s="1624" t="s">
        <v>2302</v>
      </c>
      <c r="M2896" s="1625">
        <v>4.9036999999999997E-2</v>
      </c>
      <c r="N2896" s="1626">
        <v>1.9127503168192168</v>
      </c>
      <c r="O2896" s="1626"/>
    </row>
    <row r="2897" spans="11:15">
      <c r="K2897" s="1623">
        <v>44954</v>
      </c>
      <c r="L2897" s="1624"/>
      <c r="M2897" s="1625">
        <v>0</v>
      </c>
      <c r="N2897" s="1626">
        <v>1.9127503168192168</v>
      </c>
      <c r="O2897" s="1626"/>
    </row>
    <row r="2898" spans="11:15">
      <c r="K2898" s="1623">
        <v>44955</v>
      </c>
      <c r="L2898" s="1624"/>
      <c r="M2898" s="1625">
        <v>0</v>
      </c>
      <c r="N2898" s="1626">
        <v>1.9127503168192168</v>
      </c>
      <c r="O2898" s="1626"/>
    </row>
    <row r="2899" spans="11:15">
      <c r="K2899" s="1623">
        <v>44956</v>
      </c>
      <c r="L2899" s="1624" t="s">
        <v>2302</v>
      </c>
      <c r="M2899" s="1625">
        <v>4.9036999999999997E-2</v>
      </c>
      <c r="N2899" s="1626">
        <v>1.9136882721920756</v>
      </c>
      <c r="O2899" s="1626"/>
    </row>
    <row r="2900" spans="11:15">
      <c r="K2900" s="1623">
        <v>44957</v>
      </c>
      <c r="L2900" s="1624" t="s">
        <v>2302</v>
      </c>
      <c r="M2900" s="1625">
        <v>4.9036999999999997E-2</v>
      </c>
      <c r="N2900" s="1626">
        <v>1.9146266875101106</v>
      </c>
      <c r="O2900" s="1626"/>
    </row>
    <row r="2901" spans="11:15">
      <c r="K2901" s="1623">
        <v>44958</v>
      </c>
      <c r="L2901" s="1624" t="s">
        <v>2302</v>
      </c>
      <c r="M2901" s="1625">
        <v>4.9036999999999997E-2</v>
      </c>
      <c r="N2901" s="1626">
        <v>1.915565562998865</v>
      </c>
      <c r="O2901" s="1626"/>
    </row>
    <row r="2902" spans="11:15">
      <c r="K2902" s="1623">
        <v>44959</v>
      </c>
      <c r="L2902" s="1624" t="s">
        <v>2302</v>
      </c>
      <c r="M2902" s="1625">
        <v>4.9036999999999997E-2</v>
      </c>
      <c r="N2902" s="1626">
        <v>1.916504898883993</v>
      </c>
      <c r="O2902" s="1626"/>
    </row>
    <row r="2903" spans="11:15">
      <c r="K2903" s="1623">
        <v>44960</v>
      </c>
      <c r="L2903" s="1624" t="s">
        <v>2302</v>
      </c>
      <c r="M2903" s="1625">
        <v>4.9036999999999997E-2</v>
      </c>
      <c r="N2903" s="1626">
        <v>1.9174446953912589</v>
      </c>
      <c r="O2903" s="1626"/>
    </row>
    <row r="2904" spans="11:15">
      <c r="K2904" s="1623">
        <v>44961</v>
      </c>
      <c r="L2904" s="1624"/>
      <c r="M2904" s="1625">
        <v>0</v>
      </c>
      <c r="N2904" s="1626">
        <v>1.9174446953912589</v>
      </c>
      <c r="O2904" s="1626"/>
    </row>
    <row r="2905" spans="11:15">
      <c r="K2905" s="1623">
        <v>44962</v>
      </c>
      <c r="L2905" s="1624"/>
      <c r="M2905" s="1625">
        <v>0</v>
      </c>
      <c r="N2905" s="1626">
        <v>1.9174446953912589</v>
      </c>
      <c r="O2905" s="1626"/>
    </row>
    <row r="2906" spans="11:15">
      <c r="K2906" s="1623">
        <v>44963</v>
      </c>
      <c r="L2906" s="1624" t="s">
        <v>2302</v>
      </c>
      <c r="M2906" s="1625">
        <v>4.9036999999999997E-2</v>
      </c>
      <c r="N2906" s="1626">
        <v>1.9183849527465382</v>
      </c>
      <c r="O2906" s="1626"/>
    </row>
    <row r="2907" spans="11:15">
      <c r="K2907" s="1623">
        <v>44964</v>
      </c>
      <c r="L2907" s="1624" t="s">
        <v>2302</v>
      </c>
      <c r="M2907" s="1625">
        <v>4.9036999999999997E-2</v>
      </c>
      <c r="N2907" s="1626">
        <v>1.9193256711758166</v>
      </c>
      <c r="O2907" s="1626"/>
    </row>
    <row r="2908" spans="11:15">
      <c r="K2908" s="1623">
        <v>44965</v>
      </c>
      <c r="L2908" s="1624" t="s">
        <v>2302</v>
      </c>
      <c r="M2908" s="1625">
        <v>4.9036999999999997E-2</v>
      </c>
      <c r="N2908" s="1626">
        <v>1.9202668509051912</v>
      </c>
      <c r="O2908" s="1626"/>
    </row>
    <row r="2909" spans="11:15">
      <c r="K2909" s="1623">
        <v>44966</v>
      </c>
      <c r="L2909" s="1624" t="s">
        <v>2302</v>
      </c>
      <c r="M2909" s="1625">
        <v>4.9036999999999997E-2</v>
      </c>
      <c r="N2909" s="1626">
        <v>1.9212084921608696</v>
      </c>
      <c r="O2909" s="1626"/>
    </row>
    <row r="2910" spans="11:15">
      <c r="K2910" s="1623">
        <v>44967</v>
      </c>
      <c r="L2910" s="1624" t="s">
        <v>2302</v>
      </c>
      <c r="M2910" s="1625">
        <v>4.9036999999999997E-2</v>
      </c>
      <c r="N2910" s="1626">
        <v>1.9221505951691706</v>
      </c>
      <c r="O2910" s="1626"/>
    </row>
    <row r="2911" spans="11:15">
      <c r="K2911" s="1623">
        <v>44968</v>
      </c>
      <c r="L2911" s="1624"/>
      <c r="M2911" s="1625">
        <v>0</v>
      </c>
      <c r="N2911" s="1626">
        <v>1.9221505951691706</v>
      </c>
      <c r="O2911" s="1626"/>
    </row>
    <row r="2912" spans="11:15">
      <c r="K2912" s="1623">
        <v>44969</v>
      </c>
      <c r="L2912" s="1624"/>
      <c r="M2912" s="1625">
        <v>0</v>
      </c>
      <c r="N2912" s="1626">
        <v>1.9221505951691706</v>
      </c>
      <c r="O2912" s="1626"/>
    </row>
    <row r="2913" spans="11:15">
      <c r="K2913" s="1623">
        <v>44970</v>
      </c>
      <c r="L2913" s="1624" t="s">
        <v>2302</v>
      </c>
      <c r="M2913" s="1625">
        <v>4.9036999999999997E-2</v>
      </c>
      <c r="N2913" s="1626">
        <v>1.923093160156524</v>
      </c>
      <c r="O2913" s="1626"/>
    </row>
    <row r="2914" spans="11:15">
      <c r="K2914" s="1623">
        <v>44971</v>
      </c>
      <c r="L2914" s="1624" t="s">
        <v>2302</v>
      </c>
      <c r="M2914" s="1625">
        <v>4.9036999999999997E-2</v>
      </c>
      <c r="N2914" s="1626">
        <v>1.92403618734947</v>
      </c>
      <c r="O2914" s="1626"/>
    </row>
    <row r="2915" spans="11:15">
      <c r="K2915" s="1623">
        <v>44972</v>
      </c>
      <c r="L2915" s="1624" t="s">
        <v>2302</v>
      </c>
      <c r="M2915" s="1625">
        <v>4.9036999999999997E-2</v>
      </c>
      <c r="N2915" s="1626">
        <v>1.9249796769746608</v>
      </c>
      <c r="O2915" s="1626"/>
    </row>
    <row r="2916" spans="11:15">
      <c r="K2916" s="1623">
        <v>44973</v>
      </c>
      <c r="L2916" s="1624" t="s">
        <v>2302</v>
      </c>
      <c r="M2916" s="1625">
        <v>4.9036999999999997E-2</v>
      </c>
      <c r="N2916" s="1626">
        <v>1.9259236292588591</v>
      </c>
      <c r="O2916" s="1626"/>
    </row>
    <row r="2917" spans="11:15">
      <c r="K2917" s="1623">
        <v>44974</v>
      </c>
      <c r="L2917" s="1624" t="s">
        <v>2302</v>
      </c>
      <c r="M2917" s="1625">
        <v>4.9036999999999997E-2</v>
      </c>
      <c r="N2917" s="1626">
        <v>1.9268680444289388</v>
      </c>
      <c r="O2917" s="1626"/>
    </row>
    <row r="2918" spans="11:15">
      <c r="K2918" s="1623">
        <v>44975</v>
      </c>
      <c r="L2918" s="1624"/>
      <c r="M2918" s="1625">
        <v>0</v>
      </c>
      <c r="N2918" s="1626">
        <v>1.9268680444289388</v>
      </c>
      <c r="O2918" s="1626"/>
    </row>
    <row r="2919" spans="11:15">
      <c r="K2919" s="1623">
        <v>44976</v>
      </c>
      <c r="L2919" s="1624"/>
      <c r="M2919" s="1625">
        <v>0</v>
      </c>
      <c r="N2919" s="1626">
        <v>1.9268680444289388</v>
      </c>
      <c r="O2919" s="1626"/>
    </row>
    <row r="2920" spans="11:15">
      <c r="K2920" s="1623">
        <v>44977</v>
      </c>
      <c r="L2920" s="1624"/>
      <c r="M2920" s="1625">
        <v>0</v>
      </c>
      <c r="N2920" s="1626">
        <v>1.9268680444289388</v>
      </c>
      <c r="O2920" s="1626"/>
    </row>
    <row r="2921" spans="11:15">
      <c r="K2921" s="1623">
        <v>44978</v>
      </c>
      <c r="L2921" s="1624"/>
      <c r="M2921" s="1625">
        <v>0</v>
      </c>
      <c r="N2921" s="1626">
        <v>1.9268680444289388</v>
      </c>
      <c r="O2921" s="1626"/>
    </row>
    <row r="2922" spans="11:15">
      <c r="K2922" s="1623">
        <v>44979</v>
      </c>
      <c r="L2922" s="1624" t="s">
        <v>2302</v>
      </c>
      <c r="M2922" s="1625">
        <v>4.9036999999999997E-2</v>
      </c>
      <c r="N2922" s="1626">
        <v>1.9278129227118856</v>
      </c>
      <c r="O2922" s="1626"/>
    </row>
    <row r="2923" spans="11:15">
      <c r="K2923" s="1623">
        <v>44980</v>
      </c>
      <c r="L2923" s="1624" t="s">
        <v>2302</v>
      </c>
      <c r="M2923" s="1625">
        <v>4.9036999999999997E-2</v>
      </c>
      <c r="N2923" s="1626">
        <v>1.928758264334796</v>
      </c>
      <c r="O2923" s="1626"/>
    </row>
    <row r="2924" spans="11:15">
      <c r="K2924" s="1623">
        <v>44981</v>
      </c>
      <c r="L2924" s="1624" t="s">
        <v>2302</v>
      </c>
      <c r="M2924" s="1625">
        <v>4.9036999999999997E-2</v>
      </c>
      <c r="N2924" s="1626">
        <v>1.9297040695248779</v>
      </c>
      <c r="O2924" s="1626"/>
    </row>
    <row r="2925" spans="11:15">
      <c r="K2925" s="1623">
        <v>44982</v>
      </c>
      <c r="L2925" s="1624"/>
      <c r="M2925" s="1625">
        <v>0</v>
      </c>
      <c r="N2925" s="1626">
        <v>1.9297040695248779</v>
      </c>
      <c r="O2925" s="1626"/>
    </row>
    <row r="2926" spans="11:15">
      <c r="K2926" s="1623">
        <v>44983</v>
      </c>
      <c r="L2926" s="1624"/>
      <c r="M2926" s="1625">
        <v>0</v>
      </c>
      <c r="N2926" s="1626">
        <v>1.9297040695248779</v>
      </c>
      <c r="O2926" s="1626"/>
    </row>
    <row r="2927" spans="11:15">
      <c r="K2927" s="1623">
        <v>44984</v>
      </c>
      <c r="L2927" s="1624" t="s">
        <v>2302</v>
      </c>
      <c r="M2927" s="1625">
        <v>4.9036999999999997E-2</v>
      </c>
      <c r="N2927" s="1626">
        <v>1.9306503385094509</v>
      </c>
      <c r="O2927" s="1626"/>
    </row>
    <row r="2928" spans="11:15">
      <c r="K2928" s="1623">
        <v>44985</v>
      </c>
      <c r="L2928" s="1624" t="s">
        <v>2302</v>
      </c>
      <c r="M2928" s="1625">
        <v>4.9036999999999997E-2</v>
      </c>
      <c r="N2928" s="1626">
        <v>1.9315970715159458</v>
      </c>
      <c r="O2928" s="1626"/>
    </row>
    <row r="2929" spans="11:15">
      <c r="K2929" s="1623">
        <v>44986</v>
      </c>
      <c r="L2929" s="1624" t="s">
        <v>2302</v>
      </c>
      <c r="M2929" s="1625">
        <v>4.9036999999999997E-2</v>
      </c>
      <c r="N2929" s="1626">
        <v>1.9325442687719052</v>
      </c>
      <c r="O2929" s="1626"/>
    </row>
    <row r="2930" spans="11:15">
      <c r="K2930" s="1623">
        <v>44987</v>
      </c>
      <c r="L2930" s="1627" t="s">
        <v>2302</v>
      </c>
      <c r="M2930" s="907">
        <v>4.9036999999999997E-2</v>
      </c>
      <c r="N2930" s="1627">
        <v>1.9334919305049831</v>
      </c>
      <c r="O2930" s="1627"/>
    </row>
    <row r="2931" spans="11:15">
      <c r="K2931" s="1623">
        <v>44988</v>
      </c>
      <c r="L2931" s="1627" t="s">
        <v>2302</v>
      </c>
      <c r="M2931" s="907">
        <v>4.9036999999999997E-2</v>
      </c>
      <c r="N2931" s="1627">
        <v>1.934440056942945</v>
      </c>
      <c r="O2931" s="1627"/>
    </row>
    <row r="2932" spans="11:15">
      <c r="K2932" s="1623">
        <v>44989</v>
      </c>
      <c r="L2932" s="1627"/>
      <c r="M2932" s="907">
        <v>0</v>
      </c>
      <c r="N2932" s="1627">
        <v>1.934440056942945</v>
      </c>
      <c r="O2932" s="1627"/>
    </row>
    <row r="2933" spans="11:15">
      <c r="K2933" s="1623">
        <v>44990</v>
      </c>
      <c r="L2933" s="1627"/>
      <c r="M2933" s="907">
        <v>0</v>
      </c>
      <c r="N2933" s="1627">
        <v>1.934440056942945</v>
      </c>
      <c r="O2933" s="1627"/>
    </row>
    <row r="2934" spans="11:15">
      <c r="K2934" s="1623">
        <v>44991</v>
      </c>
      <c r="L2934" s="1627" t="s">
        <v>2302</v>
      </c>
      <c r="M2934" s="907">
        <v>4.9036999999999997E-2</v>
      </c>
      <c r="N2934" s="1627">
        <v>1.9353886483136682</v>
      </c>
      <c r="O2934" s="1627"/>
    </row>
    <row r="2935" spans="11:15">
      <c r="K2935" s="1623">
        <v>44992</v>
      </c>
      <c r="L2935" s="1627" t="s">
        <v>2302</v>
      </c>
      <c r="M2935" s="907">
        <v>4.9036999999999997E-2</v>
      </c>
      <c r="N2935" s="1627">
        <v>1.936337704845142</v>
      </c>
      <c r="O2935" s="1627"/>
    </row>
    <row r="2936" spans="11:15">
      <c r="K2936" s="1623">
        <v>44993</v>
      </c>
      <c r="L2936" s="1627" t="s">
        <v>2302</v>
      </c>
      <c r="M2936" s="907">
        <v>4.9036999999999997E-2</v>
      </c>
      <c r="N2936" s="1627">
        <v>1.9372872267654671</v>
      </c>
      <c r="O2936" s="1627"/>
    </row>
    <row r="2937" spans="11:15">
      <c r="K2937" s="1623">
        <v>44994</v>
      </c>
      <c r="L2937" s="1627" t="s">
        <v>2302</v>
      </c>
      <c r="M2937" s="907">
        <v>4.9036999999999997E-2</v>
      </c>
      <c r="N2937" s="1627">
        <v>1.9382372143028561</v>
      </c>
      <c r="O2937" s="1627"/>
    </row>
    <row r="2938" spans="11:15">
      <c r="K2938" s="1623">
        <v>44995</v>
      </c>
      <c r="L2938" s="1627" t="s">
        <v>2302</v>
      </c>
      <c r="M2938" s="907">
        <v>4.9036999999999997E-2</v>
      </c>
      <c r="N2938" s="1627">
        <v>1.9391876676856339</v>
      </c>
      <c r="O2938" s="1627"/>
    </row>
    <row r="2939" spans="11:15">
      <c r="K2939" s="1623">
        <v>44996</v>
      </c>
      <c r="L2939" s="1627"/>
      <c r="M2939" s="907">
        <v>0</v>
      </c>
      <c r="N2939" s="1627">
        <v>1.9391876676856339</v>
      </c>
      <c r="O2939" s="1627"/>
    </row>
    <row r="2940" spans="11:15">
      <c r="K2940" s="1623">
        <v>44997</v>
      </c>
      <c r="L2940" s="1627"/>
      <c r="M2940" s="907">
        <v>0</v>
      </c>
      <c r="N2940" s="1627">
        <v>1.9391876676856339</v>
      </c>
      <c r="O2940" s="1627"/>
    </row>
    <row r="2941" spans="11:15">
      <c r="K2941" s="1623">
        <v>44998</v>
      </c>
      <c r="L2941" s="1627" t="s">
        <v>2302</v>
      </c>
      <c r="M2941" s="907">
        <v>4.9036999999999997E-2</v>
      </c>
      <c r="N2941" s="1627">
        <v>1.940138587142237</v>
      </c>
      <c r="O2941" s="1627"/>
    </row>
    <row r="2942" spans="11:15">
      <c r="K2942" s="1623">
        <v>44999</v>
      </c>
      <c r="L2942" s="1627" t="s">
        <v>2302</v>
      </c>
      <c r="M2942" s="907">
        <v>4.9036999999999997E-2</v>
      </c>
      <c r="N2942" s="1627">
        <v>1.9410899729012141</v>
      </c>
      <c r="O2942" s="1627"/>
    </row>
    <row r="2943" spans="11:15">
      <c r="K2943" s="1623">
        <v>45000</v>
      </c>
      <c r="L2943" s="1627" t="s">
        <v>2302</v>
      </c>
      <c r="M2943" s="907">
        <v>4.9036999999999997E-2</v>
      </c>
      <c r="N2943" s="1627">
        <v>1.9420418251912257</v>
      </c>
      <c r="O2943" s="1627"/>
    </row>
    <row r="2944" spans="11:15">
      <c r="K2944" s="1623">
        <v>45001</v>
      </c>
      <c r="L2944" s="1627" t="s">
        <v>2302</v>
      </c>
      <c r="M2944" s="907">
        <v>4.9036999999999997E-2</v>
      </c>
      <c r="N2944" s="1627">
        <v>1.9429941442410448</v>
      </c>
      <c r="O2944" s="1627"/>
    </row>
    <row r="2945" spans="11:15">
      <c r="K2945" s="1623">
        <v>45002</v>
      </c>
      <c r="L2945" s="1627" t="s">
        <v>2302</v>
      </c>
      <c r="M2945" s="907">
        <v>4.9036999999999997E-2</v>
      </c>
      <c r="N2945" s="1627">
        <v>1.9439469302795565</v>
      </c>
      <c r="O2945" s="1627"/>
    </row>
    <row r="2946" spans="11:15">
      <c r="K2946" s="1623">
        <v>45003</v>
      </c>
      <c r="L2946" s="1627"/>
      <c r="M2946" s="907">
        <v>0</v>
      </c>
      <c r="N2946" s="1627">
        <v>1.9439469302795565</v>
      </c>
      <c r="O2946" s="1627"/>
    </row>
    <row r="2947" spans="11:15">
      <c r="K2947" s="1623">
        <v>45004</v>
      </c>
      <c r="L2947" s="1627"/>
      <c r="M2947" s="907">
        <v>0</v>
      </c>
      <c r="N2947" s="1627">
        <v>1.9439469302795565</v>
      </c>
      <c r="O2947" s="1627"/>
    </row>
    <row r="2948" spans="11:15">
      <c r="K2948" s="1623">
        <v>45005</v>
      </c>
      <c r="L2948" s="1627" t="s">
        <v>2302</v>
      </c>
      <c r="M2948" s="907">
        <v>4.9036999999999997E-2</v>
      </c>
      <c r="N2948" s="1627">
        <v>1.9449001835357578</v>
      </c>
      <c r="O2948" s="1627"/>
    </row>
    <row r="2949" spans="11:15">
      <c r="K2949" s="1623">
        <v>45006</v>
      </c>
      <c r="L2949" s="1627" t="s">
        <v>2302</v>
      </c>
      <c r="M2949" s="907">
        <v>4.9036999999999997E-2</v>
      </c>
      <c r="N2949" s="1627">
        <v>1.9458539042387584</v>
      </c>
      <c r="O2949" s="1627"/>
    </row>
    <row r="2950" spans="11:15">
      <c r="K2950" s="1623">
        <v>45007</v>
      </c>
      <c r="L2950" s="1627" t="s">
        <v>2302</v>
      </c>
      <c r="M2950" s="907">
        <v>4.9036999999999997E-2</v>
      </c>
      <c r="N2950" s="1627">
        <v>1.94680809261778</v>
      </c>
      <c r="O2950" s="1627"/>
    </row>
    <row r="2951" spans="11:15">
      <c r="K2951" s="1623">
        <v>45008</v>
      </c>
      <c r="L2951" s="1627" t="s">
        <v>2302</v>
      </c>
      <c r="M2951" s="907">
        <v>4.9036999999999997E-2</v>
      </c>
      <c r="N2951" s="1627">
        <v>1.9477627489021572</v>
      </c>
      <c r="O2951" s="1627"/>
    </row>
    <row r="2952" spans="11:15">
      <c r="K2952" s="1623">
        <v>45009</v>
      </c>
      <c r="L2952" s="1627" t="s">
        <v>2302</v>
      </c>
      <c r="M2952" s="907">
        <v>4.9036999999999997E-2</v>
      </c>
      <c r="N2952" s="1627">
        <v>1.9487178733213364</v>
      </c>
      <c r="O2952" s="1627"/>
    </row>
    <row r="2953" spans="11:15">
      <c r="K2953" s="1623">
        <v>45010</v>
      </c>
      <c r="L2953" s="1627"/>
      <c r="M2953" s="907">
        <v>0</v>
      </c>
      <c r="N2953" s="1627">
        <v>1.9487178733213364</v>
      </c>
      <c r="O2953" s="1627"/>
    </row>
    <row r="2954" spans="11:15">
      <c r="K2954" s="1623">
        <v>45011</v>
      </c>
      <c r="L2954" s="1627"/>
      <c r="M2954" s="907">
        <v>0</v>
      </c>
      <c r="N2954" s="1627">
        <v>1.9487178733213364</v>
      </c>
      <c r="O2954" s="1627"/>
    </row>
    <row r="2955" spans="11:15">
      <c r="K2955" s="1623">
        <v>45012</v>
      </c>
      <c r="L2955" s="1627" t="s">
        <v>2302</v>
      </c>
      <c r="M2955" s="907">
        <v>4.9036999999999997E-2</v>
      </c>
      <c r="N2955" s="1627">
        <v>1.9496734661048771</v>
      </c>
      <c r="O2955" s="1627"/>
    </row>
    <row r="2956" spans="11:15">
      <c r="K2956" s="1623">
        <v>45013</v>
      </c>
      <c r="L2956" s="1627" t="s">
        <v>2302</v>
      </c>
      <c r="M2956" s="907">
        <v>4.9036999999999997E-2</v>
      </c>
      <c r="N2956" s="1627">
        <v>1.9506295274824512</v>
      </c>
      <c r="O2956" s="1627"/>
    </row>
    <row r="2957" spans="11:15">
      <c r="K2957" s="1623">
        <v>45014</v>
      </c>
      <c r="L2957" s="1627" t="s">
        <v>2302</v>
      </c>
      <c r="M2957" s="907">
        <v>4.9036999999999997E-2</v>
      </c>
      <c r="N2957" s="1627">
        <v>1.9515860576838429</v>
      </c>
      <c r="O2957" s="1627"/>
    </row>
    <row r="2958" spans="11:15">
      <c r="K2958" s="1623">
        <v>45015</v>
      </c>
      <c r="L2958" s="1627" t="s">
        <v>2302</v>
      </c>
      <c r="M2958" s="907">
        <v>4.9036999999999997E-2</v>
      </c>
      <c r="N2958" s="1627">
        <v>1.9525430569389495</v>
      </c>
      <c r="O2958" s="1627"/>
    </row>
    <row r="2959" spans="11:15">
      <c r="K2959" s="1623">
        <v>45016</v>
      </c>
      <c r="L2959" s="1627" t="s">
        <v>2302</v>
      </c>
      <c r="M2959" s="907">
        <v>4.9036999999999997E-2</v>
      </c>
      <c r="N2959" s="1627">
        <v>1.9535005254777809</v>
      </c>
      <c r="O2959" s="1627"/>
    </row>
    <row r="2960" spans="11:15">
      <c r="K2960" s="1623">
        <v>45017</v>
      </c>
      <c r="L2960" s="1627"/>
      <c r="M2960" s="907">
        <v>0</v>
      </c>
      <c r="N2960" s="1627">
        <v>1.9535005254777809</v>
      </c>
      <c r="O2960" s="1627"/>
    </row>
    <row r="2961" spans="11:15">
      <c r="K2961" s="1623">
        <v>45018</v>
      </c>
      <c r="L2961" s="1627"/>
      <c r="M2961" s="907">
        <v>0</v>
      </c>
      <c r="N2961" s="1627">
        <v>1.9535005254777809</v>
      </c>
      <c r="O2961" s="1627"/>
    </row>
    <row r="2962" spans="11:15">
      <c r="K2962" s="1623">
        <v>45019</v>
      </c>
      <c r="L2962" s="1627" t="s">
        <v>2302</v>
      </c>
      <c r="M2962" s="907">
        <v>4.9036999999999997E-2</v>
      </c>
      <c r="N2962" s="1627">
        <v>1.9544584635304596</v>
      </c>
      <c r="O2962" s="1627"/>
    </row>
    <row r="2963" spans="11:15">
      <c r="K2963" s="1623">
        <v>45020</v>
      </c>
      <c r="L2963" s="1627" t="s">
        <v>2302</v>
      </c>
      <c r="M2963" s="907">
        <v>4.9036999999999997E-2</v>
      </c>
      <c r="N2963" s="1627">
        <v>1.9554168713272211</v>
      </c>
      <c r="O2963" s="1627"/>
    </row>
    <row r="2964" spans="11:15">
      <c r="K2964" s="1623">
        <v>45021</v>
      </c>
      <c r="L2964" s="1627" t="s">
        <v>2302</v>
      </c>
      <c r="M2964" s="907">
        <v>4.9036999999999997E-2</v>
      </c>
      <c r="N2964" s="1627">
        <v>1.9563757490984139</v>
      </c>
      <c r="O2964" s="1627"/>
    </row>
    <row r="2965" spans="11:15">
      <c r="K2965" s="1623">
        <v>45022</v>
      </c>
      <c r="L2965" s="1627" t="s">
        <v>2302</v>
      </c>
      <c r="M2965" s="907">
        <v>4.9036999999999997E-2</v>
      </c>
      <c r="N2965" s="1627">
        <v>1.9573350970744994</v>
      </c>
      <c r="O2965" s="1627"/>
    </row>
    <row r="2966" spans="11:15">
      <c r="K2966" s="1623">
        <v>45023</v>
      </c>
      <c r="L2966" s="1627"/>
      <c r="M2966" s="907">
        <v>0</v>
      </c>
      <c r="N2966" s="1627">
        <v>1.9573350970744994</v>
      </c>
      <c r="O2966" s="1627"/>
    </row>
    <row r="2967" spans="11:15">
      <c r="K2967" s="1623">
        <v>45024</v>
      </c>
      <c r="L2967" s="1627"/>
      <c r="M2967" s="907">
        <v>0</v>
      </c>
      <c r="N2967" s="1627">
        <v>1.9573350970744994</v>
      </c>
      <c r="O2967" s="1627"/>
    </row>
    <row r="2968" spans="11:15">
      <c r="K2968" s="1623">
        <v>45025</v>
      </c>
      <c r="L2968" s="1627"/>
      <c r="M2968" s="907">
        <v>0</v>
      </c>
      <c r="N2968" s="1627">
        <v>1.9573350970744994</v>
      </c>
      <c r="O2968" s="1627"/>
    </row>
    <row r="2969" spans="11:15">
      <c r="K2969" s="1623">
        <v>45026</v>
      </c>
      <c r="L2969" s="1627" t="s">
        <v>2302</v>
      </c>
      <c r="M2969" s="907">
        <v>4.9036999999999997E-2</v>
      </c>
      <c r="N2969" s="1627">
        <v>1.9582949154860518</v>
      </c>
      <c r="O2969" s="1627"/>
    </row>
    <row r="2970" spans="11:15">
      <c r="K2970" s="1623">
        <v>45027</v>
      </c>
      <c r="L2970" s="1627" t="s">
        <v>2302</v>
      </c>
      <c r="M2970" s="907">
        <v>4.9036999999999997E-2</v>
      </c>
      <c r="N2970" s="1627">
        <v>1.9592552045637588</v>
      </c>
      <c r="O2970" s="1627"/>
    </row>
    <row r="2971" spans="11:15">
      <c r="K2971" s="1623">
        <v>45028</v>
      </c>
      <c r="L2971" s="1627" t="s">
        <v>2302</v>
      </c>
      <c r="M2971" s="907">
        <v>4.9036999999999997E-2</v>
      </c>
      <c r="N2971" s="1627">
        <v>1.960215964538421</v>
      </c>
      <c r="O2971" s="1627"/>
    </row>
    <row r="2972" spans="11:15">
      <c r="K2972" s="1623">
        <v>45029</v>
      </c>
      <c r="L2972" s="1627" t="s">
        <v>2302</v>
      </c>
      <c r="M2972" s="907">
        <v>4.9036999999999997E-2</v>
      </c>
      <c r="N2972" s="1627">
        <v>1.9611771956409518</v>
      </c>
      <c r="O2972" s="1627"/>
    </row>
    <row r="2973" spans="11:15">
      <c r="K2973" s="1623">
        <v>45030</v>
      </c>
      <c r="L2973" s="1627" t="s">
        <v>2302</v>
      </c>
      <c r="M2973" s="907">
        <v>4.9036999999999997E-2</v>
      </c>
      <c r="N2973" s="1627">
        <v>1.9621388981023784</v>
      </c>
      <c r="O2973" s="1627"/>
    </row>
    <row r="2974" spans="11:15">
      <c r="K2974" s="1623">
        <v>45031</v>
      </c>
      <c r="L2974" s="1627"/>
      <c r="M2974" s="907">
        <v>0</v>
      </c>
      <c r="N2974" s="1627">
        <v>1.9621388981023784</v>
      </c>
      <c r="O2974" s="1627"/>
    </row>
    <row r="2975" spans="11:15">
      <c r="K2975" s="1623">
        <v>45032</v>
      </c>
      <c r="L2975" s="1627"/>
      <c r="M2975" s="907">
        <v>0</v>
      </c>
      <c r="N2975" s="1627">
        <v>1.9621388981023784</v>
      </c>
      <c r="O2975" s="1627"/>
    </row>
    <row r="2976" spans="11:15">
      <c r="K2976" s="1623">
        <v>45033</v>
      </c>
      <c r="L2976" s="1627" t="s">
        <v>2302</v>
      </c>
      <c r="M2976" s="907">
        <v>4.9036999999999997E-2</v>
      </c>
      <c r="N2976" s="1627">
        <v>1.9631010721538411</v>
      </c>
      <c r="O2976" s="1627"/>
    </row>
    <row r="2977" spans="11:15">
      <c r="K2977" s="1623">
        <v>45034</v>
      </c>
      <c r="L2977" s="1627" t="s">
        <v>2302</v>
      </c>
      <c r="M2977" s="907">
        <v>4.9036999999999997E-2</v>
      </c>
      <c r="N2977" s="1627">
        <v>1.9640637180265934</v>
      </c>
      <c r="O2977" s="1627"/>
    </row>
    <row r="2978" spans="11:15">
      <c r="K2978" s="1623">
        <v>45035</v>
      </c>
      <c r="L2978" s="1627" t="s">
        <v>2302</v>
      </c>
      <c r="M2978" s="907">
        <v>4.9036999999999997E-2</v>
      </c>
      <c r="N2978" s="1627">
        <v>1.9650268359520022</v>
      </c>
      <c r="O2978" s="1627"/>
    </row>
    <row r="2979" spans="11:15">
      <c r="K2979" s="1623">
        <v>45036</v>
      </c>
      <c r="L2979" s="1627" t="s">
        <v>2302</v>
      </c>
      <c r="M2979" s="907">
        <v>4.9036999999999997E-2</v>
      </c>
      <c r="N2979" s="1627">
        <v>1.9659904261615482</v>
      </c>
      <c r="O2979" s="1627"/>
    </row>
    <row r="2980" spans="11:15">
      <c r="K2980" s="1623">
        <v>45037</v>
      </c>
      <c r="L2980" s="1627"/>
      <c r="M2980" s="907">
        <v>0</v>
      </c>
      <c r="N2980" s="1627">
        <v>1.9659904261615482</v>
      </c>
      <c r="O2980" s="1627"/>
    </row>
    <row r="2981" spans="11:15">
      <c r="K2981" s="1623">
        <v>45038</v>
      </c>
      <c r="L2981" s="1627"/>
      <c r="M2981" s="907">
        <v>0</v>
      </c>
      <c r="N2981" s="1627">
        <v>1.9659904261615482</v>
      </c>
      <c r="O2981" s="1627"/>
    </row>
    <row r="2982" spans="11:15">
      <c r="K2982" s="1623">
        <v>45039</v>
      </c>
      <c r="L2982" s="1627"/>
      <c r="M2982" s="907">
        <v>0</v>
      </c>
      <c r="N2982" s="1627">
        <v>1.9659904261615482</v>
      </c>
      <c r="O2982" s="1627"/>
    </row>
    <row r="2983" spans="11:15">
      <c r="K2983" s="1623">
        <v>45040</v>
      </c>
      <c r="L2983" s="1627" t="s">
        <v>2302</v>
      </c>
      <c r="M2983" s="907">
        <v>4.9036999999999997E-2</v>
      </c>
      <c r="N2983" s="1627">
        <v>1.9669544888868251</v>
      </c>
      <c r="O2983" s="1627"/>
    </row>
    <row r="2984" spans="11:15">
      <c r="K2984" s="1623">
        <v>45041</v>
      </c>
      <c r="L2984" s="1627" t="s">
        <v>2302</v>
      </c>
      <c r="M2984" s="907">
        <v>4.9036999999999997E-2</v>
      </c>
      <c r="N2984" s="1627">
        <v>1.9679190243595406</v>
      </c>
      <c r="O2984" s="1627"/>
    </row>
    <row r="2985" spans="11:15">
      <c r="K2985" s="1623">
        <v>45042</v>
      </c>
      <c r="L2985" s="1627" t="s">
        <v>2302</v>
      </c>
      <c r="M2985" s="907">
        <v>4.9036999999999997E-2</v>
      </c>
      <c r="N2985" s="1627">
        <v>1.9688840328115158</v>
      </c>
      <c r="O2985" s="1627"/>
    </row>
    <row r="2986" spans="11:15">
      <c r="K2986" s="1623">
        <v>45043</v>
      </c>
      <c r="L2986" s="1627" t="s">
        <v>2302</v>
      </c>
      <c r="M2986" s="907">
        <v>4.9036999999999997E-2</v>
      </c>
      <c r="N2986" s="1627">
        <v>1.9698495144746857</v>
      </c>
      <c r="O2986" s="1627"/>
    </row>
    <row r="2987" spans="11:15">
      <c r="K2987" s="1623">
        <v>45044</v>
      </c>
      <c r="L2987" s="1627" t="s">
        <v>2302</v>
      </c>
      <c r="M2987" s="907">
        <v>4.9036999999999997E-2</v>
      </c>
      <c r="N2987" s="1627">
        <v>1.9708154695810989</v>
      </c>
      <c r="O2987" s="1627"/>
    </row>
    <row r="2988" spans="11:15">
      <c r="K2988" s="1623">
        <v>45045</v>
      </c>
      <c r="L2988" s="1627"/>
      <c r="M2988" s="907">
        <v>0</v>
      </c>
      <c r="N2988" s="1627">
        <v>1.9708154695810989</v>
      </c>
      <c r="O2988" s="1627"/>
    </row>
    <row r="2989" spans="11:15">
      <c r="K2989" s="1623">
        <v>45046</v>
      </c>
      <c r="L2989" s="1627"/>
      <c r="M2989" s="907">
        <v>0</v>
      </c>
      <c r="N2989" s="1627">
        <v>1.9708154695810989</v>
      </c>
      <c r="O2989" s="1627"/>
    </row>
    <row r="2990" spans="11:15">
      <c r="K2990" s="1623">
        <v>45047</v>
      </c>
      <c r="L2990" s="1627"/>
      <c r="M2990" s="907">
        <v>0</v>
      </c>
      <c r="N2990" s="1627">
        <v>1.9708154695810989</v>
      </c>
      <c r="O2990" s="1627"/>
    </row>
    <row r="2991" spans="11:15">
      <c r="K2991" s="1623">
        <v>45048</v>
      </c>
      <c r="L2991" s="1627" t="s">
        <v>2302</v>
      </c>
      <c r="M2991" s="907">
        <v>4.9036999999999997E-2</v>
      </c>
      <c r="N2991" s="1627">
        <v>1.9717818983629174</v>
      </c>
      <c r="O2991" s="1627"/>
    </row>
    <row r="2992" spans="11:15">
      <c r="K2992" s="1623">
        <v>45049</v>
      </c>
      <c r="L2992" s="1627" t="s">
        <v>2302</v>
      </c>
      <c r="M2992" s="907">
        <v>4.9036999999999997E-2</v>
      </c>
      <c r="N2992" s="1627">
        <v>1.9727488010524177</v>
      </c>
      <c r="O2992" s="1627"/>
    </row>
    <row r="2993" spans="11:15">
      <c r="K2993" s="1623">
        <v>45050</v>
      </c>
      <c r="L2993" s="1627" t="s">
        <v>2302</v>
      </c>
      <c r="M2993" s="907">
        <v>4.9036999999999997E-2</v>
      </c>
      <c r="N2993" s="1627">
        <v>1.9737161778819898</v>
      </c>
      <c r="O2993" s="1627"/>
    </row>
    <row r="2994" spans="11:15">
      <c r="K2994" s="1623">
        <v>45051</v>
      </c>
      <c r="L2994" s="1627" t="s">
        <v>2302</v>
      </c>
      <c r="M2994" s="907">
        <v>4.9036999999999997E-2</v>
      </c>
      <c r="N2994" s="1627">
        <v>1.9746840290841379</v>
      </c>
      <c r="O2994" s="1627"/>
    </row>
    <row r="2995" spans="11:15">
      <c r="K2995" s="1623">
        <v>45052</v>
      </c>
      <c r="L2995" s="1627"/>
      <c r="M2995" s="907">
        <v>0</v>
      </c>
      <c r="N2995" s="1627">
        <v>1.9746840290841379</v>
      </c>
      <c r="O2995" s="1627"/>
    </row>
    <row r="2996" spans="11:15">
      <c r="K2996" s="1623">
        <v>45053</v>
      </c>
      <c r="L2996" s="1627"/>
      <c r="M2996" s="907">
        <v>0</v>
      </c>
      <c r="N2996" s="1627">
        <v>1.9746840290841379</v>
      </c>
      <c r="O2996" s="1627"/>
    </row>
    <row r="2997" spans="11:15">
      <c r="K2997" s="1623">
        <v>45054</v>
      </c>
      <c r="L2997" s="1627" t="s">
        <v>2302</v>
      </c>
      <c r="M2997" s="907">
        <v>4.9036999999999997E-2</v>
      </c>
      <c r="N2997" s="1627">
        <v>1.9756523548914799</v>
      </c>
      <c r="O2997" s="1627"/>
    </row>
    <row r="2998" spans="11:15">
      <c r="K2998" s="1623">
        <v>45055</v>
      </c>
      <c r="L2998" s="1627" t="s">
        <v>2302</v>
      </c>
      <c r="M2998" s="907">
        <v>4.9036999999999997E-2</v>
      </c>
      <c r="N2998" s="1627">
        <v>1.9766211555367483</v>
      </c>
      <c r="O2998" s="1627"/>
    </row>
    <row r="2999" spans="11:15">
      <c r="K2999" s="1623">
        <v>45056</v>
      </c>
      <c r="L2999" s="1627" t="s">
        <v>2302</v>
      </c>
      <c r="M2999" s="907">
        <v>4.9036999999999997E-2</v>
      </c>
      <c r="N2999" s="1627">
        <v>1.977590431252789</v>
      </c>
      <c r="O2999" s="1627"/>
    </row>
    <row r="3000" spans="11:15">
      <c r="K3000" s="1623">
        <v>45057</v>
      </c>
      <c r="L3000" s="1627" t="s">
        <v>2302</v>
      </c>
      <c r="M3000" s="907">
        <v>4.9036999999999997E-2</v>
      </c>
      <c r="N3000" s="1627">
        <v>1.9785601822725625</v>
      </c>
      <c r="O3000" s="1627"/>
    </row>
    <row r="3001" spans="11:15">
      <c r="K3001" s="1623">
        <v>45058</v>
      </c>
      <c r="L3001" s="1627" t="s">
        <v>2302</v>
      </c>
      <c r="M3001" s="907">
        <v>4.9036999999999997E-2</v>
      </c>
      <c r="N3001" s="1627">
        <v>1.9795304088291437</v>
      </c>
      <c r="O3001" s="1627"/>
    </row>
    <row r="3002" spans="11:15">
      <c r="K3002" s="1623">
        <v>45059</v>
      </c>
      <c r="L3002" s="1627"/>
      <c r="M3002" s="907">
        <v>0</v>
      </c>
      <c r="N3002" s="1627">
        <v>1.9795304088291437</v>
      </c>
      <c r="O3002" s="1627"/>
    </row>
    <row r="3003" spans="11:15">
      <c r="K3003" s="1623">
        <v>45060</v>
      </c>
      <c r="L3003" s="1627"/>
      <c r="M3003" s="907">
        <v>0</v>
      </c>
      <c r="N3003" s="1627">
        <v>1.9795304088291437</v>
      </c>
      <c r="O3003" s="1627"/>
    </row>
    <row r="3004" spans="11:15">
      <c r="K3004" s="1623">
        <v>45061</v>
      </c>
      <c r="L3004" s="1627" t="s">
        <v>2302</v>
      </c>
      <c r="M3004" s="907">
        <v>4.9036999999999997E-2</v>
      </c>
      <c r="N3004" s="1627">
        <v>1.9805011111557214</v>
      </c>
      <c r="O3004" s="1627"/>
    </row>
    <row r="3005" spans="11:15">
      <c r="K3005" s="1623">
        <v>45062</v>
      </c>
      <c r="L3005" s="1627" t="s">
        <v>2302</v>
      </c>
      <c r="M3005" s="907">
        <v>4.9036999999999997E-2</v>
      </c>
      <c r="N3005" s="1627">
        <v>1.9814722894855989</v>
      </c>
      <c r="O3005" s="1627"/>
    </row>
    <row r="3006" spans="11:15">
      <c r="K3006" s="1623">
        <v>45063</v>
      </c>
      <c r="L3006" s="1627" t="s">
        <v>2302</v>
      </c>
      <c r="M3006" s="907">
        <v>4.9036999999999997E-2</v>
      </c>
      <c r="N3006" s="1627">
        <v>1.9824439440521942</v>
      </c>
      <c r="O3006" s="1627"/>
    </row>
    <row r="3007" spans="11:15">
      <c r="K3007" s="1623">
        <v>45064</v>
      </c>
      <c r="L3007" s="1627" t="s">
        <v>2302</v>
      </c>
      <c r="M3007" s="907">
        <v>4.9036999999999997E-2</v>
      </c>
      <c r="N3007" s="1627">
        <v>1.9834160750890393</v>
      </c>
      <c r="O3007" s="1627"/>
    </row>
    <row r="3008" spans="11:15">
      <c r="K3008" s="1623">
        <v>45065</v>
      </c>
      <c r="L3008" s="1627" t="s">
        <v>2302</v>
      </c>
      <c r="M3008" s="907">
        <v>4.9036999999999997E-2</v>
      </c>
      <c r="N3008" s="1627">
        <v>1.9843886828297808</v>
      </c>
      <c r="O3008" s="1627"/>
    </row>
    <row r="3009" spans="11:15">
      <c r="K3009" s="1623">
        <v>45066</v>
      </c>
      <c r="L3009" s="1627"/>
      <c r="M3009" s="907">
        <v>0</v>
      </c>
      <c r="N3009" s="1627">
        <v>1.9843886828297808</v>
      </c>
      <c r="O3009" s="1627"/>
    </row>
    <row r="3010" spans="11:15">
      <c r="K3010" s="1623">
        <v>45067</v>
      </c>
      <c r="L3010" s="1627"/>
      <c r="M3010" s="907">
        <v>0</v>
      </c>
      <c r="N3010" s="1627">
        <v>1.9843886828297808</v>
      </c>
      <c r="O3010" s="1627"/>
    </row>
    <row r="3011" spans="11:15">
      <c r="K3011" s="1623">
        <v>45068</v>
      </c>
      <c r="L3011" s="1627" t="s">
        <v>2302</v>
      </c>
      <c r="M3011" s="907">
        <v>4.9036999999999997E-2</v>
      </c>
      <c r="N3011" s="1627">
        <v>1.9853617675081801</v>
      </c>
      <c r="O3011" s="1627"/>
    </row>
    <row r="3012" spans="11:15">
      <c r="K3012" s="1623">
        <v>45069</v>
      </c>
      <c r="L3012" s="1627" t="s">
        <v>2302</v>
      </c>
      <c r="M3012" s="907">
        <v>4.9036999999999997E-2</v>
      </c>
      <c r="N3012" s="1627">
        <v>1.9863353293581132</v>
      </c>
      <c r="O3012" s="1627"/>
    </row>
    <row r="3013" spans="11:15">
      <c r="K3013" s="1623">
        <v>45070</v>
      </c>
      <c r="L3013" s="1627" t="s">
        <v>2302</v>
      </c>
      <c r="M3013" s="907">
        <v>4.9036999999999997E-2</v>
      </c>
      <c r="N3013" s="1627">
        <v>1.9873093686135708</v>
      </c>
      <c r="O3013" s="1627"/>
    </row>
    <row r="3014" spans="11:15">
      <c r="K3014" s="1623">
        <v>45071</v>
      </c>
      <c r="L3014" s="1627" t="s">
        <v>2302</v>
      </c>
      <c r="M3014" s="907">
        <v>4.9036999999999997E-2</v>
      </c>
      <c r="N3014" s="1627">
        <v>1.988283885508658</v>
      </c>
      <c r="O3014" s="1627"/>
    </row>
    <row r="3015" spans="11:15">
      <c r="K3015" s="1623">
        <v>45072</v>
      </c>
      <c r="L3015" s="1627" t="s">
        <v>2302</v>
      </c>
      <c r="M3015" s="907">
        <v>4.9036999999999997E-2</v>
      </c>
      <c r="N3015" s="1627">
        <v>1.989258880277595</v>
      </c>
      <c r="O3015" s="1627"/>
    </row>
    <row r="3016" spans="11:15">
      <c r="K3016" s="1623">
        <v>45073</v>
      </c>
      <c r="L3016" s="1627"/>
      <c r="M3016" s="907">
        <v>0</v>
      </c>
      <c r="N3016" s="1627">
        <v>1.989258880277595</v>
      </c>
      <c r="O3016" s="1627"/>
    </row>
    <row r="3017" spans="11:15">
      <c r="K3017" s="1623">
        <v>45074</v>
      </c>
      <c r="L3017" s="1627"/>
      <c r="M3017" s="907">
        <v>0</v>
      </c>
      <c r="N3017" s="1627">
        <v>1.989258880277595</v>
      </c>
      <c r="O3017" s="1627"/>
    </row>
    <row r="3018" spans="11:15">
      <c r="K3018" s="1623">
        <v>45075</v>
      </c>
      <c r="L3018" s="1627" t="s">
        <v>2302</v>
      </c>
      <c r="M3018" s="907">
        <v>4.9036999999999997E-2</v>
      </c>
      <c r="N3018" s="1627">
        <v>1.9902343531547169</v>
      </c>
      <c r="O3018" s="1627"/>
    </row>
    <row r="3019" spans="11:15">
      <c r="K3019" s="1623">
        <v>45076</v>
      </c>
      <c r="L3019" s="1627" t="s">
        <v>2302</v>
      </c>
      <c r="M3019" s="907">
        <v>4.9036999999999997E-2</v>
      </c>
      <c r="N3019" s="1627">
        <v>1.9912103043744735</v>
      </c>
      <c r="O3019" s="1627"/>
    </row>
    <row r="3020" spans="11:15">
      <c r="K3020" s="1623">
        <v>45077</v>
      </c>
      <c r="L3020" s="1627" t="s">
        <v>2302</v>
      </c>
      <c r="M3020" s="907">
        <v>4.9036999999999997E-2</v>
      </c>
      <c r="N3020" s="1627">
        <v>1.9921867341714299</v>
      </c>
      <c r="O3020" s="1627"/>
    </row>
    <row r="3021" spans="11:15">
      <c r="K3021" s="1623">
        <v>45078</v>
      </c>
      <c r="L3021" s="1627" t="s">
        <v>2302</v>
      </c>
      <c r="M3021" s="907">
        <v>4.9036999999999997E-2</v>
      </c>
      <c r="N3021" s="1627">
        <v>1.9931636427802657</v>
      </c>
      <c r="O3021" s="1627"/>
    </row>
    <row r="3022" spans="11:15">
      <c r="K3022" s="1623">
        <v>45079</v>
      </c>
      <c r="L3022" s="1627" t="s">
        <v>2302</v>
      </c>
      <c r="M3022" s="907">
        <v>4.9036999999999997E-2</v>
      </c>
      <c r="N3022" s="1627">
        <v>1.9941410304357761</v>
      </c>
      <c r="O3022" s="1627"/>
    </row>
    <row r="3023" spans="11:15">
      <c r="K3023" s="1623">
        <v>45080</v>
      </c>
      <c r="L3023" s="1627"/>
      <c r="M3023" s="907">
        <v>0</v>
      </c>
      <c r="N3023" s="1627">
        <v>1.9941410304357761</v>
      </c>
      <c r="O3023" s="1627"/>
    </row>
    <row r="3024" spans="11:15">
      <c r="K3024" s="1623">
        <v>45081</v>
      </c>
      <c r="L3024" s="1627"/>
      <c r="M3024" s="907">
        <v>0</v>
      </c>
      <c r="N3024" s="1627">
        <v>1.9941410304357761</v>
      </c>
      <c r="O3024" s="1627"/>
    </row>
    <row r="3025" spans="11:15">
      <c r="K3025" s="1623">
        <v>45082</v>
      </c>
      <c r="L3025" s="1627" t="s">
        <v>2302</v>
      </c>
      <c r="M3025" s="907">
        <v>4.9036999999999997E-2</v>
      </c>
      <c r="N3025" s="1627">
        <v>1.9951188973728711</v>
      </c>
      <c r="O3025" s="1627"/>
    </row>
    <row r="3026" spans="11:15">
      <c r="K3026" s="1623">
        <v>45083</v>
      </c>
      <c r="L3026" s="1627" t="s">
        <v>2302</v>
      </c>
      <c r="M3026" s="907">
        <v>4.9036999999999997E-2</v>
      </c>
      <c r="N3026" s="1627">
        <v>1.9960972438265761</v>
      </c>
      <c r="O3026" s="1627"/>
    </row>
    <row r="3027" spans="11:15">
      <c r="K3027" s="1623">
        <v>45084</v>
      </c>
      <c r="L3027" s="1627" t="s">
        <v>2302</v>
      </c>
      <c r="M3027" s="907">
        <v>4.9036999999999997E-2</v>
      </c>
      <c r="N3027" s="1627">
        <v>1.9970760700320314</v>
      </c>
      <c r="O3027" s="1627"/>
    </row>
    <row r="3028" spans="11:15">
      <c r="K3028" s="1623">
        <v>45085</v>
      </c>
      <c r="L3028" s="1627"/>
      <c r="M3028" s="907">
        <v>0</v>
      </c>
      <c r="N3028" s="1627">
        <v>1.9970760700320314</v>
      </c>
      <c r="O3028" s="1627"/>
    </row>
    <row r="3029" spans="11:15">
      <c r="K3029" s="1623">
        <v>45086</v>
      </c>
      <c r="L3029" s="1627" t="s">
        <v>2302</v>
      </c>
      <c r="M3029" s="907">
        <v>4.9036999999999997E-2</v>
      </c>
      <c r="N3029" s="1627">
        <v>1.998055376224493</v>
      </c>
      <c r="O3029" s="1627"/>
    </row>
    <row r="3030" spans="11:15">
      <c r="K3030" s="1623">
        <v>45087</v>
      </c>
      <c r="L3030" s="1627"/>
      <c r="M3030" s="907">
        <v>0</v>
      </c>
      <c r="N3030" s="1627">
        <v>1.998055376224493</v>
      </c>
      <c r="O3030" s="1627"/>
    </row>
    <row r="3031" spans="11:15">
      <c r="K3031" s="1623">
        <v>45088</v>
      </c>
      <c r="L3031" s="1627"/>
      <c r="M3031" s="907">
        <v>0</v>
      </c>
      <c r="N3031" s="1627">
        <v>1.998055376224493</v>
      </c>
      <c r="O3031" s="1627"/>
    </row>
    <row r="3032" spans="11:15">
      <c r="K3032" s="1623">
        <v>45089</v>
      </c>
      <c r="L3032" s="1627" t="s">
        <v>2302</v>
      </c>
      <c r="M3032" s="907">
        <v>4.9036999999999997E-2</v>
      </c>
      <c r="N3032" s="1627">
        <v>1.9990351626393323</v>
      </c>
      <c r="O3032" s="1627"/>
    </row>
    <row r="3033" spans="11:15">
      <c r="K3033" s="1623">
        <v>45090</v>
      </c>
      <c r="L3033" s="1627" t="s">
        <v>2302</v>
      </c>
      <c r="M3033" s="907">
        <v>4.9036999999999997E-2</v>
      </c>
      <c r="N3033" s="1627">
        <v>2.000015429512036</v>
      </c>
      <c r="O3033" s="1627"/>
    </row>
    <row r="3034" spans="11:15">
      <c r="K3034" s="1623">
        <v>45091</v>
      </c>
      <c r="L3034" s="1627" t="s">
        <v>2302</v>
      </c>
      <c r="M3034" s="907">
        <v>4.9036999999999997E-2</v>
      </c>
      <c r="N3034" s="1627">
        <v>2.0009961770782061</v>
      </c>
      <c r="O3034" s="1627"/>
    </row>
    <row r="3035" spans="11:15">
      <c r="K3035" s="1623">
        <v>45092</v>
      </c>
      <c r="L3035" s="1627" t="s">
        <v>2302</v>
      </c>
      <c r="M3035" s="907">
        <v>4.9036999999999997E-2</v>
      </c>
      <c r="N3035" s="1627">
        <v>2.0019774055735602</v>
      </c>
      <c r="O3035" s="1627"/>
    </row>
    <row r="3036" spans="11:15">
      <c r="K3036" s="1623">
        <v>45093</v>
      </c>
      <c r="L3036" s="1627" t="s">
        <v>2302</v>
      </c>
      <c r="M3036" s="907">
        <v>4.9036999999999997E-2</v>
      </c>
      <c r="N3036" s="1627">
        <v>2.0029591152339314</v>
      </c>
      <c r="O3036" s="1627"/>
    </row>
    <row r="3037" spans="11:15">
      <c r="K3037" s="1623">
        <v>45094</v>
      </c>
      <c r="L3037" s="1627"/>
      <c r="M3037" s="907">
        <v>0</v>
      </c>
      <c r="N3037" s="1627">
        <v>2.0029591152339314</v>
      </c>
      <c r="O3037" s="1627"/>
    </row>
    <row r="3038" spans="11:15">
      <c r="K3038" s="1623">
        <v>45095</v>
      </c>
      <c r="L3038" s="1627"/>
      <c r="M3038" s="907">
        <v>0</v>
      </c>
      <c r="N3038" s="1627">
        <v>2.0029591152339314</v>
      </c>
      <c r="O3038" s="1627"/>
    </row>
    <row r="3039" spans="11:15">
      <c r="K3039" s="1623">
        <v>45096</v>
      </c>
      <c r="L3039" s="1627" t="s">
        <v>2302</v>
      </c>
      <c r="M3039" s="907">
        <v>4.9036999999999997E-2</v>
      </c>
      <c r="N3039" s="1627">
        <v>2.0039413062952689</v>
      </c>
      <c r="O3039" s="1627"/>
    </row>
    <row r="3040" spans="11:15">
      <c r="K3040" s="1623">
        <v>45097</v>
      </c>
      <c r="L3040" s="1627" t="s">
        <v>2302</v>
      </c>
      <c r="M3040" s="907">
        <v>4.9036999999999997E-2</v>
      </c>
      <c r="N3040" s="1627">
        <v>2.0049239789936371</v>
      </c>
      <c r="O3040" s="1627"/>
    </row>
    <row r="3041" spans="11:15">
      <c r="K3041" s="1623">
        <v>45098</v>
      </c>
      <c r="L3041" s="1627" t="s">
        <v>2302</v>
      </c>
      <c r="M3041" s="907">
        <v>4.9036999999999997E-2</v>
      </c>
      <c r="N3041" s="1627">
        <v>2.0059071335652163</v>
      </c>
      <c r="O3041" s="1627"/>
    </row>
    <row r="3042" spans="11:15">
      <c r="K3042" s="1623">
        <v>45099</v>
      </c>
      <c r="L3042" s="1627" t="s">
        <v>2302</v>
      </c>
      <c r="M3042" s="907">
        <v>4.9036999999999997E-2</v>
      </c>
      <c r="N3042" s="1627">
        <v>2.006890770246303</v>
      </c>
      <c r="O3042" s="1627"/>
    </row>
    <row r="3043" spans="11:15">
      <c r="K3043" s="1623">
        <v>45100</v>
      </c>
      <c r="L3043" s="1627" t="s">
        <v>2302</v>
      </c>
      <c r="M3043" s="907">
        <v>4.9036999999999997E-2</v>
      </c>
      <c r="N3043" s="1627">
        <v>2.0078748892733089</v>
      </c>
      <c r="O3043" s="1627"/>
    </row>
    <row r="3044" spans="11:15">
      <c r="K3044" s="1623">
        <v>45101</v>
      </c>
      <c r="L3044" s="1627"/>
      <c r="M3044" s="907">
        <v>0</v>
      </c>
      <c r="N3044" s="1627">
        <v>2.0078748892733089</v>
      </c>
      <c r="O3044" s="1627"/>
    </row>
    <row r="3045" spans="11:15">
      <c r="K3045" s="1623">
        <v>45102</v>
      </c>
      <c r="L3045" s="1627"/>
      <c r="M3045" s="907">
        <v>0</v>
      </c>
      <c r="N3045" s="1627">
        <v>2.0078748892733089</v>
      </c>
      <c r="O3045" s="1627"/>
    </row>
    <row r="3046" spans="11:15">
      <c r="K3046" s="1623">
        <v>45103</v>
      </c>
      <c r="L3046" s="1627" t="s">
        <v>2302</v>
      </c>
      <c r="M3046" s="907">
        <v>4.9036999999999997E-2</v>
      </c>
      <c r="N3046" s="1627">
        <v>2.0088594908827622</v>
      </c>
      <c r="O3046" s="1627"/>
    </row>
    <row r="3047" spans="11:15">
      <c r="K3047" s="1623">
        <v>45104</v>
      </c>
      <c r="L3047" s="1627" t="s">
        <v>2302</v>
      </c>
      <c r="M3047" s="907">
        <v>4.9036999999999997E-2</v>
      </c>
      <c r="N3047" s="1627">
        <v>2.0098445753113063</v>
      </c>
      <c r="O3047" s="1627"/>
    </row>
    <row r="3048" spans="11:15">
      <c r="K3048" s="1623">
        <v>45105</v>
      </c>
      <c r="L3048" s="1627" t="s">
        <v>2302</v>
      </c>
      <c r="M3048" s="907">
        <v>4.9036999999999997E-2</v>
      </c>
      <c r="N3048" s="1627">
        <v>2.0108301427957018</v>
      </c>
      <c r="O3048" s="1627"/>
    </row>
    <row r="3049" spans="11:15">
      <c r="K3049" s="1623">
        <v>45106</v>
      </c>
      <c r="L3049" s="1627" t="s">
        <v>2302</v>
      </c>
      <c r="M3049" s="907">
        <v>4.9036999999999997E-2</v>
      </c>
      <c r="N3049" s="1627">
        <v>2.0118161935728245</v>
      </c>
      <c r="O3049" s="1627"/>
    </row>
    <row r="3050" spans="11:15">
      <c r="K3050" s="1623">
        <v>45107</v>
      </c>
      <c r="L3050" s="1627" t="s">
        <v>2302</v>
      </c>
      <c r="M3050" s="907">
        <v>4.9036999999999997E-2</v>
      </c>
      <c r="N3050" s="1627">
        <v>2.012802727879667</v>
      </c>
      <c r="O3050" s="1627"/>
    </row>
    <row r="3051" spans="11:15">
      <c r="K3051" s="1623">
        <v>45108</v>
      </c>
      <c r="L3051" s="1627"/>
      <c r="M3051" s="907">
        <v>0</v>
      </c>
      <c r="N3051" s="1627">
        <v>2.012802727879667</v>
      </c>
      <c r="O3051" s="1627"/>
    </row>
    <row r="3052" spans="11:15">
      <c r="K3052" s="1623">
        <v>45109</v>
      </c>
      <c r="L3052" s="1627"/>
      <c r="M3052" s="907">
        <v>0</v>
      </c>
      <c r="N3052" s="1627">
        <v>2.012802727879667</v>
      </c>
      <c r="O3052" s="1627"/>
    </row>
    <row r="3053" spans="11:15">
      <c r="K3053" s="1623">
        <v>45110</v>
      </c>
      <c r="L3053" s="1627" t="s">
        <v>2302</v>
      </c>
      <c r="M3053" s="907">
        <v>4.9036999999999997E-2</v>
      </c>
      <c r="N3053" s="1627">
        <v>2.0137897459533374</v>
      </c>
      <c r="O3053" s="1627"/>
    </row>
    <row r="3054" spans="11:15">
      <c r="K3054" s="1623">
        <v>45111</v>
      </c>
      <c r="L3054" s="1627" t="s">
        <v>2302</v>
      </c>
      <c r="M3054" s="907">
        <v>4.9036999999999997E-2</v>
      </c>
      <c r="N3054" s="1627">
        <v>2.0147772480310606</v>
      </c>
      <c r="O3054" s="1627"/>
    </row>
    <row r="3055" spans="11:15">
      <c r="K3055" s="1623">
        <v>45112</v>
      </c>
      <c r="L3055" s="1627" t="s">
        <v>2302</v>
      </c>
      <c r="M3055" s="907">
        <v>4.9036999999999997E-2</v>
      </c>
      <c r="N3055" s="1627">
        <v>2.015765234350178</v>
      </c>
      <c r="O3055" s="1627"/>
    </row>
    <row r="3056" spans="11:15">
      <c r="K3056" s="1623">
        <v>45113</v>
      </c>
      <c r="L3056" s="1627" t="s">
        <v>2302</v>
      </c>
      <c r="M3056" s="907">
        <v>4.9036999999999997E-2</v>
      </c>
      <c r="N3056" s="1627">
        <v>2.0167537051481466</v>
      </c>
      <c r="O3056" s="1627"/>
    </row>
    <row r="3057" spans="11:15">
      <c r="K3057" s="1623">
        <v>45114</v>
      </c>
      <c r="L3057" s="1627" t="s">
        <v>2302</v>
      </c>
      <c r="M3057" s="907">
        <v>4.9036999999999997E-2</v>
      </c>
      <c r="N3057" s="1627">
        <v>2.0177426606625404</v>
      </c>
      <c r="O3057" s="1627"/>
    </row>
    <row r="3058" spans="11:15">
      <c r="K3058" s="1623">
        <v>45115</v>
      </c>
      <c r="L3058" s="1627"/>
      <c r="M3058" s="907">
        <v>0</v>
      </c>
      <c r="N3058" s="1627">
        <v>2.0177426606625404</v>
      </c>
      <c r="O3058" s="1627"/>
    </row>
    <row r="3059" spans="11:15">
      <c r="K3059" s="1623">
        <v>45116</v>
      </c>
      <c r="L3059" s="1627"/>
      <c r="M3059" s="907">
        <v>0</v>
      </c>
      <c r="N3059" s="1627">
        <v>2.0177426606625404</v>
      </c>
      <c r="O3059" s="1627"/>
    </row>
    <row r="3060" spans="11:15">
      <c r="K3060" s="1623">
        <v>45117</v>
      </c>
      <c r="L3060" s="1627" t="s">
        <v>2302</v>
      </c>
      <c r="M3060" s="907">
        <v>4.9036999999999997E-2</v>
      </c>
      <c r="N3060" s="1627">
        <v>2.0187321011310497</v>
      </c>
      <c r="O3060" s="1627"/>
    </row>
    <row r="3061" spans="11:15">
      <c r="K3061" s="1623">
        <v>45118</v>
      </c>
      <c r="L3061" s="1627" t="s">
        <v>2302</v>
      </c>
      <c r="M3061" s="907">
        <v>4.9036999999999997E-2</v>
      </c>
      <c r="N3061" s="1627">
        <v>2.0197220267914817</v>
      </c>
      <c r="O3061" s="1627"/>
    </row>
    <row r="3062" spans="11:15">
      <c r="K3062" s="1623">
        <v>45119</v>
      </c>
      <c r="L3062" s="1627" t="s">
        <v>2302</v>
      </c>
      <c r="M3062" s="907">
        <v>4.9036999999999997E-2</v>
      </c>
      <c r="N3062" s="1627">
        <v>2.0207124378817598</v>
      </c>
      <c r="O3062" s="1627"/>
    </row>
    <row r="3063" spans="11:15">
      <c r="K3063" s="1623">
        <v>45120</v>
      </c>
      <c r="L3063" s="1627" t="s">
        <v>2302</v>
      </c>
      <c r="M3063" s="907">
        <v>4.9036999999999997E-2</v>
      </c>
      <c r="N3063" s="1627">
        <v>2.0217033346399242</v>
      </c>
      <c r="O3063" s="1627"/>
    </row>
    <row r="3064" spans="11:15">
      <c r="K3064" s="1623">
        <v>45121</v>
      </c>
      <c r="L3064" s="1627" t="s">
        <v>2302</v>
      </c>
      <c r="M3064" s="907">
        <v>4.9036999999999997E-2</v>
      </c>
      <c r="N3064" s="1627">
        <v>2.0226947173041316</v>
      </c>
      <c r="O3064" s="1627"/>
    </row>
    <row r="3065" spans="11:15">
      <c r="K3065" s="1623">
        <v>45122</v>
      </c>
      <c r="L3065" s="1627"/>
      <c r="M3065" s="907">
        <v>0</v>
      </c>
      <c r="N3065" s="1627">
        <v>2.0226947173041316</v>
      </c>
      <c r="O3065" s="1627"/>
    </row>
    <row r="3066" spans="11:15">
      <c r="K3066" s="1623">
        <v>45123</v>
      </c>
      <c r="L3066" s="1627"/>
      <c r="M3066" s="907">
        <v>0</v>
      </c>
      <c r="N3066" s="1627">
        <v>2.0226947173041316</v>
      </c>
      <c r="O3066" s="1627"/>
    </row>
    <row r="3067" spans="11:15">
      <c r="K3067" s="1623">
        <v>45124</v>
      </c>
      <c r="L3067" s="1627" t="s">
        <v>2302</v>
      </c>
      <c r="M3067" s="907">
        <v>4.9036999999999997E-2</v>
      </c>
      <c r="N3067" s="1627">
        <v>2.0236865861126563</v>
      </c>
      <c r="O3067" s="1627"/>
    </row>
    <row r="3068" spans="11:15">
      <c r="K3068" s="1623">
        <v>45125</v>
      </c>
      <c r="L3068" s="1627" t="s">
        <v>2302</v>
      </c>
      <c r="M3068" s="907">
        <v>4.9036999999999997E-2</v>
      </c>
      <c r="N3068" s="1627">
        <v>2.0246789413038884</v>
      </c>
      <c r="O3068" s="1627"/>
    </row>
    <row r="3069" spans="11:15">
      <c r="K3069" s="1623">
        <v>45126</v>
      </c>
      <c r="L3069" s="1627" t="s">
        <v>2302</v>
      </c>
      <c r="M3069" s="907">
        <v>4.9036999999999997E-2</v>
      </c>
      <c r="N3069" s="1627">
        <v>2.0256717831163358</v>
      </c>
      <c r="O3069" s="1627"/>
    </row>
    <row r="3070" spans="11:15">
      <c r="K3070" s="1623">
        <v>45127</v>
      </c>
      <c r="L3070" s="1627" t="s">
        <v>2302</v>
      </c>
      <c r="M3070" s="907">
        <v>4.9036999999999997E-2</v>
      </c>
      <c r="N3070" s="1627">
        <v>2.0266651117886227</v>
      </c>
      <c r="O3070" s="1627"/>
    </row>
    <row r="3071" spans="11:15">
      <c r="K3071" s="1623">
        <v>45128</v>
      </c>
      <c r="L3071" s="1627" t="s">
        <v>2302</v>
      </c>
      <c r="M3071" s="907">
        <v>4.9036999999999997E-2</v>
      </c>
      <c r="N3071" s="1627">
        <v>2.0276589275594907</v>
      </c>
      <c r="O3071" s="1627"/>
    </row>
    <row r="3072" spans="11:15">
      <c r="K3072" s="1623">
        <v>45129</v>
      </c>
      <c r="L3072" s="1627"/>
      <c r="M3072" s="907">
        <v>0</v>
      </c>
      <c r="N3072" s="1627">
        <v>2.0276589275594907</v>
      </c>
      <c r="O3072" s="1627"/>
    </row>
    <row r="3073" spans="11:15">
      <c r="K3073" s="1623">
        <v>45130</v>
      </c>
      <c r="L3073" s="1627"/>
      <c r="M3073" s="907">
        <v>0</v>
      </c>
      <c r="N3073" s="1627">
        <v>2.0276589275594907</v>
      </c>
      <c r="O3073" s="1627"/>
    </row>
    <row r="3074" spans="11:15">
      <c r="K3074" s="1623">
        <v>45131</v>
      </c>
      <c r="L3074" s="1627" t="s">
        <v>2302</v>
      </c>
      <c r="M3074" s="907">
        <v>4.9036999999999997E-2</v>
      </c>
      <c r="N3074" s="1627">
        <v>2.028653230667798</v>
      </c>
      <c r="O3074" s="1627"/>
    </row>
    <row r="3075" spans="11:15">
      <c r="K3075" s="1623">
        <v>45132</v>
      </c>
      <c r="L3075" s="1627" t="s">
        <v>2302</v>
      </c>
      <c r="M3075" s="907">
        <v>4.9036999999999997E-2</v>
      </c>
      <c r="N3075" s="1627">
        <v>2.0296480213525205</v>
      </c>
      <c r="O3075" s="1627"/>
    </row>
    <row r="3076" spans="11:15">
      <c r="K3076" s="1623">
        <v>45133</v>
      </c>
      <c r="L3076" s="1627" t="s">
        <v>2302</v>
      </c>
      <c r="M3076" s="907">
        <v>4.9036999999999997E-2</v>
      </c>
      <c r="N3076" s="1627">
        <v>2.0306432998527515</v>
      </c>
      <c r="O3076" s="1627"/>
    </row>
    <row r="3077" spans="11:15">
      <c r="K3077" s="1623">
        <v>45134</v>
      </c>
      <c r="L3077" s="1627" t="s">
        <v>2302</v>
      </c>
      <c r="M3077" s="907">
        <v>4.9036999999999997E-2</v>
      </c>
      <c r="N3077" s="1627">
        <v>2.0316390664077004</v>
      </c>
      <c r="O3077" s="1627"/>
    </row>
    <row r="3078" spans="11:15">
      <c r="K3078" s="1623">
        <v>45135</v>
      </c>
      <c r="L3078" s="1627" t="s">
        <v>2302</v>
      </c>
      <c r="M3078" s="907">
        <v>4.9036999999999997E-2</v>
      </c>
      <c r="N3078" s="1627">
        <v>2.032635321256695</v>
      </c>
      <c r="O3078" s="1627"/>
    </row>
    <row r="3079" spans="11:15">
      <c r="K3079" s="1623">
        <v>45136</v>
      </c>
      <c r="L3079" s="1627"/>
      <c r="M3079" s="907">
        <v>0</v>
      </c>
      <c r="N3079" s="1627">
        <v>2.032635321256695</v>
      </c>
      <c r="O3079" s="1627"/>
    </row>
    <row r="3080" spans="11:15">
      <c r="K3080" s="1623">
        <v>45137</v>
      </c>
      <c r="L3080" s="1627"/>
      <c r="M3080" s="907">
        <v>0</v>
      </c>
      <c r="N3080" s="1627">
        <v>2.032635321256695</v>
      </c>
      <c r="O3080" s="1627"/>
    </row>
    <row r="3081" spans="11:15">
      <c r="K3081" s="1623">
        <v>45138</v>
      </c>
      <c r="L3081" s="1627" t="s">
        <v>2302</v>
      </c>
      <c r="M3081" s="907">
        <v>4.9036999999999997E-2</v>
      </c>
      <c r="N3081" s="1627">
        <v>2.0336320646391797</v>
      </c>
      <c r="O3081" s="1627"/>
    </row>
    <row r="3082" spans="11:15">
      <c r="K3082" s="1623">
        <v>45139</v>
      </c>
      <c r="L3082" s="1627" t="s">
        <v>2302</v>
      </c>
      <c r="M3082" s="907">
        <v>4.9036999999999997E-2</v>
      </c>
      <c r="N3082" s="1627">
        <v>2.034629296794717</v>
      </c>
      <c r="O3082" s="1627"/>
    </row>
    <row r="3083" spans="11:15">
      <c r="K3083" s="1623">
        <v>45140</v>
      </c>
      <c r="L3083" s="1627" t="s">
        <v>2302</v>
      </c>
      <c r="M3083" s="907">
        <v>4.9036999999999997E-2</v>
      </c>
      <c r="N3083" s="1627">
        <v>2.0356270179629865</v>
      </c>
      <c r="O3083" s="1627"/>
    </row>
    <row r="3084" spans="11:15">
      <c r="K3084" s="1623">
        <v>45141</v>
      </c>
      <c r="L3084" s="1627" t="s">
        <v>2302</v>
      </c>
      <c r="M3084" s="907">
        <v>4.9036999999999997E-2</v>
      </c>
      <c r="N3084" s="1627">
        <v>2.0366252283837851</v>
      </c>
      <c r="O3084" s="1627"/>
    </row>
    <row r="3085" spans="11:15">
      <c r="K3085" s="1623">
        <v>45142</v>
      </c>
      <c r="L3085" s="1627" t="s">
        <v>2302</v>
      </c>
      <c r="M3085" s="907">
        <v>4.9036999999999997E-2</v>
      </c>
      <c r="N3085" s="1627">
        <v>2.0376239282970277</v>
      </c>
      <c r="O3085" s="1627"/>
    </row>
    <row r="3086" spans="11:15">
      <c r="K3086" s="1623">
        <v>45143</v>
      </c>
      <c r="L3086" s="1627"/>
      <c r="M3086" s="907">
        <v>0</v>
      </c>
      <c r="N3086" s="1627">
        <v>2.0376239282970277</v>
      </c>
      <c r="O3086" s="1627"/>
    </row>
    <row r="3087" spans="11:15">
      <c r="K3087" s="1623">
        <v>45144</v>
      </c>
      <c r="L3087" s="1627"/>
      <c r="M3087" s="907">
        <v>0</v>
      </c>
      <c r="N3087" s="1627">
        <v>2.0376239282970277</v>
      </c>
      <c r="O3087" s="1627"/>
    </row>
    <row r="3088" spans="11:15">
      <c r="K3088" s="1623">
        <v>45145</v>
      </c>
      <c r="L3088" s="1627" t="s">
        <v>2302</v>
      </c>
      <c r="M3088" s="907">
        <v>4.9036999999999997E-2</v>
      </c>
      <c r="N3088" s="1627">
        <v>2.038623117942747</v>
      </c>
      <c r="O3088" s="1627"/>
    </row>
    <row r="3089" spans="11:15">
      <c r="K3089" s="1623">
        <v>45146</v>
      </c>
      <c r="L3089" s="1627" t="s">
        <v>2302</v>
      </c>
      <c r="M3089" s="907">
        <v>4.9036999999999997E-2</v>
      </c>
      <c r="N3089" s="1627">
        <v>2.0396227975610928</v>
      </c>
      <c r="O3089" s="1627"/>
    </row>
    <row r="3090" spans="11:15">
      <c r="K3090" s="1623">
        <v>45147</v>
      </c>
      <c r="L3090" s="1627" t="s">
        <v>2302</v>
      </c>
      <c r="M3090" s="907">
        <v>4.9036999999999997E-2</v>
      </c>
      <c r="N3090" s="1627">
        <v>2.0406229673923328</v>
      </c>
      <c r="O3090" s="1627"/>
    </row>
    <row r="3091" spans="11:15">
      <c r="K3091" s="1623">
        <v>45148</v>
      </c>
      <c r="L3091" s="1627" t="s">
        <v>2302</v>
      </c>
      <c r="M3091" s="907">
        <v>4.9036999999999997E-2</v>
      </c>
      <c r="N3091" s="1627">
        <v>2.0416236276768531</v>
      </c>
      <c r="O3091" s="1627"/>
    </row>
    <row r="3092" spans="11:15">
      <c r="K3092" s="1623">
        <v>45149</v>
      </c>
      <c r="L3092" s="1627" t="s">
        <v>2302</v>
      </c>
      <c r="M3092" s="907">
        <v>4.9036999999999997E-2</v>
      </c>
      <c r="N3092" s="1627">
        <v>2.0426247786551572</v>
      </c>
      <c r="O3092" s="1627"/>
    </row>
    <row r="3093" spans="11:15">
      <c r="K3093" s="1623">
        <v>45150</v>
      </c>
      <c r="L3093" s="1627"/>
      <c r="M3093" s="907">
        <v>0</v>
      </c>
      <c r="N3093" s="1627">
        <v>2.0426247786551572</v>
      </c>
      <c r="O3093" s="1627"/>
    </row>
    <row r="3094" spans="11:15">
      <c r="K3094" s="1623">
        <v>45151</v>
      </c>
      <c r="L3094" s="1627"/>
      <c r="M3094" s="907">
        <v>0</v>
      </c>
      <c r="N3094" s="1627">
        <v>2.0426247786551572</v>
      </c>
      <c r="O3094" s="1627"/>
    </row>
    <row r="3095" spans="11:15">
      <c r="K3095" s="1623">
        <v>45152</v>
      </c>
      <c r="L3095" s="1627" t="s">
        <v>2302</v>
      </c>
      <c r="M3095" s="907">
        <v>4.9036999999999997E-2</v>
      </c>
      <c r="N3095" s="1627">
        <v>2.0436264205678665</v>
      </c>
      <c r="O3095" s="1627"/>
    </row>
    <row r="3096" spans="11:15">
      <c r="K3096" s="1623">
        <v>45153</v>
      </c>
      <c r="L3096" s="1627" t="s">
        <v>2302</v>
      </c>
      <c r="M3096" s="907">
        <v>4.9036999999999997E-2</v>
      </c>
      <c r="N3096" s="1627">
        <v>2.0446285536557203</v>
      </c>
      <c r="O3096" s="1627"/>
    </row>
    <row r="3097" spans="11:15">
      <c r="K3097" s="1623">
        <v>45154</v>
      </c>
      <c r="L3097" s="1627" t="s">
        <v>2302</v>
      </c>
      <c r="M3097" s="907">
        <v>4.9036999999999997E-2</v>
      </c>
      <c r="N3097" s="1627">
        <v>2.0456311781595766</v>
      </c>
      <c r="O3097" s="1627"/>
    </row>
    <row r="3098" spans="11:15">
      <c r="K3098" s="1623">
        <v>45155</v>
      </c>
      <c r="L3098" s="1627" t="s">
        <v>2302</v>
      </c>
      <c r="M3098" s="907">
        <v>4.9036999999999997E-2</v>
      </c>
      <c r="N3098" s="1627">
        <v>2.0466342943204108</v>
      </c>
      <c r="O3098" s="1627"/>
    </row>
    <row r="3099" spans="11:15">
      <c r="K3099" s="1623">
        <v>45156</v>
      </c>
      <c r="L3099" s="1627" t="s">
        <v>2302</v>
      </c>
      <c r="M3099" s="907">
        <v>4.9036999999999997E-2</v>
      </c>
      <c r="N3099" s="1627">
        <v>2.047637902379317</v>
      </c>
      <c r="O3099" s="1627"/>
    </row>
    <row r="3100" spans="11:15">
      <c r="K3100" s="1623">
        <v>45157</v>
      </c>
      <c r="L3100" s="1627"/>
      <c r="M3100" s="907">
        <v>0</v>
      </c>
      <c r="N3100" s="1627">
        <v>2.047637902379317</v>
      </c>
      <c r="O3100" s="1627"/>
    </row>
    <row r="3101" spans="11:15">
      <c r="K3101" s="1623">
        <v>45158</v>
      </c>
      <c r="L3101" s="1627"/>
      <c r="M3101" s="907">
        <v>0</v>
      </c>
      <c r="N3101" s="1627">
        <v>2.047637902379317</v>
      </c>
      <c r="O3101" s="1627"/>
    </row>
    <row r="3102" spans="11:15">
      <c r="K3102" s="1623">
        <v>45159</v>
      </c>
      <c r="L3102" s="1627" t="s">
        <v>2302</v>
      </c>
      <c r="M3102" s="907">
        <v>4.9036999999999997E-2</v>
      </c>
      <c r="N3102" s="1627">
        <v>2.0486420025775067</v>
      </c>
      <c r="O3102" s="1627"/>
    </row>
    <row r="3103" spans="11:15">
      <c r="K3103" s="1623">
        <v>45160</v>
      </c>
      <c r="L3103" s="1627" t="s">
        <v>2302</v>
      </c>
      <c r="M3103" s="907">
        <v>4.9036999999999997E-2</v>
      </c>
      <c r="N3103" s="1627">
        <v>2.049646595156311</v>
      </c>
      <c r="O3103" s="1627"/>
    </row>
    <row r="3104" spans="11:15">
      <c r="K3104" s="1623">
        <v>45161</v>
      </c>
      <c r="L3104" s="1627" t="s">
        <v>2302</v>
      </c>
      <c r="M3104" s="907">
        <v>4.9036999999999997E-2</v>
      </c>
      <c r="N3104" s="1627">
        <v>2.0506516803571779</v>
      </c>
      <c r="O3104" s="1627"/>
    </row>
    <row r="3105" spans="11:15">
      <c r="K3105" s="1623">
        <v>45162</v>
      </c>
      <c r="L3105" s="1627" t="s">
        <v>2302</v>
      </c>
      <c r="M3105" s="907">
        <v>4.9036999999999997E-2</v>
      </c>
      <c r="N3105" s="1627">
        <v>2.0516572584216748</v>
      </c>
      <c r="O3105" s="1627"/>
    </row>
    <row r="3106" spans="11:15">
      <c r="K3106" s="1623">
        <v>45163</v>
      </c>
      <c r="L3106" s="1627" t="s">
        <v>2302</v>
      </c>
      <c r="M3106" s="907">
        <v>4.9036999999999997E-2</v>
      </c>
      <c r="N3106" s="1627">
        <v>2.0526633295914873</v>
      </c>
      <c r="O3106" s="1627"/>
    </row>
    <row r="3107" spans="11:15">
      <c r="K3107" s="1623">
        <v>45164</v>
      </c>
      <c r="L3107" s="1627"/>
      <c r="M3107" s="907">
        <v>0</v>
      </c>
      <c r="N3107" s="1627">
        <v>2.0526633295914873</v>
      </c>
      <c r="O3107" s="1627"/>
    </row>
    <row r="3108" spans="11:15">
      <c r="K3108" s="1623">
        <v>45165</v>
      </c>
      <c r="L3108" s="1627"/>
      <c r="M3108" s="907">
        <v>0</v>
      </c>
      <c r="N3108" s="1627">
        <v>2.0526633295914873</v>
      </c>
      <c r="O3108" s="1627"/>
    </row>
    <row r="3109" spans="11:15">
      <c r="K3109" s="1623">
        <v>45166</v>
      </c>
      <c r="L3109" s="1627" t="s">
        <v>2302</v>
      </c>
      <c r="M3109" s="907">
        <v>4.9036999999999997E-2</v>
      </c>
      <c r="N3109" s="1627">
        <v>2.053669894108419</v>
      </c>
      <c r="O3109" s="1627"/>
    </row>
    <row r="3110" spans="11:15">
      <c r="K3110" s="1623">
        <v>45167</v>
      </c>
      <c r="L3110" s="1627" t="s">
        <v>2302</v>
      </c>
      <c r="M3110" s="907">
        <v>4.9036999999999997E-2</v>
      </c>
      <c r="N3110" s="1627">
        <v>2.0546769522143933</v>
      </c>
      <c r="O3110" s="1627"/>
    </row>
    <row r="3111" spans="11:15">
      <c r="K3111" s="1623">
        <v>45168</v>
      </c>
      <c r="L3111" s="1627" t="s">
        <v>2302</v>
      </c>
      <c r="M3111" s="907">
        <v>4.9036999999999997E-2</v>
      </c>
      <c r="N3111" s="1627">
        <v>2.0556845041514507</v>
      </c>
      <c r="O3111" s="1627"/>
    </row>
    <row r="3112" spans="11:15">
      <c r="K3112" s="1623">
        <v>45169</v>
      </c>
      <c r="L3112" s="1627" t="s">
        <v>2302</v>
      </c>
      <c r="M3112" s="907">
        <v>4.9036999999999997E-2</v>
      </c>
      <c r="N3112" s="1627">
        <v>2.0566925501617517</v>
      </c>
      <c r="O3112" s="1627"/>
    </row>
    <row r="3113" spans="11:15">
      <c r="K3113" s="1623">
        <v>45170</v>
      </c>
      <c r="L3113" s="1627" t="s">
        <v>2302</v>
      </c>
      <c r="M3113" s="907">
        <v>4.9036999999999997E-2</v>
      </c>
      <c r="N3113" s="1627">
        <v>2.0577010904875745</v>
      </c>
      <c r="O3113" s="1627"/>
    </row>
    <row r="3114" spans="11:15">
      <c r="K3114" s="1623">
        <v>45171</v>
      </c>
      <c r="L3114" s="1627"/>
      <c r="M3114" s="907">
        <v>0</v>
      </c>
      <c r="N3114" s="1627">
        <v>2.0577010904875745</v>
      </c>
      <c r="O3114" s="1627"/>
    </row>
    <row r="3115" spans="11:15">
      <c r="K3115" s="1623">
        <v>45172</v>
      </c>
      <c r="L3115" s="1627"/>
      <c r="M3115" s="907">
        <v>0</v>
      </c>
      <c r="N3115" s="1627">
        <v>2.0577010904875745</v>
      </c>
      <c r="O3115" s="1627"/>
    </row>
    <row r="3116" spans="11:15">
      <c r="K3116" s="1623">
        <v>45173</v>
      </c>
      <c r="L3116" s="1627" t="s">
        <v>2302</v>
      </c>
      <c r="M3116" s="907">
        <v>4.9036999999999997E-2</v>
      </c>
      <c r="N3116" s="1627">
        <v>2.0587101253713169</v>
      </c>
      <c r="O3116" s="1627"/>
    </row>
    <row r="3117" spans="11:15">
      <c r="K3117" s="1623">
        <v>45174</v>
      </c>
      <c r="L3117" s="1627" t="s">
        <v>2302</v>
      </c>
      <c r="M3117" s="907">
        <v>4.9036999999999997E-2</v>
      </c>
      <c r="N3117" s="1627">
        <v>2.0597196550554955</v>
      </c>
      <c r="O3117" s="1627"/>
    </row>
    <row r="3118" spans="11:15">
      <c r="K3118" s="1623">
        <v>45175</v>
      </c>
      <c r="L3118" s="1627" t="s">
        <v>2302</v>
      </c>
      <c r="M3118" s="907">
        <v>4.9036999999999997E-2</v>
      </c>
      <c r="N3118" s="1627">
        <v>2.060729679782745</v>
      </c>
      <c r="O3118" s="1627"/>
    </row>
    <row r="3119" spans="11:15">
      <c r="K3119" s="1623">
        <v>45176</v>
      </c>
      <c r="L3119" s="1627"/>
      <c r="M3119" s="907">
        <v>0</v>
      </c>
      <c r="N3119" s="1627">
        <v>2.060729679782745</v>
      </c>
      <c r="O3119" s="1627"/>
    </row>
    <row r="3120" spans="11:15">
      <c r="K3120" s="1623">
        <v>45177</v>
      </c>
      <c r="L3120" s="1627" t="s">
        <v>2302</v>
      </c>
      <c r="M3120" s="907">
        <v>4.9036999999999997E-2</v>
      </c>
      <c r="N3120" s="1627">
        <v>2.0617401997958202</v>
      </c>
      <c r="O3120" s="1627"/>
    </row>
    <row r="3121" spans="11:15">
      <c r="K3121" s="1623">
        <v>45178</v>
      </c>
      <c r="L3121" s="1627"/>
      <c r="M3121" s="907">
        <v>0</v>
      </c>
      <c r="N3121" s="1627">
        <v>2.0617401997958202</v>
      </c>
      <c r="O3121" s="1627"/>
    </row>
    <row r="3122" spans="11:15">
      <c r="K3122" s="1623">
        <v>45179</v>
      </c>
      <c r="L3122" s="1627"/>
      <c r="M3122" s="907">
        <v>0</v>
      </c>
      <c r="N3122" s="1627">
        <v>2.0617401997958202</v>
      </c>
      <c r="O3122" s="1627"/>
    </row>
    <row r="3123" spans="11:15">
      <c r="K3123" s="1623">
        <v>45180</v>
      </c>
      <c r="L3123" s="1627" t="s">
        <v>2302</v>
      </c>
      <c r="M3123" s="907">
        <v>4.9036999999999997E-2</v>
      </c>
      <c r="N3123" s="1627">
        <v>2.0627512153375944</v>
      </c>
      <c r="O3123" s="1627"/>
    </row>
    <row r="3124" spans="11:15">
      <c r="K3124" s="1623">
        <v>45181</v>
      </c>
      <c r="L3124" s="1627" t="s">
        <v>2302</v>
      </c>
      <c r="M3124" s="907">
        <v>4.9036999999999997E-2</v>
      </c>
      <c r="N3124" s="1627">
        <v>2.0637627266510599</v>
      </c>
      <c r="O3124" s="1627"/>
    </row>
    <row r="3125" spans="11:15">
      <c r="K3125" s="1623">
        <v>45182</v>
      </c>
      <c r="L3125" s="1627" t="s">
        <v>2302</v>
      </c>
      <c r="M3125" s="907">
        <v>4.9036999999999997E-2</v>
      </c>
      <c r="N3125" s="1627">
        <v>2.0647747339793279</v>
      </c>
      <c r="O3125" s="1627"/>
    </row>
    <row r="3126" spans="11:15">
      <c r="K3126" s="1623">
        <v>45183</v>
      </c>
      <c r="L3126" s="1627" t="s">
        <v>2302</v>
      </c>
      <c r="M3126" s="907">
        <v>4.9036999999999997E-2</v>
      </c>
      <c r="N3126" s="1627">
        <v>2.0657872375656297</v>
      </c>
      <c r="O3126" s="1627"/>
    </row>
    <row r="3127" spans="11:15">
      <c r="K3127" s="1623">
        <v>45184</v>
      </c>
      <c r="L3127" s="1627" t="s">
        <v>2302</v>
      </c>
      <c r="M3127" s="907">
        <v>4.9036999999999997E-2</v>
      </c>
      <c r="N3127" s="1627">
        <v>2.066800237653315</v>
      </c>
      <c r="O3127" s="1627"/>
    </row>
    <row r="3128" spans="11:15">
      <c r="K3128" s="1623">
        <v>45185</v>
      </c>
      <c r="L3128" s="1627"/>
      <c r="M3128" s="907">
        <v>0</v>
      </c>
      <c r="N3128" s="1627">
        <v>2.066800237653315</v>
      </c>
      <c r="O3128" s="1627"/>
    </row>
    <row r="3129" spans="11:15">
      <c r="K3129" s="1623">
        <v>45186</v>
      </c>
      <c r="L3129" s="1627"/>
      <c r="M3129" s="907">
        <v>0</v>
      </c>
      <c r="N3129" s="1627">
        <v>2.066800237653315</v>
      </c>
      <c r="O3129" s="1627"/>
    </row>
    <row r="3130" spans="11:15">
      <c r="K3130" s="1623">
        <v>45187</v>
      </c>
      <c r="L3130" s="1627" t="s">
        <v>2302</v>
      </c>
      <c r="M3130" s="907">
        <v>4.9036999999999997E-2</v>
      </c>
      <c r="N3130" s="1627">
        <v>2.0678137344858531</v>
      </c>
      <c r="O3130" s="1627"/>
    </row>
    <row r="3131" spans="11:15">
      <c r="K3131" s="1623">
        <v>45188</v>
      </c>
      <c r="L3131" s="1627" t="s">
        <v>2302</v>
      </c>
      <c r="M3131" s="907">
        <v>4.9036999999999997E-2</v>
      </c>
      <c r="N3131" s="1627">
        <v>2.0688277283068333</v>
      </c>
      <c r="O3131" s="1627"/>
    </row>
    <row r="3132" spans="11:15">
      <c r="K3132" s="1623">
        <v>45189</v>
      </c>
      <c r="L3132" s="1627" t="s">
        <v>2302</v>
      </c>
      <c r="M3132" s="907">
        <v>4.9036999999999997E-2</v>
      </c>
      <c r="N3132" s="1627">
        <v>2.069842219359963</v>
      </c>
      <c r="O3132" s="1627"/>
    </row>
    <row r="3133" spans="11:15">
      <c r="K3133" s="1623">
        <v>45190</v>
      </c>
      <c r="L3133" s="1627" t="s">
        <v>2302</v>
      </c>
      <c r="M3133" s="907">
        <v>4.9036999999999997E-2</v>
      </c>
      <c r="N3133" s="1627">
        <v>2.0708572078890706</v>
      </c>
      <c r="O3133" s="1627"/>
    </row>
    <row r="3134" spans="11:15">
      <c r="K3134" s="1623">
        <v>45191</v>
      </c>
      <c r="L3134" s="1627" t="s">
        <v>2302</v>
      </c>
      <c r="M3134" s="907">
        <v>4.9036999999999997E-2</v>
      </c>
      <c r="N3134" s="1627">
        <v>2.0718726941381034</v>
      </c>
      <c r="O3134" s="1627"/>
    </row>
    <row r="3135" spans="11:15">
      <c r="K3135" s="1623">
        <v>45192</v>
      </c>
      <c r="L3135" s="1627"/>
      <c r="M3135" s="907">
        <v>0</v>
      </c>
      <c r="N3135" s="1627">
        <v>2.0718726941381034</v>
      </c>
      <c r="O3135" s="1627"/>
    </row>
    <row r="3136" spans="11:15">
      <c r="K3136" s="1623">
        <v>45193</v>
      </c>
      <c r="L3136" s="1627"/>
      <c r="M3136" s="907">
        <v>0</v>
      </c>
      <c r="N3136" s="1627">
        <v>2.0718726941381034</v>
      </c>
      <c r="O3136" s="1627"/>
    </row>
    <row r="3137" spans="11:15">
      <c r="K3137" s="1623">
        <v>45194</v>
      </c>
      <c r="L3137" s="1627" t="s">
        <v>2302</v>
      </c>
      <c r="M3137" s="907">
        <v>4.9036999999999997E-2</v>
      </c>
      <c r="N3137" s="1627">
        <v>2.072888678351128</v>
      </c>
      <c r="O3137" s="1627"/>
    </row>
    <row r="3138" spans="11:15">
      <c r="K3138" s="1623">
        <v>45195</v>
      </c>
      <c r="L3138" s="1627" t="s">
        <v>2302</v>
      </c>
      <c r="M3138" s="907">
        <v>4.9036999999999997E-2</v>
      </c>
      <c r="N3138" s="1627">
        <v>2.0739051607723313</v>
      </c>
      <c r="O3138" s="1627"/>
    </row>
    <row r="3139" spans="11:15">
      <c r="K3139" s="1623">
        <v>45196</v>
      </c>
      <c r="L3139" s="1627" t="s">
        <v>2302</v>
      </c>
      <c r="M3139" s="907">
        <v>4.9036999999999997E-2</v>
      </c>
      <c r="N3139" s="1627">
        <v>2.0749221416460193</v>
      </c>
      <c r="O3139" s="1627"/>
    </row>
    <row r="3140" spans="11:15">
      <c r="K3140" s="1623">
        <v>45197</v>
      </c>
      <c r="L3140" s="1627" t="s">
        <v>2302</v>
      </c>
      <c r="M3140" s="907">
        <v>4.9036999999999997E-2</v>
      </c>
      <c r="N3140" s="1627">
        <v>2.0759396212166186</v>
      </c>
      <c r="O3140" s="1627"/>
    </row>
    <row r="3141" spans="11:15">
      <c r="K3141" s="1623">
        <v>45198</v>
      </c>
      <c r="L3141" s="1627" t="s">
        <v>2302</v>
      </c>
      <c r="M3141" s="907">
        <v>4.9036999999999997E-2</v>
      </c>
      <c r="N3141" s="1627">
        <v>2.0769575997286749</v>
      </c>
      <c r="O3141" s="1627"/>
    </row>
    <row r="3142" spans="11:15">
      <c r="K3142" s="1623">
        <v>45199</v>
      </c>
      <c r="L3142" s="1627"/>
      <c r="M3142" s="907">
        <v>0</v>
      </c>
      <c r="N3142" s="1627">
        <v>2.0769575997286749</v>
      </c>
      <c r="O3142" s="1627"/>
    </row>
    <row r="3143" spans="11:15">
      <c r="K3143" s="1623">
        <v>45200</v>
      </c>
      <c r="L3143" s="1627"/>
      <c r="M3143" s="907">
        <v>0</v>
      </c>
      <c r="N3143" s="1627">
        <v>2.0769575997286749</v>
      </c>
      <c r="O3143" s="1627"/>
    </row>
    <row r="3144" spans="11:15">
      <c r="K3144" s="1623">
        <v>45201</v>
      </c>
      <c r="L3144" s="1627" t="s">
        <v>2302</v>
      </c>
      <c r="M3144" s="907">
        <v>4.9036999999999997E-2</v>
      </c>
      <c r="N3144" s="1627">
        <v>2.0779760774268539</v>
      </c>
      <c r="O3144" s="1627"/>
    </row>
    <row r="3145" spans="11:15">
      <c r="K3145" s="1623">
        <v>45202</v>
      </c>
      <c r="L3145" s="1627" t="s">
        <v>2302</v>
      </c>
      <c r="M3145" s="907">
        <v>4.9036999999999997E-2</v>
      </c>
      <c r="N3145" s="1627">
        <v>2.0789950545559419</v>
      </c>
      <c r="O3145" s="1627"/>
    </row>
    <row r="3146" spans="11:15">
      <c r="K3146" s="1623">
        <v>45203</v>
      </c>
      <c r="L3146" s="1627" t="s">
        <v>2302</v>
      </c>
      <c r="M3146" s="907">
        <v>4.9036999999999997E-2</v>
      </c>
      <c r="N3146" s="1627">
        <v>2.0800145313608445</v>
      </c>
      <c r="O3146" s="1627"/>
    </row>
    <row r="3147" spans="11:15">
      <c r="K3147" s="1623">
        <v>45204</v>
      </c>
      <c r="L3147" s="1627" t="s">
        <v>2302</v>
      </c>
      <c r="M3147" s="907">
        <v>4.9036999999999997E-2</v>
      </c>
      <c r="N3147" s="1627">
        <v>2.0810345080865882</v>
      </c>
      <c r="O3147" s="1627"/>
    </row>
    <row r="3148" spans="11:15">
      <c r="K3148" s="1623">
        <v>45205</v>
      </c>
      <c r="L3148" s="1627" t="s">
        <v>2302</v>
      </c>
      <c r="M3148" s="907">
        <v>4.9036999999999997E-2</v>
      </c>
      <c r="N3148" s="1627">
        <v>2.0820549849783188</v>
      </c>
      <c r="O3148" s="1627"/>
    </row>
    <row r="3149" spans="11:15">
      <c r="K3149" s="1623">
        <v>45206</v>
      </c>
      <c r="L3149" s="1627"/>
      <c r="M3149" s="907">
        <v>0</v>
      </c>
      <c r="N3149" s="1627">
        <v>2.0820549849783188</v>
      </c>
      <c r="O3149" s="1627"/>
    </row>
    <row r="3150" spans="11:15">
      <c r="K3150" s="1623">
        <v>45207</v>
      </c>
      <c r="L3150" s="1627"/>
      <c r="M3150" s="907">
        <v>0</v>
      </c>
      <c r="N3150" s="1627">
        <v>2.0820549849783188</v>
      </c>
      <c r="O3150" s="1627"/>
    </row>
    <row r="3151" spans="11:15">
      <c r="K3151" s="1623">
        <v>45208</v>
      </c>
      <c r="L3151" s="1627" t="s">
        <v>2302</v>
      </c>
      <c r="M3151" s="907">
        <v>4.9036999999999997E-2</v>
      </c>
      <c r="N3151" s="1627">
        <v>2.0830759622813027</v>
      </c>
      <c r="O3151" s="1627"/>
    </row>
    <row r="3152" spans="11:15">
      <c r="K3152" s="1623">
        <v>45209</v>
      </c>
      <c r="L3152" s="1627" t="s">
        <v>2302</v>
      </c>
      <c r="M3152" s="907">
        <v>4.9036999999999997E-2</v>
      </c>
      <c r="N3152" s="1627">
        <v>2.0840974402409267</v>
      </c>
      <c r="O3152" s="1627"/>
    </row>
    <row r="3153" spans="11:15">
      <c r="K3153" s="1623">
        <v>45210</v>
      </c>
      <c r="L3153" s="1627" t="s">
        <v>2302</v>
      </c>
      <c r="M3153" s="907">
        <v>4.9036999999999997E-2</v>
      </c>
      <c r="N3153" s="1627">
        <v>2.0851194191026976</v>
      </c>
      <c r="O3153" s="1627"/>
    </row>
    <row r="3154" spans="11:15">
      <c r="K3154" s="1623">
        <v>45211</v>
      </c>
      <c r="L3154" s="1627"/>
      <c r="M3154" s="907">
        <v>0</v>
      </c>
      <c r="N3154" s="1627">
        <v>2.0851194191026976</v>
      </c>
      <c r="O3154" s="1627"/>
    </row>
    <row r="3155" spans="11:15">
      <c r="K3155" s="1623">
        <v>45212</v>
      </c>
      <c r="L3155" s="1627" t="s">
        <v>2302</v>
      </c>
      <c r="M3155" s="907">
        <v>4.9036999999999997E-2</v>
      </c>
      <c r="N3155" s="1627">
        <v>2.0861418991122433</v>
      </c>
      <c r="O3155" s="1627"/>
    </row>
    <row r="3156" spans="11:15">
      <c r="K3156" s="1623">
        <v>45213</v>
      </c>
      <c r="L3156" s="1627"/>
      <c r="M3156" s="907">
        <v>0</v>
      </c>
      <c r="N3156" s="1627">
        <v>2.0861418991122433</v>
      </c>
      <c r="O3156" s="1627"/>
    </row>
    <row r="3157" spans="11:15">
      <c r="K3157" s="1623">
        <v>45214</v>
      </c>
      <c r="L3157" s="1627"/>
      <c r="M3157" s="907">
        <v>0</v>
      </c>
      <c r="N3157" s="1627">
        <v>2.0861418991122433</v>
      </c>
      <c r="O3157" s="1627"/>
    </row>
    <row r="3158" spans="11:15">
      <c r="K3158" s="1623">
        <v>45215</v>
      </c>
      <c r="L3158" s="1627" t="s">
        <v>2302</v>
      </c>
      <c r="M3158" s="907">
        <v>4.9036999999999997E-2</v>
      </c>
      <c r="N3158" s="1627">
        <v>2.0871648805153113</v>
      </c>
      <c r="O3158" s="1627"/>
    </row>
    <row r="3159" spans="11:15">
      <c r="K3159" s="1623">
        <v>45216</v>
      </c>
      <c r="L3159" s="1627" t="s">
        <v>2302</v>
      </c>
      <c r="M3159" s="907">
        <v>4.9036999999999997E-2</v>
      </c>
      <c r="N3159" s="1627">
        <v>2.0881883635577698</v>
      </c>
      <c r="O3159" s="1627"/>
    </row>
    <row r="3160" spans="11:15">
      <c r="K3160" s="1623">
        <v>45217</v>
      </c>
      <c r="L3160" s="1627" t="s">
        <v>2302</v>
      </c>
      <c r="M3160" s="907">
        <v>4.9036999999999997E-2</v>
      </c>
      <c r="N3160" s="1627">
        <v>2.0892123484856078</v>
      </c>
      <c r="O3160" s="1627"/>
    </row>
    <row r="3161" spans="11:15">
      <c r="K3161" s="1623">
        <v>45218</v>
      </c>
      <c r="L3161" s="1627" t="s">
        <v>2302</v>
      </c>
      <c r="M3161" s="907">
        <v>4.9036999999999997E-2</v>
      </c>
      <c r="N3161" s="1627">
        <v>2.090236835544935</v>
      </c>
      <c r="O3161" s="1627"/>
    </row>
    <row r="3162" spans="11:15">
      <c r="K3162" s="1623">
        <v>45219</v>
      </c>
      <c r="L3162" s="1627" t="s">
        <v>2302</v>
      </c>
      <c r="M3162" s="907">
        <v>4.9036999999999997E-2</v>
      </c>
      <c r="N3162" s="1627">
        <v>2.0912618249819812</v>
      </c>
      <c r="O3162" s="1627"/>
    </row>
    <row r="3163" spans="11:15">
      <c r="K3163" s="1623">
        <v>45220</v>
      </c>
      <c r="L3163" s="1627"/>
      <c r="M3163" s="907">
        <v>0</v>
      </c>
      <c r="N3163" s="1627">
        <v>2.0912618249819812</v>
      </c>
      <c r="O3163" s="1627"/>
    </row>
    <row r="3164" spans="11:15">
      <c r="K3164" s="1623">
        <v>45221</v>
      </c>
      <c r="L3164" s="1627"/>
      <c r="M3164" s="907">
        <v>0</v>
      </c>
      <c r="N3164" s="1627">
        <v>2.0912618249819812</v>
      </c>
      <c r="O3164" s="1627"/>
    </row>
    <row r="3165" spans="11:15">
      <c r="K3165" s="1623">
        <v>45222</v>
      </c>
      <c r="L3165" s="1627" t="s">
        <v>2302</v>
      </c>
      <c r="M3165" s="907">
        <v>4.9036999999999997E-2</v>
      </c>
      <c r="N3165" s="1627">
        <v>2.0922873170430978</v>
      </c>
      <c r="O3165" s="1627"/>
    </row>
    <row r="3166" spans="11:15">
      <c r="K3166" s="1623">
        <v>45223</v>
      </c>
      <c r="L3166" s="1627" t="s">
        <v>2302</v>
      </c>
      <c r="M3166" s="907">
        <v>4.9036999999999997E-2</v>
      </c>
      <c r="N3166" s="1627">
        <v>2.0933133119747565</v>
      </c>
      <c r="O3166" s="1627"/>
    </row>
    <row r="3167" spans="11:15">
      <c r="K3167" s="1623">
        <v>45224</v>
      </c>
      <c r="L3167" s="1627" t="s">
        <v>2302</v>
      </c>
      <c r="M3167" s="907">
        <v>4.9036999999999997E-2</v>
      </c>
      <c r="N3167" s="1627">
        <v>2.0943398100235497</v>
      </c>
      <c r="O3167" s="1627"/>
    </row>
    <row r="3168" spans="11:15">
      <c r="K3168" s="1623">
        <v>45225</v>
      </c>
      <c r="L3168" s="1627" t="s">
        <v>2302</v>
      </c>
      <c r="M3168" s="907">
        <v>4.9036999999999997E-2</v>
      </c>
      <c r="N3168" s="1627">
        <v>2.095366811436191</v>
      </c>
      <c r="O3168" s="1627"/>
    </row>
    <row r="3169" spans="11:15">
      <c r="K3169" s="1623">
        <v>45226</v>
      </c>
      <c r="L3169" s="1627" t="s">
        <v>2302</v>
      </c>
      <c r="M3169" s="907">
        <v>4.9036999999999997E-2</v>
      </c>
      <c r="N3169" s="1627">
        <v>2.0963943164595151</v>
      </c>
      <c r="O3169" s="1627"/>
    </row>
    <row r="3170" spans="11:15">
      <c r="K3170" s="1623">
        <v>45227</v>
      </c>
      <c r="L3170" s="1627"/>
      <c r="M3170" s="907">
        <v>0</v>
      </c>
      <c r="N3170" s="1627">
        <v>2.0963943164595151</v>
      </c>
      <c r="O3170" s="1627"/>
    </row>
    <row r="3171" spans="11:15">
      <c r="K3171" s="1623">
        <v>45228</v>
      </c>
      <c r="L3171" s="1627"/>
      <c r="M3171" s="907">
        <v>0</v>
      </c>
      <c r="N3171" s="1627">
        <v>2.0963943164595151</v>
      </c>
      <c r="O3171" s="1627"/>
    </row>
    <row r="3172" spans="11:15">
      <c r="K3172" s="1623">
        <v>45229</v>
      </c>
      <c r="L3172" s="1627" t="s">
        <v>2302</v>
      </c>
      <c r="M3172" s="907">
        <v>4.9036999999999997E-2</v>
      </c>
      <c r="N3172" s="1627">
        <v>2.0974223253404776</v>
      </c>
      <c r="O3172" s="1627"/>
    </row>
    <row r="3173" spans="11:15">
      <c r="K3173" s="1623">
        <v>45230</v>
      </c>
      <c r="L3173" s="1627" t="s">
        <v>2302</v>
      </c>
      <c r="M3173" s="907">
        <v>4.9036999999999997E-2</v>
      </c>
      <c r="N3173" s="1627">
        <v>2.0984508383261549</v>
      </c>
      <c r="O3173" s="1627"/>
    </row>
    <row r="3174" spans="11:15">
      <c r="K3174" s="1623">
        <v>45231</v>
      </c>
      <c r="L3174" s="1627" t="s">
        <v>2302</v>
      </c>
      <c r="M3174" s="907">
        <v>4.9036999999999997E-2</v>
      </c>
      <c r="N3174" s="1627">
        <v>2.0994798556637448</v>
      </c>
      <c r="O3174" s="1627"/>
    </row>
    <row r="3175" spans="11:15">
      <c r="K3175" s="1623">
        <v>45232</v>
      </c>
      <c r="L3175" s="1627"/>
      <c r="M3175" s="907">
        <v>0</v>
      </c>
      <c r="N3175" s="1627">
        <v>2.0994798556637448</v>
      </c>
      <c r="O3175" s="1627"/>
    </row>
    <row r="3176" spans="11:15">
      <c r="K3176" s="1623">
        <v>45233</v>
      </c>
      <c r="L3176" s="1627" t="s">
        <v>2302</v>
      </c>
      <c r="M3176" s="907">
        <v>4.9036999999999997E-2</v>
      </c>
      <c r="N3176" s="1627">
        <v>2.100509377600567</v>
      </c>
      <c r="O3176" s="1627"/>
    </row>
    <row r="3177" spans="11:15">
      <c r="K3177" s="1623">
        <v>45234</v>
      </c>
      <c r="L3177" s="1627"/>
      <c r="M3177" s="907">
        <v>0</v>
      </c>
      <c r="N3177" s="1627">
        <v>2.100509377600567</v>
      </c>
      <c r="O3177" s="1627"/>
    </row>
    <row r="3178" spans="11:15">
      <c r="K3178" s="1623">
        <v>45235</v>
      </c>
      <c r="L3178" s="1627"/>
      <c r="M3178" s="907">
        <v>0</v>
      </c>
      <c r="N3178" s="1627">
        <v>2.100509377600567</v>
      </c>
      <c r="O3178" s="1627"/>
    </row>
    <row r="3179" spans="11:15">
      <c r="K3179" s="1623">
        <v>45236</v>
      </c>
      <c r="L3179" s="1627" t="s">
        <v>2302</v>
      </c>
      <c r="M3179" s="907">
        <v>4.9036999999999997E-2</v>
      </c>
      <c r="N3179" s="1627">
        <v>2.1015394043840612</v>
      </c>
      <c r="O3179" s="1627"/>
    </row>
    <row r="3180" spans="11:15">
      <c r="K3180" s="1623">
        <v>45237</v>
      </c>
      <c r="L3180" s="1627" t="s">
        <v>2302</v>
      </c>
      <c r="M3180" s="907">
        <v>4.9036999999999997E-2</v>
      </c>
      <c r="N3180" s="1627">
        <v>2.1025699362617893</v>
      </c>
      <c r="O3180" s="1627"/>
    </row>
    <row r="3181" spans="11:15">
      <c r="K3181" s="1623">
        <v>45238</v>
      </c>
      <c r="L3181" s="1627" t="s">
        <v>2302</v>
      </c>
      <c r="M3181" s="907">
        <v>4.9036999999999997E-2</v>
      </c>
      <c r="N3181" s="1627">
        <v>2.1036009734814343</v>
      </c>
      <c r="O3181" s="1627"/>
    </row>
    <row r="3182" spans="11:15">
      <c r="K3182" s="1623">
        <v>45239</v>
      </c>
      <c r="L3182" s="1627" t="s">
        <v>2302</v>
      </c>
      <c r="M3182" s="907">
        <v>4.9036999999999997E-2</v>
      </c>
      <c r="N3182" s="1627">
        <v>2.1046325162908004</v>
      </c>
      <c r="O3182" s="1627"/>
    </row>
    <row r="3183" spans="11:15">
      <c r="K3183" s="1623">
        <v>45240</v>
      </c>
      <c r="L3183" s="1627" t="s">
        <v>2302</v>
      </c>
      <c r="M3183" s="907">
        <v>4.9036999999999997E-2</v>
      </c>
      <c r="N3183" s="1627">
        <v>2.1056645649378143</v>
      </c>
      <c r="O3183" s="1627"/>
    </row>
    <row r="3184" spans="11:15">
      <c r="K3184" s="1623">
        <v>45241</v>
      </c>
      <c r="L3184" s="1627"/>
      <c r="M3184" s="907">
        <v>0</v>
      </c>
      <c r="N3184" s="1627">
        <v>2.1056645649378143</v>
      </c>
      <c r="O3184" s="1627"/>
    </row>
    <row r="3185" spans="11:15">
      <c r="K3185" s="1623">
        <v>45242</v>
      </c>
      <c r="L3185" s="1627"/>
      <c r="M3185" s="907">
        <v>0</v>
      </c>
      <c r="N3185" s="1627">
        <v>2.1056645649378143</v>
      </c>
      <c r="O3185" s="1627"/>
    </row>
    <row r="3186" spans="11:15">
      <c r="K3186" s="1623">
        <v>45243</v>
      </c>
      <c r="L3186" s="1627" t="s">
        <v>2302</v>
      </c>
      <c r="M3186" s="907">
        <v>4.9036999999999997E-2</v>
      </c>
      <c r="N3186" s="1627">
        <v>2.1066971196705229</v>
      </c>
      <c r="O3186" s="1627"/>
    </row>
    <row r="3187" spans="11:15">
      <c r="K3187" s="1623">
        <v>45244</v>
      </c>
      <c r="L3187" s="1627" t="s">
        <v>2302</v>
      </c>
      <c r="M3187" s="907">
        <v>4.9036999999999997E-2</v>
      </c>
      <c r="N3187" s="1627">
        <v>2.1077301807370961</v>
      </c>
      <c r="O3187" s="1627"/>
    </row>
    <row r="3188" spans="11:15">
      <c r="K3188" s="1623">
        <v>45245</v>
      </c>
      <c r="L3188" s="1627"/>
      <c r="M3188" s="907">
        <v>0</v>
      </c>
      <c r="N3188" s="1627">
        <v>2.1077301807370961</v>
      </c>
      <c r="O3188" s="1627"/>
    </row>
    <row r="3189" spans="11:15">
      <c r="K3189" s="1623">
        <v>45246</v>
      </c>
      <c r="L3189" s="1627" t="s">
        <v>2302</v>
      </c>
      <c r="M3189" s="907">
        <v>4.9036999999999997E-2</v>
      </c>
      <c r="N3189" s="1627">
        <v>2.1087637483858241</v>
      </c>
      <c r="O3189" s="1627"/>
    </row>
    <row r="3190" spans="11:15">
      <c r="K3190" s="1623">
        <v>45247</v>
      </c>
      <c r="L3190" s="1627" t="s">
        <v>2302</v>
      </c>
      <c r="M3190" s="907">
        <v>4.9036999999999997E-2</v>
      </c>
      <c r="N3190" s="1627">
        <v>2.1097978228651204</v>
      </c>
      <c r="O3190" s="1627"/>
    </row>
    <row r="3191" spans="11:15">
      <c r="K3191" s="1623">
        <v>45248</v>
      </c>
      <c r="L3191" s="1627"/>
      <c r="M3191" s="907">
        <v>0</v>
      </c>
      <c r="N3191" s="1627">
        <v>2.1097978228651204</v>
      </c>
      <c r="O3191" s="1627"/>
    </row>
    <row r="3192" spans="11:15">
      <c r="K3192" s="1623">
        <v>45249</v>
      </c>
      <c r="L3192" s="1627"/>
      <c r="M3192" s="907">
        <v>0</v>
      </c>
      <c r="N3192" s="1627">
        <v>2.1097978228651204</v>
      </c>
      <c r="O3192" s="1627"/>
    </row>
    <row r="3193" spans="11:15">
      <c r="K3193" s="1623">
        <v>45250</v>
      </c>
      <c r="L3193" s="1627" t="s">
        <v>2302</v>
      </c>
      <c r="M3193" s="907">
        <v>4.9036999999999997E-2</v>
      </c>
      <c r="N3193" s="1627">
        <v>2.1108324044235189</v>
      </c>
      <c r="O3193" s="1627"/>
    </row>
    <row r="3194" spans="11:15">
      <c r="K3194" s="1623">
        <v>45251</v>
      </c>
      <c r="L3194" s="1627" t="s">
        <v>2302</v>
      </c>
      <c r="M3194" s="907">
        <v>4.9036999999999997E-2</v>
      </c>
      <c r="N3194" s="1627">
        <v>2.1118674933096764</v>
      </c>
      <c r="O3194" s="1627"/>
    </row>
    <row r="3195" spans="11:15">
      <c r="K3195" s="1623">
        <v>45252</v>
      </c>
      <c r="L3195" s="1627" t="s">
        <v>2302</v>
      </c>
      <c r="M3195" s="907">
        <v>4.9036999999999997E-2</v>
      </c>
      <c r="N3195" s="1627">
        <v>2.1129030897723706</v>
      </c>
      <c r="O3195" s="1627"/>
    </row>
    <row r="3196" spans="11:15">
      <c r="K3196" s="1623">
        <v>45253</v>
      </c>
      <c r="L3196" s="1627" t="s">
        <v>2302</v>
      </c>
      <c r="M3196" s="907">
        <v>4.9036999999999997E-2</v>
      </c>
      <c r="N3196" s="1627">
        <v>2.1139391940605026</v>
      </c>
      <c r="O3196" s="1627"/>
    </row>
    <row r="3197" spans="11:15">
      <c r="K3197" s="1623">
        <v>45254</v>
      </c>
      <c r="L3197" s="1627" t="s">
        <v>2302</v>
      </c>
      <c r="M3197" s="907">
        <v>4.9036999999999997E-2</v>
      </c>
      <c r="N3197" s="1627">
        <v>2.1149758064230944</v>
      </c>
      <c r="O3197" s="1627"/>
    </row>
    <row r="3198" spans="11:15">
      <c r="K3198" s="1623">
        <v>45255</v>
      </c>
      <c r="L3198" s="1627"/>
      <c r="M3198" s="907">
        <v>0</v>
      </c>
      <c r="N3198" s="1627">
        <v>2.1149758064230944</v>
      </c>
      <c r="O3198" s="1627"/>
    </row>
    <row r="3199" spans="11:15">
      <c r="K3199" s="1623">
        <v>45256</v>
      </c>
      <c r="L3199" s="1627"/>
      <c r="M3199" s="907">
        <v>0</v>
      </c>
      <c r="N3199" s="1627">
        <v>2.1149758064230944</v>
      </c>
      <c r="O3199" s="1627"/>
    </row>
    <row r="3200" spans="11:15">
      <c r="K3200" s="1623">
        <v>45257</v>
      </c>
      <c r="L3200" s="1627" t="s">
        <v>2302</v>
      </c>
      <c r="M3200" s="907">
        <v>4.9036999999999997E-2</v>
      </c>
      <c r="N3200" s="1627">
        <v>2.1160129271092902</v>
      </c>
      <c r="O3200" s="1627"/>
    </row>
    <row r="3201" spans="11:15">
      <c r="K3201" s="1623">
        <v>45258</v>
      </c>
      <c r="L3201" s="1627" t="s">
        <v>2302</v>
      </c>
      <c r="M3201" s="907">
        <v>4.9036999999999997E-2</v>
      </c>
      <c r="N3201" s="1627">
        <v>2.117050556368357</v>
      </c>
      <c r="O3201" s="1627"/>
    </row>
    <row r="3202" spans="11:15">
      <c r="K3202" s="1623">
        <v>45259</v>
      </c>
      <c r="L3202" s="1627" t="s">
        <v>2302</v>
      </c>
      <c r="M3202" s="907">
        <v>4.9036999999999997E-2</v>
      </c>
      <c r="N3202" s="1627">
        <v>2.1180886944496837</v>
      </c>
      <c r="O3202" s="1627"/>
    </row>
    <row r="3203" spans="11:15">
      <c r="K3203" s="1623">
        <v>45260</v>
      </c>
      <c r="L3203" s="1627" t="s">
        <v>2302</v>
      </c>
      <c r="M3203" s="907">
        <v>4.9036999999999997E-2</v>
      </c>
      <c r="N3203" s="1627">
        <v>2.1191273416027814</v>
      </c>
      <c r="O3203" s="1627"/>
    </row>
    <row r="3204" spans="11:15">
      <c r="K3204" s="1623">
        <v>45261</v>
      </c>
      <c r="L3204" s="1627" t="s">
        <v>2302</v>
      </c>
      <c r="M3204" s="907">
        <v>4.9036999999999997E-2</v>
      </c>
      <c r="N3204" s="1627">
        <v>2.1201664980772832</v>
      </c>
      <c r="O3204" s="1627"/>
    </row>
    <row r="3205" spans="11:15">
      <c r="K3205" s="1623">
        <v>45262</v>
      </c>
      <c r="L3205" s="1627"/>
      <c r="M3205" s="907">
        <v>0</v>
      </c>
      <c r="N3205" s="1627">
        <v>2.1201664980772832</v>
      </c>
      <c r="O3205" s="1627"/>
    </row>
    <row r="3206" spans="11:15">
      <c r="K3206" s="1623">
        <v>45263</v>
      </c>
      <c r="L3206" s="1627"/>
      <c r="M3206" s="907">
        <v>0</v>
      </c>
      <c r="N3206" s="1627">
        <v>2.1201664980772832</v>
      </c>
      <c r="O3206" s="1627"/>
    </row>
    <row r="3207" spans="11:15">
      <c r="K3207" s="1623">
        <v>45264</v>
      </c>
      <c r="L3207" s="1627" t="s">
        <v>2302</v>
      </c>
      <c r="M3207" s="907">
        <v>4.9036999999999997E-2</v>
      </c>
      <c r="N3207" s="1627">
        <v>2.1212061641229454</v>
      </c>
      <c r="O3207" s="1627"/>
    </row>
    <row r="3208" spans="11:15">
      <c r="K3208" s="1623">
        <v>45265</v>
      </c>
      <c r="L3208" s="1627" t="s">
        <v>2302</v>
      </c>
      <c r="M3208" s="907">
        <v>4.9036999999999997E-2</v>
      </c>
      <c r="N3208" s="1627">
        <v>2.1222463399896463</v>
      </c>
      <c r="O3208" s="1627"/>
    </row>
    <row r="3209" spans="11:15">
      <c r="K3209" s="1623">
        <v>45266</v>
      </c>
      <c r="L3209" s="1627" t="s">
        <v>2302</v>
      </c>
      <c r="M3209" s="907">
        <v>4.9036999999999997E-2</v>
      </c>
      <c r="N3209" s="1627">
        <v>2.1232870259273873</v>
      </c>
      <c r="O3209" s="1627"/>
    </row>
    <row r="3210" spans="11:15">
      <c r="K3210" s="1623">
        <v>45267</v>
      </c>
      <c r="L3210" s="1627" t="s">
        <v>2302</v>
      </c>
      <c r="M3210" s="907">
        <v>4.9036999999999997E-2</v>
      </c>
      <c r="N3210" s="1627">
        <v>2.1243282221862914</v>
      </c>
      <c r="O3210" s="1627"/>
    </row>
    <row r="3211" spans="11:15">
      <c r="K3211" s="1623">
        <v>45268</v>
      </c>
      <c r="L3211" s="1627" t="s">
        <v>2302</v>
      </c>
      <c r="M3211" s="907">
        <v>4.9036999999999997E-2</v>
      </c>
      <c r="N3211" s="1627">
        <v>2.125369929016605</v>
      </c>
      <c r="O3211" s="1627"/>
    </row>
    <row r="3212" spans="11:15">
      <c r="K3212" s="1623">
        <v>45269</v>
      </c>
      <c r="L3212" s="1627"/>
      <c r="M3212" s="907">
        <v>0</v>
      </c>
      <c r="N3212" s="1627">
        <v>2.125369929016605</v>
      </c>
      <c r="O3212" s="1627"/>
    </row>
    <row r="3213" spans="11:15">
      <c r="K3213" s="1623">
        <v>45270</v>
      </c>
      <c r="L3213" s="1627"/>
      <c r="M3213" s="907">
        <v>0</v>
      </c>
      <c r="N3213" s="1627">
        <v>2.125369929016605</v>
      </c>
      <c r="O3213" s="1627"/>
    </row>
    <row r="3214" spans="11:15">
      <c r="K3214" s="1623">
        <v>45271</v>
      </c>
      <c r="L3214" s="1627" t="s">
        <v>2302</v>
      </c>
      <c r="M3214" s="907">
        <v>4.9036999999999997E-2</v>
      </c>
      <c r="N3214" s="1627">
        <v>2.1264121466686969</v>
      </c>
      <c r="O3214" s="1627"/>
    </row>
    <row r="3215" spans="11:15">
      <c r="K3215" s="1623">
        <v>45272</v>
      </c>
      <c r="L3215" s="1" t="s">
        <v>2302</v>
      </c>
      <c r="M3215" s="1">
        <v>4.9036999999999997E-2</v>
      </c>
      <c r="N3215" s="1">
        <v>2.1274548753930591</v>
      </c>
    </row>
    <row r="3216" spans="11:15">
      <c r="K3216" s="1623">
        <v>45273</v>
      </c>
      <c r="L3216" s="1" t="s">
        <v>2302</v>
      </c>
      <c r="M3216" s="1">
        <v>4.9036999999999997E-2</v>
      </c>
      <c r="N3216" s="1">
        <v>2.1284981154403058</v>
      </c>
    </row>
    <row r="3217" spans="11:14">
      <c r="K3217" s="1623">
        <v>45274</v>
      </c>
      <c r="L3217" s="1" t="s">
        <v>2302</v>
      </c>
      <c r="M3217" s="1">
        <v>4.9036999999999997E-2</v>
      </c>
      <c r="N3217" s="1">
        <v>2.1295418670611745</v>
      </c>
    </row>
    <row r="3218" spans="11:14">
      <c r="K3218" s="1623">
        <v>45275</v>
      </c>
      <c r="L3218" s="1" t="s">
        <v>2302</v>
      </c>
      <c r="M3218" s="1">
        <v>4.9036999999999997E-2</v>
      </c>
      <c r="N3218" s="1">
        <v>2.1305861305065257</v>
      </c>
    </row>
    <row r="3219" spans="11:14">
      <c r="K3219" s="1623">
        <v>45276</v>
      </c>
      <c r="M3219" s="1">
        <v>0</v>
      </c>
      <c r="N3219" s="1">
        <v>2.1305861305065257</v>
      </c>
    </row>
    <row r="3220" spans="11:14">
      <c r="K3220" s="1623">
        <v>45277</v>
      </c>
      <c r="M3220" s="1">
        <v>0</v>
      </c>
      <c r="N3220" s="1">
        <v>2.1305861305065257</v>
      </c>
    </row>
    <row r="3221" spans="11:14">
      <c r="K3221" s="1623">
        <v>45278</v>
      </c>
      <c r="L3221" s="1" t="s">
        <v>2302</v>
      </c>
      <c r="M3221" s="1">
        <v>4.9036999999999997E-2</v>
      </c>
      <c r="N3221" s="1">
        <v>2.1316309060273424</v>
      </c>
    </row>
    <row r="3222" spans="11:14">
      <c r="K3222" s="1623">
        <v>45279</v>
      </c>
      <c r="L3222" s="1" t="s">
        <v>2302</v>
      </c>
      <c r="M3222" s="1">
        <v>4.9036999999999997E-2</v>
      </c>
      <c r="N3222" s="1">
        <v>2.1326761938747314</v>
      </c>
    </row>
    <row r="3223" spans="11:14">
      <c r="K3223" s="1623">
        <v>45280</v>
      </c>
      <c r="L3223" s="1" t="s">
        <v>2302</v>
      </c>
      <c r="M3223" s="1">
        <v>4.9036999999999997E-2</v>
      </c>
      <c r="N3223" s="1">
        <v>2.1337219942999219</v>
      </c>
    </row>
    <row r="3224" spans="11:14">
      <c r="K3224" s="1623">
        <v>45281</v>
      </c>
      <c r="L3224" s="1" t="s">
        <v>2302</v>
      </c>
      <c r="M3224" s="1">
        <v>4.9036999999999997E-2</v>
      </c>
      <c r="N3224" s="1">
        <v>2.1347683075542667</v>
      </c>
    </row>
    <row r="3225" spans="11:14">
      <c r="K3225" s="1623">
        <v>45282</v>
      </c>
      <c r="L3225" s="1" t="s">
        <v>2302</v>
      </c>
      <c r="M3225" s="1">
        <v>4.9036999999999997E-2</v>
      </c>
      <c r="N3225" s="1">
        <v>2.1358151338892424</v>
      </c>
    </row>
    <row r="3226" spans="11:14">
      <c r="K3226" s="1623">
        <v>45283</v>
      </c>
      <c r="M3226" s="1">
        <v>0</v>
      </c>
      <c r="N3226" s="1">
        <v>2.1358151338892424</v>
      </c>
    </row>
    <row r="3227" spans="11:14">
      <c r="K3227" s="1623">
        <v>45284</v>
      </c>
      <c r="M3227" s="1">
        <v>0</v>
      </c>
      <c r="N3227" s="1">
        <v>2.1358151338892424</v>
      </c>
    </row>
    <row r="3228" spans="11:14">
      <c r="K3228" s="1623">
        <v>45285</v>
      </c>
      <c r="M3228" s="1">
        <v>0</v>
      </c>
      <c r="N3228" s="1">
        <v>2.1358151338892424</v>
      </c>
    </row>
    <row r="3229" spans="11:14">
      <c r="K3229" s="1623">
        <v>45286</v>
      </c>
      <c r="L3229" s="1" t="s">
        <v>2302</v>
      </c>
      <c r="M3229" s="1">
        <v>4.9036999999999997E-2</v>
      </c>
      <c r="N3229" s="1">
        <v>2.1368624735564477</v>
      </c>
    </row>
    <row r="3230" spans="11:14">
      <c r="K3230" s="1623">
        <v>45287</v>
      </c>
      <c r="L3230" s="1" t="s">
        <v>2302</v>
      </c>
      <c r="M3230" s="1">
        <v>4.9036999999999997E-2</v>
      </c>
      <c r="N3230" s="1">
        <v>2.1379103268076056</v>
      </c>
    </row>
    <row r="3231" spans="11:14">
      <c r="K3231" s="1623">
        <v>45288</v>
      </c>
      <c r="L3231" s="1" t="s">
        <v>2302</v>
      </c>
      <c r="M3231" s="1">
        <v>4.9036999999999997E-2</v>
      </c>
      <c r="N3231" s="1">
        <v>2.1389586938945624</v>
      </c>
    </row>
    <row r="3232" spans="11:14">
      <c r="K3232" s="1623">
        <v>45289</v>
      </c>
      <c r="L3232" s="1" t="s">
        <v>2302</v>
      </c>
      <c r="M3232" s="1">
        <v>4.9036999999999997E-2</v>
      </c>
      <c r="N3232" s="1">
        <v>2.1400075750692875</v>
      </c>
    </row>
    <row r="3233" spans="11:14">
      <c r="K3233" s="1623">
        <v>45290</v>
      </c>
      <c r="M3233" s="1">
        <v>0</v>
      </c>
      <c r="N3233" s="1">
        <v>2.1400075750692875</v>
      </c>
    </row>
    <row r="3234" spans="11:14">
      <c r="K3234" s="1623">
        <v>45291</v>
      </c>
      <c r="M3234" s="1">
        <v>0</v>
      </c>
      <c r="N3234" s="1">
        <v>2.1400075750692875</v>
      </c>
    </row>
    <row r="3235" spans="11:14">
      <c r="K3235" s="1623">
        <v>45292</v>
      </c>
      <c r="M3235" s="1">
        <v>0</v>
      </c>
      <c r="N3235" s="1">
        <v>2.1400075750692875</v>
      </c>
    </row>
    <row r="3236" spans="11:14">
      <c r="K3236" s="1623">
        <v>45293</v>
      </c>
      <c r="L3236" s="1" t="s">
        <v>2302</v>
      </c>
      <c r="M3236" s="1">
        <v>4.9036999999999997E-2</v>
      </c>
      <c r="N3236" s="1">
        <v>2.1410569705838745</v>
      </c>
    </row>
    <row r="3237" spans="11:14">
      <c r="K3237" s="1623">
        <v>45294</v>
      </c>
      <c r="L3237" s="1" t="s">
        <v>2302</v>
      </c>
      <c r="M3237" s="1">
        <v>4.9036999999999997E-2</v>
      </c>
      <c r="N3237" s="1">
        <v>2.1421068806905397</v>
      </c>
    </row>
    <row r="3238" spans="11:14">
      <c r="K3238" s="1623">
        <v>45295</v>
      </c>
      <c r="L3238" s="1" t="s">
        <v>2302</v>
      </c>
      <c r="M3238" s="1">
        <v>4.9036999999999997E-2</v>
      </c>
      <c r="N3238" s="1">
        <v>2.143157305641624</v>
      </c>
    </row>
    <row r="3239" spans="11:14">
      <c r="K3239" s="1623">
        <v>45296</v>
      </c>
      <c r="L3239" s="1" t="s">
        <v>2302</v>
      </c>
      <c r="M3239" s="1">
        <v>4.9036999999999997E-2</v>
      </c>
      <c r="N3239" s="1">
        <v>2.1442082456895917</v>
      </c>
    </row>
    <row r="3240" spans="11:14">
      <c r="K3240" s="1623">
        <v>45297</v>
      </c>
      <c r="M3240" s="1">
        <v>0</v>
      </c>
      <c r="N3240" s="1">
        <v>2.1442082456895917</v>
      </c>
    </row>
    <row r="3241" spans="11:14">
      <c r="K3241" s="1623">
        <v>45298</v>
      </c>
      <c r="M3241" s="1">
        <v>0</v>
      </c>
      <c r="N3241" s="1">
        <v>2.1442082456895917</v>
      </c>
    </row>
    <row r="3242" spans="11:14">
      <c r="K3242" s="1623">
        <v>45299</v>
      </c>
      <c r="L3242" s="1" t="s">
        <v>2302</v>
      </c>
      <c r="M3242" s="1">
        <v>4.9036999999999997E-2</v>
      </c>
      <c r="N3242" s="1">
        <v>2.1452597010870305</v>
      </c>
    </row>
    <row r="3243" spans="11:14">
      <c r="K3243" s="1623">
        <v>45300</v>
      </c>
      <c r="L3243" s="1" t="s">
        <v>2302</v>
      </c>
      <c r="M3243" s="1">
        <v>4.9036999999999997E-2</v>
      </c>
      <c r="N3243" s="1">
        <v>2.1463116720866529</v>
      </c>
    </row>
    <row r="3244" spans="11:14">
      <c r="K3244" s="1623">
        <v>45301</v>
      </c>
      <c r="L3244" s="1" t="s">
        <v>2302</v>
      </c>
      <c r="M3244" s="1">
        <v>4.9036999999999997E-2</v>
      </c>
      <c r="N3244" s="1">
        <v>2.147364158941294</v>
      </c>
    </row>
    <row r="3245" spans="11:14">
      <c r="K3245" s="1623">
        <v>45302</v>
      </c>
      <c r="L3245" s="1" t="s">
        <v>2302</v>
      </c>
      <c r="M3245" s="1">
        <v>4.9036999999999997E-2</v>
      </c>
      <c r="N3245" s="1">
        <v>2.1484171619039141</v>
      </c>
    </row>
    <row r="3246" spans="11:14">
      <c r="K3246" s="1623">
        <v>45303</v>
      </c>
      <c r="L3246" s="1" t="s">
        <v>2302</v>
      </c>
      <c r="M3246" s="1">
        <v>4.9036999999999997E-2</v>
      </c>
      <c r="N3246" s="1">
        <v>2.149470681227597</v>
      </c>
    </row>
    <row r="3247" spans="11:14">
      <c r="K3247" s="1623">
        <v>45304</v>
      </c>
      <c r="M3247" s="1">
        <v>0</v>
      </c>
      <c r="N3247" s="1">
        <v>2.149470681227597</v>
      </c>
    </row>
    <row r="3248" spans="11:14">
      <c r="K3248" s="1623">
        <v>45305</v>
      </c>
      <c r="M3248" s="1">
        <v>0</v>
      </c>
      <c r="N3248" s="1">
        <v>2.149470681227597</v>
      </c>
    </row>
    <row r="3249" spans="11:14">
      <c r="K3249" s="1623">
        <v>45306</v>
      </c>
      <c r="L3249" s="1" t="s">
        <v>2302</v>
      </c>
      <c r="M3249" s="1">
        <v>4.9036999999999997E-2</v>
      </c>
      <c r="N3249" s="1">
        <v>2.1505247171655508</v>
      </c>
    </row>
    <row r="3250" spans="11:14">
      <c r="K3250" s="1623"/>
    </row>
    <row r="3251" spans="11:14">
      <c r="K3251" s="1623"/>
    </row>
    <row r="3252" spans="11:14">
      <c r="K3252" s="1623"/>
    </row>
    <row r="3253" spans="11:14">
      <c r="K3253" s="1623"/>
    </row>
    <row r="3254" spans="11:14">
      <c r="K3254" s="1623"/>
    </row>
    <row r="3255" spans="11:14">
      <c r="K3255" s="1623"/>
    </row>
    <row r="3256" spans="11:14">
      <c r="K3256" s="1623"/>
    </row>
    <row r="3257" spans="11:14">
      <c r="K3257" s="1623"/>
    </row>
    <row r="3258" spans="11:14">
      <c r="K3258" s="1623"/>
    </row>
    <row r="3259" spans="11:14">
      <c r="K3259" s="1623"/>
    </row>
    <row r="3260" spans="11:14">
      <c r="K3260" s="1623"/>
    </row>
    <row r="3261" spans="11:14">
      <c r="K3261" s="1623"/>
    </row>
    <row r="3262" spans="11:14">
      <c r="K3262" s="1623"/>
    </row>
    <row r="3263" spans="11:14">
      <c r="K3263" s="1623"/>
    </row>
    <row r="3264" spans="11:14">
      <c r="K3264" s="1623"/>
    </row>
    <row r="3265" spans="11:11">
      <c r="K3265" s="1623"/>
    </row>
    <row r="3266" spans="11:11">
      <c r="K3266" s="1623"/>
    </row>
    <row r="3267" spans="11:11">
      <c r="K3267" s="1623"/>
    </row>
    <row r="3268" spans="11:11">
      <c r="K3268" s="1623"/>
    </row>
    <row r="3269" spans="11:11">
      <c r="K3269" s="1623"/>
    </row>
    <row r="3270" spans="11:11">
      <c r="K3270" s="1623"/>
    </row>
    <row r="3271" spans="11:11">
      <c r="K3271" s="1623"/>
    </row>
    <row r="3272" spans="11:11">
      <c r="K3272" s="1623"/>
    </row>
    <row r="3273" spans="11:11">
      <c r="K3273" s="1623"/>
    </row>
    <row r="3274" spans="11:11">
      <c r="K3274" s="1623"/>
    </row>
    <row r="3275" spans="11:11">
      <c r="K3275" s="1623"/>
    </row>
    <row r="3276" spans="11:11">
      <c r="K3276" s="1623"/>
    </row>
    <row r="3277" spans="11:11">
      <c r="K3277" s="1623"/>
    </row>
    <row r="3278" spans="11:11">
      <c r="K3278" s="1623"/>
    </row>
    <row r="3279" spans="11:11">
      <c r="K3279" s="1623"/>
    </row>
    <row r="3280" spans="11:11">
      <c r="K3280" s="1623"/>
    </row>
    <row r="3281" spans="11:11">
      <c r="K3281" s="1623"/>
    </row>
    <row r="3282" spans="11:11">
      <c r="K3282" s="1623"/>
    </row>
    <row r="3283" spans="11:11">
      <c r="K3283" s="1623"/>
    </row>
    <row r="3284" spans="11:11">
      <c r="K3284" s="1623"/>
    </row>
    <row r="3285" spans="11:11">
      <c r="K3285" s="1623"/>
    </row>
    <row r="3286" spans="11:11">
      <c r="K3286" s="1623"/>
    </row>
    <row r="3287" spans="11:11">
      <c r="K3287" s="1623"/>
    </row>
    <row r="3288" spans="11:11">
      <c r="K3288" s="1623"/>
    </row>
    <row r="3289" spans="11:11">
      <c r="K3289" s="1623"/>
    </row>
    <row r="3290" spans="11:11">
      <c r="K3290" s="1623"/>
    </row>
    <row r="3291" spans="11:11">
      <c r="K3291" s="1623"/>
    </row>
    <row r="3292" spans="11:11">
      <c r="K3292" s="1623"/>
    </row>
    <row r="3293" spans="11:11">
      <c r="K3293" s="1623"/>
    </row>
    <row r="3294" spans="11:11">
      <c r="K3294" s="1623"/>
    </row>
    <row r="3295" spans="11:11">
      <c r="K3295" s="1623"/>
    </row>
    <row r="3296" spans="11:11">
      <c r="K3296" s="1623"/>
    </row>
    <row r="3297" spans="11:11">
      <c r="K3297" s="1623"/>
    </row>
    <row r="3298" spans="11:11">
      <c r="K3298" s="1623"/>
    </row>
    <row r="3299" spans="11:11">
      <c r="K3299" s="1623"/>
    </row>
    <row r="3300" spans="11:11">
      <c r="K3300" s="1623"/>
    </row>
    <row r="3301" spans="11:11">
      <c r="K3301" s="1623"/>
    </row>
    <row r="3302" spans="11:11">
      <c r="K3302" s="1623"/>
    </row>
    <row r="3303" spans="11:11">
      <c r="K3303" s="1623"/>
    </row>
    <row r="3304" spans="11:11">
      <c r="K3304" s="1623"/>
    </row>
    <row r="3305" spans="11:11">
      <c r="K3305" s="1623"/>
    </row>
    <row r="3306" spans="11:11">
      <c r="K3306" s="1623"/>
    </row>
    <row r="3307" spans="11:11">
      <c r="K3307" s="1623"/>
    </row>
    <row r="3308" spans="11:11">
      <c r="K3308" s="1623"/>
    </row>
    <row r="3309" spans="11:11">
      <c r="K3309" s="1623"/>
    </row>
    <row r="3310" spans="11:11">
      <c r="K3310" s="1623"/>
    </row>
    <row r="3311" spans="11:11">
      <c r="K3311" s="1623"/>
    </row>
    <row r="3312" spans="11:11">
      <c r="K3312" s="1623"/>
    </row>
    <row r="3313" spans="11:11">
      <c r="K3313" s="1623"/>
    </row>
    <row r="3314" spans="11:11">
      <c r="K3314" s="1623"/>
    </row>
    <row r="3315" spans="11:11">
      <c r="K3315" s="1623"/>
    </row>
    <row r="3316" spans="11:11">
      <c r="K3316" s="1623"/>
    </row>
    <row r="3317" spans="11:11">
      <c r="K3317" s="1623"/>
    </row>
    <row r="3318" spans="11:11">
      <c r="K3318" s="1623"/>
    </row>
    <row r="3319" spans="11:11">
      <c r="K3319" s="1623"/>
    </row>
    <row r="3320" spans="11:11">
      <c r="K3320" s="1623"/>
    </row>
    <row r="3321" spans="11:11">
      <c r="K3321" s="1623"/>
    </row>
    <row r="3322" spans="11:11">
      <c r="K3322" s="1623"/>
    </row>
    <row r="3323" spans="11:11">
      <c r="K3323" s="1623"/>
    </row>
    <row r="3324" spans="11:11">
      <c r="K3324" s="1623"/>
    </row>
    <row r="3325" spans="11:11">
      <c r="K3325" s="1623"/>
    </row>
    <row r="3326" spans="11:11">
      <c r="K3326" s="1623"/>
    </row>
    <row r="3327" spans="11:11">
      <c r="K3327" s="1623"/>
    </row>
    <row r="3328" spans="11:11">
      <c r="K3328" s="1623"/>
    </row>
    <row r="3329" spans="11:11">
      <c r="K3329" s="1623"/>
    </row>
    <row r="3330" spans="11:11">
      <c r="K3330" s="1623"/>
    </row>
    <row r="3331" spans="11:11">
      <c r="K3331" s="1623"/>
    </row>
    <row r="3332" spans="11:11">
      <c r="K3332" s="1623"/>
    </row>
    <row r="3333" spans="11:11">
      <c r="K3333" s="1623"/>
    </row>
    <row r="3334" spans="11:11">
      <c r="K3334" s="1623"/>
    </row>
    <row r="3335" spans="11:11">
      <c r="K3335" s="1623"/>
    </row>
    <row r="3336" spans="11:11">
      <c r="K3336" s="1623"/>
    </row>
    <row r="3337" spans="11:11">
      <c r="K3337" s="1623"/>
    </row>
    <row r="3338" spans="11:11">
      <c r="K3338" s="1623"/>
    </row>
    <row r="3339" spans="11:11">
      <c r="K3339" s="1623"/>
    </row>
    <row r="3340" spans="11:11">
      <c r="K3340" s="1623"/>
    </row>
    <row r="3341" spans="11:11">
      <c r="K3341" s="1623"/>
    </row>
    <row r="3342" spans="11:11">
      <c r="K3342" s="1623"/>
    </row>
    <row r="3343" spans="11:11">
      <c r="K3343" s="1623"/>
    </row>
    <row r="3344" spans="11:11">
      <c r="K3344" s="1623"/>
    </row>
    <row r="3345" spans="11:11">
      <c r="K3345" s="1623"/>
    </row>
    <row r="3346" spans="11:11">
      <c r="K3346" s="1623"/>
    </row>
    <row r="3347" spans="11:11">
      <c r="K3347" s="1623"/>
    </row>
    <row r="3348" spans="11:11">
      <c r="K3348" s="1623"/>
    </row>
    <row r="3349" spans="11:11">
      <c r="K3349" s="1623"/>
    </row>
    <row r="3350" spans="11:11">
      <c r="K3350" s="1623"/>
    </row>
    <row r="3351" spans="11:11">
      <c r="K3351" s="1623"/>
    </row>
    <row r="3352" spans="11:11">
      <c r="K3352" s="1623"/>
    </row>
    <row r="3353" spans="11:11">
      <c r="K3353" s="1623"/>
    </row>
    <row r="3354" spans="11:11">
      <c r="K3354" s="1623"/>
    </row>
    <row r="3355" spans="11:11">
      <c r="K3355" s="1623"/>
    </row>
    <row r="3356" spans="11:11">
      <c r="K3356" s="1623"/>
    </row>
    <row r="3357" spans="11:11">
      <c r="K3357" s="1623"/>
    </row>
    <row r="3358" spans="11:11">
      <c r="K3358" s="1623"/>
    </row>
    <row r="3359" spans="11:11">
      <c r="K3359" s="1623"/>
    </row>
    <row r="3360" spans="11:11">
      <c r="K3360" s="1623"/>
    </row>
    <row r="3361" spans="11:11">
      <c r="K3361" s="1623"/>
    </row>
    <row r="3362" spans="11:11">
      <c r="K3362" s="1623"/>
    </row>
    <row r="3363" spans="11:11">
      <c r="K3363" s="1623"/>
    </row>
    <row r="3364" spans="11:11">
      <c r="K3364" s="1623"/>
    </row>
    <row r="3365" spans="11:11">
      <c r="K3365" s="1623"/>
    </row>
    <row r="3366" spans="11:11">
      <c r="K3366" s="1623"/>
    </row>
    <row r="3367" spans="11:11">
      <c r="K3367" s="1623"/>
    </row>
    <row r="3368" spans="11:11">
      <c r="K3368" s="1623"/>
    </row>
    <row r="3369" spans="11:11">
      <c r="K3369" s="1623"/>
    </row>
    <row r="3370" spans="11:11">
      <c r="K3370" s="1623"/>
    </row>
    <row r="3371" spans="11:11">
      <c r="K3371" s="1623"/>
    </row>
    <row r="3372" spans="11:11">
      <c r="K3372" s="1623"/>
    </row>
    <row r="3373" spans="11:11">
      <c r="K3373" s="1623"/>
    </row>
    <row r="3374" spans="11:11">
      <c r="K3374" s="1623"/>
    </row>
    <row r="3375" spans="11:11">
      <c r="K3375" s="1623"/>
    </row>
    <row r="3376" spans="11:11">
      <c r="K3376" s="1623"/>
    </row>
    <row r="3377" spans="11:11">
      <c r="K3377" s="1623"/>
    </row>
    <row r="3378" spans="11:11">
      <c r="K3378" s="1623"/>
    </row>
    <row r="3379" spans="11:11">
      <c r="K3379" s="1623"/>
    </row>
    <row r="3380" spans="11:11">
      <c r="K3380" s="1623"/>
    </row>
    <row r="3381" spans="11:11">
      <c r="K3381" s="1623"/>
    </row>
    <row r="3382" spans="11:11">
      <c r="K3382" s="1623"/>
    </row>
    <row r="3383" spans="11:11">
      <c r="K3383" s="1623"/>
    </row>
    <row r="3384" spans="11:11">
      <c r="K3384" s="1623"/>
    </row>
    <row r="3385" spans="11:11">
      <c r="K3385" s="1623"/>
    </row>
    <row r="3386" spans="11:11">
      <c r="K3386" s="1623"/>
    </row>
    <row r="3387" spans="11:11">
      <c r="K3387" s="1623"/>
    </row>
    <row r="3388" spans="11:11">
      <c r="K3388" s="1623"/>
    </row>
    <row r="3389" spans="11:11">
      <c r="K3389" s="1623"/>
    </row>
    <row r="3390" spans="11:11">
      <c r="K3390" s="1623"/>
    </row>
    <row r="3391" spans="11:11">
      <c r="K3391" s="1623"/>
    </row>
    <row r="3392" spans="11:11">
      <c r="K3392" s="1623"/>
    </row>
    <row r="3393" spans="11:11">
      <c r="K3393" s="1623"/>
    </row>
    <row r="3394" spans="11:11">
      <c r="K3394" s="1623"/>
    </row>
    <row r="3395" spans="11:11">
      <c r="K3395" s="1623"/>
    </row>
    <row r="3396" spans="11:11">
      <c r="K3396" s="1623"/>
    </row>
    <row r="3397" spans="11:11">
      <c r="K3397" s="1623"/>
    </row>
    <row r="3398" spans="11:11">
      <c r="K3398" s="1623"/>
    </row>
    <row r="3399" spans="11:11">
      <c r="K3399" s="1623"/>
    </row>
    <row r="3400" spans="11:11">
      <c r="K3400" s="1623"/>
    </row>
    <row r="3401" spans="11:11">
      <c r="K3401" s="1623"/>
    </row>
    <row r="3402" spans="11:11">
      <c r="K3402" s="1623"/>
    </row>
    <row r="3403" spans="11:11">
      <c r="K3403" s="1623"/>
    </row>
    <row r="3404" spans="11:11">
      <c r="K3404" s="1623"/>
    </row>
    <row r="3405" spans="11:11">
      <c r="K3405" s="1623"/>
    </row>
    <row r="3406" spans="11:11">
      <c r="K3406" s="1623"/>
    </row>
    <row r="3407" spans="11:11">
      <c r="K3407" s="1623"/>
    </row>
    <row r="3408" spans="11:11">
      <c r="K3408" s="1623"/>
    </row>
    <row r="3409" spans="11:11">
      <c r="K3409" s="1623"/>
    </row>
    <row r="3410" spans="11:11">
      <c r="K3410" s="1623"/>
    </row>
    <row r="3411" spans="11:11">
      <c r="K3411" s="1623"/>
    </row>
    <row r="3412" spans="11:11">
      <c r="K3412" s="1623"/>
    </row>
    <row r="3413" spans="11:11">
      <c r="K3413" s="1623"/>
    </row>
    <row r="3414" spans="11:11">
      <c r="K3414" s="1623"/>
    </row>
    <row r="3415" spans="11:11">
      <c r="K3415" s="1623"/>
    </row>
    <row r="3416" spans="11:11">
      <c r="K3416" s="1623"/>
    </row>
    <row r="3417" spans="11:11">
      <c r="K3417" s="1623"/>
    </row>
    <row r="3418" spans="11:11">
      <c r="K3418" s="1623"/>
    </row>
    <row r="3419" spans="11:11">
      <c r="K3419" s="1623"/>
    </row>
    <row r="3420" spans="11:11">
      <c r="K3420" s="1623"/>
    </row>
    <row r="3421" spans="11:11">
      <c r="K3421" s="1623"/>
    </row>
    <row r="3422" spans="11:11">
      <c r="K3422" s="1623"/>
    </row>
    <row r="3423" spans="11:11">
      <c r="K3423" s="1623"/>
    </row>
    <row r="3424" spans="11:11">
      <c r="K3424" s="1623"/>
    </row>
    <row r="3425" spans="11:11">
      <c r="K3425" s="1623"/>
    </row>
    <row r="3426" spans="11:11">
      <c r="K3426" s="1623"/>
    </row>
    <row r="3427" spans="11:11">
      <c r="K3427" s="1623"/>
    </row>
    <row r="3428" spans="11:11">
      <c r="K3428" s="1623"/>
    </row>
    <row r="3429" spans="11:11">
      <c r="K3429" s="1623"/>
    </row>
    <row r="3430" spans="11:11">
      <c r="K3430" s="1623"/>
    </row>
    <row r="3431" spans="11:11">
      <c r="K3431" s="1623"/>
    </row>
    <row r="3432" spans="11:11">
      <c r="K3432" s="1623"/>
    </row>
    <row r="3433" spans="11:11">
      <c r="K3433" s="1623"/>
    </row>
    <row r="3434" spans="11:11">
      <c r="K3434" s="1623"/>
    </row>
    <row r="3435" spans="11:11">
      <c r="K3435" s="1623"/>
    </row>
    <row r="3436" spans="11:11">
      <c r="K3436" s="1623"/>
    </row>
    <row r="3437" spans="11:11">
      <c r="K3437" s="1623"/>
    </row>
    <row r="3438" spans="11:11">
      <c r="K3438" s="1623"/>
    </row>
    <row r="3439" spans="11:11">
      <c r="K3439" s="1623"/>
    </row>
    <row r="3440" spans="11:11">
      <c r="K3440" s="1623"/>
    </row>
    <row r="3441" spans="11:11">
      <c r="K3441" s="1623"/>
    </row>
    <row r="3442" spans="11:11">
      <c r="K3442" s="1623"/>
    </row>
    <row r="3443" spans="11:11">
      <c r="K3443" s="1623"/>
    </row>
    <row r="3444" spans="11:11">
      <c r="K3444" s="1623"/>
    </row>
    <row r="3445" spans="11:11">
      <c r="K3445" s="1623"/>
    </row>
    <row r="3446" spans="11:11">
      <c r="K3446" s="1623"/>
    </row>
    <row r="3447" spans="11:11">
      <c r="K3447" s="1623"/>
    </row>
    <row r="3448" spans="11:11">
      <c r="K3448" s="1623"/>
    </row>
    <row r="3449" spans="11:11">
      <c r="K3449" s="1623"/>
    </row>
    <row r="3450" spans="11:11">
      <c r="K3450" s="1623"/>
    </row>
    <row r="3451" spans="11:11">
      <c r="K3451" s="1623"/>
    </row>
    <row r="3452" spans="11:11">
      <c r="K3452" s="1623"/>
    </row>
    <row r="3453" spans="11:11">
      <c r="K3453" s="1623"/>
    </row>
    <row r="3454" spans="11:11">
      <c r="K3454" s="1623"/>
    </row>
    <row r="3455" spans="11:11">
      <c r="K3455" s="1623"/>
    </row>
    <row r="3456" spans="11:11">
      <c r="K3456" s="1623"/>
    </row>
    <row r="3457" spans="11:11">
      <c r="K3457" s="1623"/>
    </row>
    <row r="3458" spans="11:11">
      <c r="K3458" s="1623"/>
    </row>
    <row r="3459" spans="11:11">
      <c r="K3459" s="1623"/>
    </row>
    <row r="3460" spans="11:11">
      <c r="K3460" s="1623"/>
    </row>
    <row r="3461" spans="11:11">
      <c r="K3461" s="1623"/>
    </row>
    <row r="3462" spans="11:11">
      <c r="K3462" s="1623"/>
    </row>
    <row r="3463" spans="11:11">
      <c r="K3463" s="1623"/>
    </row>
    <row r="3464" spans="11:11">
      <c r="K3464" s="1623"/>
    </row>
    <row r="3465" spans="11:11">
      <c r="K3465" s="1623"/>
    </row>
    <row r="3466" spans="11:11">
      <c r="K3466" s="1623"/>
    </row>
    <row r="3467" spans="11:11">
      <c r="K3467" s="1623"/>
    </row>
    <row r="3468" spans="11:11">
      <c r="K3468" s="1623"/>
    </row>
    <row r="3469" spans="11:11">
      <c r="K3469" s="1623"/>
    </row>
    <row r="3470" spans="11:11">
      <c r="K3470" s="1623"/>
    </row>
    <row r="3471" spans="11:11">
      <c r="K3471" s="1623"/>
    </row>
    <row r="3472" spans="11:11">
      <c r="K3472" s="1623"/>
    </row>
    <row r="3473" spans="11:11">
      <c r="K3473" s="1623"/>
    </row>
    <row r="3474" spans="11:11">
      <c r="K3474" s="1623"/>
    </row>
    <row r="3475" spans="11:11">
      <c r="K3475" s="1623"/>
    </row>
    <row r="3476" spans="11:11">
      <c r="K3476" s="1623"/>
    </row>
    <row r="3477" spans="11:11">
      <c r="K3477" s="1623"/>
    </row>
    <row r="3478" spans="11:11">
      <c r="K3478" s="1623"/>
    </row>
    <row r="3479" spans="11:11">
      <c r="K3479" s="1623"/>
    </row>
    <row r="3480" spans="11:11">
      <c r="K3480" s="1623"/>
    </row>
    <row r="3481" spans="11:11">
      <c r="K3481" s="1623"/>
    </row>
    <row r="3482" spans="11:11">
      <c r="K3482" s="1623"/>
    </row>
    <row r="3483" spans="11:11">
      <c r="K3483" s="1623"/>
    </row>
    <row r="3484" spans="11:11">
      <c r="K3484" s="1623"/>
    </row>
    <row r="3485" spans="11:11">
      <c r="K3485" s="1623"/>
    </row>
    <row r="3486" spans="11:11">
      <c r="K3486" s="1623"/>
    </row>
    <row r="3487" spans="11:11">
      <c r="K3487" s="1623"/>
    </row>
    <row r="3488" spans="11:11">
      <c r="K3488" s="1623"/>
    </row>
    <row r="3489" spans="11:11">
      <c r="K3489" s="1623"/>
    </row>
    <row r="3490" spans="11:11">
      <c r="K3490" s="1623"/>
    </row>
    <row r="3491" spans="11:11">
      <c r="K3491" s="1623"/>
    </row>
    <row r="3492" spans="11:11">
      <c r="K3492" s="1623"/>
    </row>
    <row r="3493" spans="11:11">
      <c r="K3493" s="1623"/>
    </row>
    <row r="3494" spans="11:11">
      <c r="K3494" s="1623"/>
    </row>
    <row r="3495" spans="11:11">
      <c r="K3495" s="1623"/>
    </row>
    <row r="3496" spans="11:11">
      <c r="K3496" s="1623"/>
    </row>
    <row r="3497" spans="11:11">
      <c r="K3497" s="1623"/>
    </row>
    <row r="3498" spans="11:11">
      <c r="K3498" s="1623"/>
    </row>
    <row r="3499" spans="11:11">
      <c r="K3499" s="1623"/>
    </row>
    <row r="3500" spans="11:11">
      <c r="K3500" s="1623"/>
    </row>
    <row r="3501" spans="11:11">
      <c r="K3501" s="1623"/>
    </row>
    <row r="3502" spans="11:11">
      <c r="K3502" s="1623"/>
    </row>
    <row r="3503" spans="11:11">
      <c r="K3503" s="1623"/>
    </row>
    <row r="3504" spans="11:11">
      <c r="K3504" s="1623"/>
    </row>
    <row r="3505" spans="11:11">
      <c r="K3505" s="1623"/>
    </row>
    <row r="3506" spans="11:11">
      <c r="K3506" s="1623"/>
    </row>
    <row r="3507" spans="11:11">
      <c r="K3507" s="1623"/>
    </row>
    <row r="3508" spans="11:11">
      <c r="K3508" s="1623"/>
    </row>
    <row r="3509" spans="11:11">
      <c r="K3509" s="1623"/>
    </row>
    <row r="3510" spans="11:11">
      <c r="K3510" s="1623"/>
    </row>
    <row r="3511" spans="11:11">
      <c r="K3511" s="1623"/>
    </row>
    <row r="3512" spans="11:11">
      <c r="K3512" s="1623"/>
    </row>
    <row r="3513" spans="11:11">
      <c r="K3513" s="1623"/>
    </row>
    <row r="3514" spans="11:11">
      <c r="K3514" s="1623"/>
    </row>
    <row r="3515" spans="11:11">
      <c r="K3515" s="1623"/>
    </row>
    <row r="3516" spans="11:11">
      <c r="K3516" s="1623"/>
    </row>
    <row r="3517" spans="11:11">
      <c r="K3517" s="1623"/>
    </row>
    <row r="3518" spans="11:11">
      <c r="K3518" s="1623"/>
    </row>
    <row r="3519" spans="11:11">
      <c r="K3519" s="1623"/>
    </row>
    <row r="3520" spans="11:11">
      <c r="K3520" s="1623"/>
    </row>
    <row r="3521" spans="11:11">
      <c r="K3521" s="1623"/>
    </row>
    <row r="3522" spans="11:11">
      <c r="K3522" s="1623"/>
    </row>
    <row r="3523" spans="11:11">
      <c r="K3523" s="1623"/>
    </row>
    <row r="3524" spans="11:11">
      <c r="K3524" s="1623"/>
    </row>
    <row r="3525" spans="11:11">
      <c r="K3525" s="1623"/>
    </row>
    <row r="3526" spans="11:11">
      <c r="K3526" s="1623"/>
    </row>
    <row r="3527" spans="11:11">
      <c r="K3527" s="1623"/>
    </row>
    <row r="3528" spans="11:11">
      <c r="K3528" s="1623"/>
    </row>
    <row r="3529" spans="11:11">
      <c r="K3529" s="1623"/>
    </row>
    <row r="3530" spans="11:11">
      <c r="K3530" s="1623"/>
    </row>
    <row r="3531" spans="11:11">
      <c r="K3531" s="1623"/>
    </row>
    <row r="3532" spans="11:11">
      <c r="K3532" s="1623"/>
    </row>
    <row r="3533" spans="11:11">
      <c r="K3533" s="1623"/>
    </row>
    <row r="3534" spans="11:11">
      <c r="K3534" s="1623"/>
    </row>
    <row r="3535" spans="11:11">
      <c r="K3535" s="1623"/>
    </row>
    <row r="3536" spans="11:11">
      <c r="K3536" s="1623"/>
    </row>
    <row r="3537" spans="11:11">
      <c r="K3537" s="1623"/>
    </row>
    <row r="3538" spans="11:11">
      <c r="K3538" s="1623"/>
    </row>
    <row r="3539" spans="11:11">
      <c r="K3539" s="1623"/>
    </row>
    <row r="3540" spans="11:11">
      <c r="K3540" s="1623"/>
    </row>
    <row r="3541" spans="11:11">
      <c r="K3541" s="1623"/>
    </row>
    <row r="3542" spans="11:11">
      <c r="K3542" s="1623"/>
    </row>
    <row r="3543" spans="11:11">
      <c r="K3543" s="1623"/>
    </row>
    <row r="3544" spans="11:11">
      <c r="K3544" s="1623"/>
    </row>
    <row r="3545" spans="11:11">
      <c r="K3545" s="1623"/>
    </row>
    <row r="3546" spans="11:11">
      <c r="K3546" s="1623"/>
    </row>
    <row r="3547" spans="11:11">
      <c r="K3547" s="1623"/>
    </row>
    <row r="3548" spans="11:11">
      <c r="K3548" s="1623"/>
    </row>
    <row r="3549" spans="11:11">
      <c r="K3549" s="1623"/>
    </row>
    <row r="3550" spans="11:11">
      <c r="K3550" s="1623"/>
    </row>
    <row r="3551" spans="11:11">
      <c r="K3551" s="1623"/>
    </row>
    <row r="3552" spans="11:11">
      <c r="K3552" s="1623"/>
    </row>
    <row r="3553" spans="11:11">
      <c r="K3553" s="1623"/>
    </row>
    <row r="3554" spans="11:11">
      <c r="K3554" s="1623"/>
    </row>
    <row r="3555" spans="11:11">
      <c r="K3555" s="1623"/>
    </row>
    <row r="3556" spans="11:11">
      <c r="K3556" s="1623"/>
    </row>
    <row r="3557" spans="11:11">
      <c r="K3557" s="1623"/>
    </row>
    <row r="3558" spans="11:11">
      <c r="K3558" s="1623"/>
    </row>
    <row r="3559" spans="11:11">
      <c r="K3559" s="1623"/>
    </row>
    <row r="3560" spans="11:11">
      <c r="K3560" s="1623"/>
    </row>
    <row r="3561" spans="11:11">
      <c r="K3561" s="1623"/>
    </row>
    <row r="3562" spans="11:11">
      <c r="K3562" s="1623"/>
    </row>
    <row r="3563" spans="11:11">
      <c r="K3563" s="1623"/>
    </row>
    <row r="3564" spans="11:11">
      <c r="K3564" s="1623"/>
    </row>
    <row r="3565" spans="11:11">
      <c r="K3565" s="1623"/>
    </row>
    <row r="3566" spans="11:11">
      <c r="K3566" s="1623"/>
    </row>
    <row r="3567" spans="11:11">
      <c r="K3567" s="1623"/>
    </row>
    <row r="3568" spans="11:11">
      <c r="K3568" s="1623"/>
    </row>
    <row r="3569" spans="11:11">
      <c r="K3569" s="1623"/>
    </row>
    <row r="3570" spans="11:11">
      <c r="K3570" s="1623"/>
    </row>
    <row r="3571" spans="11:11">
      <c r="K3571" s="1623"/>
    </row>
    <row r="3572" spans="11:11">
      <c r="K3572" s="1623"/>
    </row>
    <row r="3573" spans="11:11">
      <c r="K3573" s="1623"/>
    </row>
    <row r="3574" spans="11:11">
      <c r="K3574" s="1623"/>
    </row>
    <row r="3575" spans="11:11">
      <c r="K3575" s="1623"/>
    </row>
    <row r="3576" spans="11:11">
      <c r="K3576" s="1623"/>
    </row>
    <row r="3577" spans="11:11">
      <c r="K3577" s="1623"/>
    </row>
    <row r="3578" spans="11:11">
      <c r="K3578" s="1623"/>
    </row>
    <row r="3579" spans="11:11">
      <c r="K3579" s="1623"/>
    </row>
    <row r="3580" spans="11:11">
      <c r="K3580" s="1623"/>
    </row>
    <row r="3581" spans="11:11">
      <c r="K3581" s="1623"/>
    </row>
    <row r="3582" spans="11:11">
      <c r="K3582" s="1623"/>
    </row>
    <row r="3583" spans="11:11">
      <c r="K3583" s="1623"/>
    </row>
    <row r="3584" spans="11:11">
      <c r="K3584" s="1623"/>
    </row>
    <row r="3585" spans="11:11">
      <c r="K3585" s="1623"/>
    </row>
    <row r="3586" spans="11:11">
      <c r="K3586" s="1623"/>
    </row>
    <row r="3587" spans="11:11">
      <c r="K3587" s="1623"/>
    </row>
    <row r="3588" spans="11:11">
      <c r="K3588" s="1623"/>
    </row>
    <row r="3589" spans="11:11">
      <c r="K3589" s="1623"/>
    </row>
    <row r="3590" spans="11:11">
      <c r="K3590" s="1623"/>
    </row>
    <row r="3591" spans="11:11">
      <c r="K3591" s="1623"/>
    </row>
    <row r="3592" spans="11:11">
      <c r="K3592" s="1623"/>
    </row>
    <row r="3593" spans="11:11">
      <c r="K3593" s="1623"/>
    </row>
    <row r="3594" spans="11:11">
      <c r="K3594" s="1623"/>
    </row>
    <row r="3595" spans="11:11">
      <c r="K3595" s="1623"/>
    </row>
    <row r="3596" spans="11:11">
      <c r="K3596" s="1623"/>
    </row>
    <row r="3597" spans="11:11">
      <c r="K3597" s="1623"/>
    </row>
    <row r="3598" spans="11:11">
      <c r="K3598" s="1623"/>
    </row>
    <row r="3599" spans="11:11">
      <c r="K3599" s="1623"/>
    </row>
    <row r="3600" spans="11:11">
      <c r="K3600" s="1623"/>
    </row>
    <row r="3601" spans="11:11">
      <c r="K3601" s="1623"/>
    </row>
    <row r="3602" spans="11:11">
      <c r="K3602" s="1623"/>
    </row>
    <row r="3603" spans="11:11">
      <c r="K3603" s="1623"/>
    </row>
    <row r="3604" spans="11:11">
      <c r="K3604" s="1623"/>
    </row>
    <row r="3605" spans="11:11">
      <c r="K3605" s="1623"/>
    </row>
    <row r="3606" spans="11:11">
      <c r="K3606" s="1623"/>
    </row>
    <row r="3607" spans="11:11">
      <c r="K3607" s="1623"/>
    </row>
    <row r="3608" spans="11:11">
      <c r="K3608" s="1623"/>
    </row>
    <row r="3609" spans="11:11">
      <c r="K3609" s="1623"/>
    </row>
    <row r="3610" spans="11:11">
      <c r="K3610" s="1623"/>
    </row>
    <row r="3611" spans="11:11">
      <c r="K3611" s="1623"/>
    </row>
    <row r="3612" spans="11:11">
      <c r="K3612" s="1623"/>
    </row>
    <row r="3613" spans="11:11">
      <c r="K3613" s="1623"/>
    </row>
    <row r="3614" spans="11:11">
      <c r="K3614" s="1623"/>
    </row>
    <row r="3615" spans="11:11">
      <c r="K3615" s="1623"/>
    </row>
    <row r="3616" spans="11:11">
      <c r="K3616" s="1623"/>
    </row>
    <row r="3617" spans="11:11">
      <c r="K3617" s="1623"/>
    </row>
    <row r="3618" spans="11:11">
      <c r="K3618" s="1623"/>
    </row>
    <row r="3619" spans="11:11">
      <c r="K3619" s="1623"/>
    </row>
    <row r="3620" spans="11:11">
      <c r="K3620" s="1623"/>
    </row>
    <row r="3621" spans="11:11">
      <c r="K3621" s="1623"/>
    </row>
    <row r="3622" spans="11:11">
      <c r="K3622" s="1623"/>
    </row>
    <row r="3623" spans="11:11">
      <c r="K3623" s="1623"/>
    </row>
    <row r="3624" spans="11:11">
      <c r="K3624" s="1623"/>
    </row>
    <row r="3625" spans="11:11">
      <c r="K3625" s="1623"/>
    </row>
    <row r="3626" spans="11:11">
      <c r="K3626" s="1623"/>
    </row>
    <row r="3627" spans="11:11">
      <c r="K3627" s="1623"/>
    </row>
    <row r="3628" spans="11:11">
      <c r="K3628" s="1623"/>
    </row>
    <row r="3629" spans="11:11">
      <c r="K3629" s="1623"/>
    </row>
    <row r="3630" spans="11:11">
      <c r="K3630" s="1623"/>
    </row>
    <row r="3631" spans="11:11">
      <c r="K3631" s="1623"/>
    </row>
    <row r="3632" spans="11:11">
      <c r="K3632" s="1623"/>
    </row>
    <row r="3633" spans="11:11">
      <c r="K3633" s="1623"/>
    </row>
    <row r="3634" spans="11:11">
      <c r="K3634" s="1623"/>
    </row>
    <row r="3635" spans="11:11">
      <c r="K3635" s="1623"/>
    </row>
    <row r="3636" spans="11:11">
      <c r="K3636" s="1623"/>
    </row>
    <row r="3637" spans="11:11">
      <c r="K3637" s="1623"/>
    </row>
    <row r="3638" spans="11:11">
      <c r="K3638" s="1623"/>
    </row>
    <row r="3639" spans="11:11">
      <c r="K3639" s="1623"/>
    </row>
    <row r="3640" spans="11:11">
      <c r="K3640" s="1623"/>
    </row>
    <row r="3641" spans="11:11">
      <c r="K3641" s="1623"/>
    </row>
    <row r="3642" spans="11:11">
      <c r="K3642" s="1623"/>
    </row>
    <row r="3643" spans="11:11">
      <c r="K3643" s="1623"/>
    </row>
    <row r="3644" spans="11:11">
      <c r="K3644" s="1623"/>
    </row>
    <row r="3645" spans="11:11">
      <c r="K3645" s="1623"/>
    </row>
    <row r="3646" spans="11:11">
      <c r="K3646" s="1623"/>
    </row>
    <row r="3647" spans="11:11">
      <c r="K3647" s="1623"/>
    </row>
    <row r="3648" spans="11:11">
      <c r="K3648" s="1623"/>
    </row>
    <row r="3649" spans="11:11">
      <c r="K3649" s="1623"/>
    </row>
    <row r="3650" spans="11:11">
      <c r="K3650" s="1623"/>
    </row>
    <row r="3651" spans="11:11">
      <c r="K3651" s="1623"/>
    </row>
    <row r="3652" spans="11:11">
      <c r="K3652" s="1623"/>
    </row>
    <row r="3653" spans="11:11">
      <c r="K3653" s="1623"/>
    </row>
    <row r="3654" spans="11:11">
      <c r="K3654" s="1623"/>
    </row>
    <row r="3655" spans="11:11">
      <c r="K3655" s="1623"/>
    </row>
    <row r="3656" spans="11:11">
      <c r="K3656" s="1623"/>
    </row>
    <row r="3657" spans="11:11">
      <c r="K3657" s="1623"/>
    </row>
    <row r="3658" spans="11:11">
      <c r="K3658" s="1623"/>
    </row>
    <row r="3659" spans="11:11">
      <c r="K3659" s="1623"/>
    </row>
    <row r="3660" spans="11:11">
      <c r="K3660" s="1623"/>
    </row>
    <row r="3661" spans="11:11">
      <c r="K3661" s="1623"/>
    </row>
    <row r="3662" spans="11:11">
      <c r="K3662" s="1623"/>
    </row>
    <row r="3663" spans="11:11">
      <c r="K3663" s="1623"/>
    </row>
    <row r="3664" spans="11:11">
      <c r="K3664" s="1623"/>
    </row>
    <row r="3665" spans="11:11">
      <c r="K3665" s="1623"/>
    </row>
    <row r="3666" spans="11:11">
      <c r="K3666" s="1623"/>
    </row>
    <row r="3667" spans="11:11">
      <c r="K3667" s="1623"/>
    </row>
    <row r="3668" spans="11:11">
      <c r="K3668" s="1623"/>
    </row>
    <row r="3669" spans="11:11">
      <c r="K3669" s="1623"/>
    </row>
    <row r="3670" spans="11:11">
      <c r="K3670" s="1623"/>
    </row>
    <row r="3671" spans="11:11">
      <c r="K3671" s="1623"/>
    </row>
    <row r="3672" spans="11:11">
      <c r="K3672" s="1623"/>
    </row>
    <row r="3673" spans="11:11">
      <c r="K3673" s="1623"/>
    </row>
    <row r="3674" spans="11:11">
      <c r="K3674" s="1623"/>
    </row>
    <row r="3675" spans="11:11">
      <c r="K3675" s="1623"/>
    </row>
    <row r="3676" spans="11:11">
      <c r="K3676" s="1623"/>
    </row>
    <row r="3677" spans="11:11">
      <c r="K3677" s="1623"/>
    </row>
    <row r="3678" spans="11:11">
      <c r="K3678" s="1623"/>
    </row>
    <row r="3679" spans="11:11">
      <c r="K3679" s="1623"/>
    </row>
    <row r="3680" spans="11:11">
      <c r="K3680" s="1623"/>
    </row>
    <row r="3681" spans="11:11">
      <c r="K3681" s="1623"/>
    </row>
    <row r="3682" spans="11:11">
      <c r="K3682" s="1623"/>
    </row>
    <row r="3683" spans="11:11">
      <c r="K3683" s="1623"/>
    </row>
    <row r="3684" spans="11:11">
      <c r="K3684" s="1623"/>
    </row>
    <row r="3685" spans="11:11">
      <c r="K3685" s="1623"/>
    </row>
    <row r="3686" spans="11:11">
      <c r="K3686" s="1623"/>
    </row>
    <row r="3687" spans="11:11">
      <c r="K3687" s="1623"/>
    </row>
    <row r="3688" spans="11:11">
      <c r="K3688" s="1623"/>
    </row>
    <row r="3689" spans="11:11">
      <c r="K3689" s="1623"/>
    </row>
    <row r="3690" spans="11:11">
      <c r="K3690" s="1623"/>
    </row>
    <row r="3691" spans="11:11">
      <c r="K3691" s="1623"/>
    </row>
    <row r="3692" spans="11:11">
      <c r="K3692" s="1623"/>
    </row>
  </sheetData>
  <autoFilter ref="B6:F500" xr:uid="{00000000-0009-0000-0000-000011000000}"/>
  <phoneticPr fontId="44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12"/>
  <sheetViews>
    <sheetView showGridLines="0" topLeftCell="E125" zoomScale="85" zoomScaleNormal="85" workbookViewId="0">
      <selection activeCell="R138" sqref="R13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1503</v>
      </c>
      <c r="B1" t="s">
        <v>1521</v>
      </c>
      <c r="C1" t="s">
        <v>22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1371</v>
      </c>
      <c r="J1" t="s">
        <v>1372</v>
      </c>
      <c r="K1" t="s">
        <v>1373</v>
      </c>
      <c r="L1" t="s">
        <v>1527</v>
      </c>
      <c r="M1" t="s">
        <v>1528</v>
      </c>
      <c r="N1" t="s">
        <v>1529</v>
      </c>
      <c r="O1" t="s">
        <v>1530</v>
      </c>
      <c r="P1" t="s">
        <v>1531</v>
      </c>
      <c r="Q1" t="s">
        <v>1532</v>
      </c>
    </row>
    <row r="2" spans="1:17" s="13" customFormat="1" ht="15.75" hidden="1">
      <c r="A2" t="s">
        <v>773</v>
      </c>
      <c r="B2" t="s">
        <v>1533</v>
      </c>
      <c r="C2" t="s">
        <v>1517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9" si="0">IF(ISNUMBER(Q2),Q2,0)</f>
        <v>0.10704236088323049</v>
      </c>
      <c r="Q2" s="234">
        <f>CAPA!K16</f>
        <v>0.10704236088323049</v>
      </c>
    </row>
    <row r="3" spans="1:17" s="13" customFormat="1" ht="15.75" hidden="1">
      <c r="A3" t="s">
        <v>773</v>
      </c>
      <c r="B3" t="s">
        <v>1533</v>
      </c>
      <c r="C3" t="s">
        <v>849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 hidden="1">
      <c r="A4" t="s">
        <v>773</v>
      </c>
      <c r="B4" t="s">
        <v>1533</v>
      </c>
      <c r="C4" t="s">
        <v>1517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 hidden="1">
      <c r="A5" t="s">
        <v>773</v>
      </c>
      <c r="B5" t="s">
        <v>1533</v>
      </c>
      <c r="C5" t="s">
        <v>849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 hidden="1">
      <c r="A6" t="s">
        <v>773</v>
      </c>
      <c r="B6" t="s">
        <v>1533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0.14499999999999999</v>
      </c>
      <c r="Q6" s="234">
        <f ca="1">Resultado!C7</f>
        <v>0.14499999999999999</v>
      </c>
    </row>
    <row r="7" spans="1:17" s="13" customFormat="1" ht="15.75" hidden="1">
      <c r="A7" t="s">
        <v>773</v>
      </c>
      <c r="B7" t="s">
        <v>1533</v>
      </c>
      <c r="C7" t="s">
        <v>1344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-6.9000000000000006E-2</v>
      </c>
      <c r="Q7" s="234">
        <f ca="1">Resultado!C8</f>
        <v>-6.9000000000000006E-2</v>
      </c>
    </row>
    <row r="8" spans="1:17" s="13" customFormat="1" ht="15.75" hidden="1">
      <c r="A8" t="s">
        <v>773</v>
      </c>
      <c r="B8" t="s">
        <v>1533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7.5999999999999998E-2</v>
      </c>
      <c r="Q8" s="234">
        <f ca="1">Resultado!C9</f>
        <v>7.5999999999999998E-2</v>
      </c>
    </row>
    <row r="9" spans="1:17" s="13" customFormat="1" ht="15.75" hidden="1">
      <c r="A9" t="s">
        <v>773</v>
      </c>
      <c r="B9" t="s">
        <v>1533</v>
      </c>
      <c r="C9" t="s">
        <v>1534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0.24349817755939715</v>
      </c>
      <c r="Q9" s="234">
        <f ca="1">IF(ISERROR(LnkTXTICMS),0,LnkTXTICMS)</f>
        <v>0.24349817755939715</v>
      </c>
    </row>
    <row r="10" spans="1:17" s="13" customFormat="1" ht="15.75" hidden="1">
      <c r="A10" t="s">
        <v>773</v>
      </c>
      <c r="B10" t="s">
        <v>1533</v>
      </c>
      <c r="C10" t="s">
        <v>1535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6.9467926163124171E-3</v>
      </c>
      <c r="Q10" s="234">
        <f ca="1">IF(ISERROR(LNKTXTPercPISCOFINS),0,LNKTXTPercPISCOFINS)</f>
        <v>6.9467926163124171E-3</v>
      </c>
    </row>
    <row r="11" spans="1:17" ht="15.75" hidden="1">
      <c r="A11" t="s">
        <v>773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 hidden="1">
      <c r="A12" t="s">
        <v>773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 hidden="1">
      <c r="A13" t="s">
        <v>773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493851.78355056606</v>
      </c>
      <c r="Q13" s="234">
        <f ca="1">Resultado!D17</f>
        <v>493851.78355056606</v>
      </c>
    </row>
    <row r="14" spans="1:17" ht="15.75" hidden="1">
      <c r="A14" t="s">
        <v>773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36534774.534099974</v>
      </c>
      <c r="Q14" s="234">
        <f ca="1">Encargos!I19</f>
        <v>36534774.534099974</v>
      </c>
    </row>
    <row r="15" spans="1:17" ht="15.75" hidden="1">
      <c r="A15" t="s">
        <v>773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 hidden="1">
      <c r="A16" t="s">
        <v>773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10509724.460207857</v>
      </c>
      <c r="Q16" s="234">
        <f>Resultado!D20</f>
        <v>10509724.460207857</v>
      </c>
    </row>
    <row r="17" spans="1:17" ht="15.75" hidden="1">
      <c r="A17" t="s">
        <v>773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6145060.8251699973</v>
      </c>
      <c r="Q17" s="234">
        <f ca="1">Resultado!D21</f>
        <v>6145060.8251699973</v>
      </c>
    </row>
    <row r="18" spans="1:17" ht="15.75" hidden="1">
      <c r="A18" t="s">
        <v>773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 hidden="1">
      <c r="A19" t="s">
        <v>773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idden="1">
      <c r="A20" s="9" t="s">
        <v>773</v>
      </c>
      <c r="B20" t="s">
        <v>794</v>
      </c>
      <c r="C20" s="9" t="s">
        <v>2335</v>
      </c>
      <c r="D20">
        <v>1</v>
      </c>
      <c r="E20">
        <v>1</v>
      </c>
      <c r="F20">
        <v>999</v>
      </c>
      <c r="G20">
        <v>999</v>
      </c>
      <c r="H20">
        <v>999</v>
      </c>
      <c r="I20">
        <v>1</v>
      </c>
      <c r="J20">
        <v>7</v>
      </c>
      <c r="K20">
        <v>9</v>
      </c>
      <c r="L20">
        <v>3</v>
      </c>
      <c r="M20">
        <v>1</v>
      </c>
      <c r="N20">
        <v>1</v>
      </c>
      <c r="O20" s="14">
        <v>99999</v>
      </c>
      <c r="P20" s="964">
        <f t="shared" ref="P20:P25" si="1">IF(ISNUMBER(Q20),Q20,0)</f>
        <v>19959.099999999999</v>
      </c>
      <c r="Q20" s="964">
        <f>CUSD!H9</f>
        <v>19959.099999999999</v>
      </c>
    </row>
    <row r="21" spans="1:17" hidden="1">
      <c r="A21" s="9" t="s">
        <v>773</v>
      </c>
      <c r="B21" s="9" t="s">
        <v>794</v>
      </c>
      <c r="C21" s="9" t="s">
        <v>2336</v>
      </c>
      <c r="D21">
        <v>1</v>
      </c>
      <c r="E21">
        <v>1</v>
      </c>
      <c r="F21">
        <v>999</v>
      </c>
      <c r="G21">
        <v>999</v>
      </c>
      <c r="H21">
        <v>999</v>
      </c>
      <c r="I21">
        <v>1</v>
      </c>
      <c r="J21">
        <v>7</v>
      </c>
      <c r="K21">
        <v>9</v>
      </c>
      <c r="L21">
        <v>3</v>
      </c>
      <c r="M21">
        <v>3</v>
      </c>
      <c r="N21">
        <v>1</v>
      </c>
      <c r="O21" s="14">
        <v>99999</v>
      </c>
      <c r="P21" s="964">
        <f t="shared" si="1"/>
        <v>26756.129999999997</v>
      </c>
      <c r="Q21" s="964">
        <f>CUSD!H8</f>
        <v>26756.129999999997</v>
      </c>
    </row>
    <row r="22" spans="1:17" hidden="1">
      <c r="A22" t="s">
        <v>773</v>
      </c>
      <c r="B22" t="s">
        <v>794</v>
      </c>
      <c r="C22" s="9" t="s">
        <v>2337</v>
      </c>
      <c r="D22">
        <v>1</v>
      </c>
      <c r="E22">
        <v>1</v>
      </c>
      <c r="F22">
        <v>999</v>
      </c>
      <c r="G22">
        <v>999</v>
      </c>
      <c r="H22">
        <v>999</v>
      </c>
      <c r="I22">
        <v>1</v>
      </c>
      <c r="J22">
        <v>7</v>
      </c>
      <c r="K22">
        <v>9</v>
      </c>
      <c r="L22">
        <v>3</v>
      </c>
      <c r="M22">
        <v>9</v>
      </c>
      <c r="N22">
        <v>2</v>
      </c>
      <c r="O22" s="14">
        <v>99999</v>
      </c>
      <c r="P22" s="964">
        <f t="shared" si="1"/>
        <v>7551.7203800000007</v>
      </c>
      <c r="Q22" s="964">
        <f>CUSD!H12+CUSD!H13</f>
        <v>7551.7203800000007</v>
      </c>
    </row>
    <row r="23" spans="1:17" hidden="1">
      <c r="A23" t="s">
        <v>773</v>
      </c>
      <c r="B23" t="s">
        <v>794</v>
      </c>
      <c r="C23" s="9" t="s">
        <v>2335</v>
      </c>
      <c r="D23">
        <v>1</v>
      </c>
      <c r="E23">
        <v>1</v>
      </c>
      <c r="F23">
        <v>999</v>
      </c>
      <c r="G23">
        <v>999</v>
      </c>
      <c r="H23">
        <v>999</v>
      </c>
      <c r="I23">
        <v>1</v>
      </c>
      <c r="J23">
        <v>7</v>
      </c>
      <c r="K23">
        <v>1</v>
      </c>
      <c r="L23">
        <v>3</v>
      </c>
      <c r="M23">
        <v>1</v>
      </c>
      <c r="N23">
        <v>3</v>
      </c>
      <c r="O23" s="14">
        <v>99999</v>
      </c>
      <c r="P23" s="964">
        <f t="shared" si="1"/>
        <v>536899.78999999992</v>
      </c>
      <c r="Q23" s="964">
        <f>CUSD!K9</f>
        <v>536899.78999999992</v>
      </c>
    </row>
    <row r="24" spans="1:17" hidden="1">
      <c r="A24" t="s">
        <v>773</v>
      </c>
      <c r="B24" t="s">
        <v>794</v>
      </c>
      <c r="C24" s="9" t="s">
        <v>2336</v>
      </c>
      <c r="D24">
        <v>1</v>
      </c>
      <c r="E24">
        <v>1</v>
      </c>
      <c r="F24">
        <v>999</v>
      </c>
      <c r="G24">
        <v>999</v>
      </c>
      <c r="H24">
        <v>999</v>
      </c>
      <c r="I24">
        <v>1</v>
      </c>
      <c r="J24">
        <v>7</v>
      </c>
      <c r="K24">
        <v>1</v>
      </c>
      <c r="L24">
        <v>3</v>
      </c>
      <c r="M24">
        <v>3</v>
      </c>
      <c r="N24">
        <v>3</v>
      </c>
      <c r="O24" s="14">
        <v>99999</v>
      </c>
      <c r="P24" s="964">
        <f t="shared" si="1"/>
        <v>534587.47739999997</v>
      </c>
      <c r="Q24" s="964">
        <f>CUSD!K8</f>
        <v>534587.47739999997</v>
      </c>
    </row>
    <row r="25" spans="1:17" hidden="1">
      <c r="A25" t="s">
        <v>773</v>
      </c>
      <c r="B25" t="s">
        <v>794</v>
      </c>
      <c r="C25" s="9" t="s">
        <v>2337</v>
      </c>
      <c r="D25">
        <v>1</v>
      </c>
      <c r="E25">
        <v>1</v>
      </c>
      <c r="F25">
        <v>999</v>
      </c>
      <c r="G25">
        <v>999</v>
      </c>
      <c r="H25">
        <v>999</v>
      </c>
      <c r="I25">
        <v>1</v>
      </c>
      <c r="J25">
        <v>7</v>
      </c>
      <c r="K25">
        <v>1</v>
      </c>
      <c r="L25">
        <v>3</v>
      </c>
      <c r="M25">
        <v>9</v>
      </c>
      <c r="N25">
        <v>3</v>
      </c>
      <c r="O25" s="14">
        <v>99999</v>
      </c>
      <c r="P25" s="964">
        <f t="shared" si="1"/>
        <v>85787.543516800011</v>
      </c>
      <c r="Q25" s="964">
        <f>CUSD!K12+CUSD!K13</f>
        <v>85787.543516800011</v>
      </c>
    </row>
    <row r="26" spans="1:17" ht="15.75" hidden="1">
      <c r="A26" t="s">
        <v>773</v>
      </c>
      <c r="B26" t="s">
        <v>794</v>
      </c>
      <c r="C26" t="s">
        <v>1536</v>
      </c>
      <c r="D26">
        <v>1</v>
      </c>
      <c r="E26">
        <v>1</v>
      </c>
      <c r="F26">
        <v>15</v>
      </c>
      <c r="G26">
        <v>140</v>
      </c>
      <c r="H26">
        <v>999</v>
      </c>
      <c r="I26">
        <v>1</v>
      </c>
      <c r="J26">
        <v>7</v>
      </c>
      <c r="K26">
        <v>9</v>
      </c>
      <c r="L26">
        <v>99</v>
      </c>
      <c r="M26">
        <v>9</v>
      </c>
      <c r="N26">
        <v>4</v>
      </c>
      <c r="O26">
        <v>99999</v>
      </c>
      <c r="P26" s="234">
        <f t="shared" si="0"/>
        <v>0</v>
      </c>
      <c r="Q26" s="234">
        <f>CUSD!G3</f>
        <v>0</v>
      </c>
    </row>
    <row r="27" spans="1:17" ht="15.75" hidden="1">
      <c r="A27" t="s">
        <v>773</v>
      </c>
      <c r="B27" t="s">
        <v>794</v>
      </c>
      <c r="C27" t="s">
        <v>1537</v>
      </c>
      <c r="D27">
        <v>1</v>
      </c>
      <c r="E27">
        <v>1</v>
      </c>
      <c r="F27">
        <v>51</v>
      </c>
      <c r="G27">
        <v>141</v>
      </c>
      <c r="H27">
        <v>999</v>
      </c>
      <c r="I27">
        <v>1</v>
      </c>
      <c r="J27">
        <v>7</v>
      </c>
      <c r="K27">
        <v>9</v>
      </c>
      <c r="L27">
        <v>99</v>
      </c>
      <c r="M27">
        <v>9</v>
      </c>
      <c r="N27">
        <v>3</v>
      </c>
      <c r="O27">
        <v>99999</v>
      </c>
      <c r="P27" s="234">
        <f t="shared" si="0"/>
        <v>1157274.8109167996</v>
      </c>
      <c r="Q27" s="234">
        <f>Q28/(1-Q26)</f>
        <v>1157274.8109167996</v>
      </c>
    </row>
    <row r="28" spans="1:17" ht="15.75" hidden="1">
      <c r="A28" t="s">
        <v>773</v>
      </c>
      <c r="B28" t="s">
        <v>794</v>
      </c>
      <c r="C28" t="s">
        <v>1538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7</v>
      </c>
      <c r="K28">
        <v>1</v>
      </c>
      <c r="L28">
        <v>99</v>
      </c>
      <c r="M28">
        <v>9</v>
      </c>
      <c r="N28">
        <v>3</v>
      </c>
      <c r="O28">
        <v>99999</v>
      </c>
      <c r="P28" s="234">
        <f t="shared" si="0"/>
        <v>1157274.8109167996</v>
      </c>
      <c r="Q28" s="234">
        <f>CUSD!C3</f>
        <v>1157274.8109167996</v>
      </c>
    </row>
    <row r="29" spans="1:17" ht="15.75" hidden="1">
      <c r="A29" t="s">
        <v>773</v>
      </c>
      <c r="B29" t="s">
        <v>794</v>
      </c>
      <c r="C29" s="9" t="s">
        <v>1236</v>
      </c>
      <c r="D29">
        <v>2</v>
      </c>
      <c r="E29">
        <v>1</v>
      </c>
      <c r="F29">
        <v>51</v>
      </c>
      <c r="G29">
        <v>999999</v>
      </c>
      <c r="H29">
        <v>999</v>
      </c>
      <c r="I29">
        <v>1</v>
      </c>
      <c r="J29">
        <v>1</v>
      </c>
      <c r="K29">
        <v>1</v>
      </c>
      <c r="L29">
        <v>99</v>
      </c>
      <c r="M29">
        <v>9</v>
      </c>
      <c r="N29">
        <v>3</v>
      </c>
      <c r="O29">
        <v>99999</v>
      </c>
      <c r="P29" s="234">
        <f t="shared" ref="P29:P35" si="2">IF(ISNUMBER(Q29),Q29,0)</f>
        <v>14564160</v>
      </c>
      <c r="Q29" s="234">
        <f>Resultado!D25</f>
        <v>14564160</v>
      </c>
    </row>
    <row r="30" spans="1:17" ht="15.75" hidden="1">
      <c r="A30" t="s">
        <v>773</v>
      </c>
      <c r="B30" t="s">
        <v>794</v>
      </c>
      <c r="C30" t="s">
        <v>1264</v>
      </c>
      <c r="D30">
        <v>2</v>
      </c>
      <c r="E30">
        <v>1</v>
      </c>
      <c r="F30">
        <v>51</v>
      </c>
      <c r="G30">
        <v>999999</v>
      </c>
      <c r="H30">
        <v>999</v>
      </c>
      <c r="I30">
        <v>1</v>
      </c>
      <c r="J30">
        <v>2</v>
      </c>
      <c r="K30">
        <v>1</v>
      </c>
      <c r="L30">
        <v>99</v>
      </c>
      <c r="M30">
        <v>9</v>
      </c>
      <c r="N30">
        <v>3</v>
      </c>
      <c r="O30">
        <v>99999</v>
      </c>
      <c r="P30" s="234">
        <f t="shared" si="2"/>
        <v>2469120</v>
      </c>
      <c r="Q30" s="234">
        <f>Resultado!D26</f>
        <v>2469120</v>
      </c>
    </row>
    <row r="31" spans="1:17" ht="15.75" hidden="1">
      <c r="A31" t="s">
        <v>773</v>
      </c>
      <c r="B31" t="s">
        <v>794</v>
      </c>
      <c r="C31" t="s">
        <v>1539</v>
      </c>
      <c r="D31">
        <v>2</v>
      </c>
      <c r="E31">
        <v>1</v>
      </c>
      <c r="F31">
        <v>51</v>
      </c>
      <c r="G31">
        <v>999999</v>
      </c>
      <c r="H31">
        <v>999</v>
      </c>
      <c r="I31">
        <v>1</v>
      </c>
      <c r="J31">
        <v>3</v>
      </c>
      <c r="K31">
        <v>1</v>
      </c>
      <c r="L31">
        <v>99</v>
      </c>
      <c r="M31">
        <v>9</v>
      </c>
      <c r="N31">
        <v>3</v>
      </c>
      <c r="O31">
        <v>99999</v>
      </c>
      <c r="P31" s="234">
        <f t="shared" si="2"/>
        <v>1146889.5423490694</v>
      </c>
      <c r="Q31" s="234">
        <f>Resultado!D31</f>
        <v>1146889.5423490694</v>
      </c>
    </row>
    <row r="32" spans="1:17" ht="15.75" hidden="1">
      <c r="A32" t="s">
        <v>773</v>
      </c>
      <c r="B32" t="s">
        <v>794</v>
      </c>
      <c r="C32" t="s">
        <v>1540</v>
      </c>
      <c r="D32">
        <v>2</v>
      </c>
      <c r="E32">
        <v>1</v>
      </c>
      <c r="F32">
        <v>51</v>
      </c>
      <c r="G32">
        <v>999999</v>
      </c>
      <c r="H32">
        <v>999</v>
      </c>
      <c r="I32">
        <v>1</v>
      </c>
      <c r="J32">
        <v>5</v>
      </c>
      <c r="K32">
        <v>1</v>
      </c>
      <c r="L32">
        <v>99</v>
      </c>
      <c r="M32">
        <v>9</v>
      </c>
      <c r="N32">
        <v>3</v>
      </c>
      <c r="O32">
        <v>99999</v>
      </c>
      <c r="P32" s="234">
        <f t="shared" si="2"/>
        <v>0</v>
      </c>
      <c r="Q32" s="234">
        <f>Resultado!D27</f>
        <v>0</v>
      </c>
    </row>
    <row r="33" spans="1:17" ht="15.75" hidden="1">
      <c r="A33" t="s">
        <v>773</v>
      </c>
      <c r="B33" t="s">
        <v>794</v>
      </c>
      <c r="C33" t="s">
        <v>1541</v>
      </c>
      <c r="D33">
        <v>2</v>
      </c>
      <c r="E33">
        <v>1</v>
      </c>
      <c r="F33">
        <v>51</v>
      </c>
      <c r="G33">
        <v>999999</v>
      </c>
      <c r="H33">
        <v>999</v>
      </c>
      <c r="I33">
        <v>1</v>
      </c>
      <c r="J33">
        <v>6</v>
      </c>
      <c r="K33">
        <v>1</v>
      </c>
      <c r="L33">
        <v>99</v>
      </c>
      <c r="M33">
        <v>9</v>
      </c>
      <c r="N33">
        <v>3</v>
      </c>
      <c r="O33">
        <v>99999</v>
      </c>
      <c r="P33" s="234">
        <f t="shared" si="2"/>
        <v>0</v>
      </c>
      <c r="Q33" s="234">
        <f>Resultado!D28</f>
        <v>0</v>
      </c>
    </row>
    <row r="34" spans="1:17" ht="15.75" hidden="1">
      <c r="A34" t="s">
        <v>773</v>
      </c>
      <c r="B34" t="s">
        <v>794</v>
      </c>
      <c r="C34" t="s">
        <v>1542</v>
      </c>
      <c r="D34">
        <v>2</v>
      </c>
      <c r="E34">
        <v>1</v>
      </c>
      <c r="F34">
        <v>51</v>
      </c>
      <c r="G34">
        <v>999999</v>
      </c>
      <c r="H34">
        <v>999</v>
      </c>
      <c r="I34">
        <v>1</v>
      </c>
      <c r="J34">
        <v>21</v>
      </c>
      <c r="K34">
        <v>2</v>
      </c>
      <c r="L34">
        <v>99</v>
      </c>
      <c r="M34">
        <v>9</v>
      </c>
      <c r="N34">
        <v>3</v>
      </c>
      <c r="O34">
        <v>99999</v>
      </c>
      <c r="P34" s="234">
        <f>IF(ISNUMBER(Q34),Q34,0)</f>
        <v>0</v>
      </c>
      <c r="Q34" s="234">
        <f>Resultado!D30</f>
        <v>0</v>
      </c>
    </row>
    <row r="35" spans="1:17" hidden="1">
      <c r="A35" t="s">
        <v>773</v>
      </c>
      <c r="B35" t="s">
        <v>794</v>
      </c>
      <c r="C35" t="s">
        <v>1543</v>
      </c>
      <c r="D35" s="260">
        <v>2</v>
      </c>
      <c r="E35" s="260">
        <v>1</v>
      </c>
      <c r="F35" s="260">
        <v>51</v>
      </c>
      <c r="G35">
        <v>999999</v>
      </c>
      <c r="H35" s="260">
        <v>999</v>
      </c>
      <c r="I35" s="260">
        <v>1</v>
      </c>
      <c r="J35" s="260">
        <v>23</v>
      </c>
      <c r="K35" s="260">
        <v>2</v>
      </c>
      <c r="L35" s="260">
        <v>99</v>
      </c>
      <c r="M35" s="260">
        <v>9</v>
      </c>
      <c r="N35" s="260">
        <v>3</v>
      </c>
      <c r="O35" s="261">
        <v>99999</v>
      </c>
      <c r="P35" s="234">
        <f t="shared" si="2"/>
        <v>0</v>
      </c>
      <c r="Q35" s="234">
        <f>Resultado!D29</f>
        <v>0</v>
      </c>
    </row>
    <row r="36" spans="1:17" ht="15.75" hidden="1">
      <c r="A36" t="s">
        <v>772</v>
      </c>
      <c r="B36" t="s">
        <v>120</v>
      </c>
      <c r="C36" t="s">
        <v>822</v>
      </c>
      <c r="D36">
        <v>1</v>
      </c>
      <c r="E36">
        <v>1</v>
      </c>
      <c r="F36">
        <v>52</v>
      </c>
      <c r="G36">
        <v>55</v>
      </c>
      <c r="H36">
        <v>999</v>
      </c>
      <c r="I36">
        <v>2</v>
      </c>
      <c r="J36">
        <v>999</v>
      </c>
      <c r="K36">
        <v>9</v>
      </c>
      <c r="L36">
        <v>99</v>
      </c>
      <c r="M36">
        <v>9</v>
      </c>
      <c r="N36">
        <v>2</v>
      </c>
      <c r="O36">
        <v>99999</v>
      </c>
      <c r="P36" s="234">
        <f t="shared" si="0"/>
        <v>0</v>
      </c>
      <c r="Q36" s="234"/>
    </row>
    <row r="37" spans="1:17" ht="15.75" hidden="1">
      <c r="A37" t="s">
        <v>773</v>
      </c>
      <c r="B37" t="s">
        <v>120</v>
      </c>
      <c r="C37" t="s">
        <v>822</v>
      </c>
      <c r="D37">
        <v>1</v>
      </c>
      <c r="E37">
        <v>1</v>
      </c>
      <c r="F37">
        <v>51</v>
      </c>
      <c r="G37">
        <v>55</v>
      </c>
      <c r="H37">
        <v>999</v>
      </c>
      <c r="I37">
        <v>2</v>
      </c>
      <c r="J37">
        <v>999</v>
      </c>
      <c r="K37">
        <v>9</v>
      </c>
      <c r="L37">
        <v>99</v>
      </c>
      <c r="M37">
        <v>9</v>
      </c>
      <c r="N37">
        <v>2</v>
      </c>
      <c r="O37">
        <v>99999</v>
      </c>
      <c r="P37" s="234">
        <f t="shared" ca="1" si="0"/>
        <v>448090.0275398728</v>
      </c>
      <c r="Q37" s="234">
        <f ca="1">Energia!C5</f>
        <v>448090.0275398728</v>
      </c>
    </row>
    <row r="38" spans="1:17" ht="15.75" hidden="1">
      <c r="A38" t="s">
        <v>773</v>
      </c>
      <c r="B38" t="s">
        <v>120</v>
      </c>
      <c r="C38" t="s">
        <v>1544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8</v>
      </c>
      <c r="K38">
        <v>9</v>
      </c>
      <c r="L38">
        <v>99</v>
      </c>
      <c r="M38">
        <v>9</v>
      </c>
      <c r="N38">
        <v>2</v>
      </c>
      <c r="O38">
        <v>99999</v>
      </c>
      <c r="P38" s="234">
        <f t="shared" ca="1" si="0"/>
        <v>37236.426439873045</v>
      </c>
      <c r="Q38" s="234">
        <f ca="1">Energia!N17</f>
        <v>37236.426439873045</v>
      </c>
    </row>
    <row r="39" spans="1:17" ht="15.75" hidden="1">
      <c r="A39" t="s">
        <v>773</v>
      </c>
      <c r="B39" t="s">
        <v>120</v>
      </c>
      <c r="C39" t="s">
        <v>1545</v>
      </c>
      <c r="D39">
        <v>1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9</v>
      </c>
      <c r="K39">
        <v>9</v>
      </c>
      <c r="L39">
        <v>99</v>
      </c>
      <c r="M39">
        <v>9</v>
      </c>
      <c r="N39">
        <v>2</v>
      </c>
      <c r="O39">
        <v>99999</v>
      </c>
      <c r="P39" s="234">
        <f t="shared" ca="1" si="0"/>
        <v>0</v>
      </c>
      <c r="Q39" s="234">
        <f ca="1">Energia!N16</f>
        <v>0</v>
      </c>
    </row>
    <row r="40" spans="1:17" ht="15.75" hidden="1">
      <c r="A40" t="s">
        <v>773</v>
      </c>
      <c r="B40" t="s">
        <v>120</v>
      </c>
      <c r="C40" t="s">
        <v>1546</v>
      </c>
      <c r="D40">
        <v>1</v>
      </c>
      <c r="E40">
        <v>1</v>
      </c>
      <c r="F40">
        <v>51</v>
      </c>
      <c r="G40">
        <v>999999</v>
      </c>
      <c r="H40">
        <v>999</v>
      </c>
      <c r="I40">
        <v>2</v>
      </c>
      <c r="J40">
        <v>10</v>
      </c>
      <c r="K40">
        <v>9</v>
      </c>
      <c r="L40">
        <v>99</v>
      </c>
      <c r="M40">
        <v>9</v>
      </c>
      <c r="N40">
        <v>2</v>
      </c>
      <c r="O40">
        <v>99999</v>
      </c>
      <c r="P40" s="234">
        <f t="shared" ca="1" si="0"/>
        <v>1344.1249313099997</v>
      </c>
      <c r="Q40" s="234">
        <f ca="1">Energia!N18</f>
        <v>1344.1249313099997</v>
      </c>
    </row>
    <row r="41" spans="1:17" ht="15.75" hidden="1">
      <c r="A41" t="s">
        <v>773</v>
      </c>
      <c r="B41" t="s">
        <v>120</v>
      </c>
      <c r="C41" t="s">
        <v>1547</v>
      </c>
      <c r="D41">
        <v>1</v>
      </c>
      <c r="E41">
        <v>1</v>
      </c>
      <c r="F41">
        <v>51</v>
      </c>
      <c r="G41">
        <v>999999</v>
      </c>
      <c r="H41">
        <v>999</v>
      </c>
      <c r="I41">
        <v>2</v>
      </c>
      <c r="J41">
        <v>24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ca="1" si="0"/>
        <v>14267.082168689998</v>
      </c>
      <c r="Q41" s="234">
        <f ca="1">Energia!N19</f>
        <v>14267.082168689998</v>
      </c>
    </row>
    <row r="42" spans="1:17" ht="15.75" hidden="1">
      <c r="A42" t="s">
        <v>773</v>
      </c>
      <c r="B42" t="s">
        <v>120</v>
      </c>
      <c r="C42" t="s">
        <v>1548</v>
      </c>
      <c r="D42">
        <v>1</v>
      </c>
      <c r="E42">
        <v>1</v>
      </c>
      <c r="F42">
        <v>51</v>
      </c>
      <c r="G42">
        <v>999999</v>
      </c>
      <c r="H42">
        <v>999</v>
      </c>
      <c r="I42">
        <v>2</v>
      </c>
      <c r="J42">
        <v>8</v>
      </c>
      <c r="K42">
        <v>9</v>
      </c>
      <c r="L42">
        <v>99</v>
      </c>
      <c r="M42">
        <v>9</v>
      </c>
      <c r="N42">
        <v>4</v>
      </c>
      <c r="O42">
        <v>99999</v>
      </c>
      <c r="P42" s="234">
        <f t="shared" ca="1" si="0"/>
        <v>8.6099999999999996E-2</v>
      </c>
      <c r="Q42" s="234">
        <f ca="1">Energia!N14</f>
        <v>8.6099999999999996E-2</v>
      </c>
    </row>
    <row r="43" spans="1:17" s="12" customFormat="1" ht="15.75" hidden="1">
      <c r="A43" t="s">
        <v>773</v>
      </c>
      <c r="B43" t="s">
        <v>120</v>
      </c>
      <c r="C43" t="s">
        <v>1549</v>
      </c>
      <c r="D43">
        <v>1</v>
      </c>
      <c r="E43">
        <v>1</v>
      </c>
      <c r="F43">
        <v>51</v>
      </c>
      <c r="G43">
        <v>999999</v>
      </c>
      <c r="H43">
        <v>999</v>
      </c>
      <c r="I43">
        <v>2</v>
      </c>
      <c r="J43">
        <v>9</v>
      </c>
      <c r="K43">
        <v>9</v>
      </c>
      <c r="L43">
        <v>99</v>
      </c>
      <c r="M43">
        <v>9</v>
      </c>
      <c r="N43">
        <v>4</v>
      </c>
      <c r="O43">
        <v>99999</v>
      </c>
      <c r="P43" s="234">
        <f t="shared" ca="1" si="0"/>
        <v>0</v>
      </c>
      <c r="Q43" s="234">
        <f ca="1">Energia!N13</f>
        <v>0</v>
      </c>
    </row>
    <row r="44" spans="1:17" s="12" customFormat="1" ht="15.75" hidden="1">
      <c r="A44" t="s">
        <v>773</v>
      </c>
      <c r="B44" t="s">
        <v>120</v>
      </c>
      <c r="C44" t="s">
        <v>1550</v>
      </c>
      <c r="D44">
        <v>1</v>
      </c>
      <c r="E44">
        <v>1</v>
      </c>
      <c r="F44">
        <v>51</v>
      </c>
      <c r="G44">
        <v>999999</v>
      </c>
      <c r="H44">
        <v>999</v>
      </c>
      <c r="I44">
        <v>2</v>
      </c>
      <c r="J44">
        <v>10</v>
      </c>
      <c r="K44">
        <v>9</v>
      </c>
      <c r="L44">
        <v>99</v>
      </c>
      <c r="M44">
        <v>9</v>
      </c>
      <c r="N44">
        <v>4</v>
      </c>
      <c r="O44">
        <v>99999</v>
      </c>
      <c r="P44" s="234">
        <f t="shared" ca="1" si="0"/>
        <v>3.6097044206978485E-2</v>
      </c>
      <c r="Q44" s="234">
        <f ca="1">Energia!N15</f>
        <v>3.6097044206978485E-2</v>
      </c>
    </row>
    <row r="45" spans="1:17" s="15" customFormat="1" ht="15.75" hidden="1">
      <c r="A45" t="s">
        <v>773</v>
      </c>
      <c r="B45" t="s">
        <v>120</v>
      </c>
      <c r="C45" t="s">
        <v>1551</v>
      </c>
      <c r="D45">
        <v>2</v>
      </c>
      <c r="E45">
        <v>1</v>
      </c>
      <c r="F45">
        <v>51</v>
      </c>
      <c r="G45">
        <v>999999</v>
      </c>
      <c r="H45">
        <v>999</v>
      </c>
      <c r="I45">
        <v>2</v>
      </c>
      <c r="J45">
        <v>30</v>
      </c>
      <c r="K45">
        <v>2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69982352.887938932</v>
      </c>
      <c r="Q45" s="234">
        <f ca="1">Energia!C14</f>
        <v>69982352.887938932</v>
      </c>
    </row>
    <row r="46" spans="1:17" ht="15.75" hidden="1">
      <c r="A46" t="s">
        <v>772</v>
      </c>
      <c r="B46" t="s">
        <v>120</v>
      </c>
      <c r="C46" t="s">
        <v>1552</v>
      </c>
      <c r="D46">
        <v>1</v>
      </c>
      <c r="E46">
        <v>1</v>
      </c>
      <c r="F46">
        <v>51</v>
      </c>
      <c r="G46">
        <v>150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ca="1" si="0"/>
        <v>156.17922423348651</v>
      </c>
      <c r="Q46" s="234">
        <f ca="1">Energia!C13</f>
        <v>156.17922423348651</v>
      </c>
    </row>
    <row r="47" spans="1:17" ht="15.75" hidden="1">
      <c r="A47" t="s">
        <v>772</v>
      </c>
      <c r="B47" t="s">
        <v>120</v>
      </c>
      <c r="C47" t="s">
        <v>1553</v>
      </c>
      <c r="D47">
        <v>1</v>
      </c>
      <c r="E47">
        <v>1</v>
      </c>
      <c r="F47">
        <v>4</v>
      </c>
      <c r="G47">
        <v>999999</v>
      </c>
      <c r="H47">
        <v>999</v>
      </c>
      <c r="I47">
        <v>2</v>
      </c>
      <c r="J47">
        <v>999</v>
      </c>
      <c r="K47">
        <v>9</v>
      </c>
      <c r="L47">
        <v>99</v>
      </c>
      <c r="M47">
        <v>9</v>
      </c>
      <c r="N47">
        <v>2</v>
      </c>
      <c r="O47">
        <v>99999</v>
      </c>
      <c r="P47" s="234">
        <f t="shared" si="0"/>
        <v>7485.8213413858921</v>
      </c>
      <c r="Q47" s="234">
        <f>Energia!C19</f>
        <v>7485.8213413858921</v>
      </c>
    </row>
    <row r="48" spans="1:17" ht="15.75" hidden="1">
      <c r="A48" t="s">
        <v>773</v>
      </c>
      <c r="B48" t="s">
        <v>120</v>
      </c>
      <c r="C48" t="s">
        <v>1554</v>
      </c>
      <c r="D48">
        <v>1</v>
      </c>
      <c r="E48">
        <v>1</v>
      </c>
      <c r="F48">
        <v>16</v>
      </c>
      <c r="G48">
        <v>999999</v>
      </c>
      <c r="H48">
        <v>999</v>
      </c>
      <c r="I48">
        <v>2</v>
      </c>
      <c r="J48">
        <v>999</v>
      </c>
      <c r="K48">
        <v>9</v>
      </c>
      <c r="L48">
        <v>99</v>
      </c>
      <c r="M48">
        <v>9</v>
      </c>
      <c r="N48">
        <v>2</v>
      </c>
      <c r="O48">
        <v>99999</v>
      </c>
      <c r="P48" s="234">
        <f t="shared" ca="1" si="0"/>
        <v>304092.88791969151</v>
      </c>
      <c r="Q48" s="234">
        <f ca="1">Energia!C22</f>
        <v>304092.88791969151</v>
      </c>
    </row>
    <row r="49" spans="1:17" ht="15.75" hidden="1">
      <c r="A49" t="s">
        <v>773</v>
      </c>
      <c r="B49" t="s">
        <v>120</v>
      </c>
      <c r="C49" s="9" t="s">
        <v>1555</v>
      </c>
      <c r="D49">
        <v>1</v>
      </c>
      <c r="E49">
        <v>1</v>
      </c>
      <c r="F49">
        <v>16</v>
      </c>
      <c r="G49">
        <v>999999</v>
      </c>
      <c r="H49">
        <v>999</v>
      </c>
      <c r="I49">
        <v>2</v>
      </c>
      <c r="J49">
        <v>999</v>
      </c>
      <c r="K49">
        <v>9</v>
      </c>
      <c r="L49">
        <v>99</v>
      </c>
      <c r="M49">
        <v>9</v>
      </c>
      <c r="N49">
        <v>3</v>
      </c>
      <c r="O49">
        <v>99999</v>
      </c>
      <c r="P49" s="234">
        <f t="shared" ca="1" si="0"/>
        <v>45805021.983262196</v>
      </c>
      <c r="Q49" s="234">
        <f ca="1">Energia!F22</f>
        <v>45805021.983262196</v>
      </c>
    </row>
    <row r="50" spans="1:17" s="12" customFormat="1" ht="15.75" hidden="1">
      <c r="A50" t="s">
        <v>773</v>
      </c>
      <c r="B50" t="s">
        <v>120</v>
      </c>
      <c r="C50" t="s">
        <v>1556</v>
      </c>
      <c r="D50">
        <v>1</v>
      </c>
      <c r="E50">
        <v>1</v>
      </c>
      <c r="F50">
        <v>6</v>
      </c>
      <c r="G50">
        <v>999999</v>
      </c>
      <c r="H50">
        <v>999</v>
      </c>
      <c r="I50">
        <v>2</v>
      </c>
      <c r="J50">
        <v>999</v>
      </c>
      <c r="K50">
        <v>9</v>
      </c>
      <c r="L50">
        <v>99</v>
      </c>
      <c r="M50">
        <v>9</v>
      </c>
      <c r="N50">
        <v>2</v>
      </c>
      <c r="O50">
        <v>99999</v>
      </c>
      <c r="P50" s="234">
        <f t="shared" ca="1" si="0"/>
        <v>20249.868736240525</v>
      </c>
      <c r="Q50" s="234">
        <f ca="1">LnkTXTGPM</f>
        <v>20249.868736240525</v>
      </c>
    </row>
    <row r="51" spans="1:17" s="12" customFormat="1" ht="15.75" hidden="1">
      <c r="A51" t="s">
        <v>773</v>
      </c>
      <c r="B51" t="s">
        <v>120</v>
      </c>
      <c r="C51" t="s">
        <v>1557</v>
      </c>
      <c r="D51">
        <v>1</v>
      </c>
      <c r="E51">
        <v>1</v>
      </c>
      <c r="F51">
        <v>6</v>
      </c>
      <c r="G51">
        <v>999999</v>
      </c>
      <c r="H51">
        <v>999</v>
      </c>
      <c r="I51">
        <v>2</v>
      </c>
      <c r="J51">
        <v>999</v>
      </c>
      <c r="K51">
        <v>9</v>
      </c>
      <c r="L51">
        <v>99</v>
      </c>
      <c r="M51">
        <v>9</v>
      </c>
      <c r="N51">
        <v>3</v>
      </c>
      <c r="O51">
        <v>99999</v>
      </c>
      <c r="P51" s="234">
        <f t="shared" ca="1" si="0"/>
        <v>4316610.9635094739</v>
      </c>
      <c r="Q51" s="234">
        <f ca="1">Energia!F18</f>
        <v>4316610.9635094739</v>
      </c>
    </row>
    <row r="52" spans="1:17" s="12" customFormat="1" ht="15.75" hidden="1">
      <c r="A52" t="s">
        <v>773</v>
      </c>
      <c r="B52" t="s">
        <v>120</v>
      </c>
      <c r="C52" t="s">
        <v>1558</v>
      </c>
      <c r="D52">
        <v>1</v>
      </c>
      <c r="E52">
        <v>1</v>
      </c>
      <c r="F52">
        <v>6</v>
      </c>
      <c r="G52">
        <v>999999</v>
      </c>
      <c r="H52">
        <v>999</v>
      </c>
      <c r="I52">
        <v>2</v>
      </c>
      <c r="J52">
        <v>999</v>
      </c>
      <c r="K52">
        <v>9</v>
      </c>
      <c r="L52">
        <v>99</v>
      </c>
      <c r="M52">
        <v>9</v>
      </c>
      <c r="N52">
        <v>5</v>
      </c>
      <c r="O52">
        <v>99999</v>
      </c>
      <c r="P52" s="234">
        <f t="shared" si="0"/>
        <v>0</v>
      </c>
      <c r="Q52" s="234">
        <f>LnkTXTGPCU</f>
        <v>0</v>
      </c>
    </row>
    <row r="53" spans="1:17" s="12" customFormat="1" ht="15.75" hidden="1">
      <c r="A53" t="s">
        <v>773</v>
      </c>
      <c r="B53" t="s">
        <v>120</v>
      </c>
      <c r="C53" s="9" t="s">
        <v>1559</v>
      </c>
      <c r="D53">
        <v>1</v>
      </c>
      <c r="E53">
        <v>1</v>
      </c>
      <c r="F53">
        <v>15</v>
      </c>
      <c r="G53">
        <v>143</v>
      </c>
      <c r="H53">
        <v>999</v>
      </c>
      <c r="I53">
        <v>2</v>
      </c>
      <c r="J53">
        <v>999</v>
      </c>
      <c r="K53">
        <v>9</v>
      </c>
      <c r="L53">
        <f>IF((LEFT(Energia!C28,3)="A2 "),2,IF((LEFT(Energia!C28,3)="A3 "),3,IF((LEFT(Energia!C28,3)="A3a"),4,IF((LEFT(Energia!C28,3)="A4 "),5,99))))</f>
        <v>3</v>
      </c>
      <c r="M53">
        <v>9</v>
      </c>
      <c r="N53">
        <v>4</v>
      </c>
      <c r="O53" s="421">
        <f>VALUE(Energia!A28)</f>
        <v>396</v>
      </c>
      <c r="P53" s="234">
        <f t="shared" si="0"/>
        <v>0.32969999999999999</v>
      </c>
      <c r="Q53" s="234">
        <f>Energia!F28</f>
        <v>0.32969999999999999</v>
      </c>
    </row>
    <row r="54" spans="1:17" s="12" customFormat="1" ht="15.75" hidden="1">
      <c r="A54" t="s">
        <v>773</v>
      </c>
      <c r="B54" t="s">
        <v>120</v>
      </c>
      <c r="C54" s="9" t="s">
        <v>1559</v>
      </c>
      <c r="D54">
        <v>1</v>
      </c>
      <c r="E54">
        <v>1</v>
      </c>
      <c r="F54">
        <v>15</v>
      </c>
      <c r="G54">
        <v>143</v>
      </c>
      <c r="H54">
        <v>999</v>
      </c>
      <c r="I54">
        <v>2</v>
      </c>
      <c r="J54">
        <v>999</v>
      </c>
      <c r="K54">
        <v>9</v>
      </c>
      <c r="L54">
        <f>IF((LEFT(Energia!C29,3)="A2 "),2,IF((LEFT(Energia!C29,3)="A3 "),3,IF((LEFT(Energia!C29,3)="A3a"),4,IF((LEFT(Energia!C29,3)="A4 "),5,99))))</f>
        <v>5</v>
      </c>
      <c r="M54">
        <v>9</v>
      </c>
      <c r="N54">
        <v>4</v>
      </c>
      <c r="O54" s="421">
        <f>VALUE(Energia!A29)</f>
        <v>396</v>
      </c>
      <c r="P54" s="234">
        <f t="shared" si="0"/>
        <v>0.32969999999999999</v>
      </c>
      <c r="Q54" s="234">
        <f>Energia!F29</f>
        <v>0.32969999999999999</v>
      </c>
    </row>
    <row r="55" spans="1:17" s="12" customFormat="1" ht="15.75" hidden="1">
      <c r="A55" t="s">
        <v>773</v>
      </c>
      <c r="B55" t="s">
        <v>120</v>
      </c>
      <c r="C55" s="9" t="s">
        <v>1559</v>
      </c>
      <c r="D55">
        <v>1</v>
      </c>
      <c r="E55">
        <v>1</v>
      </c>
      <c r="F55">
        <v>15</v>
      </c>
      <c r="G55">
        <v>143</v>
      </c>
      <c r="H55">
        <v>999</v>
      </c>
      <c r="I55">
        <v>2</v>
      </c>
      <c r="J55">
        <v>999</v>
      </c>
      <c r="K55">
        <v>9</v>
      </c>
      <c r="L55">
        <f>IF((LEFT(Energia!C30,3)="A2 "),2,IF((LEFT(Energia!C30,3)="A3 "),3,IF((LEFT(Energia!C30,3)="A3a"),4,IF((LEFT(Energia!C30,3)="A4 "),5,99))))</f>
        <v>99</v>
      </c>
      <c r="M55">
        <v>9</v>
      </c>
      <c r="N55">
        <v>4</v>
      </c>
      <c r="O55" s="421">
        <f>VALUE(Energia!A30)</f>
        <v>0</v>
      </c>
      <c r="P55" s="234">
        <f t="shared" si="0"/>
        <v>0</v>
      </c>
      <c r="Q55" s="234" t="str">
        <f>Energia!F30</f>
        <v/>
      </c>
    </row>
    <row r="56" spans="1:17" s="12" customFormat="1" ht="15.75" hidden="1">
      <c r="A56" t="s">
        <v>773</v>
      </c>
      <c r="B56" t="s">
        <v>120</v>
      </c>
      <c r="C56" s="9" t="s">
        <v>1559</v>
      </c>
      <c r="D56">
        <v>1</v>
      </c>
      <c r="E56">
        <v>1</v>
      </c>
      <c r="F56">
        <v>15</v>
      </c>
      <c r="G56">
        <v>143</v>
      </c>
      <c r="H56">
        <v>999</v>
      </c>
      <c r="I56">
        <v>2</v>
      </c>
      <c r="J56">
        <v>999</v>
      </c>
      <c r="K56">
        <v>9</v>
      </c>
      <c r="L56">
        <f>IF((LEFT(Energia!C31,3)="A2 "),2,IF((LEFT(Energia!C31,3)="A3 "),3,IF((LEFT(Energia!C31,3)="A3a"),4,IF((LEFT(Energia!C31,3)="A4 "),5,99))))</f>
        <v>99</v>
      </c>
      <c r="M56">
        <v>9</v>
      </c>
      <c r="N56">
        <v>4</v>
      </c>
      <c r="O56" s="421">
        <f>VALUE(Energia!A31)</f>
        <v>0</v>
      </c>
      <c r="P56" s="234">
        <f t="shared" si="0"/>
        <v>0</v>
      </c>
      <c r="Q56" s="234" t="str">
        <f>Energia!F31</f>
        <v/>
      </c>
    </row>
    <row r="57" spans="1:17" s="12" customFormat="1" ht="15.75" hidden="1">
      <c r="A57" t="s">
        <v>773</v>
      </c>
      <c r="B57" t="s">
        <v>120</v>
      </c>
      <c r="C57" s="9" t="s">
        <v>1559</v>
      </c>
      <c r="D57">
        <v>1</v>
      </c>
      <c r="E57">
        <v>1</v>
      </c>
      <c r="F57">
        <v>15</v>
      </c>
      <c r="G57">
        <v>143</v>
      </c>
      <c r="H57">
        <v>999</v>
      </c>
      <c r="I57">
        <v>2</v>
      </c>
      <c r="J57">
        <v>999</v>
      </c>
      <c r="K57">
        <v>9</v>
      </c>
      <c r="L57">
        <f>IF((LEFT(Energia!C32,3)="A2 "),2,IF((LEFT(Energia!C32,3)="A3 "),3,IF((LEFT(Energia!C32,3)="A3a"),4,IF((LEFT(Energia!C32,3)="A4 "),5,99))))</f>
        <v>99</v>
      </c>
      <c r="M57">
        <v>9</v>
      </c>
      <c r="N57">
        <v>4</v>
      </c>
      <c r="O57" s="421">
        <f>VALUE(Energia!A32)</f>
        <v>0</v>
      </c>
      <c r="P57" s="234">
        <f t="shared" si="0"/>
        <v>0</v>
      </c>
      <c r="Q57" s="234" t="str">
        <f>Energia!F32</f>
        <v/>
      </c>
    </row>
    <row r="58" spans="1:17" s="12" customFormat="1" ht="15.75" hidden="1">
      <c r="A58" t="s">
        <v>773</v>
      </c>
      <c r="B58" t="s">
        <v>975</v>
      </c>
      <c r="C58" t="s">
        <v>967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99</v>
      </c>
      <c r="M58">
        <v>9</v>
      </c>
      <c r="N58">
        <v>2</v>
      </c>
      <c r="O58">
        <v>99999</v>
      </c>
      <c r="P58" s="234">
        <f t="shared" ca="1" si="0"/>
        <v>395242.39399999974</v>
      </c>
      <c r="Q58" s="234">
        <f ca="1">FornecimentoE</f>
        <v>395242.39399999974</v>
      </c>
    </row>
    <row r="59" spans="1:17" s="12" customFormat="1" ht="15.75" hidden="1">
      <c r="A59" t="s">
        <v>773</v>
      </c>
      <c r="B59" t="s">
        <v>975</v>
      </c>
      <c r="C59" t="s">
        <v>988</v>
      </c>
      <c r="D59">
        <v>1</v>
      </c>
      <c r="E59">
        <v>3</v>
      </c>
      <c r="F59">
        <v>50</v>
      </c>
      <c r="G59">
        <v>51</v>
      </c>
      <c r="H59">
        <v>999</v>
      </c>
      <c r="I59">
        <v>99</v>
      </c>
      <c r="J59">
        <v>999</v>
      </c>
      <c r="K59">
        <v>9</v>
      </c>
      <c r="L59">
        <v>99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SuprimentoE</f>
        <v>0</v>
      </c>
    </row>
    <row r="60" spans="1:17" s="12" customFormat="1" ht="15.75" hidden="1">
      <c r="A60" t="s">
        <v>773</v>
      </c>
      <c r="B60" t="s">
        <v>975</v>
      </c>
      <c r="C60" t="s">
        <v>1560</v>
      </c>
      <c r="D60">
        <v>1</v>
      </c>
      <c r="E60">
        <v>3</v>
      </c>
      <c r="F60">
        <v>50</v>
      </c>
      <c r="G60">
        <v>52</v>
      </c>
      <c r="H60">
        <v>10</v>
      </c>
      <c r="I60">
        <v>99</v>
      </c>
      <c r="J60">
        <v>999</v>
      </c>
      <c r="K60">
        <v>9</v>
      </c>
      <c r="L60">
        <v>1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LivreE_A1</f>
        <v>0</v>
      </c>
    </row>
    <row r="61" spans="1:17" s="12" customFormat="1" ht="15.75" hidden="1">
      <c r="A61" t="s">
        <v>773</v>
      </c>
      <c r="B61" t="s">
        <v>975</v>
      </c>
      <c r="C61" t="s">
        <v>1561</v>
      </c>
      <c r="D61">
        <v>1</v>
      </c>
      <c r="E61">
        <v>3</v>
      </c>
      <c r="F61">
        <v>50</v>
      </c>
      <c r="G61">
        <v>52</v>
      </c>
      <c r="H61">
        <v>11</v>
      </c>
      <c r="I61">
        <v>99</v>
      </c>
      <c r="J61">
        <v>999</v>
      </c>
      <c r="K61">
        <v>9</v>
      </c>
      <c r="L61">
        <v>99</v>
      </c>
      <c r="M61">
        <v>9</v>
      </c>
      <c r="N61">
        <v>2</v>
      </c>
      <c r="O61">
        <v>99999</v>
      </c>
      <c r="P61" s="234">
        <f t="shared" ca="1" si="0"/>
        <v>42518.079000000012</v>
      </c>
      <c r="Q61" s="234">
        <f ca="1">Calc_Mercado!C22</f>
        <v>42518.079000000012</v>
      </c>
    </row>
    <row r="62" spans="1:17" s="12" customFormat="1" ht="15.75" hidden="1">
      <c r="A62" t="s">
        <v>773</v>
      </c>
      <c r="B62" t="s">
        <v>975</v>
      </c>
      <c r="C62" t="s">
        <v>992</v>
      </c>
      <c r="D62">
        <v>1</v>
      </c>
      <c r="E62">
        <v>3</v>
      </c>
      <c r="F62">
        <v>50</v>
      </c>
      <c r="G62">
        <v>53</v>
      </c>
      <c r="H62">
        <v>999</v>
      </c>
      <c r="I62">
        <v>99</v>
      </c>
      <c r="J62">
        <v>999</v>
      </c>
      <c r="K62">
        <v>9</v>
      </c>
      <c r="L62">
        <v>99</v>
      </c>
      <c r="M62">
        <v>9</v>
      </c>
      <c r="N62">
        <v>2</v>
      </c>
      <c r="O62">
        <v>99999</v>
      </c>
      <c r="P62" s="234">
        <f t="shared" ca="1" si="0"/>
        <v>0</v>
      </c>
      <c r="Q62" s="234">
        <f ca="1">Calc_Mercado!C20</f>
        <v>0</v>
      </c>
    </row>
    <row r="63" spans="1:17" s="12" customFormat="1" ht="15.75" hidden="1">
      <c r="A63" t="s">
        <v>773</v>
      </c>
      <c r="B63" t="s">
        <v>975</v>
      </c>
      <c r="C63" t="s">
        <v>1562</v>
      </c>
      <c r="D63">
        <v>1</v>
      </c>
      <c r="E63">
        <v>3</v>
      </c>
      <c r="F63">
        <v>50</v>
      </c>
      <c r="G63">
        <v>54</v>
      </c>
      <c r="H63">
        <v>999</v>
      </c>
      <c r="I63">
        <v>99</v>
      </c>
      <c r="J63">
        <v>999</v>
      </c>
      <c r="K63">
        <v>9</v>
      </c>
      <c r="L63">
        <v>99</v>
      </c>
      <c r="M63">
        <v>9</v>
      </c>
      <c r="N63">
        <v>2</v>
      </c>
      <c r="O63">
        <v>99999</v>
      </c>
      <c r="P63" s="234">
        <f t="shared" si="0"/>
        <v>0</v>
      </c>
      <c r="Q63" s="234">
        <f>Calc_Mercado!C21</f>
        <v>0</v>
      </c>
    </row>
    <row r="64" spans="1:17" s="12" customFormat="1" ht="15.75" hidden="1">
      <c r="A64" t="s">
        <v>773</v>
      </c>
      <c r="B64" t="s">
        <v>975</v>
      </c>
      <c r="C64" t="s">
        <v>1563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1</v>
      </c>
      <c r="M64">
        <v>9</v>
      </c>
      <c r="N64">
        <v>2</v>
      </c>
      <c r="O64">
        <v>99999</v>
      </c>
      <c r="P64" s="234">
        <f t="shared" ca="1" si="0"/>
        <v>0</v>
      </c>
      <c r="Q64" s="234">
        <f ca="1">FornecimentoE_A1</f>
        <v>0</v>
      </c>
    </row>
    <row r="65" spans="1:17" s="12" customFormat="1" ht="15.75" hidden="1">
      <c r="A65" t="s">
        <v>773</v>
      </c>
      <c r="B65" t="s">
        <v>975</v>
      </c>
      <c r="C65" t="s">
        <v>1564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2</v>
      </c>
      <c r="M65">
        <v>9</v>
      </c>
      <c r="N65">
        <v>2</v>
      </c>
      <c r="O65">
        <v>99999</v>
      </c>
      <c r="P65" s="234">
        <f t="shared" ca="1" si="0"/>
        <v>0</v>
      </c>
      <c r="Q65" s="234">
        <f ca="1">Calc_Mercado!C10</f>
        <v>0</v>
      </c>
    </row>
    <row r="66" spans="1:17" s="12" customFormat="1" ht="15.75" hidden="1">
      <c r="A66" t="s">
        <v>773</v>
      </c>
      <c r="B66" t="s">
        <v>975</v>
      </c>
      <c r="C66" t="s">
        <v>1565</v>
      </c>
      <c r="D66">
        <v>1</v>
      </c>
      <c r="E66">
        <v>3</v>
      </c>
      <c r="F66">
        <v>50</v>
      </c>
      <c r="G66">
        <v>50</v>
      </c>
      <c r="H66">
        <v>999</v>
      </c>
      <c r="I66">
        <v>99</v>
      </c>
      <c r="J66">
        <v>999</v>
      </c>
      <c r="K66">
        <v>9</v>
      </c>
      <c r="L66">
        <v>3</v>
      </c>
      <c r="M66">
        <v>9</v>
      </c>
      <c r="N66">
        <v>2</v>
      </c>
      <c r="O66">
        <v>99999</v>
      </c>
      <c r="P66" s="234">
        <f t="shared" ca="1" si="0"/>
        <v>0</v>
      </c>
      <c r="Q66" s="234">
        <f ca="1">Calc_Mercado!C11</f>
        <v>0</v>
      </c>
    </row>
    <row r="67" spans="1:17" s="12" customFormat="1" ht="15.75" hidden="1">
      <c r="A67" t="s">
        <v>773</v>
      </c>
      <c r="B67" t="s">
        <v>975</v>
      </c>
      <c r="C67" t="s">
        <v>1566</v>
      </c>
      <c r="D67">
        <v>1</v>
      </c>
      <c r="E67">
        <v>3</v>
      </c>
      <c r="F67">
        <v>50</v>
      </c>
      <c r="G67">
        <v>50</v>
      </c>
      <c r="H67">
        <v>999</v>
      </c>
      <c r="I67">
        <v>99</v>
      </c>
      <c r="J67">
        <v>999</v>
      </c>
      <c r="K67">
        <v>9</v>
      </c>
      <c r="L67">
        <v>4</v>
      </c>
      <c r="M67">
        <v>9</v>
      </c>
      <c r="N67">
        <v>2</v>
      </c>
      <c r="O67">
        <v>99999</v>
      </c>
      <c r="P67" s="234">
        <f t="shared" ca="1" si="0"/>
        <v>0</v>
      </c>
      <c r="Q67" s="234">
        <f ca="1">Calc_Mercado!C12</f>
        <v>0</v>
      </c>
    </row>
    <row r="68" spans="1:17" s="12" customFormat="1" ht="15.75" hidden="1">
      <c r="A68" t="s">
        <v>773</v>
      </c>
      <c r="B68" t="s">
        <v>975</v>
      </c>
      <c r="C68" t="s">
        <v>1567</v>
      </c>
      <c r="D68">
        <v>1</v>
      </c>
      <c r="E68">
        <v>3</v>
      </c>
      <c r="F68">
        <v>50</v>
      </c>
      <c r="G68">
        <v>50</v>
      </c>
      <c r="H68">
        <v>999</v>
      </c>
      <c r="I68">
        <v>99</v>
      </c>
      <c r="J68">
        <v>999</v>
      </c>
      <c r="K68">
        <v>9</v>
      </c>
      <c r="L68">
        <v>5</v>
      </c>
      <c r="M68">
        <v>9</v>
      </c>
      <c r="N68">
        <v>2</v>
      </c>
      <c r="O68">
        <v>99999</v>
      </c>
      <c r="P68" s="234">
        <f t="shared" ca="1" si="0"/>
        <v>120047.26600000005</v>
      </c>
      <c r="Q68" s="234">
        <f ca="1">Calc_Mercado!C13</f>
        <v>120047.26600000005</v>
      </c>
    </row>
    <row r="69" spans="1:17" s="12" customFormat="1" ht="15.75" hidden="1">
      <c r="A69" t="s">
        <v>773</v>
      </c>
      <c r="B69" t="s">
        <v>975</v>
      </c>
      <c r="C69" t="s">
        <v>1568</v>
      </c>
      <c r="D69">
        <v>1</v>
      </c>
      <c r="E69">
        <v>3</v>
      </c>
      <c r="F69">
        <v>50</v>
      </c>
      <c r="G69">
        <v>50</v>
      </c>
      <c r="H69">
        <v>999</v>
      </c>
      <c r="I69">
        <v>99</v>
      </c>
      <c r="J69">
        <v>999</v>
      </c>
      <c r="K69">
        <v>9</v>
      </c>
      <c r="L69">
        <v>6</v>
      </c>
      <c r="M69">
        <v>9</v>
      </c>
      <c r="N69">
        <v>2</v>
      </c>
      <c r="O69">
        <v>99999</v>
      </c>
      <c r="P69" s="234">
        <f t="shared" ca="1" si="0"/>
        <v>0</v>
      </c>
      <c r="Q69" s="234">
        <f ca="1">Calc_Mercado!C14</f>
        <v>0</v>
      </c>
    </row>
    <row r="70" spans="1:17" s="12" customFormat="1" ht="15.75" hidden="1">
      <c r="A70" t="s">
        <v>773</v>
      </c>
      <c r="B70" t="s">
        <v>975</v>
      </c>
      <c r="C70" t="s">
        <v>1569</v>
      </c>
      <c r="D70">
        <v>1</v>
      </c>
      <c r="E70">
        <v>3</v>
      </c>
      <c r="F70">
        <v>50</v>
      </c>
      <c r="G70">
        <v>50</v>
      </c>
      <c r="H70">
        <v>999</v>
      </c>
      <c r="I70">
        <v>99</v>
      </c>
      <c r="J70">
        <v>999</v>
      </c>
      <c r="K70">
        <v>9</v>
      </c>
      <c r="L70">
        <v>21</v>
      </c>
      <c r="M70">
        <v>9</v>
      </c>
      <c r="N70">
        <v>2</v>
      </c>
      <c r="O70">
        <v>99999</v>
      </c>
      <c r="P70" s="234">
        <f t="shared" ref="P70:P140" ca="1" si="3">IF(ISNUMBER(Q70),Q70,0)</f>
        <v>275195.12799999968</v>
      </c>
      <c r="Q70" s="234">
        <f ca="1">FornecimentoE_BT</f>
        <v>275195.12799999968</v>
      </c>
    </row>
    <row r="71" spans="1:17" ht="15.75" hidden="1">
      <c r="A71" t="s">
        <v>773</v>
      </c>
      <c r="B71" t="s">
        <v>975</v>
      </c>
      <c r="C71" t="s">
        <v>967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99</v>
      </c>
      <c r="M71">
        <v>9</v>
      </c>
      <c r="N71">
        <v>3</v>
      </c>
      <c r="O71">
        <v>99999</v>
      </c>
      <c r="P71" s="234">
        <f t="shared" ca="1" si="3"/>
        <v>198618656.21031004</v>
      </c>
      <c r="Q71" s="234">
        <f ca="1">Calc_Mercado!D8</f>
        <v>198618656.21031004</v>
      </c>
    </row>
    <row r="72" spans="1:17" ht="15.75" hidden="1">
      <c r="A72" t="s">
        <v>773</v>
      </c>
      <c r="B72" t="s">
        <v>975</v>
      </c>
      <c r="C72" t="s">
        <v>988</v>
      </c>
      <c r="D72">
        <v>1</v>
      </c>
      <c r="E72">
        <v>3</v>
      </c>
      <c r="F72">
        <v>50</v>
      </c>
      <c r="G72">
        <v>51</v>
      </c>
      <c r="H72">
        <v>999</v>
      </c>
      <c r="I72">
        <v>99</v>
      </c>
      <c r="J72">
        <v>999</v>
      </c>
      <c r="K72">
        <v>9</v>
      </c>
      <c r="L72">
        <v>99</v>
      </c>
      <c r="M72">
        <v>9</v>
      </c>
      <c r="N72">
        <v>3</v>
      </c>
      <c r="O72">
        <v>99999</v>
      </c>
      <c r="P72" s="234">
        <f t="shared" ca="1" si="3"/>
        <v>0</v>
      </c>
      <c r="Q72" s="234">
        <f ca="1">Calc_Mercado!D17</f>
        <v>0</v>
      </c>
    </row>
    <row r="73" spans="1:17" ht="15.75" hidden="1">
      <c r="A73" t="s">
        <v>773</v>
      </c>
      <c r="B73" t="s">
        <v>975</v>
      </c>
      <c r="C73" t="s">
        <v>1560</v>
      </c>
      <c r="D73">
        <v>1</v>
      </c>
      <c r="E73">
        <v>3</v>
      </c>
      <c r="F73">
        <v>50</v>
      </c>
      <c r="G73">
        <v>52</v>
      </c>
      <c r="H73">
        <v>10</v>
      </c>
      <c r="I73">
        <v>99</v>
      </c>
      <c r="J73">
        <v>999</v>
      </c>
      <c r="K73">
        <v>9</v>
      </c>
      <c r="L73">
        <v>1</v>
      </c>
      <c r="M73">
        <v>9</v>
      </c>
      <c r="N73">
        <v>3</v>
      </c>
      <c r="O73">
        <v>99999</v>
      </c>
      <c r="P73" s="234">
        <f t="shared" ca="1" si="3"/>
        <v>0</v>
      </c>
      <c r="Q73" s="234">
        <f ca="1">Calc_Mercado!D19</f>
        <v>0</v>
      </c>
    </row>
    <row r="74" spans="1:17" ht="15.75" hidden="1">
      <c r="A74" t="s">
        <v>773</v>
      </c>
      <c r="B74" t="s">
        <v>975</v>
      </c>
      <c r="C74" t="s">
        <v>1561</v>
      </c>
      <c r="D74">
        <v>1</v>
      </c>
      <c r="E74">
        <v>3</v>
      </c>
      <c r="F74">
        <v>50</v>
      </c>
      <c r="G74">
        <v>52</v>
      </c>
      <c r="H74">
        <v>11</v>
      </c>
      <c r="I74">
        <v>99</v>
      </c>
      <c r="J74">
        <v>999</v>
      </c>
      <c r="K74">
        <v>9</v>
      </c>
      <c r="L74">
        <v>99</v>
      </c>
      <c r="M74">
        <v>9</v>
      </c>
      <c r="N74">
        <v>3</v>
      </c>
      <c r="O74">
        <v>99999</v>
      </c>
      <c r="P74" s="234">
        <f t="shared" ca="1" si="3"/>
        <v>11824423.163039995</v>
      </c>
      <c r="Q74" s="234">
        <f ca="1">Calc_Mercado!D22</f>
        <v>11824423.163039995</v>
      </c>
    </row>
    <row r="75" spans="1:17" ht="15.75" hidden="1">
      <c r="A75" t="s">
        <v>773</v>
      </c>
      <c r="B75" t="s">
        <v>975</v>
      </c>
      <c r="C75" t="s">
        <v>992</v>
      </c>
      <c r="D75">
        <v>1</v>
      </c>
      <c r="E75">
        <v>3</v>
      </c>
      <c r="F75">
        <v>50</v>
      </c>
      <c r="G75">
        <v>53</v>
      </c>
      <c r="H75">
        <v>999</v>
      </c>
      <c r="I75">
        <v>99</v>
      </c>
      <c r="J75">
        <v>999</v>
      </c>
      <c r="K75">
        <v>9</v>
      </c>
      <c r="L75">
        <v>99</v>
      </c>
      <c r="M75">
        <v>9</v>
      </c>
      <c r="N75">
        <v>3</v>
      </c>
      <c r="O75">
        <v>99999</v>
      </c>
      <c r="P75" s="234">
        <f t="shared" ca="1" si="3"/>
        <v>0</v>
      </c>
      <c r="Q75" s="234">
        <f ca="1">Calc_Mercado!D20</f>
        <v>0</v>
      </c>
    </row>
    <row r="76" spans="1:17" ht="15.75" hidden="1">
      <c r="A76" t="s">
        <v>773</v>
      </c>
      <c r="B76" t="s">
        <v>975</v>
      </c>
      <c r="C76" t="s">
        <v>1562</v>
      </c>
      <c r="D76">
        <v>1</v>
      </c>
      <c r="E76">
        <v>3</v>
      </c>
      <c r="F76">
        <v>50</v>
      </c>
      <c r="G76">
        <v>54</v>
      </c>
      <c r="H76">
        <v>999</v>
      </c>
      <c r="I76">
        <v>99</v>
      </c>
      <c r="J76">
        <v>999</v>
      </c>
      <c r="K76">
        <v>9</v>
      </c>
      <c r="L76">
        <v>99</v>
      </c>
      <c r="M76">
        <v>9</v>
      </c>
      <c r="N76">
        <v>3</v>
      </c>
      <c r="O76">
        <v>99999</v>
      </c>
      <c r="P76" s="234">
        <f t="shared" ca="1" si="3"/>
        <v>578728.80000000016</v>
      </c>
      <c r="Q76" s="234">
        <f ca="1">Calc_Mercado!D21</f>
        <v>578728.80000000016</v>
      </c>
    </row>
    <row r="77" spans="1:17" ht="15.75" hidden="1">
      <c r="A77" t="s">
        <v>773</v>
      </c>
      <c r="B77" t="s">
        <v>975</v>
      </c>
      <c r="C77" t="s">
        <v>1563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1</v>
      </c>
      <c r="M77">
        <v>9</v>
      </c>
      <c r="N77">
        <v>3</v>
      </c>
      <c r="O77">
        <v>99999</v>
      </c>
      <c r="P77" s="234">
        <f t="shared" ca="1" si="3"/>
        <v>0</v>
      </c>
      <c r="Q77" s="234">
        <f ca="1">Calc_Mercado!D9</f>
        <v>0</v>
      </c>
    </row>
    <row r="78" spans="1:17" ht="15.75" hidden="1">
      <c r="A78" t="s">
        <v>773</v>
      </c>
      <c r="B78" t="s">
        <v>975</v>
      </c>
      <c r="C78" t="s">
        <v>1564</v>
      </c>
      <c r="D78">
        <v>1</v>
      </c>
      <c r="E78">
        <v>3</v>
      </c>
      <c r="F78">
        <v>50</v>
      </c>
      <c r="G78">
        <v>50</v>
      </c>
      <c r="H78">
        <v>999</v>
      </c>
      <c r="I78">
        <v>99</v>
      </c>
      <c r="J78">
        <v>999</v>
      </c>
      <c r="K78">
        <v>9</v>
      </c>
      <c r="L78">
        <v>2</v>
      </c>
      <c r="M78">
        <v>9</v>
      </c>
      <c r="N78">
        <v>3</v>
      </c>
      <c r="O78">
        <v>99999</v>
      </c>
      <c r="P78" s="234">
        <f t="shared" ca="1" si="3"/>
        <v>0</v>
      </c>
      <c r="Q78" s="234">
        <f ca="1">Calc_Mercado!D10</f>
        <v>0</v>
      </c>
    </row>
    <row r="79" spans="1:17" ht="15.75" hidden="1">
      <c r="A79" t="s">
        <v>773</v>
      </c>
      <c r="B79" t="s">
        <v>975</v>
      </c>
      <c r="C79" t="s">
        <v>1565</v>
      </c>
      <c r="D79">
        <v>1</v>
      </c>
      <c r="E79">
        <v>3</v>
      </c>
      <c r="F79">
        <v>50</v>
      </c>
      <c r="G79">
        <v>50</v>
      </c>
      <c r="H79">
        <v>999</v>
      </c>
      <c r="I79">
        <v>99</v>
      </c>
      <c r="J79">
        <v>999</v>
      </c>
      <c r="K79">
        <v>9</v>
      </c>
      <c r="L79">
        <v>3</v>
      </c>
      <c r="M79">
        <v>9</v>
      </c>
      <c r="N79">
        <v>3</v>
      </c>
      <c r="O79">
        <v>99999</v>
      </c>
      <c r="P79" s="234">
        <f t="shared" ca="1" si="3"/>
        <v>0</v>
      </c>
      <c r="Q79" s="234">
        <f ca="1">Calc_Mercado!D11</f>
        <v>0</v>
      </c>
    </row>
    <row r="80" spans="1:17" ht="15.75" hidden="1">
      <c r="A80" t="s">
        <v>773</v>
      </c>
      <c r="B80" t="s">
        <v>975</v>
      </c>
      <c r="C80" t="s">
        <v>1566</v>
      </c>
      <c r="D80">
        <v>1</v>
      </c>
      <c r="E80">
        <v>3</v>
      </c>
      <c r="F80">
        <v>50</v>
      </c>
      <c r="G80">
        <v>50</v>
      </c>
      <c r="H80">
        <v>999</v>
      </c>
      <c r="I80">
        <v>99</v>
      </c>
      <c r="J80">
        <v>999</v>
      </c>
      <c r="K80">
        <v>9</v>
      </c>
      <c r="L80">
        <v>4</v>
      </c>
      <c r="M80">
        <v>9</v>
      </c>
      <c r="N80">
        <v>3</v>
      </c>
      <c r="O80">
        <v>99999</v>
      </c>
      <c r="P80" s="234">
        <f t="shared" ca="1" si="3"/>
        <v>0</v>
      </c>
      <c r="Q80" s="234">
        <f ca="1">Calc_Mercado!D12</f>
        <v>0</v>
      </c>
    </row>
    <row r="81" spans="1:17" ht="15.75" hidden="1">
      <c r="A81" t="s">
        <v>773</v>
      </c>
      <c r="B81" t="s">
        <v>975</v>
      </c>
      <c r="C81" t="s">
        <v>1567</v>
      </c>
      <c r="D81">
        <v>1</v>
      </c>
      <c r="E81">
        <v>3</v>
      </c>
      <c r="F81">
        <v>50</v>
      </c>
      <c r="G81">
        <v>50</v>
      </c>
      <c r="H81">
        <v>999</v>
      </c>
      <c r="I81">
        <v>99</v>
      </c>
      <c r="J81">
        <v>999</v>
      </c>
      <c r="K81">
        <v>9</v>
      </c>
      <c r="L81">
        <v>5</v>
      </c>
      <c r="M81">
        <v>9</v>
      </c>
      <c r="N81">
        <v>3</v>
      </c>
      <c r="O81">
        <v>99999</v>
      </c>
      <c r="P81" s="234">
        <f t="shared" ca="1" si="3"/>
        <v>54512754.622410014</v>
      </c>
      <c r="Q81" s="234">
        <f ca="1">Calc_Mercado!D13</f>
        <v>54512754.622410014</v>
      </c>
    </row>
    <row r="82" spans="1:17" ht="15.75" hidden="1">
      <c r="A82" t="s">
        <v>773</v>
      </c>
      <c r="B82" t="s">
        <v>975</v>
      </c>
      <c r="C82" t="s">
        <v>1568</v>
      </c>
      <c r="D82">
        <v>1</v>
      </c>
      <c r="E82">
        <v>3</v>
      </c>
      <c r="F82">
        <v>50</v>
      </c>
      <c r="G82">
        <v>50</v>
      </c>
      <c r="H82">
        <v>999</v>
      </c>
      <c r="I82">
        <v>99</v>
      </c>
      <c r="J82">
        <v>999</v>
      </c>
      <c r="K82">
        <v>9</v>
      </c>
      <c r="L82">
        <v>6</v>
      </c>
      <c r="M82">
        <v>9</v>
      </c>
      <c r="N82">
        <v>3</v>
      </c>
      <c r="O82">
        <v>99999</v>
      </c>
      <c r="P82" s="234">
        <f t="shared" ca="1" si="3"/>
        <v>0</v>
      </c>
      <c r="Q82" s="234">
        <f ca="1">Calc_Mercado!D14</f>
        <v>0</v>
      </c>
    </row>
    <row r="83" spans="1:17" ht="15.75" hidden="1">
      <c r="A83" t="s">
        <v>773</v>
      </c>
      <c r="B83" t="s">
        <v>975</v>
      </c>
      <c r="C83" t="s">
        <v>1569</v>
      </c>
      <c r="D83">
        <v>1</v>
      </c>
      <c r="E83">
        <v>3</v>
      </c>
      <c r="F83">
        <v>50</v>
      </c>
      <c r="G83">
        <v>50</v>
      </c>
      <c r="H83">
        <v>999</v>
      </c>
      <c r="I83">
        <v>99</v>
      </c>
      <c r="J83">
        <v>999</v>
      </c>
      <c r="K83">
        <v>9</v>
      </c>
      <c r="L83">
        <v>21</v>
      </c>
      <c r="M83">
        <v>9</v>
      </c>
      <c r="N83">
        <v>3</v>
      </c>
      <c r="O83">
        <v>99999</v>
      </c>
      <c r="P83" s="234">
        <f t="shared" ca="1" si="3"/>
        <v>144105901.58790004</v>
      </c>
      <c r="Q83" s="234">
        <f ca="1">Calc_Mercado!D15</f>
        <v>144105901.58790004</v>
      </c>
    </row>
    <row r="84" spans="1:17" ht="15.75" hidden="1">
      <c r="A84" t="s">
        <v>773</v>
      </c>
      <c r="B84" t="s">
        <v>975</v>
      </c>
      <c r="C84" t="s">
        <v>1570</v>
      </c>
      <c r="D84">
        <v>1</v>
      </c>
      <c r="E84">
        <v>1</v>
      </c>
      <c r="F84">
        <v>15</v>
      </c>
      <c r="G84">
        <v>17</v>
      </c>
      <c r="H84">
        <v>999</v>
      </c>
      <c r="I84">
        <v>4</v>
      </c>
      <c r="J84">
        <v>999</v>
      </c>
      <c r="K84">
        <v>9</v>
      </c>
      <c r="L84">
        <v>99</v>
      </c>
      <c r="M84">
        <v>9</v>
      </c>
      <c r="N84">
        <v>4</v>
      </c>
      <c r="O84">
        <v>99999</v>
      </c>
      <c r="P84" s="249">
        <f>IF(ISNUMBER(Q84),Q84,0)</f>
        <v>0</v>
      </c>
      <c r="Q84" s="234">
        <f>CAPA!H43</f>
        <v>0</v>
      </c>
    </row>
    <row r="85" spans="1:17" ht="15.75" hidden="1">
      <c r="A85" t="s">
        <v>772</v>
      </c>
      <c r="B85" t="s">
        <v>975</v>
      </c>
      <c r="C85" s="9" t="s">
        <v>1571</v>
      </c>
      <c r="D85">
        <v>1</v>
      </c>
      <c r="E85">
        <v>1</v>
      </c>
      <c r="F85">
        <v>15</v>
      </c>
      <c r="G85">
        <v>19</v>
      </c>
      <c r="H85">
        <v>999</v>
      </c>
      <c r="I85">
        <v>4</v>
      </c>
      <c r="J85">
        <v>999</v>
      </c>
      <c r="K85">
        <v>9</v>
      </c>
      <c r="L85">
        <v>99</v>
      </c>
      <c r="M85">
        <v>9</v>
      </c>
      <c r="N85">
        <v>4</v>
      </c>
      <c r="O85">
        <v>99999</v>
      </c>
      <c r="P85" s="249">
        <f>IF(ISNUMBER(Q85),Q85,0)</f>
        <v>0</v>
      </c>
      <c r="Q85" s="234">
        <f>CAPA!H42</f>
        <v>0</v>
      </c>
    </row>
    <row r="86" spans="1:17" ht="15.75" hidden="1">
      <c r="A86" t="s">
        <v>773</v>
      </c>
      <c r="B86" t="s">
        <v>975</v>
      </c>
      <c r="C86" t="s">
        <v>1572</v>
      </c>
      <c r="D86">
        <v>1</v>
      </c>
      <c r="E86">
        <v>1</v>
      </c>
      <c r="F86">
        <v>51</v>
      </c>
      <c r="G86">
        <v>999999</v>
      </c>
      <c r="H86">
        <v>999</v>
      </c>
      <c r="I86">
        <v>2</v>
      </c>
      <c r="J86">
        <v>11</v>
      </c>
      <c r="K86">
        <v>2</v>
      </c>
      <c r="L86">
        <v>99</v>
      </c>
      <c r="M86">
        <v>9</v>
      </c>
      <c r="N86">
        <v>2</v>
      </c>
      <c r="O86">
        <v>99999</v>
      </c>
      <c r="P86" s="234">
        <f t="shared" ca="1" si="3"/>
        <v>395242.39399999974</v>
      </c>
      <c r="Q86" s="234">
        <f ca="1">LnkTXTEV</f>
        <v>395242.39399999974</v>
      </c>
    </row>
    <row r="87" spans="1:17" ht="15.75" hidden="1">
      <c r="A87" t="s">
        <v>773</v>
      </c>
      <c r="B87" t="s">
        <v>109</v>
      </c>
      <c r="C87" t="s">
        <v>1573</v>
      </c>
      <c r="D87">
        <v>2</v>
      </c>
      <c r="E87">
        <v>1</v>
      </c>
      <c r="F87">
        <v>51</v>
      </c>
      <c r="G87">
        <v>101</v>
      </c>
      <c r="H87">
        <v>999</v>
      </c>
      <c r="I87">
        <v>4</v>
      </c>
      <c r="J87">
        <v>999</v>
      </c>
      <c r="K87">
        <v>1</v>
      </c>
      <c r="L87">
        <v>99</v>
      </c>
      <c r="M87">
        <v>1</v>
      </c>
      <c r="N87">
        <v>3</v>
      </c>
      <c r="O87">
        <v>99999</v>
      </c>
      <c r="P87" s="234">
        <f t="shared" si="3"/>
        <v>98760388.681823671</v>
      </c>
      <c r="Q87" s="234">
        <f>Resultado!D39</f>
        <v>98760388.681823671</v>
      </c>
    </row>
    <row r="88" spans="1:17" ht="15.75" hidden="1">
      <c r="A88" s="1614" t="s">
        <v>1589</v>
      </c>
      <c r="B88" s="1614" t="s">
        <v>1589</v>
      </c>
      <c r="C88" s="1614" t="s">
        <v>1589</v>
      </c>
      <c r="D88" s="1614">
        <v>99</v>
      </c>
      <c r="E88" s="1614">
        <v>99</v>
      </c>
      <c r="F88" s="1614">
        <v>999</v>
      </c>
      <c r="G88" s="1614">
        <v>999999</v>
      </c>
      <c r="H88" s="1614">
        <v>999</v>
      </c>
      <c r="I88" s="1614">
        <v>99</v>
      </c>
      <c r="J88" s="1614">
        <v>999</v>
      </c>
      <c r="K88" s="1614">
        <v>9</v>
      </c>
      <c r="L88" s="1614">
        <v>99</v>
      </c>
      <c r="M88" s="1614">
        <v>9</v>
      </c>
      <c r="N88" s="1614">
        <v>99</v>
      </c>
      <c r="O88" s="1614">
        <v>99999</v>
      </c>
      <c r="P88" s="402">
        <f t="shared" si="3"/>
        <v>0</v>
      </c>
      <c r="Q88" s="402">
        <v>0</v>
      </c>
    </row>
    <row r="89" spans="1:17" ht="15.75">
      <c r="A89" t="s">
        <v>773</v>
      </c>
      <c r="B89" t="s">
        <v>1377</v>
      </c>
      <c r="C89" t="str">
        <f>Financeiros!C10</f>
        <v>Repasse de PIS COFINS CUSD</v>
      </c>
      <c r="D89">
        <v>2</v>
      </c>
      <c r="E89">
        <v>2</v>
      </c>
      <c r="F89">
        <f>Financeiros!F10</f>
        <v>22</v>
      </c>
      <c r="G89">
        <f>Financeiros!G10</f>
        <v>60</v>
      </c>
      <c r="H89">
        <f>Financeiros!H10</f>
        <v>999</v>
      </c>
      <c r="I89">
        <f>Financeiros!I10</f>
        <v>1</v>
      </c>
      <c r="J89">
        <f>Financeiros!J10</f>
        <v>7</v>
      </c>
      <c r="K89">
        <f>Financeiros!K10</f>
        <v>9</v>
      </c>
      <c r="L89">
        <v>99</v>
      </c>
      <c r="M89">
        <v>9</v>
      </c>
      <c r="N89">
        <v>3</v>
      </c>
      <c r="O89">
        <v>99999</v>
      </c>
      <c r="P89" s="234">
        <f t="shared" si="3"/>
        <v>88163.035605400524</v>
      </c>
      <c r="Q89" s="234">
        <f>Financeiros!D10</f>
        <v>88163.035605400524</v>
      </c>
    </row>
    <row r="90" spans="1:17" ht="15.75">
      <c r="A90" t="s">
        <v>773</v>
      </c>
      <c r="B90" t="s">
        <v>1377</v>
      </c>
      <c r="C90" t="str">
        <f>Financeiros!C11</f>
        <v>Repasse de PIS COFINS TE</v>
      </c>
      <c r="D90">
        <v>2</v>
      </c>
      <c r="E90">
        <v>2</v>
      </c>
      <c r="F90">
        <f>Financeiros!F11</f>
        <v>22</v>
      </c>
      <c r="G90">
        <f>Financeiros!G11</f>
        <v>60</v>
      </c>
      <c r="H90">
        <f>Financeiros!H11</f>
        <v>999</v>
      </c>
      <c r="I90">
        <f>Financeiros!I11</f>
        <v>2</v>
      </c>
      <c r="J90">
        <f>Financeiros!J11</f>
        <v>30</v>
      </c>
      <c r="K90">
        <f>Financeiros!K11</f>
        <v>9</v>
      </c>
      <c r="L90">
        <v>99</v>
      </c>
      <c r="M90">
        <v>9</v>
      </c>
      <c r="N90">
        <v>3</v>
      </c>
      <c r="O90">
        <v>99999</v>
      </c>
      <c r="P90" s="234">
        <f t="shared" si="3"/>
        <v>3503443.6427705437</v>
      </c>
      <c r="Q90" s="234">
        <f>Financeiros!D11</f>
        <v>3503443.6427705437</v>
      </c>
    </row>
    <row r="91" spans="1:17" ht="15.75">
      <c r="A91" t="s">
        <v>773</v>
      </c>
      <c r="B91" t="s">
        <v>1377</v>
      </c>
      <c r="C91" t="str">
        <f>Financeiros!C12</f>
        <v>(Neutralidade) TFSEE</v>
      </c>
      <c r="D91">
        <v>2</v>
      </c>
      <c r="E91">
        <v>2</v>
      </c>
      <c r="F91">
        <f>Financeiros!F12</f>
        <v>20</v>
      </c>
      <c r="G91">
        <f>Financeiros!G12</f>
        <v>60</v>
      </c>
      <c r="H91">
        <f>Financeiros!H12</f>
        <v>20</v>
      </c>
      <c r="I91">
        <f>Financeiros!I12</f>
        <v>3</v>
      </c>
      <c r="J91">
        <f>Financeiros!J12</f>
        <v>14</v>
      </c>
      <c r="K91">
        <f>Financeiros!K12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3"/>
        <v>-4085.6766435756399</v>
      </c>
      <c r="Q91" s="234">
        <f ca="1">Financeiros!D12</f>
        <v>-4085.6766435756399</v>
      </c>
    </row>
    <row r="92" spans="1:17" ht="15.75">
      <c r="A92" t="s">
        <v>773</v>
      </c>
      <c r="B92" t="s">
        <v>1377</v>
      </c>
      <c r="C92" t="str">
        <f>Financeiros!C13</f>
        <v>(Neutralidade) CDE</v>
      </c>
      <c r="D92">
        <v>2</v>
      </c>
      <c r="E92">
        <v>2</v>
      </c>
      <c r="F92">
        <f>Financeiros!F13</f>
        <v>20</v>
      </c>
      <c r="G92">
        <f>Financeiros!G13</f>
        <v>60</v>
      </c>
      <c r="H92">
        <f>Financeiros!H13</f>
        <v>20</v>
      </c>
      <c r="I92">
        <f>Financeiros!I13</f>
        <v>3</v>
      </c>
      <c r="J92">
        <f>Financeiros!J13</f>
        <v>15</v>
      </c>
      <c r="K92">
        <f>Financeiros!K13</f>
        <v>9</v>
      </c>
      <c r="L92">
        <v>99</v>
      </c>
      <c r="M92">
        <v>9</v>
      </c>
      <c r="N92">
        <v>3</v>
      </c>
      <c r="O92">
        <v>99999</v>
      </c>
      <c r="P92" s="234">
        <f t="shared" ca="1" si="3"/>
        <v>-75171.829173659964</v>
      </c>
      <c r="Q92" s="234">
        <f ca="1">Financeiros!D13</f>
        <v>-75171.829173659964</v>
      </c>
    </row>
    <row r="93" spans="1:17" ht="15.75">
      <c r="A93" t="s">
        <v>773</v>
      </c>
      <c r="B93" t="s">
        <v>1377</v>
      </c>
      <c r="C93" t="str">
        <f>Financeiros!C14</f>
        <v>(Neutralidade) CFURH</v>
      </c>
      <c r="D93">
        <v>2</v>
      </c>
      <c r="E93">
        <v>2</v>
      </c>
      <c r="F93">
        <f>Financeiros!F14</f>
        <v>20</v>
      </c>
      <c r="G93">
        <f>Financeiros!G14</f>
        <v>60</v>
      </c>
      <c r="H93">
        <f>Financeiros!H14</f>
        <v>20</v>
      </c>
      <c r="I93">
        <f>Financeiros!I14</f>
        <v>3</v>
      </c>
      <c r="J93">
        <f>Financeiros!J14</f>
        <v>16</v>
      </c>
      <c r="K93">
        <f>Financeiros!K14</f>
        <v>9</v>
      </c>
      <c r="L93">
        <v>99</v>
      </c>
      <c r="M93">
        <v>9</v>
      </c>
      <c r="N93">
        <v>3</v>
      </c>
      <c r="O93">
        <v>99999</v>
      </c>
      <c r="P93" s="234">
        <f t="shared" si="3"/>
        <v>0</v>
      </c>
      <c r="Q93" s="234">
        <f>Financeiros!D14</f>
        <v>0</v>
      </c>
    </row>
    <row r="94" spans="1:17" ht="15.75">
      <c r="A94" t="s">
        <v>773</v>
      </c>
      <c r="B94" t="s">
        <v>1377</v>
      </c>
      <c r="C94" t="str">
        <f>Financeiros!C15</f>
        <v>(Neutralidade) ESS/EER</v>
      </c>
      <c r="D94">
        <v>2</v>
      </c>
      <c r="E94">
        <v>2</v>
      </c>
      <c r="F94">
        <f>Financeiros!F15</f>
        <v>20</v>
      </c>
      <c r="G94">
        <f>Financeiros!G15</f>
        <v>60</v>
      </c>
      <c r="H94">
        <f>Financeiros!H15</f>
        <v>20</v>
      </c>
      <c r="I94">
        <f>Financeiros!I15</f>
        <v>3</v>
      </c>
      <c r="J94">
        <f>Financeiros!J15</f>
        <v>17</v>
      </c>
      <c r="K94">
        <f>Financeiros!K15</f>
        <v>9</v>
      </c>
      <c r="L94">
        <v>99</v>
      </c>
      <c r="M94">
        <v>9</v>
      </c>
      <c r="N94">
        <v>3</v>
      </c>
      <c r="O94">
        <v>99999</v>
      </c>
      <c r="P94" s="234">
        <f t="shared" ca="1" si="3"/>
        <v>120012.62057348438</v>
      </c>
      <c r="Q94" s="234">
        <f ca="1">Financeiros!D15</f>
        <v>120012.62057348438</v>
      </c>
    </row>
    <row r="95" spans="1:17" ht="15.75">
      <c r="A95" t="s">
        <v>773</v>
      </c>
      <c r="B95" t="s">
        <v>1377</v>
      </c>
      <c r="C95" t="str">
        <f>Financeiros!C16</f>
        <v>(Neutralidade) PROINFA</v>
      </c>
      <c r="D95">
        <v>2</v>
      </c>
      <c r="E95">
        <v>2</v>
      </c>
      <c r="F95">
        <f>Financeiros!F16</f>
        <v>20</v>
      </c>
      <c r="G95">
        <f>Financeiros!G16</f>
        <v>60</v>
      </c>
      <c r="H95">
        <f>Financeiros!H16</f>
        <v>20</v>
      </c>
      <c r="I95">
        <f>Financeiros!I16</f>
        <v>3</v>
      </c>
      <c r="J95">
        <f>Financeiros!J16</f>
        <v>18</v>
      </c>
      <c r="K95">
        <f>Financeiros!K16</f>
        <v>9</v>
      </c>
      <c r="L95">
        <v>99</v>
      </c>
      <c r="M95">
        <v>9</v>
      </c>
      <c r="N95">
        <v>3</v>
      </c>
      <c r="O95">
        <v>99999</v>
      </c>
      <c r="P95" s="234">
        <f t="shared" ca="1" si="3"/>
        <v>-6370.2280368324864</v>
      </c>
      <c r="Q95" s="234">
        <f ca="1">Financeiros!D16</f>
        <v>-6370.2280368324864</v>
      </c>
    </row>
    <row r="96" spans="1:17" ht="15.75">
      <c r="A96" t="s">
        <v>773</v>
      </c>
      <c r="B96" t="s">
        <v>1377</v>
      </c>
      <c r="C96" t="str">
        <f>Financeiros!C17</f>
        <v>(Neutralidade) P&amp;D e PEE</v>
      </c>
      <c r="D96">
        <v>2</v>
      </c>
      <c r="E96">
        <v>2</v>
      </c>
      <c r="F96">
        <f>Financeiros!F17</f>
        <v>20</v>
      </c>
      <c r="G96">
        <f>Financeiros!G17</f>
        <v>60</v>
      </c>
      <c r="H96">
        <f>Financeiros!H17</f>
        <v>20</v>
      </c>
      <c r="I96">
        <f>Financeiros!I17</f>
        <v>3</v>
      </c>
      <c r="J96">
        <f>Financeiros!J17</f>
        <v>19</v>
      </c>
      <c r="K96">
        <f>Financeiros!K17</f>
        <v>9</v>
      </c>
      <c r="L96">
        <v>99</v>
      </c>
      <c r="M96">
        <v>9</v>
      </c>
      <c r="N96">
        <v>3</v>
      </c>
      <c r="O96">
        <v>99999</v>
      </c>
      <c r="P96" s="234">
        <f t="shared" si="3"/>
        <v>0</v>
      </c>
      <c r="Q96" s="234">
        <f>Financeiros!D17</f>
        <v>0</v>
      </c>
    </row>
    <row r="97" spans="1:17" ht="15.75">
      <c r="A97" t="s">
        <v>773</v>
      </c>
      <c r="B97" t="s">
        <v>1377</v>
      </c>
      <c r="C97" t="str">
        <f>Financeiros!C18</f>
        <v>(Neutralidade) CDE conta covid-19</v>
      </c>
      <c r="D97">
        <v>2</v>
      </c>
      <c r="E97">
        <v>2</v>
      </c>
      <c r="F97">
        <f>Financeiros!F18</f>
        <v>20</v>
      </c>
      <c r="G97">
        <f>Financeiros!G18</f>
        <v>60</v>
      </c>
      <c r="H97">
        <f>Financeiros!H18</f>
        <v>73</v>
      </c>
      <c r="I97">
        <f>Financeiros!I18</f>
        <v>3</v>
      </c>
      <c r="J97">
        <f>Financeiros!J18</f>
        <v>12</v>
      </c>
      <c r="K97">
        <f>Financeiros!K18</f>
        <v>9</v>
      </c>
      <c r="L97">
        <v>99</v>
      </c>
      <c r="M97">
        <v>9</v>
      </c>
      <c r="N97">
        <v>3</v>
      </c>
      <c r="O97">
        <v>99999</v>
      </c>
      <c r="P97" s="234">
        <f t="shared" ca="1" si="3"/>
        <v>-19197.544475939561</v>
      </c>
      <c r="Q97" s="234">
        <f ca="1">Financeiros!D18</f>
        <v>-19197.544475939561</v>
      </c>
    </row>
    <row r="98" spans="1:17" ht="15.75">
      <c r="A98" t="s">
        <v>773</v>
      </c>
      <c r="B98" t="s">
        <v>1377</v>
      </c>
      <c r="C98" t="str">
        <f>Financeiros!C19</f>
        <v>(Neutralidade)Financeiro Covid</v>
      </c>
      <c r="D98">
        <v>2</v>
      </c>
      <c r="E98">
        <v>2</v>
      </c>
      <c r="F98">
        <f>Financeiros!F19</f>
        <v>20</v>
      </c>
      <c r="G98">
        <f>Financeiros!G19</f>
        <v>60</v>
      </c>
      <c r="H98">
        <f>Financeiros!H19</f>
        <v>235</v>
      </c>
      <c r="I98">
        <f>Financeiros!I19</f>
        <v>4</v>
      </c>
      <c r="J98">
        <f>Financeiros!J19</f>
        <v>999</v>
      </c>
      <c r="K98">
        <f>Financeiros!K19</f>
        <v>9</v>
      </c>
      <c r="L98">
        <v>99</v>
      </c>
      <c r="M98">
        <v>9</v>
      </c>
      <c r="N98">
        <v>3</v>
      </c>
      <c r="O98">
        <v>99999</v>
      </c>
      <c r="P98" s="234">
        <f t="shared" ref="P98:P99" ca="1" si="4">IF(ISNUMBER(Q98),Q98,0)</f>
        <v>147614.52816902971</v>
      </c>
      <c r="Q98" s="234">
        <f ca="1">Financeiros!D19</f>
        <v>147614.52816902971</v>
      </c>
    </row>
    <row r="99" spans="1:17" ht="15.75">
      <c r="A99" t="s">
        <v>773</v>
      </c>
      <c r="B99" t="s">
        <v>1377</v>
      </c>
      <c r="C99" t="str">
        <f>Financeiros!C20</f>
        <v>(Neutralidade)Crédito Pis Cofins</v>
      </c>
      <c r="D99">
        <v>2</v>
      </c>
      <c r="E99">
        <v>2</v>
      </c>
      <c r="F99">
        <f>Financeiros!F20</f>
        <v>20</v>
      </c>
      <c r="G99">
        <f>Financeiros!G20</f>
        <v>60</v>
      </c>
      <c r="H99">
        <f>Financeiros!H20</f>
        <v>179</v>
      </c>
      <c r="I99">
        <f>Financeiros!I20</f>
        <v>99</v>
      </c>
      <c r="J99">
        <f>Financeiros!J20</f>
        <v>999</v>
      </c>
      <c r="K99">
        <f>Financeiros!K20</f>
        <v>3</v>
      </c>
      <c r="L99">
        <v>99</v>
      </c>
      <c r="M99">
        <v>9</v>
      </c>
      <c r="N99">
        <v>3</v>
      </c>
      <c r="O99">
        <v>99999</v>
      </c>
      <c r="P99" s="234">
        <f t="shared" ca="1" si="4"/>
        <v>0</v>
      </c>
      <c r="Q99" s="234">
        <f ca="1">Financeiros!D20</f>
        <v>0</v>
      </c>
    </row>
    <row r="100" spans="1:17" ht="15.75">
      <c r="A100" t="s">
        <v>773</v>
      </c>
      <c r="B100" t="s">
        <v>1377</v>
      </c>
      <c r="C100" t="str">
        <f>Financeiros!C21</f>
        <v>Ajuste CUST RB + PIS Cofins RB</v>
      </c>
      <c r="D100">
        <v>2</v>
      </c>
      <c r="E100">
        <v>2</v>
      </c>
      <c r="F100">
        <f>Financeiros!F21</f>
        <v>22</v>
      </c>
      <c r="G100">
        <f>Financeiros!G21</f>
        <v>60</v>
      </c>
      <c r="H100">
        <f>Financeiros!H21</f>
        <v>999</v>
      </c>
      <c r="I100">
        <f>Financeiros!I21</f>
        <v>1</v>
      </c>
      <c r="J100">
        <f>Financeiros!J21</f>
        <v>1</v>
      </c>
      <c r="K100">
        <f>Financeiros!K21</f>
        <v>9</v>
      </c>
      <c r="L100">
        <v>99</v>
      </c>
      <c r="M100">
        <v>9</v>
      </c>
      <c r="N100">
        <v>3</v>
      </c>
      <c r="O100">
        <v>99999</v>
      </c>
      <c r="P100" s="234">
        <f t="shared" si="3"/>
        <v>991901.85867752158</v>
      </c>
      <c r="Q100" s="234">
        <f>Financeiros!D21</f>
        <v>991901.85867752158</v>
      </c>
    </row>
    <row r="101" spans="1:17" ht="15.75">
      <c r="A101" t="s">
        <v>773</v>
      </c>
      <c r="B101" t="s">
        <v>1377</v>
      </c>
      <c r="C101" t="str">
        <f>Financeiros!C22</f>
        <v>Ajuste CUST RB Fronteira + PIS Cofins RB Fronteira</v>
      </c>
      <c r="D101">
        <v>2</v>
      </c>
      <c r="E101">
        <v>2</v>
      </c>
      <c r="F101">
        <f>Financeiros!F22</f>
        <v>22</v>
      </c>
      <c r="G101">
        <f>Financeiros!G22</f>
        <v>60</v>
      </c>
      <c r="H101">
        <f>Financeiros!H22</f>
        <v>999</v>
      </c>
      <c r="I101">
        <f>Financeiros!I22</f>
        <v>1</v>
      </c>
      <c r="J101">
        <f>Financeiros!J22</f>
        <v>2</v>
      </c>
      <c r="K101">
        <f>Financeiros!K22</f>
        <v>9</v>
      </c>
      <c r="L101">
        <v>99</v>
      </c>
      <c r="M101">
        <v>9</v>
      </c>
      <c r="N101">
        <v>3</v>
      </c>
      <c r="O101">
        <v>99999</v>
      </c>
      <c r="P101" s="234">
        <f t="shared" si="3"/>
        <v>168161.06917926212</v>
      </c>
      <c r="Q101" s="234">
        <f>Financeiros!D22</f>
        <v>168161.06917926212</v>
      </c>
    </row>
    <row r="102" spans="1:17" ht="15.75">
      <c r="A102" t="s">
        <v>773</v>
      </c>
      <c r="B102" t="s">
        <v>1377</v>
      </c>
      <c r="C102" t="str">
        <f>Financeiros!C23</f>
        <v>Manual de Contabilidade do Setor Elétrico</v>
      </c>
      <c r="D102">
        <v>2</v>
      </c>
      <c r="E102">
        <v>2</v>
      </c>
      <c r="F102">
        <f>Financeiros!F23</f>
        <v>22</v>
      </c>
      <c r="G102">
        <f>Financeiros!G23</f>
        <v>60</v>
      </c>
      <c r="H102">
        <f>Financeiros!H23</f>
        <v>167</v>
      </c>
      <c r="I102">
        <f>Financeiros!I23</f>
        <v>4</v>
      </c>
      <c r="J102">
        <f>Financeiros!J23</f>
        <v>999</v>
      </c>
      <c r="K102">
        <f>Financeiros!K23</f>
        <v>9</v>
      </c>
      <c r="L102">
        <v>99</v>
      </c>
      <c r="M102">
        <v>9</v>
      </c>
      <c r="N102">
        <v>3</v>
      </c>
      <c r="O102">
        <v>99999</v>
      </c>
      <c r="P102" s="234">
        <f t="shared" si="3"/>
        <v>0</v>
      </c>
      <c r="Q102" s="234">
        <f>Financeiros!D23</f>
        <v>0</v>
      </c>
    </row>
    <row r="103" spans="1:17" ht="15.75">
      <c r="A103" t="s">
        <v>773</v>
      </c>
      <c r="B103" t="s">
        <v>1377</v>
      </c>
      <c r="C103" t="str">
        <f>Financeiros!C24</f>
        <v>Financeiro CDE Eletrobras</v>
      </c>
      <c r="D103">
        <v>2</v>
      </c>
      <c r="E103">
        <v>2</v>
      </c>
      <c r="F103">
        <f>Financeiros!F24</f>
        <v>22</v>
      </c>
      <c r="G103">
        <f>Financeiros!G24</f>
        <v>60</v>
      </c>
      <c r="H103">
        <f>Financeiros!H24</f>
        <v>999</v>
      </c>
      <c r="I103">
        <f>Financeiros!I24</f>
        <v>3</v>
      </c>
      <c r="J103">
        <f>Financeiros!J24</f>
        <v>28</v>
      </c>
      <c r="K103">
        <f>Financeiros!K24</f>
        <v>9</v>
      </c>
      <c r="L103">
        <v>99</v>
      </c>
      <c r="M103">
        <v>9</v>
      </c>
      <c r="N103">
        <v>3</v>
      </c>
      <c r="O103">
        <v>99999</v>
      </c>
      <c r="P103" s="234">
        <f t="shared" si="3"/>
        <v>0</v>
      </c>
      <c r="Q103" s="234">
        <f>Financeiros!D24</f>
        <v>0</v>
      </c>
    </row>
    <row r="104" spans="1:17" ht="15.75">
      <c r="A104" t="s">
        <v>773</v>
      </c>
      <c r="B104" t="s">
        <v>1377</v>
      </c>
      <c r="C104" t="str">
        <f>Financeiros!C25</f>
        <v>Ajustes Processos anteriores - Geração Propria</v>
      </c>
      <c r="D104">
        <v>2</v>
      </c>
      <c r="E104">
        <v>2</v>
      </c>
      <c r="F104">
        <f>Financeiros!F25</f>
        <v>22</v>
      </c>
      <c r="G104">
        <f>Financeiros!G25</f>
        <v>60</v>
      </c>
      <c r="H104">
        <f>Financeiros!H25</f>
        <v>999</v>
      </c>
      <c r="I104">
        <f>Financeiros!I25</f>
        <v>2</v>
      </c>
      <c r="J104">
        <f>Financeiros!J25</f>
        <v>30</v>
      </c>
      <c r="K104">
        <f>Financeiros!K25</f>
        <v>9</v>
      </c>
      <c r="L104">
        <v>99</v>
      </c>
      <c r="M104">
        <v>9</v>
      </c>
      <c r="N104">
        <v>3</v>
      </c>
      <c r="O104">
        <v>99999</v>
      </c>
      <c r="P104" s="234">
        <f t="shared" si="3"/>
        <v>3724908.0816122931</v>
      </c>
      <c r="Q104" s="234">
        <f>Financeiros!D25</f>
        <v>3724908.0816122931</v>
      </c>
    </row>
    <row r="105" spans="1:17" ht="15.75" hidden="1">
      <c r="A105" t="s">
        <v>1589</v>
      </c>
      <c r="B105" t="s">
        <v>1589</v>
      </c>
      <c r="C105" t="s">
        <v>1589</v>
      </c>
      <c r="D105">
        <v>99</v>
      </c>
      <c r="E105">
        <v>99</v>
      </c>
      <c r="F105">
        <v>999</v>
      </c>
      <c r="G105">
        <v>999999</v>
      </c>
      <c r="H105">
        <v>999</v>
      </c>
      <c r="I105">
        <v>99</v>
      </c>
      <c r="J105">
        <v>999</v>
      </c>
      <c r="K105">
        <v>9</v>
      </c>
      <c r="L105">
        <v>99</v>
      </c>
      <c r="M105">
        <v>9</v>
      </c>
      <c r="N105">
        <v>99</v>
      </c>
      <c r="O105">
        <v>99999</v>
      </c>
      <c r="P105" s="402">
        <f t="shared" si="3"/>
        <v>0</v>
      </c>
      <c r="Q105" s="402">
        <v>0</v>
      </c>
    </row>
    <row r="106" spans="1:17" ht="15.75">
      <c r="A106" t="s">
        <v>773</v>
      </c>
      <c r="B106" t="s">
        <v>1377</v>
      </c>
      <c r="C106" t="str">
        <f>Financeiros!C27</f>
        <v>Compensação DIC FIC</v>
      </c>
      <c r="D106">
        <v>2</v>
      </c>
      <c r="E106">
        <v>2</v>
      </c>
      <c r="F106">
        <f>Financeiros!F27</f>
        <v>22</v>
      </c>
      <c r="G106">
        <f>Financeiros!G27</f>
        <v>60</v>
      </c>
      <c r="H106">
        <f>Financeiros!H27</f>
        <v>178</v>
      </c>
      <c r="I106">
        <f>Financeiros!I27</f>
        <v>1</v>
      </c>
      <c r="J106">
        <f>Financeiros!J27</f>
        <v>7</v>
      </c>
      <c r="K106">
        <f>Financeiros!K27</f>
        <v>9</v>
      </c>
      <c r="L106">
        <v>99</v>
      </c>
      <c r="M106">
        <v>9</v>
      </c>
      <c r="N106">
        <v>3</v>
      </c>
      <c r="O106">
        <v>99999</v>
      </c>
      <c r="P106" s="234">
        <f t="shared" si="3"/>
        <v>-36242.696487839901</v>
      </c>
      <c r="Q106" s="234">
        <f>Financeiros!D27</f>
        <v>-36242.696487839901</v>
      </c>
    </row>
    <row r="107" spans="1:17" ht="15.75">
      <c r="A107" t="s">
        <v>773</v>
      </c>
      <c r="B107" t="s">
        <v>1377</v>
      </c>
      <c r="C107" t="str">
        <f>Financeiros!C28</f>
        <v>Subvenção CDE</v>
      </c>
      <c r="D107">
        <v>2</v>
      </c>
      <c r="E107">
        <v>2</v>
      </c>
      <c r="F107">
        <f>Financeiros!F28</f>
        <v>22</v>
      </c>
      <c r="G107">
        <f>Financeiros!G28</f>
        <v>60</v>
      </c>
      <c r="H107">
        <f>Financeiros!H28</f>
        <v>999</v>
      </c>
      <c r="I107">
        <f>Financeiros!I28</f>
        <v>4</v>
      </c>
      <c r="J107">
        <f>Financeiros!J28</f>
        <v>999</v>
      </c>
      <c r="K107">
        <f>Financeiros!K28</f>
        <v>9</v>
      </c>
      <c r="L107">
        <v>99</v>
      </c>
      <c r="M107">
        <v>9</v>
      </c>
      <c r="N107">
        <v>3</v>
      </c>
      <c r="O107">
        <v>99999</v>
      </c>
      <c r="P107" s="234">
        <f t="shared" ca="1" si="3"/>
        <v>-17782212.48699066</v>
      </c>
      <c r="Q107" s="234">
        <f ca="1">Financeiros!D28</f>
        <v>-17782212.48699066</v>
      </c>
    </row>
    <row r="108" spans="1:17" ht="15.75">
      <c r="A108" t="s">
        <v>773</v>
      </c>
      <c r="B108" t="s">
        <v>1377</v>
      </c>
      <c r="C108" t="str">
        <f>Financeiros!C29</f>
        <v>Retenção de Adicionais de Bandeiras Tarifárias</v>
      </c>
      <c r="D108">
        <v>2</v>
      </c>
      <c r="E108">
        <v>2</v>
      </c>
      <c r="F108">
        <f>Financeiros!F29</f>
        <v>22</v>
      </c>
      <c r="G108">
        <f>Financeiros!G29</f>
        <v>60</v>
      </c>
      <c r="H108">
        <f>Financeiros!H29</f>
        <v>999</v>
      </c>
      <c r="I108">
        <f>Financeiros!I29</f>
        <v>2</v>
      </c>
      <c r="J108">
        <f>Financeiros!J29</f>
        <v>30</v>
      </c>
      <c r="K108">
        <f>Financeiros!K29</f>
        <v>9</v>
      </c>
      <c r="L108">
        <v>99</v>
      </c>
      <c r="M108">
        <v>9</v>
      </c>
      <c r="N108">
        <v>3</v>
      </c>
      <c r="O108">
        <v>99999</v>
      </c>
      <c r="P108" s="234">
        <f t="shared" ref="P108:P118" si="5">IF(ISNUMBER(Q108),Q108,0)</f>
        <v>0</v>
      </c>
      <c r="Q108" s="234">
        <f>Financeiros!D29</f>
        <v>0</v>
      </c>
    </row>
    <row r="109" spans="1:17" ht="15.75">
      <c r="A109" t="s">
        <v>773</v>
      </c>
      <c r="B109" t="s">
        <v>1377</v>
      </c>
      <c r="C109" t="str">
        <f>Financeiros!C30</f>
        <v>Multa LPT</v>
      </c>
      <c r="D109">
        <v>2</v>
      </c>
      <c r="E109">
        <v>2</v>
      </c>
      <c r="F109">
        <f>Financeiros!F30</f>
        <v>22</v>
      </c>
      <c r="G109">
        <f>Financeiros!G30</f>
        <v>60</v>
      </c>
      <c r="H109">
        <f>Financeiros!H30</f>
        <v>120</v>
      </c>
      <c r="I109">
        <f>Financeiros!I30</f>
        <v>4</v>
      </c>
      <c r="J109">
        <f>Financeiros!J30</f>
        <v>999</v>
      </c>
      <c r="K109">
        <f>Financeiros!K30</f>
        <v>9</v>
      </c>
      <c r="L109">
        <v>99</v>
      </c>
      <c r="M109">
        <v>9</v>
      </c>
      <c r="N109">
        <v>3</v>
      </c>
      <c r="O109">
        <v>99999</v>
      </c>
      <c r="P109" s="234">
        <f t="shared" si="5"/>
        <v>0</v>
      </c>
      <c r="Q109" s="234">
        <f>Financeiros!D30</f>
        <v>0</v>
      </c>
    </row>
    <row r="110" spans="1:17" ht="15.75">
      <c r="A110" t="s">
        <v>773</v>
      </c>
      <c r="B110" t="s">
        <v>1377</v>
      </c>
      <c r="C110" t="str">
        <f>Financeiros!C32</f>
        <v>Repasse de ICMS CUSD</v>
      </c>
      <c r="D110">
        <v>2</v>
      </c>
      <c r="E110">
        <v>2</v>
      </c>
      <c r="F110">
        <f>Financeiros!F32</f>
        <v>22</v>
      </c>
      <c r="G110">
        <f>Financeiros!G32</f>
        <v>60</v>
      </c>
      <c r="H110">
        <f>Financeiros!H32</f>
        <v>999</v>
      </c>
      <c r="I110">
        <f>Financeiros!I32</f>
        <v>1</v>
      </c>
      <c r="J110">
        <f>Financeiros!J32</f>
        <v>7</v>
      </c>
      <c r="K110">
        <f>Financeiros!K32</f>
        <v>9</v>
      </c>
      <c r="L110">
        <v>99</v>
      </c>
      <c r="M110">
        <v>9</v>
      </c>
      <c r="N110">
        <v>3</v>
      </c>
      <c r="O110">
        <v>99999</v>
      </c>
      <c r="P110" s="234">
        <f t="shared" ca="1" si="5"/>
        <v>0</v>
      </c>
      <c r="Q110" s="234">
        <f ca="1">Financeiros!D32</f>
        <v>0</v>
      </c>
    </row>
    <row r="111" spans="1:17" ht="15.75">
      <c r="A111" t="s">
        <v>773</v>
      </c>
      <c r="B111" t="s">
        <v>1377</v>
      </c>
      <c r="C111" t="str">
        <f>Financeiros!C33</f>
        <v>Repasse de ICMS TE</v>
      </c>
      <c r="D111">
        <v>2</v>
      </c>
      <c r="E111">
        <v>2</v>
      </c>
      <c r="F111">
        <f>Financeiros!F33</f>
        <v>22</v>
      </c>
      <c r="G111">
        <f>Financeiros!G33</f>
        <v>60</v>
      </c>
      <c r="H111">
        <f>Financeiros!H33</f>
        <v>999</v>
      </c>
      <c r="I111">
        <f>Financeiros!I33</f>
        <v>2</v>
      </c>
      <c r="J111">
        <f>Financeiros!J33</f>
        <v>30</v>
      </c>
      <c r="K111">
        <f>Financeiros!K33</f>
        <v>9</v>
      </c>
      <c r="L111">
        <v>99</v>
      </c>
      <c r="M111">
        <v>9</v>
      </c>
      <c r="N111">
        <v>3</v>
      </c>
      <c r="O111">
        <v>99999</v>
      </c>
      <c r="P111" s="234">
        <f t="shared" ca="1" si="5"/>
        <v>0</v>
      </c>
      <c r="Q111" s="234">
        <f ca="1">Financeiros!D33</f>
        <v>0</v>
      </c>
    </row>
    <row r="112" spans="1:17" ht="15.75">
      <c r="A112" t="s">
        <v>773</v>
      </c>
      <c r="B112" t="s">
        <v>1377</v>
      </c>
      <c r="C112" t="str">
        <f>Financeiros!C34</f>
        <v>Ressarcimento P&amp;D</v>
      </c>
      <c r="D112">
        <v>2</v>
      </c>
      <c r="E112">
        <v>2</v>
      </c>
      <c r="F112">
        <f>Financeiros!F34</f>
        <v>22</v>
      </c>
      <c r="G112">
        <f>Financeiros!G34</f>
        <v>60</v>
      </c>
      <c r="H112">
        <f>Financeiros!H34</f>
        <v>231</v>
      </c>
      <c r="I112">
        <f>Financeiros!I34</f>
        <v>3</v>
      </c>
      <c r="J112">
        <f>Financeiros!J34</f>
        <v>19</v>
      </c>
      <c r="K112">
        <f>Financeiros!K34</f>
        <v>9</v>
      </c>
      <c r="L112">
        <v>99</v>
      </c>
      <c r="M112">
        <v>9</v>
      </c>
      <c r="N112">
        <v>3</v>
      </c>
      <c r="O112">
        <v>99999</v>
      </c>
      <c r="P112" s="234">
        <f t="shared" si="5"/>
        <v>0</v>
      </c>
      <c r="Q112" s="234">
        <f>Financeiros!D34</f>
        <v>0</v>
      </c>
    </row>
    <row r="113" spans="1:17" ht="15.75">
      <c r="A113" t="s">
        <v>773</v>
      </c>
      <c r="B113" t="s">
        <v>1377</v>
      </c>
      <c r="C113" t="str">
        <f>Financeiros!C35</f>
        <v>Efeito Conta COVID</v>
      </c>
      <c r="D113">
        <v>2</v>
      </c>
      <c r="E113">
        <v>2</v>
      </c>
      <c r="F113">
        <f>Financeiros!F35</f>
        <v>22</v>
      </c>
      <c r="G113">
        <f>Financeiros!G35</f>
        <v>60</v>
      </c>
      <c r="H113">
        <f>Financeiros!H35</f>
        <v>235</v>
      </c>
      <c r="I113">
        <f>Financeiros!I35</f>
        <v>4</v>
      </c>
      <c r="J113">
        <f>Financeiros!J35</f>
        <v>999</v>
      </c>
      <c r="K113">
        <f>Financeiros!K35</f>
        <v>9</v>
      </c>
      <c r="L113">
        <v>99</v>
      </c>
      <c r="M113">
        <v>9</v>
      </c>
      <c r="N113">
        <v>3</v>
      </c>
      <c r="O113">
        <v>99999</v>
      </c>
      <c r="P113" s="234">
        <f t="shared" si="5"/>
        <v>-6504386.7004942941</v>
      </c>
      <c r="Q113" s="234">
        <f>Financeiros!D35</f>
        <v>-6504386.7004942941</v>
      </c>
    </row>
    <row r="114" spans="1:17" ht="15.75">
      <c r="A114" t="s">
        <v>773</v>
      </c>
      <c r="B114" t="s">
        <v>1377</v>
      </c>
      <c r="C114" t="str">
        <f>Financeiros!C36</f>
        <v>Previsão de Risco Hidrologico</v>
      </c>
      <c r="D114">
        <v>2</v>
      </c>
      <c r="E114">
        <v>2</v>
      </c>
      <c r="F114">
        <f>Financeiros!F36</f>
        <v>22</v>
      </c>
      <c r="G114">
        <f>Financeiros!G36</f>
        <v>60</v>
      </c>
      <c r="H114">
        <f>Financeiros!H36</f>
        <v>220</v>
      </c>
      <c r="I114">
        <f>Financeiros!I36</f>
        <v>2</v>
      </c>
      <c r="J114">
        <f>Financeiros!J36</f>
        <v>30</v>
      </c>
      <c r="K114">
        <f>Financeiros!K36</f>
        <v>9</v>
      </c>
      <c r="L114">
        <v>99</v>
      </c>
      <c r="M114">
        <v>9</v>
      </c>
      <c r="N114">
        <v>3</v>
      </c>
      <c r="O114">
        <v>99999</v>
      </c>
      <c r="P114" s="234">
        <f t="shared" si="5"/>
        <v>6029479.2269557174</v>
      </c>
      <c r="Q114" s="234">
        <f>Financeiros!D36</f>
        <v>6029479.2269557174</v>
      </c>
    </row>
    <row r="115" spans="1:17" ht="15.75">
      <c r="A115" t="s">
        <v>773</v>
      </c>
      <c r="B115" t="s">
        <v>1377</v>
      </c>
      <c r="C115" t="str">
        <f>Financeiros!C37</f>
        <v>Efeito COVID da Supridora</v>
      </c>
      <c r="D115">
        <v>2</v>
      </c>
      <c r="E115">
        <v>2</v>
      </c>
      <c r="F115">
        <f>Financeiros!F37</f>
        <v>22</v>
      </c>
      <c r="G115">
        <f>Financeiros!G37</f>
        <v>60</v>
      </c>
      <c r="H115">
        <f>Financeiros!H37</f>
        <v>999</v>
      </c>
      <c r="I115">
        <f>Financeiros!I37</f>
        <v>2</v>
      </c>
      <c r="J115">
        <f>Financeiros!J37</f>
        <v>30</v>
      </c>
      <c r="K115">
        <f>Financeiros!K37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Financeiros!D37</f>
        <v>0</v>
      </c>
    </row>
    <row r="116" spans="1:17" ht="15.75">
      <c r="A116" t="s">
        <v>773</v>
      </c>
      <c r="B116" t="s">
        <v>1377</v>
      </c>
      <c r="C116" t="str">
        <f>Financeiros!C38</f>
        <v>Crédito de Pis Cofins sobre ICMS</v>
      </c>
      <c r="D116">
        <v>2</v>
      </c>
      <c r="E116">
        <v>2</v>
      </c>
      <c r="F116">
        <f>Financeiros!F38</f>
        <v>22</v>
      </c>
      <c r="G116">
        <f>Financeiros!G38</f>
        <v>60</v>
      </c>
      <c r="H116">
        <f>Financeiros!H38</f>
        <v>179</v>
      </c>
      <c r="I116">
        <f>Financeiros!I38</f>
        <v>99</v>
      </c>
      <c r="J116">
        <f>Financeiros!J38</f>
        <v>999</v>
      </c>
      <c r="K116">
        <f>Financeiros!K38</f>
        <v>3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Financeiros!D38</f>
        <v>0</v>
      </c>
    </row>
    <row r="117" spans="1:17" ht="15.75">
      <c r="A117" t="s">
        <v>773</v>
      </c>
      <c r="B117" t="s">
        <v>1377</v>
      </c>
      <c r="C117" t="str">
        <f>Financeiros!C39</f>
        <v>Diferimento Pis Cofins TUSD</v>
      </c>
      <c r="D117">
        <v>2</v>
      </c>
      <c r="E117">
        <v>2</v>
      </c>
      <c r="F117">
        <f>Financeiros!F39</f>
        <v>22</v>
      </c>
      <c r="G117">
        <f>Financeiros!G39</f>
        <v>60</v>
      </c>
      <c r="H117">
        <f>Financeiros!H39</f>
        <v>999</v>
      </c>
      <c r="I117">
        <f>Financeiros!I39</f>
        <v>1</v>
      </c>
      <c r="J117">
        <f>Financeiros!J39</f>
        <v>7</v>
      </c>
      <c r="K117">
        <f>Financeiros!K39</f>
        <v>9</v>
      </c>
      <c r="L117">
        <v>99</v>
      </c>
      <c r="M117">
        <v>9</v>
      </c>
      <c r="N117">
        <v>3</v>
      </c>
      <c r="O117">
        <v>99999</v>
      </c>
      <c r="P117" s="234">
        <f t="shared" si="5"/>
        <v>0</v>
      </c>
      <c r="Q117" s="234">
        <f>Financeiros!D39</f>
        <v>0</v>
      </c>
    </row>
    <row r="118" spans="1:17" ht="15.75">
      <c r="A118" t="s">
        <v>773</v>
      </c>
      <c r="B118" t="s">
        <v>1377</v>
      </c>
      <c r="C118" t="str">
        <f>Financeiros!C40</f>
        <v>Diferimento Pis Cofins TE</v>
      </c>
      <c r="D118">
        <v>2</v>
      </c>
      <c r="E118">
        <v>2</v>
      </c>
      <c r="F118">
        <f>Financeiros!F40</f>
        <v>22</v>
      </c>
      <c r="G118">
        <f>Financeiros!G40</f>
        <v>60</v>
      </c>
      <c r="H118">
        <f>Financeiros!H40</f>
        <v>999</v>
      </c>
      <c r="I118">
        <f>Financeiros!I40</f>
        <v>2</v>
      </c>
      <c r="J118">
        <f>Financeiros!J40</f>
        <v>30</v>
      </c>
      <c r="K118">
        <f>Financeiros!K40</f>
        <v>9</v>
      </c>
      <c r="L118">
        <v>99</v>
      </c>
      <c r="M118">
        <v>9</v>
      </c>
      <c r="N118">
        <v>3</v>
      </c>
      <c r="O118">
        <v>99999</v>
      </c>
      <c r="P118" s="234">
        <f t="shared" si="5"/>
        <v>0</v>
      </c>
      <c r="Q118" s="234">
        <f>Financeiros!D40</f>
        <v>0</v>
      </c>
    </row>
    <row r="119" spans="1:17" ht="15.75">
      <c r="A119" t="s">
        <v>773</v>
      </c>
      <c r="B119" t="s">
        <v>1377</v>
      </c>
      <c r="C119" t="str">
        <f>Financeiros!C41</f>
        <v>Financeiros associados ao §7º do Art. 88 da Ren 414/2021</v>
      </c>
      <c r="D119">
        <v>2</v>
      </c>
      <c r="E119">
        <v>2</v>
      </c>
      <c r="F119">
        <f>Financeiros!F41</f>
        <v>22</v>
      </c>
      <c r="G119">
        <f>Financeiros!G41</f>
        <v>60</v>
      </c>
      <c r="H119">
        <f>Financeiros!H41</f>
        <v>999</v>
      </c>
      <c r="I119">
        <f>Financeiros!I41</f>
        <v>2</v>
      </c>
      <c r="J119">
        <f>Financeiros!J41</f>
        <v>30</v>
      </c>
      <c r="K119">
        <f>Financeiros!K41</f>
        <v>9</v>
      </c>
      <c r="L119">
        <v>99</v>
      </c>
      <c r="M119">
        <v>9</v>
      </c>
      <c r="N119">
        <v>3</v>
      </c>
      <c r="O119">
        <v>99999</v>
      </c>
      <c r="P119" s="234">
        <f t="shared" si="3"/>
        <v>0</v>
      </c>
      <c r="Q119" s="234">
        <f>Financeiros!D41</f>
        <v>0</v>
      </c>
    </row>
    <row r="120" spans="1:17" ht="15.75">
      <c r="A120" t="s">
        <v>773</v>
      </c>
      <c r="B120" t="s">
        <v>1377</v>
      </c>
      <c r="C120" t="str">
        <f>Financeiros!C42</f>
        <v>Custo Distribuidora - Conta Covid - Art 4º - REN 952/2021</v>
      </c>
      <c r="D120">
        <v>2</v>
      </c>
      <c r="E120">
        <v>2</v>
      </c>
      <c r="F120">
        <f>Financeiros!F42</f>
        <v>22</v>
      </c>
      <c r="G120">
        <f>Financeiros!G42</f>
        <v>60</v>
      </c>
      <c r="H120">
        <f>Financeiros!H42</f>
        <v>235</v>
      </c>
      <c r="I120">
        <f>Financeiros!I42</f>
        <v>4</v>
      </c>
      <c r="J120">
        <f>Financeiros!J42</f>
        <v>999</v>
      </c>
      <c r="K120">
        <f>Financeiros!K42</f>
        <v>9</v>
      </c>
      <c r="L120">
        <v>99</v>
      </c>
      <c r="M120">
        <v>9</v>
      </c>
      <c r="N120">
        <v>3</v>
      </c>
      <c r="O120">
        <v>99999</v>
      </c>
      <c r="P120" s="234">
        <f t="shared" ref="P120:P122" si="6">IF(ISNUMBER(Q120),Q120,0)</f>
        <v>-625769.9</v>
      </c>
      <c r="Q120" s="234">
        <f>Financeiros!D42</f>
        <v>-625769.9</v>
      </c>
    </row>
    <row r="121" spans="1:17" ht="15.75">
      <c r="A121" t="s">
        <v>773</v>
      </c>
      <c r="B121" t="s">
        <v>1377</v>
      </c>
      <c r="C121">
        <f>Financeiros!C43</f>
        <v>0</v>
      </c>
      <c r="D121">
        <v>2</v>
      </c>
      <c r="E121">
        <v>2</v>
      </c>
      <c r="F121">
        <f>Financeiros!F43</f>
        <v>22</v>
      </c>
      <c r="G121">
        <f>Financeiros!G43</f>
        <v>60</v>
      </c>
      <c r="H121">
        <f>Financeiros!H43</f>
        <v>235</v>
      </c>
      <c r="I121">
        <f>Financeiros!I43</f>
        <v>4</v>
      </c>
      <c r="J121">
        <f>Financeiros!J43</f>
        <v>999</v>
      </c>
      <c r="K121">
        <f>Financeiros!K43</f>
        <v>9</v>
      </c>
      <c r="L121">
        <v>99</v>
      </c>
      <c r="M121">
        <v>9</v>
      </c>
      <c r="N121">
        <v>3</v>
      </c>
      <c r="O121">
        <v>99999</v>
      </c>
      <c r="P121" s="234">
        <f t="shared" si="6"/>
        <v>0</v>
      </c>
      <c r="Q121" s="234">
        <f>Financeiros!D43</f>
        <v>0</v>
      </c>
    </row>
    <row r="122" spans="1:17" ht="15.75">
      <c r="A122" t="s">
        <v>773</v>
      </c>
      <c r="B122" t="s">
        <v>1377</v>
      </c>
      <c r="C122" t="str">
        <f>Financeiros!C44</f>
        <v>Ajustes Processos anteriores - Encargo de Conexão</v>
      </c>
      <c r="D122">
        <v>2</v>
      </c>
      <c r="E122">
        <v>2</v>
      </c>
      <c r="F122">
        <f>Financeiros!F44</f>
        <v>22</v>
      </c>
      <c r="G122">
        <f>Financeiros!G44</f>
        <v>60</v>
      </c>
      <c r="H122">
        <f>Financeiros!H44</f>
        <v>127</v>
      </c>
      <c r="I122">
        <f>Financeiros!I44</f>
        <v>1</v>
      </c>
      <c r="J122">
        <f>Financeiros!J44</f>
        <v>3</v>
      </c>
      <c r="K122">
        <f>Financeiros!K44</f>
        <v>9</v>
      </c>
      <c r="L122">
        <v>99</v>
      </c>
      <c r="M122">
        <v>9</v>
      </c>
      <c r="N122">
        <v>3</v>
      </c>
      <c r="O122">
        <v>99999</v>
      </c>
      <c r="P122" s="234">
        <f t="shared" si="6"/>
        <v>-41834.775229867715</v>
      </c>
      <c r="Q122" s="234">
        <f>Financeiros!D44</f>
        <v>-41834.775229867715</v>
      </c>
    </row>
    <row r="123" spans="1:17" ht="15.75">
      <c r="A123" t="s">
        <v>773</v>
      </c>
      <c r="B123" t="s">
        <v>1377</v>
      </c>
      <c r="C123" t="str">
        <f>Financeiros!C10</f>
        <v>Repasse de PIS COFINS CUSD</v>
      </c>
      <c r="D123">
        <v>2</v>
      </c>
      <c r="E123">
        <v>2</v>
      </c>
      <c r="F123">
        <f>Financeiros!F10</f>
        <v>22</v>
      </c>
      <c r="G123">
        <f>Financeiros!G10</f>
        <v>60</v>
      </c>
      <c r="H123">
        <f>Financeiros!H10</f>
        <v>999</v>
      </c>
      <c r="I123">
        <f>Financeiros!I10</f>
        <v>1</v>
      </c>
      <c r="J123">
        <f>Financeiros!J10</f>
        <v>7</v>
      </c>
      <c r="K123">
        <f>Financeiros!K10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3"/>
        <v>4.1779111063713578E-4</v>
      </c>
      <c r="Q123" s="234">
        <f ca="1">Financeiros!E10</f>
        <v>4.1779111063713578E-4</v>
      </c>
    </row>
    <row r="124" spans="1:17" ht="15.75">
      <c r="A124" t="s">
        <v>773</v>
      </c>
      <c r="B124" t="s">
        <v>1377</v>
      </c>
      <c r="C124" t="str">
        <f>Financeiros!C11</f>
        <v>Repasse de PIS COFINS TE</v>
      </c>
      <c r="D124">
        <v>2</v>
      </c>
      <c r="E124">
        <v>2</v>
      </c>
      <c r="F124">
        <f>Financeiros!F11</f>
        <v>22</v>
      </c>
      <c r="G124">
        <f>Financeiros!G11</f>
        <v>60</v>
      </c>
      <c r="H124">
        <f>Financeiros!H11</f>
        <v>999</v>
      </c>
      <c r="I124">
        <f>Financeiros!I11</f>
        <v>2</v>
      </c>
      <c r="J124">
        <f>Financeiros!J11</f>
        <v>30</v>
      </c>
      <c r="K124">
        <f>Financeiros!K11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3"/>
        <v>1.6602282356961595E-2</v>
      </c>
      <c r="Q124" s="234">
        <f ca="1">Financeiros!E11</f>
        <v>1.6602282356961595E-2</v>
      </c>
    </row>
    <row r="125" spans="1:17" ht="15.75">
      <c r="A125" t="s">
        <v>773</v>
      </c>
      <c r="B125" t="s">
        <v>1377</v>
      </c>
      <c r="C125" t="str">
        <f>Financeiros!C12</f>
        <v>(Neutralidade) TFSEE</v>
      </c>
      <c r="D125">
        <v>2</v>
      </c>
      <c r="E125">
        <v>2</v>
      </c>
      <c r="F125">
        <f>Financeiros!F12</f>
        <v>20</v>
      </c>
      <c r="G125">
        <f>Financeiros!G12</f>
        <v>60</v>
      </c>
      <c r="H125">
        <f>Financeiros!H12</f>
        <v>20</v>
      </c>
      <c r="I125">
        <f>Financeiros!I12</f>
        <v>3</v>
      </c>
      <c r="J125">
        <f>Financeiros!J12</f>
        <v>14</v>
      </c>
      <c r="K125">
        <f>Financeiros!K12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3"/>
        <v>-1.9361395293416032E-5</v>
      </c>
      <c r="Q125" s="249">
        <f ca="1">Financeiros!E12</f>
        <v>-1.9361395293416032E-5</v>
      </c>
    </row>
    <row r="126" spans="1:17" ht="15.75">
      <c r="A126" t="s">
        <v>773</v>
      </c>
      <c r="B126" t="s">
        <v>1377</v>
      </c>
      <c r="C126" t="str">
        <f>Financeiros!C13</f>
        <v>(Neutralidade) CDE</v>
      </c>
      <c r="D126">
        <v>2</v>
      </c>
      <c r="E126">
        <v>2</v>
      </c>
      <c r="F126">
        <f>Financeiros!F13</f>
        <v>20</v>
      </c>
      <c r="G126">
        <f>Financeiros!G13</f>
        <v>60</v>
      </c>
      <c r="H126">
        <f>Financeiros!H13</f>
        <v>20</v>
      </c>
      <c r="I126">
        <f>Financeiros!I13</f>
        <v>3</v>
      </c>
      <c r="J126">
        <f>Financeiros!J13</f>
        <v>15</v>
      </c>
      <c r="K126">
        <f>Financeiros!K13</f>
        <v>9</v>
      </c>
      <c r="L126">
        <v>99</v>
      </c>
      <c r="M126">
        <v>9</v>
      </c>
      <c r="N126">
        <v>4</v>
      </c>
      <c r="O126">
        <v>99999</v>
      </c>
      <c r="P126" s="234">
        <f t="shared" ca="1" si="3"/>
        <v>-3.5622777486537253E-4</v>
      </c>
      <c r="Q126" s="249">
        <f ca="1">Financeiros!E13</f>
        <v>-3.5622777486537253E-4</v>
      </c>
    </row>
    <row r="127" spans="1:17" ht="15.75">
      <c r="A127" t="s">
        <v>773</v>
      </c>
      <c r="B127" t="s">
        <v>1377</v>
      </c>
      <c r="C127" t="str">
        <f>Financeiros!C14</f>
        <v>(Neutralidade) CFURH</v>
      </c>
      <c r="D127">
        <v>2</v>
      </c>
      <c r="E127">
        <v>2</v>
      </c>
      <c r="F127">
        <f>Financeiros!F14</f>
        <v>20</v>
      </c>
      <c r="G127">
        <f>Financeiros!G14</f>
        <v>60</v>
      </c>
      <c r="H127">
        <f>Financeiros!H14</f>
        <v>20</v>
      </c>
      <c r="I127">
        <f>Financeiros!I14</f>
        <v>3</v>
      </c>
      <c r="J127">
        <f>Financeiros!J14</f>
        <v>16</v>
      </c>
      <c r="K127">
        <f>Financeiros!K14</f>
        <v>9</v>
      </c>
      <c r="L127">
        <v>99</v>
      </c>
      <c r="M127">
        <v>9</v>
      </c>
      <c r="N127">
        <v>4</v>
      </c>
      <c r="O127">
        <v>99999</v>
      </c>
      <c r="P127" s="234">
        <f t="shared" ca="1" si="3"/>
        <v>0</v>
      </c>
      <c r="Q127" s="249">
        <f ca="1">Financeiros!E14</f>
        <v>0</v>
      </c>
    </row>
    <row r="128" spans="1:17" ht="15.75">
      <c r="A128" t="s">
        <v>773</v>
      </c>
      <c r="B128" t="s">
        <v>1377</v>
      </c>
      <c r="C128" t="str">
        <f>Financeiros!C15</f>
        <v>(Neutralidade) ESS/EER</v>
      </c>
      <c r="D128">
        <v>2</v>
      </c>
      <c r="E128">
        <v>2</v>
      </c>
      <c r="F128">
        <f>Financeiros!F15</f>
        <v>20</v>
      </c>
      <c r="G128">
        <f>Financeiros!G15</f>
        <v>60</v>
      </c>
      <c r="H128">
        <f>Financeiros!H15</f>
        <v>20</v>
      </c>
      <c r="I128">
        <f>Financeiros!I15</f>
        <v>3</v>
      </c>
      <c r="J128">
        <f>Financeiros!J15</f>
        <v>17</v>
      </c>
      <c r="K128">
        <f>Financeiros!K15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3"/>
        <v>5.6872141136662285E-4</v>
      </c>
      <c r="Q128" s="249">
        <f ca="1">Financeiros!E15</f>
        <v>5.6872141136662285E-4</v>
      </c>
    </row>
    <row r="129" spans="1:17" ht="15.75">
      <c r="A129" t="s">
        <v>773</v>
      </c>
      <c r="B129" t="s">
        <v>1377</v>
      </c>
      <c r="C129" t="str">
        <f>Financeiros!C16</f>
        <v>(Neutralidade) PROINFA</v>
      </c>
      <c r="D129">
        <v>2</v>
      </c>
      <c r="E129">
        <v>2</v>
      </c>
      <c r="F129">
        <f>Financeiros!F16</f>
        <v>20</v>
      </c>
      <c r="G129">
        <f>Financeiros!G16</f>
        <v>60</v>
      </c>
      <c r="H129">
        <f>Financeiros!H16</f>
        <v>20</v>
      </c>
      <c r="I129">
        <f>Financeiros!I16</f>
        <v>3</v>
      </c>
      <c r="J129">
        <f>Financeiros!J16</f>
        <v>18</v>
      </c>
      <c r="K129">
        <f>Financeiros!K16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3"/>
        <v>-3.0187534132014813E-5</v>
      </c>
      <c r="Q129" s="249">
        <f ca="1">Financeiros!E16</f>
        <v>-3.0187534132014813E-5</v>
      </c>
    </row>
    <row r="130" spans="1:17" ht="15.75">
      <c r="A130" t="s">
        <v>773</v>
      </c>
      <c r="B130" t="s">
        <v>1377</v>
      </c>
      <c r="C130" t="str">
        <f>Financeiros!C17</f>
        <v>(Neutralidade) P&amp;D e PEE</v>
      </c>
      <c r="D130">
        <v>2</v>
      </c>
      <c r="E130">
        <v>2</v>
      </c>
      <c r="F130">
        <f>Financeiros!F17</f>
        <v>20</v>
      </c>
      <c r="G130">
        <f>Financeiros!G17</f>
        <v>60</v>
      </c>
      <c r="H130">
        <f>Financeiros!H17</f>
        <v>20</v>
      </c>
      <c r="I130">
        <f>Financeiros!I17</f>
        <v>3</v>
      </c>
      <c r="J130">
        <f>Financeiros!J17</f>
        <v>19</v>
      </c>
      <c r="K130">
        <f>Financeiros!K17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3"/>
        <v>0</v>
      </c>
      <c r="Q130" s="249">
        <f ca="1">Financeiros!E17</f>
        <v>0</v>
      </c>
    </row>
    <row r="131" spans="1:17" ht="15.75">
      <c r="A131" t="s">
        <v>773</v>
      </c>
      <c r="B131" t="s">
        <v>1377</v>
      </c>
      <c r="C131" t="str">
        <f>Financeiros!C18</f>
        <v>(Neutralidade) CDE conta covid-19</v>
      </c>
      <c r="D131">
        <v>2</v>
      </c>
      <c r="E131">
        <v>2</v>
      </c>
      <c r="F131">
        <f>Financeiros!F18</f>
        <v>20</v>
      </c>
      <c r="G131">
        <f>Financeiros!G18</f>
        <v>60</v>
      </c>
      <c r="H131">
        <f>Financeiros!H18</f>
        <v>73</v>
      </c>
      <c r="I131">
        <f>Financeiros!I18</f>
        <v>3</v>
      </c>
      <c r="J131">
        <f>Financeiros!J18</f>
        <v>12</v>
      </c>
      <c r="K131">
        <f>Financeiros!K18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3"/>
        <v>-9.0974220352472651E-5</v>
      </c>
      <c r="Q131" s="249">
        <f ca="1">Financeiros!E18</f>
        <v>-9.0974220352472651E-5</v>
      </c>
    </row>
    <row r="132" spans="1:17" ht="15.75">
      <c r="A132" t="s">
        <v>773</v>
      </c>
      <c r="B132" t="s">
        <v>1377</v>
      </c>
      <c r="C132" t="str">
        <f>Financeiros!C19</f>
        <v>(Neutralidade)Financeiro Covid</v>
      </c>
      <c r="D132">
        <v>2</v>
      </c>
      <c r="E132">
        <v>2</v>
      </c>
      <c r="F132">
        <f>Financeiros!F19</f>
        <v>20</v>
      </c>
      <c r="G132">
        <f>Financeiros!G19</f>
        <v>60</v>
      </c>
      <c r="H132">
        <f>Financeiros!H19</f>
        <v>235</v>
      </c>
      <c r="I132">
        <f>Financeiros!I19</f>
        <v>4</v>
      </c>
      <c r="J132">
        <f>Financeiros!J19</f>
        <v>999</v>
      </c>
      <c r="K132">
        <f>Financeiros!K19</f>
        <v>9</v>
      </c>
      <c r="L132">
        <v>99</v>
      </c>
      <c r="M132">
        <v>9</v>
      </c>
      <c r="N132">
        <v>4</v>
      </c>
      <c r="O132">
        <v>99999</v>
      </c>
      <c r="P132" s="234">
        <f t="shared" ref="P132:P133" ca="1" si="7">IF(ISNUMBER(Q132),Q132,0)</f>
        <v>6.9952262018230574E-4</v>
      </c>
      <c r="Q132" s="249">
        <f ca="1">Financeiros!E19</f>
        <v>6.9952262018230574E-4</v>
      </c>
    </row>
    <row r="133" spans="1:17" ht="15.75">
      <c r="A133" t="s">
        <v>773</v>
      </c>
      <c r="B133" t="s">
        <v>1377</v>
      </c>
      <c r="C133" t="str">
        <f>Financeiros!C20</f>
        <v>(Neutralidade)Crédito Pis Cofins</v>
      </c>
      <c r="D133">
        <v>2</v>
      </c>
      <c r="E133">
        <v>2</v>
      </c>
      <c r="F133">
        <f>Financeiros!F20</f>
        <v>20</v>
      </c>
      <c r="G133">
        <f>Financeiros!G20</f>
        <v>60</v>
      </c>
      <c r="H133">
        <f>Financeiros!H20</f>
        <v>179</v>
      </c>
      <c r="I133">
        <f>Financeiros!I20</f>
        <v>99</v>
      </c>
      <c r="J133">
        <f>Financeiros!J20</f>
        <v>999</v>
      </c>
      <c r="K133">
        <f>Financeiros!K20</f>
        <v>3</v>
      </c>
      <c r="L133">
        <v>99</v>
      </c>
      <c r="M133">
        <v>9</v>
      </c>
      <c r="N133">
        <v>4</v>
      </c>
      <c r="O133">
        <v>99999</v>
      </c>
      <c r="P133" s="234">
        <f t="shared" ca="1" si="7"/>
        <v>0</v>
      </c>
      <c r="Q133" s="249">
        <f ca="1">Financeiros!E20</f>
        <v>0</v>
      </c>
    </row>
    <row r="134" spans="1:17" ht="15.75">
      <c r="A134" t="s">
        <v>773</v>
      </c>
      <c r="B134" t="s">
        <v>1377</v>
      </c>
      <c r="C134" t="str">
        <f>Financeiros!C21</f>
        <v>Ajuste CUST RB + PIS Cofins RB</v>
      </c>
      <c r="D134">
        <v>2</v>
      </c>
      <c r="E134">
        <v>2</v>
      </c>
      <c r="F134">
        <f>Financeiros!F21</f>
        <v>22</v>
      </c>
      <c r="G134">
        <f>Financeiros!G21</f>
        <v>60</v>
      </c>
      <c r="H134">
        <f>Financeiros!H21</f>
        <v>999</v>
      </c>
      <c r="I134">
        <f>Financeiros!I21</f>
        <v>1</v>
      </c>
      <c r="J134">
        <f>Financeiros!J21</f>
        <v>1</v>
      </c>
      <c r="K134">
        <f>Financeiros!K21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3"/>
        <v>4.7004708530537032E-3</v>
      </c>
      <c r="Q134" s="249">
        <f ca="1">Financeiros!E21</f>
        <v>4.7004708530537032E-3</v>
      </c>
    </row>
    <row r="135" spans="1:17" ht="15.75">
      <c r="A135" t="s">
        <v>773</v>
      </c>
      <c r="B135" t="s">
        <v>1377</v>
      </c>
      <c r="C135" t="str">
        <f>Financeiros!C22</f>
        <v>Ajuste CUST RB Fronteira + PIS Cofins RB Fronteira</v>
      </c>
      <c r="D135">
        <v>2</v>
      </c>
      <c r="E135">
        <v>2</v>
      </c>
      <c r="F135">
        <f>Financeiros!F22</f>
        <v>22</v>
      </c>
      <c r="G135">
        <f>Financeiros!G22</f>
        <v>60</v>
      </c>
      <c r="H135">
        <f>Financeiros!H22</f>
        <v>999</v>
      </c>
      <c r="I135">
        <f>Financeiros!I22</f>
        <v>1</v>
      </c>
      <c r="J135">
        <f>Financeiros!J22</f>
        <v>2</v>
      </c>
      <c r="K135">
        <f>Financeiros!K22</f>
        <v>9</v>
      </c>
      <c r="L135">
        <v>99</v>
      </c>
      <c r="M135">
        <v>9</v>
      </c>
      <c r="N135">
        <v>4</v>
      </c>
      <c r="O135">
        <v>99999</v>
      </c>
      <c r="P135" s="234">
        <f t="shared" ca="1" si="3"/>
        <v>7.9688952831416028E-4</v>
      </c>
      <c r="Q135" s="249">
        <f ca="1">Financeiros!E22</f>
        <v>7.9688952831416028E-4</v>
      </c>
    </row>
    <row r="136" spans="1:17" ht="15.75">
      <c r="A136" t="s">
        <v>773</v>
      </c>
      <c r="B136" t="s">
        <v>1377</v>
      </c>
      <c r="C136" t="str">
        <f>Financeiros!C23</f>
        <v>Manual de Contabilidade do Setor Elétrico</v>
      </c>
      <c r="D136">
        <v>2</v>
      </c>
      <c r="E136">
        <v>2</v>
      </c>
      <c r="F136">
        <f>Financeiros!F23</f>
        <v>22</v>
      </c>
      <c r="G136">
        <f>Financeiros!G23</f>
        <v>60</v>
      </c>
      <c r="H136">
        <f>Financeiros!H23</f>
        <v>167</v>
      </c>
      <c r="I136">
        <f>Financeiros!I23</f>
        <v>4</v>
      </c>
      <c r="J136">
        <f>Financeiros!J23</f>
        <v>999</v>
      </c>
      <c r="K136">
        <f>Financeiros!K23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3"/>
        <v>0</v>
      </c>
      <c r="Q136" s="249">
        <f ca="1">Financeiros!E23</f>
        <v>0</v>
      </c>
    </row>
    <row r="137" spans="1:17" ht="15.75">
      <c r="A137" t="s">
        <v>773</v>
      </c>
      <c r="B137" t="s">
        <v>1377</v>
      </c>
      <c r="C137" t="str">
        <f>Financeiros!C24</f>
        <v>Financeiro CDE Eletrobras</v>
      </c>
      <c r="D137">
        <v>2</v>
      </c>
      <c r="E137">
        <v>2</v>
      </c>
      <c r="F137">
        <f>Financeiros!F24</f>
        <v>22</v>
      </c>
      <c r="G137">
        <f>Financeiros!G24</f>
        <v>60</v>
      </c>
      <c r="H137">
        <f>Financeiros!H24</f>
        <v>999</v>
      </c>
      <c r="I137">
        <f>Financeiros!I24</f>
        <v>3</v>
      </c>
      <c r="J137">
        <f>Financeiros!J24</f>
        <v>28</v>
      </c>
      <c r="K137">
        <f>Financeiros!K24</f>
        <v>9</v>
      </c>
      <c r="L137">
        <v>99</v>
      </c>
      <c r="M137">
        <v>9</v>
      </c>
      <c r="N137">
        <v>4</v>
      </c>
      <c r="O137">
        <v>99999</v>
      </c>
      <c r="P137" s="234">
        <f t="shared" ca="1" si="3"/>
        <v>0</v>
      </c>
      <c r="Q137" s="249">
        <f ca="1">Financeiros!E24</f>
        <v>0</v>
      </c>
    </row>
    <row r="138" spans="1:17" ht="15.75">
      <c r="A138" t="s">
        <v>773</v>
      </c>
      <c r="B138" t="s">
        <v>1377</v>
      </c>
      <c r="C138" t="str">
        <f>Financeiros!C25</f>
        <v>Ajustes Processos anteriores - Geração Propria</v>
      </c>
      <c r="D138">
        <v>2</v>
      </c>
      <c r="E138">
        <v>2</v>
      </c>
      <c r="F138">
        <f>Financeiros!F25</f>
        <v>22</v>
      </c>
      <c r="G138">
        <f>Financeiros!G25</f>
        <v>60</v>
      </c>
      <c r="H138">
        <f>Financeiros!H25</f>
        <v>999</v>
      </c>
      <c r="I138">
        <f>Financeiros!I25</f>
        <v>2</v>
      </c>
      <c r="J138">
        <f>Financeiros!J25</f>
        <v>30</v>
      </c>
      <c r="K138">
        <f>Financeiros!K25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3"/>
        <v>1.765176838287898E-2</v>
      </c>
      <c r="Q138" s="249">
        <f ca="1">Financeiros!E25</f>
        <v>1.765176838287898E-2</v>
      </c>
    </row>
    <row r="139" spans="1:17" ht="15.75">
      <c r="A139" t="s">
        <v>773</v>
      </c>
      <c r="B139" t="s">
        <v>1377</v>
      </c>
      <c r="C139" t="str">
        <f>Financeiros!C27</f>
        <v>Compensação DIC FIC</v>
      </c>
      <c r="D139">
        <v>2</v>
      </c>
      <c r="E139">
        <v>2</v>
      </c>
      <c r="F139">
        <f>Financeiros!F27</f>
        <v>22</v>
      </c>
      <c r="G139">
        <f>Financeiros!G27</f>
        <v>60</v>
      </c>
      <c r="H139">
        <f>Financeiros!H27</f>
        <v>178</v>
      </c>
      <c r="I139">
        <f>Financeiros!I27</f>
        <v>1</v>
      </c>
      <c r="J139">
        <f>Financeiros!J27</f>
        <v>7</v>
      </c>
      <c r="K139">
        <f>Financeiros!K27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3"/>
        <v>-1.7174858277238948E-4</v>
      </c>
      <c r="Q139" s="249">
        <f ca="1">Financeiros!E27</f>
        <v>-1.7174858277238948E-4</v>
      </c>
    </row>
    <row r="140" spans="1:17" ht="15.75">
      <c r="A140" t="s">
        <v>773</v>
      </c>
      <c r="B140" t="s">
        <v>1377</v>
      </c>
      <c r="C140" t="str">
        <f>Financeiros!C28</f>
        <v>Subvenção CDE</v>
      </c>
      <c r="D140">
        <v>2</v>
      </c>
      <c r="E140">
        <v>2</v>
      </c>
      <c r="F140">
        <f>Financeiros!F28</f>
        <v>22</v>
      </c>
      <c r="G140">
        <f>Financeiros!G28</f>
        <v>60</v>
      </c>
      <c r="H140">
        <f>Financeiros!H28</f>
        <v>999</v>
      </c>
      <c r="I140">
        <f>Financeiros!I28</f>
        <v>4</v>
      </c>
      <c r="J140">
        <f>Financeiros!J28</f>
        <v>999</v>
      </c>
      <c r="K140">
        <f>Financeiros!K28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3"/>
        <v>-8.4267179022477823E-2</v>
      </c>
      <c r="Q140" s="249">
        <f ca="1">Financeiros!E28</f>
        <v>-8.4267179022477823E-2</v>
      </c>
    </row>
    <row r="141" spans="1:17" ht="15.75">
      <c r="A141" t="s">
        <v>773</v>
      </c>
      <c r="B141" t="s">
        <v>1377</v>
      </c>
      <c r="C141" t="str">
        <f>Financeiros!C29</f>
        <v>Retenção de Adicionais de Bandeiras Tarifárias</v>
      </c>
      <c r="D141">
        <v>2</v>
      </c>
      <c r="E141">
        <v>2</v>
      </c>
      <c r="F141">
        <f>Financeiros!F29</f>
        <v>22</v>
      </c>
      <c r="G141">
        <f>Financeiros!G29</f>
        <v>60</v>
      </c>
      <c r="H141">
        <f>Financeiros!H29</f>
        <v>999</v>
      </c>
      <c r="I141">
        <f>Financeiros!I29</f>
        <v>2</v>
      </c>
      <c r="J141">
        <f>Financeiros!J29</f>
        <v>30</v>
      </c>
      <c r="K141">
        <f>Financeiros!K29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85" ca="1" si="8">IF(ISNUMBER(Q141),Q141,0)</f>
        <v>0</v>
      </c>
      <c r="Q141" s="249">
        <f ca="1">Financeiros!E29</f>
        <v>0</v>
      </c>
    </row>
    <row r="142" spans="1:17" ht="15.75">
      <c r="A142" t="s">
        <v>773</v>
      </c>
      <c r="B142" t="s">
        <v>1377</v>
      </c>
      <c r="C142" t="str">
        <f>Financeiros!C30</f>
        <v>Multa LPT</v>
      </c>
      <c r="D142">
        <v>2</v>
      </c>
      <c r="E142">
        <v>2</v>
      </c>
      <c r="F142">
        <f>Financeiros!F30</f>
        <v>22</v>
      </c>
      <c r="G142">
        <f>Financeiros!G30</f>
        <v>60</v>
      </c>
      <c r="H142">
        <f>Financeiros!H30</f>
        <v>120</v>
      </c>
      <c r="I142">
        <f>Financeiros!I30</f>
        <v>4</v>
      </c>
      <c r="J142">
        <f>Financeiros!J30</f>
        <v>999</v>
      </c>
      <c r="K142">
        <f>Financeiros!K30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8"/>
        <v>0</v>
      </c>
      <c r="Q142" s="249">
        <f ca="1">Financeiros!E30</f>
        <v>0</v>
      </c>
    </row>
    <row r="143" spans="1:17" ht="15.75">
      <c r="A143" t="s">
        <v>773</v>
      </c>
      <c r="B143" t="s">
        <v>1377</v>
      </c>
      <c r="C143" t="str">
        <f>Financeiros!C32</f>
        <v>Repasse de ICMS CUSD</v>
      </c>
      <c r="D143">
        <v>2</v>
      </c>
      <c r="E143">
        <v>2</v>
      </c>
      <c r="F143">
        <f>Financeiros!F32</f>
        <v>22</v>
      </c>
      <c r="G143">
        <f>Financeiros!G32</f>
        <v>60</v>
      </c>
      <c r="H143">
        <f>Financeiros!H32</f>
        <v>999</v>
      </c>
      <c r="I143">
        <f>Financeiros!I32</f>
        <v>1</v>
      </c>
      <c r="J143">
        <f>Financeiros!J32</f>
        <v>7</v>
      </c>
      <c r="K143">
        <f>Financeiros!K32</f>
        <v>9</v>
      </c>
      <c r="L143">
        <v>99</v>
      </c>
      <c r="M143">
        <v>9</v>
      </c>
      <c r="N143">
        <v>4</v>
      </c>
      <c r="O143">
        <v>99999</v>
      </c>
      <c r="P143" s="234">
        <f t="shared" ref="P143:P144" ca="1" si="9">IF(ISNUMBER(Q143),Q143,0)</f>
        <v>0</v>
      </c>
      <c r="Q143" s="249">
        <f ca="1">Financeiros!E32</f>
        <v>0</v>
      </c>
    </row>
    <row r="144" spans="1:17" ht="15.75">
      <c r="A144" t="s">
        <v>773</v>
      </c>
      <c r="B144" t="s">
        <v>1377</v>
      </c>
      <c r="C144" t="str">
        <f>Financeiros!C33</f>
        <v>Repasse de ICMS TE</v>
      </c>
      <c r="D144">
        <v>2</v>
      </c>
      <c r="E144">
        <v>2</v>
      </c>
      <c r="F144">
        <f>Financeiros!F33</f>
        <v>22</v>
      </c>
      <c r="G144">
        <f>Financeiros!G33</f>
        <v>60</v>
      </c>
      <c r="H144">
        <f>Financeiros!H33</f>
        <v>999</v>
      </c>
      <c r="I144">
        <f>Financeiros!I33</f>
        <v>2</v>
      </c>
      <c r="J144">
        <f>Financeiros!J33</f>
        <v>30</v>
      </c>
      <c r="K144">
        <f>Financeiros!K33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0</v>
      </c>
      <c r="Q144" s="249">
        <f ca="1">Financeiros!E33</f>
        <v>0</v>
      </c>
    </row>
    <row r="145" spans="1:17" ht="15.75">
      <c r="A145" t="s">
        <v>773</v>
      </c>
      <c r="B145" t="s">
        <v>1377</v>
      </c>
      <c r="C145" t="str">
        <f>Financeiros!C34</f>
        <v>Ressarcimento P&amp;D</v>
      </c>
      <c r="D145">
        <v>2</v>
      </c>
      <c r="E145">
        <v>2</v>
      </c>
      <c r="F145">
        <f>Financeiros!F34</f>
        <v>22</v>
      </c>
      <c r="G145">
        <f>Financeiros!G34</f>
        <v>60</v>
      </c>
      <c r="H145">
        <f>Financeiros!H34</f>
        <v>231</v>
      </c>
      <c r="I145">
        <f>Financeiros!I34</f>
        <v>3</v>
      </c>
      <c r="J145">
        <f>Financeiros!J34</f>
        <v>19</v>
      </c>
      <c r="K145">
        <f>Financeiros!K34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8"/>
        <v>0</v>
      </c>
      <c r="Q145" s="249">
        <f ca="1">Financeiros!E34</f>
        <v>0</v>
      </c>
    </row>
    <row r="146" spans="1:17" ht="15.75">
      <c r="A146" t="s">
        <v>773</v>
      </c>
      <c r="B146" t="s">
        <v>1377</v>
      </c>
      <c r="C146" t="str">
        <f>Financeiros!C35</f>
        <v>Efeito Conta COVID</v>
      </c>
      <c r="D146">
        <v>2</v>
      </c>
      <c r="E146">
        <v>2</v>
      </c>
      <c r="F146">
        <f>Financeiros!F35</f>
        <v>22</v>
      </c>
      <c r="G146">
        <f>Financeiros!G35</f>
        <v>60</v>
      </c>
      <c r="H146">
        <f>Financeiros!H35</f>
        <v>235</v>
      </c>
      <c r="I146">
        <f>Financeiros!I35</f>
        <v>4</v>
      </c>
      <c r="J146">
        <f>Financeiros!J35</f>
        <v>999</v>
      </c>
      <c r="K146">
        <f>Financeiros!K35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8"/>
        <v>-3.0823291473036168E-2</v>
      </c>
      <c r="Q146" s="249">
        <f ca="1">Financeiros!E35</f>
        <v>-3.0823291473036168E-2</v>
      </c>
    </row>
    <row r="147" spans="1:17" ht="15.75">
      <c r="A147" t="s">
        <v>773</v>
      </c>
      <c r="B147" t="s">
        <v>1377</v>
      </c>
      <c r="C147" t="str">
        <f>Financeiros!C36</f>
        <v>Previsão de Risco Hidrologico</v>
      </c>
      <c r="D147">
        <v>2</v>
      </c>
      <c r="E147">
        <v>2</v>
      </c>
      <c r="F147">
        <f>Financeiros!F36</f>
        <v>22</v>
      </c>
      <c r="G147">
        <f>Financeiros!G36</f>
        <v>60</v>
      </c>
      <c r="H147">
        <f>Financeiros!H36</f>
        <v>220</v>
      </c>
      <c r="I147">
        <f>Financeiros!I36</f>
        <v>2</v>
      </c>
      <c r="J147">
        <f>Financeiros!J36</f>
        <v>30</v>
      </c>
      <c r="K147">
        <f>Financeiros!K36</f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52" ca="1" si="10">IF(ISNUMBER(Q147),Q147,0)</f>
        <v>2.8572777757655387E-2</v>
      </c>
      <c r="Q147" s="249">
        <f ca="1">Financeiros!E36</f>
        <v>2.8572777757655387E-2</v>
      </c>
    </row>
    <row r="148" spans="1:17" ht="15.75">
      <c r="A148" t="s">
        <v>773</v>
      </c>
      <c r="B148" t="s">
        <v>1377</v>
      </c>
      <c r="C148" t="str">
        <f>Financeiros!C37</f>
        <v>Efeito COVID da Supridora</v>
      </c>
      <c r="D148">
        <v>2</v>
      </c>
      <c r="E148">
        <v>2</v>
      </c>
      <c r="F148">
        <f>Financeiros!F37</f>
        <v>22</v>
      </c>
      <c r="G148">
        <f>Financeiros!G37</f>
        <v>60</v>
      </c>
      <c r="H148">
        <f>Financeiros!H37</f>
        <v>999</v>
      </c>
      <c r="I148">
        <f>Financeiros!I37</f>
        <v>2</v>
      </c>
      <c r="J148">
        <f>Financeiros!J37</f>
        <v>30</v>
      </c>
      <c r="K148">
        <f>Financeiros!K37</f>
        <v>9</v>
      </c>
      <c r="L148">
        <v>99</v>
      </c>
      <c r="M148">
        <v>9</v>
      </c>
      <c r="N148">
        <v>4</v>
      </c>
      <c r="O148">
        <v>99999</v>
      </c>
      <c r="P148" s="234">
        <f t="shared" ca="1" si="10"/>
        <v>0</v>
      </c>
      <c r="Q148" s="249">
        <f ca="1">Financeiros!E37</f>
        <v>0</v>
      </c>
    </row>
    <row r="149" spans="1:17" ht="15.75">
      <c r="A149" t="s">
        <v>773</v>
      </c>
      <c r="B149" t="s">
        <v>1377</v>
      </c>
      <c r="C149" t="str">
        <f>Financeiros!C38</f>
        <v>Crédito de Pis Cofins sobre ICMS</v>
      </c>
      <c r="D149">
        <v>2</v>
      </c>
      <c r="E149">
        <v>2</v>
      </c>
      <c r="F149">
        <f>Financeiros!F38</f>
        <v>22</v>
      </c>
      <c r="G149">
        <f>Financeiros!G38</f>
        <v>60</v>
      </c>
      <c r="H149">
        <f>Financeiros!H38</f>
        <v>179</v>
      </c>
      <c r="I149">
        <f>Financeiros!I38</f>
        <v>99</v>
      </c>
      <c r="J149">
        <f>Financeiros!J38</f>
        <v>999</v>
      </c>
      <c r="K149">
        <f>Financeiros!K38</f>
        <v>3</v>
      </c>
      <c r="L149">
        <v>99</v>
      </c>
      <c r="M149">
        <v>9</v>
      </c>
      <c r="N149">
        <v>4</v>
      </c>
      <c r="O149">
        <v>99999</v>
      </c>
      <c r="P149" s="234">
        <f t="shared" ca="1" si="10"/>
        <v>0</v>
      </c>
      <c r="Q149" s="249">
        <f ca="1">Financeiros!E38</f>
        <v>0</v>
      </c>
    </row>
    <row r="150" spans="1:17" ht="15.75">
      <c r="A150" t="s">
        <v>773</v>
      </c>
      <c r="B150" t="s">
        <v>1377</v>
      </c>
      <c r="C150" t="str">
        <f>Financeiros!C39</f>
        <v>Diferimento Pis Cofins TUSD</v>
      </c>
      <c r="D150">
        <v>2</v>
      </c>
      <c r="E150">
        <v>2</v>
      </c>
      <c r="F150">
        <f>Financeiros!F39</f>
        <v>22</v>
      </c>
      <c r="G150">
        <f>Financeiros!G39</f>
        <v>60</v>
      </c>
      <c r="H150">
        <f>Financeiros!H39</f>
        <v>999</v>
      </c>
      <c r="I150">
        <f>Financeiros!I39</f>
        <v>1</v>
      </c>
      <c r="J150">
        <f>Financeiros!J39</f>
        <v>7</v>
      </c>
      <c r="K150">
        <f>Financeiros!K39</f>
        <v>9</v>
      </c>
      <c r="L150">
        <v>99</v>
      </c>
      <c r="M150">
        <v>9</v>
      </c>
      <c r="N150">
        <v>4</v>
      </c>
      <c r="O150">
        <v>99999</v>
      </c>
      <c r="P150" s="234">
        <f t="shared" ca="1" si="10"/>
        <v>0</v>
      </c>
      <c r="Q150" s="249">
        <f ca="1">Financeiros!E39</f>
        <v>0</v>
      </c>
    </row>
    <row r="151" spans="1:17" ht="15.75">
      <c r="A151" t="s">
        <v>773</v>
      </c>
      <c r="B151" t="s">
        <v>1377</v>
      </c>
      <c r="C151" t="str">
        <f>Financeiros!C40</f>
        <v>Diferimento Pis Cofins TE</v>
      </c>
      <c r="D151">
        <v>2</v>
      </c>
      <c r="E151">
        <v>2</v>
      </c>
      <c r="F151">
        <f>Financeiros!F40</f>
        <v>22</v>
      </c>
      <c r="G151">
        <f>Financeiros!G40</f>
        <v>60</v>
      </c>
      <c r="H151">
        <f>Financeiros!H40</f>
        <v>999</v>
      </c>
      <c r="I151">
        <f>Financeiros!I40</f>
        <v>2</v>
      </c>
      <c r="J151">
        <f>Financeiros!J40</f>
        <v>30</v>
      </c>
      <c r="K151">
        <f>Financeiros!K40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0"/>
        <v>0</v>
      </c>
      <c r="Q151" s="249">
        <f ca="1">Financeiros!E40</f>
        <v>0</v>
      </c>
    </row>
    <row r="152" spans="1:17" ht="15.75">
      <c r="A152" t="s">
        <v>773</v>
      </c>
      <c r="B152" t="s">
        <v>1377</v>
      </c>
      <c r="C152" t="str">
        <f>Financeiros!C41</f>
        <v>Financeiros associados ao §7º do Art. 88 da Ren 414/2021</v>
      </c>
      <c r="D152">
        <v>2</v>
      </c>
      <c r="E152">
        <v>2</v>
      </c>
      <c r="F152">
        <f>Financeiros!F41</f>
        <v>22</v>
      </c>
      <c r="G152">
        <f>Financeiros!G41</f>
        <v>60</v>
      </c>
      <c r="H152">
        <f>Financeiros!H41</f>
        <v>999</v>
      </c>
      <c r="I152">
        <f>Financeiros!I41</f>
        <v>2</v>
      </c>
      <c r="J152">
        <f>Financeiros!J41</f>
        <v>30</v>
      </c>
      <c r="K152">
        <f>Financeiros!K41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0"/>
        <v>0</v>
      </c>
      <c r="Q152" s="249">
        <f ca="1">Financeiros!E41</f>
        <v>0</v>
      </c>
    </row>
    <row r="153" spans="1:17" ht="15.75">
      <c r="A153" t="s">
        <v>773</v>
      </c>
      <c r="B153" t="s">
        <v>1377</v>
      </c>
      <c r="C153" t="str">
        <f>Financeiros!C42</f>
        <v>Custo Distribuidora - Conta Covid - Art 4º - REN 952/2021</v>
      </c>
      <c r="D153">
        <v>2</v>
      </c>
      <c r="E153">
        <v>2</v>
      </c>
      <c r="F153">
        <f>Financeiros!F42</f>
        <v>22</v>
      </c>
      <c r="G153">
        <f>Financeiros!G42</f>
        <v>60</v>
      </c>
      <c r="H153">
        <f>Financeiros!H42</f>
        <v>235</v>
      </c>
      <c r="I153">
        <f>Financeiros!I42</f>
        <v>4</v>
      </c>
      <c r="J153">
        <f>Financeiros!J42</f>
        <v>999</v>
      </c>
      <c r="K153">
        <f>Financeiros!K42</f>
        <v>9</v>
      </c>
      <c r="L153">
        <v>99</v>
      </c>
      <c r="M153">
        <v>9</v>
      </c>
      <c r="N153">
        <v>4</v>
      </c>
      <c r="O153">
        <v>99999</v>
      </c>
      <c r="P153" s="234">
        <f t="shared" ref="P153:P155" ca="1" si="11">IF(ISNUMBER(Q153),Q153,0)</f>
        <v>-2.965427627678856E-3</v>
      </c>
      <c r="Q153" s="249">
        <f ca="1">Financeiros!E42</f>
        <v>-2.965427627678856E-3</v>
      </c>
    </row>
    <row r="154" spans="1:17" ht="15.75">
      <c r="A154" t="s">
        <v>773</v>
      </c>
      <c r="B154" t="s">
        <v>1377</v>
      </c>
      <c r="C154">
        <f>Financeiros!C43</f>
        <v>0</v>
      </c>
      <c r="D154">
        <v>2</v>
      </c>
      <c r="E154">
        <v>2</v>
      </c>
      <c r="F154">
        <f>Financeiros!F43</f>
        <v>22</v>
      </c>
      <c r="G154">
        <f>Financeiros!G43</f>
        <v>60</v>
      </c>
      <c r="H154">
        <f>Financeiros!H43</f>
        <v>235</v>
      </c>
      <c r="I154">
        <f>Financeiros!I43</f>
        <v>4</v>
      </c>
      <c r="J154">
        <f>Financeiros!J43</f>
        <v>999</v>
      </c>
      <c r="K154">
        <f>Financeiros!K43</f>
        <v>9</v>
      </c>
      <c r="L154">
        <v>99</v>
      </c>
      <c r="M154">
        <v>9</v>
      </c>
      <c r="N154">
        <v>4</v>
      </c>
      <c r="O154">
        <v>99999</v>
      </c>
      <c r="P154" s="234">
        <f t="shared" ca="1" si="11"/>
        <v>0</v>
      </c>
      <c r="Q154" s="249">
        <f ca="1">Financeiros!E43</f>
        <v>0</v>
      </c>
    </row>
    <row r="155" spans="1:17" ht="15.75">
      <c r="A155" t="s">
        <v>773</v>
      </c>
      <c r="B155" t="s">
        <v>1377</v>
      </c>
      <c r="C155" t="str">
        <f>Financeiros!C44</f>
        <v>Ajustes Processos anteriores - Encargo de Conexão</v>
      </c>
      <c r="D155">
        <v>2</v>
      </c>
      <c r="E155">
        <v>2</v>
      </c>
      <c r="F155">
        <v>999</v>
      </c>
      <c r="G155">
        <v>999999</v>
      </c>
      <c r="H155">
        <v>999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4</v>
      </c>
      <c r="O155">
        <v>99999</v>
      </c>
      <c r="P155" s="234">
        <f t="shared" ca="1" si="11"/>
        <v>-1.9824858668399483E-4</v>
      </c>
      <c r="Q155" s="249">
        <f ca="1">Financeiros!E44</f>
        <v>-1.9824858668399483E-4</v>
      </c>
    </row>
    <row r="156" spans="1:17" ht="15.75">
      <c r="A156" t="s">
        <v>773</v>
      </c>
      <c r="B156" t="s">
        <v>1377</v>
      </c>
      <c r="C156">
        <f>Financeiros!C45</f>
        <v>0</v>
      </c>
      <c r="D156">
        <v>2</v>
      </c>
      <c r="E156">
        <v>2</v>
      </c>
      <c r="F156">
        <f>Financeiros!F45</f>
        <v>22</v>
      </c>
      <c r="G156">
        <f>Financeiros!G45</f>
        <v>60</v>
      </c>
      <c r="H156">
        <f>Financeiros!H45</f>
        <v>999</v>
      </c>
      <c r="I156">
        <f>Financeiros!I45</f>
        <v>99</v>
      </c>
      <c r="J156">
        <f>Financeiros!J45</f>
        <v>999</v>
      </c>
      <c r="K156">
        <f>Financeiros!K45</f>
        <v>9</v>
      </c>
      <c r="L156">
        <v>99</v>
      </c>
      <c r="M156">
        <v>9</v>
      </c>
      <c r="N156">
        <v>4</v>
      </c>
      <c r="O156">
        <v>99999</v>
      </c>
      <c r="P156" s="234">
        <f t="shared" ref="P156:P158" ca="1" si="12">IF(ISNUMBER(Q156),Q156,0)</f>
        <v>-1.9824858668399483E-4</v>
      </c>
      <c r="Q156" s="249">
        <f ca="1">Financeiros!E44</f>
        <v>-1.9824858668399483E-4</v>
      </c>
    </row>
    <row r="157" spans="1:17" ht="15.75">
      <c r="A157" t="s">
        <v>773</v>
      </c>
      <c r="B157" t="s">
        <v>1377</v>
      </c>
      <c r="C157">
        <f>Financeiros!C46</f>
        <v>0</v>
      </c>
      <c r="D157">
        <v>2</v>
      </c>
      <c r="E157">
        <v>2</v>
      </c>
      <c r="F157">
        <f>Financeiros!F46</f>
        <v>22</v>
      </c>
      <c r="G157">
        <f>Financeiros!G46</f>
        <v>60</v>
      </c>
      <c r="H157">
        <f>Financeiros!H46</f>
        <v>999</v>
      </c>
      <c r="I157">
        <f>Financeiros!I46</f>
        <v>99</v>
      </c>
      <c r="J157">
        <f>Financeiros!J46</f>
        <v>999</v>
      </c>
      <c r="K157">
        <f>Financeiros!K46</f>
        <v>9</v>
      </c>
      <c r="L157">
        <v>99</v>
      </c>
      <c r="M157">
        <v>9</v>
      </c>
      <c r="N157">
        <v>4</v>
      </c>
      <c r="O157">
        <v>99999</v>
      </c>
      <c r="P157" s="234">
        <f t="shared" ca="1" si="12"/>
        <v>0</v>
      </c>
      <c r="Q157" s="249">
        <f ca="1">Financeiros!E45</f>
        <v>0</v>
      </c>
    </row>
    <row r="158" spans="1:17" ht="15.75">
      <c r="A158" t="s">
        <v>773</v>
      </c>
      <c r="B158" t="s">
        <v>1377</v>
      </c>
      <c r="C158">
        <f>Financeiros!C47</f>
        <v>0</v>
      </c>
      <c r="D158">
        <v>2</v>
      </c>
      <c r="E158">
        <v>2</v>
      </c>
      <c r="F158">
        <f>Financeiros!F47</f>
        <v>22</v>
      </c>
      <c r="G158">
        <f>Financeiros!G47</f>
        <v>60</v>
      </c>
      <c r="H158">
        <f>Financeiros!H47</f>
        <v>999</v>
      </c>
      <c r="I158">
        <f>Financeiros!I47</f>
        <v>99</v>
      </c>
      <c r="J158">
        <f>Financeiros!J47</f>
        <v>999</v>
      </c>
      <c r="K158">
        <f>Financeiros!K47</f>
        <v>9</v>
      </c>
      <c r="L158">
        <v>99</v>
      </c>
      <c r="M158">
        <v>9</v>
      </c>
      <c r="N158">
        <v>4</v>
      </c>
      <c r="O158">
        <v>99999</v>
      </c>
      <c r="P158" s="234">
        <f t="shared" ca="1" si="12"/>
        <v>0</v>
      </c>
      <c r="Q158" s="249">
        <f ca="1">Financeiros!E46</f>
        <v>0</v>
      </c>
    </row>
    <row r="159" spans="1:17" ht="15.75" hidden="1">
      <c r="A159" t="s">
        <v>773</v>
      </c>
      <c r="B159" t="s">
        <v>72</v>
      </c>
      <c r="C159" t="s">
        <v>1574</v>
      </c>
      <c r="D159">
        <v>1</v>
      </c>
      <c r="E159">
        <v>1</v>
      </c>
      <c r="F159">
        <v>11</v>
      </c>
      <c r="G159">
        <v>20</v>
      </c>
      <c r="H159">
        <v>999</v>
      </c>
      <c r="I159">
        <v>3</v>
      </c>
      <c r="J159">
        <v>19</v>
      </c>
      <c r="K159">
        <v>9</v>
      </c>
      <c r="L159">
        <v>99</v>
      </c>
      <c r="M159">
        <v>9</v>
      </c>
      <c r="N159">
        <v>4</v>
      </c>
      <c r="O159">
        <v>99999</v>
      </c>
      <c r="P159" s="234">
        <f t="shared" si="8"/>
        <v>1E-14</v>
      </c>
      <c r="Q159" s="234">
        <f>Encargos!O6</f>
        <v>1E-14</v>
      </c>
    </row>
    <row r="160" spans="1:17" ht="15.75" hidden="1">
      <c r="A160" t="s">
        <v>1575</v>
      </c>
      <c r="B160" t="s">
        <v>1576</v>
      </c>
      <c r="C160" t="s">
        <v>1577</v>
      </c>
      <c r="D160">
        <v>1</v>
      </c>
      <c r="E160">
        <v>99</v>
      </c>
      <c r="F160">
        <v>999</v>
      </c>
      <c r="G160">
        <v>999999</v>
      </c>
      <c r="H160">
        <v>30</v>
      </c>
      <c r="I160">
        <v>99</v>
      </c>
      <c r="J160">
        <v>999</v>
      </c>
      <c r="K160">
        <v>9</v>
      </c>
      <c r="L160">
        <v>99</v>
      </c>
      <c r="M160">
        <v>9</v>
      </c>
      <c r="N160">
        <v>9</v>
      </c>
      <c r="O160">
        <v>99999</v>
      </c>
      <c r="P160" s="234">
        <f t="shared" si="8"/>
        <v>0</v>
      </c>
      <c r="Q160" s="234">
        <f>IF(CAPA!K9="Atrasado",1,0)</f>
        <v>0</v>
      </c>
    </row>
    <row r="161" spans="1:21" ht="15.75" hidden="1">
      <c r="A161" t="s">
        <v>1575</v>
      </c>
      <c r="B161" t="s">
        <v>1576</v>
      </c>
      <c r="C161" t="s">
        <v>1578</v>
      </c>
      <c r="D161">
        <v>1</v>
      </c>
      <c r="E161">
        <v>99</v>
      </c>
      <c r="F161">
        <v>999</v>
      </c>
      <c r="G161">
        <v>999999</v>
      </c>
      <c r="H161">
        <v>31</v>
      </c>
      <c r="I161">
        <v>99</v>
      </c>
      <c r="J161">
        <v>999</v>
      </c>
      <c r="K161">
        <v>9</v>
      </c>
      <c r="L161">
        <v>99</v>
      </c>
      <c r="M161">
        <v>9</v>
      </c>
      <c r="N161">
        <v>9</v>
      </c>
      <c r="O161">
        <v>99999</v>
      </c>
      <c r="P161" s="234">
        <f t="shared" ca="1" si="8"/>
        <v>1</v>
      </c>
      <c r="Q161" s="234">
        <f ca="1">IF(CAPA!C110="Revisão",1,0)</f>
        <v>1</v>
      </c>
    </row>
    <row r="162" spans="1:21" ht="15.75" hidden="1">
      <c r="A162" t="s">
        <v>1575</v>
      </c>
      <c r="B162" t="s">
        <v>1576</v>
      </c>
      <c r="C162" t="s">
        <v>1579</v>
      </c>
      <c r="D162">
        <v>1</v>
      </c>
      <c r="E162">
        <v>99</v>
      </c>
      <c r="F162">
        <v>999</v>
      </c>
      <c r="G162">
        <v>999999</v>
      </c>
      <c r="H162">
        <v>32</v>
      </c>
      <c r="I162">
        <v>99</v>
      </c>
      <c r="J162">
        <v>999</v>
      </c>
      <c r="K162">
        <v>9</v>
      </c>
      <c r="L162">
        <v>99</v>
      </c>
      <c r="M162">
        <v>9</v>
      </c>
      <c r="N162">
        <v>9</v>
      </c>
      <c r="O162">
        <v>99999</v>
      </c>
      <c r="P162" s="234">
        <f t="shared" si="8"/>
        <v>1</v>
      </c>
      <c r="Q162" s="234">
        <v>1</v>
      </c>
    </row>
    <row r="163" spans="1:21" ht="15.75" hidden="1">
      <c r="A163" t="s">
        <v>773</v>
      </c>
      <c r="B163" t="s">
        <v>975</v>
      </c>
      <c r="C163" t="s">
        <v>1580</v>
      </c>
      <c r="D163">
        <v>1</v>
      </c>
      <c r="E163">
        <v>3</v>
      </c>
      <c r="F163">
        <v>50</v>
      </c>
      <c r="G163">
        <v>1</v>
      </c>
      <c r="H163">
        <v>999</v>
      </c>
      <c r="I163">
        <v>99</v>
      </c>
      <c r="J163">
        <v>999</v>
      </c>
      <c r="K163">
        <v>9</v>
      </c>
      <c r="L163">
        <v>99</v>
      </c>
      <c r="M163">
        <v>9</v>
      </c>
      <c r="N163">
        <v>4</v>
      </c>
      <c r="O163">
        <v>99999</v>
      </c>
      <c r="P163" s="234">
        <f t="shared" si="8"/>
        <v>0</v>
      </c>
      <c r="Q163" s="254">
        <f>IF(CAPA!P1="VERDADEIRO",0,Calc_Mercado!J15)</f>
        <v>0</v>
      </c>
    </row>
    <row r="164" spans="1:21" ht="15.75" hidden="1">
      <c r="A164" s="16" t="s">
        <v>773</v>
      </c>
      <c r="B164" s="16" t="s">
        <v>120</v>
      </c>
      <c r="C164" s="16" t="s">
        <v>822</v>
      </c>
      <c r="D164" s="16">
        <v>4</v>
      </c>
      <c r="E164" s="16">
        <v>1</v>
      </c>
      <c r="F164" s="16">
        <v>51</v>
      </c>
      <c r="G164" s="16">
        <v>55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2</v>
      </c>
      <c r="O164" s="16">
        <v>99999</v>
      </c>
      <c r="P164" s="234">
        <f t="shared" ca="1" si="8"/>
        <v>448090.0275398728</v>
      </c>
      <c r="Q164" s="234">
        <f ca="1">Energia!C5</f>
        <v>448090.0275398728</v>
      </c>
    </row>
    <row r="165" spans="1:21" ht="15.75" hidden="1">
      <c r="A165" s="16" t="s">
        <v>773</v>
      </c>
      <c r="B165" s="16" t="s">
        <v>120</v>
      </c>
      <c r="C165" s="16" t="s">
        <v>822</v>
      </c>
      <c r="D165" s="16">
        <v>4</v>
      </c>
      <c r="E165" s="16">
        <v>1</v>
      </c>
      <c r="F165" s="16">
        <v>51</v>
      </c>
      <c r="G165" s="16">
        <v>55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3</v>
      </c>
      <c r="O165" s="16">
        <v>99999</v>
      </c>
      <c r="P165" s="234">
        <f t="shared" ca="1" si="8"/>
        <v>69982352.887938932</v>
      </c>
      <c r="Q165" s="234">
        <f ca="1">Energia!C14</f>
        <v>69982352.887938932</v>
      </c>
    </row>
    <row r="166" spans="1:21" ht="15.75" hidden="1">
      <c r="A166" s="16" t="s">
        <v>773</v>
      </c>
      <c r="B166" s="16" t="s">
        <v>1581</v>
      </c>
      <c r="C166" s="16" t="s">
        <v>1582</v>
      </c>
      <c r="D166" s="16">
        <v>4</v>
      </c>
      <c r="E166" s="16">
        <v>1</v>
      </c>
      <c r="F166" s="16">
        <v>51</v>
      </c>
      <c r="G166" s="16">
        <v>100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3</v>
      </c>
      <c r="O166" s="16">
        <v>99999</v>
      </c>
      <c r="P166" s="234">
        <f t="shared" ca="1" si="8"/>
        <v>142868735.25351241</v>
      </c>
      <c r="Q166" s="234">
        <f ca="1">Resultado!D34</f>
        <v>142868735.25351241</v>
      </c>
    </row>
    <row r="167" spans="1:21" ht="15.75" hidden="1">
      <c r="A167" s="16" t="s">
        <v>773</v>
      </c>
      <c r="B167" s="16" t="s">
        <v>109</v>
      </c>
      <c r="C167" s="16" t="s">
        <v>837</v>
      </c>
      <c r="D167" s="16">
        <v>4</v>
      </c>
      <c r="E167" s="16">
        <v>1</v>
      </c>
      <c r="F167" s="16">
        <v>51</v>
      </c>
      <c r="G167" s="16">
        <v>101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si="8"/>
        <v>98760388.681823671</v>
      </c>
      <c r="Q167" s="234">
        <f>Resultado!D39</f>
        <v>98760388.681823671</v>
      </c>
    </row>
    <row r="168" spans="1:21" ht="15.75" hidden="1">
      <c r="A168" s="16" t="s">
        <v>773</v>
      </c>
      <c r="B168" s="16" t="s">
        <v>72</v>
      </c>
      <c r="C168" s="16" t="s">
        <v>837</v>
      </c>
      <c r="D168" s="16">
        <v>4</v>
      </c>
      <c r="E168" s="16">
        <v>1</v>
      </c>
      <c r="F168" s="16">
        <v>51</v>
      </c>
      <c r="G168" s="16">
        <v>104</v>
      </c>
      <c r="H168" s="16">
        <v>999</v>
      </c>
      <c r="I168" s="16">
        <v>3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8"/>
        <v>53548938.012307599</v>
      </c>
      <c r="Q168" s="234">
        <f ca="1">Resultado!D14</f>
        <v>53548938.012307599</v>
      </c>
    </row>
    <row r="169" spans="1:21" ht="15.75" hidden="1">
      <c r="A169" s="16" t="s">
        <v>773</v>
      </c>
      <c r="B169" s="16" t="s">
        <v>794</v>
      </c>
      <c r="C169" s="16" t="s">
        <v>837</v>
      </c>
      <c r="D169" s="16">
        <v>4</v>
      </c>
      <c r="E169" s="16">
        <v>1</v>
      </c>
      <c r="F169" s="16">
        <v>51</v>
      </c>
      <c r="G169" s="16">
        <v>105</v>
      </c>
      <c r="H169" s="16">
        <v>999</v>
      </c>
      <c r="I169" s="16">
        <v>1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si="8"/>
        <v>19337444.35326587</v>
      </c>
      <c r="Q169" s="234">
        <f>Resultado!D24</f>
        <v>19337444.35326587</v>
      </c>
    </row>
    <row r="170" spans="1:21" ht="15.75" hidden="1">
      <c r="A170" s="16" t="s">
        <v>773</v>
      </c>
      <c r="B170" s="16" t="s">
        <v>1581</v>
      </c>
      <c r="C170" s="16" t="s">
        <v>1583</v>
      </c>
      <c r="D170" s="16">
        <v>4</v>
      </c>
      <c r="E170" s="16">
        <v>1</v>
      </c>
      <c r="F170" s="16">
        <v>51</v>
      </c>
      <c r="G170" s="16">
        <v>106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3</v>
      </c>
      <c r="O170" s="16">
        <v>99999</v>
      </c>
      <c r="P170" s="234">
        <f t="shared" ca="1" si="8"/>
        <v>241629123.93533608</v>
      </c>
      <c r="Q170" s="234">
        <f ca="1">Resultado!C5</f>
        <v>241629123.93533608</v>
      </c>
    </row>
    <row r="171" spans="1:21" ht="15.75" hidden="1">
      <c r="A171" s="16" t="s">
        <v>773</v>
      </c>
      <c r="B171" s="16" t="s">
        <v>120</v>
      </c>
      <c r="C171" s="16" t="s">
        <v>1584</v>
      </c>
      <c r="D171" s="16">
        <v>4</v>
      </c>
      <c r="E171" s="16">
        <v>1</v>
      </c>
      <c r="F171" s="16">
        <v>51</v>
      </c>
      <c r="G171" s="16">
        <v>108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4</v>
      </c>
      <c r="O171" s="16">
        <v>99999</v>
      </c>
      <c r="P171" s="234">
        <f t="shared" ca="1" si="8"/>
        <v>3.6097044206978485E-2</v>
      </c>
      <c r="Q171" s="234">
        <f ca="1">Energia!N15</f>
        <v>3.6097044206978485E-2</v>
      </c>
    </row>
    <row r="172" spans="1:21" ht="15.75" hidden="1">
      <c r="A172" s="16" t="s">
        <v>773</v>
      </c>
      <c r="B172" s="16" t="s">
        <v>120</v>
      </c>
      <c r="C172" s="16" t="s">
        <v>1585</v>
      </c>
      <c r="D172" s="16">
        <v>4</v>
      </c>
      <c r="E172" s="16">
        <v>1</v>
      </c>
      <c r="F172" s="16">
        <v>51</v>
      </c>
      <c r="G172" s="16">
        <v>108</v>
      </c>
      <c r="H172" s="16">
        <v>999</v>
      </c>
      <c r="I172" s="16">
        <v>99</v>
      </c>
      <c r="J172" s="16">
        <v>999</v>
      </c>
      <c r="K172" s="16">
        <v>9</v>
      </c>
      <c r="L172" s="16">
        <v>99</v>
      </c>
      <c r="M172" s="16">
        <v>9</v>
      </c>
      <c r="N172" s="16">
        <v>2</v>
      </c>
      <c r="O172" s="16">
        <v>99999</v>
      </c>
      <c r="P172" s="234">
        <f t="shared" ca="1" si="8"/>
        <v>15611.207099999998</v>
      </c>
      <c r="Q172" s="234">
        <f ca="1">Energia!N18+Energia!N19</f>
        <v>15611.207099999998</v>
      </c>
    </row>
    <row r="173" spans="1:21" ht="15.75" hidden="1">
      <c r="A173" s="16" t="s">
        <v>772</v>
      </c>
      <c r="B173" s="16" t="s">
        <v>120</v>
      </c>
      <c r="C173" s="16" t="s">
        <v>837</v>
      </c>
      <c r="D173" s="16">
        <v>4</v>
      </c>
      <c r="E173" s="16">
        <v>1</v>
      </c>
      <c r="F173" s="16">
        <v>52</v>
      </c>
      <c r="G173" s="16">
        <v>55</v>
      </c>
      <c r="H173" s="16">
        <v>999</v>
      </c>
      <c r="I173" s="16">
        <v>99</v>
      </c>
      <c r="J173" s="16">
        <v>999</v>
      </c>
      <c r="K173" s="16">
        <v>9</v>
      </c>
      <c r="L173" s="16">
        <v>99</v>
      </c>
      <c r="M173" s="16">
        <v>9</v>
      </c>
      <c r="N173" s="16">
        <v>3</v>
      </c>
      <c r="O173" s="16">
        <v>99999</v>
      </c>
      <c r="P173" s="234">
        <f t="shared" ca="1" si="8"/>
        <v>69517323.217412025</v>
      </c>
      <c r="Q173" s="234">
        <f ca="1">Resultado!C33</f>
        <v>69517323.217412025</v>
      </c>
      <c r="R173" s="255"/>
      <c r="S173" s="255"/>
      <c r="T173" s="255"/>
      <c r="U173" s="255"/>
    </row>
    <row r="174" spans="1:21" ht="15.75" hidden="1">
      <c r="A174" s="16" t="s">
        <v>772</v>
      </c>
      <c r="B174" s="16" t="s">
        <v>1581</v>
      </c>
      <c r="C174" s="16" t="s">
        <v>1586</v>
      </c>
      <c r="D174" s="16">
        <v>4</v>
      </c>
      <c r="E174" s="16">
        <v>1</v>
      </c>
      <c r="F174" s="16">
        <v>52</v>
      </c>
      <c r="G174" s="16">
        <v>106</v>
      </c>
      <c r="H174" s="16">
        <v>999</v>
      </c>
      <c r="I174" s="16">
        <v>99</v>
      </c>
      <c r="J174" s="16">
        <v>999</v>
      </c>
      <c r="K174" s="16">
        <v>9</v>
      </c>
      <c r="L174" s="16">
        <v>99</v>
      </c>
      <c r="M174" s="16">
        <v>9</v>
      </c>
      <c r="N174" s="16">
        <v>3</v>
      </c>
      <c r="O174" s="16">
        <v>99999</v>
      </c>
      <c r="P174" s="234">
        <f t="shared" ca="1" si="8"/>
        <v>211021808.17335004</v>
      </c>
      <c r="Q174" s="234">
        <f ca="1">Mercado_RA0_Reais</f>
        <v>211021808.17335004</v>
      </c>
    </row>
    <row r="175" spans="1:21" ht="15.75">
      <c r="A175" s="16" t="s">
        <v>773</v>
      </c>
      <c r="B175" s="16" t="s">
        <v>1377</v>
      </c>
      <c r="C175" s="16" t="s">
        <v>837</v>
      </c>
      <c r="D175" s="16">
        <v>4</v>
      </c>
      <c r="E175" s="16">
        <v>2</v>
      </c>
      <c r="F175" s="16">
        <v>51</v>
      </c>
      <c r="G175" s="16">
        <v>102</v>
      </c>
      <c r="H175" s="16">
        <v>999</v>
      </c>
      <c r="I175" s="16">
        <v>99</v>
      </c>
      <c r="J175" s="16">
        <v>999</v>
      </c>
      <c r="K175" s="16">
        <v>9</v>
      </c>
      <c r="L175" s="16">
        <v>99</v>
      </c>
      <c r="M175" s="16">
        <v>9</v>
      </c>
      <c r="N175" s="16">
        <v>3</v>
      </c>
      <c r="O175" s="16">
        <v>99999</v>
      </c>
      <c r="P175" s="234">
        <f t="shared" ca="1" si="8"/>
        <v>-14556315.698918642</v>
      </c>
      <c r="Q175" s="234">
        <f ca="1">Financeiros!D7</f>
        <v>-14556315.698918642</v>
      </c>
    </row>
    <row r="176" spans="1:21" ht="15.75">
      <c r="A176" s="16" t="s">
        <v>773</v>
      </c>
      <c r="B176" s="16" t="s">
        <v>1377</v>
      </c>
      <c r="C176" s="16" t="s">
        <v>837</v>
      </c>
      <c r="D176" s="16">
        <v>4</v>
      </c>
      <c r="E176" s="16">
        <v>2</v>
      </c>
      <c r="F176" s="16">
        <v>51</v>
      </c>
      <c r="G176" s="16">
        <v>102</v>
      </c>
      <c r="H176" s="16">
        <v>999</v>
      </c>
      <c r="I176" s="16">
        <v>99</v>
      </c>
      <c r="J176" s="16">
        <v>999</v>
      </c>
      <c r="K176" s="16">
        <v>9</v>
      </c>
      <c r="L176" s="16">
        <v>99</v>
      </c>
      <c r="M176" s="16">
        <v>9</v>
      </c>
      <c r="N176" s="16">
        <v>4</v>
      </c>
      <c r="O176" s="16">
        <v>99999</v>
      </c>
      <c r="P176" s="234">
        <f t="shared" ca="1" si="8"/>
        <v>-6.898014866293313E-2</v>
      </c>
      <c r="Q176" s="234">
        <f ca="1">Financeiros!E7</f>
        <v>-6.898014866293313E-2</v>
      </c>
    </row>
    <row r="177" spans="1:17" ht="15.75" hidden="1">
      <c r="A177" s="16" t="s">
        <v>773</v>
      </c>
      <c r="B177" s="16" t="s">
        <v>1587</v>
      </c>
      <c r="C177" s="16" t="s">
        <v>1588</v>
      </c>
      <c r="D177" s="16">
        <v>4</v>
      </c>
      <c r="E177" s="16">
        <v>99</v>
      </c>
      <c r="F177" s="16">
        <v>51</v>
      </c>
      <c r="G177" s="16">
        <v>109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3</v>
      </c>
      <c r="O177" s="16">
        <v>99999</v>
      </c>
      <c r="P177" s="234">
        <f t="shared" ca="1" si="8"/>
        <v>227072808.23641744</v>
      </c>
      <c r="Q177" s="234">
        <f ca="1">Resultado!C5+Financeiros!D7/(1+IF(Q163&gt;0,Q163,0))</f>
        <v>227072808.23641744</v>
      </c>
    </row>
    <row r="178" spans="1:17" ht="15.75" hidden="1">
      <c r="A178" t="s">
        <v>773</v>
      </c>
      <c r="B178" t="s">
        <v>72</v>
      </c>
      <c r="C178" t="s">
        <v>1574</v>
      </c>
      <c r="D178">
        <v>1</v>
      </c>
      <c r="E178">
        <v>1</v>
      </c>
      <c r="F178">
        <v>11</v>
      </c>
      <c r="G178">
        <v>20</v>
      </c>
      <c r="H178">
        <v>999</v>
      </c>
      <c r="I178">
        <v>3</v>
      </c>
      <c r="J178">
        <v>19</v>
      </c>
      <c r="K178">
        <v>9</v>
      </c>
      <c r="L178">
        <v>99</v>
      </c>
      <c r="M178">
        <v>9</v>
      </c>
      <c r="N178">
        <v>4</v>
      </c>
      <c r="O178">
        <v>99999</v>
      </c>
      <c r="P178" s="234">
        <f t="shared" si="8"/>
        <v>1E-14</v>
      </c>
      <c r="Q178" s="234">
        <f>Encargos!O6</f>
        <v>1E-14</v>
      </c>
    </row>
    <row r="179" spans="1:17" ht="15.75" hidden="1">
      <c r="A179" s="1007" t="s">
        <v>1589</v>
      </c>
      <c r="B179" s="1007" t="s">
        <v>1589</v>
      </c>
      <c r="C179" s="1007" t="s">
        <v>1589</v>
      </c>
      <c r="D179" s="1007">
        <v>99</v>
      </c>
      <c r="E179" s="1007">
        <v>99</v>
      </c>
      <c r="F179" s="1007">
        <v>999</v>
      </c>
      <c r="G179" s="1007">
        <v>999999</v>
      </c>
      <c r="H179" s="1007">
        <v>999</v>
      </c>
      <c r="I179" s="1007">
        <v>99</v>
      </c>
      <c r="J179" s="1007">
        <v>999</v>
      </c>
      <c r="K179" s="1007">
        <v>9</v>
      </c>
      <c r="L179" s="1007">
        <v>99</v>
      </c>
      <c r="M179" s="1007">
        <v>9</v>
      </c>
      <c r="N179" s="1007">
        <v>99</v>
      </c>
      <c r="O179" s="1007">
        <v>99999</v>
      </c>
      <c r="P179" s="401">
        <f t="shared" si="8"/>
        <v>0</v>
      </c>
      <c r="Q179" s="401">
        <v>0</v>
      </c>
    </row>
    <row r="180" spans="1:17" ht="15.75" hidden="1">
      <c r="A180" s="1007" t="s">
        <v>1589</v>
      </c>
      <c r="B180" s="1007" t="s">
        <v>1589</v>
      </c>
      <c r="C180" s="1007" t="s">
        <v>1589</v>
      </c>
      <c r="D180" s="1007">
        <v>99</v>
      </c>
      <c r="E180" s="1007">
        <v>99</v>
      </c>
      <c r="F180" s="1007">
        <v>999</v>
      </c>
      <c r="G180" s="1007">
        <v>999999</v>
      </c>
      <c r="H180" s="1007">
        <v>999</v>
      </c>
      <c r="I180" s="1007">
        <v>99</v>
      </c>
      <c r="J180" s="1007">
        <v>999</v>
      </c>
      <c r="K180" s="1007">
        <v>9</v>
      </c>
      <c r="L180" s="1007">
        <v>99</v>
      </c>
      <c r="M180" s="1007">
        <v>9</v>
      </c>
      <c r="N180" s="1007">
        <v>99</v>
      </c>
      <c r="O180" s="1007">
        <v>99999</v>
      </c>
      <c r="P180" s="401">
        <f t="shared" si="8"/>
        <v>0</v>
      </c>
      <c r="Q180" s="401">
        <v>0</v>
      </c>
    </row>
    <row r="181" spans="1:17" ht="15.75" hidden="1">
      <c r="A181" s="1007" t="s">
        <v>1589</v>
      </c>
      <c r="B181" s="1007" t="s">
        <v>1589</v>
      </c>
      <c r="C181" s="1007" t="s">
        <v>1589</v>
      </c>
      <c r="D181" s="1007">
        <v>99</v>
      </c>
      <c r="E181" s="1007">
        <v>99</v>
      </c>
      <c r="F181" s="1007">
        <v>999</v>
      </c>
      <c r="G181" s="1007">
        <v>999999</v>
      </c>
      <c r="H181" s="1007">
        <v>999</v>
      </c>
      <c r="I181" s="1007">
        <v>99</v>
      </c>
      <c r="J181" s="1007">
        <v>999</v>
      </c>
      <c r="K181" s="1007">
        <v>9</v>
      </c>
      <c r="L181" s="1007">
        <v>99</v>
      </c>
      <c r="M181" s="1007">
        <v>9</v>
      </c>
      <c r="N181" s="1007">
        <v>99</v>
      </c>
      <c r="O181" s="1007">
        <v>99999</v>
      </c>
      <c r="P181" s="401">
        <f t="shared" si="8"/>
        <v>0</v>
      </c>
      <c r="Q181" s="401">
        <v>0</v>
      </c>
    </row>
    <row r="182" spans="1:17" ht="15.75" hidden="1">
      <c r="A182" t="s">
        <v>773</v>
      </c>
      <c r="B182" t="s">
        <v>975</v>
      </c>
      <c r="C182" t="s">
        <v>1580</v>
      </c>
      <c r="D182">
        <v>1</v>
      </c>
      <c r="E182">
        <v>3</v>
      </c>
      <c r="F182">
        <v>50</v>
      </c>
      <c r="G182">
        <v>1</v>
      </c>
      <c r="H182">
        <v>999</v>
      </c>
      <c r="I182">
        <v>99</v>
      </c>
      <c r="J182">
        <v>999</v>
      </c>
      <c r="K182">
        <v>9</v>
      </c>
      <c r="L182">
        <v>99</v>
      </c>
      <c r="M182">
        <v>9</v>
      </c>
      <c r="N182">
        <v>4</v>
      </c>
      <c r="O182">
        <v>99999</v>
      </c>
      <c r="P182" s="234">
        <f t="shared" si="8"/>
        <v>0</v>
      </c>
      <c r="Q182" s="254">
        <f>IF(CAPA!P1="VERDADEIRO",0,Calc_Mercado!J15)</f>
        <v>0</v>
      </c>
    </row>
    <row r="183" spans="1:17" ht="15.75" hidden="1">
      <c r="A183" s="16" t="s">
        <v>773</v>
      </c>
      <c r="B183" s="16" t="s">
        <v>120</v>
      </c>
      <c r="C183" s="16" t="s">
        <v>822</v>
      </c>
      <c r="D183" s="16">
        <v>4</v>
      </c>
      <c r="E183" s="16">
        <v>1</v>
      </c>
      <c r="F183" s="16">
        <v>51</v>
      </c>
      <c r="G183" s="16">
        <v>55</v>
      </c>
      <c r="H183" s="16">
        <v>999</v>
      </c>
      <c r="I183" s="16">
        <v>99</v>
      </c>
      <c r="J183" s="16">
        <v>999</v>
      </c>
      <c r="K183" s="16">
        <v>9</v>
      </c>
      <c r="L183" s="16">
        <v>99</v>
      </c>
      <c r="M183" s="16">
        <v>9</v>
      </c>
      <c r="N183" s="16">
        <v>2</v>
      </c>
      <c r="O183" s="16">
        <v>99999</v>
      </c>
      <c r="P183" s="234">
        <f t="shared" ca="1" si="8"/>
        <v>448090.0275398728</v>
      </c>
      <c r="Q183" s="234">
        <f ca="1">Energia!C5</f>
        <v>448090.0275398728</v>
      </c>
    </row>
    <row r="184" spans="1:17" ht="15.75" hidden="1">
      <c r="A184" s="16" t="s">
        <v>773</v>
      </c>
      <c r="B184" s="16" t="s">
        <v>120</v>
      </c>
      <c r="C184" s="16" t="s">
        <v>822</v>
      </c>
      <c r="D184" s="16">
        <v>4</v>
      </c>
      <c r="E184" s="16">
        <v>1</v>
      </c>
      <c r="F184" s="16">
        <v>51</v>
      </c>
      <c r="G184" s="16">
        <v>55</v>
      </c>
      <c r="H184" s="16">
        <v>999</v>
      </c>
      <c r="I184" s="16">
        <v>99</v>
      </c>
      <c r="J184" s="16">
        <v>999</v>
      </c>
      <c r="K184" s="16">
        <v>9</v>
      </c>
      <c r="L184" s="16">
        <v>99</v>
      </c>
      <c r="M184" s="16">
        <v>9</v>
      </c>
      <c r="N184" s="16">
        <v>3</v>
      </c>
      <c r="O184" s="16">
        <v>99999</v>
      </c>
      <c r="P184" s="234">
        <f t="shared" ca="1" si="8"/>
        <v>69982352.887938932</v>
      </c>
      <c r="Q184" s="234">
        <f ca="1">Energia!C14</f>
        <v>69982352.887938932</v>
      </c>
    </row>
    <row r="185" spans="1:17" ht="15.75" hidden="1">
      <c r="A185" s="16" t="s">
        <v>773</v>
      </c>
      <c r="B185" s="16" t="s">
        <v>120</v>
      </c>
      <c r="C185" s="16" t="s">
        <v>1590</v>
      </c>
      <c r="D185" s="16">
        <v>4</v>
      </c>
      <c r="E185" s="16">
        <v>1</v>
      </c>
      <c r="F185" s="16">
        <v>51</v>
      </c>
      <c r="G185" s="16">
        <v>107</v>
      </c>
      <c r="H185" s="16">
        <v>999</v>
      </c>
      <c r="I185" s="16">
        <v>99</v>
      </c>
      <c r="J185" s="16">
        <v>999</v>
      </c>
      <c r="K185" s="16">
        <v>9</v>
      </c>
      <c r="L185" s="16">
        <v>99</v>
      </c>
      <c r="M185" s="16">
        <v>9</v>
      </c>
      <c r="N185" s="16">
        <v>2</v>
      </c>
      <c r="O185" s="16">
        <v>99999</v>
      </c>
      <c r="P185" s="234">
        <f t="shared" ca="1" si="8"/>
        <v>52847.633539873044</v>
      </c>
      <c r="Q185" s="234">
        <f ca="1">SUM(LnkTXTPerdas)</f>
        <v>52847.633539873044</v>
      </c>
    </row>
    <row r="186" spans="1:17" ht="15.75" hidden="1">
      <c r="A186" s="16" t="s">
        <v>773</v>
      </c>
      <c r="B186" s="16" t="s">
        <v>1587</v>
      </c>
      <c r="C186" s="16" t="s">
        <v>1591</v>
      </c>
      <c r="D186" s="16">
        <v>4</v>
      </c>
      <c r="E186" s="16">
        <v>3</v>
      </c>
      <c r="F186" s="16">
        <v>50</v>
      </c>
      <c r="G186" s="16">
        <v>114</v>
      </c>
      <c r="H186" s="16">
        <v>999</v>
      </c>
      <c r="I186" s="16">
        <v>99</v>
      </c>
      <c r="J186" s="16">
        <v>999</v>
      </c>
      <c r="K186" s="16">
        <v>9</v>
      </c>
      <c r="L186" s="16">
        <v>99</v>
      </c>
      <c r="M186" s="16">
        <v>9</v>
      </c>
      <c r="N186" s="16">
        <v>1</v>
      </c>
      <c r="O186" s="16">
        <v>99999</v>
      </c>
      <c r="P186" s="234">
        <f t="shared" ref="P186:P220" ca="1" si="13">IF(ISNUMBER(Q186),Q186,0)</f>
        <v>862294</v>
      </c>
      <c r="Q186" s="234">
        <f ca="1">SUM(INDIRECT("dados_MercadoBase[D]"))</f>
        <v>862294</v>
      </c>
    </row>
    <row r="187" spans="1:17" ht="15.75" hidden="1">
      <c r="A187" s="16" t="s">
        <v>773</v>
      </c>
      <c r="B187" s="16" t="s">
        <v>1587</v>
      </c>
      <c r="C187" s="16" t="s">
        <v>1592</v>
      </c>
      <c r="D187" s="16">
        <v>4</v>
      </c>
      <c r="E187" s="16">
        <v>3</v>
      </c>
      <c r="F187" s="16">
        <v>50</v>
      </c>
      <c r="G187" s="16">
        <v>116</v>
      </c>
      <c r="H187" s="16">
        <v>999</v>
      </c>
      <c r="I187" s="16">
        <v>99</v>
      </c>
      <c r="J187" s="16">
        <v>999</v>
      </c>
      <c r="K187" s="16">
        <v>9</v>
      </c>
      <c r="L187" s="16">
        <v>99</v>
      </c>
      <c r="M187" s="16">
        <v>9</v>
      </c>
      <c r="N187" s="16">
        <v>2</v>
      </c>
      <c r="O187" s="16">
        <v>99999</v>
      </c>
      <c r="P187" s="234">
        <f t="shared" ca="1" si="13"/>
        <v>437760.47299999994</v>
      </c>
      <c r="Q187" s="234">
        <f ca="1">SUM(INDIRECT("dados_MercadoBase[TUSD_E]"))</f>
        <v>437760.47299999994</v>
      </c>
    </row>
    <row r="188" spans="1:17" ht="15.75" hidden="1">
      <c r="A188" t="s">
        <v>772</v>
      </c>
      <c r="B188" t="s">
        <v>794</v>
      </c>
      <c r="C188" t="s">
        <v>1593</v>
      </c>
      <c r="D188">
        <v>2</v>
      </c>
      <c r="E188">
        <v>1</v>
      </c>
      <c r="F188">
        <v>52</v>
      </c>
      <c r="G188">
        <v>999999</v>
      </c>
      <c r="H188">
        <v>999</v>
      </c>
      <c r="I188">
        <v>1</v>
      </c>
      <c r="J188">
        <v>1</v>
      </c>
      <c r="K188">
        <v>1</v>
      </c>
      <c r="L188">
        <v>99</v>
      </c>
      <c r="M188">
        <v>9</v>
      </c>
      <c r="N188">
        <v>3</v>
      </c>
      <c r="O188">
        <v>99999</v>
      </c>
      <c r="P188" s="234">
        <f t="shared" ca="1" si="13"/>
        <v>10485789.81131511</v>
      </c>
      <c r="Q188" s="234">
        <f ca="1">Resultado!C25</f>
        <v>10485789.81131511</v>
      </c>
    </row>
    <row r="189" spans="1:17" ht="15.75" hidden="1">
      <c r="A189" t="s">
        <v>772</v>
      </c>
      <c r="B189" t="s">
        <v>794</v>
      </c>
      <c r="C189" t="s">
        <v>1264</v>
      </c>
      <c r="D189">
        <v>2</v>
      </c>
      <c r="E189">
        <v>1</v>
      </c>
      <c r="F189">
        <v>52</v>
      </c>
      <c r="G189">
        <v>999999</v>
      </c>
      <c r="H189">
        <v>999</v>
      </c>
      <c r="I189">
        <v>1</v>
      </c>
      <c r="J189">
        <v>2</v>
      </c>
      <c r="K189">
        <v>1</v>
      </c>
      <c r="L189">
        <v>99</v>
      </c>
      <c r="M189">
        <v>9</v>
      </c>
      <c r="N189">
        <v>3</v>
      </c>
      <c r="O189">
        <v>99999</v>
      </c>
      <c r="P189" s="234">
        <f t="shared" ca="1" si="13"/>
        <v>2259181.8539222553</v>
      </c>
      <c r="Q189" s="234">
        <f ca="1">Resultado!C26</f>
        <v>2259181.8539222553</v>
      </c>
    </row>
    <row r="190" spans="1:17" ht="15.75" hidden="1">
      <c r="A190" t="s">
        <v>772</v>
      </c>
      <c r="B190" t="s">
        <v>794</v>
      </c>
      <c r="C190" t="s">
        <v>1539</v>
      </c>
      <c r="D190">
        <v>2</v>
      </c>
      <c r="E190">
        <v>1</v>
      </c>
      <c r="F190">
        <v>52</v>
      </c>
      <c r="G190">
        <v>999999</v>
      </c>
      <c r="H190">
        <v>999</v>
      </c>
      <c r="I190">
        <v>1</v>
      </c>
      <c r="J190">
        <v>3</v>
      </c>
      <c r="K190">
        <v>1</v>
      </c>
      <c r="L190">
        <v>99</v>
      </c>
      <c r="M190">
        <v>9</v>
      </c>
      <c r="N190">
        <v>3</v>
      </c>
      <c r="O190">
        <v>99999</v>
      </c>
      <c r="P190" s="234">
        <f t="shared" ca="1" si="13"/>
        <v>1062604.2435166286</v>
      </c>
      <c r="Q190" s="234">
        <f ca="1">Resultado!C31</f>
        <v>1062604.2435166286</v>
      </c>
    </row>
    <row r="191" spans="1:17" ht="15.75" hidden="1">
      <c r="A191" t="s">
        <v>772</v>
      </c>
      <c r="B191" t="s">
        <v>794</v>
      </c>
      <c r="C191" t="s">
        <v>1540</v>
      </c>
      <c r="D191">
        <v>2</v>
      </c>
      <c r="E191">
        <v>1</v>
      </c>
      <c r="F191">
        <v>52</v>
      </c>
      <c r="G191">
        <v>999999</v>
      </c>
      <c r="H191">
        <v>999</v>
      </c>
      <c r="I191">
        <v>1</v>
      </c>
      <c r="J191">
        <v>5</v>
      </c>
      <c r="K191">
        <v>1</v>
      </c>
      <c r="L191">
        <v>99</v>
      </c>
      <c r="M191">
        <v>9</v>
      </c>
      <c r="N191">
        <v>3</v>
      </c>
      <c r="O191">
        <v>99999</v>
      </c>
      <c r="P191" s="234">
        <f t="shared" si="13"/>
        <v>0</v>
      </c>
      <c r="Q191" s="234">
        <f>Resultado!C27</f>
        <v>0</v>
      </c>
    </row>
    <row r="192" spans="1:17" ht="15.75" hidden="1">
      <c r="A192" t="s">
        <v>772</v>
      </c>
      <c r="B192" t="s">
        <v>794</v>
      </c>
      <c r="C192" t="s">
        <v>1541</v>
      </c>
      <c r="D192">
        <v>2</v>
      </c>
      <c r="E192">
        <v>1</v>
      </c>
      <c r="F192">
        <v>52</v>
      </c>
      <c r="G192">
        <v>999999</v>
      </c>
      <c r="H192">
        <v>999</v>
      </c>
      <c r="I192">
        <v>1</v>
      </c>
      <c r="J192">
        <v>6</v>
      </c>
      <c r="K192">
        <v>1</v>
      </c>
      <c r="L192">
        <v>99</v>
      </c>
      <c r="M192">
        <v>9</v>
      </c>
      <c r="N192">
        <v>3</v>
      </c>
      <c r="O192">
        <v>99999</v>
      </c>
      <c r="P192" s="234">
        <f t="shared" si="13"/>
        <v>0</v>
      </c>
      <c r="Q192" s="234">
        <f>Resultado!C28</f>
        <v>0</v>
      </c>
    </row>
    <row r="193" spans="1:19" ht="15.75" hidden="1">
      <c r="A193" s="9" t="s">
        <v>773</v>
      </c>
      <c r="B193" t="s">
        <v>794</v>
      </c>
      <c r="C193" s="9" t="s">
        <v>1594</v>
      </c>
      <c r="D193">
        <v>1</v>
      </c>
      <c r="E193">
        <v>1</v>
      </c>
      <c r="F193">
        <v>51</v>
      </c>
      <c r="G193">
        <v>999999</v>
      </c>
      <c r="H193">
        <v>999</v>
      </c>
      <c r="I193">
        <v>1</v>
      </c>
      <c r="J193">
        <v>3</v>
      </c>
      <c r="K193">
        <v>9</v>
      </c>
      <c r="L193">
        <v>99</v>
      </c>
      <c r="M193">
        <v>9</v>
      </c>
      <c r="N193">
        <v>3</v>
      </c>
      <c r="O193">
        <v>99999</v>
      </c>
      <c r="P193" s="234">
        <f t="shared" si="13"/>
        <v>1146889.5423490694</v>
      </c>
      <c r="Q193" s="254">
        <f>Resultado!D31</f>
        <v>1146889.5423490694</v>
      </c>
    </row>
    <row r="194" spans="1:19" ht="15.75" hidden="1">
      <c r="A194" t="s">
        <v>773</v>
      </c>
      <c r="B194" t="s">
        <v>1587</v>
      </c>
      <c r="C194" s="9" t="s">
        <v>1595</v>
      </c>
      <c r="D194">
        <v>4</v>
      </c>
      <c r="E194">
        <v>3</v>
      </c>
      <c r="F194">
        <v>50</v>
      </c>
      <c r="G194">
        <v>117</v>
      </c>
      <c r="H194">
        <v>999</v>
      </c>
      <c r="I194">
        <v>99</v>
      </c>
      <c r="J194">
        <v>999</v>
      </c>
      <c r="K194">
        <v>9</v>
      </c>
      <c r="L194">
        <v>99</v>
      </c>
      <c r="M194">
        <v>9</v>
      </c>
      <c r="N194">
        <v>2</v>
      </c>
      <c r="O194">
        <v>99999</v>
      </c>
      <c r="P194" s="234">
        <f t="shared" ca="1" si="13"/>
        <v>395242.39399999991</v>
      </c>
      <c r="Q194" s="234">
        <f ca="1">SUM(INDIRECT("dados_MercadoBase[TE_E]"))</f>
        <v>395242.39399999991</v>
      </c>
    </row>
    <row r="195" spans="1:19" ht="15.75" hidden="1">
      <c r="A195" t="s">
        <v>773</v>
      </c>
      <c r="B195" t="s">
        <v>1596</v>
      </c>
      <c r="C195" s="9" t="s">
        <v>1597</v>
      </c>
      <c r="D195" s="417">
        <v>1</v>
      </c>
      <c r="E195" s="417">
        <v>1</v>
      </c>
      <c r="F195" s="417">
        <v>15</v>
      </c>
      <c r="G195" s="417">
        <v>175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419">
        <f>IF(ISNUMBER(Q195),Q195,0)</f>
        <v>8.1942000000000001E-2</v>
      </c>
      <c r="Q195" s="419">
        <f>VLOOKUP(LnkTXTSigla,Informacoes[],8,FALSE)</f>
        <v>8.1942000000000001E-2</v>
      </c>
    </row>
    <row r="196" spans="1:19" ht="15.75" hidden="1">
      <c r="A196" t="s">
        <v>773</v>
      </c>
      <c r="B196" t="s">
        <v>1596</v>
      </c>
      <c r="C196" s="9" t="s">
        <v>1598</v>
      </c>
      <c r="D196" s="417">
        <v>1</v>
      </c>
      <c r="E196" s="417">
        <v>1</v>
      </c>
      <c r="F196" s="417">
        <v>15</v>
      </c>
      <c r="G196" s="417">
        <v>174</v>
      </c>
      <c r="H196" s="417">
        <v>999</v>
      </c>
      <c r="I196" s="417">
        <v>4</v>
      </c>
      <c r="J196" s="417">
        <v>999</v>
      </c>
      <c r="K196" s="417">
        <v>9</v>
      </c>
      <c r="L196" s="417">
        <v>99</v>
      </c>
      <c r="M196" s="417">
        <v>9</v>
      </c>
      <c r="N196" s="417">
        <v>4</v>
      </c>
      <c r="O196" s="421">
        <v>99999</v>
      </c>
      <c r="P196" s="419">
        <f>IF(ISNUMBER(Q196),Q196,0)</f>
        <v>0.04</v>
      </c>
      <c r="Q196" s="419">
        <v>0.04</v>
      </c>
    </row>
    <row r="197" spans="1:19" ht="15.75" hidden="1">
      <c r="A197" t="s">
        <v>773</v>
      </c>
      <c r="B197" t="s">
        <v>1596</v>
      </c>
      <c r="C197" s="9" t="s">
        <v>1599</v>
      </c>
      <c r="D197" s="417">
        <v>1</v>
      </c>
      <c r="E197" s="417">
        <v>1</v>
      </c>
      <c r="F197" s="417">
        <v>196</v>
      </c>
      <c r="G197" s="417">
        <v>250</v>
      </c>
      <c r="H197" s="417">
        <v>999</v>
      </c>
      <c r="I197" s="417">
        <v>4</v>
      </c>
      <c r="J197" s="417">
        <v>999</v>
      </c>
      <c r="K197" s="417">
        <v>9</v>
      </c>
      <c r="L197" s="417">
        <v>99</v>
      </c>
      <c r="M197" s="417">
        <v>9</v>
      </c>
      <c r="N197" s="417">
        <v>3</v>
      </c>
      <c r="O197" s="421">
        <v>99999</v>
      </c>
      <c r="P197" s="418">
        <f>IF(ISNUMBER(Q197),Q197,0)</f>
        <v>81492905.609999999</v>
      </c>
      <c r="Q197" s="423">
        <f>CAPA!D32</f>
        <v>81492905.609999999</v>
      </c>
      <c r="S197" s="9"/>
    </row>
    <row r="198" spans="1:19" ht="15.75" hidden="1">
      <c r="A198" t="s">
        <v>773</v>
      </c>
      <c r="B198" t="s">
        <v>1596</v>
      </c>
      <c r="C198" s="9" t="s">
        <v>1600</v>
      </c>
      <c r="D198" s="417">
        <v>1</v>
      </c>
      <c r="E198" s="417">
        <v>1</v>
      </c>
      <c r="F198" s="417">
        <v>14</v>
      </c>
      <c r="G198" s="417">
        <v>31</v>
      </c>
      <c r="H198" s="417">
        <v>999</v>
      </c>
      <c r="I198" s="417">
        <v>4</v>
      </c>
      <c r="J198" s="417">
        <v>999</v>
      </c>
      <c r="K198" s="417">
        <v>9</v>
      </c>
      <c r="L198" s="417">
        <v>99</v>
      </c>
      <c r="M198" s="417">
        <v>9</v>
      </c>
      <c r="N198" s="417">
        <v>4</v>
      </c>
      <c r="O198" s="417">
        <v>99999</v>
      </c>
      <c r="P198" s="254">
        <v>0</v>
      </c>
      <c r="Q198" s="254">
        <v>0</v>
      </c>
    </row>
    <row r="199" spans="1:19" ht="15.75" hidden="1">
      <c r="A199" t="s">
        <v>773</v>
      </c>
      <c r="B199" t="s">
        <v>1596</v>
      </c>
      <c r="C199" s="9" t="s">
        <v>1601</v>
      </c>
      <c r="D199" s="417">
        <v>1</v>
      </c>
      <c r="E199" s="417">
        <v>1</v>
      </c>
      <c r="F199" s="417">
        <v>15</v>
      </c>
      <c r="G199" s="417">
        <v>176</v>
      </c>
      <c r="H199" s="417">
        <v>999</v>
      </c>
      <c r="I199" s="417">
        <v>4</v>
      </c>
      <c r="J199" s="417">
        <v>999</v>
      </c>
      <c r="K199" s="417">
        <v>9</v>
      </c>
      <c r="L199" s="417">
        <v>99</v>
      </c>
      <c r="M199" s="417">
        <v>9</v>
      </c>
      <c r="N199" s="417">
        <v>3</v>
      </c>
      <c r="O199" s="417">
        <v>99999</v>
      </c>
      <c r="P199" s="254">
        <f t="shared" si="13"/>
        <v>18203158.629999999</v>
      </c>
      <c r="Q199" s="254">
        <f>CAPA!D33</f>
        <v>18203158.629999999</v>
      </c>
    </row>
    <row r="200" spans="1:19" ht="15.75" hidden="1">
      <c r="A200" t="s">
        <v>773</v>
      </c>
      <c r="B200" t="s">
        <v>1596</v>
      </c>
      <c r="C200" s="9" t="s">
        <v>1602</v>
      </c>
      <c r="D200" s="417">
        <v>1</v>
      </c>
      <c r="E200" s="417">
        <v>1</v>
      </c>
      <c r="F200" s="417">
        <v>203</v>
      </c>
      <c r="G200" s="417">
        <v>247</v>
      </c>
      <c r="H200" s="417">
        <v>999</v>
      </c>
      <c r="I200" s="417">
        <v>4</v>
      </c>
      <c r="J200" s="417">
        <v>999</v>
      </c>
      <c r="K200" s="417">
        <v>9</v>
      </c>
      <c r="L200" s="417">
        <v>99</v>
      </c>
      <c r="M200" s="417">
        <v>9</v>
      </c>
      <c r="N200" s="417">
        <v>3</v>
      </c>
      <c r="O200" s="417">
        <v>99999</v>
      </c>
      <c r="P200" s="234">
        <f t="shared" si="13"/>
        <v>98760388.681823671</v>
      </c>
      <c r="Q200" s="234">
        <f>Resultado!D39</f>
        <v>98760388.681823671</v>
      </c>
    </row>
    <row r="201" spans="1:19" ht="15.75" hidden="1">
      <c r="A201" t="s">
        <v>773</v>
      </c>
      <c r="B201" t="s">
        <v>1596</v>
      </c>
      <c r="C201" t="s">
        <v>254</v>
      </c>
      <c r="D201" s="417">
        <v>1</v>
      </c>
      <c r="E201" s="417">
        <v>1</v>
      </c>
      <c r="F201" s="417">
        <v>15</v>
      </c>
      <c r="G201" s="417">
        <v>194</v>
      </c>
      <c r="H201" s="417">
        <v>999</v>
      </c>
      <c r="I201" s="417">
        <v>4</v>
      </c>
      <c r="J201" s="417">
        <v>999</v>
      </c>
      <c r="K201" s="417">
        <v>9</v>
      </c>
      <c r="L201" s="417">
        <v>99</v>
      </c>
      <c r="M201" s="417">
        <v>9</v>
      </c>
      <c r="N201" s="417">
        <v>4</v>
      </c>
      <c r="O201" s="417">
        <v>99999</v>
      </c>
      <c r="P201" s="234">
        <f t="shared" si="13"/>
        <v>0.15609999999999999</v>
      </c>
      <c r="Q201" s="249">
        <f>VLOOKUP(LnkTXTSigla,Informacoes[],16,FALSE)</f>
        <v>0.15609999999999999</v>
      </c>
    </row>
    <row r="202" spans="1:19" ht="15.75" hidden="1">
      <c r="A202" t="s">
        <v>1587</v>
      </c>
      <c r="B202" t="s">
        <v>1603</v>
      </c>
      <c r="C202" t="s">
        <v>1604</v>
      </c>
      <c r="D202">
        <v>3</v>
      </c>
      <c r="E202">
        <v>99</v>
      </c>
      <c r="F202">
        <v>24</v>
      </c>
      <c r="G202">
        <v>63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3"/>
        <v>261352.52202709275</v>
      </c>
      <c r="Q202" s="234">
        <f>'Tabelas e Gráficos'!BP288</f>
        <v>261352.52202709275</v>
      </c>
    </row>
    <row r="203" spans="1:19" ht="15.75" hidden="1">
      <c r="A203" t="s">
        <v>1587</v>
      </c>
      <c r="B203" t="s">
        <v>1603</v>
      </c>
      <c r="C203" t="s">
        <v>1605</v>
      </c>
      <c r="D203">
        <v>3</v>
      </c>
      <c r="E203">
        <v>99</v>
      </c>
      <c r="F203">
        <v>24</v>
      </c>
      <c r="G203">
        <v>63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3"/>
        <v>7121.2211251076269</v>
      </c>
      <c r="Q203" s="234">
        <f>'Tabelas e Gráficos'!BP289</f>
        <v>7121.2211251076269</v>
      </c>
    </row>
    <row r="204" spans="1:19" ht="15.75" hidden="1">
      <c r="A204" t="s">
        <v>1587</v>
      </c>
      <c r="B204" t="s">
        <v>1603</v>
      </c>
      <c r="C204" t="s">
        <v>1606</v>
      </c>
      <c r="D204">
        <v>3</v>
      </c>
      <c r="E204">
        <v>99</v>
      </c>
      <c r="F204">
        <v>24</v>
      </c>
      <c r="G204">
        <v>63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3"/>
        <v>-12965.473602868597</v>
      </c>
      <c r="Q204" s="234">
        <f>'Tabelas e Gráficos'!BP290</f>
        <v>-12965.473602868597</v>
      </c>
    </row>
    <row r="205" spans="1:19" ht="15.75" hidden="1">
      <c r="A205" t="s">
        <v>1587</v>
      </c>
      <c r="B205" t="s">
        <v>1603</v>
      </c>
      <c r="C205" t="s">
        <v>1607</v>
      </c>
      <c r="D205">
        <v>3</v>
      </c>
      <c r="E205">
        <v>99</v>
      </c>
      <c r="F205">
        <v>24</v>
      </c>
      <c r="G205">
        <v>63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3"/>
        <v>1608.8906230133773</v>
      </c>
      <c r="Q205" s="234">
        <f>'Tabelas e Gráficos'!BP291</f>
        <v>1608.8906230133773</v>
      </c>
    </row>
    <row r="206" spans="1:19" ht="15.75" hidden="1">
      <c r="A206" t="s">
        <v>1587</v>
      </c>
      <c r="B206" t="s">
        <v>1603</v>
      </c>
      <c r="C206" t="s">
        <v>1608</v>
      </c>
      <c r="D206">
        <v>3</v>
      </c>
      <c r="E206">
        <v>99</v>
      </c>
      <c r="F206">
        <v>24</v>
      </c>
      <c r="G206">
        <v>63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3"/>
        <v>-6069.3825799463475</v>
      </c>
      <c r="Q206" s="234">
        <f>'Tabelas e Gráficos'!BP292</f>
        <v>-6069.3825799463475</v>
      </c>
    </row>
    <row r="207" spans="1:19" ht="15.75" hidden="1">
      <c r="A207" t="s">
        <v>1587</v>
      </c>
      <c r="B207" t="s">
        <v>1603</v>
      </c>
      <c r="C207" t="s">
        <v>1609</v>
      </c>
      <c r="D207">
        <v>3</v>
      </c>
      <c r="E207">
        <v>99</v>
      </c>
      <c r="F207">
        <v>24</v>
      </c>
      <c r="G207">
        <v>63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3"/>
        <v>70.169784695085355</v>
      </c>
      <c r="Q207" s="234">
        <f>'Tabelas e Gráficos'!BP293</f>
        <v>70.169784695085355</v>
      </c>
    </row>
    <row r="208" spans="1:19" ht="15.75" hidden="1">
      <c r="A208" t="s">
        <v>1587</v>
      </c>
      <c r="B208" t="s">
        <v>1603</v>
      </c>
      <c r="C208" t="s">
        <v>1610</v>
      </c>
      <c r="D208">
        <v>3</v>
      </c>
      <c r="E208">
        <v>99</v>
      </c>
      <c r="F208">
        <v>24</v>
      </c>
      <c r="G208">
        <v>61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3"/>
        <v>303265.78622703243</v>
      </c>
      <c r="Q208" s="234">
        <f>'Tabelas e Gráficos'!BQ288</f>
        <v>303265.78622703243</v>
      </c>
    </row>
    <row r="209" spans="1:17" ht="15.75" hidden="1">
      <c r="A209" t="s">
        <v>1587</v>
      </c>
      <c r="B209" t="s">
        <v>1603</v>
      </c>
      <c r="C209" t="s">
        <v>1611</v>
      </c>
      <c r="D209">
        <v>3</v>
      </c>
      <c r="E209">
        <v>99</v>
      </c>
      <c r="F209">
        <v>24</v>
      </c>
      <c r="G209">
        <v>61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3"/>
        <v>21027.810158346365</v>
      </c>
      <c r="Q209" s="234">
        <f>'Tabelas e Gráficos'!BQ289</f>
        <v>21027.810158346365</v>
      </c>
    </row>
    <row r="210" spans="1:17" ht="15.75" hidden="1">
      <c r="A210" t="s">
        <v>1587</v>
      </c>
      <c r="B210" t="s">
        <v>1603</v>
      </c>
      <c r="C210" t="s">
        <v>1612</v>
      </c>
      <c r="D210">
        <v>3</v>
      </c>
      <c r="E210">
        <v>99</v>
      </c>
      <c r="F210">
        <v>24</v>
      </c>
      <c r="G210">
        <v>61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3"/>
        <v>0</v>
      </c>
      <c r="Q210" s="234">
        <f>'Tabelas e Gráficos'!BQ290</f>
        <v>0</v>
      </c>
    </row>
    <row r="211" spans="1:17" ht="15.75" hidden="1">
      <c r="A211" t="s">
        <v>1587</v>
      </c>
      <c r="B211" t="s">
        <v>1603</v>
      </c>
      <c r="C211" t="s">
        <v>1613</v>
      </c>
      <c r="D211">
        <v>3</v>
      </c>
      <c r="E211">
        <v>99</v>
      </c>
      <c r="F211">
        <v>24</v>
      </c>
      <c r="G211">
        <v>61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3"/>
        <v>11431.774833691708</v>
      </c>
      <c r="Q211" s="234">
        <f>'Tabelas e Gráficos'!BQ291</f>
        <v>11431.774833691708</v>
      </c>
    </row>
    <row r="212" spans="1:17" ht="15.75" hidden="1">
      <c r="A212" t="s">
        <v>1587</v>
      </c>
      <c r="B212" t="s">
        <v>1603</v>
      </c>
      <c r="C212" t="s">
        <v>1614</v>
      </c>
      <c r="D212">
        <v>3</v>
      </c>
      <c r="E212">
        <v>99</v>
      </c>
      <c r="F212">
        <v>24</v>
      </c>
      <c r="G212">
        <v>61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3"/>
        <v>234569.23013318694</v>
      </c>
      <c r="Q212" s="234">
        <f>'Tabelas e Gráficos'!BQ292</f>
        <v>234569.23013318694</v>
      </c>
    </row>
    <row r="213" spans="1:17" ht="15.75" hidden="1">
      <c r="A213" t="s">
        <v>1587</v>
      </c>
      <c r="B213" t="s">
        <v>1603</v>
      </c>
      <c r="C213" t="s">
        <v>1615</v>
      </c>
      <c r="D213">
        <v>3</v>
      </c>
      <c r="E213">
        <v>99</v>
      </c>
      <c r="F213">
        <v>24</v>
      </c>
      <c r="G213">
        <v>61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3"/>
        <v>178.57838393311502</v>
      </c>
      <c r="Q213" s="234">
        <f>'Tabelas e Gráficos'!BQ293</f>
        <v>178.57838393311502</v>
      </c>
    </row>
    <row r="214" spans="1:17" ht="15.75" hidden="1">
      <c r="A214" t="s">
        <v>1587</v>
      </c>
      <c r="B214" t="s">
        <v>1603</v>
      </c>
      <c r="C214" t="s">
        <v>1616</v>
      </c>
      <c r="D214">
        <v>3</v>
      </c>
      <c r="E214">
        <v>99</v>
      </c>
      <c r="F214">
        <v>24</v>
      </c>
      <c r="G214">
        <v>79</v>
      </c>
      <c r="H214">
        <v>110</v>
      </c>
      <c r="I214">
        <v>99</v>
      </c>
      <c r="J214">
        <v>999</v>
      </c>
      <c r="K214">
        <v>9</v>
      </c>
      <c r="L214">
        <v>99</v>
      </c>
      <c r="M214">
        <v>9</v>
      </c>
      <c r="N214">
        <v>3</v>
      </c>
      <c r="O214">
        <v>99999</v>
      </c>
      <c r="P214" s="234">
        <f t="shared" si="13"/>
        <v>564618.30825412518</v>
      </c>
      <c r="Q214" s="234">
        <f>'Tabelas e Gráficos'!BR288</f>
        <v>564618.30825412518</v>
      </c>
    </row>
    <row r="215" spans="1:17" ht="15.75" hidden="1">
      <c r="A215" t="s">
        <v>1587</v>
      </c>
      <c r="B215" t="s">
        <v>1603</v>
      </c>
      <c r="C215" t="s">
        <v>1617</v>
      </c>
      <c r="D215">
        <v>3</v>
      </c>
      <c r="E215">
        <v>99</v>
      </c>
      <c r="F215">
        <v>24</v>
      </c>
      <c r="G215">
        <v>79</v>
      </c>
      <c r="H215">
        <v>111</v>
      </c>
      <c r="I215">
        <v>99</v>
      </c>
      <c r="J215">
        <v>999</v>
      </c>
      <c r="K215">
        <v>9</v>
      </c>
      <c r="L215">
        <v>99</v>
      </c>
      <c r="M215">
        <v>9</v>
      </c>
      <c r="N215">
        <v>3</v>
      </c>
      <c r="O215">
        <v>99999</v>
      </c>
      <c r="P215" s="234">
        <f t="shared" si="13"/>
        <v>28149.031283453991</v>
      </c>
      <c r="Q215" s="234">
        <f>'Tabelas e Gráficos'!BR289</f>
        <v>28149.031283453991</v>
      </c>
    </row>
    <row r="216" spans="1:17" ht="15.75" hidden="1">
      <c r="A216" t="s">
        <v>1587</v>
      </c>
      <c r="B216" t="s">
        <v>1603</v>
      </c>
      <c r="C216" t="s">
        <v>1618</v>
      </c>
      <c r="D216">
        <v>3</v>
      </c>
      <c r="E216">
        <v>99</v>
      </c>
      <c r="F216">
        <v>24</v>
      </c>
      <c r="G216">
        <v>79</v>
      </c>
      <c r="H216">
        <v>182</v>
      </c>
      <c r="I216">
        <v>99</v>
      </c>
      <c r="J216">
        <v>999</v>
      </c>
      <c r="K216">
        <v>9</v>
      </c>
      <c r="L216">
        <v>99</v>
      </c>
      <c r="M216">
        <v>9</v>
      </c>
      <c r="N216">
        <v>3</v>
      </c>
      <c r="O216">
        <v>99999</v>
      </c>
      <c r="P216" s="234">
        <f t="shared" si="13"/>
        <v>-12965.473602868597</v>
      </c>
      <c r="Q216" s="234">
        <f>'Tabelas e Gráficos'!BR290</f>
        <v>-12965.473602868597</v>
      </c>
    </row>
    <row r="217" spans="1:17" ht="15.75" hidden="1">
      <c r="A217" t="s">
        <v>1587</v>
      </c>
      <c r="B217" t="s">
        <v>1603</v>
      </c>
      <c r="C217" t="s">
        <v>1619</v>
      </c>
      <c r="D217">
        <v>3</v>
      </c>
      <c r="E217">
        <v>99</v>
      </c>
      <c r="F217">
        <v>24</v>
      </c>
      <c r="G217">
        <v>79</v>
      </c>
      <c r="H217">
        <v>183</v>
      </c>
      <c r="I217">
        <v>99</v>
      </c>
      <c r="J217">
        <v>999</v>
      </c>
      <c r="K217">
        <v>9</v>
      </c>
      <c r="L217">
        <v>99</v>
      </c>
      <c r="M217">
        <v>9</v>
      </c>
      <c r="N217">
        <v>3</v>
      </c>
      <c r="O217">
        <v>99999</v>
      </c>
      <c r="P217" s="234">
        <f t="shared" si="13"/>
        <v>13040.665456705086</v>
      </c>
      <c r="Q217" s="234">
        <f>'Tabelas e Gráficos'!BR291</f>
        <v>13040.665456705086</v>
      </c>
    </row>
    <row r="218" spans="1:17" ht="15.75" hidden="1">
      <c r="A218" t="s">
        <v>1587</v>
      </c>
      <c r="B218" t="s">
        <v>1603</v>
      </c>
      <c r="C218" t="s">
        <v>1620</v>
      </c>
      <c r="D218">
        <v>3</v>
      </c>
      <c r="E218">
        <v>99</v>
      </c>
      <c r="F218">
        <v>24</v>
      </c>
      <c r="G218">
        <v>79</v>
      </c>
      <c r="H218">
        <v>184</v>
      </c>
      <c r="I218">
        <v>99</v>
      </c>
      <c r="J218">
        <v>999</v>
      </c>
      <c r="K218">
        <v>9</v>
      </c>
      <c r="L218">
        <v>99</v>
      </c>
      <c r="M218">
        <v>9</v>
      </c>
      <c r="N218">
        <v>3</v>
      </c>
      <c r="O218">
        <v>99999</v>
      </c>
      <c r="P218" s="234">
        <f t="shared" si="13"/>
        <v>228499.8475532406</v>
      </c>
      <c r="Q218" s="234">
        <f>'Tabelas e Gráficos'!BR292</f>
        <v>228499.8475532406</v>
      </c>
    </row>
    <row r="219" spans="1:17" ht="15.75" hidden="1">
      <c r="A219" t="s">
        <v>1587</v>
      </c>
      <c r="B219" t="s">
        <v>1603</v>
      </c>
      <c r="C219" t="s">
        <v>1621</v>
      </c>
      <c r="D219">
        <v>3</v>
      </c>
      <c r="E219">
        <v>99</v>
      </c>
      <c r="F219">
        <v>24</v>
      </c>
      <c r="G219">
        <v>79</v>
      </c>
      <c r="H219">
        <v>112</v>
      </c>
      <c r="I219">
        <v>99</v>
      </c>
      <c r="J219">
        <v>999</v>
      </c>
      <c r="K219">
        <v>9</v>
      </c>
      <c r="L219">
        <v>99</v>
      </c>
      <c r="M219">
        <v>9</v>
      </c>
      <c r="N219">
        <v>3</v>
      </c>
      <c r="O219">
        <v>99999</v>
      </c>
      <c r="P219" s="234">
        <f t="shared" si="13"/>
        <v>248.74816862820037</v>
      </c>
      <c r="Q219" s="234">
        <f>'Tabelas e Gráficos'!BR293</f>
        <v>248.74816862820037</v>
      </c>
    </row>
    <row r="220" spans="1:17" ht="15.75" hidden="1">
      <c r="A220" s="902" t="s">
        <v>773</v>
      </c>
      <c r="B220" s="902" t="s">
        <v>72</v>
      </c>
      <c r="C220" s="902" t="s">
        <v>1622</v>
      </c>
      <c r="D220" s="902">
        <v>2</v>
      </c>
      <c r="E220" s="902">
        <v>1</v>
      </c>
      <c r="F220" s="902">
        <v>51</v>
      </c>
      <c r="G220" s="902">
        <v>73</v>
      </c>
      <c r="H220" s="902">
        <v>999</v>
      </c>
      <c r="I220" s="902">
        <v>3</v>
      </c>
      <c r="J220" s="902">
        <v>15</v>
      </c>
      <c r="K220" s="902">
        <v>1</v>
      </c>
      <c r="L220" s="902">
        <v>99</v>
      </c>
      <c r="M220" s="902">
        <v>9</v>
      </c>
      <c r="N220" s="902">
        <v>3</v>
      </c>
      <c r="O220" s="902">
        <v>99999</v>
      </c>
      <c r="P220" s="234">
        <f t="shared" si="13"/>
        <v>6350526.4092792068</v>
      </c>
      <c r="Q220" s="234">
        <f>Encargos!I20</f>
        <v>6350526.4092792068</v>
      </c>
    </row>
    <row r="221" spans="1:17" ht="15.75">
      <c r="A221" s="902" t="s">
        <v>773</v>
      </c>
      <c r="B221" s="902" t="s">
        <v>1377</v>
      </c>
      <c r="C221" s="902" t="str">
        <f>Financeiros!C48</f>
        <v>CVE ccc</v>
      </c>
      <c r="D221" s="902">
        <v>2</v>
      </c>
      <c r="E221" s="902">
        <v>2</v>
      </c>
      <c r="F221" s="902">
        <f>Financeiros!F48</f>
        <v>22</v>
      </c>
      <c r="G221" s="902">
        <f>Financeiros!G48</f>
        <v>60</v>
      </c>
      <c r="H221" s="902">
        <f>Financeiros!H48</f>
        <v>241</v>
      </c>
      <c r="I221" s="902">
        <f>Financeiros!I48</f>
        <v>3</v>
      </c>
      <c r="J221" s="902">
        <f>Financeiros!J48</f>
        <v>13</v>
      </c>
      <c r="K221" s="902">
        <f>Financeiros!K48</f>
        <v>9</v>
      </c>
      <c r="L221" s="902">
        <v>99</v>
      </c>
      <c r="M221" s="902">
        <v>9</v>
      </c>
      <c r="N221" s="902">
        <v>3</v>
      </c>
      <c r="O221" s="902">
        <v>99999</v>
      </c>
      <c r="P221" s="977">
        <f t="shared" ref="P221" si="14">IF(ISNUMBER(Q221),Q221,0)</f>
        <v>0</v>
      </c>
      <c r="Q221" s="234">
        <f>Financeiros!D48</f>
        <v>0</v>
      </c>
    </row>
    <row r="222" spans="1:17" ht="15.75">
      <c r="A222" s="902" t="s">
        <v>773</v>
      </c>
      <c r="B222" s="902" t="s">
        <v>1377</v>
      </c>
      <c r="C222" s="902" t="str">
        <f>Financeiros!C49</f>
        <v>CVE cde</v>
      </c>
      <c r="D222" s="902">
        <v>2</v>
      </c>
      <c r="E222" s="902">
        <v>2</v>
      </c>
      <c r="F222" s="902">
        <f>Financeiros!F49</f>
        <v>22</v>
      </c>
      <c r="G222" s="902">
        <f>Financeiros!G49</f>
        <v>60</v>
      </c>
      <c r="H222" s="902">
        <f>Financeiros!H49</f>
        <v>241</v>
      </c>
      <c r="I222" s="902">
        <f>Financeiros!I49</f>
        <v>3</v>
      </c>
      <c r="J222" s="902">
        <f>Financeiros!J49</f>
        <v>15</v>
      </c>
      <c r="K222" s="902">
        <f>Financeiros!K49</f>
        <v>9</v>
      </c>
      <c r="L222" s="902">
        <v>99</v>
      </c>
      <c r="M222" s="902">
        <v>9</v>
      </c>
      <c r="N222" s="902">
        <v>3</v>
      </c>
      <c r="O222" s="902">
        <v>99999</v>
      </c>
      <c r="P222" s="977">
        <f t="shared" ref="P222:P282" si="15">IF(ISNUMBER(Q222),Q222,0)</f>
        <v>0</v>
      </c>
      <c r="Q222" s="234">
        <f>Financeiros!D49</f>
        <v>0</v>
      </c>
    </row>
    <row r="223" spans="1:17" ht="15.75">
      <c r="A223" s="902" t="s">
        <v>773</v>
      </c>
      <c r="B223" s="902" t="s">
        <v>1377</v>
      </c>
      <c r="C223" s="902" t="str">
        <f>Financeiros!C50</f>
        <v>CVE cde energia</v>
      </c>
      <c r="D223" s="902">
        <v>2</v>
      </c>
      <c r="E223" s="902">
        <v>2</v>
      </c>
      <c r="F223" s="902">
        <f>Financeiros!F50</f>
        <v>22</v>
      </c>
      <c r="G223" s="902">
        <f>Financeiros!G50</f>
        <v>60</v>
      </c>
      <c r="H223" s="902">
        <f>Financeiros!H50</f>
        <v>241</v>
      </c>
      <c r="I223" s="902">
        <f>Financeiros!I50</f>
        <v>3</v>
      </c>
      <c r="J223" s="902">
        <f>Financeiros!J50</f>
        <v>25</v>
      </c>
      <c r="K223" s="902">
        <f>Financeiros!K50</f>
        <v>9</v>
      </c>
      <c r="L223" s="902">
        <v>99</v>
      </c>
      <c r="M223" s="902">
        <v>9</v>
      </c>
      <c r="N223" s="902">
        <v>3</v>
      </c>
      <c r="O223" s="902">
        <v>99999</v>
      </c>
      <c r="P223" s="977">
        <f t="shared" si="15"/>
        <v>0</v>
      </c>
      <c r="Q223" s="234">
        <f>Financeiros!D50</f>
        <v>0</v>
      </c>
    </row>
    <row r="224" spans="1:17" ht="15.75">
      <c r="A224" s="902" t="s">
        <v>773</v>
      </c>
      <c r="B224" s="902" t="s">
        <v>1377</v>
      </c>
      <c r="C224" s="902" t="str">
        <f>Financeiros!C51</f>
        <v>CVE RB - Nodal</v>
      </c>
      <c r="D224" s="902">
        <v>2</v>
      </c>
      <c r="E224" s="902">
        <v>2</v>
      </c>
      <c r="F224" s="902">
        <f>Financeiros!F51</f>
        <v>22</v>
      </c>
      <c r="G224" s="902">
        <f>Financeiros!G51</f>
        <v>60</v>
      </c>
      <c r="H224" s="902">
        <f>Financeiros!H51</f>
        <v>241</v>
      </c>
      <c r="I224" s="902">
        <f>Financeiros!I51</f>
        <v>1</v>
      </c>
      <c r="J224" s="902">
        <f>Financeiros!J51</f>
        <v>1</v>
      </c>
      <c r="K224" s="902">
        <f>Financeiros!K51</f>
        <v>9</v>
      </c>
      <c r="L224" s="902">
        <v>99</v>
      </c>
      <c r="M224" s="902">
        <v>9</v>
      </c>
      <c r="N224" s="902">
        <v>3</v>
      </c>
      <c r="O224" s="902">
        <v>99999</v>
      </c>
      <c r="P224" s="977">
        <f t="shared" si="15"/>
        <v>0</v>
      </c>
      <c r="Q224" s="234">
        <f>Financeiros!D51</f>
        <v>0</v>
      </c>
    </row>
    <row r="225" spans="1:17" ht="15.75">
      <c r="A225" s="902" t="s">
        <v>773</v>
      </c>
      <c r="B225" s="902" t="s">
        <v>1377</v>
      </c>
      <c r="C225" s="902" t="str">
        <f>Financeiros!C52</f>
        <v>CVE RB - Fronteira</v>
      </c>
      <c r="D225" s="902">
        <v>2</v>
      </c>
      <c r="E225" s="902">
        <v>2</v>
      </c>
      <c r="F225" s="902">
        <f>Financeiros!F52</f>
        <v>22</v>
      </c>
      <c r="G225" s="902">
        <f>Financeiros!G52</f>
        <v>60</v>
      </c>
      <c r="H225" s="902">
        <f>Financeiros!H52</f>
        <v>241</v>
      </c>
      <c r="I225" s="902">
        <f>Financeiros!I52</f>
        <v>1</v>
      </c>
      <c r="J225" s="902">
        <f>Financeiros!J52</f>
        <v>1</v>
      </c>
      <c r="K225" s="902">
        <f>Financeiros!K52</f>
        <v>9</v>
      </c>
      <c r="L225" s="902">
        <v>99</v>
      </c>
      <c r="M225" s="902">
        <v>9</v>
      </c>
      <c r="N225" s="902">
        <v>3</v>
      </c>
      <c r="O225" s="902">
        <v>99999</v>
      </c>
      <c r="P225" s="977">
        <f t="shared" si="15"/>
        <v>0</v>
      </c>
      <c r="Q225" s="234">
        <f>Financeiros!D52</f>
        <v>0</v>
      </c>
    </row>
    <row r="226" spans="1:17" ht="15.75">
      <c r="A226" s="902" t="s">
        <v>773</v>
      </c>
      <c r="B226" s="902" t="s">
        <v>1377</v>
      </c>
      <c r="C226" s="902" t="str">
        <f>Financeiros!C53</f>
        <v>CVE RB - TUSDg EXP</v>
      </c>
      <c r="D226" s="902">
        <v>2</v>
      </c>
      <c r="E226" s="902">
        <v>2</v>
      </c>
      <c r="F226" s="902">
        <f>Financeiros!F53</f>
        <v>22</v>
      </c>
      <c r="G226" s="902">
        <f>Financeiros!G53</f>
        <v>60</v>
      </c>
      <c r="H226" s="902">
        <f>Financeiros!H53</f>
        <v>241</v>
      </c>
      <c r="I226" s="902">
        <f>Financeiros!I53</f>
        <v>1</v>
      </c>
      <c r="J226" s="902">
        <f>Financeiros!J53</f>
        <v>1</v>
      </c>
      <c r="K226" s="902">
        <f>Financeiros!K53</f>
        <v>9</v>
      </c>
      <c r="L226" s="902">
        <v>99</v>
      </c>
      <c r="M226" s="902">
        <v>9</v>
      </c>
      <c r="N226" s="902">
        <v>3</v>
      </c>
      <c r="O226" s="902">
        <v>99999</v>
      </c>
      <c r="P226" s="977">
        <f t="shared" si="15"/>
        <v>0</v>
      </c>
      <c r="Q226" s="234">
        <f>Financeiros!D53</f>
        <v>0</v>
      </c>
    </row>
    <row r="227" spans="1:17" ht="15.75">
      <c r="A227" s="902" t="s">
        <v>773</v>
      </c>
      <c r="B227" s="902" t="s">
        <v>1377</v>
      </c>
      <c r="C227" s="902" t="str">
        <f>Financeiros!C54</f>
        <v>CVE RB - TUSDg ONS</v>
      </c>
      <c r="D227" s="902">
        <v>2</v>
      </c>
      <c r="E227" s="902">
        <v>2</v>
      </c>
      <c r="F227" s="902">
        <f>Financeiros!F54</f>
        <v>22</v>
      </c>
      <c r="G227" s="902">
        <f>Financeiros!G54</f>
        <v>60</v>
      </c>
      <c r="H227" s="902">
        <f>Financeiros!H54</f>
        <v>241</v>
      </c>
      <c r="I227" s="902">
        <f>Financeiros!I54</f>
        <v>1</v>
      </c>
      <c r="J227" s="902">
        <f>Financeiros!J54</f>
        <v>1</v>
      </c>
      <c r="K227" s="902">
        <f>Financeiros!K54</f>
        <v>9</v>
      </c>
      <c r="L227" s="902">
        <v>99</v>
      </c>
      <c r="M227" s="902">
        <v>9</v>
      </c>
      <c r="N227" s="902">
        <v>3</v>
      </c>
      <c r="O227" s="902">
        <v>99999</v>
      </c>
      <c r="P227" s="977">
        <f t="shared" si="15"/>
        <v>0</v>
      </c>
      <c r="Q227" s="234">
        <f>Financeiros!D54</f>
        <v>0</v>
      </c>
    </row>
    <row r="228" spans="1:17" ht="15.75">
      <c r="A228" s="902" t="s">
        <v>773</v>
      </c>
      <c r="B228" s="902" t="s">
        <v>1377</v>
      </c>
      <c r="C228" s="902" t="str">
        <f>Financeiros!C55</f>
        <v>CVE RB - EUST Itaipu</v>
      </c>
      <c r="D228" s="902">
        <v>2</v>
      </c>
      <c r="E228" s="902">
        <v>2</v>
      </c>
      <c r="F228" s="902">
        <f>Financeiros!F55</f>
        <v>22</v>
      </c>
      <c r="G228" s="902">
        <f>Financeiros!G55</f>
        <v>60</v>
      </c>
      <c r="H228" s="902">
        <f>Financeiros!H55</f>
        <v>241</v>
      </c>
      <c r="I228" s="902">
        <f>Financeiros!I55</f>
        <v>1</v>
      </c>
      <c r="J228" s="902">
        <f>Financeiros!J55</f>
        <v>1</v>
      </c>
      <c r="K228" s="902">
        <f>Financeiros!K55</f>
        <v>9</v>
      </c>
      <c r="L228" s="902">
        <v>99</v>
      </c>
      <c r="M228" s="902">
        <v>9</v>
      </c>
      <c r="N228" s="902">
        <v>3</v>
      </c>
      <c r="O228" s="902">
        <v>99999</v>
      </c>
      <c r="P228" s="977">
        <f t="shared" si="15"/>
        <v>0</v>
      </c>
      <c r="Q228" s="234">
        <f>Financeiros!D55</f>
        <v>0</v>
      </c>
    </row>
    <row r="229" spans="1:17" ht="15.75">
      <c r="A229" s="902" t="s">
        <v>773</v>
      </c>
      <c r="B229" s="902" t="s">
        <v>1377</v>
      </c>
      <c r="C229" s="902" t="str">
        <f>Financeiros!C56</f>
        <v>CVE- Transporte Itaipu</v>
      </c>
      <c r="D229" s="902">
        <v>2</v>
      </c>
      <c r="E229" s="902">
        <v>2</v>
      </c>
      <c r="F229" s="902">
        <f>Financeiros!F56</f>
        <v>22</v>
      </c>
      <c r="G229" s="902">
        <f>Financeiros!G56</f>
        <v>60</v>
      </c>
      <c r="H229" s="902">
        <f>Financeiros!H56</f>
        <v>241</v>
      </c>
      <c r="I229" s="902">
        <f>Financeiros!I56</f>
        <v>1</v>
      </c>
      <c r="J229" s="902">
        <f>Financeiros!J56</f>
        <v>21</v>
      </c>
      <c r="K229" s="902">
        <f>Financeiros!K56</f>
        <v>9</v>
      </c>
      <c r="L229" s="902">
        <v>99</v>
      </c>
      <c r="M229" s="902">
        <v>9</v>
      </c>
      <c r="N229" s="902">
        <v>3</v>
      </c>
      <c r="O229" s="902">
        <v>99999</v>
      </c>
      <c r="P229" s="977">
        <f t="shared" si="15"/>
        <v>0</v>
      </c>
      <c r="Q229" s="234">
        <f>Financeiros!D56</f>
        <v>0</v>
      </c>
    </row>
    <row r="230" spans="1:17" ht="15.75">
      <c r="A230" s="902" t="s">
        <v>773</v>
      </c>
      <c r="B230" s="902" t="s">
        <v>1377</v>
      </c>
      <c r="C230" s="902" t="str">
        <f>Financeiros!C57</f>
        <v>CVE - Energia - Energia de Revenda</v>
      </c>
      <c r="D230" s="902">
        <v>2</v>
      </c>
      <c r="E230" s="902">
        <v>2</v>
      </c>
      <c r="F230" s="902">
        <f>Financeiros!F57</f>
        <v>22</v>
      </c>
      <c r="G230" s="902">
        <f>Financeiros!G57</f>
        <v>60</v>
      </c>
      <c r="H230" s="902">
        <f>Financeiros!H57</f>
        <v>241</v>
      </c>
      <c r="I230" s="902">
        <f>Financeiros!I57</f>
        <v>2</v>
      </c>
      <c r="J230" s="902">
        <f>Financeiros!J57</f>
        <v>11</v>
      </c>
      <c r="K230" s="902">
        <f>Financeiros!K57</f>
        <v>9</v>
      </c>
      <c r="L230" s="902">
        <v>99</v>
      </c>
      <c r="M230" s="902">
        <v>9</v>
      </c>
      <c r="N230" s="902">
        <v>3</v>
      </c>
      <c r="O230" s="902">
        <v>99999</v>
      </c>
      <c r="P230" s="977">
        <f t="shared" ca="1" si="15"/>
        <v>-318463.24383891874</v>
      </c>
      <c r="Q230" s="234">
        <f ca="1">Financeiros!D57</f>
        <v>-318463.24383891874</v>
      </c>
    </row>
    <row r="231" spans="1:17" ht="15.75">
      <c r="A231" s="902" t="s">
        <v>773</v>
      </c>
      <c r="B231" s="902" t="s">
        <v>1377</v>
      </c>
      <c r="C231" s="902" t="str">
        <f>Financeiros!C58</f>
        <v>CVE - Energia - Perda Não Técnica</v>
      </c>
      <c r="D231" s="902">
        <v>2</v>
      </c>
      <c r="E231" s="902">
        <v>2</v>
      </c>
      <c r="F231" s="902">
        <f>Financeiros!F58</f>
        <v>22</v>
      </c>
      <c r="G231" s="902">
        <f>Financeiros!G58</f>
        <v>60</v>
      </c>
      <c r="H231" s="902">
        <f>Financeiros!H58</f>
        <v>241</v>
      </c>
      <c r="I231" s="902">
        <f>Financeiros!I58</f>
        <v>2</v>
      </c>
      <c r="J231" s="902">
        <f>Financeiros!J58</f>
        <v>9</v>
      </c>
      <c r="K231" s="902">
        <f>Financeiros!K58</f>
        <v>9</v>
      </c>
      <c r="L231" s="902">
        <v>99</v>
      </c>
      <c r="M231" s="902">
        <v>9</v>
      </c>
      <c r="N231" s="902">
        <v>3</v>
      </c>
      <c r="O231" s="902">
        <v>99999</v>
      </c>
      <c r="P231" s="977">
        <f t="shared" ca="1" si="15"/>
        <v>0</v>
      </c>
      <c r="Q231" s="234">
        <f ca="1">Financeiros!D58</f>
        <v>0</v>
      </c>
    </row>
    <row r="232" spans="1:17" ht="15.75">
      <c r="A232" s="902" t="s">
        <v>773</v>
      </c>
      <c r="B232" s="902" t="s">
        <v>1377</v>
      </c>
      <c r="C232" s="902" t="str">
        <f>Financeiros!C59</f>
        <v>CVE - Energia - Perda Técnica</v>
      </c>
      <c r="D232" s="902">
        <v>2</v>
      </c>
      <c r="E232" s="902">
        <v>2</v>
      </c>
      <c r="F232" s="902">
        <f>Financeiros!F59</f>
        <v>22</v>
      </c>
      <c r="G232" s="902">
        <f>Financeiros!G59</f>
        <v>60</v>
      </c>
      <c r="H232" s="902">
        <f>Financeiros!H59</f>
        <v>241</v>
      </c>
      <c r="I232" s="902">
        <f>Financeiros!I59</f>
        <v>2</v>
      </c>
      <c r="J232" s="902">
        <f>Financeiros!J59</f>
        <v>8</v>
      </c>
      <c r="K232" s="902">
        <f>Financeiros!K59</f>
        <v>9</v>
      </c>
      <c r="L232" s="902">
        <v>99</v>
      </c>
      <c r="M232" s="902">
        <v>9</v>
      </c>
      <c r="N232" s="902">
        <v>3</v>
      </c>
      <c r="O232" s="902">
        <v>99999</v>
      </c>
      <c r="P232" s="977">
        <f t="shared" ca="1" si="15"/>
        <v>-30002.938280480252</v>
      </c>
      <c r="Q232" s="234">
        <f ca="1">Financeiros!D59</f>
        <v>-30002.938280480252</v>
      </c>
    </row>
    <row r="233" spans="1:17" ht="15.75">
      <c r="A233" s="902" t="s">
        <v>773</v>
      </c>
      <c r="B233" s="902" t="s">
        <v>1377</v>
      </c>
      <c r="C233" s="902" t="str">
        <f>Financeiros!C60</f>
        <v>CVE - Energia -  Perda de RB sobre a distribuição</v>
      </c>
      <c r="D233" s="902">
        <v>2</v>
      </c>
      <c r="E233" s="902">
        <v>2</v>
      </c>
      <c r="F233" s="902">
        <f>Financeiros!F60</f>
        <v>22</v>
      </c>
      <c r="G233" s="902">
        <f>Financeiros!G60</f>
        <v>60</v>
      </c>
      <c r="H233" s="902">
        <f>Financeiros!H60</f>
        <v>241</v>
      </c>
      <c r="I233" s="902">
        <f>Financeiros!I60</f>
        <v>2</v>
      </c>
      <c r="J233" s="902">
        <f>Financeiros!J60</f>
        <v>10</v>
      </c>
      <c r="K233" s="902">
        <f>Financeiros!K60</f>
        <v>9</v>
      </c>
      <c r="L233" s="902">
        <v>99</v>
      </c>
      <c r="M233" s="902">
        <v>9</v>
      </c>
      <c r="N233" s="902">
        <v>3</v>
      </c>
      <c r="O233" s="902">
        <v>99999</v>
      </c>
      <c r="P233" s="977">
        <f t="shared" ca="1" si="15"/>
        <v>-1083.0173894497427</v>
      </c>
      <c r="Q233" s="234">
        <f ca="1">Financeiros!D60</f>
        <v>-1083.0173894497427</v>
      </c>
    </row>
    <row r="234" spans="1:17" ht="15.75">
      <c r="A234" s="902" t="s">
        <v>773</v>
      </c>
      <c r="B234" s="902" t="s">
        <v>1377</v>
      </c>
      <c r="C234" s="902" t="str">
        <f>Financeiros!C61</f>
        <v>CVE - Energia -  Perda de RB sobre o mercado cativo</v>
      </c>
      <c r="D234" s="902">
        <v>2</v>
      </c>
      <c r="E234" s="902">
        <v>2</v>
      </c>
      <c r="F234" s="902">
        <f>Financeiros!F61</f>
        <v>22</v>
      </c>
      <c r="G234" s="902">
        <f>Financeiros!G61</f>
        <v>60</v>
      </c>
      <c r="H234" s="902">
        <f>Financeiros!H61</f>
        <v>241</v>
      </c>
      <c r="I234" s="902">
        <f>Financeiros!I61</f>
        <v>2</v>
      </c>
      <c r="J234" s="902">
        <f>Financeiros!J61</f>
        <v>24</v>
      </c>
      <c r="K234" s="902">
        <f>Financeiros!K61</f>
        <v>9</v>
      </c>
      <c r="L234" s="902">
        <v>99</v>
      </c>
      <c r="M234" s="902">
        <v>9</v>
      </c>
      <c r="N234" s="902">
        <v>3</v>
      </c>
      <c r="O234" s="902">
        <v>99999</v>
      </c>
      <c r="P234" s="977">
        <f t="shared" ca="1" si="15"/>
        <v>-11495.581791151219</v>
      </c>
      <c r="Q234" s="234">
        <f ca="1">Financeiros!D61</f>
        <v>-11495.581791151219</v>
      </c>
    </row>
    <row r="235" spans="1:17" ht="15.75">
      <c r="A235" s="902" t="s">
        <v>773</v>
      </c>
      <c r="B235" s="902" t="s">
        <v>1377</v>
      </c>
      <c r="C235" s="902" t="str">
        <f>Financeiros!C62</f>
        <v>CVE - Encargos - PROINFA</v>
      </c>
      <c r="D235" s="902">
        <v>2</v>
      </c>
      <c r="E235" s="902">
        <v>2</v>
      </c>
      <c r="F235" s="902">
        <f>Financeiros!F62</f>
        <v>22</v>
      </c>
      <c r="G235" s="902">
        <f>Financeiros!G62</f>
        <v>60</v>
      </c>
      <c r="H235" s="902">
        <f>Financeiros!H62</f>
        <v>241</v>
      </c>
      <c r="I235" s="902">
        <f>Financeiros!I62</f>
        <v>3</v>
      </c>
      <c r="J235" s="902">
        <f>Financeiros!J62</f>
        <v>18</v>
      </c>
      <c r="K235" s="902">
        <f>Financeiros!K62</f>
        <v>9</v>
      </c>
      <c r="L235" s="902">
        <v>99</v>
      </c>
      <c r="M235" s="902">
        <v>9</v>
      </c>
      <c r="N235" s="902">
        <v>3</v>
      </c>
      <c r="O235" s="902">
        <v>99999</v>
      </c>
      <c r="P235" s="977">
        <f t="shared" ca="1" si="15"/>
        <v>0</v>
      </c>
      <c r="Q235" s="234">
        <f ca="1">Financeiros!D62</f>
        <v>0</v>
      </c>
    </row>
    <row r="236" spans="1:17" ht="15.75">
      <c r="A236" s="902" t="s">
        <v>773</v>
      </c>
      <c r="B236" s="902" t="s">
        <v>1377</v>
      </c>
      <c r="C236" s="902" t="str">
        <f>Financeiros!C63</f>
        <v>CVE - Encargos - CFURH</v>
      </c>
      <c r="D236" s="902">
        <v>2</v>
      </c>
      <c r="E236" s="902">
        <v>2</v>
      </c>
      <c r="F236" s="902">
        <f>Financeiros!F63</f>
        <v>22</v>
      </c>
      <c r="G236" s="902">
        <f>Financeiros!G63</f>
        <v>60</v>
      </c>
      <c r="H236" s="902">
        <f>Financeiros!H63</f>
        <v>241</v>
      </c>
      <c r="I236" s="902">
        <f>Financeiros!I63</f>
        <v>3</v>
      </c>
      <c r="J236" s="902">
        <f>Financeiros!J63</f>
        <v>16</v>
      </c>
      <c r="K236" s="902">
        <f>Financeiros!K63</f>
        <v>9</v>
      </c>
      <c r="L236" s="902">
        <v>99</v>
      </c>
      <c r="M236" s="902">
        <v>9</v>
      </c>
      <c r="N236" s="902">
        <v>3</v>
      </c>
      <c r="O236" s="902">
        <v>99999</v>
      </c>
      <c r="P236" s="977">
        <f t="shared" si="15"/>
        <v>0</v>
      </c>
      <c r="Q236" s="234">
        <f>Financeiros!D63</f>
        <v>0</v>
      </c>
    </row>
    <row r="237" spans="1:17" ht="15.75">
      <c r="A237" s="902" t="s">
        <v>773</v>
      </c>
      <c r="B237" s="902" t="s">
        <v>1377</v>
      </c>
      <c r="C237" s="902" t="str">
        <f>Financeiros!C64</f>
        <v>CVE - Encargos - ESS/EER</v>
      </c>
      <c r="D237" s="902">
        <v>2</v>
      </c>
      <c r="E237" s="902">
        <v>2</v>
      </c>
      <c r="F237" s="902">
        <f>Financeiros!F64</f>
        <v>22</v>
      </c>
      <c r="G237" s="902">
        <f>Financeiros!G64</f>
        <v>60</v>
      </c>
      <c r="H237" s="902">
        <f>Financeiros!H64</f>
        <v>241</v>
      </c>
      <c r="I237" s="902">
        <f>Financeiros!I64</f>
        <v>3</v>
      </c>
      <c r="J237" s="902">
        <f>Financeiros!J64</f>
        <v>17</v>
      </c>
      <c r="K237" s="902">
        <f>Financeiros!K64</f>
        <v>9</v>
      </c>
      <c r="L237" s="902">
        <v>99</v>
      </c>
      <c r="M237" s="902">
        <v>9</v>
      </c>
      <c r="N237" s="902">
        <v>3</v>
      </c>
      <c r="O237" s="902">
        <v>99999</v>
      </c>
      <c r="P237" s="977">
        <f t="shared" si="15"/>
        <v>2907185.43</v>
      </c>
      <c r="Q237" s="234">
        <f>Financeiros!D64</f>
        <v>2907185.43</v>
      </c>
    </row>
    <row r="238" spans="1:17" ht="15.75">
      <c r="A238" s="902" t="s">
        <v>773</v>
      </c>
      <c r="B238" s="902" t="s">
        <v>1377</v>
      </c>
      <c r="C238" s="902" t="str">
        <f>Financeiros!C65</f>
        <v>Conta Escassez H. - Importação julho- agosto/2021 - RTA 2022 - Energia de Revenda</v>
      </c>
      <c r="D238" s="902">
        <v>2</v>
      </c>
      <c r="E238" s="902">
        <v>2</v>
      </c>
      <c r="F238" s="902">
        <f>Financeiros!F65</f>
        <v>22</v>
      </c>
      <c r="G238" s="902">
        <f>Financeiros!G65</f>
        <v>60</v>
      </c>
      <c r="H238" s="902">
        <f>Financeiros!H65</f>
        <v>240</v>
      </c>
      <c r="I238" s="902">
        <f>Financeiros!I65</f>
        <v>2</v>
      </c>
      <c r="J238" s="902">
        <f>Financeiros!J65</f>
        <v>11</v>
      </c>
      <c r="K238" s="902">
        <f>Financeiros!K65</f>
        <v>9</v>
      </c>
      <c r="L238" s="902">
        <v>99</v>
      </c>
      <c r="M238" s="902">
        <v>9</v>
      </c>
      <c r="N238" s="902">
        <v>3</v>
      </c>
      <c r="O238" s="902">
        <v>99999</v>
      </c>
      <c r="P238" s="977">
        <f t="shared" ca="1" si="15"/>
        <v>0</v>
      </c>
      <c r="Q238" s="234">
        <f ca="1">Financeiros!D65</f>
        <v>0</v>
      </c>
    </row>
    <row r="239" spans="1:17" ht="15.75">
      <c r="A239" s="902" t="s">
        <v>773</v>
      </c>
      <c r="B239" s="902" t="s">
        <v>1377</v>
      </c>
      <c r="C239" s="902" t="str">
        <f>Financeiros!C66</f>
        <v>Conta Escassez H. - Importação julho- agosto/2021 - RTA 2022 - Perda Não Técnica</v>
      </c>
      <c r="D239" s="902">
        <v>2</v>
      </c>
      <c r="E239" s="902">
        <v>2</v>
      </c>
      <c r="F239" s="902">
        <f>Financeiros!F66</f>
        <v>22</v>
      </c>
      <c r="G239" s="902">
        <f>Financeiros!G66</f>
        <v>60</v>
      </c>
      <c r="H239" s="902">
        <f>Financeiros!H66</f>
        <v>240</v>
      </c>
      <c r="I239" s="902">
        <f>Financeiros!I66</f>
        <v>2</v>
      </c>
      <c r="J239" s="902">
        <f>Financeiros!J66</f>
        <v>9</v>
      </c>
      <c r="K239" s="902">
        <f>Financeiros!K66</f>
        <v>9</v>
      </c>
      <c r="L239" s="902">
        <v>99</v>
      </c>
      <c r="M239" s="902">
        <v>9</v>
      </c>
      <c r="N239" s="902">
        <v>3</v>
      </c>
      <c r="O239" s="902">
        <v>99999</v>
      </c>
      <c r="P239" s="977">
        <f t="shared" ca="1" si="15"/>
        <v>0</v>
      </c>
      <c r="Q239" s="234">
        <f ca="1">Financeiros!D66</f>
        <v>0</v>
      </c>
    </row>
    <row r="240" spans="1:17" ht="15.75">
      <c r="A240" s="902" t="s">
        <v>773</v>
      </c>
      <c r="B240" s="902" t="s">
        <v>1377</v>
      </c>
      <c r="C240" s="902" t="str">
        <f>Financeiros!C67</f>
        <v>Conta Escassez H. - Importação julho- agosto/2021 - RTA 2022 - Perda Técnica</v>
      </c>
      <c r="D240" s="902">
        <v>2</v>
      </c>
      <c r="E240" s="902">
        <v>2</v>
      </c>
      <c r="F240" s="902">
        <f>Financeiros!F67</f>
        <v>22</v>
      </c>
      <c r="G240" s="902">
        <f>Financeiros!G67</f>
        <v>60</v>
      </c>
      <c r="H240" s="902">
        <f>Financeiros!H67</f>
        <v>240</v>
      </c>
      <c r="I240" s="902">
        <f>Financeiros!I67</f>
        <v>2</v>
      </c>
      <c r="J240" s="902">
        <f>Financeiros!J67</f>
        <v>8</v>
      </c>
      <c r="K240" s="902">
        <f>Financeiros!K67</f>
        <v>9</v>
      </c>
      <c r="L240" s="902">
        <v>99</v>
      </c>
      <c r="M240" s="902">
        <v>9</v>
      </c>
      <c r="N240" s="902">
        <v>3</v>
      </c>
      <c r="O240" s="902">
        <v>99999</v>
      </c>
      <c r="P240" s="977">
        <f t="shared" ca="1" si="15"/>
        <v>0</v>
      </c>
      <c r="Q240" s="234">
        <f ca="1">Financeiros!D67</f>
        <v>0</v>
      </c>
    </row>
    <row r="241" spans="1:17" ht="15.75">
      <c r="A241" s="902" t="s">
        <v>773</v>
      </c>
      <c r="B241" s="902" t="s">
        <v>1377</v>
      </c>
      <c r="C241" s="902" t="str">
        <f>Financeiros!C68</f>
        <v>Conta Escassez H. - Importação julho- agosto/2021 - RTA 2022 - Perda RB Perda RB sobre Dist.</v>
      </c>
      <c r="D241" s="902">
        <v>2</v>
      </c>
      <c r="E241" s="902">
        <v>2</v>
      </c>
      <c r="F241" s="902">
        <f>Financeiros!F68</f>
        <v>22</v>
      </c>
      <c r="G241" s="902">
        <f>Financeiros!G68</f>
        <v>60</v>
      </c>
      <c r="H241" s="902">
        <f>Financeiros!H68</f>
        <v>240</v>
      </c>
      <c r="I241" s="902">
        <f>Financeiros!I68</f>
        <v>2</v>
      </c>
      <c r="J241" s="902">
        <f>Financeiros!J68</f>
        <v>10</v>
      </c>
      <c r="K241" s="902">
        <f>Financeiros!K68</f>
        <v>9</v>
      </c>
      <c r="L241" s="902">
        <v>99</v>
      </c>
      <c r="M241" s="902">
        <v>9</v>
      </c>
      <c r="N241" s="902">
        <v>3</v>
      </c>
      <c r="O241" s="902">
        <v>99999</v>
      </c>
      <c r="P241" s="977">
        <f t="shared" ca="1" si="15"/>
        <v>0</v>
      </c>
      <c r="Q241" s="234">
        <f ca="1">Financeiros!D68</f>
        <v>0</v>
      </c>
    </row>
    <row r="242" spans="1:17" ht="15.75">
      <c r="A242" s="902" t="s">
        <v>773</v>
      </c>
      <c r="B242" s="902" t="s">
        <v>1377</v>
      </c>
      <c r="C242" s="902" t="str">
        <f>Financeiros!C69</f>
        <v>Conta Escassez H. - Importação julho- agosto/2021 - RTA 2022 - Perda RB sobre Merc. Cat.</v>
      </c>
      <c r="D242" s="902">
        <v>2</v>
      </c>
      <c r="E242" s="902">
        <v>2</v>
      </c>
      <c r="F242" s="902">
        <f>Financeiros!F69</f>
        <v>22</v>
      </c>
      <c r="G242" s="902">
        <f>Financeiros!G69</f>
        <v>60</v>
      </c>
      <c r="H242" s="902">
        <f>Financeiros!H69</f>
        <v>240</v>
      </c>
      <c r="I242" s="902">
        <f>Financeiros!I69</f>
        <v>2</v>
      </c>
      <c r="J242" s="902">
        <f>Financeiros!J69</f>
        <v>24</v>
      </c>
      <c r="K242" s="902">
        <f>Financeiros!K69</f>
        <v>9</v>
      </c>
      <c r="L242" s="902">
        <v>99</v>
      </c>
      <c r="M242" s="902">
        <v>9</v>
      </c>
      <c r="N242" s="902">
        <v>3</v>
      </c>
      <c r="O242" s="902">
        <v>99999</v>
      </c>
      <c r="P242" s="977">
        <f t="shared" ca="1" si="15"/>
        <v>0</v>
      </c>
      <c r="Q242" s="234">
        <f ca="1">Financeiros!D69</f>
        <v>0</v>
      </c>
    </row>
    <row r="243" spans="1:17" ht="15.75">
      <c r="A243" s="902" t="s">
        <v>773</v>
      </c>
      <c r="B243" s="902" t="s">
        <v>1377</v>
      </c>
      <c r="C243" s="902" t="str">
        <f>Financeiros!C70</f>
        <v>Conta Escassez H. - Bônus Redução Voluntária</v>
      </c>
      <c r="D243" s="902">
        <v>2</v>
      </c>
      <c r="E243" s="902">
        <v>2</v>
      </c>
      <c r="F243" s="902">
        <f>Financeiros!F70</f>
        <v>22</v>
      </c>
      <c r="G243" s="902">
        <f>Financeiros!G70</f>
        <v>60</v>
      </c>
      <c r="H243" s="902">
        <f>Financeiros!H70</f>
        <v>240</v>
      </c>
      <c r="I243" s="902">
        <f>Financeiros!I70</f>
        <v>3</v>
      </c>
      <c r="J243" s="902">
        <f>Financeiros!J70</f>
        <v>17</v>
      </c>
      <c r="K243" s="902">
        <f>Financeiros!K70</f>
        <v>9</v>
      </c>
      <c r="L243" s="902">
        <v>99</v>
      </c>
      <c r="M243" s="902">
        <v>9</v>
      </c>
      <c r="N243" s="902">
        <v>3</v>
      </c>
      <c r="O243" s="902">
        <v>99999</v>
      </c>
      <c r="P243" s="977">
        <f t="shared" si="15"/>
        <v>-2357071.1438916875</v>
      </c>
      <c r="Q243" s="234">
        <f>Financeiros!D70</f>
        <v>-2357071.1438916875</v>
      </c>
    </row>
    <row r="244" spans="1:17" ht="15.75">
      <c r="A244" s="902" t="s">
        <v>773</v>
      </c>
      <c r="B244" s="902" t="s">
        <v>1377</v>
      </c>
      <c r="C244" s="902" t="str">
        <f>Financeiros!C71</f>
        <v>Conta Escassez H. - Diferimento de energia - RTA 2022 - Energia de Revenda</v>
      </c>
      <c r="D244" s="902">
        <v>2</v>
      </c>
      <c r="E244" s="902">
        <v>2</v>
      </c>
      <c r="F244" s="902">
        <f>Financeiros!F71</f>
        <v>22</v>
      </c>
      <c r="G244" s="902">
        <f>Financeiros!G71</f>
        <v>60</v>
      </c>
      <c r="H244" s="902">
        <f>Financeiros!H71</f>
        <v>240</v>
      </c>
      <c r="I244" s="902">
        <f>Financeiros!I71</f>
        <v>2</v>
      </c>
      <c r="J244" s="902">
        <f>Financeiros!J71</f>
        <v>11</v>
      </c>
      <c r="K244" s="902">
        <f>Financeiros!K71</f>
        <v>9</v>
      </c>
      <c r="L244" s="902">
        <v>99</v>
      </c>
      <c r="M244" s="902">
        <v>9</v>
      </c>
      <c r="N244" s="902">
        <v>3</v>
      </c>
      <c r="O244" s="902">
        <v>99999</v>
      </c>
      <c r="P244" s="977">
        <f t="shared" ca="1" si="15"/>
        <v>0</v>
      </c>
      <c r="Q244" s="234">
        <f ca="1">Financeiros!D71</f>
        <v>0</v>
      </c>
    </row>
    <row r="245" spans="1:17" ht="15.75">
      <c r="A245" s="902" t="s">
        <v>773</v>
      </c>
      <c r="B245" s="902" t="s">
        <v>1377</v>
      </c>
      <c r="C245" s="902" t="str">
        <f>Financeiros!C72</f>
        <v>Conta Escassez H. - Diferimento de energia - RTA 2022 - Perda Não Técnica</v>
      </c>
      <c r="D245" s="902">
        <v>2</v>
      </c>
      <c r="E245" s="902">
        <v>2</v>
      </c>
      <c r="F245" s="902">
        <f>Financeiros!F72</f>
        <v>22</v>
      </c>
      <c r="G245" s="902">
        <f>Financeiros!G72</f>
        <v>60</v>
      </c>
      <c r="H245" s="902">
        <f>Financeiros!H72</f>
        <v>240</v>
      </c>
      <c r="I245" s="902">
        <f>Financeiros!I72</f>
        <v>2</v>
      </c>
      <c r="J245" s="902">
        <f>Financeiros!J72</f>
        <v>9</v>
      </c>
      <c r="K245" s="902">
        <f>Financeiros!K72</f>
        <v>9</v>
      </c>
      <c r="L245" s="902">
        <v>99</v>
      </c>
      <c r="M245" s="902">
        <v>9</v>
      </c>
      <c r="N245" s="902">
        <v>3</v>
      </c>
      <c r="O245" s="902">
        <v>99999</v>
      </c>
      <c r="P245" s="977">
        <f t="shared" ca="1" si="15"/>
        <v>0</v>
      </c>
      <c r="Q245" s="234">
        <f ca="1">Financeiros!D72</f>
        <v>0</v>
      </c>
    </row>
    <row r="246" spans="1:17" ht="15.75">
      <c r="A246" s="902" t="s">
        <v>773</v>
      </c>
      <c r="B246" s="902" t="s">
        <v>1377</v>
      </c>
      <c r="C246" s="902" t="str">
        <f>Financeiros!C73</f>
        <v>Conta Escassez H. - Diferimento de energia - RTA 2022 - Perda Técnica</v>
      </c>
      <c r="D246" s="902">
        <v>2</v>
      </c>
      <c r="E246" s="902">
        <v>2</v>
      </c>
      <c r="F246" s="902">
        <f>Financeiros!F73</f>
        <v>22</v>
      </c>
      <c r="G246" s="902">
        <f>Financeiros!G73</f>
        <v>60</v>
      </c>
      <c r="H246" s="902">
        <f>Financeiros!H73</f>
        <v>240</v>
      </c>
      <c r="I246" s="902">
        <f>Financeiros!I73</f>
        <v>2</v>
      </c>
      <c r="J246" s="902">
        <f>Financeiros!J73</f>
        <v>8</v>
      </c>
      <c r="K246" s="902">
        <f>Financeiros!K73</f>
        <v>9</v>
      </c>
      <c r="L246" s="902">
        <v>99</v>
      </c>
      <c r="M246" s="902">
        <v>9</v>
      </c>
      <c r="N246" s="902">
        <v>3</v>
      </c>
      <c r="O246" s="902">
        <v>99999</v>
      </c>
      <c r="P246" s="977">
        <f t="shared" ca="1" si="15"/>
        <v>0</v>
      </c>
      <c r="Q246" s="234">
        <f ca="1">Financeiros!D73</f>
        <v>0</v>
      </c>
    </row>
    <row r="247" spans="1:17" ht="15.75">
      <c r="A247" s="902" t="s">
        <v>773</v>
      </c>
      <c r="B247" s="902" t="s">
        <v>1377</v>
      </c>
      <c r="C247" s="902" t="str">
        <f>Financeiros!C74</f>
        <v>Conta Escassez H. - Diferimento de energia - RTA 2022 - Perda RB Perda RB sobre Dist.</v>
      </c>
      <c r="D247" s="902">
        <v>2</v>
      </c>
      <c r="E247" s="902">
        <v>2</v>
      </c>
      <c r="F247" s="902">
        <f>Financeiros!F74</f>
        <v>22</v>
      </c>
      <c r="G247" s="902">
        <f>Financeiros!G74</f>
        <v>60</v>
      </c>
      <c r="H247" s="902">
        <f>Financeiros!H74</f>
        <v>240</v>
      </c>
      <c r="I247" s="902">
        <f>Financeiros!I74</f>
        <v>2</v>
      </c>
      <c r="J247" s="902">
        <f>Financeiros!J74</f>
        <v>10</v>
      </c>
      <c r="K247" s="902">
        <f>Financeiros!K74</f>
        <v>9</v>
      </c>
      <c r="L247" s="902">
        <v>99</v>
      </c>
      <c r="M247" s="902">
        <v>9</v>
      </c>
      <c r="N247" s="902">
        <v>3</v>
      </c>
      <c r="O247" s="902">
        <v>99999</v>
      </c>
      <c r="P247" s="977">
        <f t="shared" ca="1" si="15"/>
        <v>0</v>
      </c>
      <c r="Q247" s="234">
        <f ca="1">Financeiros!D74</f>
        <v>0</v>
      </c>
    </row>
    <row r="248" spans="1:17" ht="15.75">
      <c r="A248" s="902" t="s">
        <v>773</v>
      </c>
      <c r="B248" s="902" t="s">
        <v>1377</v>
      </c>
      <c r="C248" s="902" t="str">
        <f>Financeiros!C75</f>
        <v>Conta Escassez H. - Diferimento de energia - RTA 2022 - Perda RB sobre Merc. Cat.</v>
      </c>
      <c r="D248" s="902">
        <v>2</v>
      </c>
      <c r="E248" s="902">
        <v>2</v>
      </c>
      <c r="F248" s="902">
        <f>Financeiros!F75</f>
        <v>22</v>
      </c>
      <c r="G248" s="902">
        <f>Financeiros!G75</f>
        <v>60</v>
      </c>
      <c r="H248" s="902">
        <f>Financeiros!H75</f>
        <v>240</v>
      </c>
      <c r="I248" s="902">
        <f>Financeiros!I75</f>
        <v>2</v>
      </c>
      <c r="J248" s="902">
        <f>Financeiros!J75</f>
        <v>24</v>
      </c>
      <c r="K248" s="902">
        <f>Financeiros!K75</f>
        <v>9</v>
      </c>
      <c r="L248" s="902">
        <v>99</v>
      </c>
      <c r="M248" s="902">
        <v>9</v>
      </c>
      <c r="N248" s="902">
        <v>3</v>
      </c>
      <c r="O248" s="902">
        <v>99999</v>
      </c>
      <c r="P248" s="977">
        <f t="shared" ca="1" si="15"/>
        <v>0</v>
      </c>
      <c r="Q248" s="234">
        <f ca="1">Financeiros!D75</f>
        <v>0</v>
      </c>
    </row>
    <row r="249" spans="1:17" ht="15.75">
      <c r="A249" s="902" t="s">
        <v>773</v>
      </c>
      <c r="B249" s="902" t="s">
        <v>1377</v>
      </c>
      <c r="C249" s="902" t="str">
        <f>Financeiros!C76</f>
        <v>Sobrecontratação/Reversão de Energia - Energia de Revenda</v>
      </c>
      <c r="D249" s="902">
        <v>2</v>
      </c>
      <c r="E249" s="902">
        <v>2</v>
      </c>
      <c r="F249" s="902">
        <f>Financeiros!F76</f>
        <v>22</v>
      </c>
      <c r="G249" s="902">
        <f>Financeiros!G76</f>
        <v>60</v>
      </c>
      <c r="H249" s="902">
        <f>Financeiros!H76</f>
        <v>106</v>
      </c>
      <c r="I249" s="902">
        <f>Financeiros!I76</f>
        <v>2</v>
      </c>
      <c r="J249" s="902">
        <f>Financeiros!J76</f>
        <v>11</v>
      </c>
      <c r="K249" s="902">
        <v>9</v>
      </c>
      <c r="L249" s="902">
        <v>99</v>
      </c>
      <c r="M249" s="902">
        <v>9</v>
      </c>
      <c r="N249" s="902">
        <v>3</v>
      </c>
      <c r="O249" s="902">
        <v>99999</v>
      </c>
      <c r="P249" s="977">
        <f t="shared" ca="1" si="15"/>
        <v>-55096.796922042129</v>
      </c>
      <c r="Q249" s="234">
        <f ca="1">Financeiros!D76</f>
        <v>-55096.796922042129</v>
      </c>
    </row>
    <row r="250" spans="1:17" ht="15.75">
      <c r="A250" s="902" t="s">
        <v>773</v>
      </c>
      <c r="B250" s="902" t="s">
        <v>1377</v>
      </c>
      <c r="C250" s="902" t="str">
        <f>Financeiros!C77</f>
        <v>Sobrecontratação/Reversão de Energia - Perda Não Técnica</v>
      </c>
      <c r="D250" s="902">
        <v>2</v>
      </c>
      <c r="E250" s="902">
        <v>2</v>
      </c>
      <c r="F250" s="902">
        <f>Financeiros!F77</f>
        <v>22</v>
      </c>
      <c r="G250" s="902">
        <f>Financeiros!G77</f>
        <v>60</v>
      </c>
      <c r="H250" s="902">
        <f>Financeiros!H77</f>
        <v>106</v>
      </c>
      <c r="I250" s="902">
        <f>Financeiros!I77</f>
        <v>2</v>
      </c>
      <c r="J250" s="902">
        <f>Financeiros!J77</f>
        <v>9</v>
      </c>
      <c r="K250" s="902">
        <v>9</v>
      </c>
      <c r="L250" s="902">
        <v>99</v>
      </c>
      <c r="M250" s="902">
        <v>9</v>
      </c>
      <c r="N250" s="902">
        <v>3</v>
      </c>
      <c r="O250" s="902">
        <v>99999</v>
      </c>
      <c r="P250" s="977">
        <f t="shared" ca="1" si="15"/>
        <v>0</v>
      </c>
      <c r="Q250" s="234">
        <f ca="1">Financeiros!D77</f>
        <v>0</v>
      </c>
    </row>
    <row r="251" spans="1:17" ht="15.75">
      <c r="A251" s="902" t="s">
        <v>773</v>
      </c>
      <c r="B251" s="902" t="s">
        <v>1377</v>
      </c>
      <c r="C251" s="902" t="str">
        <f>Financeiros!C78</f>
        <v>Sobrecontratação/Reversão de Energia - Perda Técnica</v>
      </c>
      <c r="D251" s="902">
        <v>2</v>
      </c>
      <c r="E251" s="902">
        <v>2</v>
      </c>
      <c r="F251" s="902">
        <f>Financeiros!F78</f>
        <v>22</v>
      </c>
      <c r="G251" s="902">
        <f>Financeiros!G78</f>
        <v>60</v>
      </c>
      <c r="H251" s="902">
        <f>Financeiros!H78</f>
        <v>106</v>
      </c>
      <c r="I251" s="902">
        <f>Financeiros!I78</f>
        <v>2</v>
      </c>
      <c r="J251" s="902">
        <f>Financeiros!J78</f>
        <v>8</v>
      </c>
      <c r="K251" s="902">
        <v>9</v>
      </c>
      <c r="L251" s="902">
        <v>99</v>
      </c>
      <c r="M251" s="902">
        <v>9</v>
      </c>
      <c r="N251" s="902">
        <v>3</v>
      </c>
      <c r="O251" s="902">
        <v>99999</v>
      </c>
      <c r="P251" s="977">
        <f t="shared" ca="1" si="15"/>
        <v>-5190.7585238952042</v>
      </c>
      <c r="Q251" s="234">
        <f ca="1">Financeiros!D78</f>
        <v>-5190.7585238952042</v>
      </c>
    </row>
    <row r="252" spans="1:17" ht="15.75">
      <c r="A252" s="902" t="s">
        <v>773</v>
      </c>
      <c r="B252" s="902" t="s">
        <v>1377</v>
      </c>
      <c r="C252" s="902" t="str">
        <f>Financeiros!C79</f>
        <v>Sobrecontratação/Reversão de Energia - Perda Rede Básica sobre Dist.</v>
      </c>
      <c r="D252" s="902">
        <v>2</v>
      </c>
      <c r="E252" s="902">
        <v>2</v>
      </c>
      <c r="F252" s="902">
        <f>Financeiros!F79</f>
        <v>22</v>
      </c>
      <c r="G252" s="902">
        <f>Financeiros!G79</f>
        <v>60</v>
      </c>
      <c r="H252" s="902">
        <f>Financeiros!H79</f>
        <v>106</v>
      </c>
      <c r="I252" s="902">
        <f>Financeiros!I79</f>
        <v>2</v>
      </c>
      <c r="J252" s="902">
        <f>Financeiros!J79</f>
        <v>10</v>
      </c>
      <c r="K252" s="902">
        <v>9</v>
      </c>
      <c r="L252" s="902">
        <v>99</v>
      </c>
      <c r="M252" s="902">
        <v>9</v>
      </c>
      <c r="N252" s="902">
        <v>3</v>
      </c>
      <c r="O252" s="902">
        <v>99999</v>
      </c>
      <c r="P252" s="977">
        <f t="shared" ca="1" si="15"/>
        <v>-187.37103990479557</v>
      </c>
      <c r="Q252" s="234">
        <f ca="1">Financeiros!D79</f>
        <v>-187.37103990479557</v>
      </c>
    </row>
    <row r="253" spans="1:17" ht="15.75">
      <c r="A253" s="902" t="s">
        <v>773</v>
      </c>
      <c r="B253" s="902" t="s">
        <v>1377</v>
      </c>
      <c r="C253" s="902" t="str">
        <f>Financeiros!C80</f>
        <v>Sobrecontratação/Reversão de Energia - Perda Rede Básica sobre mercado Cat.</v>
      </c>
      <c r="D253" s="902">
        <v>2</v>
      </c>
      <c r="E253" s="902">
        <v>2</v>
      </c>
      <c r="F253" s="902">
        <f>Financeiros!F80</f>
        <v>22</v>
      </c>
      <c r="G253" s="902">
        <f>Financeiros!G80</f>
        <v>60</v>
      </c>
      <c r="H253" s="902">
        <f>Financeiros!H80</f>
        <v>106</v>
      </c>
      <c r="I253" s="902">
        <f>Financeiros!I80</f>
        <v>2</v>
      </c>
      <c r="J253" s="902">
        <f>Financeiros!J80</f>
        <v>24</v>
      </c>
      <c r="K253" s="902">
        <v>9</v>
      </c>
      <c r="L253" s="902">
        <v>99</v>
      </c>
      <c r="M253" s="902">
        <v>9</v>
      </c>
      <c r="N253" s="902">
        <v>3</v>
      </c>
      <c r="O253" s="902">
        <v>99999</v>
      </c>
      <c r="P253" s="977">
        <f t="shared" ca="1" si="15"/>
        <v>-1988.8315141578707</v>
      </c>
      <c r="Q253" s="234">
        <f ca="1">Financeiros!D80</f>
        <v>-1988.8315141578707</v>
      </c>
    </row>
    <row r="254" spans="1:17" ht="15.75">
      <c r="A254" s="902" t="s">
        <v>773</v>
      </c>
      <c r="B254" s="902" t="s">
        <v>1377</v>
      </c>
      <c r="C254" s="902">
        <f>Financeiros!C81</f>
        <v>0</v>
      </c>
      <c r="D254" s="902">
        <v>2</v>
      </c>
      <c r="E254" s="902">
        <v>2</v>
      </c>
      <c r="F254" s="902">
        <v>999</v>
      </c>
      <c r="G254" s="902">
        <v>999999</v>
      </c>
      <c r="H254" s="902">
        <v>999</v>
      </c>
      <c r="I254" s="902">
        <v>99</v>
      </c>
      <c r="J254" s="902">
        <v>999</v>
      </c>
      <c r="K254" s="902">
        <v>9</v>
      </c>
      <c r="L254" s="902">
        <v>99</v>
      </c>
      <c r="M254" s="902">
        <v>9</v>
      </c>
      <c r="N254" s="902">
        <v>3</v>
      </c>
      <c r="O254" s="902">
        <v>99999</v>
      </c>
      <c r="P254" s="977">
        <f t="shared" si="15"/>
        <v>0</v>
      </c>
      <c r="Q254" s="234">
        <f>Financeiros!D81</f>
        <v>0</v>
      </c>
    </row>
    <row r="255" spans="1:17" ht="15.75">
      <c r="A255" s="902" t="s">
        <v>773</v>
      </c>
      <c r="B255" s="902" t="s">
        <v>1377</v>
      </c>
      <c r="C255" s="902" t="str">
        <f>Financeiros!C82</f>
        <v>Reversão de Risco Hidrológico</v>
      </c>
      <c r="D255" s="902">
        <v>2</v>
      </c>
      <c r="E255" s="902">
        <v>2</v>
      </c>
      <c r="F255" s="902">
        <f>Financeiros!F82</f>
        <v>22</v>
      </c>
      <c r="G255" s="902">
        <f>Financeiros!G82</f>
        <v>62</v>
      </c>
      <c r="H255" s="902">
        <f>Financeiros!H82</f>
        <v>220</v>
      </c>
      <c r="I255" s="902">
        <f>Financeiros!I82</f>
        <v>2</v>
      </c>
      <c r="J255" s="902">
        <f>Financeiros!J82</f>
        <v>30</v>
      </c>
      <c r="K255" s="902">
        <v>9</v>
      </c>
      <c r="L255" s="902">
        <v>99</v>
      </c>
      <c r="M255" s="902">
        <v>9</v>
      </c>
      <c r="N255" s="902">
        <v>3</v>
      </c>
      <c r="O255" s="902">
        <v>99999</v>
      </c>
      <c r="P255" s="977">
        <f t="shared" ref="P255" si="16">IF(ISNUMBER(Q255),Q255,0)</f>
        <v>-4361333.6717375368</v>
      </c>
      <c r="Q255" s="234">
        <f>Financeiros!D82</f>
        <v>-4361333.6717375368</v>
      </c>
    </row>
    <row r="256" spans="1:17" ht="15.75">
      <c r="A256" s="902" t="s">
        <v>773</v>
      </c>
      <c r="B256" s="902" t="s">
        <v>1377</v>
      </c>
      <c r="C256" s="902" t="s">
        <v>1623</v>
      </c>
      <c r="D256" s="902">
        <v>5</v>
      </c>
      <c r="E256" s="902">
        <v>2</v>
      </c>
      <c r="F256" s="902">
        <v>19</v>
      </c>
      <c r="G256" s="902">
        <v>65</v>
      </c>
      <c r="H256" s="902">
        <v>172</v>
      </c>
      <c r="I256" s="902">
        <v>1</v>
      </c>
      <c r="J256" s="902">
        <v>1</v>
      </c>
      <c r="K256" s="902">
        <v>9</v>
      </c>
      <c r="L256" s="902">
        <v>99</v>
      </c>
      <c r="M256" s="902">
        <v>9</v>
      </c>
      <c r="N256" s="902">
        <v>3</v>
      </c>
      <c r="O256" s="902">
        <v>99999</v>
      </c>
      <c r="P256" s="977">
        <f t="shared" si="15"/>
        <v>0</v>
      </c>
      <c r="Q256" s="234">
        <f>CVE!$D$12</f>
        <v>0</v>
      </c>
    </row>
    <row r="257" spans="1:17" ht="15.75">
      <c r="A257" s="902" t="s">
        <v>773</v>
      </c>
      <c r="B257" s="902" t="s">
        <v>1377</v>
      </c>
      <c r="C257" s="902" t="s">
        <v>1624</v>
      </c>
      <c r="D257" s="902">
        <v>5</v>
      </c>
      <c r="E257" s="902">
        <v>2</v>
      </c>
      <c r="F257" s="902">
        <v>19</v>
      </c>
      <c r="G257" s="902">
        <v>65</v>
      </c>
      <c r="H257" s="902">
        <v>172</v>
      </c>
      <c r="I257" s="902">
        <v>1</v>
      </c>
      <c r="J257" s="902">
        <v>21</v>
      </c>
      <c r="K257" s="902">
        <v>9</v>
      </c>
      <c r="L257" s="902">
        <v>99</v>
      </c>
      <c r="M257" s="902">
        <v>9</v>
      </c>
      <c r="N257" s="902">
        <v>3</v>
      </c>
      <c r="O257" s="902">
        <v>99999</v>
      </c>
      <c r="P257" s="977">
        <f t="shared" si="15"/>
        <v>0</v>
      </c>
      <c r="Q257" s="234">
        <f>CVE!$D$15</f>
        <v>0</v>
      </c>
    </row>
    <row r="258" spans="1:17" ht="15.75">
      <c r="A258" s="902" t="s">
        <v>773</v>
      </c>
      <c r="B258" s="902" t="s">
        <v>1377</v>
      </c>
      <c r="C258" s="902" t="s">
        <v>1625</v>
      </c>
      <c r="D258" s="902">
        <v>5</v>
      </c>
      <c r="E258" s="902">
        <v>2</v>
      </c>
      <c r="F258" s="902">
        <v>19</v>
      </c>
      <c r="G258" s="902">
        <v>65</v>
      </c>
      <c r="H258" s="902">
        <v>172</v>
      </c>
      <c r="I258" s="902">
        <v>2</v>
      </c>
      <c r="J258" s="902">
        <v>999</v>
      </c>
      <c r="K258" s="902">
        <v>9</v>
      </c>
      <c r="L258" s="902">
        <v>99</v>
      </c>
      <c r="M258" s="902">
        <v>9</v>
      </c>
      <c r="N258" s="902">
        <v>3</v>
      </c>
      <c r="O258" s="902">
        <v>99999</v>
      </c>
      <c r="P258" s="977">
        <f t="shared" si="15"/>
        <v>-361044.78129999997</v>
      </c>
      <c r="Q258" s="234">
        <f>CVE!$D$13</f>
        <v>-361044.78129999997</v>
      </c>
    </row>
    <row r="259" spans="1:17" ht="15.75">
      <c r="A259" s="902" t="s">
        <v>773</v>
      </c>
      <c r="B259" s="902" t="s">
        <v>1377</v>
      </c>
      <c r="C259" s="902" t="s">
        <v>1626</v>
      </c>
      <c r="D259" s="902">
        <v>5</v>
      </c>
      <c r="E259" s="902">
        <v>2</v>
      </c>
      <c r="F259" s="902">
        <v>19</v>
      </c>
      <c r="G259" s="902">
        <v>65</v>
      </c>
      <c r="H259" s="902">
        <v>172</v>
      </c>
      <c r="I259" s="902">
        <v>3</v>
      </c>
      <c r="J259" s="902">
        <v>13</v>
      </c>
      <c r="K259" s="902">
        <v>9</v>
      </c>
      <c r="L259" s="902">
        <v>99</v>
      </c>
      <c r="M259" s="902">
        <v>9</v>
      </c>
      <c r="N259" s="902">
        <v>3</v>
      </c>
      <c r="O259" s="902">
        <v>99999</v>
      </c>
      <c r="P259" s="977">
        <f t="shared" si="15"/>
        <v>0</v>
      </c>
      <c r="Q259" s="234">
        <f>CVE!$D$9</f>
        <v>0</v>
      </c>
    </row>
    <row r="260" spans="1:17" ht="15.75">
      <c r="A260" s="902" t="s">
        <v>773</v>
      </c>
      <c r="B260" s="902" t="s">
        <v>1377</v>
      </c>
      <c r="C260" s="902" t="s">
        <v>1627</v>
      </c>
      <c r="D260" s="902">
        <v>5</v>
      </c>
      <c r="E260" s="902">
        <v>2</v>
      </c>
      <c r="F260" s="902">
        <v>19</v>
      </c>
      <c r="G260" s="902">
        <v>65</v>
      </c>
      <c r="H260" s="902">
        <v>172</v>
      </c>
      <c r="I260" s="902">
        <v>3</v>
      </c>
      <c r="J260" s="902">
        <v>15</v>
      </c>
      <c r="K260" s="902">
        <v>9</v>
      </c>
      <c r="L260" s="902">
        <v>99</v>
      </c>
      <c r="M260" s="902">
        <v>9</v>
      </c>
      <c r="N260" s="902">
        <v>3</v>
      </c>
      <c r="O260" s="902">
        <v>99999</v>
      </c>
      <c r="P260" s="977">
        <f t="shared" si="15"/>
        <v>0</v>
      </c>
      <c r="Q260" s="234">
        <f>CVE!$D$10</f>
        <v>0</v>
      </c>
    </row>
    <row r="261" spans="1:17" ht="15.75">
      <c r="A261" s="902" t="s">
        <v>773</v>
      </c>
      <c r="B261" s="902" t="s">
        <v>1377</v>
      </c>
      <c r="C261" s="902" t="s">
        <v>1628</v>
      </c>
      <c r="D261" s="902">
        <v>5</v>
      </c>
      <c r="E261" s="902">
        <v>2</v>
      </c>
      <c r="F261" s="902">
        <v>19</v>
      </c>
      <c r="G261" s="902">
        <v>65</v>
      </c>
      <c r="H261" s="902">
        <v>172</v>
      </c>
      <c r="I261" s="902">
        <v>3</v>
      </c>
      <c r="J261" s="902">
        <v>16</v>
      </c>
      <c r="K261" s="902">
        <v>9</v>
      </c>
      <c r="L261" s="902">
        <v>99</v>
      </c>
      <c r="M261" s="902">
        <v>9</v>
      </c>
      <c r="N261" s="902">
        <v>3</v>
      </c>
      <c r="O261" s="902">
        <v>99999</v>
      </c>
      <c r="P261" s="977">
        <f t="shared" si="15"/>
        <v>0</v>
      </c>
      <c r="Q261" s="234">
        <f>CVE!$D$14</f>
        <v>0</v>
      </c>
    </row>
    <row r="262" spans="1:17" ht="15.75">
      <c r="A262" s="902" t="s">
        <v>773</v>
      </c>
      <c r="B262" s="902" t="s">
        <v>1377</v>
      </c>
      <c r="C262" s="902" t="s">
        <v>1629</v>
      </c>
      <c r="D262" s="902">
        <v>5</v>
      </c>
      <c r="E262" s="902">
        <v>2</v>
      </c>
      <c r="F262" s="902">
        <v>19</v>
      </c>
      <c r="G262" s="902">
        <v>65</v>
      </c>
      <c r="H262" s="902">
        <v>172</v>
      </c>
      <c r="I262" s="902">
        <v>3</v>
      </c>
      <c r="J262" s="902">
        <v>17</v>
      </c>
      <c r="K262" s="902">
        <v>9</v>
      </c>
      <c r="L262" s="902">
        <v>99</v>
      </c>
      <c r="M262" s="902">
        <v>9</v>
      </c>
      <c r="N262" s="902">
        <v>3</v>
      </c>
      <c r="O262" s="902">
        <v>99999</v>
      </c>
      <c r="P262" s="977">
        <f t="shared" si="15"/>
        <v>2907185.43</v>
      </c>
      <c r="Q262" s="234">
        <f>CVE!$D$17</f>
        <v>2907185.43</v>
      </c>
    </row>
    <row r="263" spans="1:17" ht="15.75">
      <c r="A263" s="902" t="s">
        <v>773</v>
      </c>
      <c r="B263" s="902" t="s">
        <v>1377</v>
      </c>
      <c r="C263" s="902" t="s">
        <v>1630</v>
      </c>
      <c r="D263" s="902">
        <v>5</v>
      </c>
      <c r="E263" s="902">
        <v>2</v>
      </c>
      <c r="F263" s="902">
        <v>19</v>
      </c>
      <c r="G263" s="902">
        <v>65</v>
      </c>
      <c r="H263" s="902">
        <v>172</v>
      </c>
      <c r="I263" s="902">
        <v>3</v>
      </c>
      <c r="J263" s="902">
        <v>18</v>
      </c>
      <c r="K263" s="902">
        <v>9</v>
      </c>
      <c r="L263" s="902">
        <v>99</v>
      </c>
      <c r="M263" s="902">
        <v>9</v>
      </c>
      <c r="N263" s="902">
        <v>3</v>
      </c>
      <c r="O263" s="902">
        <v>99999</v>
      </c>
      <c r="P263" s="977">
        <f t="shared" si="15"/>
        <v>0</v>
      </c>
      <c r="Q263" s="234">
        <f>CVE!$D$16</f>
        <v>0</v>
      </c>
    </row>
    <row r="264" spans="1:17" ht="15.75">
      <c r="A264" s="902" t="s">
        <v>773</v>
      </c>
      <c r="B264" s="902" t="s">
        <v>1377</v>
      </c>
      <c r="C264" s="902" t="s">
        <v>1397</v>
      </c>
      <c r="D264" s="902">
        <v>5</v>
      </c>
      <c r="E264" s="902">
        <v>2</v>
      </c>
      <c r="F264" s="902">
        <v>19</v>
      </c>
      <c r="G264" s="902">
        <v>65</v>
      </c>
      <c r="H264" s="902">
        <v>172</v>
      </c>
      <c r="I264" s="902">
        <v>2</v>
      </c>
      <c r="J264" s="902">
        <v>25</v>
      </c>
      <c r="K264" s="902">
        <v>9</v>
      </c>
      <c r="L264" s="902">
        <v>99</v>
      </c>
      <c r="M264" s="902">
        <v>9</v>
      </c>
      <c r="N264" s="902">
        <v>3</v>
      </c>
      <c r="O264" s="902">
        <v>99999</v>
      </c>
      <c r="P264" s="977">
        <f t="shared" si="15"/>
        <v>0</v>
      </c>
      <c r="Q264" s="234">
        <f>CVE!$D$11</f>
        <v>0</v>
      </c>
    </row>
    <row r="265" spans="1:17" ht="15.75" hidden="1">
      <c r="A265" s="902" t="s">
        <v>1631</v>
      </c>
      <c r="B265" s="902" t="s">
        <v>36</v>
      </c>
      <c r="C265" s="902" t="s">
        <v>1632</v>
      </c>
      <c r="D265" s="902">
        <v>4</v>
      </c>
      <c r="E265" s="902">
        <v>2</v>
      </c>
      <c r="F265" s="902">
        <v>19</v>
      </c>
      <c r="G265" s="902">
        <v>64</v>
      </c>
      <c r="H265" s="902">
        <v>95</v>
      </c>
      <c r="I265" s="902">
        <v>3</v>
      </c>
      <c r="J265" s="902">
        <v>13</v>
      </c>
      <c r="K265" s="902">
        <v>9</v>
      </c>
      <c r="L265" s="902">
        <v>99</v>
      </c>
      <c r="M265" s="902">
        <v>9</v>
      </c>
      <c r="N265" s="902">
        <v>3</v>
      </c>
      <c r="O265" s="902">
        <v>99999</v>
      </c>
      <c r="P265" s="977">
        <f t="shared" si="15"/>
        <v>0</v>
      </c>
      <c r="Q265" s="234">
        <f>CVE!$D$24</f>
        <v>0</v>
      </c>
    </row>
    <row r="266" spans="1:17" ht="15.75" hidden="1">
      <c r="A266" s="902" t="s">
        <v>1631</v>
      </c>
      <c r="B266" s="902" t="s">
        <v>36</v>
      </c>
      <c r="C266" s="902" t="s">
        <v>1633</v>
      </c>
      <c r="D266" s="902">
        <v>4</v>
      </c>
      <c r="E266" s="902">
        <v>2</v>
      </c>
      <c r="F266" s="902">
        <v>19</v>
      </c>
      <c r="G266" s="902">
        <v>64</v>
      </c>
      <c r="H266" s="902">
        <v>95</v>
      </c>
      <c r="I266" s="902">
        <v>3</v>
      </c>
      <c r="J266" s="902">
        <v>15</v>
      </c>
      <c r="K266" s="902">
        <v>9</v>
      </c>
      <c r="L266" s="902">
        <v>99</v>
      </c>
      <c r="M266" s="902">
        <v>9</v>
      </c>
      <c r="N266" s="902">
        <v>3</v>
      </c>
      <c r="O266" s="902">
        <v>99999</v>
      </c>
      <c r="P266" s="977">
        <f t="shared" si="15"/>
        <v>0</v>
      </c>
      <c r="Q266" s="234">
        <f>CVE!$D$25</f>
        <v>0</v>
      </c>
    </row>
    <row r="267" spans="1:17" ht="15.75" hidden="1">
      <c r="A267" s="902" t="s">
        <v>1631</v>
      </c>
      <c r="B267" s="902" t="s">
        <v>36</v>
      </c>
      <c r="C267" s="902" t="s">
        <v>1634</v>
      </c>
      <c r="D267" s="902">
        <v>4</v>
      </c>
      <c r="E267" s="902">
        <v>2</v>
      </c>
      <c r="F267" s="902">
        <v>19</v>
      </c>
      <c r="G267" s="902">
        <v>64</v>
      </c>
      <c r="H267" s="902">
        <v>95</v>
      </c>
      <c r="I267" s="902">
        <v>2</v>
      </c>
      <c r="J267" s="902">
        <v>25</v>
      </c>
      <c r="K267" s="902">
        <v>9</v>
      </c>
      <c r="L267" s="902">
        <v>99</v>
      </c>
      <c r="M267" s="902">
        <v>9</v>
      </c>
      <c r="N267" s="902">
        <v>3</v>
      </c>
      <c r="O267" s="902">
        <v>99999</v>
      </c>
      <c r="P267" s="977">
        <f t="shared" si="15"/>
        <v>0</v>
      </c>
      <c r="Q267" s="234">
        <f>CVE!$D$26</f>
        <v>0</v>
      </c>
    </row>
    <row r="268" spans="1:17" ht="15.75" hidden="1">
      <c r="A268" s="902" t="s">
        <v>1631</v>
      </c>
      <c r="B268" s="902" t="s">
        <v>36</v>
      </c>
      <c r="C268" s="902" t="s">
        <v>1635</v>
      </c>
      <c r="D268" s="902">
        <v>4</v>
      </c>
      <c r="E268" s="902">
        <v>2</v>
      </c>
      <c r="F268" s="902">
        <v>19</v>
      </c>
      <c r="G268" s="902">
        <v>64</v>
      </c>
      <c r="H268" s="902">
        <v>95</v>
      </c>
      <c r="I268" s="902">
        <v>1</v>
      </c>
      <c r="J268" s="902">
        <v>1</v>
      </c>
      <c r="K268" s="902">
        <v>9</v>
      </c>
      <c r="L268" s="902">
        <v>99</v>
      </c>
      <c r="M268" s="902">
        <v>9</v>
      </c>
      <c r="N268" s="902">
        <v>3</v>
      </c>
      <c r="O268" s="902">
        <v>99999</v>
      </c>
      <c r="P268" s="977">
        <f t="shared" si="15"/>
        <v>0</v>
      </c>
      <c r="Q268" s="234">
        <f>CVE!$D$27</f>
        <v>0</v>
      </c>
    </row>
    <row r="269" spans="1:17" ht="15.75" hidden="1">
      <c r="A269" s="902" t="s">
        <v>1631</v>
      </c>
      <c r="B269" s="902" t="s">
        <v>36</v>
      </c>
      <c r="C269" s="902" t="s">
        <v>1636</v>
      </c>
      <c r="D269" s="902">
        <v>4</v>
      </c>
      <c r="E269" s="902">
        <v>2</v>
      </c>
      <c r="F269" s="902">
        <v>19</v>
      </c>
      <c r="G269" s="902">
        <v>64</v>
      </c>
      <c r="H269" s="902">
        <v>95</v>
      </c>
      <c r="I269" s="902">
        <v>2</v>
      </c>
      <c r="J269" s="902">
        <v>999</v>
      </c>
      <c r="K269" s="902">
        <v>9</v>
      </c>
      <c r="L269" s="902">
        <v>99</v>
      </c>
      <c r="M269" s="902">
        <v>9</v>
      </c>
      <c r="N269" s="902">
        <v>3</v>
      </c>
      <c r="O269" s="902">
        <v>99999</v>
      </c>
      <c r="P269" s="977">
        <f t="shared" si="15"/>
        <v>0</v>
      </c>
      <c r="Q269" s="234">
        <f>CVE!$D$28</f>
        <v>0</v>
      </c>
    </row>
    <row r="270" spans="1:17" ht="15.75" hidden="1">
      <c r="A270" s="902" t="s">
        <v>1631</v>
      </c>
      <c r="B270" s="902" t="s">
        <v>36</v>
      </c>
      <c r="C270" s="902" t="s">
        <v>1637</v>
      </c>
      <c r="D270" s="902">
        <v>4</v>
      </c>
      <c r="E270" s="902">
        <v>2</v>
      </c>
      <c r="F270" s="902">
        <v>19</v>
      </c>
      <c r="G270" s="902">
        <v>64</v>
      </c>
      <c r="H270" s="902">
        <v>95</v>
      </c>
      <c r="I270" s="902">
        <v>3</v>
      </c>
      <c r="J270" s="902">
        <v>16</v>
      </c>
      <c r="K270" s="902">
        <v>9</v>
      </c>
      <c r="L270" s="902">
        <v>99</v>
      </c>
      <c r="M270" s="902">
        <v>9</v>
      </c>
      <c r="N270" s="902">
        <v>3</v>
      </c>
      <c r="O270" s="902">
        <v>99999</v>
      </c>
      <c r="P270" s="977">
        <f t="shared" si="15"/>
        <v>0</v>
      </c>
      <c r="Q270" s="234">
        <f>CVE!$D$29</f>
        <v>0</v>
      </c>
    </row>
    <row r="271" spans="1:17" ht="15.75" hidden="1">
      <c r="A271" s="902" t="s">
        <v>1631</v>
      </c>
      <c r="B271" s="902" t="s">
        <v>36</v>
      </c>
      <c r="C271" s="902" t="s">
        <v>1638</v>
      </c>
      <c r="D271" s="902">
        <v>4</v>
      </c>
      <c r="E271" s="902">
        <v>2</v>
      </c>
      <c r="F271" s="902">
        <v>19</v>
      </c>
      <c r="G271" s="902">
        <v>64</v>
      </c>
      <c r="H271" s="902">
        <v>95</v>
      </c>
      <c r="I271" s="902">
        <v>1</v>
      </c>
      <c r="J271" s="902">
        <v>21</v>
      </c>
      <c r="K271" s="902">
        <v>9</v>
      </c>
      <c r="L271" s="902">
        <v>99</v>
      </c>
      <c r="M271" s="902">
        <v>9</v>
      </c>
      <c r="N271" s="902">
        <v>3</v>
      </c>
      <c r="O271" s="902">
        <v>99999</v>
      </c>
      <c r="P271" s="977">
        <f t="shared" si="15"/>
        <v>0</v>
      </c>
      <c r="Q271" s="234">
        <f>CVE!$D$30</f>
        <v>0</v>
      </c>
    </row>
    <row r="272" spans="1:17" ht="15.75" hidden="1">
      <c r="A272" s="902" t="s">
        <v>1631</v>
      </c>
      <c r="B272" s="902" t="s">
        <v>36</v>
      </c>
      <c r="C272" s="902" t="s">
        <v>1639</v>
      </c>
      <c r="D272" s="902">
        <v>4</v>
      </c>
      <c r="E272" s="902">
        <v>2</v>
      </c>
      <c r="F272" s="902">
        <v>19</v>
      </c>
      <c r="G272" s="902">
        <v>64</v>
      </c>
      <c r="H272" s="902">
        <v>95</v>
      </c>
      <c r="I272" s="902">
        <v>3</v>
      </c>
      <c r="J272" s="902">
        <v>18</v>
      </c>
      <c r="K272" s="902">
        <v>9</v>
      </c>
      <c r="L272" s="902">
        <v>99</v>
      </c>
      <c r="M272" s="902">
        <v>9</v>
      </c>
      <c r="N272" s="902">
        <v>3</v>
      </c>
      <c r="O272" s="902">
        <v>99999</v>
      </c>
      <c r="P272" s="977">
        <f t="shared" si="15"/>
        <v>0</v>
      </c>
      <c r="Q272" s="234">
        <f>CVE!$D$31</f>
        <v>0</v>
      </c>
    </row>
    <row r="273" spans="1:17" ht="15.75" hidden="1">
      <c r="A273" s="902" t="s">
        <v>1631</v>
      </c>
      <c r="B273" s="902" t="s">
        <v>36</v>
      </c>
      <c r="C273" s="902" t="s">
        <v>1640</v>
      </c>
      <c r="D273" s="902">
        <v>4</v>
      </c>
      <c r="E273" s="902">
        <v>2</v>
      </c>
      <c r="F273" s="902">
        <v>19</v>
      </c>
      <c r="G273" s="902">
        <v>64</v>
      </c>
      <c r="H273" s="902">
        <v>95</v>
      </c>
      <c r="I273" s="902">
        <v>3</v>
      </c>
      <c r="J273" s="902">
        <v>17</v>
      </c>
      <c r="K273" s="902">
        <v>9</v>
      </c>
      <c r="L273" s="902">
        <v>99</v>
      </c>
      <c r="M273" s="902">
        <v>9</v>
      </c>
      <c r="N273" s="902">
        <v>3</v>
      </c>
      <c r="O273" s="902">
        <v>99999</v>
      </c>
      <c r="P273" s="977">
        <f t="shared" si="15"/>
        <v>0</v>
      </c>
      <c r="Q273" s="234">
        <f>CVE!$D$32</f>
        <v>0</v>
      </c>
    </row>
    <row r="274" spans="1:17" ht="15.75" hidden="1">
      <c r="A274" s="902" t="s">
        <v>773</v>
      </c>
      <c r="B274" s="902" t="s">
        <v>120</v>
      </c>
      <c r="C274" s="902" t="str">
        <f>Energia!$B$20</f>
        <v>Angra</v>
      </c>
      <c r="D274" s="902">
        <v>1</v>
      </c>
      <c r="E274" s="902">
        <v>1</v>
      </c>
      <c r="F274" s="902">
        <v>8</v>
      </c>
      <c r="G274" s="902">
        <v>999999</v>
      </c>
      <c r="H274" s="902">
        <v>999</v>
      </c>
      <c r="I274" s="902">
        <v>2</v>
      </c>
      <c r="J274" s="902">
        <v>999</v>
      </c>
      <c r="K274" s="902">
        <v>9</v>
      </c>
      <c r="L274" s="902">
        <v>99</v>
      </c>
      <c r="M274" s="902">
        <v>9</v>
      </c>
      <c r="N274" s="902">
        <v>2</v>
      </c>
      <c r="O274" s="902">
        <v>99999</v>
      </c>
      <c r="P274" s="977">
        <f t="shared" ca="1" si="15"/>
        <v>14500.259827171738</v>
      </c>
      <c r="Q274" s="234">
        <f ca="1">Energia!$C$20</f>
        <v>14500.259827171738</v>
      </c>
    </row>
    <row r="275" spans="1:17" ht="15.75" hidden="1">
      <c r="A275" s="902" t="s">
        <v>773</v>
      </c>
      <c r="B275" s="902" t="s">
        <v>120</v>
      </c>
      <c r="C275" s="902" t="str">
        <f>Energia!B20</f>
        <v>Angra</v>
      </c>
      <c r="D275" s="902">
        <v>1</v>
      </c>
      <c r="E275" s="902">
        <v>1</v>
      </c>
      <c r="F275" s="902">
        <v>8</v>
      </c>
      <c r="G275" s="902">
        <v>999999</v>
      </c>
      <c r="H275" s="902">
        <v>999</v>
      </c>
      <c r="I275" s="902">
        <v>2</v>
      </c>
      <c r="J275" s="902">
        <v>999</v>
      </c>
      <c r="K275" s="902">
        <v>9</v>
      </c>
      <c r="L275" s="902">
        <v>99</v>
      </c>
      <c r="M275" s="902">
        <v>9</v>
      </c>
      <c r="N275" s="902">
        <v>3</v>
      </c>
      <c r="O275" s="902">
        <v>99999</v>
      </c>
      <c r="P275" s="977">
        <f t="shared" ca="1" si="15"/>
        <v>5062765.7186570121</v>
      </c>
      <c r="Q275" s="234">
        <f ca="1">Energia!$F$20</f>
        <v>5062765.7186570121</v>
      </c>
    </row>
    <row r="276" spans="1:17" ht="15.75" hidden="1">
      <c r="A276" s="902" t="s">
        <v>773</v>
      </c>
      <c r="B276" s="902" t="s">
        <v>120</v>
      </c>
      <c r="C276" s="902" t="str">
        <f>Energia!$B$21</f>
        <v>CCGF</v>
      </c>
      <c r="D276" s="902">
        <v>1</v>
      </c>
      <c r="E276" s="902">
        <v>1</v>
      </c>
      <c r="F276" s="902">
        <v>17</v>
      </c>
      <c r="G276" s="902">
        <v>999999</v>
      </c>
      <c r="H276" s="902">
        <v>999</v>
      </c>
      <c r="I276" s="902">
        <v>2</v>
      </c>
      <c r="J276" s="902">
        <v>999</v>
      </c>
      <c r="K276" s="902">
        <v>9</v>
      </c>
      <c r="L276" s="902">
        <v>99</v>
      </c>
      <c r="M276" s="902">
        <v>9</v>
      </c>
      <c r="N276" s="902">
        <v>2</v>
      </c>
      <c r="O276" s="902">
        <v>0</v>
      </c>
      <c r="P276" s="977">
        <f t="shared" ca="1" si="15"/>
        <v>101761.18971538321</v>
      </c>
      <c r="Q276" s="234">
        <f ca="1">Energia!$C$21</f>
        <v>101761.18971538321</v>
      </c>
    </row>
    <row r="277" spans="1:17" ht="15.75" hidden="1">
      <c r="A277" s="902" t="s">
        <v>773</v>
      </c>
      <c r="B277" s="902" t="s">
        <v>120</v>
      </c>
      <c r="C277" s="902" t="str">
        <f>Energia!$B$21</f>
        <v>CCGF</v>
      </c>
      <c r="D277" s="902">
        <v>1</v>
      </c>
      <c r="E277" s="902">
        <v>1</v>
      </c>
      <c r="F277" s="902">
        <v>17</v>
      </c>
      <c r="G277" s="902">
        <v>999999</v>
      </c>
      <c r="H277" s="902">
        <v>999</v>
      </c>
      <c r="I277" s="902">
        <v>2</v>
      </c>
      <c r="J277" s="902">
        <v>999</v>
      </c>
      <c r="K277" s="902">
        <v>9</v>
      </c>
      <c r="L277" s="902">
        <v>99</v>
      </c>
      <c r="M277" s="902">
        <v>9</v>
      </c>
      <c r="N277" s="902">
        <v>3</v>
      </c>
      <c r="O277" s="902">
        <v>0</v>
      </c>
      <c r="P277" s="977">
        <f t="shared" ca="1" si="15"/>
        <v>14797954.222510263</v>
      </c>
      <c r="Q277" s="234">
        <f ca="1">Energia!$F$21</f>
        <v>14797954.222510263</v>
      </c>
    </row>
    <row r="278" spans="1:17" ht="15.75" hidden="1">
      <c r="A278" s="1605" t="s">
        <v>773</v>
      </c>
      <c r="B278" s="1606" t="s">
        <v>72</v>
      </c>
      <c r="C278" s="1606" t="s">
        <v>2197</v>
      </c>
      <c r="D278" s="1606">
        <v>1</v>
      </c>
      <c r="E278" s="1606">
        <v>1</v>
      </c>
      <c r="F278" s="1606">
        <v>999</v>
      </c>
      <c r="G278" s="1606">
        <v>999999</v>
      </c>
      <c r="H278" s="1606">
        <v>999</v>
      </c>
      <c r="I278" s="1606">
        <v>3</v>
      </c>
      <c r="J278" s="1606">
        <v>35</v>
      </c>
      <c r="K278" s="1606">
        <v>9</v>
      </c>
      <c r="L278" s="1606">
        <v>99</v>
      </c>
      <c r="M278" s="1606">
        <v>9</v>
      </c>
      <c r="N278" s="1606">
        <v>3</v>
      </c>
      <c r="O278" s="1606">
        <v>99999</v>
      </c>
      <c r="P278" s="977">
        <f>IF(ISNUMBER(Q278),Q278,0)</f>
        <v>10326227.057756007</v>
      </c>
      <c r="Q278" s="964">
        <f>Encargos!L17</f>
        <v>10326227.057756007</v>
      </c>
    </row>
    <row r="279" spans="1:17" ht="15.75" hidden="1">
      <c r="A279" s="1607" t="s">
        <v>773</v>
      </c>
      <c r="B279" s="1607" t="s">
        <v>72</v>
      </c>
      <c r="C279" s="1607" t="s">
        <v>2200</v>
      </c>
      <c r="D279" s="1607">
        <v>2</v>
      </c>
      <c r="E279" s="1607">
        <v>1</v>
      </c>
      <c r="F279" s="1607">
        <v>51</v>
      </c>
      <c r="G279" s="1607">
        <v>999999</v>
      </c>
      <c r="H279" s="1607">
        <v>999</v>
      </c>
      <c r="I279" s="1607">
        <v>3</v>
      </c>
      <c r="J279" s="1607">
        <v>28</v>
      </c>
      <c r="K279" s="1607">
        <v>2</v>
      </c>
      <c r="L279" s="1607">
        <v>99</v>
      </c>
      <c r="M279" s="1607">
        <v>9</v>
      </c>
      <c r="N279" s="1607">
        <v>3</v>
      </c>
      <c r="O279" s="1607">
        <v>99999</v>
      </c>
      <c r="P279" s="977">
        <f>IF(ISNUMBER(Q279),Q279,0)</f>
        <v>-6485000</v>
      </c>
      <c r="Q279" s="964">
        <f>Encargos!I21</f>
        <v>-6485000</v>
      </c>
    </row>
    <row r="280" spans="1:17" ht="15.75" hidden="1">
      <c r="A280" s="902" t="s">
        <v>1575</v>
      </c>
      <c r="B280" s="902" t="s">
        <v>120</v>
      </c>
      <c r="C280" s="902" t="s">
        <v>2377</v>
      </c>
      <c r="D280" s="902">
        <v>3</v>
      </c>
      <c r="E280" s="902">
        <v>1</v>
      </c>
      <c r="F280" s="902">
        <v>37</v>
      </c>
      <c r="G280" s="902">
        <v>999999</v>
      </c>
      <c r="H280" s="902">
        <v>999</v>
      </c>
      <c r="I280" s="902">
        <v>99</v>
      </c>
      <c r="J280" s="902">
        <v>999</v>
      </c>
      <c r="K280" s="902">
        <v>9</v>
      </c>
      <c r="L280" s="902">
        <v>99</v>
      </c>
      <c r="M280" s="902">
        <v>9</v>
      </c>
      <c r="N280" s="902">
        <v>8</v>
      </c>
      <c r="O280" s="902">
        <v>99999</v>
      </c>
      <c r="P280" s="977">
        <f ca="1">IF(ISNUMBER(Q280),Q280,0)</f>
        <v>0.12822943289175084</v>
      </c>
      <c r="Q280" s="249">
        <f ca="1">Energia!L35</f>
        <v>0.12822943289175084</v>
      </c>
    </row>
    <row r="281" spans="1:17" s="903" customFormat="1" ht="14.1" hidden="1" customHeight="1">
      <c r="A281" s="902" t="s">
        <v>1589</v>
      </c>
      <c r="B281" s="902" t="s">
        <v>1589</v>
      </c>
      <c r="C281" s="902" t="s">
        <v>1589</v>
      </c>
      <c r="D281" s="902">
        <v>99</v>
      </c>
      <c r="E281" s="902">
        <v>99</v>
      </c>
      <c r="F281" s="902">
        <v>999</v>
      </c>
      <c r="G281" s="902">
        <v>999999</v>
      </c>
      <c r="H281" s="902">
        <v>999</v>
      </c>
      <c r="I281" s="902">
        <v>99</v>
      </c>
      <c r="J281" s="902">
        <v>999</v>
      </c>
      <c r="K281" s="902">
        <v>9</v>
      </c>
      <c r="L281" s="902">
        <v>99</v>
      </c>
      <c r="M281" s="902">
        <v>9</v>
      </c>
      <c r="N281" s="902">
        <v>99</v>
      </c>
      <c r="O281">
        <v>99999</v>
      </c>
      <c r="P281" s="964">
        <f t="shared" si="15"/>
        <v>0</v>
      </c>
      <c r="Q281" s="964"/>
    </row>
    <row r="282" spans="1:17" s="903" customFormat="1" ht="14.1" hidden="1" customHeight="1">
      <c r="A282" s="902" t="s">
        <v>1589</v>
      </c>
      <c r="B282" s="902" t="s">
        <v>1589</v>
      </c>
      <c r="C282" s="902" t="s">
        <v>1589</v>
      </c>
      <c r="D282" s="902">
        <v>99</v>
      </c>
      <c r="E282" s="902">
        <v>99</v>
      </c>
      <c r="F282" s="902">
        <v>999</v>
      </c>
      <c r="G282" s="902">
        <v>999999</v>
      </c>
      <c r="H282" s="902">
        <v>999</v>
      </c>
      <c r="I282" s="902">
        <v>99</v>
      </c>
      <c r="J282" s="902">
        <v>999</v>
      </c>
      <c r="K282" s="902">
        <v>9</v>
      </c>
      <c r="L282" s="902">
        <v>99</v>
      </c>
      <c r="M282" s="902">
        <v>9</v>
      </c>
      <c r="N282" s="902">
        <v>99</v>
      </c>
      <c r="O282">
        <v>99999</v>
      </c>
      <c r="P282" s="964">
        <f t="shared" si="15"/>
        <v>0</v>
      </c>
      <c r="Q282" s="964"/>
    </row>
    <row r="283" spans="1:17" ht="15.75">
      <c r="A283" s="902"/>
      <c r="B283" s="902"/>
      <c r="C283" s="902"/>
      <c r="D283" s="902"/>
      <c r="E283" s="902"/>
      <c r="F283" s="902"/>
      <c r="G283" s="902"/>
      <c r="H283" s="902"/>
      <c r="I283" s="902"/>
      <c r="J283" s="902"/>
      <c r="K283" s="902"/>
      <c r="L283" s="902"/>
      <c r="M283" s="902"/>
      <c r="N283" s="902"/>
      <c r="O283"/>
      <c r="P283" s="964"/>
      <c r="Q283" s="964"/>
    </row>
    <row r="284" spans="1:17" ht="15.75">
      <c r="A284" s="902"/>
      <c r="B284" s="902"/>
      <c r="C284" s="902"/>
      <c r="D284" s="902"/>
      <c r="E284" s="902"/>
      <c r="F284" s="902"/>
      <c r="G284" s="902"/>
      <c r="H284" s="902"/>
      <c r="I284" s="902"/>
      <c r="J284" s="902"/>
      <c r="K284" s="902"/>
      <c r="L284" s="902"/>
      <c r="M284" s="902"/>
      <c r="N284" s="902"/>
      <c r="O284"/>
      <c r="P284" s="964"/>
      <c r="Q284" s="96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ref="P285:P340" si="17">IF(ISNUMBER(Q285),Q285,0)</f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7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7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7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7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7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7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7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7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7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7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7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7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7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7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7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7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7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7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7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7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7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7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7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7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7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7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7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7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7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7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7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7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7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7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7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7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7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7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7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7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7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7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7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7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7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7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7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7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7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7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ref="P341:P404" si="18">IF(ISNUMBER(Q341),Q341,0)</f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8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8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8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8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8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8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8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8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8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8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8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8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8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8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8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8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8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8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8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8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8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8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8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8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8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8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8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8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8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8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8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8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8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8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8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8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8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8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8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8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8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8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8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8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8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8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8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8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8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8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8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8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8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8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8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8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8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8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ref="P405:P468" si="19">IF(ISNUMBER(Q405),Q405,0)</f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9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9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9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9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9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9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9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9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9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9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9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9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9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9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9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9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9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9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9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9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9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9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9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9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9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9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9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9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9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9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9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9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9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9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9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9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9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9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9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9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9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9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9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9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9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9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9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9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9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9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9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9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9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9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9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9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9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9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ref="P469:P532" si="20">IF(ISNUMBER(Q469),Q469,0)</f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20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20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20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20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20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20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20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20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20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20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20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20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20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20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20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20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20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20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20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20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20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20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20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20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20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20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20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20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20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20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20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20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20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20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20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20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20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20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20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20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20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20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20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20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20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20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20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20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20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20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20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20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20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20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20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20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20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20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ref="P533:P596" si="21">IF(ISNUMBER(Q533),Q533,0)</f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1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1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1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1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1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1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1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1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1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1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1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1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1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1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1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1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1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1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1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1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1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1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1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1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1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1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1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1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1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1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1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1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1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1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1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1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1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1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1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1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1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1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1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1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1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1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1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1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1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1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1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1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1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1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1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1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21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21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ref="P597:P660" si="22">IF(ISNUMBER(Q597),Q597,0)</f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2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2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2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2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2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2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2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2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2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2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2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2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2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2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2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2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2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2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2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2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2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2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2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2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2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2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2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2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2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2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2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2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2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2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2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2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2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2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2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2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2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2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2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2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2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2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2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2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2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2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2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2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2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2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2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2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22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22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ref="P661:P724" si="23">IF(ISNUMBER(Q661),Q661,0)</f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3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3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3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3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3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3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3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3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3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3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3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3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3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3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3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3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3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3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3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3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3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3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3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3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3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3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3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3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3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3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3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3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3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3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3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3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3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3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3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3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3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3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3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3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3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3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3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3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3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3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3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3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3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3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3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3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3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3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ref="P725:P788" si="24">IF(ISNUMBER(Q725),Q725,0)</f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4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4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4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4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4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4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4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4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4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4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4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4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4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4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4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4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4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4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4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4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4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4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4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4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4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4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4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4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4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4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4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4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4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4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4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4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4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4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4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4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4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4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4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4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4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4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4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4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4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4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4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4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4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4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4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4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4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4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ref="P789:P852" si="25">IF(ISNUMBER(Q789),Q789,0)</f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5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5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5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5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5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5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5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5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5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5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5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5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5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5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5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5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5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5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5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5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5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5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5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5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5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5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5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5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5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5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5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5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5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5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5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5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5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5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5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5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5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5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5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5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5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5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5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5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5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5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5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5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5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5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5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5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5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5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ref="P853:P916" si="26">IF(ISNUMBER(Q853),Q853,0)</f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6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6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6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6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6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6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6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6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6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6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6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6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6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6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6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6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6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6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6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6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6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6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6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6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6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6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6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6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6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6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6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6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6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6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6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6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6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6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6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6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6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6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6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6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6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6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6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6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6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6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6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6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6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6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6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6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6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6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ref="P917:P980" si="27">IF(ISNUMBER(Q917),Q917,0)</f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7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7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7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7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7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7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7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7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7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7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7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7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7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7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7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7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7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7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7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7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7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7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7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7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7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7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7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7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7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7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7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7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7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7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7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7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7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7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7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7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7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7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7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7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7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7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7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7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7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7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7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7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7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7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7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7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7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7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ref="P981:P1044" si="28">IF(ISNUMBER(Q981),Q981,0)</f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8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8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8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8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8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8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8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8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8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8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8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8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8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8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8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8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8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8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8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8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8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8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8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8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8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8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8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8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8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8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8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8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8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8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8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8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8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8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8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8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8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8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8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8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8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8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8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8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8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8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8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8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8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8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8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8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8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8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ref="P1045:P1108" si="29">IF(ISNUMBER(Q1045),Q1045,0)</f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9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9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9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9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9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9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9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9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9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9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9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9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9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9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9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9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9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9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9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9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9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9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9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9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9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9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9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9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9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9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9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9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9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9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9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9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9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9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9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9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9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9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9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9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9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9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9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9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9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9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9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9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9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9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9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9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9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9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ref="P1109:P1172" si="30">IF(ISNUMBER(Q1109),Q1109,0)</f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30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30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30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30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30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30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30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30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30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30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30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30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30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30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30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30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30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30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30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30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30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30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30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30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30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30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30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30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30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30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30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30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30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30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30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30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30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30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30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30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30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30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30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30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30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30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30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30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30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30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30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30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30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30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30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30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30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30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ref="P1173:P1236" si="31">IF(ISNUMBER(Q1173),Q1173,0)</f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1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1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1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1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1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1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1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1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1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1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1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1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1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1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1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1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1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1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1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1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1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1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1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1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1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1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1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1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1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1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1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1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1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1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1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1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1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1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1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1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1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1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1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1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1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1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1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1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1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1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1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1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1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1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1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1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31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31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ref="P1237:P1300" si="32">IF(ISNUMBER(Q1237),Q1237,0)</f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2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2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2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2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2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2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2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2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2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2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2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2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2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2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2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2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2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2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2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2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2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2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2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2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2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2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2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2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2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2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2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2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2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2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2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2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2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2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2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2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2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2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2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2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2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2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2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2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2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2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2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2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2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2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2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2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32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32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ref="P1301:P1364" si="33">IF(ISNUMBER(Q1301),Q1301,0)</f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3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3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3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3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3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3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3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3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3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3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3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3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3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3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3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3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3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3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3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3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3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3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3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3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3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3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3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3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3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3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3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3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3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3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3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3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3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3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3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3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3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3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3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3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3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3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3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3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3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3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3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3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3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3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3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3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3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3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ref="P1365:P1428" si="34">IF(ISNUMBER(Q1365),Q1365,0)</f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4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4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4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4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4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4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4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4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4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4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4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4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4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4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4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4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4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4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4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4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4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4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4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4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4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4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4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4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4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4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4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4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4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4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4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4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4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4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4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4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4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4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4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4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4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4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4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4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4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4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4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4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4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4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4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4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4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4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ref="P1429:P1492" si="35">IF(ISNUMBER(Q1429),Q1429,0)</f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5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5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5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5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5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5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5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5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5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5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5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5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5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5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5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5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5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5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5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5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5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5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5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5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5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5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5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5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5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5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5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5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5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5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5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5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5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5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5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5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5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5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5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5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5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5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5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5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5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5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5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5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5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5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5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5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5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5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ref="P1493:P1556" si="36">IF(ISNUMBER(Q1493),Q1493,0)</f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6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6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6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6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6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6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6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6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6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6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6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6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6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6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6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6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6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6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6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6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6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6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6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6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6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6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6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6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6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6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6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6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6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6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6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6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6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6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6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6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6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6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6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6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6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6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6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6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6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6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6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6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6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6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6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6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6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6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ref="P1557:P1620" si="37">IF(ISNUMBER(Q1557),Q1557,0)</f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7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7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7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7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7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7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7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7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7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7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7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7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7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7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7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7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7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7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7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7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7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7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7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7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7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7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7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7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7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7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7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7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7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7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7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7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7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7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7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7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7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7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7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7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7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7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7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7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7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7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7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7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7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7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7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7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7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7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ref="P1621:P1684" si="38">IF(ISNUMBER(Q1621),Q1621,0)</f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8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8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8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8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8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8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8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8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8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8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8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8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8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8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8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8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8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8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8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8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8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8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8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8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8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8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8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8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8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8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8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8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8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8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8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8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8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8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8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8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8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8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8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8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8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8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8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8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8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8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8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8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8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8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8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8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8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8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ref="P1685:P1739" si="39">IF(ISNUMBER(Q1685),Q1685,0)</f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9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9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9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9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9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9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9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9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9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9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9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9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9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9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9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9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9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9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9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9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9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9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9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9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9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9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9"/>
        <v>0</v>
      </c>
      <c r="Q1712" s="234"/>
    </row>
    <row r="1713" spans="4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9"/>
        <v>0</v>
      </c>
      <c r="Q1713" s="234"/>
    </row>
    <row r="1714" spans="4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9"/>
        <v>0</v>
      </c>
      <c r="Q1714" s="234"/>
    </row>
    <row r="1715" spans="4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9"/>
        <v>0</v>
      </c>
      <c r="Q1715" s="234"/>
    </row>
    <row r="1716" spans="4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9"/>
        <v>0</v>
      </c>
      <c r="Q1716" s="234"/>
    </row>
    <row r="1717" spans="4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9"/>
        <v>0</v>
      </c>
      <c r="Q1717" s="234"/>
    </row>
    <row r="1718" spans="4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9"/>
        <v>0</v>
      </c>
      <c r="Q1718" s="234"/>
    </row>
    <row r="1719" spans="4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9"/>
        <v>0</v>
      </c>
      <c r="Q1719" s="234"/>
    </row>
    <row r="1720" spans="4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9"/>
        <v>0</v>
      </c>
      <c r="Q1720" s="234"/>
    </row>
    <row r="1721" spans="4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9"/>
        <v>0</v>
      </c>
      <c r="Q1721" s="234"/>
    </row>
    <row r="1722" spans="4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9"/>
        <v>0</v>
      </c>
      <c r="Q1722" s="234"/>
    </row>
    <row r="1723" spans="4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9"/>
        <v>0</v>
      </c>
      <c r="Q1723" s="234"/>
    </row>
    <row r="1724" spans="4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9"/>
        <v>0</v>
      </c>
      <c r="Q1724" s="234"/>
    </row>
    <row r="1725" spans="4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9"/>
        <v>0</v>
      </c>
      <c r="Q1725" s="234"/>
    </row>
    <row r="1726" spans="4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9"/>
        <v>0</v>
      </c>
      <c r="Q1726" s="234"/>
    </row>
    <row r="1727" spans="4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4">
        <f t="shared" si="39"/>
        <v>0</v>
      </c>
      <c r="Q1727" s="234"/>
    </row>
    <row r="1728" spans="4:17" ht="15.75">
      <c r="D1728"/>
      <c r="E1728"/>
      <c r="F1728"/>
      <c r="G1728"/>
      <c r="H1728"/>
      <c r="I1728"/>
      <c r="J1728"/>
      <c r="K1728"/>
      <c r="L1728"/>
      <c r="M1728"/>
      <c r="N1728"/>
      <c r="O1728"/>
      <c r="P1728" s="234">
        <f t="shared" si="39"/>
        <v>0</v>
      </c>
      <c r="Q1728" s="234"/>
    </row>
    <row r="1729" spans="1:17" ht="15.75">
      <c r="D1729"/>
      <c r="E1729"/>
      <c r="F1729"/>
      <c r="G1729"/>
      <c r="H1729"/>
      <c r="I1729"/>
      <c r="J1729"/>
      <c r="K1729"/>
      <c r="L1729"/>
      <c r="M1729"/>
      <c r="N1729"/>
      <c r="O1729"/>
      <c r="P1729" s="234">
        <f t="shared" si="39"/>
        <v>0</v>
      </c>
      <c r="Q1729" s="234"/>
    </row>
    <row r="1730" spans="1:17" ht="15.75">
      <c r="D1730"/>
      <c r="E1730"/>
      <c r="F1730"/>
      <c r="G1730"/>
      <c r="H1730"/>
      <c r="I1730"/>
      <c r="J1730"/>
      <c r="K1730"/>
      <c r="L1730"/>
      <c r="M1730"/>
      <c r="N1730"/>
      <c r="O1730"/>
      <c r="P1730" s="234">
        <f t="shared" si="39"/>
        <v>0</v>
      </c>
      <c r="Q1730" s="234"/>
    </row>
    <row r="1731" spans="1:17" ht="15.75">
      <c r="D1731"/>
      <c r="E1731"/>
      <c r="F1731"/>
      <c r="G1731"/>
      <c r="H1731"/>
      <c r="I1731"/>
      <c r="J1731"/>
      <c r="K1731"/>
      <c r="L1731"/>
      <c r="M1731"/>
      <c r="N1731"/>
      <c r="O1731"/>
      <c r="P1731" s="234">
        <f t="shared" si="39"/>
        <v>0</v>
      </c>
      <c r="Q1731" s="234"/>
    </row>
    <row r="1732" spans="1:17" ht="15.75">
      <c r="D1732"/>
      <c r="E1732"/>
      <c r="F1732"/>
      <c r="G1732"/>
      <c r="H1732"/>
      <c r="I1732"/>
      <c r="J1732"/>
      <c r="K1732"/>
      <c r="L1732"/>
      <c r="M1732"/>
      <c r="N1732"/>
      <c r="O1732"/>
      <c r="P1732" s="234">
        <f t="shared" si="39"/>
        <v>0</v>
      </c>
      <c r="Q1732" s="234"/>
    </row>
    <row r="1733" spans="1:17" ht="15.75">
      <c r="D1733"/>
      <c r="E1733"/>
      <c r="F1733"/>
      <c r="G1733"/>
      <c r="H1733"/>
      <c r="I1733"/>
      <c r="J1733"/>
      <c r="K1733"/>
      <c r="L1733"/>
      <c r="M1733"/>
      <c r="N1733"/>
      <c r="O1733"/>
      <c r="P1733" s="234">
        <f t="shared" si="39"/>
        <v>0</v>
      </c>
      <c r="Q1733" s="248"/>
    </row>
    <row r="1734" spans="1:17">
      <c r="A1734" s="9" t="s">
        <v>773</v>
      </c>
      <c r="B1734" t="s">
        <v>794</v>
      </c>
      <c r="C1734" s="9" t="s">
        <v>1641</v>
      </c>
      <c r="D1734">
        <v>1</v>
      </c>
      <c r="E1734">
        <v>1</v>
      </c>
      <c r="F1734">
        <v>35</v>
      </c>
      <c r="G1734">
        <v>999</v>
      </c>
      <c r="H1734">
        <v>999</v>
      </c>
      <c r="I1734">
        <v>1</v>
      </c>
      <c r="J1734">
        <v>1</v>
      </c>
      <c r="K1734">
        <v>9</v>
      </c>
      <c r="L1734">
        <v>99</v>
      </c>
      <c r="M1734">
        <v>1</v>
      </c>
      <c r="N1734">
        <v>3</v>
      </c>
      <c r="O1734" s="14">
        <v>99999</v>
      </c>
      <c r="P1734" s="234">
        <f t="shared" si="39"/>
        <v>6998400</v>
      </c>
      <c r="Q1734" s="234">
        <f>'Rede Básica + Ajuste'!D9</f>
        <v>6998400</v>
      </c>
    </row>
    <row r="1735" spans="1:17">
      <c r="A1735" s="9" t="s">
        <v>773</v>
      </c>
      <c r="B1735" t="s">
        <v>794</v>
      </c>
      <c r="C1735" s="9" t="s">
        <v>1642</v>
      </c>
      <c r="D1735">
        <v>1</v>
      </c>
      <c r="E1735">
        <v>1</v>
      </c>
      <c r="F1735">
        <v>35</v>
      </c>
      <c r="G1735">
        <v>999</v>
      </c>
      <c r="H1735">
        <v>999</v>
      </c>
      <c r="I1735">
        <v>1</v>
      </c>
      <c r="J1735">
        <v>1</v>
      </c>
      <c r="K1735">
        <v>9</v>
      </c>
      <c r="L1735">
        <v>99</v>
      </c>
      <c r="M1735">
        <v>3</v>
      </c>
      <c r="N1735">
        <v>3</v>
      </c>
      <c r="O1735" s="14">
        <v>99999</v>
      </c>
      <c r="P1735" s="234">
        <f t="shared" si="39"/>
        <v>7565760</v>
      </c>
      <c r="Q1735" s="234">
        <f>'Rede Básica + Ajuste'!D10</f>
        <v>7565760</v>
      </c>
    </row>
    <row r="1736" spans="1:17">
      <c r="A1736" s="9" t="s">
        <v>773</v>
      </c>
      <c r="B1736" t="s">
        <v>794</v>
      </c>
      <c r="C1736" s="9" t="s">
        <v>1643</v>
      </c>
      <c r="D1736">
        <v>1</v>
      </c>
      <c r="E1736">
        <v>1</v>
      </c>
      <c r="F1736">
        <v>35</v>
      </c>
      <c r="G1736">
        <v>999</v>
      </c>
      <c r="H1736">
        <v>999</v>
      </c>
      <c r="I1736">
        <v>1</v>
      </c>
      <c r="J1736">
        <v>2</v>
      </c>
      <c r="K1736">
        <v>9</v>
      </c>
      <c r="L1736">
        <v>99</v>
      </c>
      <c r="M1736">
        <v>1</v>
      </c>
      <c r="N1736">
        <v>3</v>
      </c>
      <c r="O1736" s="14">
        <v>99999</v>
      </c>
      <c r="P1736" s="234">
        <f t="shared" si="39"/>
        <v>1234560</v>
      </c>
      <c r="Q1736" s="234">
        <f>'Rede Básica + Ajuste'!E9</f>
        <v>1234560</v>
      </c>
    </row>
    <row r="1737" spans="1:17">
      <c r="A1737" s="9" t="s">
        <v>773</v>
      </c>
      <c r="B1737" t="s">
        <v>794</v>
      </c>
      <c r="C1737" s="9" t="s">
        <v>1644</v>
      </c>
      <c r="D1737">
        <v>1</v>
      </c>
      <c r="E1737">
        <v>1</v>
      </c>
      <c r="F1737">
        <v>35</v>
      </c>
      <c r="G1737">
        <v>999</v>
      </c>
      <c r="H1737">
        <v>999</v>
      </c>
      <c r="I1737">
        <v>1</v>
      </c>
      <c r="J1737">
        <v>2</v>
      </c>
      <c r="K1737">
        <v>9</v>
      </c>
      <c r="L1737">
        <v>99</v>
      </c>
      <c r="M1737">
        <v>3</v>
      </c>
      <c r="N1737">
        <v>3</v>
      </c>
      <c r="O1737" s="14">
        <v>99999</v>
      </c>
      <c r="P1737" s="234">
        <f t="shared" si="39"/>
        <v>1234560</v>
      </c>
      <c r="Q1737" s="234">
        <f>'Rede Básica + Ajuste'!E10</f>
        <v>1234560</v>
      </c>
    </row>
    <row r="1738" spans="1:17">
      <c r="A1738" s="9" t="s">
        <v>773</v>
      </c>
      <c r="B1738" t="s">
        <v>794</v>
      </c>
      <c r="C1738" s="9" t="s">
        <v>1645</v>
      </c>
      <c r="D1738">
        <v>1</v>
      </c>
      <c r="E1738">
        <v>1</v>
      </c>
      <c r="F1738">
        <v>35</v>
      </c>
      <c r="G1738">
        <v>999</v>
      </c>
      <c r="H1738">
        <v>999</v>
      </c>
      <c r="I1738">
        <v>1</v>
      </c>
      <c r="J1738">
        <v>1</v>
      </c>
      <c r="K1738">
        <v>9</v>
      </c>
      <c r="L1738">
        <v>99</v>
      </c>
      <c r="M1738">
        <v>1</v>
      </c>
      <c r="N1738">
        <v>1</v>
      </c>
      <c r="O1738" s="14">
        <v>99999</v>
      </c>
      <c r="P1738" s="234">
        <f t="shared" si="39"/>
        <v>960</v>
      </c>
      <c r="Q1738" s="234">
        <f>'Rede Básica + Ajuste'!C9</f>
        <v>960</v>
      </c>
    </row>
    <row r="1739" spans="1:17">
      <c r="A1739" s="9" t="s">
        <v>773</v>
      </c>
      <c r="B1739" t="s">
        <v>794</v>
      </c>
      <c r="C1739" s="9" t="s">
        <v>1646</v>
      </c>
      <c r="D1739">
        <v>1</v>
      </c>
      <c r="E1739">
        <v>1</v>
      </c>
      <c r="F1739">
        <v>35</v>
      </c>
      <c r="G1739">
        <v>999</v>
      </c>
      <c r="H1739">
        <v>999</v>
      </c>
      <c r="I1739">
        <v>1</v>
      </c>
      <c r="J1739">
        <v>1</v>
      </c>
      <c r="K1739">
        <v>9</v>
      </c>
      <c r="L1739">
        <v>99</v>
      </c>
      <c r="M1739">
        <v>3</v>
      </c>
      <c r="N1739">
        <v>1</v>
      </c>
      <c r="O1739" s="14">
        <v>99999</v>
      </c>
      <c r="P1739" s="234">
        <f t="shared" si="39"/>
        <v>960</v>
      </c>
      <c r="Q1739" s="234">
        <f>'Rede Básica + Ajuste'!C10</f>
        <v>960</v>
      </c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  <row r="2507" customFormat="1" ht="15.75"/>
    <row r="2508" customFormat="1" ht="15.75"/>
    <row r="2509" customFormat="1" ht="15.75"/>
    <row r="2510" customFormat="1" ht="15.75"/>
    <row r="2511" customFormat="1" ht="15.75"/>
    <row r="2512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5" bestFit="1" customWidth="1"/>
    <col min="2" max="2" width="12.5703125" style="505" bestFit="1" customWidth="1"/>
    <col min="3" max="3" width="10.140625" style="505" customWidth="1"/>
    <col min="4" max="4" width="50.42578125" style="505" bestFit="1" customWidth="1"/>
    <col min="5" max="5" width="41.140625" style="505" bestFit="1" customWidth="1"/>
    <col min="6" max="6" width="43.28515625" style="505" bestFit="1" customWidth="1"/>
    <col min="7" max="7" width="34.7109375" style="505" bestFit="1" customWidth="1"/>
    <col min="8" max="8" width="42.7109375" style="505" bestFit="1" customWidth="1"/>
    <col min="9" max="9" width="33.42578125" style="505" bestFit="1" customWidth="1"/>
    <col min="10" max="10" width="25.42578125" style="505" bestFit="1" customWidth="1"/>
    <col min="11" max="11" width="30.85546875" style="505" bestFit="1" customWidth="1"/>
    <col min="12" max="14" width="13" style="505" customWidth="1"/>
    <col min="15" max="15" width="12.5703125" style="505" bestFit="1" customWidth="1"/>
    <col min="16" max="16" width="12.5703125" style="505" customWidth="1"/>
    <col min="17" max="19" width="13" style="505" customWidth="1"/>
    <col min="20" max="20" width="41.140625" style="505" customWidth="1"/>
    <col min="21" max="22" width="13" style="505" customWidth="1"/>
    <col min="23" max="33" width="13" style="505" bestFit="1" customWidth="1"/>
    <col min="34" max="36" width="12.5703125" style="505" bestFit="1" customWidth="1"/>
    <col min="37" max="37" width="49.42578125" style="505" bestFit="1" customWidth="1"/>
    <col min="38" max="38" width="17.5703125" style="505" bestFit="1" customWidth="1"/>
    <col min="39" max="39" width="18" style="505" bestFit="1" customWidth="1"/>
    <col min="40" max="40" width="17.5703125" style="505" bestFit="1" customWidth="1"/>
    <col min="41" max="41" width="18" style="505" bestFit="1" customWidth="1"/>
    <col min="42" max="42" width="17" style="505" bestFit="1" customWidth="1"/>
    <col min="43" max="43" width="17.5703125" style="505" bestFit="1" customWidth="1"/>
    <col min="44" max="44" width="18" style="505" bestFit="1" customWidth="1"/>
    <col min="45" max="47" width="17.5703125" style="505" bestFit="1" customWidth="1"/>
    <col min="48" max="48" width="17" style="505" bestFit="1" customWidth="1"/>
    <col min="49" max="51" width="17.5703125" style="505" bestFit="1" customWidth="1"/>
    <col min="52" max="52" width="17" style="505" bestFit="1" customWidth="1"/>
    <col min="53" max="53" width="17.5703125" style="505" bestFit="1" customWidth="1"/>
    <col min="54" max="54" width="40.85546875" style="505" bestFit="1" customWidth="1"/>
    <col min="55" max="70" width="10.140625" style="505" bestFit="1" customWidth="1"/>
    <col min="71" max="71" width="42.7109375" style="505" bestFit="1" customWidth="1"/>
    <col min="72" max="72" width="16.5703125" style="505" bestFit="1" customWidth="1"/>
    <col min="73" max="75" width="17.5703125" style="505" bestFit="1" customWidth="1"/>
    <col min="76" max="76" width="17" style="505" bestFit="1" customWidth="1"/>
    <col min="77" max="77" width="17.5703125" style="505" bestFit="1" customWidth="1"/>
    <col min="78" max="79" width="17" style="505" bestFit="1" customWidth="1"/>
    <col min="80" max="80" width="17.5703125" style="505" bestFit="1" customWidth="1"/>
    <col min="81" max="82" width="17" style="505" bestFit="1" customWidth="1"/>
    <col min="83" max="84" width="17.5703125" style="505" bestFit="1" customWidth="1"/>
    <col min="85" max="86" width="18" style="505" bestFit="1" customWidth="1"/>
    <col min="87" max="87" width="17" style="505" bestFit="1" customWidth="1"/>
    <col min="88" max="88" width="33.42578125" style="505" bestFit="1" customWidth="1"/>
    <col min="89" max="104" width="10.140625" style="505" bestFit="1" customWidth="1"/>
    <col min="105" max="105" width="25.42578125" style="505" bestFit="1" customWidth="1"/>
    <col min="106" max="119" width="10.140625" style="505" bestFit="1" customWidth="1"/>
    <col min="120" max="120" width="11.140625" style="505" bestFit="1" customWidth="1"/>
    <col min="121" max="121" width="10.140625" style="505" bestFit="1" customWidth="1"/>
    <col min="122" max="122" width="30.85546875" style="505" bestFit="1" customWidth="1"/>
    <col min="123" max="123" width="13.42578125" style="505" bestFit="1" customWidth="1"/>
    <col min="124" max="125" width="14" style="505" bestFit="1" customWidth="1"/>
    <col min="126" max="126" width="13.42578125" style="505" bestFit="1" customWidth="1"/>
    <col min="127" max="127" width="14.42578125" style="505" bestFit="1" customWidth="1"/>
    <col min="128" max="130" width="14" style="505" bestFit="1" customWidth="1"/>
    <col min="131" max="131" width="14.42578125" style="505" bestFit="1" customWidth="1"/>
    <col min="132" max="132" width="14" style="505" bestFit="1" customWidth="1"/>
    <col min="133" max="133" width="14.42578125" style="505" bestFit="1" customWidth="1"/>
    <col min="134" max="134" width="14" style="505" bestFit="1" customWidth="1"/>
    <col min="135" max="135" width="13.42578125" style="505" bestFit="1" customWidth="1"/>
    <col min="136" max="138" width="14.42578125" style="505" bestFit="1" customWidth="1"/>
    <col min="139" max="16384" width="9.140625" style="505"/>
  </cols>
  <sheetData>
    <row r="1" spans="1:138">
      <c r="A1" s="1510" t="s">
        <v>1647</v>
      </c>
      <c r="B1" s="505">
        <f>YEAR(SAS_RA0_DataInicio)*100+MONTH(SAS_RA0_DataInicio)</f>
        <v>202107</v>
      </c>
      <c r="D1" s="1510" t="s">
        <v>1648</v>
      </c>
      <c r="E1" s="1510" t="s">
        <v>1649</v>
      </c>
      <c r="F1" s="1510" t="s">
        <v>1650</v>
      </c>
    </row>
    <row r="2" spans="1:138" ht="15.75">
      <c r="A2" s="1510" t="s">
        <v>1651</v>
      </c>
      <c r="B2" s="505">
        <f>YEAR(SAS_RA0_DataFim)*100+MONTH(SAS_RA0_DataFim)</f>
        <v>202206</v>
      </c>
      <c r="D2" s="1511" t="str">
        <f>UPPER(VLOOKUP(LnkTXTSigla,Informacoes[],9,FALSE))</f>
        <v>RGE</v>
      </c>
      <c r="E2" s="505">
        <f>IF(_xlfn.MAXIFS(C:C,A:A,D2)&gt;B2,B2,_xlfn.MAXIFS(C:C,A:A,D2))</f>
        <v>0</v>
      </c>
      <c r="F2" s="507">
        <f>YEAR(SAS_RA0_DataFim)*100+MONTH(SAS_RA0_DataFim)-E2+1</f>
        <v>202207</v>
      </c>
    </row>
    <row r="3" spans="1:138" ht="15.75">
      <c r="A3" s="1512" t="s">
        <v>230</v>
      </c>
      <c r="B3" s="507">
        <f>YEAR(SAS_RA0_DataFim)*100+MONTH(SAS_RA0_DataFim)-MAX(C:C)+1</f>
        <v>202207</v>
      </c>
      <c r="D3" s="1511" t="str">
        <f>UPPER(VLOOKUP(LnkTXTSigla,Informacoes[],11,FALSE))</f>
        <v/>
      </c>
      <c r="E3" s="505">
        <f>IF(_xlfn.MAXIFS(C:C,A:A,D3)&gt;B2,B2,_xlfn.MAXIFS(C:C,A:A,D3))</f>
        <v>0</v>
      </c>
      <c r="F3" s="507">
        <f>YEAR(SAS_RA0_DataFim)*100+MONTH(SAS_RA0_DataFim)-E3+1</f>
        <v>202207</v>
      </c>
    </row>
    <row r="4" spans="1:138" ht="15.75">
      <c r="A4" s="521" t="s">
        <v>1652</v>
      </c>
      <c r="B4" s="522" t="s">
        <v>1653</v>
      </c>
    </row>
    <row r="6" spans="1:138" ht="15.75">
      <c r="A6" s="800"/>
      <c r="B6" s="801"/>
      <c r="C6" s="801"/>
      <c r="D6" s="52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6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6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1" bestFit="1" customWidth="1"/>
    <col min="2" max="4" width="9.140625" style="481"/>
    <col min="5" max="5" width="35.7109375" style="481" customWidth="1"/>
    <col min="6" max="6" width="12.5703125" style="481" bestFit="1" customWidth="1"/>
    <col min="7" max="7" width="12.7109375" style="481" customWidth="1"/>
    <col min="8" max="8" width="10.5703125" style="481" bestFit="1" customWidth="1"/>
    <col min="9" max="9" width="10.85546875" style="481" bestFit="1" customWidth="1"/>
    <col min="10" max="10" width="10.140625" style="481" bestFit="1" customWidth="1"/>
    <col min="11" max="11" width="5" style="481" bestFit="1" customWidth="1"/>
    <col min="12" max="12" width="8.85546875" style="481" bestFit="1" customWidth="1"/>
    <col min="13" max="13" width="8.7109375" style="481" bestFit="1" customWidth="1"/>
    <col min="14" max="16384" width="9.140625" style="481"/>
  </cols>
  <sheetData>
    <row r="1" spans="1:2">
      <c r="A1" s="1513" t="s">
        <v>1654</v>
      </c>
      <c r="B1" s="1514">
        <v>0</v>
      </c>
    </row>
    <row r="2" spans="1:2">
      <c r="A2" s="1513" t="s">
        <v>1655</v>
      </c>
      <c r="B2" s="1514">
        <v>0</v>
      </c>
    </row>
    <row r="3" spans="1:2">
      <c r="A3" s="1513" t="s">
        <v>1656</v>
      </c>
      <c r="B3" s="1514">
        <v>0</v>
      </c>
    </row>
    <row r="4" spans="1:2">
      <c r="A4" s="1513" t="s">
        <v>1657</v>
      </c>
      <c r="B4" s="1514">
        <v>0</v>
      </c>
    </row>
    <row r="5" spans="1:2">
      <c r="A5" s="1513" t="s">
        <v>1658</v>
      </c>
      <c r="B5" s="1514">
        <v>0</v>
      </c>
    </row>
    <row r="6" spans="1:2">
      <c r="A6" s="1513" t="s">
        <v>1659</v>
      </c>
      <c r="B6" s="1514">
        <v>0</v>
      </c>
    </row>
    <row r="7" spans="1:2">
      <c r="A7" s="1513" t="s">
        <v>1660</v>
      </c>
      <c r="B7" s="1514">
        <v>0</v>
      </c>
    </row>
    <row r="8" spans="1:2">
      <c r="A8" s="1513" t="s">
        <v>1661</v>
      </c>
      <c r="B8" s="1514">
        <v>0</v>
      </c>
    </row>
    <row r="9" spans="1:2">
      <c r="A9" s="1513" t="s">
        <v>1662</v>
      </c>
      <c r="B9" s="1514">
        <v>0.45</v>
      </c>
    </row>
    <row r="10" spans="1:2">
      <c r="A10" s="1513" t="s">
        <v>1663</v>
      </c>
      <c r="B10" s="1514">
        <v>0.4</v>
      </c>
    </row>
    <row r="11" spans="1:2">
      <c r="A11" s="1513" t="s">
        <v>1664</v>
      </c>
      <c r="B11" s="1513">
        <v>0.65</v>
      </c>
    </row>
    <row r="12" spans="1:2">
      <c r="A12" s="1513" t="s">
        <v>1665</v>
      </c>
      <c r="B12" s="1513">
        <v>0.4</v>
      </c>
    </row>
    <row r="13" spans="1:2">
      <c r="A13" s="1513" t="s">
        <v>1666</v>
      </c>
      <c r="B13" s="1513">
        <v>0.1</v>
      </c>
    </row>
    <row r="14" spans="1:2">
      <c r="A14" s="1513" t="s">
        <v>1667</v>
      </c>
      <c r="B14" s="1513">
        <v>0</v>
      </c>
    </row>
    <row r="15" spans="1:2">
      <c r="A15" s="1513" t="s">
        <v>1668</v>
      </c>
      <c r="B15" s="1513">
        <v>0.3</v>
      </c>
    </row>
    <row r="16" spans="1:2">
      <c r="A16" s="1513" t="s">
        <v>1669</v>
      </c>
      <c r="B16" s="1513">
        <v>0.3</v>
      </c>
    </row>
    <row r="17" spans="1:13">
      <c r="A17" s="1513" t="s">
        <v>1670</v>
      </c>
      <c r="B17" s="1513">
        <v>0.4</v>
      </c>
    </row>
    <row r="20" spans="1:13" ht="15">
      <c r="D20" s="1515" t="s">
        <v>1491</v>
      </c>
      <c r="E20" s="1515" t="s">
        <v>1040</v>
      </c>
      <c r="F20" s="1515" t="s">
        <v>1671</v>
      </c>
      <c r="G20" s="1515" t="s">
        <v>1672</v>
      </c>
      <c r="H20" s="1515" t="s">
        <v>1673</v>
      </c>
      <c r="I20" s="1515" t="s">
        <v>1674</v>
      </c>
      <c r="J20" s="1515" t="s">
        <v>1675</v>
      </c>
      <c r="K20" s="1515" t="s">
        <v>1676</v>
      </c>
      <c r="L20" s="1515" t="s">
        <v>1677</v>
      </c>
      <c r="M20" s="1515" t="s">
        <v>1124</v>
      </c>
    </row>
    <row r="21" spans="1:13" ht="30" hidden="1">
      <c r="D21" s="1516">
        <v>26</v>
      </c>
      <c r="E21" s="1517" t="s">
        <v>1678</v>
      </c>
      <c r="F21" s="1517" t="s">
        <v>137</v>
      </c>
      <c r="G21" s="1518">
        <v>41243</v>
      </c>
      <c r="H21" s="1519">
        <v>41243</v>
      </c>
      <c r="I21" s="1517" t="s">
        <v>1043</v>
      </c>
      <c r="J21" s="1517" t="s">
        <v>138</v>
      </c>
      <c r="K21" s="1516">
        <v>1663</v>
      </c>
      <c r="L21" s="1517" t="s">
        <v>1679</v>
      </c>
      <c r="M21" s="1517" t="s">
        <v>1680</v>
      </c>
    </row>
    <row r="22" spans="1:13" ht="30" hidden="1">
      <c r="D22" s="1516">
        <v>28</v>
      </c>
      <c r="E22" s="1517" t="s">
        <v>1681</v>
      </c>
      <c r="F22" s="1517" t="s">
        <v>1682</v>
      </c>
      <c r="G22" s="1518">
        <v>41214</v>
      </c>
      <c r="H22" s="482"/>
      <c r="I22" s="1517" t="s">
        <v>1043</v>
      </c>
      <c r="J22" s="1517" t="s">
        <v>138</v>
      </c>
      <c r="K22" s="1516">
        <v>1665</v>
      </c>
      <c r="L22" s="1517" t="s">
        <v>138</v>
      </c>
      <c r="M22" s="1517" t="s">
        <v>1680</v>
      </c>
    </row>
    <row r="23" spans="1:13" ht="30" hidden="1">
      <c r="D23" s="1516">
        <v>31</v>
      </c>
      <c r="E23" s="1517" t="s">
        <v>1683</v>
      </c>
      <c r="F23" s="1517" t="s">
        <v>139</v>
      </c>
      <c r="G23" s="1518">
        <v>41243</v>
      </c>
      <c r="H23" s="482"/>
      <c r="I23" s="1517" t="s">
        <v>1043</v>
      </c>
      <c r="J23" s="1517" t="s">
        <v>138</v>
      </c>
      <c r="K23" s="1516">
        <v>1666</v>
      </c>
      <c r="L23" s="1517" t="s">
        <v>138</v>
      </c>
      <c r="M23" s="1517" t="s">
        <v>1680</v>
      </c>
    </row>
    <row r="24" spans="1:13" ht="30" hidden="1">
      <c r="D24" s="1516">
        <v>32</v>
      </c>
      <c r="E24" s="1517" t="s">
        <v>1684</v>
      </c>
      <c r="F24" s="1517" t="s">
        <v>140</v>
      </c>
      <c r="G24" s="1518">
        <v>41094</v>
      </c>
      <c r="H24" s="482"/>
      <c r="I24" s="1517" t="s">
        <v>1043</v>
      </c>
      <c r="J24" s="1517" t="s">
        <v>138</v>
      </c>
      <c r="K24" s="1516">
        <v>1668</v>
      </c>
      <c r="L24" s="1517" t="s">
        <v>1685</v>
      </c>
      <c r="M24" s="1517" t="s">
        <v>1680</v>
      </c>
    </row>
    <row r="25" spans="1:13" ht="30" hidden="1">
      <c r="D25" s="1516">
        <v>37</v>
      </c>
      <c r="E25" s="1517" t="s">
        <v>1686</v>
      </c>
      <c r="F25" s="1517" t="s">
        <v>141</v>
      </c>
      <c r="G25" s="1518">
        <v>41149</v>
      </c>
      <c r="H25" s="482"/>
      <c r="I25" s="1517" t="s">
        <v>1043</v>
      </c>
      <c r="J25" s="1517" t="s">
        <v>138</v>
      </c>
      <c r="K25" s="1516">
        <v>1669</v>
      </c>
      <c r="L25" s="1517" t="s">
        <v>1687</v>
      </c>
      <c r="M25" s="1517" t="s">
        <v>1680</v>
      </c>
    </row>
    <row r="26" spans="1:13" ht="30" hidden="1">
      <c r="D26" s="1516">
        <v>38</v>
      </c>
      <c r="E26" s="1517" t="s">
        <v>1688</v>
      </c>
      <c r="F26" s="1517" t="s">
        <v>142</v>
      </c>
      <c r="G26" s="1518">
        <v>41180</v>
      </c>
      <c r="H26" s="1519">
        <v>41149</v>
      </c>
      <c r="I26" s="1517" t="s">
        <v>1043</v>
      </c>
      <c r="J26" s="1517" t="s">
        <v>138</v>
      </c>
      <c r="K26" s="1516">
        <v>1670</v>
      </c>
      <c r="L26" s="1517" t="s">
        <v>1689</v>
      </c>
      <c r="M26" s="1517" t="s">
        <v>1680</v>
      </c>
    </row>
    <row r="27" spans="1:13" ht="30" hidden="1">
      <c r="D27" s="1516">
        <v>39</v>
      </c>
      <c r="E27" s="1517" t="s">
        <v>1690</v>
      </c>
      <c r="F27" s="1517" t="s">
        <v>1691</v>
      </c>
      <c r="G27" s="1518">
        <v>41021</v>
      </c>
      <c r="H27" s="482"/>
      <c r="I27" s="1517" t="s">
        <v>1043</v>
      </c>
      <c r="J27" s="1517" t="s">
        <v>138</v>
      </c>
      <c r="K27" s="1516">
        <v>1671</v>
      </c>
      <c r="L27" s="1517" t="s">
        <v>1692</v>
      </c>
      <c r="M27" s="1517" t="s">
        <v>1680</v>
      </c>
    </row>
    <row r="28" spans="1:13" ht="30" hidden="1">
      <c r="D28" s="1516">
        <v>40</v>
      </c>
      <c r="E28" s="1517" t="s">
        <v>1693</v>
      </c>
      <c r="F28" s="1517" t="s">
        <v>144</v>
      </c>
      <c r="G28" s="1518">
        <v>41021</v>
      </c>
      <c r="H28" s="482"/>
      <c r="I28" s="1517" t="s">
        <v>1043</v>
      </c>
      <c r="J28" s="1517" t="s">
        <v>138</v>
      </c>
      <c r="K28" s="1516">
        <v>1672</v>
      </c>
      <c r="L28" s="1517" t="s">
        <v>1694</v>
      </c>
      <c r="M28" s="1517" t="s">
        <v>1680</v>
      </c>
    </row>
    <row r="29" spans="1:13" ht="30" hidden="1">
      <c r="D29" s="1516">
        <v>43</v>
      </c>
      <c r="E29" s="1517" t="s">
        <v>1695</v>
      </c>
      <c r="F29" s="1517" t="s">
        <v>145</v>
      </c>
      <c r="G29" s="1518">
        <v>41028</v>
      </c>
      <c r="H29" s="482"/>
      <c r="I29" s="1517" t="s">
        <v>1043</v>
      </c>
      <c r="J29" s="1517" t="s">
        <v>138</v>
      </c>
      <c r="K29" s="1516">
        <v>1674</v>
      </c>
      <c r="L29" s="1517" t="s">
        <v>1696</v>
      </c>
      <c r="M29" s="1517" t="s">
        <v>1680</v>
      </c>
    </row>
    <row r="30" spans="1:13" ht="30" hidden="1">
      <c r="D30" s="1516">
        <v>44</v>
      </c>
      <c r="E30" s="1517" t="s">
        <v>1697</v>
      </c>
      <c r="F30" s="1517" t="s">
        <v>146</v>
      </c>
      <c r="G30" s="1518">
        <v>41180</v>
      </c>
      <c r="H30" s="482"/>
      <c r="I30" s="1517" t="s">
        <v>1043</v>
      </c>
      <c r="J30" s="1517" t="s">
        <v>138</v>
      </c>
      <c r="K30" s="1516">
        <v>1675</v>
      </c>
      <c r="L30" s="1517" t="s">
        <v>1698</v>
      </c>
      <c r="M30" s="1517" t="s">
        <v>1680</v>
      </c>
    </row>
    <row r="31" spans="1:13" ht="30" hidden="1">
      <c r="D31" s="1516">
        <v>46</v>
      </c>
      <c r="E31" s="1517" t="s">
        <v>1699</v>
      </c>
      <c r="F31" s="1517" t="s">
        <v>147</v>
      </c>
      <c r="G31" s="1518">
        <v>41051</v>
      </c>
      <c r="H31" s="1519">
        <v>41257</v>
      </c>
      <c r="I31" s="1517" t="s">
        <v>1043</v>
      </c>
      <c r="J31" s="1517" t="s">
        <v>1700</v>
      </c>
      <c r="K31" s="1516">
        <v>1676</v>
      </c>
      <c r="L31" s="1517" t="s">
        <v>1701</v>
      </c>
      <c r="M31" s="1517" t="s">
        <v>1680</v>
      </c>
    </row>
    <row r="32" spans="1:13" ht="30" hidden="1">
      <c r="D32" s="1516">
        <v>47</v>
      </c>
      <c r="E32" s="1517" t="s">
        <v>1702</v>
      </c>
      <c r="F32" s="1517" t="s">
        <v>148</v>
      </c>
      <c r="G32" s="1518">
        <v>41021</v>
      </c>
      <c r="H32" s="482"/>
      <c r="I32" s="1517" t="s">
        <v>1043</v>
      </c>
      <c r="J32" s="1517" t="s">
        <v>138</v>
      </c>
      <c r="K32" s="1516">
        <v>1677</v>
      </c>
      <c r="L32" s="1517" t="s">
        <v>1703</v>
      </c>
      <c r="M32" s="1517" t="s">
        <v>1680</v>
      </c>
    </row>
    <row r="33" spans="4:13" ht="15" hidden="1">
      <c r="D33" s="1516">
        <v>51</v>
      </c>
      <c r="E33" s="1517" t="s">
        <v>1704</v>
      </c>
      <c r="F33" s="1517" t="s">
        <v>149</v>
      </c>
      <c r="G33" s="1518">
        <v>41235</v>
      </c>
      <c r="H33" s="1519">
        <v>41210</v>
      </c>
      <c r="I33" s="1517" t="s">
        <v>1043</v>
      </c>
      <c r="J33" s="1517" t="s">
        <v>1700</v>
      </c>
      <c r="K33" s="1516">
        <v>1682</v>
      </c>
      <c r="L33" s="1517" t="s">
        <v>1705</v>
      </c>
      <c r="M33" s="1517" t="s">
        <v>1680</v>
      </c>
    </row>
    <row r="34" spans="4:13" ht="15" hidden="1">
      <c r="D34" s="1516">
        <v>56</v>
      </c>
      <c r="E34" s="1517" t="s">
        <v>1706</v>
      </c>
      <c r="F34" s="1517" t="s">
        <v>1707</v>
      </c>
      <c r="G34" s="482"/>
      <c r="H34" s="482"/>
      <c r="I34" s="1517" t="s">
        <v>1043</v>
      </c>
      <c r="J34" s="1517" t="s">
        <v>138</v>
      </c>
      <c r="K34" s="1516">
        <v>1683</v>
      </c>
      <c r="L34" s="1517" t="s">
        <v>138</v>
      </c>
      <c r="M34" s="1517" t="s">
        <v>1680</v>
      </c>
    </row>
    <row r="35" spans="4:13" ht="30" hidden="1">
      <c r="D35" s="1516">
        <v>63</v>
      </c>
      <c r="E35" s="1517" t="s">
        <v>1708</v>
      </c>
      <c r="F35" s="1517" t="s">
        <v>150</v>
      </c>
      <c r="G35" s="1518">
        <v>41007</v>
      </c>
      <c r="H35" s="482"/>
      <c r="I35" s="1517" t="s">
        <v>1043</v>
      </c>
      <c r="J35" s="1517" t="s">
        <v>138</v>
      </c>
      <c r="K35" s="1516">
        <v>1688</v>
      </c>
      <c r="L35" s="1517" t="s">
        <v>1709</v>
      </c>
      <c r="M35" s="1517" t="s">
        <v>1680</v>
      </c>
    </row>
    <row r="36" spans="4:13" ht="30" hidden="1">
      <c r="D36" s="1516">
        <v>69</v>
      </c>
      <c r="E36" s="1517" t="s">
        <v>1710</v>
      </c>
      <c r="F36" s="1517" t="s">
        <v>1711</v>
      </c>
      <c r="G36" s="1518">
        <v>40990</v>
      </c>
      <c r="H36" s="1519">
        <v>42038</v>
      </c>
      <c r="I36" s="1517" t="s">
        <v>1043</v>
      </c>
      <c r="J36" s="1517" t="s">
        <v>138</v>
      </c>
      <c r="K36" s="1516">
        <v>1692</v>
      </c>
      <c r="L36" s="1517" t="s">
        <v>1712</v>
      </c>
      <c r="M36" s="1517" t="s">
        <v>1680</v>
      </c>
    </row>
    <row r="37" spans="4:13" ht="30" hidden="1">
      <c r="D37" s="1516">
        <v>70</v>
      </c>
      <c r="E37" s="1517" t="s">
        <v>1713</v>
      </c>
      <c r="F37" s="1517" t="s">
        <v>1714</v>
      </c>
      <c r="G37" s="1518">
        <v>40990</v>
      </c>
      <c r="H37" s="1519">
        <v>42038</v>
      </c>
      <c r="I37" s="1517" t="s">
        <v>1043</v>
      </c>
      <c r="J37" s="1517" t="s">
        <v>138</v>
      </c>
      <c r="K37" s="1516">
        <v>1693</v>
      </c>
      <c r="L37" s="1517" t="s">
        <v>1715</v>
      </c>
      <c r="M37" s="1517" t="s">
        <v>1680</v>
      </c>
    </row>
    <row r="38" spans="4:13" ht="30" hidden="1">
      <c r="D38" s="1516">
        <v>71</v>
      </c>
      <c r="E38" s="1517" t="s">
        <v>1716</v>
      </c>
      <c r="F38" s="1517" t="s">
        <v>1717</v>
      </c>
      <c r="G38" s="1518">
        <v>40990</v>
      </c>
      <c r="H38" s="1519">
        <v>42038</v>
      </c>
      <c r="I38" s="1517" t="s">
        <v>1043</v>
      </c>
      <c r="J38" s="1517" t="s">
        <v>138</v>
      </c>
      <c r="K38" s="1516">
        <v>1694</v>
      </c>
      <c r="L38" s="1517" t="s">
        <v>1718</v>
      </c>
      <c r="M38" s="1517" t="s">
        <v>1680</v>
      </c>
    </row>
    <row r="39" spans="4:13" ht="30" hidden="1">
      <c r="D39" s="1516">
        <v>72</v>
      </c>
      <c r="E39" s="1517" t="s">
        <v>1719</v>
      </c>
      <c r="F39" s="1517" t="s">
        <v>204</v>
      </c>
      <c r="G39" s="1518">
        <v>40990</v>
      </c>
      <c r="H39" s="1519">
        <v>42038</v>
      </c>
      <c r="I39" s="1517" t="s">
        <v>1043</v>
      </c>
      <c r="J39" s="1517" t="s">
        <v>138</v>
      </c>
      <c r="K39" s="1516">
        <v>1695</v>
      </c>
      <c r="L39" s="1517" t="s">
        <v>1720</v>
      </c>
      <c r="M39" s="1517" t="s">
        <v>1680</v>
      </c>
    </row>
    <row r="40" spans="4:13" ht="30" hidden="1">
      <c r="D40" s="1516">
        <v>73</v>
      </c>
      <c r="E40" s="1517" t="s">
        <v>1721</v>
      </c>
      <c r="F40" s="1517" t="s">
        <v>1722</v>
      </c>
      <c r="G40" s="1518">
        <v>40990</v>
      </c>
      <c r="H40" s="1519">
        <v>42038</v>
      </c>
      <c r="I40" s="1517" t="s">
        <v>1043</v>
      </c>
      <c r="J40" s="1517" t="s">
        <v>1700</v>
      </c>
      <c r="K40" s="1516">
        <v>1696</v>
      </c>
      <c r="L40" s="1517" t="s">
        <v>1723</v>
      </c>
      <c r="M40" s="1517" t="s">
        <v>1680</v>
      </c>
    </row>
    <row r="41" spans="4:13" ht="30" hidden="1">
      <c r="D41" s="1516">
        <v>75</v>
      </c>
      <c r="E41" s="1517" t="s">
        <v>1724</v>
      </c>
      <c r="F41" s="1517" t="s">
        <v>1725</v>
      </c>
      <c r="G41" s="1518">
        <v>41039</v>
      </c>
      <c r="H41" s="482"/>
      <c r="I41" s="1517" t="s">
        <v>1043</v>
      </c>
      <c r="J41" s="1517" t="s">
        <v>138</v>
      </c>
      <c r="K41" s="1516">
        <v>1697</v>
      </c>
      <c r="L41" s="1517" t="s">
        <v>1726</v>
      </c>
      <c r="M41" s="1517" t="s">
        <v>1680</v>
      </c>
    </row>
    <row r="42" spans="4:13" ht="30" hidden="1">
      <c r="D42" s="1516">
        <v>82</v>
      </c>
      <c r="E42" s="1517" t="s">
        <v>1727</v>
      </c>
      <c r="F42" s="1517" t="s">
        <v>151</v>
      </c>
      <c r="G42" s="1518">
        <v>41089</v>
      </c>
      <c r="H42" s="1519">
        <v>41084</v>
      </c>
      <c r="I42" s="1517" t="s">
        <v>1043</v>
      </c>
      <c r="J42" s="1517" t="s">
        <v>1700</v>
      </c>
      <c r="K42" s="1516">
        <v>1701</v>
      </c>
      <c r="L42" s="1517" t="s">
        <v>1728</v>
      </c>
      <c r="M42" s="1517" t="s">
        <v>1680</v>
      </c>
    </row>
    <row r="43" spans="4:13" ht="30" hidden="1">
      <c r="D43" s="1516">
        <v>83</v>
      </c>
      <c r="E43" s="1517" t="s">
        <v>1729</v>
      </c>
      <c r="F43" s="1517" t="s">
        <v>207</v>
      </c>
      <c r="G43" s="1518">
        <v>41147</v>
      </c>
      <c r="H43" s="482"/>
      <c r="I43" s="1517" t="s">
        <v>1043</v>
      </c>
      <c r="J43" s="1517" t="s">
        <v>1700</v>
      </c>
      <c r="K43" s="1516">
        <v>1702</v>
      </c>
      <c r="L43" s="1517" t="s">
        <v>1730</v>
      </c>
      <c r="M43" s="1517" t="s">
        <v>1680</v>
      </c>
    </row>
    <row r="44" spans="4:13" ht="30" hidden="1">
      <c r="D44" s="1516">
        <v>84</v>
      </c>
      <c r="E44" s="1517" t="s">
        <v>1731</v>
      </c>
      <c r="F44" s="1517" t="s">
        <v>1732</v>
      </c>
      <c r="G44" s="1518">
        <v>41089</v>
      </c>
      <c r="H44" s="482"/>
      <c r="I44" s="1517" t="s">
        <v>1043</v>
      </c>
      <c r="J44" s="1517" t="s">
        <v>1700</v>
      </c>
      <c r="K44" s="1516">
        <v>1703</v>
      </c>
      <c r="L44" s="1517" t="s">
        <v>1733</v>
      </c>
      <c r="M44" s="1517" t="s">
        <v>1680</v>
      </c>
    </row>
    <row r="45" spans="4:13" ht="30" hidden="1">
      <c r="D45" s="1516">
        <v>86</v>
      </c>
      <c r="E45" s="1517" t="s">
        <v>1734</v>
      </c>
      <c r="F45" s="1517" t="s">
        <v>152</v>
      </c>
      <c r="G45" s="1518">
        <v>41150</v>
      </c>
      <c r="H45" s="1519">
        <v>41865</v>
      </c>
      <c r="I45" s="1517" t="s">
        <v>1043</v>
      </c>
      <c r="J45" s="1517" t="s">
        <v>1700</v>
      </c>
      <c r="K45" s="1516">
        <v>1704</v>
      </c>
      <c r="L45" s="1517" t="s">
        <v>1735</v>
      </c>
      <c r="M45" s="1517" t="s">
        <v>1680</v>
      </c>
    </row>
    <row r="46" spans="4:13" ht="30" hidden="1">
      <c r="D46" s="1516">
        <v>87</v>
      </c>
      <c r="E46" s="1517" t="s">
        <v>1736</v>
      </c>
      <c r="F46" s="1517" t="s">
        <v>153</v>
      </c>
      <c r="G46" s="1518">
        <v>41150</v>
      </c>
      <c r="H46" s="1519">
        <v>41128</v>
      </c>
      <c r="I46" s="1517" t="s">
        <v>1043</v>
      </c>
      <c r="J46" s="1517" t="s">
        <v>1700</v>
      </c>
      <c r="K46" s="1516">
        <v>1705</v>
      </c>
      <c r="L46" s="1517" t="s">
        <v>1737</v>
      </c>
      <c r="M46" s="1517" t="s">
        <v>1680</v>
      </c>
    </row>
    <row r="47" spans="4:13" ht="30" hidden="1">
      <c r="D47" s="1516">
        <v>88</v>
      </c>
      <c r="E47" s="1517" t="s">
        <v>1738</v>
      </c>
      <c r="F47" s="1517" t="s">
        <v>1739</v>
      </c>
      <c r="G47" s="1518">
        <v>41150</v>
      </c>
      <c r="H47" s="1519">
        <v>41865</v>
      </c>
      <c r="I47" s="1517" t="s">
        <v>1043</v>
      </c>
      <c r="J47" s="1517" t="s">
        <v>1700</v>
      </c>
      <c r="K47" s="1516">
        <v>1706</v>
      </c>
      <c r="L47" s="1517" t="s">
        <v>1740</v>
      </c>
      <c r="M47" s="1517" t="s">
        <v>1680</v>
      </c>
    </row>
    <row r="48" spans="4:13" ht="15" hidden="1">
      <c r="D48" s="1516">
        <v>95</v>
      </c>
      <c r="E48" s="1517" t="s">
        <v>1741</v>
      </c>
      <c r="F48" s="1517" t="s">
        <v>154</v>
      </c>
      <c r="G48" s="1518">
        <v>41112</v>
      </c>
      <c r="H48" s="1519">
        <v>41089</v>
      </c>
      <c r="I48" s="1517" t="s">
        <v>1043</v>
      </c>
      <c r="J48" s="1517" t="s">
        <v>1700</v>
      </c>
      <c r="K48" s="1516">
        <v>1708</v>
      </c>
      <c r="L48" s="1517" t="s">
        <v>1742</v>
      </c>
      <c r="M48" s="1517" t="s">
        <v>1680</v>
      </c>
    </row>
    <row r="49" spans="4:13" ht="30" hidden="1">
      <c r="D49" s="1516">
        <v>103</v>
      </c>
      <c r="E49" s="1517" t="s">
        <v>1743</v>
      </c>
      <c r="F49" s="1517" t="s">
        <v>155</v>
      </c>
      <c r="G49" s="1518">
        <v>41235</v>
      </c>
      <c r="H49" s="1519">
        <v>41164</v>
      </c>
      <c r="I49" s="1517" t="s">
        <v>1043</v>
      </c>
      <c r="J49" s="1517" t="s">
        <v>1700</v>
      </c>
      <c r="K49" s="1516">
        <v>1710</v>
      </c>
      <c r="L49" s="1517" t="s">
        <v>1744</v>
      </c>
      <c r="M49" s="1517" t="s">
        <v>1680</v>
      </c>
    </row>
    <row r="50" spans="4:13" ht="30">
      <c r="D50" s="1516">
        <v>213</v>
      </c>
      <c r="E50" s="1517" t="s">
        <v>1745</v>
      </c>
      <c r="F50" s="1517" t="s">
        <v>1746</v>
      </c>
      <c r="G50" s="482"/>
      <c r="H50" s="482"/>
      <c r="I50" s="1517" t="s">
        <v>1043</v>
      </c>
      <c r="J50" s="1517" t="s">
        <v>138</v>
      </c>
      <c r="K50" s="1516">
        <v>1757</v>
      </c>
      <c r="L50" s="1517" t="s">
        <v>138</v>
      </c>
      <c r="M50" s="1517" t="s">
        <v>1257</v>
      </c>
    </row>
    <row r="51" spans="4:13" ht="30" hidden="1">
      <c r="D51" s="1516">
        <v>369</v>
      </c>
      <c r="E51" s="1517" t="s">
        <v>1747</v>
      </c>
      <c r="F51" s="1517" t="s">
        <v>156</v>
      </c>
      <c r="G51" s="1518">
        <v>41243</v>
      </c>
      <c r="H51" s="1519">
        <v>41243</v>
      </c>
      <c r="I51" s="1517" t="s">
        <v>1043</v>
      </c>
      <c r="J51" s="1517" t="s">
        <v>138</v>
      </c>
      <c r="K51" s="1516">
        <v>1770</v>
      </c>
      <c r="L51" s="1517" t="s">
        <v>1748</v>
      </c>
      <c r="M51" s="1517" t="s">
        <v>1680</v>
      </c>
    </row>
    <row r="52" spans="4:13" ht="15" hidden="1">
      <c r="D52" s="1516">
        <v>370</v>
      </c>
      <c r="E52" s="1517" t="s">
        <v>1749</v>
      </c>
      <c r="F52" s="1517" t="s">
        <v>1750</v>
      </c>
      <c r="G52" s="1518">
        <v>41214</v>
      </c>
      <c r="H52" s="1519">
        <v>41214</v>
      </c>
      <c r="I52" s="1517" t="s">
        <v>1043</v>
      </c>
      <c r="J52" s="1517" t="s">
        <v>138</v>
      </c>
      <c r="K52" s="1516">
        <v>1771</v>
      </c>
      <c r="L52" s="1517" t="s">
        <v>1751</v>
      </c>
      <c r="M52" s="1517" t="s">
        <v>1680</v>
      </c>
    </row>
    <row r="53" spans="4:13" ht="30" hidden="1">
      <c r="D53" s="1516">
        <v>371</v>
      </c>
      <c r="E53" s="1517" t="s">
        <v>1752</v>
      </c>
      <c r="F53" s="1517" t="s">
        <v>159</v>
      </c>
      <c r="G53" s="1518">
        <v>40762</v>
      </c>
      <c r="H53" s="482"/>
      <c r="I53" s="1517" t="s">
        <v>1043</v>
      </c>
      <c r="J53" s="1517" t="s">
        <v>138</v>
      </c>
      <c r="K53" s="1516">
        <v>1772</v>
      </c>
      <c r="L53" s="1517" t="s">
        <v>1753</v>
      </c>
      <c r="M53" s="1517" t="s">
        <v>1680</v>
      </c>
    </row>
    <row r="54" spans="4:13" ht="30" hidden="1">
      <c r="D54" s="1516">
        <v>380</v>
      </c>
      <c r="E54" s="1517" t="s">
        <v>1754</v>
      </c>
      <c r="F54" s="1517" t="s">
        <v>1755</v>
      </c>
      <c r="G54" s="1518">
        <v>41128</v>
      </c>
      <c r="H54" s="482"/>
      <c r="I54" s="1517" t="s">
        <v>1043</v>
      </c>
      <c r="J54" s="1517" t="s">
        <v>138</v>
      </c>
      <c r="K54" s="1516">
        <v>1777</v>
      </c>
      <c r="L54" s="1517" t="s">
        <v>1756</v>
      </c>
      <c r="M54" s="1517" t="s">
        <v>1680</v>
      </c>
    </row>
    <row r="55" spans="4:13" ht="30" hidden="1">
      <c r="D55" s="1516">
        <v>381</v>
      </c>
      <c r="E55" s="1517" t="s">
        <v>1757</v>
      </c>
      <c r="F55" s="1517" t="s">
        <v>161</v>
      </c>
      <c r="G55" s="1518">
        <v>41143</v>
      </c>
      <c r="H55" s="1519">
        <v>41136</v>
      </c>
      <c r="I55" s="1517" t="s">
        <v>1043</v>
      </c>
      <c r="J55" s="1517" t="s">
        <v>138</v>
      </c>
      <c r="K55" s="1516">
        <v>1778</v>
      </c>
      <c r="L55" s="1517" t="s">
        <v>1758</v>
      </c>
      <c r="M55" s="1517" t="s">
        <v>1680</v>
      </c>
    </row>
    <row r="56" spans="4:13" ht="30" hidden="1">
      <c r="D56" s="1516">
        <v>382</v>
      </c>
      <c r="E56" s="1517" t="s">
        <v>1759</v>
      </c>
      <c r="F56" s="1517" t="s">
        <v>162</v>
      </c>
      <c r="G56" s="1518">
        <v>40983</v>
      </c>
      <c r="H56" s="1519">
        <v>41220</v>
      </c>
      <c r="I56" s="1517" t="s">
        <v>1043</v>
      </c>
      <c r="J56" s="1517" t="s">
        <v>138</v>
      </c>
      <c r="K56" s="1516">
        <v>1779</v>
      </c>
      <c r="L56" s="1517" t="s">
        <v>1760</v>
      </c>
      <c r="M56" s="1517" t="s">
        <v>1680</v>
      </c>
    </row>
    <row r="57" spans="4:13" ht="30" hidden="1">
      <c r="D57" s="1516">
        <v>383</v>
      </c>
      <c r="E57" s="1517" t="s">
        <v>1761</v>
      </c>
      <c r="F57" s="1517" t="s">
        <v>492</v>
      </c>
      <c r="G57" s="1518">
        <v>40983</v>
      </c>
      <c r="H57" s="482"/>
      <c r="I57" s="1517" t="s">
        <v>1043</v>
      </c>
      <c r="J57" s="1517" t="s">
        <v>138</v>
      </c>
      <c r="K57" s="1516">
        <v>1780</v>
      </c>
      <c r="L57" s="1517" t="s">
        <v>1762</v>
      </c>
      <c r="M57" s="1517" t="s">
        <v>1680</v>
      </c>
    </row>
    <row r="58" spans="4:13" ht="30" hidden="1">
      <c r="D58" s="1516">
        <v>385</v>
      </c>
      <c r="E58" s="1517" t="s">
        <v>1763</v>
      </c>
      <c r="F58" s="1517" t="s">
        <v>164</v>
      </c>
      <c r="G58" s="1518">
        <v>41148</v>
      </c>
      <c r="H58" s="482"/>
      <c r="I58" s="1517" t="s">
        <v>1043</v>
      </c>
      <c r="J58" s="1517" t="s">
        <v>138</v>
      </c>
      <c r="K58" s="1516">
        <v>1782</v>
      </c>
      <c r="L58" s="1517" t="s">
        <v>1764</v>
      </c>
      <c r="M58" s="1517" t="s">
        <v>1680</v>
      </c>
    </row>
    <row r="59" spans="4:13" ht="30" hidden="1">
      <c r="D59" s="1516">
        <v>386</v>
      </c>
      <c r="E59" s="1517" t="s">
        <v>1765</v>
      </c>
      <c r="F59" s="1517" t="s">
        <v>1766</v>
      </c>
      <c r="G59" s="1518">
        <v>41039</v>
      </c>
      <c r="H59" s="482"/>
      <c r="I59" s="1517" t="s">
        <v>1043</v>
      </c>
      <c r="J59" s="1517" t="s">
        <v>138</v>
      </c>
      <c r="K59" s="1516">
        <v>1783</v>
      </c>
      <c r="L59" s="1517" t="s">
        <v>1767</v>
      </c>
      <c r="M59" s="1517" t="s">
        <v>1680</v>
      </c>
    </row>
    <row r="60" spans="4:13" ht="45" hidden="1">
      <c r="D60" s="1516">
        <v>390</v>
      </c>
      <c r="E60" s="1517" t="s">
        <v>1768</v>
      </c>
      <c r="F60" s="1517" t="s">
        <v>313</v>
      </c>
      <c r="G60" s="1518">
        <v>41094</v>
      </c>
      <c r="H60" s="482"/>
      <c r="I60" s="1517" t="s">
        <v>1043</v>
      </c>
      <c r="J60" s="1517" t="s">
        <v>138</v>
      </c>
      <c r="K60" s="1516">
        <v>1787</v>
      </c>
      <c r="L60" s="1517" t="s">
        <v>1769</v>
      </c>
      <c r="M60" s="1517" t="s">
        <v>1680</v>
      </c>
    </row>
    <row r="61" spans="4:13" ht="30" hidden="1">
      <c r="D61" s="1516">
        <v>391</v>
      </c>
      <c r="E61" s="1517" t="s">
        <v>1770</v>
      </c>
      <c r="F61" s="1517" t="s">
        <v>289</v>
      </c>
      <c r="G61" s="1518">
        <v>41205</v>
      </c>
      <c r="H61" s="482"/>
      <c r="I61" s="1517" t="s">
        <v>1043</v>
      </c>
      <c r="J61" s="1517" t="s">
        <v>138</v>
      </c>
      <c r="K61" s="1516">
        <v>1788</v>
      </c>
      <c r="L61" s="1517" t="s">
        <v>1771</v>
      </c>
      <c r="M61" s="1517" t="s">
        <v>1680</v>
      </c>
    </row>
    <row r="62" spans="4:13" ht="30" hidden="1">
      <c r="D62" s="1516">
        <v>396</v>
      </c>
      <c r="E62" s="1517" t="s">
        <v>1772</v>
      </c>
      <c r="F62" s="1517" t="s">
        <v>1773</v>
      </c>
      <c r="G62" s="1518">
        <v>41018</v>
      </c>
      <c r="H62" s="482"/>
      <c r="I62" s="1517" t="s">
        <v>1043</v>
      </c>
      <c r="J62" s="1517" t="s">
        <v>138</v>
      </c>
      <c r="K62" s="1516">
        <v>1792</v>
      </c>
      <c r="L62" s="1517" t="s">
        <v>1774</v>
      </c>
      <c r="M62" s="1517" t="s">
        <v>1680</v>
      </c>
    </row>
    <row r="63" spans="4:13" ht="15" hidden="1">
      <c r="D63" s="1516">
        <v>397</v>
      </c>
      <c r="E63" s="1517" t="s">
        <v>1775</v>
      </c>
      <c r="F63" s="1517" t="s">
        <v>206</v>
      </c>
      <c r="G63" s="1518">
        <v>41079</v>
      </c>
      <c r="H63" s="1519">
        <v>39922</v>
      </c>
      <c r="I63" s="1517" t="s">
        <v>1043</v>
      </c>
      <c r="J63" s="1517" t="s">
        <v>138</v>
      </c>
      <c r="K63" s="1516">
        <v>1793</v>
      </c>
      <c r="L63" s="1517" t="s">
        <v>1776</v>
      </c>
      <c r="M63" s="1517" t="s">
        <v>1680</v>
      </c>
    </row>
    <row r="64" spans="4:13" ht="30" hidden="1">
      <c r="D64" s="1516">
        <v>398</v>
      </c>
      <c r="E64" s="1517" t="s">
        <v>1777</v>
      </c>
      <c r="F64" s="1517" t="s">
        <v>167</v>
      </c>
      <c r="G64" s="1518">
        <v>41112</v>
      </c>
      <c r="H64" s="1519">
        <v>41089</v>
      </c>
      <c r="I64" s="1517" t="s">
        <v>1043</v>
      </c>
      <c r="J64" s="1517" t="s">
        <v>1700</v>
      </c>
      <c r="K64" s="1516">
        <v>1794</v>
      </c>
      <c r="L64" s="1517" t="s">
        <v>1778</v>
      </c>
      <c r="M64" s="1517" t="s">
        <v>1680</v>
      </c>
    </row>
    <row r="65" spans="4:13" ht="30" hidden="1">
      <c r="D65" s="1516">
        <v>399</v>
      </c>
      <c r="E65" s="1517" t="s">
        <v>1779</v>
      </c>
      <c r="F65" s="1517" t="s">
        <v>168</v>
      </c>
      <c r="G65" s="1518">
        <v>41112</v>
      </c>
      <c r="H65" s="1519">
        <v>41089</v>
      </c>
      <c r="I65" s="1517" t="s">
        <v>1043</v>
      </c>
      <c r="J65" s="1517" t="s">
        <v>1700</v>
      </c>
      <c r="K65" s="1516">
        <v>1795</v>
      </c>
      <c r="L65" s="1517" t="s">
        <v>1780</v>
      </c>
      <c r="M65" s="1517" t="s">
        <v>1680</v>
      </c>
    </row>
    <row r="66" spans="4:13" ht="30" hidden="1">
      <c r="D66" s="1516">
        <v>400</v>
      </c>
      <c r="E66" s="1517" t="s">
        <v>1781</v>
      </c>
      <c r="F66" s="1517" t="s">
        <v>169</v>
      </c>
      <c r="G66" s="1518">
        <v>41051</v>
      </c>
      <c r="H66" s="1519">
        <v>41018</v>
      </c>
      <c r="I66" s="1517" t="s">
        <v>1043</v>
      </c>
      <c r="J66" s="1517" t="s">
        <v>1700</v>
      </c>
      <c r="K66" s="1516">
        <v>1796</v>
      </c>
      <c r="L66" s="1517" t="s">
        <v>1782</v>
      </c>
      <c r="M66" s="1517" t="s">
        <v>1680</v>
      </c>
    </row>
    <row r="67" spans="4:13" ht="30" hidden="1">
      <c r="D67" s="1516">
        <v>401</v>
      </c>
      <c r="E67" s="1517" t="s">
        <v>1783</v>
      </c>
      <c r="F67" s="1517" t="s">
        <v>170</v>
      </c>
      <c r="G67" s="1518">
        <v>41112</v>
      </c>
      <c r="H67" s="1519">
        <v>41089</v>
      </c>
      <c r="I67" s="1517" t="s">
        <v>1043</v>
      </c>
      <c r="J67" s="1517" t="s">
        <v>1700</v>
      </c>
      <c r="K67" s="1516">
        <v>1797</v>
      </c>
      <c r="L67" s="1517" t="s">
        <v>1784</v>
      </c>
      <c r="M67" s="1517" t="s">
        <v>1680</v>
      </c>
    </row>
    <row r="68" spans="4:13" ht="30" hidden="1">
      <c r="D68" s="1516">
        <v>404</v>
      </c>
      <c r="E68" s="1517" t="s">
        <v>1785</v>
      </c>
      <c r="F68" s="1517" t="s">
        <v>171</v>
      </c>
      <c r="G68" s="1518">
        <v>41007</v>
      </c>
      <c r="H68" s="482"/>
      <c r="I68" s="1517" t="s">
        <v>1043</v>
      </c>
      <c r="J68" s="1517" t="s">
        <v>138</v>
      </c>
      <c r="K68" s="1516">
        <v>1800</v>
      </c>
      <c r="L68" s="1517" t="s">
        <v>1786</v>
      </c>
      <c r="M68" s="1517" t="s">
        <v>1680</v>
      </c>
    </row>
    <row r="69" spans="4:13" ht="30" hidden="1">
      <c r="D69" s="1516">
        <v>405</v>
      </c>
      <c r="E69" s="1517" t="s">
        <v>1787</v>
      </c>
      <c r="F69" s="1517" t="s">
        <v>173</v>
      </c>
      <c r="G69" s="1518">
        <v>41007</v>
      </c>
      <c r="H69" s="482"/>
      <c r="I69" s="1517" t="s">
        <v>1043</v>
      </c>
      <c r="J69" s="1517" t="s">
        <v>138</v>
      </c>
      <c r="K69" s="1516">
        <v>1802</v>
      </c>
      <c r="L69" s="1517" t="s">
        <v>1788</v>
      </c>
      <c r="M69" s="1517" t="s">
        <v>1680</v>
      </c>
    </row>
    <row r="70" spans="4:13" ht="30">
      <c r="D70" s="1516">
        <v>598</v>
      </c>
      <c r="E70" s="1517" t="s">
        <v>1789</v>
      </c>
      <c r="F70" s="1517" t="s">
        <v>1790</v>
      </c>
      <c r="G70" s="1518">
        <v>41485</v>
      </c>
      <c r="H70" s="482"/>
      <c r="I70" s="1517" t="s">
        <v>1043</v>
      </c>
      <c r="J70" s="1517" t="s">
        <v>1700</v>
      </c>
      <c r="K70" s="1516">
        <v>1855</v>
      </c>
      <c r="L70" s="1517" t="s">
        <v>1791</v>
      </c>
      <c r="M70" s="1517" t="s">
        <v>1257</v>
      </c>
    </row>
    <row r="71" spans="4:13" ht="30">
      <c r="D71" s="1516">
        <v>2351</v>
      </c>
      <c r="E71" s="1517" t="s">
        <v>1792</v>
      </c>
      <c r="F71" s="1517" t="s">
        <v>466</v>
      </c>
      <c r="G71" s="1518">
        <v>41485</v>
      </c>
      <c r="H71" s="482"/>
      <c r="I71" s="1517" t="s">
        <v>1043</v>
      </c>
      <c r="J71" s="1517" t="s">
        <v>1700</v>
      </c>
      <c r="K71" s="1516">
        <v>2062</v>
      </c>
      <c r="L71" s="1517" t="s">
        <v>1793</v>
      </c>
      <c r="M71" s="1517" t="s">
        <v>1257</v>
      </c>
    </row>
    <row r="72" spans="4:13" ht="45">
      <c r="D72" s="1516">
        <v>2381</v>
      </c>
      <c r="E72" s="1517" t="s">
        <v>1794</v>
      </c>
      <c r="F72" s="1517" t="s">
        <v>438</v>
      </c>
      <c r="G72" s="1518">
        <v>41485</v>
      </c>
      <c r="H72" s="482"/>
      <c r="I72" s="1517" t="s">
        <v>1043</v>
      </c>
      <c r="J72" s="1517" t="s">
        <v>1700</v>
      </c>
      <c r="K72" s="1516">
        <v>2066</v>
      </c>
      <c r="L72" s="1517" t="s">
        <v>1795</v>
      </c>
      <c r="M72" s="1517" t="s">
        <v>1257</v>
      </c>
    </row>
    <row r="73" spans="4:13" ht="30" hidden="1">
      <c r="D73" s="1516">
        <v>2513</v>
      </c>
      <c r="E73" s="1517" t="s">
        <v>1796</v>
      </c>
      <c r="F73" s="1517" t="s">
        <v>1797</v>
      </c>
      <c r="G73" s="1518">
        <v>40909</v>
      </c>
      <c r="H73" s="482"/>
      <c r="I73" s="1517" t="s">
        <v>1043</v>
      </c>
      <c r="J73" s="1517" t="s">
        <v>138</v>
      </c>
      <c r="K73" s="1516">
        <v>2076</v>
      </c>
      <c r="L73" s="1517" t="s">
        <v>138</v>
      </c>
      <c r="M73" s="1517" t="s">
        <v>138</v>
      </c>
    </row>
    <row r="74" spans="4:13" ht="45">
      <c r="D74" s="1516">
        <v>2763</v>
      </c>
      <c r="E74" s="1517" t="s">
        <v>1798</v>
      </c>
      <c r="F74" s="1517" t="s">
        <v>175</v>
      </c>
      <c r="G74" s="1518">
        <v>41485</v>
      </c>
      <c r="H74" s="482"/>
      <c r="I74" s="1517" t="s">
        <v>1043</v>
      </c>
      <c r="J74" s="1517" t="s">
        <v>1700</v>
      </c>
      <c r="K74" s="1516">
        <v>2111</v>
      </c>
      <c r="L74" s="1517" t="s">
        <v>1799</v>
      </c>
      <c r="M74" s="1517" t="s">
        <v>1257</v>
      </c>
    </row>
    <row r="75" spans="4:13" ht="45">
      <c r="D75" s="1516">
        <v>2783</v>
      </c>
      <c r="E75" s="1517" t="s">
        <v>1800</v>
      </c>
      <c r="F75" s="1517" t="s">
        <v>477</v>
      </c>
      <c r="G75" s="1518">
        <v>41485</v>
      </c>
      <c r="H75" s="482"/>
      <c r="I75" s="1517" t="s">
        <v>1043</v>
      </c>
      <c r="J75" s="1517" t="s">
        <v>1700</v>
      </c>
      <c r="K75" s="1516">
        <v>2114</v>
      </c>
      <c r="L75" s="1517" t="s">
        <v>1801</v>
      </c>
      <c r="M75" s="1517" t="s">
        <v>1257</v>
      </c>
    </row>
    <row r="76" spans="4:13" ht="15" hidden="1">
      <c r="D76" s="1516">
        <v>2866</v>
      </c>
      <c r="E76" s="1517" t="s">
        <v>1802</v>
      </c>
      <c r="F76" s="1517" t="s">
        <v>177</v>
      </c>
      <c r="G76" s="1518">
        <v>41084</v>
      </c>
      <c r="H76" s="482"/>
      <c r="I76" s="1517" t="s">
        <v>1043</v>
      </c>
      <c r="J76" s="1517" t="s">
        <v>138</v>
      </c>
      <c r="K76" s="1516">
        <v>2126</v>
      </c>
      <c r="L76" s="1517" t="s">
        <v>1803</v>
      </c>
      <c r="M76" s="1517" t="s">
        <v>1680</v>
      </c>
    </row>
    <row r="77" spans="4:13" ht="30" hidden="1">
      <c r="D77" s="1516">
        <v>2904</v>
      </c>
      <c r="E77" s="1517" t="s">
        <v>1804</v>
      </c>
      <c r="F77" s="1517" t="s">
        <v>1805</v>
      </c>
      <c r="G77" s="1518">
        <v>41150</v>
      </c>
      <c r="H77" s="1519">
        <v>41135</v>
      </c>
      <c r="I77" s="1517" t="s">
        <v>1043</v>
      </c>
      <c r="J77" s="1517" t="s">
        <v>1700</v>
      </c>
      <c r="K77" s="1516">
        <v>2134</v>
      </c>
      <c r="L77" s="1517" t="s">
        <v>1806</v>
      </c>
      <c r="M77" s="1517" t="s">
        <v>1680</v>
      </c>
    </row>
    <row r="78" spans="4:13" ht="30" hidden="1">
      <c r="D78" s="1516">
        <v>2937</v>
      </c>
      <c r="E78" s="1517" t="s">
        <v>1807</v>
      </c>
      <c r="F78" s="1517" t="s">
        <v>178</v>
      </c>
      <c r="G78" s="1518">
        <v>41205</v>
      </c>
      <c r="H78" s="482"/>
      <c r="I78" s="1517" t="s">
        <v>1043</v>
      </c>
      <c r="J78" s="1517" t="s">
        <v>138</v>
      </c>
      <c r="K78" s="1516">
        <v>2141</v>
      </c>
      <c r="L78" s="1517" t="s">
        <v>1808</v>
      </c>
      <c r="M78" s="1517" t="s">
        <v>1680</v>
      </c>
    </row>
    <row r="79" spans="4:13" ht="30">
      <c r="D79" s="1516">
        <v>3223</v>
      </c>
      <c r="E79" s="1517" t="s">
        <v>1809</v>
      </c>
      <c r="F79" s="1517" t="s">
        <v>450</v>
      </c>
      <c r="G79" s="1518">
        <v>41423</v>
      </c>
      <c r="H79" s="482"/>
      <c r="I79" s="1517" t="s">
        <v>1043</v>
      </c>
      <c r="J79" s="1517" t="s">
        <v>1700</v>
      </c>
      <c r="K79" s="1516">
        <v>2193</v>
      </c>
      <c r="L79" s="1517" t="s">
        <v>1810</v>
      </c>
      <c r="M79" s="1517" t="s">
        <v>1257</v>
      </c>
    </row>
    <row r="80" spans="4:13" ht="45">
      <c r="D80" s="1516">
        <v>3627</v>
      </c>
      <c r="E80" s="1517" t="s">
        <v>1811</v>
      </c>
      <c r="F80" s="1517" t="s">
        <v>461</v>
      </c>
      <c r="G80" s="1518">
        <v>41485</v>
      </c>
      <c r="H80" s="482"/>
      <c r="I80" s="1517" t="s">
        <v>1043</v>
      </c>
      <c r="J80" s="1517" t="s">
        <v>1700</v>
      </c>
      <c r="K80" s="1516">
        <v>2215</v>
      </c>
      <c r="L80" s="1517" t="s">
        <v>1812</v>
      </c>
      <c r="M80" s="1517" t="s">
        <v>1257</v>
      </c>
    </row>
    <row r="81" spans="4:13" ht="45">
      <c r="D81" s="1516">
        <v>4248</v>
      </c>
      <c r="E81" s="1517" t="s">
        <v>1813</v>
      </c>
      <c r="F81" s="1517" t="s">
        <v>1814</v>
      </c>
      <c r="G81" s="1518">
        <v>41485</v>
      </c>
      <c r="H81" s="482"/>
      <c r="I81" s="1517" t="s">
        <v>1043</v>
      </c>
      <c r="J81" s="1517" t="s">
        <v>1700</v>
      </c>
      <c r="K81" s="1516">
        <v>2245</v>
      </c>
      <c r="L81" s="1517" t="s">
        <v>1815</v>
      </c>
      <c r="M81" s="1517" t="s">
        <v>1257</v>
      </c>
    </row>
    <row r="82" spans="4:13" ht="105" hidden="1">
      <c r="D82" s="1516">
        <v>4950</v>
      </c>
      <c r="E82" s="1517" t="s">
        <v>1816</v>
      </c>
      <c r="F82" s="1517" t="s">
        <v>179</v>
      </c>
      <c r="G82" s="1518">
        <v>41057</v>
      </c>
      <c r="H82" s="1519">
        <v>41007</v>
      </c>
      <c r="I82" s="1517" t="s">
        <v>1043</v>
      </c>
      <c r="J82" s="1517" t="s">
        <v>138</v>
      </c>
      <c r="K82" s="1516">
        <v>2285</v>
      </c>
      <c r="L82" s="1517" t="s">
        <v>1817</v>
      </c>
      <c r="M82" s="1517" t="s">
        <v>1680</v>
      </c>
    </row>
    <row r="83" spans="4:13" ht="15" hidden="1">
      <c r="D83" s="1516">
        <v>5160</v>
      </c>
      <c r="E83" s="1517" t="s">
        <v>1818</v>
      </c>
      <c r="F83" s="1517" t="s">
        <v>181</v>
      </c>
      <c r="G83" s="1518">
        <v>41204</v>
      </c>
      <c r="H83" s="1519">
        <v>41147</v>
      </c>
      <c r="I83" s="1517" t="s">
        <v>1043</v>
      </c>
      <c r="J83" s="1517" t="s">
        <v>138</v>
      </c>
      <c r="K83" s="1516">
        <v>2313</v>
      </c>
      <c r="L83" s="1517" t="s">
        <v>1819</v>
      </c>
      <c r="M83" s="1517" t="s">
        <v>1680</v>
      </c>
    </row>
    <row r="84" spans="4:13" ht="30" hidden="1">
      <c r="D84" s="1516">
        <v>5216</v>
      </c>
      <c r="E84" s="1517" t="s">
        <v>1820</v>
      </c>
      <c r="F84" s="1517" t="s">
        <v>1821</v>
      </c>
      <c r="G84" s="1518">
        <v>41039</v>
      </c>
      <c r="H84" s="482"/>
      <c r="I84" s="1517" t="s">
        <v>1043</v>
      </c>
      <c r="J84" s="1517" t="s">
        <v>138</v>
      </c>
      <c r="K84" s="1516">
        <v>2330</v>
      </c>
      <c r="L84" s="1517" t="s">
        <v>1822</v>
      </c>
      <c r="M84" s="1517" t="s">
        <v>1680</v>
      </c>
    </row>
    <row r="85" spans="4:13" ht="30" hidden="1">
      <c r="D85" s="1516">
        <v>5217</v>
      </c>
      <c r="E85" s="1517" t="s">
        <v>1823</v>
      </c>
      <c r="F85" s="1517" t="s">
        <v>1824</v>
      </c>
      <c r="G85" s="1518">
        <v>41039</v>
      </c>
      <c r="H85" s="482"/>
      <c r="I85" s="1517" t="s">
        <v>1043</v>
      </c>
      <c r="J85" s="1517" t="s">
        <v>138</v>
      </c>
      <c r="K85" s="1516">
        <v>2331</v>
      </c>
      <c r="L85" s="1517" t="s">
        <v>1825</v>
      </c>
      <c r="M85" s="1517" t="s">
        <v>1680</v>
      </c>
    </row>
    <row r="86" spans="4:13" ht="45">
      <c r="D86" s="1516">
        <v>5274</v>
      </c>
      <c r="E86" s="1517" t="s">
        <v>1826</v>
      </c>
      <c r="F86" s="1517" t="s">
        <v>182</v>
      </c>
      <c r="G86" s="1518">
        <v>41393</v>
      </c>
      <c r="H86" s="482"/>
      <c r="I86" s="1517" t="s">
        <v>1043</v>
      </c>
      <c r="J86" s="1517" t="s">
        <v>1700</v>
      </c>
      <c r="K86" s="1516">
        <v>2339</v>
      </c>
      <c r="L86" s="1517" t="s">
        <v>1827</v>
      </c>
      <c r="M86" s="1517" t="s">
        <v>1257</v>
      </c>
    </row>
    <row r="87" spans="4:13" ht="45">
      <c r="D87" s="1516">
        <v>5351</v>
      </c>
      <c r="E87" s="1517" t="s">
        <v>1828</v>
      </c>
      <c r="F87" s="1517" t="s">
        <v>184</v>
      </c>
      <c r="G87" s="1518">
        <v>41212</v>
      </c>
      <c r="H87" s="482"/>
      <c r="I87" s="1517" t="s">
        <v>1043</v>
      </c>
      <c r="J87" s="1517" t="s">
        <v>1700</v>
      </c>
      <c r="K87" s="1516">
        <v>2340</v>
      </c>
      <c r="L87" s="1517" t="s">
        <v>1829</v>
      </c>
      <c r="M87" s="1517" t="s">
        <v>1257</v>
      </c>
    </row>
    <row r="88" spans="4:13" ht="60">
      <c r="D88" s="1516">
        <v>5352</v>
      </c>
      <c r="E88" s="1517" t="s">
        <v>1830</v>
      </c>
      <c r="F88" s="1517" t="s">
        <v>373</v>
      </c>
      <c r="G88" s="1518">
        <v>41182</v>
      </c>
      <c r="H88" s="482"/>
      <c r="I88" s="1517" t="s">
        <v>1043</v>
      </c>
      <c r="J88" s="1517" t="s">
        <v>1700</v>
      </c>
      <c r="K88" s="1516">
        <v>2341</v>
      </c>
      <c r="L88" s="1517" t="s">
        <v>1831</v>
      </c>
      <c r="M88" s="1517" t="s">
        <v>1257</v>
      </c>
    </row>
    <row r="89" spans="4:13" ht="45">
      <c r="D89" s="1516">
        <v>5353</v>
      </c>
      <c r="E89" s="1517" t="s">
        <v>1832</v>
      </c>
      <c r="F89" s="1517" t="s">
        <v>185</v>
      </c>
      <c r="G89" s="1518">
        <v>41182</v>
      </c>
      <c r="H89" s="482"/>
      <c r="I89" s="1517" t="s">
        <v>1043</v>
      </c>
      <c r="J89" s="1517" t="s">
        <v>1700</v>
      </c>
      <c r="K89" s="1516">
        <v>2342</v>
      </c>
      <c r="L89" s="1517" t="s">
        <v>1833</v>
      </c>
      <c r="M89" s="1517" t="s">
        <v>1257</v>
      </c>
    </row>
    <row r="90" spans="4:13" ht="30">
      <c r="D90" s="1516">
        <v>5355</v>
      </c>
      <c r="E90" s="1517" t="s">
        <v>1834</v>
      </c>
      <c r="F90" s="1517" t="s">
        <v>384</v>
      </c>
      <c r="G90" s="1518">
        <v>41182</v>
      </c>
      <c r="H90" s="482"/>
      <c r="I90" s="1517" t="s">
        <v>1043</v>
      </c>
      <c r="J90" s="1517" t="s">
        <v>1700</v>
      </c>
      <c r="K90" s="1516">
        <v>2343</v>
      </c>
      <c r="L90" s="1517" t="s">
        <v>1835</v>
      </c>
      <c r="M90" s="1517" t="s">
        <v>1257</v>
      </c>
    </row>
    <row r="91" spans="4:13" ht="30">
      <c r="D91" s="1516">
        <v>5363</v>
      </c>
      <c r="E91" s="1517" t="s">
        <v>1836</v>
      </c>
      <c r="F91" s="1517" t="s">
        <v>391</v>
      </c>
      <c r="G91" s="1518">
        <v>41182</v>
      </c>
      <c r="H91" s="482"/>
      <c r="I91" s="1517" t="s">
        <v>1043</v>
      </c>
      <c r="J91" s="1517" t="s">
        <v>1700</v>
      </c>
      <c r="K91" s="1516">
        <v>2344</v>
      </c>
      <c r="L91" s="1517" t="s">
        <v>1837</v>
      </c>
      <c r="M91" s="1517" t="s">
        <v>1257</v>
      </c>
    </row>
    <row r="92" spans="4:13" ht="30">
      <c r="D92" s="1516">
        <v>5364</v>
      </c>
      <c r="E92" s="1517" t="s">
        <v>1838</v>
      </c>
      <c r="F92" s="1517" t="s">
        <v>396</v>
      </c>
      <c r="G92" s="1518">
        <v>41182</v>
      </c>
      <c r="H92" s="482"/>
      <c r="I92" s="1517" t="s">
        <v>1043</v>
      </c>
      <c r="J92" s="1517" t="s">
        <v>1700</v>
      </c>
      <c r="K92" s="1516">
        <v>2345</v>
      </c>
      <c r="L92" s="1517" t="s">
        <v>1839</v>
      </c>
      <c r="M92" s="1517" t="s">
        <v>1257</v>
      </c>
    </row>
    <row r="93" spans="4:13" ht="30">
      <c r="D93" s="1516">
        <v>5365</v>
      </c>
      <c r="E93" s="1517" t="s">
        <v>1840</v>
      </c>
      <c r="F93" s="1517" t="s">
        <v>402</v>
      </c>
      <c r="G93" s="1518">
        <v>41182</v>
      </c>
      <c r="H93" s="482"/>
      <c r="I93" s="1517" t="s">
        <v>1043</v>
      </c>
      <c r="J93" s="1517" t="s">
        <v>1700</v>
      </c>
      <c r="K93" s="1516">
        <v>2346</v>
      </c>
      <c r="L93" s="1517" t="s">
        <v>1841</v>
      </c>
      <c r="M93" s="1517" t="s">
        <v>1257</v>
      </c>
    </row>
    <row r="94" spans="4:13" ht="45">
      <c r="D94" s="1516">
        <v>5366</v>
      </c>
      <c r="E94" s="1517" t="s">
        <v>1842</v>
      </c>
      <c r="F94" s="1517" t="s">
        <v>187</v>
      </c>
      <c r="G94" s="1518">
        <v>41182</v>
      </c>
      <c r="H94" s="482"/>
      <c r="I94" s="1517" t="s">
        <v>1043</v>
      </c>
      <c r="J94" s="1517" t="s">
        <v>1700</v>
      </c>
      <c r="K94" s="1516">
        <v>2347</v>
      </c>
      <c r="L94" s="1517" t="s">
        <v>1843</v>
      </c>
      <c r="M94" s="1517" t="s">
        <v>1257</v>
      </c>
    </row>
    <row r="95" spans="4:13" ht="30">
      <c r="D95" s="1516">
        <v>5367</v>
      </c>
      <c r="E95" s="1517" t="s">
        <v>1844</v>
      </c>
      <c r="F95" s="1517" t="s">
        <v>9</v>
      </c>
      <c r="G95" s="1518">
        <v>40899</v>
      </c>
      <c r="H95" s="482"/>
      <c r="I95" s="1517" t="s">
        <v>1043</v>
      </c>
      <c r="J95" s="1517" t="s">
        <v>1700</v>
      </c>
      <c r="K95" s="1516">
        <v>2348</v>
      </c>
      <c r="L95" s="1517" t="s">
        <v>1845</v>
      </c>
      <c r="M95" s="1517" t="s">
        <v>1257</v>
      </c>
    </row>
    <row r="96" spans="4:13" ht="30">
      <c r="D96" s="1516">
        <v>5368</v>
      </c>
      <c r="E96" s="1517" t="s">
        <v>1846</v>
      </c>
      <c r="F96" s="1517" t="s">
        <v>407</v>
      </c>
      <c r="G96" s="1518">
        <v>41182</v>
      </c>
      <c r="H96" s="482"/>
      <c r="I96" s="1517" t="s">
        <v>1043</v>
      </c>
      <c r="J96" s="1517" t="s">
        <v>1700</v>
      </c>
      <c r="K96" s="1516">
        <v>2349</v>
      </c>
      <c r="L96" s="1517" t="s">
        <v>1847</v>
      </c>
      <c r="M96" s="1517" t="s">
        <v>1257</v>
      </c>
    </row>
    <row r="97" spans="4:13" ht="30">
      <c r="D97" s="1516">
        <v>5369</v>
      </c>
      <c r="E97" s="1517" t="s">
        <v>1848</v>
      </c>
      <c r="F97" s="1517" t="s">
        <v>412</v>
      </c>
      <c r="G97" s="1518">
        <v>41182</v>
      </c>
      <c r="H97" s="482"/>
      <c r="I97" s="1517" t="s">
        <v>1043</v>
      </c>
      <c r="J97" s="1517" t="s">
        <v>1700</v>
      </c>
      <c r="K97" s="1516">
        <v>2350</v>
      </c>
      <c r="L97" s="1517" t="s">
        <v>1849</v>
      </c>
      <c r="M97" s="1517" t="s">
        <v>1257</v>
      </c>
    </row>
    <row r="98" spans="4:13" ht="30">
      <c r="D98" s="1516">
        <v>5370</v>
      </c>
      <c r="E98" s="1517" t="s">
        <v>1850</v>
      </c>
      <c r="F98" s="1517" t="s">
        <v>188</v>
      </c>
      <c r="G98" s="1518">
        <v>41182</v>
      </c>
      <c r="H98" s="482"/>
      <c r="I98" s="1517" t="s">
        <v>1043</v>
      </c>
      <c r="J98" s="1517" t="s">
        <v>1700</v>
      </c>
      <c r="K98" s="1516">
        <v>2351</v>
      </c>
      <c r="L98" s="1517" t="s">
        <v>1851</v>
      </c>
      <c r="M98" s="1517" t="s">
        <v>1257</v>
      </c>
    </row>
    <row r="99" spans="4:13" ht="30">
      <c r="D99" s="1516">
        <v>5371</v>
      </c>
      <c r="E99" s="1517" t="s">
        <v>1852</v>
      </c>
      <c r="F99" s="1517" t="s">
        <v>421</v>
      </c>
      <c r="G99" s="1518">
        <v>41182</v>
      </c>
      <c r="H99" s="482"/>
      <c r="I99" s="1517" t="s">
        <v>1043</v>
      </c>
      <c r="J99" s="1517" t="s">
        <v>1700</v>
      </c>
      <c r="K99" s="1516">
        <v>2352</v>
      </c>
      <c r="L99" s="1517" t="s">
        <v>1853</v>
      </c>
      <c r="M99" s="1517" t="s">
        <v>1257</v>
      </c>
    </row>
    <row r="100" spans="4:13" ht="30">
      <c r="D100" s="1516">
        <v>5373</v>
      </c>
      <c r="E100" s="1517" t="s">
        <v>1854</v>
      </c>
      <c r="F100" s="1517" t="s">
        <v>428</v>
      </c>
      <c r="G100" s="1518">
        <v>41182</v>
      </c>
      <c r="H100" s="482"/>
      <c r="I100" s="1517" t="s">
        <v>1043</v>
      </c>
      <c r="J100" s="1517" t="s">
        <v>1700</v>
      </c>
      <c r="K100" s="1516">
        <v>2353</v>
      </c>
      <c r="L100" s="1517" t="s">
        <v>1855</v>
      </c>
      <c r="M100" s="1517" t="s">
        <v>1257</v>
      </c>
    </row>
    <row r="101" spans="4:13" ht="45">
      <c r="D101" s="1516">
        <v>5377</v>
      </c>
      <c r="E101" s="1517" t="s">
        <v>1856</v>
      </c>
      <c r="F101" s="1517" t="s">
        <v>372</v>
      </c>
      <c r="G101" s="1518">
        <v>41393</v>
      </c>
      <c r="H101" s="482"/>
      <c r="I101" s="1517" t="s">
        <v>1043</v>
      </c>
      <c r="J101" s="1517" t="s">
        <v>1700</v>
      </c>
      <c r="K101" s="1516">
        <v>2355</v>
      </c>
      <c r="L101" s="1517" t="s">
        <v>1857</v>
      </c>
      <c r="M101" s="1517" t="s">
        <v>1257</v>
      </c>
    </row>
    <row r="102" spans="4:13" ht="45">
      <c r="D102" s="1516">
        <v>5378</v>
      </c>
      <c r="E102" s="1517" t="s">
        <v>1858</v>
      </c>
      <c r="F102" s="1517" t="s">
        <v>303</v>
      </c>
      <c r="G102" s="1518">
        <v>41393</v>
      </c>
      <c r="H102" s="482"/>
      <c r="I102" s="1517" t="s">
        <v>1043</v>
      </c>
      <c r="J102" s="1517" t="s">
        <v>1700</v>
      </c>
      <c r="K102" s="1516">
        <v>2356</v>
      </c>
      <c r="L102" s="1517" t="s">
        <v>1859</v>
      </c>
      <c r="M102" s="1517" t="s">
        <v>1257</v>
      </c>
    </row>
    <row r="103" spans="4:13" ht="45">
      <c r="D103" s="1516">
        <v>5379</v>
      </c>
      <c r="E103" s="1517" t="s">
        <v>1860</v>
      </c>
      <c r="F103" s="1517" t="s">
        <v>340</v>
      </c>
      <c r="G103" s="1518">
        <v>41212</v>
      </c>
      <c r="H103" s="482"/>
      <c r="I103" s="1517" t="s">
        <v>1043</v>
      </c>
      <c r="J103" s="1517" t="s">
        <v>1700</v>
      </c>
      <c r="K103" s="1516">
        <v>2357</v>
      </c>
      <c r="L103" s="1517" t="s">
        <v>1861</v>
      </c>
      <c r="M103" s="1517" t="s">
        <v>1257</v>
      </c>
    </row>
    <row r="104" spans="4:13" ht="45">
      <c r="D104" s="1516">
        <v>5381</v>
      </c>
      <c r="E104" s="1517" t="s">
        <v>1862</v>
      </c>
      <c r="F104" s="1517" t="s">
        <v>280</v>
      </c>
      <c r="G104" s="1518">
        <v>41152</v>
      </c>
      <c r="H104" s="482"/>
      <c r="I104" s="1517" t="s">
        <v>1043</v>
      </c>
      <c r="J104" s="1517" t="s">
        <v>1700</v>
      </c>
      <c r="K104" s="1516">
        <v>2358</v>
      </c>
      <c r="L104" s="1517" t="s">
        <v>1863</v>
      </c>
      <c r="M104" s="1517" t="s">
        <v>1257</v>
      </c>
    </row>
    <row r="105" spans="4:13" ht="45">
      <c r="D105" s="1516">
        <v>5382</v>
      </c>
      <c r="E105" s="1517" t="s">
        <v>1864</v>
      </c>
      <c r="F105" s="1517" t="s">
        <v>309</v>
      </c>
      <c r="G105" s="1518">
        <v>41101</v>
      </c>
      <c r="H105" s="482"/>
      <c r="I105" s="1517" t="s">
        <v>1043</v>
      </c>
      <c r="J105" s="1517" t="s">
        <v>1700</v>
      </c>
      <c r="K105" s="1516">
        <v>2359</v>
      </c>
      <c r="L105" s="1517" t="s">
        <v>1865</v>
      </c>
      <c r="M105" s="1517" t="s">
        <v>1257</v>
      </c>
    </row>
    <row r="106" spans="4:13" ht="45">
      <c r="D106" s="1516">
        <v>5384</v>
      </c>
      <c r="E106" s="1517" t="s">
        <v>1866</v>
      </c>
      <c r="F106" s="1517" t="s">
        <v>329</v>
      </c>
      <c r="G106" s="1518">
        <v>41423</v>
      </c>
      <c r="H106" s="482"/>
      <c r="I106" s="1517" t="s">
        <v>1043</v>
      </c>
      <c r="J106" s="1517" t="s">
        <v>1700</v>
      </c>
      <c r="K106" s="1516">
        <v>2360</v>
      </c>
      <c r="L106" s="1517" t="s">
        <v>1867</v>
      </c>
      <c r="M106" s="1517" t="s">
        <v>1257</v>
      </c>
    </row>
    <row r="107" spans="4:13" ht="45">
      <c r="D107" s="1516">
        <v>5385</v>
      </c>
      <c r="E107" s="1517" t="s">
        <v>1868</v>
      </c>
      <c r="F107" s="1517" t="s">
        <v>334</v>
      </c>
      <c r="G107" s="1518">
        <v>41379</v>
      </c>
      <c r="H107" s="482"/>
      <c r="I107" s="1517" t="s">
        <v>1043</v>
      </c>
      <c r="J107" s="1517" t="s">
        <v>1700</v>
      </c>
      <c r="K107" s="1516">
        <v>2361</v>
      </c>
      <c r="L107" s="1517" t="s">
        <v>1869</v>
      </c>
      <c r="M107" s="1517" t="s">
        <v>1257</v>
      </c>
    </row>
    <row r="108" spans="4:13" ht="45">
      <c r="D108" s="1516">
        <v>5386</v>
      </c>
      <c r="E108" s="1517" t="s">
        <v>1870</v>
      </c>
      <c r="F108" s="1517" t="s">
        <v>297</v>
      </c>
      <c r="G108" s="1518">
        <v>41212</v>
      </c>
      <c r="H108" s="482"/>
      <c r="I108" s="1517" t="s">
        <v>1043</v>
      </c>
      <c r="J108" s="1517" t="s">
        <v>1700</v>
      </c>
      <c r="K108" s="1516">
        <v>2362</v>
      </c>
      <c r="L108" s="1517" t="s">
        <v>1871</v>
      </c>
      <c r="M108" s="1517" t="s">
        <v>1257</v>
      </c>
    </row>
    <row r="109" spans="4:13" ht="15" hidden="1">
      <c r="D109" s="1516">
        <v>5697</v>
      </c>
      <c r="E109" s="1517" t="s">
        <v>1872</v>
      </c>
      <c r="F109" s="1517" t="s">
        <v>190</v>
      </c>
      <c r="G109" s="1518">
        <v>41143</v>
      </c>
      <c r="H109" s="1519">
        <v>41128</v>
      </c>
      <c r="I109" s="1517" t="s">
        <v>1043</v>
      </c>
      <c r="J109" s="1517" t="s">
        <v>138</v>
      </c>
      <c r="K109" s="1516">
        <v>2382</v>
      </c>
      <c r="L109" s="1517" t="s">
        <v>1873</v>
      </c>
      <c r="M109" s="1517" t="s">
        <v>1680</v>
      </c>
    </row>
    <row r="110" spans="4:13" ht="30" hidden="1">
      <c r="D110" s="1516">
        <v>5707</v>
      </c>
      <c r="E110" s="1517" t="s">
        <v>1874</v>
      </c>
      <c r="F110" s="1517" t="s">
        <v>191</v>
      </c>
      <c r="G110" s="1518">
        <v>41235</v>
      </c>
      <c r="H110" s="1519">
        <v>41207</v>
      </c>
      <c r="I110" s="1517" t="s">
        <v>1043</v>
      </c>
      <c r="J110" s="1517" t="s">
        <v>138</v>
      </c>
      <c r="K110" s="1516">
        <v>2386</v>
      </c>
      <c r="L110" s="1517" t="s">
        <v>1875</v>
      </c>
      <c r="M110" s="1517" t="s">
        <v>1680</v>
      </c>
    </row>
    <row r="111" spans="4:13" ht="15" hidden="1">
      <c r="D111" s="1516">
        <v>6072</v>
      </c>
      <c r="E111" s="1517" t="s">
        <v>1876</v>
      </c>
      <c r="F111" s="1517" t="s">
        <v>1877</v>
      </c>
      <c r="G111" s="1518">
        <v>41204</v>
      </c>
      <c r="H111" s="1519">
        <v>41164</v>
      </c>
      <c r="I111" s="1517" t="s">
        <v>1043</v>
      </c>
      <c r="J111" s="1517" t="s">
        <v>138</v>
      </c>
      <c r="K111" s="1516">
        <v>2407</v>
      </c>
      <c r="L111" s="1517" t="s">
        <v>1878</v>
      </c>
      <c r="M111" s="1517" t="s">
        <v>1680</v>
      </c>
    </row>
    <row r="112" spans="4:13" ht="30" hidden="1">
      <c r="D112" s="1516">
        <v>6585</v>
      </c>
      <c r="E112" s="1517" t="s">
        <v>1879</v>
      </c>
      <c r="F112" s="1517" t="s">
        <v>193</v>
      </c>
      <c r="G112" s="1518">
        <v>41082</v>
      </c>
      <c r="H112" s="1519">
        <v>41078</v>
      </c>
      <c r="I112" s="1517" t="s">
        <v>1043</v>
      </c>
      <c r="J112" s="1517" t="s">
        <v>138</v>
      </c>
      <c r="K112" s="1516">
        <v>2444</v>
      </c>
      <c r="L112" s="1517" t="s">
        <v>1880</v>
      </c>
      <c r="M112" s="1517" t="s">
        <v>1680</v>
      </c>
    </row>
    <row r="113" spans="4:13" ht="30" hidden="1">
      <c r="D113" s="1516">
        <v>6587</v>
      </c>
      <c r="E113" s="1517" t="s">
        <v>1881</v>
      </c>
      <c r="F113" s="1517" t="s">
        <v>194</v>
      </c>
      <c r="G113" s="1518">
        <v>41021</v>
      </c>
      <c r="H113" s="482"/>
      <c r="I113" s="1517" t="s">
        <v>1043</v>
      </c>
      <c r="J113" s="1517" t="s">
        <v>138</v>
      </c>
      <c r="K113" s="1516">
        <v>2445</v>
      </c>
      <c r="L113" s="1517" t="s">
        <v>1882</v>
      </c>
      <c r="M113" s="1517" t="s">
        <v>1680</v>
      </c>
    </row>
    <row r="114" spans="4:13" ht="30" hidden="1">
      <c r="D114" s="1516">
        <v>6600</v>
      </c>
      <c r="E114" s="1517" t="s">
        <v>1883</v>
      </c>
      <c r="F114" s="1517" t="s">
        <v>195</v>
      </c>
      <c r="G114" s="1518">
        <v>41149</v>
      </c>
      <c r="H114" s="482"/>
      <c r="I114" s="1517" t="s">
        <v>1043</v>
      </c>
      <c r="J114" s="1517" t="s">
        <v>138</v>
      </c>
      <c r="K114" s="1516">
        <v>2452</v>
      </c>
      <c r="L114" s="1517" t="s">
        <v>1884</v>
      </c>
      <c r="M114" s="1517" t="s">
        <v>1680</v>
      </c>
    </row>
    <row r="115" spans="4:13" ht="60">
      <c r="D115" s="1516">
        <v>6609</v>
      </c>
      <c r="E115" s="1517" t="s">
        <v>1885</v>
      </c>
      <c r="F115" s="1517" t="s">
        <v>322</v>
      </c>
      <c r="G115" s="1518">
        <v>41411</v>
      </c>
      <c r="H115" s="482"/>
      <c r="I115" s="1517" t="s">
        <v>1043</v>
      </c>
      <c r="J115" s="1517" t="s">
        <v>1700</v>
      </c>
      <c r="K115" s="1516">
        <v>2455</v>
      </c>
      <c r="L115" s="1517" t="s">
        <v>1886</v>
      </c>
      <c r="M115" s="1517" t="s">
        <v>1257</v>
      </c>
    </row>
    <row r="116" spans="4:13" ht="45">
      <c r="D116" s="1516">
        <v>6610</v>
      </c>
      <c r="E116" s="1517" t="s">
        <v>1887</v>
      </c>
      <c r="F116" s="1517" t="s">
        <v>316</v>
      </c>
      <c r="G116" s="1518">
        <v>41243</v>
      </c>
      <c r="H116" s="482"/>
      <c r="I116" s="1517" t="s">
        <v>1043</v>
      </c>
      <c r="J116" s="1517" t="s">
        <v>1700</v>
      </c>
      <c r="K116" s="1516">
        <v>2456</v>
      </c>
      <c r="L116" s="1517" t="s">
        <v>1888</v>
      </c>
      <c r="M116" s="1517" t="s">
        <v>1257</v>
      </c>
    </row>
    <row r="117" spans="4:13" ht="30" hidden="1">
      <c r="D117" s="1516">
        <v>6611</v>
      </c>
      <c r="E117" s="1517" t="s">
        <v>1889</v>
      </c>
      <c r="F117" s="1517" t="s">
        <v>197</v>
      </c>
      <c r="G117" s="1518">
        <v>40943</v>
      </c>
      <c r="H117" s="482"/>
      <c r="I117" s="1517" t="s">
        <v>1043</v>
      </c>
      <c r="J117" s="1517" t="s">
        <v>138</v>
      </c>
      <c r="K117" s="1516">
        <v>2457</v>
      </c>
      <c r="L117" s="1517" t="s">
        <v>1890</v>
      </c>
      <c r="M117" s="1517" t="s">
        <v>1680</v>
      </c>
    </row>
    <row r="118" spans="4:13" ht="30" hidden="1">
      <c r="D118" s="1516">
        <v>6612</v>
      </c>
      <c r="E118" s="1517" t="s">
        <v>1891</v>
      </c>
      <c r="F118" s="1517" t="s">
        <v>198</v>
      </c>
      <c r="G118" s="1518">
        <v>41082</v>
      </c>
      <c r="H118" s="1519">
        <v>41078</v>
      </c>
      <c r="I118" s="1517" t="s">
        <v>1043</v>
      </c>
      <c r="J118" s="1517" t="s">
        <v>1700</v>
      </c>
      <c r="K118" s="1516">
        <v>2458</v>
      </c>
      <c r="L118" s="1517" t="s">
        <v>1892</v>
      </c>
      <c r="M118" s="1517" t="s">
        <v>1680</v>
      </c>
    </row>
    <row r="119" spans="4:13" ht="30">
      <c r="D119" s="1516">
        <v>6896</v>
      </c>
      <c r="E119" s="1517" t="s">
        <v>1893</v>
      </c>
      <c r="F119" s="1517" t="s">
        <v>315</v>
      </c>
      <c r="G119" s="1518">
        <v>41182</v>
      </c>
      <c r="H119" s="482"/>
      <c r="I119" s="1517" t="s">
        <v>1043</v>
      </c>
      <c r="J119" s="1517" t="s">
        <v>1700</v>
      </c>
      <c r="K119" s="1516">
        <v>2479</v>
      </c>
      <c r="L119" s="1517" t="s">
        <v>1894</v>
      </c>
      <c r="M119" s="1517" t="s">
        <v>1257</v>
      </c>
    </row>
    <row r="120" spans="4:13" ht="45">
      <c r="D120" s="1516">
        <v>6897</v>
      </c>
      <c r="E120" s="1517" t="s">
        <v>1895</v>
      </c>
      <c r="F120" s="1517" t="s">
        <v>1896</v>
      </c>
      <c r="G120" s="1518">
        <v>41182</v>
      </c>
      <c r="H120" s="482"/>
      <c r="I120" s="1517" t="s">
        <v>1043</v>
      </c>
      <c r="J120" s="1517" t="s">
        <v>1700</v>
      </c>
      <c r="K120" s="1516">
        <v>2480</v>
      </c>
      <c r="L120" s="1517" t="s">
        <v>1897</v>
      </c>
      <c r="M120" s="1517" t="s">
        <v>1257</v>
      </c>
    </row>
    <row r="121" spans="4:13" ht="30">
      <c r="D121" s="1516">
        <v>6898</v>
      </c>
      <c r="E121" s="1517" t="s">
        <v>1898</v>
      </c>
      <c r="F121" s="1517" t="s">
        <v>362</v>
      </c>
      <c r="G121" s="1518">
        <v>41182</v>
      </c>
      <c r="H121" s="482"/>
      <c r="I121" s="1517" t="s">
        <v>1043</v>
      </c>
      <c r="J121" s="1517" t="s">
        <v>1700</v>
      </c>
      <c r="K121" s="1516">
        <v>2481</v>
      </c>
      <c r="L121" s="1517" t="s">
        <v>1899</v>
      </c>
      <c r="M121" s="1517" t="s">
        <v>1257</v>
      </c>
    </row>
    <row r="122" spans="4:13" ht="30">
      <c r="D122" s="1516">
        <v>7016</v>
      </c>
      <c r="E122" s="1517" t="s">
        <v>1900</v>
      </c>
      <c r="F122" s="1517" t="s">
        <v>433</v>
      </c>
      <c r="G122" s="1518">
        <v>41182</v>
      </c>
      <c r="H122" s="482"/>
      <c r="I122" s="1517" t="s">
        <v>1043</v>
      </c>
      <c r="J122" s="1517" t="s">
        <v>1700</v>
      </c>
      <c r="K122" s="1516">
        <v>2496</v>
      </c>
      <c r="L122" s="1517" t="s">
        <v>1901</v>
      </c>
      <c r="M122" s="1517" t="s">
        <v>1257</v>
      </c>
    </row>
    <row r="123" spans="4:13" ht="30" hidden="1">
      <c r="D123" s="1516">
        <v>7019</v>
      </c>
      <c r="E123" s="1517" t="s">
        <v>1902</v>
      </c>
      <c r="F123" s="1517" t="s">
        <v>200</v>
      </c>
      <c r="G123" s="1518">
        <v>41214</v>
      </c>
      <c r="H123" s="1519">
        <v>41214</v>
      </c>
      <c r="I123" s="1517" t="s">
        <v>1043</v>
      </c>
      <c r="J123" s="1517" t="s">
        <v>138</v>
      </c>
      <c r="K123" s="1516">
        <v>2497</v>
      </c>
      <c r="L123" s="1517" t="s">
        <v>1903</v>
      </c>
      <c r="M123" s="1517" t="s">
        <v>1680</v>
      </c>
    </row>
    <row r="124" spans="4:13" ht="30">
      <c r="D124" s="1516">
        <v>7371</v>
      </c>
      <c r="E124" s="1517" t="s">
        <v>1904</v>
      </c>
      <c r="F124" s="1517" t="s">
        <v>201</v>
      </c>
      <c r="G124" s="1518">
        <v>41485</v>
      </c>
      <c r="H124" s="482"/>
      <c r="I124" s="1517" t="s">
        <v>1043</v>
      </c>
      <c r="J124" s="1517" t="s">
        <v>1700</v>
      </c>
      <c r="K124" s="1516">
        <v>2527</v>
      </c>
      <c r="L124" s="1517" t="s">
        <v>1905</v>
      </c>
      <c r="M124" s="1517" t="s">
        <v>1257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1906</v>
      </c>
      <c r="G3" s="436" t="s">
        <v>1907</v>
      </c>
    </row>
    <row r="4" spans="2:7">
      <c r="B4" s="447" t="s">
        <v>1908</v>
      </c>
      <c r="C4" s="447" t="s">
        <v>1909</v>
      </c>
      <c r="D4" s="447" t="s">
        <v>936</v>
      </c>
      <c r="E4" s="436"/>
      <c r="F4" s="1520" t="s">
        <v>1910</v>
      </c>
      <c r="G4" s="1521" t="e">
        <f>(C10*G7)/G5</f>
        <v>#REF!</v>
      </c>
    </row>
    <row r="5" spans="2:7">
      <c r="B5" s="1522" t="s">
        <v>1911</v>
      </c>
      <c r="C5" s="1523"/>
      <c r="D5" s="1524"/>
      <c r="F5" s="1520" t="s">
        <v>1912</v>
      </c>
      <c r="G5" s="1525" t="e">
        <f>(((1+C7)^G6)*C7)/(((1+C7)^G6)-1)</f>
        <v>#REF!</v>
      </c>
    </row>
    <row r="6" spans="2:7">
      <c r="B6" s="1522" t="s">
        <v>1913</v>
      </c>
      <c r="C6" s="1523"/>
      <c r="D6" s="1524"/>
      <c r="F6" s="1520" t="s">
        <v>1914</v>
      </c>
      <c r="G6" s="1526" t="e">
        <f>G7/(C8*C9)</f>
        <v>#REF!</v>
      </c>
    </row>
    <row r="7" spans="2:7">
      <c r="B7" s="1522" t="s">
        <v>1915</v>
      </c>
      <c r="C7" s="1527">
        <f>'BD-NET'!Q195</f>
        <v>8.1942000000000001E-2</v>
      </c>
      <c r="D7" s="1524"/>
      <c r="F7" s="1520" t="s">
        <v>1916</v>
      </c>
      <c r="G7" s="1528">
        <f>12*(20000*C6+10000*C5)</f>
        <v>0</v>
      </c>
    </row>
    <row r="8" spans="2:7">
      <c r="B8" s="1522" t="s">
        <v>1917</v>
      </c>
      <c r="C8" s="1529" t="e">
        <f>C24</f>
        <v>#REF!</v>
      </c>
      <c r="D8" s="1530" t="s">
        <v>1918</v>
      </c>
    </row>
    <row r="9" spans="2:7">
      <c r="B9" s="1522" t="s">
        <v>1919</v>
      </c>
      <c r="C9" s="1531"/>
      <c r="D9" s="1524"/>
    </row>
    <row r="10" spans="2:7">
      <c r="B10" s="1522" t="s">
        <v>1920</v>
      </c>
      <c r="C10" s="1532" t="e">
        <f>F14</f>
        <v>#REF!</v>
      </c>
      <c r="D10" s="1524"/>
    </row>
    <row r="12" spans="2:7">
      <c r="B12" s="447" t="s">
        <v>1921</v>
      </c>
      <c r="C12" s="447" t="s">
        <v>802</v>
      </c>
      <c r="D12" s="447" t="s">
        <v>1922</v>
      </c>
      <c r="E12" s="447" t="s">
        <v>1923</v>
      </c>
      <c r="F12" s="447" t="s">
        <v>1924</v>
      </c>
    </row>
    <row r="13" spans="2:7" ht="13.5" thickBot="1">
      <c r="B13" s="1522" t="s">
        <v>1925</v>
      </c>
      <c r="C13" s="1533" t="e">
        <f>C38</f>
        <v>#REF!</v>
      </c>
      <c r="D13" s="1522"/>
      <c r="E13" s="1522"/>
      <c r="F13" s="1534"/>
    </row>
    <row r="14" spans="2:7" ht="13.5" thickBot="1">
      <c r="B14" s="1522" t="s">
        <v>1926</v>
      </c>
      <c r="C14" s="1533" t="e">
        <f>(C32+E55)*($C$38/$C$35)</f>
        <v>#REF!</v>
      </c>
      <c r="D14" s="1535" t="e">
        <f>$C$17*(C14/($C$14+$C$15+$C$16))</f>
        <v>#REF!</v>
      </c>
      <c r="E14" s="1536" t="e">
        <f>C14-D14</f>
        <v>#REF!</v>
      </c>
      <c r="F14" s="469" t="e">
        <f>E14/$C$13</f>
        <v>#REF!</v>
      </c>
      <c r="G14" s="470" t="s">
        <v>1927</v>
      </c>
    </row>
    <row r="15" spans="2:7">
      <c r="B15" s="1522" t="s">
        <v>1928</v>
      </c>
      <c r="C15" s="1533" t="e">
        <f>C27*($C$38/$C$35)</f>
        <v>#REF!</v>
      </c>
      <c r="D15" s="1535" t="e">
        <f>$C$17*(C15/($C$14+$C$15+$C$16))</f>
        <v>#REF!</v>
      </c>
      <c r="E15" s="1535" t="e">
        <f>C15-D15</f>
        <v>#REF!</v>
      </c>
      <c r="F15" s="1537" t="e">
        <f>E15/$C$13</f>
        <v>#REF!</v>
      </c>
    </row>
    <row r="16" spans="2:7">
      <c r="B16" s="1522" t="s">
        <v>1929</v>
      </c>
      <c r="C16" s="1533" t="e">
        <f>(C33+D54)*($C$38/$C$35)</f>
        <v>#REF!</v>
      </c>
      <c r="D16" s="1535" t="e">
        <f>$C$17*(C16/($C$14+$C$15+$C$16))</f>
        <v>#REF!</v>
      </c>
      <c r="E16" s="1535" t="e">
        <f>C16-D16</f>
        <v>#REF!</v>
      </c>
      <c r="F16" s="1538" t="e">
        <f>E16/$C$13</f>
        <v>#REF!</v>
      </c>
    </row>
    <row r="17" spans="2:6">
      <c r="B17" s="1522" t="s">
        <v>1930</v>
      </c>
      <c r="C17" s="1533" t="e">
        <f>C39</f>
        <v>#REF!</v>
      </c>
      <c r="D17" s="1522"/>
      <c r="E17" s="1522"/>
      <c r="F17" s="1539" t="e">
        <f>C17/C13</f>
        <v>#REF!</v>
      </c>
    </row>
    <row r="18" spans="2:6">
      <c r="D18" s="452" t="e">
        <f>SUM(D14:D17)</f>
        <v>#REF!</v>
      </c>
      <c r="F18" s="1540" t="e">
        <f>SUM(F14:F17)</f>
        <v>#REF!</v>
      </c>
    </row>
    <row r="19" spans="2:6">
      <c r="B19" s="443" t="s">
        <v>1931</v>
      </c>
    </row>
    <row r="20" spans="2:6">
      <c r="B20" s="443"/>
    </row>
    <row r="21" spans="2:6">
      <c r="B21" s="1541" t="s">
        <v>1932</v>
      </c>
      <c r="C21" s="1542" t="e">
        <f>LnkTxtPBCAOMCAA</f>
        <v>#NAME?</v>
      </c>
    </row>
    <row r="22" spans="2:6">
      <c r="B22" s="444" t="s">
        <v>1933</v>
      </c>
      <c r="C22" s="445">
        <v>1.15E-2</v>
      </c>
    </row>
    <row r="23" spans="2:6">
      <c r="B23" s="444" t="s">
        <v>1934</v>
      </c>
      <c r="C23" s="445">
        <v>0</v>
      </c>
    </row>
    <row r="24" spans="2:6">
      <c r="B24" s="1541" t="s">
        <v>1935</v>
      </c>
      <c r="C24" s="1542" t="e">
        <f>#REF!+#REF!</f>
        <v>#REF!</v>
      </c>
    </row>
    <row r="27" spans="2:6">
      <c r="B27" s="1541" t="s">
        <v>1936</v>
      </c>
      <c r="C27" s="1542" t="e">
        <f>#REF!</f>
        <v>#REF!</v>
      </c>
    </row>
    <row r="28" spans="2:6">
      <c r="B28" s="444" t="s">
        <v>1937</v>
      </c>
      <c r="C28" s="450" t="e">
        <f>#REF!</f>
        <v>#REF!</v>
      </c>
    </row>
    <row r="29" spans="2:6">
      <c r="B29" s="444" t="s">
        <v>1938</v>
      </c>
      <c r="C29" s="450"/>
    </row>
    <row r="30" spans="2:6">
      <c r="B30" s="444" t="s">
        <v>1939</v>
      </c>
      <c r="C30" s="450" t="e">
        <f>#REF!</f>
        <v>#REF!</v>
      </c>
    </row>
    <row r="31" spans="2:6">
      <c r="B31" s="1541" t="s">
        <v>1940</v>
      </c>
      <c r="C31" s="1542" t="e">
        <f>#REF!</f>
        <v>#REF!</v>
      </c>
    </row>
    <row r="32" spans="2:6">
      <c r="B32" s="444" t="s">
        <v>1941</v>
      </c>
      <c r="C32" s="450" t="e">
        <f>#REF!</f>
        <v>#REF!</v>
      </c>
    </row>
    <row r="33" spans="2:4">
      <c r="B33" s="444" t="s">
        <v>1942</v>
      </c>
      <c r="C33" s="450" t="e">
        <f>#REF!</f>
        <v>#REF!</v>
      </c>
    </row>
    <row r="34" spans="2:4">
      <c r="B34" s="444" t="s">
        <v>1943</v>
      </c>
      <c r="C34" s="450" t="e">
        <f>#REF!</f>
        <v>#REF!</v>
      </c>
    </row>
    <row r="35" spans="2:4">
      <c r="B35" s="1541" t="s">
        <v>1932</v>
      </c>
      <c r="C35" s="1542" t="e">
        <f>C21</f>
        <v>#NAME?</v>
      </c>
    </row>
    <row r="36" spans="2:4">
      <c r="B36" s="444" t="s">
        <v>1933</v>
      </c>
      <c r="C36" s="445">
        <f>C22</f>
        <v>1.15E-2</v>
      </c>
    </row>
    <row r="37" spans="2:4">
      <c r="B37" s="444" t="s">
        <v>1934</v>
      </c>
      <c r="C37" s="445">
        <f>C23</f>
        <v>0</v>
      </c>
    </row>
    <row r="38" spans="2:4">
      <c r="B38" s="1541" t="s">
        <v>1935</v>
      </c>
      <c r="C38" s="1542" t="e">
        <f>C24</f>
        <v>#REF!</v>
      </c>
    </row>
    <row r="39" spans="2:4">
      <c r="B39" s="444" t="s">
        <v>1944</v>
      </c>
      <c r="C39" s="450" t="e">
        <f>#REF!</f>
        <v>#REF!</v>
      </c>
    </row>
    <row r="40" spans="2:4">
      <c r="B40" s="1543" t="s">
        <v>1945</v>
      </c>
      <c r="C40" s="1544" t="e">
        <f>#REF!</f>
        <v>#REF!</v>
      </c>
    </row>
    <row r="42" spans="2:4" ht="15" customHeight="1"/>
    <row r="43" spans="2:4">
      <c r="B43" s="443"/>
    </row>
    <row r="45" spans="2:4">
      <c r="B45" s="460"/>
      <c r="C45" s="460"/>
      <c r="D45" s="463"/>
    </row>
    <row r="46" spans="2:4">
      <c r="B46" s="461"/>
      <c r="C46" s="461"/>
    </row>
    <row r="47" spans="2:4">
      <c r="B47" s="65"/>
      <c r="C47" s="462"/>
      <c r="D47" s="464"/>
    </row>
    <row r="48" spans="2:4">
      <c r="B48" s="65"/>
      <c r="C48" s="462"/>
      <c r="D48" s="464"/>
    </row>
    <row r="49" spans="2:6">
      <c r="B49" s="65"/>
      <c r="C49" s="462"/>
      <c r="D49" s="464"/>
    </row>
    <row r="50" spans="2:6">
      <c r="B50" s="65"/>
      <c r="C50" s="462"/>
      <c r="D50" s="454"/>
    </row>
    <row r="51" spans="2:6">
      <c r="B51" s="65"/>
      <c r="C51" s="462"/>
      <c r="D51" s="465"/>
      <c r="E51" s="454"/>
    </row>
    <row r="52" spans="2:6">
      <c r="B52" s="65"/>
      <c r="C52" s="462"/>
      <c r="D52" s="465"/>
      <c r="E52" s="455"/>
      <c r="F52" s="456"/>
    </row>
    <row r="53" spans="2:6">
      <c r="B53" s="65"/>
      <c r="C53" s="462"/>
      <c r="D53" s="465"/>
      <c r="E53" s="455"/>
      <c r="F53" s="453"/>
    </row>
    <row r="54" spans="2:6">
      <c r="B54" s="466"/>
      <c r="C54" s="467"/>
      <c r="D54" s="468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1946</v>
      </c>
      <c r="C2" s="439"/>
      <c r="H2" s="440" t="s">
        <v>1947</v>
      </c>
    </row>
    <row r="3" spans="2:17">
      <c r="B3" s="1545" t="s">
        <v>1908</v>
      </c>
      <c r="C3" s="1545" t="s">
        <v>1909</v>
      </c>
      <c r="D3" s="1546" t="s">
        <v>936</v>
      </c>
      <c r="E3" s="1546" t="s">
        <v>1948</v>
      </c>
      <c r="F3" s="1546" t="s">
        <v>1949</v>
      </c>
      <c r="H3" s="440" t="s">
        <v>1950</v>
      </c>
      <c r="M3" s="435" t="s">
        <v>1951</v>
      </c>
      <c r="O3" s="435" t="s">
        <v>1951</v>
      </c>
      <c r="P3" s="435" t="s">
        <v>1951</v>
      </c>
    </row>
    <row r="4" spans="2:17">
      <c r="B4" s="1547" t="s">
        <v>1952</v>
      </c>
      <c r="C4" s="1548" t="e">
        <f>12*C5*(1-$E$13)*1/$E$16</f>
        <v>#DIV/0!</v>
      </c>
      <c r="D4" s="1524" t="s">
        <v>1953</v>
      </c>
      <c r="E4" s="1524"/>
      <c r="F4" s="1524"/>
      <c r="H4" s="1545" t="s">
        <v>1954</v>
      </c>
      <c r="I4" s="1545" t="s">
        <v>1955</v>
      </c>
      <c r="J4" s="1545" t="s">
        <v>1956</v>
      </c>
      <c r="K4" s="1545" t="s">
        <v>1957</v>
      </c>
      <c r="L4" s="1545" t="s">
        <v>1958</v>
      </c>
      <c r="M4" s="1545" t="s">
        <v>977</v>
      </c>
      <c r="N4" s="1545" t="s">
        <v>597</v>
      </c>
      <c r="O4" s="1545" t="s">
        <v>601</v>
      </c>
      <c r="P4" s="1545" t="s">
        <v>599</v>
      </c>
      <c r="Q4" s="1545" t="s">
        <v>602</v>
      </c>
    </row>
    <row r="5" spans="2:17">
      <c r="B5" s="1547" t="s">
        <v>1913</v>
      </c>
      <c r="C5" s="1549"/>
      <c r="D5" s="1524"/>
      <c r="E5" s="1524"/>
      <c r="F5" s="1524" t="s">
        <v>1959</v>
      </c>
      <c r="H5" s="1547" t="s">
        <v>1952</v>
      </c>
      <c r="I5" s="1548" t="e">
        <f t="shared" ref="I5:Q5" si="0">12*I6*(1-$E$13)*1/$E$16</f>
        <v>#DIV/0!</v>
      </c>
      <c r="J5" s="1548" t="e">
        <f t="shared" si="0"/>
        <v>#DIV/0!</v>
      </c>
      <c r="K5" s="1548" t="e">
        <f t="shared" si="0"/>
        <v>#DIV/0!</v>
      </c>
      <c r="L5" s="1548" t="e">
        <f t="shared" si="0"/>
        <v>#DIV/0!</v>
      </c>
      <c r="M5" s="1548" t="e">
        <f t="shared" si="0"/>
        <v>#DIV/0!</v>
      </c>
      <c r="N5" s="1548" t="e">
        <f t="shared" si="0"/>
        <v>#DIV/0!</v>
      </c>
      <c r="O5" s="1548" t="e">
        <f t="shared" si="0"/>
        <v>#DIV/0!</v>
      </c>
      <c r="P5" s="1548" t="e">
        <f t="shared" si="0"/>
        <v>#DIV/0!</v>
      </c>
      <c r="Q5" s="1548" t="e">
        <f t="shared" si="0"/>
        <v>#DIV/0!</v>
      </c>
    </row>
    <row r="6" spans="2:17">
      <c r="B6" s="1547" t="s">
        <v>1960</v>
      </c>
      <c r="C6" s="1550"/>
      <c r="D6" s="1524" t="s">
        <v>1961</v>
      </c>
      <c r="E6" s="1524"/>
      <c r="F6" s="1551"/>
      <c r="H6" s="1547" t="s">
        <v>1913</v>
      </c>
      <c r="I6" s="1552"/>
      <c r="J6" s="1552"/>
      <c r="K6" s="1552"/>
      <c r="L6" s="1552"/>
      <c r="M6" s="1523"/>
      <c r="N6" s="1553"/>
      <c r="O6" s="1523"/>
      <c r="P6" s="1523"/>
      <c r="Q6" s="1523"/>
    </row>
    <row r="7" spans="2:17">
      <c r="B7" s="1547" t="s">
        <v>1962</v>
      </c>
      <c r="C7" s="1550"/>
      <c r="D7" s="1524" t="s">
        <v>1963</v>
      </c>
      <c r="E7" s="1524"/>
      <c r="F7" s="1551"/>
      <c r="H7" s="1547" t="s">
        <v>1960</v>
      </c>
      <c r="I7" s="1860">
        <f>C6</f>
        <v>0</v>
      </c>
      <c r="J7" s="1861"/>
      <c r="K7" s="1861"/>
      <c r="L7" s="1861"/>
      <c r="M7" s="1861"/>
      <c r="N7" s="1861"/>
      <c r="O7" s="1861"/>
      <c r="P7" s="1861"/>
      <c r="Q7" s="1862"/>
    </row>
    <row r="8" spans="2:17">
      <c r="B8" s="1547" t="s">
        <v>1964</v>
      </c>
      <c r="C8" s="1554"/>
      <c r="D8" s="1524" t="s">
        <v>1965</v>
      </c>
      <c r="E8" s="1524" t="s">
        <v>1966</v>
      </c>
      <c r="F8" s="1555"/>
      <c r="G8" s="441"/>
      <c r="H8" s="1547" t="s">
        <v>1964</v>
      </c>
      <c r="I8" s="1863">
        <f>C8</f>
        <v>0</v>
      </c>
      <c r="J8" s="1864"/>
      <c r="K8" s="1864"/>
      <c r="L8" s="1864"/>
      <c r="M8" s="1864"/>
      <c r="N8" s="1864"/>
      <c r="O8" s="1864"/>
      <c r="P8" s="1864"/>
      <c r="Q8" s="1865"/>
    </row>
    <row r="9" spans="2:17">
      <c r="B9" s="1547" t="s">
        <v>1967</v>
      </c>
      <c r="C9" s="1550"/>
      <c r="D9" s="1524" t="s">
        <v>1968</v>
      </c>
      <c r="E9" s="1524"/>
      <c r="F9" s="1555"/>
      <c r="H9" s="1547" t="s">
        <v>1967</v>
      </c>
      <c r="I9" s="1860">
        <f>C9</f>
        <v>0</v>
      </c>
      <c r="J9" s="1861"/>
      <c r="K9" s="1861"/>
      <c r="L9" s="1861"/>
      <c r="M9" s="1861"/>
      <c r="N9" s="1861"/>
      <c r="O9" s="1861"/>
      <c r="P9" s="1861"/>
      <c r="Q9" s="1862"/>
    </row>
    <row r="10" spans="2:17">
      <c r="B10" s="1547" t="s">
        <v>1969</v>
      </c>
      <c r="C10" s="1554"/>
      <c r="D10" s="1524" t="s">
        <v>1970</v>
      </c>
      <c r="E10" s="1524" t="s">
        <v>1971</v>
      </c>
      <c r="F10" s="1555"/>
      <c r="G10" s="441"/>
      <c r="H10" s="1547" t="s">
        <v>1969</v>
      </c>
      <c r="I10" s="1866">
        <f>C10</f>
        <v>0</v>
      </c>
      <c r="J10" s="1867"/>
      <c r="K10" s="1867"/>
      <c r="L10" s="1867"/>
      <c r="M10" s="1867"/>
      <c r="N10" s="1867"/>
      <c r="O10" s="1867"/>
      <c r="P10" s="1867"/>
      <c r="Q10" s="1868"/>
    </row>
    <row r="12" spans="2:17">
      <c r="D12" s="438" t="s">
        <v>1972</v>
      </c>
    </row>
    <row r="13" spans="2:17">
      <c r="D13" s="1520" t="s">
        <v>1973</v>
      </c>
      <c r="E13" s="1556" t="e">
        <f>C10/C8</f>
        <v>#DIV/0!</v>
      </c>
      <c r="H13" s="440" t="s">
        <v>1974</v>
      </c>
      <c r="M13" s="442">
        <v>4.2321999999999997</v>
      </c>
    </row>
    <row r="14" spans="2:17">
      <c r="D14" s="1520" t="s">
        <v>1975</v>
      </c>
      <c r="E14" s="1557" t="e">
        <f>1/C9</f>
        <v>#DIV/0!</v>
      </c>
      <c r="H14" s="440" t="s">
        <v>1976</v>
      </c>
      <c r="M14" s="435">
        <v>1.01916916988504</v>
      </c>
    </row>
    <row r="15" spans="2:17">
      <c r="D15" s="1520" t="s">
        <v>1977</v>
      </c>
      <c r="E15" s="1558">
        <f>ROUND(C6/(1-C7),4)</f>
        <v>0</v>
      </c>
      <c r="H15" s="440" t="s">
        <v>1978</v>
      </c>
      <c r="M15" s="435">
        <f>M13*M14</f>
        <v>4.313327760787466</v>
      </c>
    </row>
    <row r="16" spans="2:17">
      <c r="D16" s="1520" t="s">
        <v>1912</v>
      </c>
      <c r="E16" s="1559" t="e">
        <f>(((1+E15)^E14)*E15)/((1+E15)^E14-1)</f>
        <v>#DIV/0!</v>
      </c>
      <c r="H16" s="440" t="s">
        <v>1979</v>
      </c>
      <c r="M16" s="435">
        <v>0.3</v>
      </c>
    </row>
    <row r="17" spans="2:13">
      <c r="H17" s="440" t="s">
        <v>1980</v>
      </c>
      <c r="M17" s="435">
        <v>0.4</v>
      </c>
    </row>
    <row r="18" spans="2:13">
      <c r="H18" s="440" t="s">
        <v>1981</v>
      </c>
      <c r="M18" s="435">
        <v>0</v>
      </c>
    </row>
    <row r="20" spans="2:13">
      <c r="B20" s="1541" t="s">
        <v>1932</v>
      </c>
      <c r="C20" s="1542" t="e">
        <f>'REN 473'!C21</f>
        <v>#NAME?</v>
      </c>
      <c r="E20" s="443" t="s">
        <v>1982</v>
      </c>
      <c r="F20" s="443"/>
    </row>
    <row r="21" spans="2:13">
      <c r="B21" s="444" t="s">
        <v>1933</v>
      </c>
      <c r="C21" s="445">
        <f>'REN 473'!C22</f>
        <v>1.15E-2</v>
      </c>
      <c r="E21" s="446" t="s">
        <v>855</v>
      </c>
      <c r="F21" s="447" t="s">
        <v>37</v>
      </c>
    </row>
    <row r="22" spans="2:13">
      <c r="B22" s="444" t="s">
        <v>1934</v>
      </c>
      <c r="C22" s="445">
        <f>'REN 473'!C23</f>
        <v>0</v>
      </c>
      <c r="E22" s="448" t="s">
        <v>1983</v>
      </c>
      <c r="F22" s="449"/>
    </row>
    <row r="23" spans="2:13">
      <c r="B23" s="1541" t="s">
        <v>1935</v>
      </c>
      <c r="C23" s="1542" t="e">
        <f>'REN 473'!C24</f>
        <v>#REF!</v>
      </c>
      <c r="E23" s="448" t="s">
        <v>1984</v>
      </c>
      <c r="F23" s="449"/>
    </row>
    <row r="24" spans="2:13">
      <c r="E24" s="448" t="s">
        <v>1985</v>
      </c>
      <c r="F24" s="449"/>
    </row>
    <row r="25" spans="2:13">
      <c r="B25" s="1541" t="s">
        <v>1936</v>
      </c>
      <c r="C25" s="1560"/>
      <c r="E25" s="448" t="s">
        <v>1986</v>
      </c>
      <c r="F25" s="449"/>
    </row>
    <row r="26" spans="2:13">
      <c r="B26" s="444" t="s">
        <v>1937</v>
      </c>
      <c r="C26" s="471"/>
      <c r="E26" s="1561" t="s">
        <v>1987</v>
      </c>
      <c r="F26" s="1562"/>
    </row>
    <row r="27" spans="2:13">
      <c r="B27" s="444" t="s">
        <v>1938</v>
      </c>
      <c r="C27" s="471"/>
      <c r="E27" s="448" t="s">
        <v>1988</v>
      </c>
      <c r="F27" s="451"/>
    </row>
    <row r="28" spans="2:13">
      <c r="B28" s="1543" t="s">
        <v>1939</v>
      </c>
      <c r="C28" s="1563"/>
      <c r="E28" s="1561" t="s">
        <v>1989</v>
      </c>
      <c r="F28" s="1562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1990</v>
      </c>
      <c r="C2" s="9" t="s">
        <v>37</v>
      </c>
    </row>
    <row r="3" spans="2:3">
      <c r="B3" s="64" t="s">
        <v>1991</v>
      </c>
      <c r="C3" t="e">
        <f t="shared" ref="C3:C66" ca="1" si="0">INDIRECT(B3)</f>
        <v>#REF!</v>
      </c>
    </row>
    <row r="4" spans="2:3">
      <c r="B4" s="64" t="s">
        <v>1992</v>
      </c>
      <c r="C4" t="e">
        <f t="shared" ca="1" si="0"/>
        <v>#REF!</v>
      </c>
    </row>
    <row r="5" spans="2:3">
      <c r="B5" s="64" t="s">
        <v>1993</v>
      </c>
      <c r="C5" t="e">
        <f t="shared" ca="1" si="0"/>
        <v>#REF!</v>
      </c>
    </row>
    <row r="6" spans="2:3">
      <c r="B6" s="64" t="s">
        <v>1994</v>
      </c>
      <c r="C6" t="e">
        <f t="shared" ca="1" si="0"/>
        <v>#REF!</v>
      </c>
    </row>
    <row r="7" spans="2:3">
      <c r="B7" s="64" t="s">
        <v>1995</v>
      </c>
      <c r="C7" t="e">
        <f t="shared" ca="1" si="0"/>
        <v>#REF!</v>
      </c>
    </row>
    <row r="8" spans="2:3">
      <c r="B8" s="64" t="s">
        <v>1996</v>
      </c>
      <c r="C8" t="e">
        <f t="shared" ca="1" si="0"/>
        <v>#REF!</v>
      </c>
    </row>
    <row r="9" spans="2:3">
      <c r="B9" s="64" t="s">
        <v>1997</v>
      </c>
      <c r="C9" t="e">
        <f t="shared" ca="1" si="0"/>
        <v>#REF!</v>
      </c>
    </row>
    <row r="10" spans="2:3">
      <c r="B10" s="64" t="s">
        <v>1998</v>
      </c>
      <c r="C10" t="e">
        <f t="shared" ca="1" si="0"/>
        <v>#REF!</v>
      </c>
    </row>
    <row r="11" spans="2:3">
      <c r="B11" s="64" t="s">
        <v>1999</v>
      </c>
      <c r="C11" t="e">
        <f t="shared" ca="1" si="0"/>
        <v>#REF!</v>
      </c>
    </row>
    <row r="12" spans="2:3">
      <c r="B12" s="63" t="s">
        <v>2000</v>
      </c>
      <c r="C12" t="e">
        <f t="shared" ca="1" si="0"/>
        <v>#REF!</v>
      </c>
    </row>
    <row r="13" spans="2:3">
      <c r="B13" s="63" t="s">
        <v>2001</v>
      </c>
      <c r="C13" t="e">
        <f t="shared" ca="1" si="0"/>
        <v>#REF!</v>
      </c>
    </row>
    <row r="14" spans="2:3">
      <c r="B14" s="63" t="s">
        <v>2002</v>
      </c>
      <c r="C14">
        <f t="shared" ca="1" si="0"/>
        <v>2022</v>
      </c>
    </row>
    <row r="15" spans="2:3">
      <c r="B15" s="63" t="s">
        <v>2003</v>
      </c>
      <c r="C15">
        <f t="shared" ca="1" si="0"/>
        <v>2022</v>
      </c>
    </row>
    <row r="16" spans="2:3">
      <c r="B16" s="63" t="s">
        <v>2004</v>
      </c>
      <c r="C16">
        <f t="shared" ca="1" si="0"/>
        <v>44772</v>
      </c>
    </row>
    <row r="17" spans="2:3">
      <c r="B17" s="63" t="s">
        <v>2005</v>
      </c>
      <c r="C17">
        <f t="shared" ca="1" si="0"/>
        <v>395242.39399999974</v>
      </c>
    </row>
    <row r="18" spans="2:3">
      <c r="B18" s="63" t="s">
        <v>2006</v>
      </c>
      <c r="C18">
        <f t="shared" ca="1" si="0"/>
        <v>0</v>
      </c>
    </row>
    <row r="19" spans="2:3">
      <c r="B19" s="63" t="s">
        <v>2007</v>
      </c>
      <c r="C19">
        <f t="shared" ca="1" si="0"/>
        <v>275195.12799999968</v>
      </c>
    </row>
    <row r="20" spans="2:3">
      <c r="B20" s="63" t="s">
        <v>2008</v>
      </c>
      <c r="C20" t="e">
        <f t="shared" ca="1" si="0"/>
        <v>#VALUE!</v>
      </c>
    </row>
    <row r="21" spans="2:3">
      <c r="B21" s="63" t="s">
        <v>2009</v>
      </c>
      <c r="C21">
        <f t="shared" ca="1" si="0"/>
        <v>7371</v>
      </c>
    </row>
    <row r="22" spans="2:3">
      <c r="B22" s="63" t="s">
        <v>1146</v>
      </c>
      <c r="C22">
        <f t="shared" ca="1" si="0"/>
        <v>240</v>
      </c>
    </row>
    <row r="23" spans="2:3">
      <c r="B23" s="63" t="s">
        <v>2010</v>
      </c>
      <c r="C23">
        <f t="shared" ca="1" si="0"/>
        <v>4.7340786396659E-2</v>
      </c>
    </row>
    <row r="24" spans="2:3">
      <c r="B24" s="63" t="s">
        <v>2011</v>
      </c>
      <c r="C24" t="e">
        <f t="shared" ca="1" si="0"/>
        <v>#REF!</v>
      </c>
    </row>
    <row r="25" spans="2:3">
      <c r="B25" s="63" t="s">
        <v>2012</v>
      </c>
      <c r="C25">
        <f t="shared" ca="1" si="0"/>
        <v>42518.079000000012</v>
      </c>
    </row>
    <row r="26" spans="2:3">
      <c r="B26" s="63" t="s">
        <v>2013</v>
      </c>
      <c r="C26">
        <f t="shared" ca="1" si="0"/>
        <v>0</v>
      </c>
    </row>
    <row r="27" spans="2:3">
      <c r="B27" s="63" t="s">
        <v>2014</v>
      </c>
      <c r="C27" t="e">
        <f t="shared" ca="1" si="0"/>
        <v>#REF!</v>
      </c>
    </row>
    <row r="28" spans="2:3">
      <c r="B28" s="63" t="s">
        <v>2015</v>
      </c>
      <c r="C28" t="e">
        <f t="shared" ca="1" si="0"/>
        <v>#REF!</v>
      </c>
    </row>
    <row r="29" spans="2:3">
      <c r="B29" s="63" t="s">
        <v>2016</v>
      </c>
      <c r="C29">
        <f t="shared" ca="1" si="0"/>
        <v>1146889.5423490694</v>
      </c>
    </row>
    <row r="30" spans="2:3">
      <c r="B30" s="63" t="s">
        <v>2017</v>
      </c>
      <c r="C30">
        <f t="shared" ca="1" si="0"/>
        <v>71686</v>
      </c>
    </row>
    <row r="31" spans="2:3">
      <c r="B31" s="63" t="s">
        <v>2018</v>
      </c>
      <c r="C31">
        <f t="shared" ca="1" si="0"/>
        <v>44772</v>
      </c>
    </row>
    <row r="32" spans="2:3">
      <c r="B32" s="63" t="s">
        <v>2019</v>
      </c>
      <c r="C32" t="e">
        <f t="shared" ca="1" si="0"/>
        <v>#REF!</v>
      </c>
    </row>
    <row r="33" spans="2:3">
      <c r="B33" s="63" t="s">
        <v>2020</v>
      </c>
      <c r="C33">
        <f t="shared" ca="1" si="0"/>
        <v>0.25044497017570955</v>
      </c>
    </row>
    <row r="34" spans="2:3">
      <c r="B34" s="63" t="s">
        <v>2021</v>
      </c>
      <c r="C34" t="e">
        <f t="shared" ca="1" si="0"/>
        <v>#REF!</v>
      </c>
    </row>
    <row r="35" spans="2:3">
      <c r="B35" s="63" t="s">
        <v>2022</v>
      </c>
      <c r="C35">
        <f t="shared" ca="1" si="0"/>
        <v>-36242.696487839901</v>
      </c>
    </row>
    <row r="36" spans="2:3">
      <c r="B36" s="63" t="s">
        <v>2023</v>
      </c>
      <c r="C36" t="e">
        <f t="shared" ca="1" si="0"/>
        <v>#REF!</v>
      </c>
    </row>
    <row r="37" spans="2:3">
      <c r="B37" s="63" t="s">
        <v>2024</v>
      </c>
      <c r="C37" t="e">
        <f t="shared" ca="1" si="0"/>
        <v>#REF!</v>
      </c>
    </row>
    <row r="38" spans="2:3">
      <c r="B38" s="64" t="s">
        <v>2025</v>
      </c>
      <c r="C38" t="e">
        <f t="shared" ca="1" si="0"/>
        <v>#REF!</v>
      </c>
    </row>
    <row r="39" spans="2:3">
      <c r="B39" s="63" t="s">
        <v>2026</v>
      </c>
      <c r="C39" t="e">
        <f t="shared" ca="1" si="0"/>
        <v>#REF!</v>
      </c>
    </row>
    <row r="40" spans="2:3">
      <c r="B40" s="63" t="s">
        <v>2027</v>
      </c>
      <c r="C40" t="e">
        <f t="shared" ca="1" si="0"/>
        <v>#REF!</v>
      </c>
    </row>
    <row r="41" spans="2:3">
      <c r="B41" s="63" t="s">
        <v>2028</v>
      </c>
      <c r="C41">
        <f t="shared" ca="1" si="0"/>
        <v>0.15841300794861213</v>
      </c>
    </row>
    <row r="42" spans="2:3">
      <c r="B42" s="63" t="s">
        <v>2029</v>
      </c>
      <c r="C42">
        <f t="shared" ca="1" si="0"/>
        <v>0.13979568405964571</v>
      </c>
    </row>
    <row r="43" spans="2:3">
      <c r="B43" s="63" t="s">
        <v>2030</v>
      </c>
      <c r="C43">
        <f t="shared" ca="1" si="0"/>
        <v>0.16697603700267138</v>
      </c>
    </row>
    <row r="44" spans="2:3">
      <c r="B44" s="63" t="s">
        <v>2031</v>
      </c>
      <c r="C44" t="e">
        <f t="shared" ca="1" si="0"/>
        <v>#REF!</v>
      </c>
    </row>
    <row r="45" spans="2:3">
      <c r="B45" s="63" t="s">
        <v>2032</v>
      </c>
      <c r="C45" t="e">
        <f t="shared" ca="1" si="0"/>
        <v>#REF!</v>
      </c>
    </row>
    <row r="46" spans="2:3">
      <c r="B46" s="63" t="s">
        <v>2033</v>
      </c>
      <c r="C46" t="e">
        <f t="shared" ca="1" si="0"/>
        <v>#REF!</v>
      </c>
    </row>
    <row r="47" spans="2:3">
      <c r="B47" s="63" t="s">
        <v>2034</v>
      </c>
      <c r="C47">
        <f t="shared" ca="1" si="0"/>
        <v>0.15841300794861213</v>
      </c>
    </row>
    <row r="48" spans="2:3">
      <c r="B48" s="63" t="s">
        <v>2035</v>
      </c>
      <c r="C48">
        <f t="shared" ca="1" si="0"/>
        <v>69982352.887938946</v>
      </c>
    </row>
    <row r="49" spans="2:3">
      <c r="B49" s="63" t="s">
        <v>2036</v>
      </c>
      <c r="C49">
        <f t="shared" ca="1" si="0"/>
        <v>448090.0275398728</v>
      </c>
    </row>
    <row r="50" spans="2:3">
      <c r="B50" s="63" t="s">
        <v>2037</v>
      </c>
      <c r="C50">
        <f t="shared" ca="1" si="0"/>
        <v>8.2400000000000001E-2</v>
      </c>
    </row>
    <row r="51" spans="2:3">
      <c r="B51" s="63" t="s">
        <v>2038</v>
      </c>
      <c r="C51">
        <f t="shared" ca="1" si="0"/>
        <v>395242.39399999974</v>
      </c>
    </row>
    <row r="52" spans="2:3">
      <c r="B52" s="63" t="s">
        <v>2039</v>
      </c>
      <c r="C52">
        <f t="shared" ca="1" si="0"/>
        <v>395242.39399999974</v>
      </c>
    </row>
    <row r="53" spans="2:3">
      <c r="B53" s="63" t="s">
        <v>2040</v>
      </c>
      <c r="C53">
        <f t="shared" ca="1" si="0"/>
        <v>0</v>
      </c>
    </row>
    <row r="54" spans="2:3">
      <c r="B54" s="63" t="s">
        <v>2041</v>
      </c>
      <c r="C54">
        <f t="shared" ca="1" si="0"/>
        <v>0.33412486103177574</v>
      </c>
    </row>
    <row r="55" spans="2:3">
      <c r="B55" s="63" t="s">
        <v>2042</v>
      </c>
      <c r="C55">
        <f t="shared" ca="1" si="0"/>
        <v>0</v>
      </c>
    </row>
    <row r="56" spans="2:3">
      <c r="B56" s="63" t="s">
        <v>2043</v>
      </c>
      <c r="C56">
        <f t="shared" ca="1" si="0"/>
        <v>20249.868736240525</v>
      </c>
    </row>
    <row r="57" spans="2:3">
      <c r="B57" s="63" t="s">
        <v>2044</v>
      </c>
      <c r="C57">
        <f t="shared" ca="1" si="0"/>
        <v>0.24349817755939715</v>
      </c>
    </row>
    <row r="58" spans="2:3">
      <c r="B58" s="63" t="s">
        <v>2045</v>
      </c>
      <c r="C58">
        <f t="shared" ca="1" si="0"/>
        <v>0.11886869625198027</v>
      </c>
    </row>
    <row r="59" spans="2:3">
      <c r="B59" s="63" t="s">
        <v>2046</v>
      </c>
      <c r="C59">
        <f t="shared" ca="1" si="0"/>
        <v>0.11886869625198027</v>
      </c>
    </row>
    <row r="60" spans="2:3">
      <c r="B60" s="63" t="s">
        <v>2047</v>
      </c>
      <c r="C60" t="e">
        <f t="shared" ca="1" si="0"/>
        <v>#REF!</v>
      </c>
    </row>
    <row r="61" spans="2:3">
      <c r="B61" s="63" t="s">
        <v>2048</v>
      </c>
      <c r="C61">
        <f t="shared" ca="1" si="0"/>
        <v>2.2037043211425309E-3</v>
      </c>
    </row>
    <row r="62" spans="2:3">
      <c r="B62" s="63" t="s">
        <v>2049</v>
      </c>
      <c r="C62">
        <f t="shared" ca="1" si="0"/>
        <v>0.14499999999999999</v>
      </c>
    </row>
    <row r="63" spans="2:3">
      <c r="B63" s="63" t="s">
        <v>2050</v>
      </c>
      <c r="C63">
        <f t="shared" ca="1" si="0"/>
        <v>7.8697976035363632E-2</v>
      </c>
    </row>
    <row r="64" spans="2:3">
      <c r="B64" s="63" t="s">
        <v>2051</v>
      </c>
      <c r="C64" t="e">
        <f t="shared" ca="1" si="0"/>
        <v>#REF!</v>
      </c>
    </row>
    <row r="65" spans="2:3">
      <c r="B65" s="63" t="s">
        <v>2052</v>
      </c>
      <c r="C65">
        <f t="shared" ca="1" si="0"/>
        <v>0.10213110937250533</v>
      </c>
    </row>
    <row r="66" spans="2:3">
      <c r="B66" s="63" t="s">
        <v>2053</v>
      </c>
      <c r="C66">
        <f t="shared" ca="1" si="0"/>
        <v>4.291226802497565E-2</v>
      </c>
    </row>
    <row r="67" spans="2:3">
      <c r="B67" s="63" t="s">
        <v>2054</v>
      </c>
      <c r="C67">
        <f t="shared" ref="C67:C130" ca="1" si="1">INDIRECT(B67)</f>
        <v>2.1229429015999255E-2</v>
      </c>
    </row>
    <row r="68" spans="2:3">
      <c r="B68" s="63" t="s">
        <v>2055</v>
      </c>
      <c r="C68">
        <f t="shared" ca="1" si="1"/>
        <v>7.5999999999999998E-2</v>
      </c>
    </row>
    <row r="69" spans="2:3">
      <c r="B69" s="63" t="s">
        <v>2056</v>
      </c>
      <c r="C69">
        <f t="shared" ca="1" si="1"/>
        <v>34384.886719416289</v>
      </c>
    </row>
    <row r="70" spans="2:3">
      <c r="B70" s="63" t="s">
        <v>2057</v>
      </c>
      <c r="C70" t="str">
        <f t="shared" ca="1" si="1"/>
        <v>Cooperativa de Distribuição de Energia Teutônia</v>
      </c>
    </row>
    <row r="71" spans="2:3">
      <c r="B71" s="63" t="s">
        <v>2058</v>
      </c>
      <c r="C71" t="e">
        <f t="shared" ca="1" si="1"/>
        <v>#REF!</v>
      </c>
    </row>
    <row r="72" spans="2:3">
      <c r="B72" s="63" t="s">
        <v>2059</v>
      </c>
      <c r="C72" t="str">
        <f t="shared" ca="1" si="1"/>
        <v>33/2010</v>
      </c>
    </row>
    <row r="73" spans="2:3">
      <c r="B73" s="63" t="s">
        <v>2060</v>
      </c>
      <c r="C73" t="str">
        <f t="shared" ca="1" si="1"/>
        <v xml:space="preserve"> 48500.004968/2021-33</v>
      </c>
    </row>
    <row r="74" spans="2:3">
      <c r="B74" s="63" t="s">
        <v>2061</v>
      </c>
      <c r="C74">
        <f t="shared" ca="1" si="1"/>
        <v>0.5912728272430704</v>
      </c>
    </row>
    <row r="75" spans="2:3">
      <c r="B75" s="63" t="s">
        <v>2062</v>
      </c>
      <c r="C75">
        <f t="shared" ca="1" si="1"/>
        <v>0.4087271727569296</v>
      </c>
    </row>
    <row r="76" spans="2:3">
      <c r="B76" s="63" t="s">
        <v>2063</v>
      </c>
      <c r="C76">
        <f t="shared" ca="1" si="1"/>
        <v>0.12219704420697848</v>
      </c>
    </row>
    <row r="77" spans="2:3">
      <c r="B77" s="63" t="s">
        <v>2064</v>
      </c>
      <c r="C77">
        <f t="shared" ca="1" si="1"/>
        <v>6.9467926163124171E-3</v>
      </c>
    </row>
    <row r="78" spans="2:3">
      <c r="B78" s="63" t="s">
        <v>2065</v>
      </c>
      <c r="C78">
        <f t="shared" ca="1" si="1"/>
        <v>52847.633539873044</v>
      </c>
    </row>
    <row r="79" spans="2:3">
      <c r="B79" s="63" t="s">
        <v>2066</v>
      </c>
      <c r="C79">
        <f t="shared" ca="1" si="1"/>
        <v>8.6099999999999996E-2</v>
      </c>
    </row>
    <row r="80" spans="2:3">
      <c r="B80" s="63" t="s">
        <v>2067</v>
      </c>
      <c r="C80">
        <f t="shared" ca="1" si="1"/>
        <v>3591606.678375944</v>
      </c>
    </row>
    <row r="81" spans="2:3">
      <c r="B81" s="63" t="s">
        <v>2068</v>
      </c>
      <c r="C81">
        <f t="shared" ca="1" si="1"/>
        <v>3591606.678375944</v>
      </c>
    </row>
    <row r="82" spans="2:3">
      <c r="B82" s="64" t="s">
        <v>2069</v>
      </c>
      <c r="C82">
        <f t="shared" ca="1" si="1"/>
        <v>7485.8213413858921</v>
      </c>
    </row>
    <row r="83" spans="2:3">
      <c r="B83" s="63" t="s">
        <v>2070</v>
      </c>
      <c r="C83">
        <f t="shared" ca="1" si="1"/>
        <v>211021808.17335004</v>
      </c>
    </row>
    <row r="84" spans="2:3">
      <c r="B84" s="63" t="s">
        <v>2071</v>
      </c>
      <c r="C84">
        <f t="shared" ca="1" si="1"/>
        <v>3724908.0816122931</v>
      </c>
    </row>
    <row r="85" spans="2:3">
      <c r="B85" s="63" t="s">
        <v>2072</v>
      </c>
      <c r="C85">
        <f t="shared" ca="1" si="1"/>
        <v>17033280</v>
      </c>
    </row>
    <row r="86" spans="2:3">
      <c r="B86" s="63" t="s">
        <v>2073</v>
      </c>
      <c r="C86" t="str">
        <f t="shared" ca="1" si="1"/>
        <v>julho de 2021 a junho de 2022</v>
      </c>
    </row>
    <row r="87" spans="2:3">
      <c r="B87" s="63" t="s">
        <v>2074</v>
      </c>
      <c r="C87">
        <f t="shared" ca="1" si="1"/>
        <v>190.52043908800366</v>
      </c>
    </row>
    <row r="88" spans="2:3">
      <c r="B88" s="63" t="s">
        <v>2075</v>
      </c>
      <c r="C88" t="str">
        <f t="shared" ca="1" si="1"/>
        <v>Certel</v>
      </c>
    </row>
    <row r="89" spans="2:3">
      <c r="B89" s="63" t="s">
        <v>2076</v>
      </c>
      <c r="C89">
        <f t="shared" ca="1" si="1"/>
        <v>-17782212.48699066</v>
      </c>
    </row>
    <row r="90" spans="2:3">
      <c r="B90" s="63" t="s">
        <v>2077</v>
      </c>
      <c r="C90" t="e">
        <f t="shared" ca="1" si="1"/>
        <v>#REF!</v>
      </c>
    </row>
    <row r="91" spans="2:3">
      <c r="B91" s="64" t="s">
        <v>2078</v>
      </c>
      <c r="C91">
        <f t="shared" ca="1" si="1"/>
        <v>1157274.8109167996</v>
      </c>
    </row>
    <row r="92" spans="2:3">
      <c r="B92" s="64" t="s">
        <v>2079</v>
      </c>
      <c r="C92">
        <f t="shared" ca="1" si="1"/>
        <v>6.7000000000000002E-3</v>
      </c>
    </row>
    <row r="93" spans="2:3">
      <c r="B93" s="64" t="s">
        <v>2080</v>
      </c>
      <c r="C93">
        <f t="shared" ca="1" si="1"/>
        <v>0.44950000000000001</v>
      </c>
    </row>
    <row r="94" spans="2:3">
      <c r="B94" s="64" t="s">
        <v>2081</v>
      </c>
      <c r="C94">
        <f t="shared" ca="1" si="1"/>
        <v>0.30149999999999999</v>
      </c>
    </row>
    <row r="95" spans="2:3">
      <c r="B95" s="64" t="s">
        <v>2082</v>
      </c>
      <c r="C95" t="e">
        <f t="shared" ca="1" si="1"/>
        <v>#VALUE!</v>
      </c>
    </row>
    <row r="96" spans="2:3">
      <c r="B96" s="64" t="s">
        <v>2083</v>
      </c>
      <c r="C96" t="e">
        <f t="shared" ca="1" si="1"/>
        <v>#VALUE!</v>
      </c>
    </row>
    <row r="97" spans="2:3">
      <c r="B97" s="64" t="s">
        <v>2084</v>
      </c>
      <c r="C97" t="e">
        <f t="shared" ca="1" si="1"/>
        <v>#VALUE!</v>
      </c>
    </row>
    <row r="98" spans="2:3">
      <c r="B98" s="64" t="s">
        <v>2085</v>
      </c>
      <c r="C98" t="e">
        <f t="shared" ca="1" si="1"/>
        <v>#VALUE!</v>
      </c>
    </row>
    <row r="99" spans="2:3">
      <c r="B99" s="63" t="s">
        <v>2086</v>
      </c>
      <c r="C99" t="e">
        <f t="shared" ca="1" si="1"/>
        <v>#VALUE!</v>
      </c>
    </row>
    <row r="100" spans="2:3">
      <c r="B100" s="64" t="s">
        <v>2087</v>
      </c>
      <c r="C100" t="e">
        <f t="shared" ca="1" si="1"/>
        <v>#VALUE!</v>
      </c>
    </row>
    <row r="101" spans="2:3">
      <c r="B101" s="63" t="s">
        <v>2088</v>
      </c>
      <c r="C101" t="e">
        <f t="shared" ca="1" si="1"/>
        <v>#VALUE!</v>
      </c>
    </row>
    <row r="102" spans="2:3">
      <c r="B102" s="63" t="s">
        <v>2089</v>
      </c>
      <c r="C102" t="e">
        <f t="shared" ca="1" si="1"/>
        <v>#VALUE!</v>
      </c>
    </row>
    <row r="103" spans="2:3">
      <c r="B103" s="63" t="s">
        <v>2090</v>
      </c>
      <c r="C103" t="e">
        <f t="shared" ca="1" si="1"/>
        <v>#VALUE!</v>
      </c>
    </row>
    <row r="104" spans="2:3">
      <c r="B104" s="63" t="s">
        <v>2091</v>
      </c>
      <c r="C104" t="e">
        <f t="shared" ca="1" si="1"/>
        <v>#VALUE!</v>
      </c>
    </row>
    <row r="105" spans="2:3">
      <c r="B105" s="63" t="s">
        <v>2092</v>
      </c>
      <c r="C105" t="e">
        <f t="shared" ca="1" si="1"/>
        <v>#VALUE!</v>
      </c>
    </row>
    <row r="106" spans="2:3">
      <c r="B106" s="63" t="s">
        <v>2093</v>
      </c>
      <c r="C106" t="e">
        <f t="shared" ca="1" si="1"/>
        <v>#VALUE!</v>
      </c>
    </row>
    <row r="107" spans="2:3">
      <c r="B107" s="63" t="s">
        <v>2094</v>
      </c>
      <c r="C107" t="e">
        <f t="shared" ca="1" si="1"/>
        <v>#VALUE!</v>
      </c>
    </row>
    <row r="108" spans="2:3">
      <c r="B108" s="63" t="s">
        <v>2095</v>
      </c>
      <c r="C108" t="e">
        <f t="shared" ca="1" si="1"/>
        <v>#REF!</v>
      </c>
    </row>
    <row r="109" spans="2:3">
      <c r="B109" s="63" t="s">
        <v>2096</v>
      </c>
      <c r="C109" t="e">
        <f t="shared" ca="1" si="1"/>
        <v>#REF!</v>
      </c>
    </row>
    <row r="110" spans="2:3">
      <c r="B110" s="63" t="s">
        <v>2097</v>
      </c>
      <c r="C110" t="e">
        <f t="shared" ca="1" si="1"/>
        <v>#REF!</v>
      </c>
    </row>
    <row r="111" spans="2:3">
      <c r="B111" s="63" t="s">
        <v>2098</v>
      </c>
      <c r="C111" t="e">
        <f t="shared" ca="1" si="1"/>
        <v>#REF!</v>
      </c>
    </row>
    <row r="112" spans="2:3">
      <c r="B112" s="63" t="s">
        <v>2099</v>
      </c>
      <c r="C112" t="e">
        <f t="shared" ca="1" si="1"/>
        <v>#REF!</v>
      </c>
    </row>
    <row r="113" spans="2:3">
      <c r="B113" s="63" t="s">
        <v>2100</v>
      </c>
      <c r="C113" t="e">
        <f t="shared" ca="1" si="1"/>
        <v>#REF!</v>
      </c>
    </row>
    <row r="114" spans="2:3">
      <c r="B114" s="63" t="s">
        <v>2101</v>
      </c>
      <c r="C114" t="e">
        <f t="shared" ca="1" si="1"/>
        <v>#REF!</v>
      </c>
    </row>
    <row r="115" spans="2:3">
      <c r="B115" s="63" t="s">
        <v>2102</v>
      </c>
      <c r="C115">
        <f t="shared" ca="1" si="1"/>
        <v>0</v>
      </c>
    </row>
    <row r="116" spans="2:3">
      <c r="B116" s="64" t="s">
        <v>2103</v>
      </c>
      <c r="C116">
        <f t="shared" ca="1" si="1"/>
        <v>24941264.727890957</v>
      </c>
    </row>
    <row r="117" spans="2:3">
      <c r="B117" s="63" t="s">
        <v>2104</v>
      </c>
      <c r="C117">
        <f t="shared" ca="1" si="1"/>
        <v>0</v>
      </c>
    </row>
    <row r="118" spans="2:3">
      <c r="B118" s="63" t="s">
        <v>2105</v>
      </c>
      <c r="C118">
        <f t="shared" ca="1" si="1"/>
        <v>0</v>
      </c>
    </row>
    <row r="119" spans="2:3">
      <c r="B119" s="64" t="s">
        <v>2106</v>
      </c>
      <c r="C119">
        <f t="shared" ca="1" si="1"/>
        <v>0</v>
      </c>
    </row>
    <row r="120" spans="2:3">
      <c r="B120" s="63" t="s">
        <v>2107</v>
      </c>
      <c r="C120">
        <f t="shared" ca="1" si="1"/>
        <v>1124321.8870068607</v>
      </c>
    </row>
    <row r="121" spans="2:3">
      <c r="B121" s="63" t="s">
        <v>2108</v>
      </c>
      <c r="C121">
        <f t="shared" ca="1" si="1"/>
        <v>0</v>
      </c>
    </row>
    <row r="122" spans="2:3">
      <c r="B122" s="64" t="s">
        <v>2109</v>
      </c>
      <c r="C122">
        <f t="shared" ca="1" si="1"/>
        <v>0</v>
      </c>
    </row>
    <row r="123" spans="2:3">
      <c r="B123" s="63" t="s">
        <v>2110</v>
      </c>
      <c r="C123">
        <f t="shared" ca="1" si="1"/>
        <v>0</v>
      </c>
    </row>
    <row r="124" spans="2:3">
      <c r="B124" s="63" t="s">
        <v>2111</v>
      </c>
      <c r="C124">
        <f t="shared" ca="1" si="1"/>
        <v>0</v>
      </c>
    </row>
    <row r="125" spans="2:3">
      <c r="B125" s="64" t="s">
        <v>2112</v>
      </c>
      <c r="C125">
        <f t="shared" ca="1" si="1"/>
        <v>0</v>
      </c>
    </row>
    <row r="126" spans="2:3">
      <c r="B126" s="63" t="s">
        <v>2113</v>
      </c>
      <c r="C126">
        <f t="shared" ca="1" si="1"/>
        <v>4054505.8046815027</v>
      </c>
    </row>
    <row r="127" spans="2:3">
      <c r="B127" s="63" t="s">
        <v>2114</v>
      </c>
      <c r="C127">
        <f t="shared" ca="1" si="1"/>
        <v>0</v>
      </c>
    </row>
    <row r="128" spans="2:3">
      <c r="B128" s="64" t="s">
        <v>2115</v>
      </c>
      <c r="C128">
        <f t="shared" ca="1" si="1"/>
        <v>452302.20791855728</v>
      </c>
    </row>
    <row r="129" spans="2:3">
      <c r="B129" s="63" t="s">
        <v>2116</v>
      </c>
      <c r="C129">
        <f t="shared" ca="1" si="1"/>
        <v>437760.47299999977</v>
      </c>
    </row>
    <row r="130" spans="2:3">
      <c r="B130" s="63" t="s">
        <v>2117</v>
      </c>
      <c r="C130">
        <f t="shared" ca="1" si="1"/>
        <v>211021808.17335004</v>
      </c>
    </row>
    <row r="131" spans="2:3">
      <c r="B131" s="64" t="s">
        <v>2118</v>
      </c>
      <c r="C131" t="str">
        <f t="shared" ref="C131:C194" ca="1" si="2">INDIRECT(B131)</f>
        <v>Convencional</v>
      </c>
    </row>
    <row r="132" spans="2:3">
      <c r="B132" s="63" t="s">
        <v>2119</v>
      </c>
      <c r="C132" t="e">
        <f t="shared" ca="1" si="2"/>
        <v>#VALUE!</v>
      </c>
    </row>
    <row r="133" spans="2:3">
      <c r="B133" s="64" t="s">
        <v>2120</v>
      </c>
      <c r="C133" t="e">
        <f t="shared" ca="1" si="2"/>
        <v>#REF!</v>
      </c>
    </row>
    <row r="134" spans="2:3">
      <c r="B134" s="63" t="s">
        <v>2121</v>
      </c>
      <c r="C134" t="e">
        <f t="shared" ca="1" si="2"/>
        <v>#REF!</v>
      </c>
    </row>
    <row r="135" spans="2:3">
      <c r="B135" s="63" t="s">
        <v>2122</v>
      </c>
      <c r="C135">
        <f t="shared" ca="1" si="2"/>
        <v>44713</v>
      </c>
    </row>
    <row r="136" spans="2:3">
      <c r="B136" s="63" t="s">
        <v>2123</v>
      </c>
      <c r="C136">
        <f t="shared" ca="1" si="2"/>
        <v>44378</v>
      </c>
    </row>
    <row r="137" spans="2:3">
      <c r="B137" s="63" t="s">
        <v>2124</v>
      </c>
      <c r="C137" t="e">
        <f t="shared" ca="1" si="2"/>
        <v>#REF!</v>
      </c>
    </row>
    <row r="138" spans="2:3">
      <c r="B138" s="63" t="s">
        <v>2125</v>
      </c>
      <c r="C138" t="e">
        <f t="shared" ca="1" si="2"/>
        <v>#REF!</v>
      </c>
    </row>
    <row r="139" spans="2:3">
      <c r="B139" s="63" t="s">
        <v>2126</v>
      </c>
      <c r="C139" t="e">
        <f t="shared" ca="1" si="2"/>
        <v>#REF!</v>
      </c>
    </row>
    <row r="140" spans="2:3">
      <c r="B140" s="63" t="s">
        <v>2127</v>
      </c>
      <c r="C140">
        <f t="shared" ca="1" si="2"/>
        <v>0</v>
      </c>
    </row>
    <row r="141" spans="2:3">
      <c r="B141" s="63" t="s">
        <v>2128</v>
      </c>
      <c r="C141" t="e">
        <f t="shared" ca="1" si="2"/>
        <v>#VALUE!</v>
      </c>
    </row>
    <row r="142" spans="2:3">
      <c r="B142" s="63" t="s">
        <v>2129</v>
      </c>
      <c r="C142" t="e">
        <f t="shared" ca="1" si="2"/>
        <v>#VALUE!</v>
      </c>
    </row>
    <row r="143" spans="2:3">
      <c r="B143" s="63" t="s">
        <v>2130</v>
      </c>
      <c r="C143" t="e">
        <f t="shared" ca="1" si="2"/>
        <v>#VALUE!</v>
      </c>
    </row>
    <row r="144" spans="2:3">
      <c r="B144" s="63" t="s">
        <v>2131</v>
      </c>
      <c r="C144" t="e">
        <f t="shared" ca="1" si="2"/>
        <v>#VALUE!</v>
      </c>
    </row>
    <row r="145" spans="2:3">
      <c r="B145" s="63" t="s">
        <v>2132</v>
      </c>
      <c r="C145" t="e">
        <f t="shared" ca="1" si="2"/>
        <v>#VALUE!</v>
      </c>
    </row>
    <row r="146" spans="2:3">
      <c r="B146" s="64" t="s">
        <v>2133</v>
      </c>
      <c r="C146" t="e">
        <f t="shared" ca="1" si="2"/>
        <v>#REF!</v>
      </c>
    </row>
    <row r="147" spans="2:3">
      <c r="B147" s="64" t="s">
        <v>2134</v>
      </c>
      <c r="C147" t="e">
        <f t="shared" ca="1" si="2"/>
        <v>#REF!</v>
      </c>
    </row>
    <row r="148" spans="2:3">
      <c r="B148" s="64" t="s">
        <v>2135</v>
      </c>
      <c r="C148" t="e">
        <f t="shared" ca="1" si="2"/>
        <v>#REF!</v>
      </c>
    </row>
    <row r="149" spans="2:3">
      <c r="B149" s="64" t="s">
        <v>2136</v>
      </c>
      <c r="C149" t="e">
        <f t="shared" ca="1" si="2"/>
        <v>#REF!</v>
      </c>
    </row>
    <row r="150" spans="2:3">
      <c r="B150" s="64" t="s">
        <v>2137</v>
      </c>
      <c r="C150" t="e">
        <f t="shared" ca="1" si="2"/>
        <v>#REF!</v>
      </c>
    </row>
    <row r="151" spans="2:3">
      <c r="B151" s="64" t="s">
        <v>2138</v>
      </c>
      <c r="C151" t="e">
        <f t="shared" ca="1" si="2"/>
        <v>#REF!</v>
      </c>
    </row>
    <row r="152" spans="2:3">
      <c r="B152" s="64" t="s">
        <v>2139</v>
      </c>
      <c r="C152" t="e">
        <f t="shared" ca="1" si="2"/>
        <v>#REF!</v>
      </c>
    </row>
    <row r="153" spans="2:3">
      <c r="B153" s="64" t="s">
        <v>2140</v>
      </c>
      <c r="C153" t="e">
        <f t="shared" ca="1" si="2"/>
        <v>#REF!</v>
      </c>
    </row>
    <row r="154" spans="2:3">
      <c r="B154" s="63" t="s">
        <v>2141</v>
      </c>
      <c r="C154" t="e">
        <f t="shared" ca="1" si="2"/>
        <v>#VALUE!</v>
      </c>
    </row>
    <row r="155" spans="2:3">
      <c r="B155" s="63" t="s">
        <v>2142</v>
      </c>
      <c r="C155" t="e">
        <f t="shared" ca="1" si="2"/>
        <v>#VALUE!</v>
      </c>
    </row>
    <row r="156" spans="2:3">
      <c r="B156" s="63" t="s">
        <v>2143</v>
      </c>
      <c r="C156" t="e">
        <f t="shared" ca="1" si="2"/>
        <v>#VALUE!</v>
      </c>
    </row>
    <row r="157" spans="2:3">
      <c r="B157" s="63" t="s">
        <v>2144</v>
      </c>
      <c r="C157" t="e">
        <f t="shared" ca="1" si="2"/>
        <v>#VALUE!</v>
      </c>
    </row>
    <row r="158" spans="2:3">
      <c r="B158" s="63" t="s">
        <v>2145</v>
      </c>
      <c r="C158" t="e">
        <f t="shared" ca="1" si="2"/>
        <v>#REF!</v>
      </c>
    </row>
    <row r="159" spans="2:3">
      <c r="B159" s="63" t="s">
        <v>2146</v>
      </c>
      <c r="C159" t="e">
        <f t="shared" ca="1" si="2"/>
        <v>#VALUE!</v>
      </c>
    </row>
    <row r="160" spans="2:3">
      <c r="B160" s="63" t="s">
        <v>2147</v>
      </c>
      <c r="C160" t="e">
        <f t="shared" ca="1" si="2"/>
        <v>#VALUE!</v>
      </c>
    </row>
    <row r="161" spans="2:3">
      <c r="B161" s="63" t="s">
        <v>2148</v>
      </c>
      <c r="C161" t="e">
        <f t="shared" ca="1" si="2"/>
        <v>#VALUE!</v>
      </c>
    </row>
    <row r="162" spans="2:3">
      <c r="B162" s="63" t="s">
        <v>2149</v>
      </c>
      <c r="C162" t="e">
        <f t="shared" ca="1" si="2"/>
        <v>#VALUE!</v>
      </c>
    </row>
    <row r="163" spans="2:3">
      <c r="B163" s="63" t="s">
        <v>2150</v>
      </c>
      <c r="C163" t="e">
        <f t="shared" ca="1" si="2"/>
        <v>#VALUE!</v>
      </c>
    </row>
    <row r="164" spans="2:3">
      <c r="B164" s="63" t="s">
        <v>2151</v>
      </c>
      <c r="C164" t="e">
        <f t="shared" ca="1" si="2"/>
        <v>#VALUE!</v>
      </c>
    </row>
    <row r="165" spans="2:3">
      <c r="B165" s="63" t="s">
        <v>2152</v>
      </c>
      <c r="C165" t="e">
        <f t="shared" ca="1" si="2"/>
        <v>#VALUE!</v>
      </c>
    </row>
    <row r="166" spans="2:3">
      <c r="B166" s="63" t="s">
        <v>2153</v>
      </c>
      <c r="C166" t="e">
        <f t="shared" ca="1" si="2"/>
        <v>#VALUE!</v>
      </c>
    </row>
    <row r="167" spans="2:3">
      <c r="B167" s="63" t="s">
        <v>2154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34</vt:i4>
      </vt:variant>
      <vt:variant>
        <vt:lpstr>Intervalos Nomeados</vt:lpstr>
      </vt:variant>
      <vt:variant>
        <vt:i4>227</vt:i4>
      </vt:variant>
    </vt:vector>
  </HeadingPairs>
  <TitlesOfParts>
    <vt:vector size="261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PIS_COFINS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2022-07-28T19:33:49Z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